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drawings/drawing12.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drawings/drawing13.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7.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8.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19.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drawings/drawing21.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onnetapp01\TAD\Cross-cutting\TSM and ITT Allocations Publication\2018 to 2019\"/>
    </mc:Choice>
  </mc:AlternateContent>
  <bookViews>
    <workbookView xWindow="10530" yWindow="1245" windowWidth="5670" windowHeight="4035" tabRatio="796"/>
  </bookViews>
  <sheets>
    <sheet name="Title_&amp;_Contents" sheetId="68" r:id="rId1"/>
    <sheet name="Details" sheetId="69" r:id="rId2"/>
    <sheet name="Map_of_sheets" sheetId="288" r:id="rId3"/>
    <sheet name="Subject_groupings_defined" sheetId="51" r:id="rId4"/>
    <sheet name="FINAL_OUTPUTS_OF_ITT_PLACES" sheetId="212" r:id="rId5"/>
    <sheet name="USER_TESTING_TAB" sheetId="95" r:id="rId6"/>
    <sheet name="SUMMARY_OUTPUTS" sheetId="287" r:id="rId7"/>
    <sheet name="Entrant_need_charts_over_time" sheetId="103" r:id="rId8"/>
    <sheet name="Teacher_need_charts_over_time" sheetId="85" r:id="rId9"/>
    <sheet name="Pupil_Projections_scenarios" sheetId="155" r:id="rId10"/>
    <sheet name="RAW_DATA_INPUTS" sheetId="19" r:id="rId11"/>
    <sheet name="Policy_assumptions_PRIM" sheetId="91" r:id="rId12"/>
    <sheet name="Policy_assumptions_SEC" sheetId="105" r:id="rId13"/>
    <sheet name="Data_selected_by_user_testing" sheetId="108" r:id="rId14"/>
    <sheet name="Increased_EBacc_scenario_data" sheetId="225" r:id="rId15"/>
    <sheet name="Calc_PRIM_retirement_rates" sheetId="119" r:id="rId16"/>
    <sheet name="Calc_SEC_retirement_rates" sheetId="118" r:id="rId17"/>
    <sheet name="Calc_PRIM_death_rates" sheetId="120" r:id="rId18"/>
    <sheet name="Calc_SEC_death_rates" sheetId="117" r:id="rId19"/>
    <sheet name="Calculation_PRIM_wastage_rates" sheetId="121" r:id="rId20"/>
    <sheet name="Calculation_SEC_wastage_rates" sheetId="100" r:id="rId21"/>
    <sheet name="Projected_PRIM_wastage_rates" sheetId="123" r:id="rId22"/>
    <sheet name="Projected_SEC_wastage_rates" sheetId="124" r:id="rId23"/>
    <sheet name="Group_1_rates" sheetId="166" r:id="rId24"/>
    <sheet name="Group_2_rates" sheetId="167" r:id="rId25"/>
    <sheet name="Group_3_rates" sheetId="169" r:id="rId26"/>
    <sheet name="Stock_calculations" sheetId="96" r:id="rId27"/>
    <sheet name="Stock_ages_breakdowns" sheetId="111" r:id="rId28"/>
    <sheet name="Pupils_data_scenarios" sheetId="93" r:id="rId29"/>
    <sheet name="Calc_Primary_teacher_need" sheetId="104" r:id="rId30"/>
    <sheet name="Calc_overall_Sec_teacher_need" sheetId="113" r:id="rId31"/>
    <sheet name="Teacher_need_by_subject" sheetId="92" r:id="rId32"/>
    <sheet name="Forecast_stock_figures" sheetId="88" r:id="rId33"/>
    <sheet name="Entrant_age_breakdowns" sheetId="126" r:id="rId34"/>
    <sheet name="Primary_1" sheetId="140" r:id="rId35"/>
    <sheet name="Art_&amp;_Design_1" sheetId="86" r:id="rId36"/>
    <sheet name="Biology_1" sheetId="134" r:id="rId37"/>
    <sheet name="Business_Studies_1" sheetId="135" r:id="rId38"/>
    <sheet name="Chemistry_1" sheetId="136" r:id="rId39"/>
    <sheet name="Classics_1" sheetId="137" r:id="rId40"/>
    <sheet name="Computing_1" sheetId="138" r:id="rId41"/>
    <sheet name="Design_&amp;_Technology_1" sheetId="139" r:id="rId42"/>
    <sheet name="Drama_1" sheetId="141" r:id="rId43"/>
    <sheet name="English_1" sheetId="142" r:id="rId44"/>
    <sheet name="Food_1" sheetId="162" r:id="rId45"/>
    <sheet name="Geography_1" sheetId="143" r:id="rId46"/>
    <sheet name="History_1" sheetId="144" r:id="rId47"/>
    <sheet name="Mathematics_1" sheetId="145" r:id="rId48"/>
    <sheet name="Modern_Foreign_Languages_1" sheetId="146" r:id="rId49"/>
    <sheet name="Music_1" sheetId="147" r:id="rId50"/>
    <sheet name="Others_1" sheetId="148" r:id="rId51"/>
    <sheet name="Physical_Education_1" sheetId="149" r:id="rId52"/>
    <sheet name="Physics_1" sheetId="150" r:id="rId53"/>
    <sheet name="Religious_Education_1" sheetId="151" r:id="rId54"/>
    <sheet name="OUTPUTS_FOR_SECTION_2_OF_MODEL" sheetId="128" r:id="rId55"/>
    <sheet name="Calc_PRIM_entrant_rates" sheetId="181" r:id="rId56"/>
    <sheet name="Calc_SEC_entrant_rates" sheetId="182" r:id="rId57"/>
    <sheet name="Calc_PRIM_part-time_entrants" sheetId="183" r:id="rId58"/>
    <sheet name="Calc_SEC_part-time_entrants" sheetId="184" r:id="rId59"/>
    <sheet name="Primary_2" sheetId="185" r:id="rId60"/>
    <sheet name="Art_&amp;_Design_2" sheetId="186" r:id="rId61"/>
    <sheet name="Biology_2" sheetId="187" r:id="rId62"/>
    <sheet name="Business_Studies_2" sheetId="188" r:id="rId63"/>
    <sheet name="Chemistry_2" sheetId="189" r:id="rId64"/>
    <sheet name="Classics_2" sheetId="190" r:id="rId65"/>
    <sheet name="Computing_2" sheetId="191" r:id="rId66"/>
    <sheet name="Design_&amp;_Technology_2" sheetId="192" r:id="rId67"/>
    <sheet name="Drama_2" sheetId="193" r:id="rId68"/>
    <sheet name="English_2" sheetId="194" r:id="rId69"/>
    <sheet name="Food_2" sheetId="195" r:id="rId70"/>
    <sheet name="Geography_2" sheetId="196" r:id="rId71"/>
    <sheet name="History_2" sheetId="197" r:id="rId72"/>
    <sheet name="Mathematics_2" sheetId="198" r:id="rId73"/>
    <sheet name="Modern_Foreign_Languages_2" sheetId="199" r:id="rId74"/>
    <sheet name="Music_2" sheetId="200" r:id="rId75"/>
    <sheet name="Others_2" sheetId="201" r:id="rId76"/>
    <sheet name="Physical_Education_2" sheetId="202" r:id="rId77"/>
    <sheet name="Physics_2" sheetId="203" r:id="rId78"/>
    <sheet name="Religious_Education_2" sheetId="204" r:id="rId79"/>
    <sheet name="Re-entrants_expected" sheetId="205" r:id="rId80"/>
    <sheet name="New_to_SF_sector_expected" sheetId="206" r:id="rId81"/>
    <sheet name="NQT_entrants_required_inc_UGs" sheetId="207" r:id="rId82"/>
    <sheet name="Entrants_via_other_initiatives" sheetId="303" r:id="rId83"/>
    <sheet name="Check_of_all_entrant_numbers" sheetId="208" r:id="rId84"/>
    <sheet name="Calc_long_term_NQT_entrants" sheetId="209" r:id="rId85"/>
    <sheet name="Outputs_for_conversion_rates" sheetId="210" r:id="rId86"/>
    <sheet name="Conversion_rates_table" sheetId="211" r:id="rId87"/>
    <sheet name="Assumptions_data" sheetId="152" r:id="rId88"/>
    <sheet name="Teacher_need_figures" sheetId="127" r:id="rId89"/>
    <sheet name="Entrant_need_figures" sheetId="102" r:id="rId90"/>
    <sheet name="Wastage_over_time" sheetId="132" r:id="rId91"/>
    <sheet name="Retirements_over_time" sheetId="131" r:id="rId92"/>
    <sheet name="Deaths_over_time" sheetId="133" r:id="rId93"/>
    <sheet name="Leavers_over_time" sheetId="130" r:id="rId94"/>
    <sheet name="Outputs_with_historical_data" sheetId="217" r:id="rId95"/>
    <sheet name="Comparison_of_pupil_projns" sheetId="227" r:id="rId96"/>
    <sheet name="Historical_and_projected_ITT" sheetId="218" r:id="rId97"/>
    <sheet name="Changes_in_subject_teaching_hrs" sheetId="226" r:id="rId98"/>
  </sheets>
  <externalReferences>
    <externalReference r:id="rId99"/>
  </externalReferences>
  <definedNames>
    <definedName name="__123Graph_ADUMMY" localSheetId="60" hidden="1">[1]weekly!#REF!</definedName>
    <definedName name="__123Graph_ADUMMY" localSheetId="87" hidden="1">[1]weekly!#REF!</definedName>
    <definedName name="__123Graph_ADUMMY" localSheetId="36" hidden="1">[1]weekly!#REF!</definedName>
    <definedName name="__123Graph_ADUMMY" localSheetId="61" hidden="1">[1]weekly!#REF!</definedName>
    <definedName name="__123Graph_ADUMMY" localSheetId="37" hidden="1">[1]weekly!#REF!</definedName>
    <definedName name="__123Graph_ADUMMY" localSheetId="30" hidden="1">[1]weekly!#REF!</definedName>
    <definedName name="__123Graph_ADUMMY" localSheetId="17" hidden="1">[1]weekly!#REF!</definedName>
    <definedName name="__123Graph_ADUMMY" localSheetId="55" hidden="1">[1]weekly!#REF!</definedName>
    <definedName name="__123Graph_ADUMMY" localSheetId="57" hidden="1">[1]weekly!#REF!</definedName>
    <definedName name="__123Graph_ADUMMY" localSheetId="15" hidden="1">[1]weekly!#REF!</definedName>
    <definedName name="__123Graph_ADUMMY" localSheetId="18" hidden="1">[1]weekly!#REF!</definedName>
    <definedName name="__123Graph_ADUMMY" localSheetId="56" hidden="1">[1]weekly!#REF!</definedName>
    <definedName name="__123Graph_ADUMMY" localSheetId="58" hidden="1">[1]weekly!#REF!</definedName>
    <definedName name="__123Graph_ADUMMY" localSheetId="16" hidden="1">[1]weekly!#REF!</definedName>
    <definedName name="__123Graph_ADUMMY" localSheetId="19" hidden="1">[1]weekly!#REF!</definedName>
    <definedName name="__123Graph_ADUMMY" localSheetId="83" hidden="1">[1]weekly!#REF!</definedName>
    <definedName name="__123Graph_ADUMMY" localSheetId="38" hidden="1">[1]weekly!#REF!</definedName>
    <definedName name="__123Graph_ADUMMY" localSheetId="39" hidden="1">[1]weekly!#REF!</definedName>
    <definedName name="__123Graph_ADUMMY" localSheetId="95" hidden="1">[1]weekly!#REF!</definedName>
    <definedName name="__123Graph_ADUMMY" localSheetId="40" hidden="1">[1]weekly!#REF!</definedName>
    <definedName name="__123Graph_ADUMMY" localSheetId="92" hidden="1">[1]weekly!#REF!</definedName>
    <definedName name="__123Graph_ADUMMY" localSheetId="41" hidden="1">[1]weekly!#REF!</definedName>
    <definedName name="__123Graph_ADUMMY" localSheetId="42" hidden="1">[1]weekly!#REF!</definedName>
    <definedName name="__123Graph_ADUMMY" localSheetId="43" hidden="1">[1]weekly!#REF!</definedName>
    <definedName name="__123Graph_ADUMMY" localSheetId="33" hidden="1">[1]weekly!#REF!</definedName>
    <definedName name="__123Graph_ADUMMY" localSheetId="82" hidden="1">[1]weekly!#REF!</definedName>
    <definedName name="__123Graph_ADUMMY" localSheetId="44" hidden="1">[1]weekly!#REF!</definedName>
    <definedName name="__123Graph_ADUMMY" localSheetId="69" hidden="1">[1]weekly!#REF!</definedName>
    <definedName name="__123Graph_ADUMMY" localSheetId="45" hidden="1">[1]weekly!#REF!</definedName>
    <definedName name="__123Graph_ADUMMY" localSheetId="24" hidden="1">[1]weekly!#REF!</definedName>
    <definedName name="__123Graph_ADUMMY" localSheetId="25" hidden="1">[1]weekly!#REF!</definedName>
    <definedName name="__123Graph_ADUMMY" localSheetId="46" hidden="1">[1]weekly!#REF!</definedName>
    <definedName name="__123Graph_ADUMMY" localSheetId="14" hidden="1">[1]weekly!#REF!</definedName>
    <definedName name="__123Graph_ADUMMY" localSheetId="93" hidden="1">[1]weekly!#REF!</definedName>
    <definedName name="__123Graph_ADUMMY" localSheetId="47" hidden="1">[1]weekly!#REF!</definedName>
    <definedName name="__123Graph_ADUMMY" localSheetId="48" hidden="1">[1]weekly!#REF!</definedName>
    <definedName name="__123Graph_ADUMMY" localSheetId="49" hidden="1">[1]weekly!#REF!</definedName>
    <definedName name="__123Graph_ADUMMY" localSheetId="50" hidden="1">[1]weekly!#REF!</definedName>
    <definedName name="__123Graph_ADUMMY" localSheetId="54" hidden="1">[1]weekly!#REF!</definedName>
    <definedName name="__123Graph_ADUMMY" localSheetId="51" hidden="1">[1]weekly!#REF!</definedName>
    <definedName name="__123Graph_ADUMMY" localSheetId="52" hidden="1">[1]weekly!#REF!</definedName>
    <definedName name="__123Graph_ADUMMY" localSheetId="34" hidden="1">[1]weekly!#REF!</definedName>
    <definedName name="__123Graph_ADUMMY" localSheetId="59" hidden="1">[1]weekly!#REF!</definedName>
    <definedName name="__123Graph_ADUMMY" localSheetId="21" hidden="1">[1]weekly!#REF!</definedName>
    <definedName name="__123Graph_ADUMMY" localSheetId="22" hidden="1">[1]weekly!#REF!</definedName>
    <definedName name="__123Graph_ADUMMY" localSheetId="53" hidden="1">[1]weekly!#REF!</definedName>
    <definedName name="__123Graph_ADUMMY" localSheetId="91" hidden="1">[1]weekly!#REF!</definedName>
    <definedName name="__123Graph_ADUMMY" localSheetId="27" hidden="1">[1]weekly!#REF!</definedName>
    <definedName name="__123Graph_ADUMMY" localSheetId="88" hidden="1">[1]weekly!#REF!</definedName>
    <definedName name="__123Graph_ADUMMY" localSheetId="90" hidden="1">[1]weekly!#REF!</definedName>
    <definedName name="__123Graph_ADUMMY" hidden="1">[1]weekly!#REF!</definedName>
    <definedName name="__123Graph_ADUMMY2" localSheetId="60" hidden="1">[1]weekly!#REF!</definedName>
    <definedName name="__123Graph_ADUMMY2" localSheetId="87" hidden="1">[1]weekly!#REF!</definedName>
    <definedName name="__123Graph_ADUMMY2" localSheetId="36" hidden="1">[1]weekly!#REF!</definedName>
    <definedName name="__123Graph_ADUMMY2" localSheetId="61" hidden="1">[1]weekly!#REF!</definedName>
    <definedName name="__123Graph_ADUMMY2" localSheetId="37" hidden="1">[1]weekly!#REF!</definedName>
    <definedName name="__123Graph_ADUMMY2" localSheetId="30" hidden="1">[1]weekly!#REF!</definedName>
    <definedName name="__123Graph_ADUMMY2" localSheetId="17" hidden="1">[1]weekly!#REF!</definedName>
    <definedName name="__123Graph_ADUMMY2" localSheetId="55" hidden="1">[1]weekly!#REF!</definedName>
    <definedName name="__123Graph_ADUMMY2" localSheetId="57" hidden="1">[1]weekly!#REF!</definedName>
    <definedName name="__123Graph_ADUMMY2" localSheetId="15" hidden="1">[1]weekly!#REF!</definedName>
    <definedName name="__123Graph_ADUMMY2" localSheetId="18" hidden="1">[1]weekly!#REF!</definedName>
    <definedName name="__123Graph_ADUMMY2" localSheetId="56" hidden="1">[1]weekly!#REF!</definedName>
    <definedName name="__123Graph_ADUMMY2" localSheetId="58" hidden="1">[1]weekly!#REF!</definedName>
    <definedName name="__123Graph_ADUMMY2" localSheetId="16" hidden="1">[1]weekly!#REF!</definedName>
    <definedName name="__123Graph_ADUMMY2" localSheetId="19" hidden="1">[1]weekly!#REF!</definedName>
    <definedName name="__123Graph_ADUMMY2" localSheetId="83" hidden="1">[1]weekly!#REF!</definedName>
    <definedName name="__123Graph_ADUMMY2" localSheetId="38" hidden="1">[1]weekly!#REF!</definedName>
    <definedName name="__123Graph_ADUMMY2" localSheetId="39" hidden="1">[1]weekly!#REF!</definedName>
    <definedName name="__123Graph_ADUMMY2" localSheetId="95" hidden="1">[1]weekly!#REF!</definedName>
    <definedName name="__123Graph_ADUMMY2" localSheetId="40" hidden="1">[1]weekly!#REF!</definedName>
    <definedName name="__123Graph_ADUMMY2" localSheetId="92" hidden="1">[1]weekly!#REF!</definedName>
    <definedName name="__123Graph_ADUMMY2" localSheetId="41" hidden="1">[1]weekly!#REF!</definedName>
    <definedName name="__123Graph_ADUMMY2" localSheetId="42" hidden="1">[1]weekly!#REF!</definedName>
    <definedName name="__123Graph_ADUMMY2" localSheetId="43" hidden="1">[1]weekly!#REF!</definedName>
    <definedName name="__123Graph_ADUMMY2" localSheetId="33" hidden="1">[1]weekly!#REF!</definedName>
    <definedName name="__123Graph_ADUMMY2" localSheetId="82" hidden="1">[1]weekly!#REF!</definedName>
    <definedName name="__123Graph_ADUMMY2" localSheetId="44" hidden="1">[1]weekly!#REF!</definedName>
    <definedName name="__123Graph_ADUMMY2" localSheetId="69" hidden="1">[1]weekly!#REF!</definedName>
    <definedName name="__123Graph_ADUMMY2" localSheetId="45" hidden="1">[1]weekly!#REF!</definedName>
    <definedName name="__123Graph_ADUMMY2" localSheetId="24" hidden="1">[1]weekly!#REF!</definedName>
    <definedName name="__123Graph_ADUMMY2" localSheetId="25" hidden="1">[1]weekly!#REF!</definedName>
    <definedName name="__123Graph_ADUMMY2" localSheetId="46" hidden="1">[1]weekly!#REF!</definedName>
    <definedName name="__123Graph_ADUMMY2" localSheetId="14" hidden="1">[1]weekly!#REF!</definedName>
    <definedName name="__123Graph_ADUMMY2" localSheetId="93" hidden="1">[1]weekly!#REF!</definedName>
    <definedName name="__123Graph_ADUMMY2" localSheetId="47" hidden="1">[1]weekly!#REF!</definedName>
    <definedName name="__123Graph_ADUMMY2" localSheetId="48" hidden="1">[1]weekly!#REF!</definedName>
    <definedName name="__123Graph_ADUMMY2" localSheetId="49" hidden="1">[1]weekly!#REF!</definedName>
    <definedName name="__123Graph_ADUMMY2" localSheetId="50" hidden="1">[1]weekly!#REF!</definedName>
    <definedName name="__123Graph_ADUMMY2" localSheetId="54" hidden="1">[1]weekly!#REF!</definedName>
    <definedName name="__123Graph_ADUMMY2" localSheetId="51" hidden="1">[1]weekly!#REF!</definedName>
    <definedName name="__123Graph_ADUMMY2" localSheetId="52" hidden="1">[1]weekly!#REF!</definedName>
    <definedName name="__123Graph_ADUMMY2" localSheetId="34" hidden="1">[1]weekly!#REF!</definedName>
    <definedName name="__123Graph_ADUMMY2" localSheetId="59" hidden="1">[1]weekly!#REF!</definedName>
    <definedName name="__123Graph_ADUMMY2" localSheetId="21" hidden="1">[1]weekly!#REF!</definedName>
    <definedName name="__123Graph_ADUMMY2" localSheetId="22" hidden="1">[1]weekly!#REF!</definedName>
    <definedName name="__123Graph_ADUMMY2" localSheetId="53" hidden="1">[1]weekly!#REF!</definedName>
    <definedName name="__123Graph_ADUMMY2" localSheetId="91" hidden="1">[1]weekly!#REF!</definedName>
    <definedName name="__123Graph_ADUMMY2" localSheetId="27" hidden="1">[1]weekly!#REF!</definedName>
    <definedName name="__123Graph_ADUMMY2" localSheetId="88" hidden="1">[1]weekly!#REF!</definedName>
    <definedName name="__123Graph_ADUMMY2" localSheetId="90" hidden="1">[1]weekly!#REF!</definedName>
    <definedName name="__123Graph_ADUMMY2" hidden="1">[1]weekly!#REF!</definedName>
    <definedName name="__123Graph_AMAIN" localSheetId="60" hidden="1">[1]weekly!#REF!</definedName>
    <definedName name="__123Graph_AMAIN" localSheetId="87" hidden="1">[1]weekly!#REF!</definedName>
    <definedName name="__123Graph_AMAIN" localSheetId="36" hidden="1">[1]weekly!#REF!</definedName>
    <definedName name="__123Graph_AMAIN" localSheetId="61" hidden="1">[1]weekly!#REF!</definedName>
    <definedName name="__123Graph_AMAIN" localSheetId="37" hidden="1">[1]weekly!#REF!</definedName>
    <definedName name="__123Graph_AMAIN" localSheetId="30" hidden="1">[1]weekly!#REF!</definedName>
    <definedName name="__123Graph_AMAIN" localSheetId="17" hidden="1">[1]weekly!#REF!</definedName>
    <definedName name="__123Graph_AMAIN" localSheetId="55" hidden="1">[1]weekly!#REF!</definedName>
    <definedName name="__123Graph_AMAIN" localSheetId="57" hidden="1">[1]weekly!#REF!</definedName>
    <definedName name="__123Graph_AMAIN" localSheetId="15" hidden="1">[1]weekly!#REF!</definedName>
    <definedName name="__123Graph_AMAIN" localSheetId="18" hidden="1">[1]weekly!#REF!</definedName>
    <definedName name="__123Graph_AMAIN" localSheetId="56" hidden="1">[1]weekly!#REF!</definedName>
    <definedName name="__123Graph_AMAIN" localSheetId="58" hidden="1">[1]weekly!#REF!</definedName>
    <definedName name="__123Graph_AMAIN" localSheetId="16" hidden="1">[1]weekly!#REF!</definedName>
    <definedName name="__123Graph_AMAIN" localSheetId="19" hidden="1">[1]weekly!#REF!</definedName>
    <definedName name="__123Graph_AMAIN" localSheetId="83" hidden="1">[1]weekly!#REF!</definedName>
    <definedName name="__123Graph_AMAIN" localSheetId="38" hidden="1">[1]weekly!#REF!</definedName>
    <definedName name="__123Graph_AMAIN" localSheetId="39" hidden="1">[1]weekly!#REF!</definedName>
    <definedName name="__123Graph_AMAIN" localSheetId="95" hidden="1">[1]weekly!#REF!</definedName>
    <definedName name="__123Graph_AMAIN" localSheetId="40" hidden="1">[1]weekly!#REF!</definedName>
    <definedName name="__123Graph_AMAIN" localSheetId="92" hidden="1">[1]weekly!#REF!</definedName>
    <definedName name="__123Graph_AMAIN" localSheetId="41" hidden="1">[1]weekly!#REF!</definedName>
    <definedName name="__123Graph_AMAIN" localSheetId="42" hidden="1">[1]weekly!#REF!</definedName>
    <definedName name="__123Graph_AMAIN" localSheetId="43" hidden="1">[1]weekly!#REF!</definedName>
    <definedName name="__123Graph_AMAIN" localSheetId="33" hidden="1">[1]weekly!#REF!</definedName>
    <definedName name="__123Graph_AMAIN" localSheetId="82" hidden="1">[1]weekly!#REF!</definedName>
    <definedName name="__123Graph_AMAIN" localSheetId="44" hidden="1">[1]weekly!#REF!</definedName>
    <definedName name="__123Graph_AMAIN" localSheetId="69" hidden="1">[1]weekly!#REF!</definedName>
    <definedName name="__123Graph_AMAIN" localSheetId="45" hidden="1">[1]weekly!#REF!</definedName>
    <definedName name="__123Graph_AMAIN" localSheetId="24" hidden="1">[1]weekly!#REF!</definedName>
    <definedName name="__123Graph_AMAIN" localSheetId="25" hidden="1">[1]weekly!#REF!</definedName>
    <definedName name="__123Graph_AMAIN" localSheetId="46" hidden="1">[1]weekly!#REF!</definedName>
    <definedName name="__123Graph_AMAIN" localSheetId="14" hidden="1">[1]weekly!#REF!</definedName>
    <definedName name="__123Graph_AMAIN" localSheetId="93" hidden="1">[1]weekly!#REF!</definedName>
    <definedName name="__123Graph_AMAIN" localSheetId="47" hidden="1">[1]weekly!#REF!</definedName>
    <definedName name="__123Graph_AMAIN" localSheetId="48" hidden="1">[1]weekly!#REF!</definedName>
    <definedName name="__123Graph_AMAIN" localSheetId="49" hidden="1">[1]weekly!#REF!</definedName>
    <definedName name="__123Graph_AMAIN" localSheetId="50" hidden="1">[1]weekly!#REF!</definedName>
    <definedName name="__123Graph_AMAIN" localSheetId="54" hidden="1">[1]weekly!#REF!</definedName>
    <definedName name="__123Graph_AMAIN" localSheetId="51" hidden="1">[1]weekly!#REF!</definedName>
    <definedName name="__123Graph_AMAIN" localSheetId="52" hidden="1">[1]weekly!#REF!</definedName>
    <definedName name="__123Graph_AMAIN" localSheetId="34" hidden="1">[1]weekly!#REF!</definedName>
    <definedName name="__123Graph_AMAIN" localSheetId="59" hidden="1">[1]weekly!#REF!</definedName>
    <definedName name="__123Graph_AMAIN" localSheetId="21" hidden="1">[1]weekly!#REF!</definedName>
    <definedName name="__123Graph_AMAIN" localSheetId="22" hidden="1">[1]weekly!#REF!</definedName>
    <definedName name="__123Graph_AMAIN" localSheetId="53" hidden="1">[1]weekly!#REF!</definedName>
    <definedName name="__123Graph_AMAIN" localSheetId="91" hidden="1">[1]weekly!#REF!</definedName>
    <definedName name="__123Graph_AMAIN" localSheetId="27" hidden="1">[1]weekly!#REF!</definedName>
    <definedName name="__123Graph_AMAIN" localSheetId="88" hidden="1">[1]weekly!#REF!</definedName>
    <definedName name="__123Graph_AMAIN" localSheetId="90" hidden="1">[1]weekly!#REF!</definedName>
    <definedName name="__123Graph_AMAIN" hidden="1">[1]weekly!#REF!</definedName>
    <definedName name="__123Graph_AMONTHLY" localSheetId="60" hidden="1">[1]weekly!#REF!</definedName>
    <definedName name="__123Graph_AMONTHLY" localSheetId="87" hidden="1">[1]weekly!#REF!</definedName>
    <definedName name="__123Graph_AMONTHLY" localSheetId="36" hidden="1">[1]weekly!#REF!</definedName>
    <definedName name="__123Graph_AMONTHLY" localSheetId="61" hidden="1">[1]weekly!#REF!</definedName>
    <definedName name="__123Graph_AMONTHLY" localSheetId="37" hidden="1">[1]weekly!#REF!</definedName>
    <definedName name="__123Graph_AMONTHLY" localSheetId="30" hidden="1">[1]weekly!#REF!</definedName>
    <definedName name="__123Graph_AMONTHLY" localSheetId="17" hidden="1">[1]weekly!#REF!</definedName>
    <definedName name="__123Graph_AMONTHLY" localSheetId="55" hidden="1">[1]weekly!#REF!</definedName>
    <definedName name="__123Graph_AMONTHLY" localSheetId="57" hidden="1">[1]weekly!#REF!</definedName>
    <definedName name="__123Graph_AMONTHLY" localSheetId="15" hidden="1">[1]weekly!#REF!</definedName>
    <definedName name="__123Graph_AMONTHLY" localSheetId="18" hidden="1">[1]weekly!#REF!</definedName>
    <definedName name="__123Graph_AMONTHLY" localSheetId="56" hidden="1">[1]weekly!#REF!</definedName>
    <definedName name="__123Graph_AMONTHLY" localSheetId="58" hidden="1">[1]weekly!#REF!</definedName>
    <definedName name="__123Graph_AMONTHLY" localSheetId="16" hidden="1">[1]weekly!#REF!</definedName>
    <definedName name="__123Graph_AMONTHLY" localSheetId="19" hidden="1">[1]weekly!#REF!</definedName>
    <definedName name="__123Graph_AMONTHLY" localSheetId="83" hidden="1">[1]weekly!#REF!</definedName>
    <definedName name="__123Graph_AMONTHLY" localSheetId="38" hidden="1">[1]weekly!#REF!</definedName>
    <definedName name="__123Graph_AMONTHLY" localSheetId="39" hidden="1">[1]weekly!#REF!</definedName>
    <definedName name="__123Graph_AMONTHLY" localSheetId="95" hidden="1">[1]weekly!#REF!</definedName>
    <definedName name="__123Graph_AMONTHLY" localSheetId="40" hidden="1">[1]weekly!#REF!</definedName>
    <definedName name="__123Graph_AMONTHLY" localSheetId="92" hidden="1">[1]weekly!#REF!</definedName>
    <definedName name="__123Graph_AMONTHLY" localSheetId="41" hidden="1">[1]weekly!#REF!</definedName>
    <definedName name="__123Graph_AMONTHLY" localSheetId="42" hidden="1">[1]weekly!#REF!</definedName>
    <definedName name="__123Graph_AMONTHLY" localSheetId="43" hidden="1">[1]weekly!#REF!</definedName>
    <definedName name="__123Graph_AMONTHLY" localSheetId="33" hidden="1">[1]weekly!#REF!</definedName>
    <definedName name="__123Graph_AMONTHLY" localSheetId="82" hidden="1">[1]weekly!#REF!</definedName>
    <definedName name="__123Graph_AMONTHLY" localSheetId="44" hidden="1">[1]weekly!#REF!</definedName>
    <definedName name="__123Graph_AMONTHLY" localSheetId="69" hidden="1">[1]weekly!#REF!</definedName>
    <definedName name="__123Graph_AMONTHLY" localSheetId="45" hidden="1">[1]weekly!#REF!</definedName>
    <definedName name="__123Graph_AMONTHLY" localSheetId="24" hidden="1">[1]weekly!#REF!</definedName>
    <definedName name="__123Graph_AMONTHLY" localSheetId="25" hidden="1">[1]weekly!#REF!</definedName>
    <definedName name="__123Graph_AMONTHLY" localSheetId="46" hidden="1">[1]weekly!#REF!</definedName>
    <definedName name="__123Graph_AMONTHLY" localSheetId="14" hidden="1">[1]weekly!#REF!</definedName>
    <definedName name="__123Graph_AMONTHLY" localSheetId="93" hidden="1">[1]weekly!#REF!</definedName>
    <definedName name="__123Graph_AMONTHLY" localSheetId="47" hidden="1">[1]weekly!#REF!</definedName>
    <definedName name="__123Graph_AMONTHLY" localSheetId="48" hidden="1">[1]weekly!#REF!</definedName>
    <definedName name="__123Graph_AMONTHLY" localSheetId="49" hidden="1">[1]weekly!#REF!</definedName>
    <definedName name="__123Graph_AMONTHLY" localSheetId="50" hidden="1">[1]weekly!#REF!</definedName>
    <definedName name="__123Graph_AMONTHLY" localSheetId="54" hidden="1">[1]weekly!#REF!</definedName>
    <definedName name="__123Graph_AMONTHLY" localSheetId="51" hidden="1">[1]weekly!#REF!</definedName>
    <definedName name="__123Graph_AMONTHLY" localSheetId="52" hidden="1">[1]weekly!#REF!</definedName>
    <definedName name="__123Graph_AMONTHLY" localSheetId="34" hidden="1">[1]weekly!#REF!</definedName>
    <definedName name="__123Graph_AMONTHLY" localSheetId="59" hidden="1">[1]weekly!#REF!</definedName>
    <definedName name="__123Graph_AMONTHLY" localSheetId="21" hidden="1">[1]weekly!#REF!</definedName>
    <definedName name="__123Graph_AMONTHLY" localSheetId="22" hidden="1">[1]weekly!#REF!</definedName>
    <definedName name="__123Graph_AMONTHLY" localSheetId="53" hidden="1">[1]weekly!#REF!</definedName>
    <definedName name="__123Graph_AMONTHLY" localSheetId="91" hidden="1">[1]weekly!#REF!</definedName>
    <definedName name="__123Graph_AMONTHLY" localSheetId="27" hidden="1">[1]weekly!#REF!</definedName>
    <definedName name="__123Graph_AMONTHLY" localSheetId="88" hidden="1">[1]weekly!#REF!</definedName>
    <definedName name="__123Graph_AMONTHLY" localSheetId="90" hidden="1">[1]weekly!#REF!</definedName>
    <definedName name="__123Graph_AMONTHLY" hidden="1">[1]weekly!#REF!</definedName>
    <definedName name="__123Graph_AMONTHLY2" localSheetId="60" hidden="1">[1]weekly!#REF!</definedName>
    <definedName name="__123Graph_AMONTHLY2" localSheetId="87" hidden="1">[1]weekly!#REF!</definedName>
    <definedName name="__123Graph_AMONTHLY2" localSheetId="36" hidden="1">[1]weekly!#REF!</definedName>
    <definedName name="__123Graph_AMONTHLY2" localSheetId="61" hidden="1">[1]weekly!#REF!</definedName>
    <definedName name="__123Graph_AMONTHLY2" localSheetId="37" hidden="1">[1]weekly!#REF!</definedName>
    <definedName name="__123Graph_AMONTHLY2" localSheetId="30" hidden="1">[1]weekly!#REF!</definedName>
    <definedName name="__123Graph_AMONTHLY2" localSheetId="17" hidden="1">[1]weekly!#REF!</definedName>
    <definedName name="__123Graph_AMONTHLY2" localSheetId="55" hidden="1">[1]weekly!#REF!</definedName>
    <definedName name="__123Graph_AMONTHLY2" localSheetId="57" hidden="1">[1]weekly!#REF!</definedName>
    <definedName name="__123Graph_AMONTHLY2" localSheetId="15" hidden="1">[1]weekly!#REF!</definedName>
    <definedName name="__123Graph_AMONTHLY2" localSheetId="18" hidden="1">[1]weekly!#REF!</definedName>
    <definedName name="__123Graph_AMONTHLY2" localSheetId="56" hidden="1">[1]weekly!#REF!</definedName>
    <definedName name="__123Graph_AMONTHLY2" localSheetId="58" hidden="1">[1]weekly!#REF!</definedName>
    <definedName name="__123Graph_AMONTHLY2" localSheetId="16" hidden="1">[1]weekly!#REF!</definedName>
    <definedName name="__123Graph_AMONTHLY2" localSheetId="19" hidden="1">[1]weekly!#REF!</definedName>
    <definedName name="__123Graph_AMONTHLY2" localSheetId="83" hidden="1">[1]weekly!#REF!</definedName>
    <definedName name="__123Graph_AMONTHLY2" localSheetId="38" hidden="1">[1]weekly!#REF!</definedName>
    <definedName name="__123Graph_AMONTHLY2" localSheetId="39" hidden="1">[1]weekly!#REF!</definedName>
    <definedName name="__123Graph_AMONTHLY2" localSheetId="95" hidden="1">[1]weekly!#REF!</definedName>
    <definedName name="__123Graph_AMONTHLY2" localSheetId="40" hidden="1">[1]weekly!#REF!</definedName>
    <definedName name="__123Graph_AMONTHLY2" localSheetId="92" hidden="1">[1]weekly!#REF!</definedName>
    <definedName name="__123Graph_AMONTHLY2" localSheetId="41" hidden="1">[1]weekly!#REF!</definedName>
    <definedName name="__123Graph_AMONTHLY2" localSheetId="42" hidden="1">[1]weekly!#REF!</definedName>
    <definedName name="__123Graph_AMONTHLY2" localSheetId="43" hidden="1">[1]weekly!#REF!</definedName>
    <definedName name="__123Graph_AMONTHLY2" localSheetId="33" hidden="1">[1]weekly!#REF!</definedName>
    <definedName name="__123Graph_AMONTHLY2" localSheetId="82" hidden="1">[1]weekly!#REF!</definedName>
    <definedName name="__123Graph_AMONTHLY2" localSheetId="44" hidden="1">[1]weekly!#REF!</definedName>
    <definedName name="__123Graph_AMONTHLY2" localSheetId="69" hidden="1">[1]weekly!#REF!</definedName>
    <definedName name="__123Graph_AMONTHLY2" localSheetId="45" hidden="1">[1]weekly!#REF!</definedName>
    <definedName name="__123Graph_AMONTHLY2" localSheetId="24" hidden="1">[1]weekly!#REF!</definedName>
    <definedName name="__123Graph_AMONTHLY2" localSheetId="25" hidden="1">[1]weekly!#REF!</definedName>
    <definedName name="__123Graph_AMONTHLY2" localSheetId="46" hidden="1">[1]weekly!#REF!</definedName>
    <definedName name="__123Graph_AMONTHLY2" localSheetId="14" hidden="1">[1]weekly!#REF!</definedName>
    <definedName name="__123Graph_AMONTHLY2" localSheetId="93" hidden="1">[1]weekly!#REF!</definedName>
    <definedName name="__123Graph_AMONTHLY2" localSheetId="47" hidden="1">[1]weekly!#REF!</definedName>
    <definedName name="__123Graph_AMONTHLY2" localSheetId="48" hidden="1">[1]weekly!#REF!</definedName>
    <definedName name="__123Graph_AMONTHLY2" localSheetId="49" hidden="1">[1]weekly!#REF!</definedName>
    <definedName name="__123Graph_AMONTHLY2" localSheetId="50" hidden="1">[1]weekly!#REF!</definedName>
    <definedName name="__123Graph_AMONTHLY2" localSheetId="54" hidden="1">[1]weekly!#REF!</definedName>
    <definedName name="__123Graph_AMONTHLY2" localSheetId="51" hidden="1">[1]weekly!#REF!</definedName>
    <definedName name="__123Graph_AMONTHLY2" localSheetId="52" hidden="1">[1]weekly!#REF!</definedName>
    <definedName name="__123Graph_AMONTHLY2" localSheetId="34" hidden="1">[1]weekly!#REF!</definedName>
    <definedName name="__123Graph_AMONTHLY2" localSheetId="59" hidden="1">[1]weekly!#REF!</definedName>
    <definedName name="__123Graph_AMONTHLY2" localSheetId="21" hidden="1">[1]weekly!#REF!</definedName>
    <definedName name="__123Graph_AMONTHLY2" localSheetId="22" hidden="1">[1]weekly!#REF!</definedName>
    <definedName name="__123Graph_AMONTHLY2" localSheetId="53" hidden="1">[1]weekly!#REF!</definedName>
    <definedName name="__123Graph_AMONTHLY2" localSheetId="91" hidden="1">[1]weekly!#REF!</definedName>
    <definedName name="__123Graph_AMONTHLY2" localSheetId="27" hidden="1">[1]weekly!#REF!</definedName>
    <definedName name="__123Graph_AMONTHLY2" localSheetId="88" hidden="1">[1]weekly!#REF!</definedName>
    <definedName name="__123Graph_AMONTHLY2" localSheetId="90" hidden="1">[1]weekly!#REF!</definedName>
    <definedName name="__123Graph_AMONTHLY2" hidden="1">[1]weekly!#REF!</definedName>
    <definedName name="__123Graph_BDUMMY" localSheetId="60" hidden="1">[1]weekly!#REF!</definedName>
    <definedName name="__123Graph_BDUMMY" localSheetId="87" hidden="1">[1]weekly!#REF!</definedName>
    <definedName name="__123Graph_BDUMMY" localSheetId="36" hidden="1">[1]weekly!#REF!</definedName>
    <definedName name="__123Graph_BDUMMY" localSheetId="61" hidden="1">[1]weekly!#REF!</definedName>
    <definedName name="__123Graph_BDUMMY" localSheetId="37" hidden="1">[1]weekly!#REF!</definedName>
    <definedName name="__123Graph_BDUMMY" localSheetId="30" hidden="1">[1]weekly!#REF!</definedName>
    <definedName name="__123Graph_BDUMMY" localSheetId="17" hidden="1">[1]weekly!#REF!</definedName>
    <definedName name="__123Graph_BDUMMY" localSheetId="55" hidden="1">[1]weekly!#REF!</definedName>
    <definedName name="__123Graph_BDUMMY" localSheetId="57" hidden="1">[1]weekly!#REF!</definedName>
    <definedName name="__123Graph_BDUMMY" localSheetId="15" hidden="1">[1]weekly!#REF!</definedName>
    <definedName name="__123Graph_BDUMMY" localSheetId="18" hidden="1">[1]weekly!#REF!</definedName>
    <definedName name="__123Graph_BDUMMY" localSheetId="56" hidden="1">[1]weekly!#REF!</definedName>
    <definedName name="__123Graph_BDUMMY" localSheetId="58" hidden="1">[1]weekly!#REF!</definedName>
    <definedName name="__123Graph_BDUMMY" localSheetId="16" hidden="1">[1]weekly!#REF!</definedName>
    <definedName name="__123Graph_BDUMMY" localSheetId="19" hidden="1">[1]weekly!#REF!</definedName>
    <definedName name="__123Graph_BDUMMY" localSheetId="83" hidden="1">[1]weekly!#REF!</definedName>
    <definedName name="__123Graph_BDUMMY" localSheetId="38" hidden="1">[1]weekly!#REF!</definedName>
    <definedName name="__123Graph_BDUMMY" localSheetId="39" hidden="1">[1]weekly!#REF!</definedName>
    <definedName name="__123Graph_BDUMMY" localSheetId="95" hidden="1">[1]weekly!#REF!</definedName>
    <definedName name="__123Graph_BDUMMY" localSheetId="40" hidden="1">[1]weekly!#REF!</definedName>
    <definedName name="__123Graph_BDUMMY" localSheetId="92" hidden="1">[1]weekly!#REF!</definedName>
    <definedName name="__123Graph_BDUMMY" localSheetId="41" hidden="1">[1]weekly!#REF!</definedName>
    <definedName name="__123Graph_BDUMMY" localSheetId="42" hidden="1">[1]weekly!#REF!</definedName>
    <definedName name="__123Graph_BDUMMY" localSheetId="43" hidden="1">[1]weekly!#REF!</definedName>
    <definedName name="__123Graph_BDUMMY" localSheetId="33" hidden="1">[1]weekly!#REF!</definedName>
    <definedName name="__123Graph_BDUMMY" localSheetId="82" hidden="1">[1]weekly!#REF!</definedName>
    <definedName name="__123Graph_BDUMMY" localSheetId="44" hidden="1">[1]weekly!#REF!</definedName>
    <definedName name="__123Graph_BDUMMY" localSheetId="69" hidden="1">[1]weekly!#REF!</definedName>
    <definedName name="__123Graph_BDUMMY" localSheetId="45" hidden="1">[1]weekly!#REF!</definedName>
    <definedName name="__123Graph_BDUMMY" localSheetId="24" hidden="1">[1]weekly!#REF!</definedName>
    <definedName name="__123Graph_BDUMMY" localSheetId="25" hidden="1">[1]weekly!#REF!</definedName>
    <definedName name="__123Graph_BDUMMY" localSheetId="46" hidden="1">[1]weekly!#REF!</definedName>
    <definedName name="__123Graph_BDUMMY" localSheetId="14" hidden="1">[1]weekly!#REF!</definedName>
    <definedName name="__123Graph_BDUMMY" localSheetId="93" hidden="1">[1]weekly!#REF!</definedName>
    <definedName name="__123Graph_BDUMMY" localSheetId="47" hidden="1">[1]weekly!#REF!</definedName>
    <definedName name="__123Graph_BDUMMY" localSheetId="48" hidden="1">[1]weekly!#REF!</definedName>
    <definedName name="__123Graph_BDUMMY" localSheetId="49" hidden="1">[1]weekly!#REF!</definedName>
    <definedName name="__123Graph_BDUMMY" localSheetId="50" hidden="1">[1]weekly!#REF!</definedName>
    <definedName name="__123Graph_BDUMMY" localSheetId="54" hidden="1">[1]weekly!#REF!</definedName>
    <definedName name="__123Graph_BDUMMY" localSheetId="51" hidden="1">[1]weekly!#REF!</definedName>
    <definedName name="__123Graph_BDUMMY" localSheetId="52" hidden="1">[1]weekly!#REF!</definedName>
    <definedName name="__123Graph_BDUMMY" localSheetId="34" hidden="1">[1]weekly!#REF!</definedName>
    <definedName name="__123Graph_BDUMMY" localSheetId="59" hidden="1">[1]weekly!#REF!</definedName>
    <definedName name="__123Graph_BDUMMY" localSheetId="21" hidden="1">[1]weekly!#REF!</definedName>
    <definedName name="__123Graph_BDUMMY" localSheetId="22" hidden="1">[1]weekly!#REF!</definedName>
    <definedName name="__123Graph_BDUMMY" localSheetId="53" hidden="1">[1]weekly!#REF!</definedName>
    <definedName name="__123Graph_BDUMMY" localSheetId="91" hidden="1">[1]weekly!#REF!</definedName>
    <definedName name="__123Graph_BDUMMY" localSheetId="27" hidden="1">[1]weekly!#REF!</definedName>
    <definedName name="__123Graph_BDUMMY" localSheetId="88" hidden="1">[1]weekly!#REF!</definedName>
    <definedName name="__123Graph_BDUMMY" localSheetId="90" hidden="1">[1]weekly!#REF!</definedName>
    <definedName name="__123Graph_BDUMMY" hidden="1">[1]weekly!#REF!</definedName>
    <definedName name="__123Graph_BMAIN" localSheetId="60" hidden="1">[1]weekly!#REF!</definedName>
    <definedName name="__123Graph_BMAIN" localSheetId="87" hidden="1">[1]weekly!#REF!</definedName>
    <definedName name="__123Graph_BMAIN" localSheetId="36" hidden="1">[1]weekly!#REF!</definedName>
    <definedName name="__123Graph_BMAIN" localSheetId="61" hidden="1">[1]weekly!#REF!</definedName>
    <definedName name="__123Graph_BMAIN" localSheetId="37" hidden="1">[1]weekly!#REF!</definedName>
    <definedName name="__123Graph_BMAIN" localSheetId="30" hidden="1">[1]weekly!#REF!</definedName>
    <definedName name="__123Graph_BMAIN" localSheetId="17" hidden="1">[1]weekly!#REF!</definedName>
    <definedName name="__123Graph_BMAIN" localSheetId="55" hidden="1">[1]weekly!#REF!</definedName>
    <definedName name="__123Graph_BMAIN" localSheetId="57" hidden="1">[1]weekly!#REF!</definedName>
    <definedName name="__123Graph_BMAIN" localSheetId="15" hidden="1">[1]weekly!#REF!</definedName>
    <definedName name="__123Graph_BMAIN" localSheetId="18" hidden="1">[1]weekly!#REF!</definedName>
    <definedName name="__123Graph_BMAIN" localSheetId="56" hidden="1">[1]weekly!#REF!</definedName>
    <definedName name="__123Graph_BMAIN" localSheetId="58" hidden="1">[1]weekly!#REF!</definedName>
    <definedName name="__123Graph_BMAIN" localSheetId="16" hidden="1">[1]weekly!#REF!</definedName>
    <definedName name="__123Graph_BMAIN" localSheetId="19" hidden="1">[1]weekly!#REF!</definedName>
    <definedName name="__123Graph_BMAIN" localSheetId="83" hidden="1">[1]weekly!#REF!</definedName>
    <definedName name="__123Graph_BMAIN" localSheetId="38" hidden="1">[1]weekly!#REF!</definedName>
    <definedName name="__123Graph_BMAIN" localSheetId="39" hidden="1">[1]weekly!#REF!</definedName>
    <definedName name="__123Graph_BMAIN" localSheetId="95" hidden="1">[1]weekly!#REF!</definedName>
    <definedName name="__123Graph_BMAIN" localSheetId="40" hidden="1">[1]weekly!#REF!</definedName>
    <definedName name="__123Graph_BMAIN" localSheetId="92" hidden="1">[1]weekly!#REF!</definedName>
    <definedName name="__123Graph_BMAIN" localSheetId="41" hidden="1">[1]weekly!#REF!</definedName>
    <definedName name="__123Graph_BMAIN" localSheetId="42" hidden="1">[1]weekly!#REF!</definedName>
    <definedName name="__123Graph_BMAIN" localSheetId="43" hidden="1">[1]weekly!#REF!</definedName>
    <definedName name="__123Graph_BMAIN" localSheetId="33" hidden="1">[1]weekly!#REF!</definedName>
    <definedName name="__123Graph_BMAIN" localSheetId="82" hidden="1">[1]weekly!#REF!</definedName>
    <definedName name="__123Graph_BMAIN" localSheetId="44" hidden="1">[1]weekly!#REF!</definedName>
    <definedName name="__123Graph_BMAIN" localSheetId="69" hidden="1">[1]weekly!#REF!</definedName>
    <definedName name="__123Graph_BMAIN" localSheetId="45" hidden="1">[1]weekly!#REF!</definedName>
    <definedName name="__123Graph_BMAIN" localSheetId="24" hidden="1">[1]weekly!#REF!</definedName>
    <definedName name="__123Graph_BMAIN" localSheetId="25" hidden="1">[1]weekly!#REF!</definedName>
    <definedName name="__123Graph_BMAIN" localSheetId="46" hidden="1">[1]weekly!#REF!</definedName>
    <definedName name="__123Graph_BMAIN" localSheetId="14" hidden="1">[1]weekly!#REF!</definedName>
    <definedName name="__123Graph_BMAIN" localSheetId="93" hidden="1">[1]weekly!#REF!</definedName>
    <definedName name="__123Graph_BMAIN" localSheetId="47" hidden="1">[1]weekly!#REF!</definedName>
    <definedName name="__123Graph_BMAIN" localSheetId="48" hidden="1">[1]weekly!#REF!</definedName>
    <definedName name="__123Graph_BMAIN" localSheetId="49" hidden="1">[1]weekly!#REF!</definedName>
    <definedName name="__123Graph_BMAIN" localSheetId="50" hidden="1">[1]weekly!#REF!</definedName>
    <definedName name="__123Graph_BMAIN" localSheetId="54" hidden="1">[1]weekly!#REF!</definedName>
    <definedName name="__123Graph_BMAIN" localSheetId="51" hidden="1">[1]weekly!#REF!</definedName>
    <definedName name="__123Graph_BMAIN" localSheetId="52" hidden="1">[1]weekly!#REF!</definedName>
    <definedName name="__123Graph_BMAIN" localSheetId="34" hidden="1">[1]weekly!#REF!</definedName>
    <definedName name="__123Graph_BMAIN" localSheetId="59" hidden="1">[1]weekly!#REF!</definedName>
    <definedName name="__123Graph_BMAIN" localSheetId="21" hidden="1">[1]weekly!#REF!</definedName>
    <definedName name="__123Graph_BMAIN" localSheetId="22" hidden="1">[1]weekly!#REF!</definedName>
    <definedName name="__123Graph_BMAIN" localSheetId="53" hidden="1">[1]weekly!#REF!</definedName>
    <definedName name="__123Graph_BMAIN" localSheetId="91" hidden="1">[1]weekly!#REF!</definedName>
    <definedName name="__123Graph_BMAIN" localSheetId="27" hidden="1">[1]weekly!#REF!</definedName>
    <definedName name="__123Graph_BMAIN" localSheetId="88" hidden="1">[1]weekly!#REF!</definedName>
    <definedName name="__123Graph_BMAIN" localSheetId="90" hidden="1">[1]weekly!#REF!</definedName>
    <definedName name="__123Graph_BMAIN" hidden="1">[1]weekly!#REF!</definedName>
    <definedName name="__123Graph_BMONTHLY" localSheetId="60" hidden="1">[1]weekly!#REF!</definedName>
    <definedName name="__123Graph_BMONTHLY" localSheetId="87" hidden="1">[1]weekly!#REF!</definedName>
    <definedName name="__123Graph_BMONTHLY" localSheetId="36" hidden="1">[1]weekly!#REF!</definedName>
    <definedName name="__123Graph_BMONTHLY" localSheetId="61" hidden="1">[1]weekly!#REF!</definedName>
    <definedName name="__123Graph_BMONTHLY" localSheetId="37" hidden="1">[1]weekly!#REF!</definedName>
    <definedName name="__123Graph_BMONTHLY" localSheetId="30" hidden="1">[1]weekly!#REF!</definedName>
    <definedName name="__123Graph_BMONTHLY" localSheetId="17" hidden="1">[1]weekly!#REF!</definedName>
    <definedName name="__123Graph_BMONTHLY" localSheetId="55" hidden="1">[1]weekly!#REF!</definedName>
    <definedName name="__123Graph_BMONTHLY" localSheetId="57" hidden="1">[1]weekly!#REF!</definedName>
    <definedName name="__123Graph_BMONTHLY" localSheetId="15" hidden="1">[1]weekly!#REF!</definedName>
    <definedName name="__123Graph_BMONTHLY" localSheetId="18" hidden="1">[1]weekly!#REF!</definedName>
    <definedName name="__123Graph_BMONTHLY" localSheetId="56" hidden="1">[1]weekly!#REF!</definedName>
    <definedName name="__123Graph_BMONTHLY" localSheetId="58" hidden="1">[1]weekly!#REF!</definedName>
    <definedName name="__123Graph_BMONTHLY" localSheetId="16" hidden="1">[1]weekly!#REF!</definedName>
    <definedName name="__123Graph_BMONTHLY" localSheetId="19" hidden="1">[1]weekly!#REF!</definedName>
    <definedName name="__123Graph_BMONTHLY" localSheetId="83" hidden="1">[1]weekly!#REF!</definedName>
    <definedName name="__123Graph_BMONTHLY" localSheetId="38" hidden="1">[1]weekly!#REF!</definedName>
    <definedName name="__123Graph_BMONTHLY" localSheetId="39" hidden="1">[1]weekly!#REF!</definedName>
    <definedName name="__123Graph_BMONTHLY" localSheetId="95" hidden="1">[1]weekly!#REF!</definedName>
    <definedName name="__123Graph_BMONTHLY" localSheetId="40" hidden="1">[1]weekly!#REF!</definedName>
    <definedName name="__123Graph_BMONTHLY" localSheetId="92" hidden="1">[1]weekly!#REF!</definedName>
    <definedName name="__123Graph_BMONTHLY" localSheetId="41" hidden="1">[1]weekly!#REF!</definedName>
    <definedName name="__123Graph_BMONTHLY" localSheetId="42" hidden="1">[1]weekly!#REF!</definedName>
    <definedName name="__123Graph_BMONTHLY" localSheetId="43" hidden="1">[1]weekly!#REF!</definedName>
    <definedName name="__123Graph_BMONTHLY" localSheetId="33" hidden="1">[1]weekly!#REF!</definedName>
    <definedName name="__123Graph_BMONTHLY" localSheetId="82" hidden="1">[1]weekly!#REF!</definedName>
    <definedName name="__123Graph_BMONTHLY" localSheetId="44" hidden="1">[1]weekly!#REF!</definedName>
    <definedName name="__123Graph_BMONTHLY" localSheetId="69" hidden="1">[1]weekly!#REF!</definedName>
    <definedName name="__123Graph_BMONTHLY" localSheetId="45" hidden="1">[1]weekly!#REF!</definedName>
    <definedName name="__123Graph_BMONTHLY" localSheetId="24" hidden="1">[1]weekly!#REF!</definedName>
    <definedName name="__123Graph_BMONTHLY" localSheetId="25" hidden="1">[1]weekly!#REF!</definedName>
    <definedName name="__123Graph_BMONTHLY" localSheetId="46" hidden="1">[1]weekly!#REF!</definedName>
    <definedName name="__123Graph_BMONTHLY" localSheetId="14" hidden="1">[1]weekly!#REF!</definedName>
    <definedName name="__123Graph_BMONTHLY" localSheetId="93" hidden="1">[1]weekly!#REF!</definedName>
    <definedName name="__123Graph_BMONTHLY" localSheetId="47" hidden="1">[1]weekly!#REF!</definedName>
    <definedName name="__123Graph_BMONTHLY" localSheetId="48" hidden="1">[1]weekly!#REF!</definedName>
    <definedName name="__123Graph_BMONTHLY" localSheetId="49" hidden="1">[1]weekly!#REF!</definedName>
    <definedName name="__123Graph_BMONTHLY" localSheetId="50" hidden="1">[1]weekly!#REF!</definedName>
    <definedName name="__123Graph_BMONTHLY" localSheetId="54" hidden="1">[1]weekly!#REF!</definedName>
    <definedName name="__123Graph_BMONTHLY" localSheetId="51" hidden="1">[1]weekly!#REF!</definedName>
    <definedName name="__123Graph_BMONTHLY" localSheetId="52" hidden="1">[1]weekly!#REF!</definedName>
    <definedName name="__123Graph_BMONTHLY" localSheetId="34" hidden="1">[1]weekly!#REF!</definedName>
    <definedName name="__123Graph_BMONTHLY" localSheetId="59" hidden="1">[1]weekly!#REF!</definedName>
    <definedName name="__123Graph_BMONTHLY" localSheetId="21" hidden="1">[1]weekly!#REF!</definedName>
    <definedName name="__123Graph_BMONTHLY" localSheetId="22" hidden="1">[1]weekly!#REF!</definedName>
    <definedName name="__123Graph_BMONTHLY" localSheetId="53" hidden="1">[1]weekly!#REF!</definedName>
    <definedName name="__123Graph_BMONTHLY" localSheetId="91" hidden="1">[1]weekly!#REF!</definedName>
    <definedName name="__123Graph_BMONTHLY" localSheetId="27" hidden="1">[1]weekly!#REF!</definedName>
    <definedName name="__123Graph_BMONTHLY" localSheetId="88" hidden="1">[1]weekly!#REF!</definedName>
    <definedName name="__123Graph_BMONTHLY" localSheetId="90" hidden="1">[1]weekly!#REF!</definedName>
    <definedName name="__123Graph_BMONTHLY" hidden="1">[1]weekly!#REF!</definedName>
    <definedName name="__123Graph_BMONTHLY2" localSheetId="60" hidden="1">[1]weekly!#REF!</definedName>
    <definedName name="__123Graph_BMONTHLY2" localSheetId="87" hidden="1">[1]weekly!#REF!</definedName>
    <definedName name="__123Graph_BMONTHLY2" localSheetId="36" hidden="1">[1]weekly!#REF!</definedName>
    <definedName name="__123Graph_BMONTHLY2" localSheetId="61" hidden="1">[1]weekly!#REF!</definedName>
    <definedName name="__123Graph_BMONTHLY2" localSheetId="37" hidden="1">[1]weekly!#REF!</definedName>
    <definedName name="__123Graph_BMONTHLY2" localSheetId="30" hidden="1">[1]weekly!#REF!</definedName>
    <definedName name="__123Graph_BMONTHLY2" localSheetId="17" hidden="1">[1]weekly!#REF!</definedName>
    <definedName name="__123Graph_BMONTHLY2" localSheetId="55" hidden="1">[1]weekly!#REF!</definedName>
    <definedName name="__123Graph_BMONTHLY2" localSheetId="57" hidden="1">[1]weekly!#REF!</definedName>
    <definedName name="__123Graph_BMONTHLY2" localSheetId="15" hidden="1">[1]weekly!#REF!</definedName>
    <definedName name="__123Graph_BMONTHLY2" localSheetId="18" hidden="1">[1]weekly!#REF!</definedName>
    <definedName name="__123Graph_BMONTHLY2" localSheetId="56" hidden="1">[1]weekly!#REF!</definedName>
    <definedName name="__123Graph_BMONTHLY2" localSheetId="58" hidden="1">[1]weekly!#REF!</definedName>
    <definedName name="__123Graph_BMONTHLY2" localSheetId="16" hidden="1">[1]weekly!#REF!</definedName>
    <definedName name="__123Graph_BMONTHLY2" localSheetId="19" hidden="1">[1]weekly!#REF!</definedName>
    <definedName name="__123Graph_BMONTHLY2" localSheetId="83" hidden="1">[1]weekly!#REF!</definedName>
    <definedName name="__123Graph_BMONTHLY2" localSheetId="38" hidden="1">[1]weekly!#REF!</definedName>
    <definedName name="__123Graph_BMONTHLY2" localSheetId="39" hidden="1">[1]weekly!#REF!</definedName>
    <definedName name="__123Graph_BMONTHLY2" localSheetId="95" hidden="1">[1]weekly!#REF!</definedName>
    <definedName name="__123Graph_BMONTHLY2" localSheetId="40" hidden="1">[1]weekly!#REF!</definedName>
    <definedName name="__123Graph_BMONTHLY2" localSheetId="92" hidden="1">[1]weekly!#REF!</definedName>
    <definedName name="__123Graph_BMONTHLY2" localSheetId="41" hidden="1">[1]weekly!#REF!</definedName>
    <definedName name="__123Graph_BMONTHLY2" localSheetId="42" hidden="1">[1]weekly!#REF!</definedName>
    <definedName name="__123Graph_BMONTHLY2" localSheetId="43" hidden="1">[1]weekly!#REF!</definedName>
    <definedName name="__123Graph_BMONTHLY2" localSheetId="33" hidden="1">[1]weekly!#REF!</definedName>
    <definedName name="__123Graph_BMONTHLY2" localSheetId="82" hidden="1">[1]weekly!#REF!</definedName>
    <definedName name="__123Graph_BMONTHLY2" localSheetId="44" hidden="1">[1]weekly!#REF!</definedName>
    <definedName name="__123Graph_BMONTHLY2" localSheetId="69" hidden="1">[1]weekly!#REF!</definedName>
    <definedName name="__123Graph_BMONTHLY2" localSheetId="45" hidden="1">[1]weekly!#REF!</definedName>
    <definedName name="__123Graph_BMONTHLY2" localSheetId="24" hidden="1">[1]weekly!#REF!</definedName>
    <definedName name="__123Graph_BMONTHLY2" localSheetId="25" hidden="1">[1]weekly!#REF!</definedName>
    <definedName name="__123Graph_BMONTHLY2" localSheetId="46" hidden="1">[1]weekly!#REF!</definedName>
    <definedName name="__123Graph_BMONTHLY2" localSheetId="14" hidden="1">[1]weekly!#REF!</definedName>
    <definedName name="__123Graph_BMONTHLY2" localSheetId="93" hidden="1">[1]weekly!#REF!</definedName>
    <definedName name="__123Graph_BMONTHLY2" localSheetId="47" hidden="1">[1]weekly!#REF!</definedName>
    <definedName name="__123Graph_BMONTHLY2" localSheetId="48" hidden="1">[1]weekly!#REF!</definedName>
    <definedName name="__123Graph_BMONTHLY2" localSheetId="49" hidden="1">[1]weekly!#REF!</definedName>
    <definedName name="__123Graph_BMONTHLY2" localSheetId="50" hidden="1">[1]weekly!#REF!</definedName>
    <definedName name="__123Graph_BMONTHLY2" localSheetId="54" hidden="1">[1]weekly!#REF!</definedName>
    <definedName name="__123Graph_BMONTHLY2" localSheetId="51" hidden="1">[1]weekly!#REF!</definedName>
    <definedName name="__123Graph_BMONTHLY2" localSheetId="52" hidden="1">[1]weekly!#REF!</definedName>
    <definedName name="__123Graph_BMONTHLY2" localSheetId="34" hidden="1">[1]weekly!#REF!</definedName>
    <definedName name="__123Graph_BMONTHLY2" localSheetId="59" hidden="1">[1]weekly!#REF!</definedName>
    <definedName name="__123Graph_BMONTHLY2" localSheetId="21" hidden="1">[1]weekly!#REF!</definedName>
    <definedName name="__123Graph_BMONTHLY2" localSheetId="22" hidden="1">[1]weekly!#REF!</definedName>
    <definedName name="__123Graph_BMONTHLY2" localSheetId="53" hidden="1">[1]weekly!#REF!</definedName>
    <definedName name="__123Graph_BMONTHLY2" localSheetId="91" hidden="1">[1]weekly!#REF!</definedName>
    <definedName name="__123Graph_BMONTHLY2" localSheetId="27" hidden="1">[1]weekly!#REF!</definedName>
    <definedName name="__123Graph_BMONTHLY2" localSheetId="88" hidden="1">[1]weekly!#REF!</definedName>
    <definedName name="__123Graph_BMONTHLY2" localSheetId="90" hidden="1">[1]weekly!#REF!</definedName>
    <definedName name="__123Graph_BMONTHLY2" hidden="1">[1]weekly!#REF!</definedName>
    <definedName name="__123Graph_CDUMMY" localSheetId="60" hidden="1">[1]weekly!#REF!</definedName>
    <definedName name="__123Graph_CDUMMY" localSheetId="87" hidden="1">[1]weekly!#REF!</definedName>
    <definedName name="__123Graph_CDUMMY" localSheetId="36" hidden="1">[1]weekly!#REF!</definedName>
    <definedName name="__123Graph_CDUMMY" localSheetId="61" hidden="1">[1]weekly!#REF!</definedName>
    <definedName name="__123Graph_CDUMMY" localSheetId="37" hidden="1">[1]weekly!#REF!</definedName>
    <definedName name="__123Graph_CDUMMY" localSheetId="30" hidden="1">[1]weekly!#REF!</definedName>
    <definedName name="__123Graph_CDUMMY" localSheetId="17" hidden="1">[1]weekly!#REF!</definedName>
    <definedName name="__123Graph_CDUMMY" localSheetId="55" hidden="1">[1]weekly!#REF!</definedName>
    <definedName name="__123Graph_CDUMMY" localSheetId="57" hidden="1">[1]weekly!#REF!</definedName>
    <definedName name="__123Graph_CDUMMY" localSheetId="15" hidden="1">[1]weekly!#REF!</definedName>
    <definedName name="__123Graph_CDUMMY" localSheetId="18" hidden="1">[1]weekly!#REF!</definedName>
    <definedName name="__123Graph_CDUMMY" localSheetId="56" hidden="1">[1]weekly!#REF!</definedName>
    <definedName name="__123Graph_CDUMMY" localSheetId="58" hidden="1">[1]weekly!#REF!</definedName>
    <definedName name="__123Graph_CDUMMY" localSheetId="16" hidden="1">[1]weekly!#REF!</definedName>
    <definedName name="__123Graph_CDUMMY" localSheetId="19" hidden="1">[1]weekly!#REF!</definedName>
    <definedName name="__123Graph_CDUMMY" localSheetId="83" hidden="1">[1]weekly!#REF!</definedName>
    <definedName name="__123Graph_CDUMMY" localSheetId="38" hidden="1">[1]weekly!#REF!</definedName>
    <definedName name="__123Graph_CDUMMY" localSheetId="39" hidden="1">[1]weekly!#REF!</definedName>
    <definedName name="__123Graph_CDUMMY" localSheetId="95" hidden="1">[1]weekly!#REF!</definedName>
    <definedName name="__123Graph_CDUMMY" localSheetId="40" hidden="1">[1]weekly!#REF!</definedName>
    <definedName name="__123Graph_CDUMMY" localSheetId="92" hidden="1">[1]weekly!#REF!</definedName>
    <definedName name="__123Graph_CDUMMY" localSheetId="41" hidden="1">[1]weekly!#REF!</definedName>
    <definedName name="__123Graph_CDUMMY" localSheetId="42" hidden="1">[1]weekly!#REF!</definedName>
    <definedName name="__123Graph_CDUMMY" localSheetId="43" hidden="1">[1]weekly!#REF!</definedName>
    <definedName name="__123Graph_CDUMMY" localSheetId="33" hidden="1">[1]weekly!#REF!</definedName>
    <definedName name="__123Graph_CDUMMY" localSheetId="82" hidden="1">[1]weekly!#REF!</definedName>
    <definedName name="__123Graph_CDUMMY" localSheetId="44" hidden="1">[1]weekly!#REF!</definedName>
    <definedName name="__123Graph_CDUMMY" localSheetId="69" hidden="1">[1]weekly!#REF!</definedName>
    <definedName name="__123Graph_CDUMMY" localSheetId="45" hidden="1">[1]weekly!#REF!</definedName>
    <definedName name="__123Graph_CDUMMY" localSheetId="24" hidden="1">[1]weekly!#REF!</definedName>
    <definedName name="__123Graph_CDUMMY" localSheetId="25" hidden="1">[1]weekly!#REF!</definedName>
    <definedName name="__123Graph_CDUMMY" localSheetId="46" hidden="1">[1]weekly!#REF!</definedName>
    <definedName name="__123Graph_CDUMMY" localSheetId="14" hidden="1">[1]weekly!#REF!</definedName>
    <definedName name="__123Graph_CDUMMY" localSheetId="93" hidden="1">[1]weekly!#REF!</definedName>
    <definedName name="__123Graph_CDUMMY" localSheetId="47" hidden="1">[1]weekly!#REF!</definedName>
    <definedName name="__123Graph_CDUMMY" localSheetId="48" hidden="1">[1]weekly!#REF!</definedName>
    <definedName name="__123Graph_CDUMMY" localSheetId="49" hidden="1">[1]weekly!#REF!</definedName>
    <definedName name="__123Graph_CDUMMY" localSheetId="50" hidden="1">[1]weekly!#REF!</definedName>
    <definedName name="__123Graph_CDUMMY" localSheetId="54" hidden="1">[1]weekly!#REF!</definedName>
    <definedName name="__123Graph_CDUMMY" localSheetId="51" hidden="1">[1]weekly!#REF!</definedName>
    <definedName name="__123Graph_CDUMMY" localSheetId="52" hidden="1">[1]weekly!#REF!</definedName>
    <definedName name="__123Graph_CDUMMY" localSheetId="34" hidden="1">[1]weekly!#REF!</definedName>
    <definedName name="__123Graph_CDUMMY" localSheetId="59" hidden="1">[1]weekly!#REF!</definedName>
    <definedName name="__123Graph_CDUMMY" localSheetId="21" hidden="1">[1]weekly!#REF!</definedName>
    <definedName name="__123Graph_CDUMMY" localSheetId="22" hidden="1">[1]weekly!#REF!</definedName>
    <definedName name="__123Graph_CDUMMY" localSheetId="53" hidden="1">[1]weekly!#REF!</definedName>
    <definedName name="__123Graph_CDUMMY" localSheetId="91" hidden="1">[1]weekly!#REF!</definedName>
    <definedName name="__123Graph_CDUMMY" localSheetId="27" hidden="1">[1]weekly!#REF!</definedName>
    <definedName name="__123Graph_CDUMMY" localSheetId="88" hidden="1">[1]weekly!#REF!</definedName>
    <definedName name="__123Graph_CDUMMY" localSheetId="90" hidden="1">[1]weekly!#REF!</definedName>
    <definedName name="__123Graph_CDUMMY" hidden="1">[1]weekly!#REF!</definedName>
    <definedName name="__123Graph_CMONTHLY" localSheetId="60" hidden="1">[1]weekly!#REF!</definedName>
    <definedName name="__123Graph_CMONTHLY" localSheetId="87" hidden="1">[1]weekly!#REF!</definedName>
    <definedName name="__123Graph_CMONTHLY" localSheetId="36" hidden="1">[1]weekly!#REF!</definedName>
    <definedName name="__123Graph_CMONTHLY" localSheetId="61" hidden="1">[1]weekly!#REF!</definedName>
    <definedName name="__123Graph_CMONTHLY" localSheetId="37" hidden="1">[1]weekly!#REF!</definedName>
    <definedName name="__123Graph_CMONTHLY" localSheetId="30" hidden="1">[1]weekly!#REF!</definedName>
    <definedName name="__123Graph_CMONTHLY" localSheetId="17" hidden="1">[1]weekly!#REF!</definedName>
    <definedName name="__123Graph_CMONTHLY" localSheetId="55" hidden="1">[1]weekly!#REF!</definedName>
    <definedName name="__123Graph_CMONTHLY" localSheetId="57" hidden="1">[1]weekly!#REF!</definedName>
    <definedName name="__123Graph_CMONTHLY" localSheetId="15" hidden="1">[1]weekly!#REF!</definedName>
    <definedName name="__123Graph_CMONTHLY" localSheetId="18" hidden="1">[1]weekly!#REF!</definedName>
    <definedName name="__123Graph_CMONTHLY" localSheetId="56" hidden="1">[1]weekly!#REF!</definedName>
    <definedName name="__123Graph_CMONTHLY" localSheetId="58" hidden="1">[1]weekly!#REF!</definedName>
    <definedName name="__123Graph_CMONTHLY" localSheetId="16" hidden="1">[1]weekly!#REF!</definedName>
    <definedName name="__123Graph_CMONTHLY" localSheetId="19" hidden="1">[1]weekly!#REF!</definedName>
    <definedName name="__123Graph_CMONTHLY" localSheetId="83" hidden="1">[1]weekly!#REF!</definedName>
    <definedName name="__123Graph_CMONTHLY" localSheetId="38" hidden="1">[1]weekly!#REF!</definedName>
    <definedName name="__123Graph_CMONTHLY" localSheetId="39" hidden="1">[1]weekly!#REF!</definedName>
    <definedName name="__123Graph_CMONTHLY" localSheetId="95" hidden="1">[1]weekly!#REF!</definedName>
    <definedName name="__123Graph_CMONTHLY" localSheetId="40" hidden="1">[1]weekly!#REF!</definedName>
    <definedName name="__123Graph_CMONTHLY" localSheetId="92" hidden="1">[1]weekly!#REF!</definedName>
    <definedName name="__123Graph_CMONTHLY" localSheetId="41" hidden="1">[1]weekly!#REF!</definedName>
    <definedName name="__123Graph_CMONTHLY" localSheetId="42" hidden="1">[1]weekly!#REF!</definedName>
    <definedName name="__123Graph_CMONTHLY" localSheetId="43" hidden="1">[1]weekly!#REF!</definedName>
    <definedName name="__123Graph_CMONTHLY" localSheetId="33" hidden="1">[1]weekly!#REF!</definedName>
    <definedName name="__123Graph_CMONTHLY" localSheetId="82" hidden="1">[1]weekly!#REF!</definedName>
    <definedName name="__123Graph_CMONTHLY" localSheetId="44" hidden="1">[1]weekly!#REF!</definedName>
    <definedName name="__123Graph_CMONTHLY" localSheetId="69" hidden="1">[1]weekly!#REF!</definedName>
    <definedName name="__123Graph_CMONTHLY" localSheetId="45" hidden="1">[1]weekly!#REF!</definedName>
    <definedName name="__123Graph_CMONTHLY" localSheetId="24" hidden="1">[1]weekly!#REF!</definedName>
    <definedName name="__123Graph_CMONTHLY" localSheetId="25" hidden="1">[1]weekly!#REF!</definedName>
    <definedName name="__123Graph_CMONTHLY" localSheetId="46" hidden="1">[1]weekly!#REF!</definedName>
    <definedName name="__123Graph_CMONTHLY" localSheetId="14" hidden="1">[1]weekly!#REF!</definedName>
    <definedName name="__123Graph_CMONTHLY" localSheetId="93" hidden="1">[1]weekly!#REF!</definedName>
    <definedName name="__123Graph_CMONTHLY" localSheetId="47" hidden="1">[1]weekly!#REF!</definedName>
    <definedName name="__123Graph_CMONTHLY" localSheetId="48" hidden="1">[1]weekly!#REF!</definedName>
    <definedName name="__123Graph_CMONTHLY" localSheetId="49" hidden="1">[1]weekly!#REF!</definedName>
    <definedName name="__123Graph_CMONTHLY" localSheetId="50" hidden="1">[1]weekly!#REF!</definedName>
    <definedName name="__123Graph_CMONTHLY" localSheetId="54" hidden="1">[1]weekly!#REF!</definedName>
    <definedName name="__123Graph_CMONTHLY" localSheetId="51" hidden="1">[1]weekly!#REF!</definedName>
    <definedName name="__123Graph_CMONTHLY" localSheetId="52" hidden="1">[1]weekly!#REF!</definedName>
    <definedName name="__123Graph_CMONTHLY" localSheetId="34" hidden="1">[1]weekly!#REF!</definedName>
    <definedName name="__123Graph_CMONTHLY" localSheetId="59" hidden="1">[1]weekly!#REF!</definedName>
    <definedName name="__123Graph_CMONTHLY" localSheetId="21" hidden="1">[1]weekly!#REF!</definedName>
    <definedName name="__123Graph_CMONTHLY" localSheetId="22" hidden="1">[1]weekly!#REF!</definedName>
    <definedName name="__123Graph_CMONTHLY" localSheetId="53" hidden="1">[1]weekly!#REF!</definedName>
    <definedName name="__123Graph_CMONTHLY" localSheetId="91" hidden="1">[1]weekly!#REF!</definedName>
    <definedName name="__123Graph_CMONTHLY" localSheetId="27" hidden="1">[1]weekly!#REF!</definedName>
    <definedName name="__123Graph_CMONTHLY" localSheetId="88" hidden="1">[1]weekly!#REF!</definedName>
    <definedName name="__123Graph_CMONTHLY" localSheetId="90" hidden="1">[1]weekly!#REF!</definedName>
    <definedName name="__123Graph_CMONTHLY" hidden="1">[1]weekly!#REF!</definedName>
    <definedName name="__123Graph_CMONTHLY2" localSheetId="60" hidden="1">[1]weekly!#REF!</definedName>
    <definedName name="__123Graph_CMONTHLY2" localSheetId="87" hidden="1">[1]weekly!#REF!</definedName>
    <definedName name="__123Graph_CMONTHLY2" localSheetId="36" hidden="1">[1]weekly!#REF!</definedName>
    <definedName name="__123Graph_CMONTHLY2" localSheetId="61" hidden="1">[1]weekly!#REF!</definedName>
    <definedName name="__123Graph_CMONTHLY2" localSheetId="37" hidden="1">[1]weekly!#REF!</definedName>
    <definedName name="__123Graph_CMONTHLY2" localSheetId="30" hidden="1">[1]weekly!#REF!</definedName>
    <definedName name="__123Graph_CMONTHLY2" localSheetId="17" hidden="1">[1]weekly!#REF!</definedName>
    <definedName name="__123Graph_CMONTHLY2" localSheetId="55" hidden="1">[1]weekly!#REF!</definedName>
    <definedName name="__123Graph_CMONTHLY2" localSheetId="57" hidden="1">[1]weekly!#REF!</definedName>
    <definedName name="__123Graph_CMONTHLY2" localSheetId="15" hidden="1">[1]weekly!#REF!</definedName>
    <definedName name="__123Graph_CMONTHLY2" localSheetId="18" hidden="1">[1]weekly!#REF!</definedName>
    <definedName name="__123Graph_CMONTHLY2" localSheetId="56" hidden="1">[1]weekly!#REF!</definedName>
    <definedName name="__123Graph_CMONTHLY2" localSheetId="58" hidden="1">[1]weekly!#REF!</definedName>
    <definedName name="__123Graph_CMONTHLY2" localSheetId="16" hidden="1">[1]weekly!#REF!</definedName>
    <definedName name="__123Graph_CMONTHLY2" localSheetId="19" hidden="1">[1]weekly!#REF!</definedName>
    <definedName name="__123Graph_CMONTHLY2" localSheetId="83" hidden="1">[1]weekly!#REF!</definedName>
    <definedName name="__123Graph_CMONTHLY2" localSheetId="38" hidden="1">[1]weekly!#REF!</definedName>
    <definedName name="__123Graph_CMONTHLY2" localSheetId="39" hidden="1">[1]weekly!#REF!</definedName>
    <definedName name="__123Graph_CMONTHLY2" localSheetId="95" hidden="1">[1]weekly!#REF!</definedName>
    <definedName name="__123Graph_CMONTHLY2" localSheetId="40" hidden="1">[1]weekly!#REF!</definedName>
    <definedName name="__123Graph_CMONTHLY2" localSheetId="92" hidden="1">[1]weekly!#REF!</definedName>
    <definedName name="__123Graph_CMONTHLY2" localSheetId="41" hidden="1">[1]weekly!#REF!</definedName>
    <definedName name="__123Graph_CMONTHLY2" localSheetId="42" hidden="1">[1]weekly!#REF!</definedName>
    <definedName name="__123Graph_CMONTHLY2" localSheetId="43" hidden="1">[1]weekly!#REF!</definedName>
    <definedName name="__123Graph_CMONTHLY2" localSheetId="33" hidden="1">[1]weekly!#REF!</definedName>
    <definedName name="__123Graph_CMONTHLY2" localSheetId="82" hidden="1">[1]weekly!#REF!</definedName>
    <definedName name="__123Graph_CMONTHLY2" localSheetId="44" hidden="1">[1]weekly!#REF!</definedName>
    <definedName name="__123Graph_CMONTHLY2" localSheetId="69" hidden="1">[1]weekly!#REF!</definedName>
    <definedName name="__123Graph_CMONTHLY2" localSheetId="45" hidden="1">[1]weekly!#REF!</definedName>
    <definedName name="__123Graph_CMONTHLY2" localSheetId="24" hidden="1">[1]weekly!#REF!</definedName>
    <definedName name="__123Graph_CMONTHLY2" localSheetId="25" hidden="1">[1]weekly!#REF!</definedName>
    <definedName name="__123Graph_CMONTHLY2" localSheetId="46" hidden="1">[1]weekly!#REF!</definedName>
    <definedName name="__123Graph_CMONTHLY2" localSheetId="14" hidden="1">[1]weekly!#REF!</definedName>
    <definedName name="__123Graph_CMONTHLY2" localSheetId="93" hidden="1">[1]weekly!#REF!</definedName>
    <definedName name="__123Graph_CMONTHLY2" localSheetId="47" hidden="1">[1]weekly!#REF!</definedName>
    <definedName name="__123Graph_CMONTHLY2" localSheetId="48" hidden="1">[1]weekly!#REF!</definedName>
    <definedName name="__123Graph_CMONTHLY2" localSheetId="49" hidden="1">[1]weekly!#REF!</definedName>
    <definedName name="__123Graph_CMONTHLY2" localSheetId="50" hidden="1">[1]weekly!#REF!</definedName>
    <definedName name="__123Graph_CMONTHLY2" localSheetId="54" hidden="1">[1]weekly!#REF!</definedName>
    <definedName name="__123Graph_CMONTHLY2" localSheetId="51" hidden="1">[1]weekly!#REF!</definedName>
    <definedName name="__123Graph_CMONTHLY2" localSheetId="52" hidden="1">[1]weekly!#REF!</definedName>
    <definedName name="__123Graph_CMONTHLY2" localSheetId="34" hidden="1">[1]weekly!#REF!</definedName>
    <definedName name="__123Graph_CMONTHLY2" localSheetId="59" hidden="1">[1]weekly!#REF!</definedName>
    <definedName name="__123Graph_CMONTHLY2" localSheetId="21" hidden="1">[1]weekly!#REF!</definedName>
    <definedName name="__123Graph_CMONTHLY2" localSheetId="22" hidden="1">[1]weekly!#REF!</definedName>
    <definedName name="__123Graph_CMONTHLY2" localSheetId="53" hidden="1">[1]weekly!#REF!</definedName>
    <definedName name="__123Graph_CMONTHLY2" localSheetId="91" hidden="1">[1]weekly!#REF!</definedName>
    <definedName name="__123Graph_CMONTHLY2" localSheetId="27" hidden="1">[1]weekly!#REF!</definedName>
    <definedName name="__123Graph_CMONTHLY2" localSheetId="88" hidden="1">[1]weekly!#REF!</definedName>
    <definedName name="__123Graph_CMONTHLY2" localSheetId="90" hidden="1">[1]weekly!#REF!</definedName>
    <definedName name="__123Graph_CMONTHLY2" hidden="1">[1]weekly!#REF!</definedName>
    <definedName name="__123Graph_DMONTHLY2" localSheetId="60" hidden="1">[1]weekly!#REF!</definedName>
    <definedName name="__123Graph_DMONTHLY2" localSheetId="87" hidden="1">[1]weekly!#REF!</definedName>
    <definedName name="__123Graph_DMONTHLY2" localSheetId="36" hidden="1">[1]weekly!#REF!</definedName>
    <definedName name="__123Graph_DMONTHLY2" localSheetId="61" hidden="1">[1]weekly!#REF!</definedName>
    <definedName name="__123Graph_DMONTHLY2" localSheetId="37" hidden="1">[1]weekly!#REF!</definedName>
    <definedName name="__123Graph_DMONTHLY2" localSheetId="30" hidden="1">[1]weekly!#REF!</definedName>
    <definedName name="__123Graph_DMONTHLY2" localSheetId="17" hidden="1">[1]weekly!#REF!</definedName>
    <definedName name="__123Graph_DMONTHLY2" localSheetId="55" hidden="1">[1]weekly!#REF!</definedName>
    <definedName name="__123Graph_DMONTHLY2" localSheetId="57" hidden="1">[1]weekly!#REF!</definedName>
    <definedName name="__123Graph_DMONTHLY2" localSheetId="15" hidden="1">[1]weekly!#REF!</definedName>
    <definedName name="__123Graph_DMONTHLY2" localSheetId="18" hidden="1">[1]weekly!#REF!</definedName>
    <definedName name="__123Graph_DMONTHLY2" localSheetId="56" hidden="1">[1]weekly!#REF!</definedName>
    <definedName name="__123Graph_DMONTHLY2" localSheetId="58" hidden="1">[1]weekly!#REF!</definedName>
    <definedName name="__123Graph_DMONTHLY2" localSheetId="16" hidden="1">[1]weekly!#REF!</definedName>
    <definedName name="__123Graph_DMONTHLY2" localSheetId="19" hidden="1">[1]weekly!#REF!</definedName>
    <definedName name="__123Graph_DMONTHLY2" localSheetId="83" hidden="1">[1]weekly!#REF!</definedName>
    <definedName name="__123Graph_DMONTHLY2" localSheetId="38" hidden="1">[1]weekly!#REF!</definedName>
    <definedName name="__123Graph_DMONTHLY2" localSheetId="39" hidden="1">[1]weekly!#REF!</definedName>
    <definedName name="__123Graph_DMONTHLY2" localSheetId="95" hidden="1">[1]weekly!#REF!</definedName>
    <definedName name="__123Graph_DMONTHLY2" localSheetId="40" hidden="1">[1]weekly!#REF!</definedName>
    <definedName name="__123Graph_DMONTHLY2" localSheetId="92" hidden="1">[1]weekly!#REF!</definedName>
    <definedName name="__123Graph_DMONTHLY2" localSheetId="41" hidden="1">[1]weekly!#REF!</definedName>
    <definedName name="__123Graph_DMONTHLY2" localSheetId="42" hidden="1">[1]weekly!#REF!</definedName>
    <definedName name="__123Graph_DMONTHLY2" localSheetId="43" hidden="1">[1]weekly!#REF!</definedName>
    <definedName name="__123Graph_DMONTHLY2" localSheetId="33" hidden="1">[1]weekly!#REF!</definedName>
    <definedName name="__123Graph_DMONTHLY2" localSheetId="82" hidden="1">[1]weekly!#REF!</definedName>
    <definedName name="__123Graph_DMONTHLY2" localSheetId="44" hidden="1">[1]weekly!#REF!</definedName>
    <definedName name="__123Graph_DMONTHLY2" localSheetId="69" hidden="1">[1]weekly!#REF!</definedName>
    <definedName name="__123Graph_DMONTHLY2" localSheetId="45" hidden="1">[1]weekly!#REF!</definedName>
    <definedName name="__123Graph_DMONTHLY2" localSheetId="24" hidden="1">[1]weekly!#REF!</definedName>
    <definedName name="__123Graph_DMONTHLY2" localSheetId="25" hidden="1">[1]weekly!#REF!</definedName>
    <definedName name="__123Graph_DMONTHLY2" localSheetId="46" hidden="1">[1]weekly!#REF!</definedName>
    <definedName name="__123Graph_DMONTHLY2" localSheetId="14" hidden="1">[1]weekly!#REF!</definedName>
    <definedName name="__123Graph_DMONTHLY2" localSheetId="93" hidden="1">[1]weekly!#REF!</definedName>
    <definedName name="__123Graph_DMONTHLY2" localSheetId="47" hidden="1">[1]weekly!#REF!</definedName>
    <definedName name="__123Graph_DMONTHLY2" localSheetId="48" hidden="1">[1]weekly!#REF!</definedName>
    <definedName name="__123Graph_DMONTHLY2" localSheetId="49" hidden="1">[1]weekly!#REF!</definedName>
    <definedName name="__123Graph_DMONTHLY2" localSheetId="50" hidden="1">[1]weekly!#REF!</definedName>
    <definedName name="__123Graph_DMONTHLY2" localSheetId="54" hidden="1">[1]weekly!#REF!</definedName>
    <definedName name="__123Graph_DMONTHLY2" localSheetId="51" hidden="1">[1]weekly!#REF!</definedName>
    <definedName name="__123Graph_DMONTHLY2" localSheetId="52" hidden="1">[1]weekly!#REF!</definedName>
    <definedName name="__123Graph_DMONTHLY2" localSheetId="34" hidden="1">[1]weekly!#REF!</definedName>
    <definedName name="__123Graph_DMONTHLY2" localSheetId="59" hidden="1">[1]weekly!#REF!</definedName>
    <definedName name="__123Graph_DMONTHLY2" localSheetId="21" hidden="1">[1]weekly!#REF!</definedName>
    <definedName name="__123Graph_DMONTHLY2" localSheetId="22" hidden="1">[1]weekly!#REF!</definedName>
    <definedName name="__123Graph_DMONTHLY2" localSheetId="53" hidden="1">[1]weekly!#REF!</definedName>
    <definedName name="__123Graph_DMONTHLY2" localSheetId="91" hidden="1">[1]weekly!#REF!</definedName>
    <definedName name="__123Graph_DMONTHLY2" localSheetId="27" hidden="1">[1]weekly!#REF!</definedName>
    <definedName name="__123Graph_DMONTHLY2" localSheetId="88" hidden="1">[1]weekly!#REF!</definedName>
    <definedName name="__123Graph_DMONTHLY2" localSheetId="90" hidden="1">[1]weekly!#REF!</definedName>
    <definedName name="__123Graph_DMONTHLY2" hidden="1">[1]weekly!#REF!</definedName>
    <definedName name="__123Graph_EMONTHLY2" localSheetId="60" hidden="1">[1]weekly!#REF!</definedName>
    <definedName name="__123Graph_EMONTHLY2" localSheetId="87" hidden="1">[1]weekly!#REF!</definedName>
    <definedName name="__123Graph_EMONTHLY2" localSheetId="36" hidden="1">[1]weekly!#REF!</definedName>
    <definedName name="__123Graph_EMONTHLY2" localSheetId="61" hidden="1">[1]weekly!#REF!</definedName>
    <definedName name="__123Graph_EMONTHLY2" localSheetId="37" hidden="1">[1]weekly!#REF!</definedName>
    <definedName name="__123Graph_EMONTHLY2" localSheetId="30" hidden="1">[1]weekly!#REF!</definedName>
    <definedName name="__123Graph_EMONTHLY2" localSheetId="17" hidden="1">[1]weekly!#REF!</definedName>
    <definedName name="__123Graph_EMONTHLY2" localSheetId="55" hidden="1">[1]weekly!#REF!</definedName>
    <definedName name="__123Graph_EMONTHLY2" localSheetId="57" hidden="1">[1]weekly!#REF!</definedName>
    <definedName name="__123Graph_EMONTHLY2" localSheetId="15" hidden="1">[1]weekly!#REF!</definedName>
    <definedName name="__123Graph_EMONTHLY2" localSheetId="18" hidden="1">[1]weekly!#REF!</definedName>
    <definedName name="__123Graph_EMONTHLY2" localSheetId="56" hidden="1">[1]weekly!#REF!</definedName>
    <definedName name="__123Graph_EMONTHLY2" localSheetId="58" hidden="1">[1]weekly!#REF!</definedName>
    <definedName name="__123Graph_EMONTHLY2" localSheetId="16" hidden="1">[1]weekly!#REF!</definedName>
    <definedName name="__123Graph_EMONTHLY2" localSheetId="19" hidden="1">[1]weekly!#REF!</definedName>
    <definedName name="__123Graph_EMONTHLY2" localSheetId="83" hidden="1">[1]weekly!#REF!</definedName>
    <definedName name="__123Graph_EMONTHLY2" localSheetId="38" hidden="1">[1]weekly!#REF!</definedName>
    <definedName name="__123Graph_EMONTHLY2" localSheetId="39" hidden="1">[1]weekly!#REF!</definedName>
    <definedName name="__123Graph_EMONTHLY2" localSheetId="95" hidden="1">[1]weekly!#REF!</definedName>
    <definedName name="__123Graph_EMONTHLY2" localSheetId="40" hidden="1">[1]weekly!#REF!</definedName>
    <definedName name="__123Graph_EMONTHLY2" localSheetId="92" hidden="1">[1]weekly!#REF!</definedName>
    <definedName name="__123Graph_EMONTHLY2" localSheetId="41" hidden="1">[1]weekly!#REF!</definedName>
    <definedName name="__123Graph_EMONTHLY2" localSheetId="42" hidden="1">[1]weekly!#REF!</definedName>
    <definedName name="__123Graph_EMONTHLY2" localSheetId="43" hidden="1">[1]weekly!#REF!</definedName>
    <definedName name="__123Graph_EMONTHLY2" localSheetId="33" hidden="1">[1]weekly!#REF!</definedName>
    <definedName name="__123Graph_EMONTHLY2" localSheetId="82" hidden="1">[1]weekly!#REF!</definedName>
    <definedName name="__123Graph_EMONTHLY2" localSheetId="44" hidden="1">[1]weekly!#REF!</definedName>
    <definedName name="__123Graph_EMONTHLY2" localSheetId="69" hidden="1">[1]weekly!#REF!</definedName>
    <definedName name="__123Graph_EMONTHLY2" localSheetId="45" hidden="1">[1]weekly!#REF!</definedName>
    <definedName name="__123Graph_EMONTHLY2" localSheetId="24" hidden="1">[1]weekly!#REF!</definedName>
    <definedName name="__123Graph_EMONTHLY2" localSheetId="25" hidden="1">[1]weekly!#REF!</definedName>
    <definedName name="__123Graph_EMONTHLY2" localSheetId="46" hidden="1">[1]weekly!#REF!</definedName>
    <definedName name="__123Graph_EMONTHLY2" localSheetId="14" hidden="1">[1]weekly!#REF!</definedName>
    <definedName name="__123Graph_EMONTHLY2" localSheetId="93" hidden="1">[1]weekly!#REF!</definedName>
    <definedName name="__123Graph_EMONTHLY2" localSheetId="47" hidden="1">[1]weekly!#REF!</definedName>
    <definedName name="__123Graph_EMONTHLY2" localSheetId="48" hidden="1">[1]weekly!#REF!</definedName>
    <definedName name="__123Graph_EMONTHLY2" localSheetId="49" hidden="1">[1]weekly!#REF!</definedName>
    <definedName name="__123Graph_EMONTHLY2" localSheetId="50" hidden="1">[1]weekly!#REF!</definedName>
    <definedName name="__123Graph_EMONTHLY2" localSheetId="54" hidden="1">[1]weekly!#REF!</definedName>
    <definedName name="__123Graph_EMONTHLY2" localSheetId="51" hidden="1">[1]weekly!#REF!</definedName>
    <definedName name="__123Graph_EMONTHLY2" localSheetId="52" hidden="1">[1]weekly!#REF!</definedName>
    <definedName name="__123Graph_EMONTHLY2" localSheetId="34" hidden="1">[1]weekly!#REF!</definedName>
    <definedName name="__123Graph_EMONTHLY2" localSheetId="59" hidden="1">[1]weekly!#REF!</definedName>
    <definedName name="__123Graph_EMONTHLY2" localSheetId="21" hidden="1">[1]weekly!#REF!</definedName>
    <definedName name="__123Graph_EMONTHLY2" localSheetId="22" hidden="1">[1]weekly!#REF!</definedName>
    <definedName name="__123Graph_EMONTHLY2" localSheetId="53" hidden="1">[1]weekly!#REF!</definedName>
    <definedName name="__123Graph_EMONTHLY2" localSheetId="91" hidden="1">[1]weekly!#REF!</definedName>
    <definedName name="__123Graph_EMONTHLY2" localSheetId="27" hidden="1">[1]weekly!#REF!</definedName>
    <definedName name="__123Graph_EMONTHLY2" localSheetId="88" hidden="1">[1]weekly!#REF!</definedName>
    <definedName name="__123Graph_EMONTHLY2" localSheetId="90" hidden="1">[1]weekly!#REF!</definedName>
    <definedName name="__123Graph_EMONTHLY2" hidden="1">[1]weekly!#REF!</definedName>
    <definedName name="__123Graph_FMONTHLY2" localSheetId="60" hidden="1">[1]weekly!#REF!</definedName>
    <definedName name="__123Graph_FMONTHLY2" localSheetId="87" hidden="1">[1]weekly!#REF!</definedName>
    <definedName name="__123Graph_FMONTHLY2" localSheetId="36" hidden="1">[1]weekly!#REF!</definedName>
    <definedName name="__123Graph_FMONTHLY2" localSheetId="61" hidden="1">[1]weekly!#REF!</definedName>
    <definedName name="__123Graph_FMONTHLY2" localSheetId="37" hidden="1">[1]weekly!#REF!</definedName>
    <definedName name="__123Graph_FMONTHLY2" localSheetId="30" hidden="1">[1]weekly!#REF!</definedName>
    <definedName name="__123Graph_FMONTHLY2" localSheetId="17" hidden="1">[1]weekly!#REF!</definedName>
    <definedName name="__123Graph_FMONTHLY2" localSheetId="55" hidden="1">[1]weekly!#REF!</definedName>
    <definedName name="__123Graph_FMONTHLY2" localSheetId="57" hidden="1">[1]weekly!#REF!</definedName>
    <definedName name="__123Graph_FMONTHLY2" localSheetId="15" hidden="1">[1]weekly!#REF!</definedName>
    <definedName name="__123Graph_FMONTHLY2" localSheetId="18" hidden="1">[1]weekly!#REF!</definedName>
    <definedName name="__123Graph_FMONTHLY2" localSheetId="56" hidden="1">[1]weekly!#REF!</definedName>
    <definedName name="__123Graph_FMONTHLY2" localSheetId="58" hidden="1">[1]weekly!#REF!</definedName>
    <definedName name="__123Graph_FMONTHLY2" localSheetId="16" hidden="1">[1]weekly!#REF!</definedName>
    <definedName name="__123Graph_FMONTHLY2" localSheetId="19" hidden="1">[1]weekly!#REF!</definedName>
    <definedName name="__123Graph_FMONTHLY2" localSheetId="83" hidden="1">[1]weekly!#REF!</definedName>
    <definedName name="__123Graph_FMONTHLY2" localSheetId="38" hidden="1">[1]weekly!#REF!</definedName>
    <definedName name="__123Graph_FMONTHLY2" localSheetId="39" hidden="1">[1]weekly!#REF!</definedName>
    <definedName name="__123Graph_FMONTHLY2" localSheetId="95" hidden="1">[1]weekly!#REF!</definedName>
    <definedName name="__123Graph_FMONTHLY2" localSheetId="40" hidden="1">[1]weekly!#REF!</definedName>
    <definedName name="__123Graph_FMONTHLY2" localSheetId="92" hidden="1">[1]weekly!#REF!</definedName>
    <definedName name="__123Graph_FMONTHLY2" localSheetId="41" hidden="1">[1]weekly!#REF!</definedName>
    <definedName name="__123Graph_FMONTHLY2" localSheetId="42" hidden="1">[1]weekly!#REF!</definedName>
    <definedName name="__123Graph_FMONTHLY2" localSheetId="43" hidden="1">[1]weekly!#REF!</definedName>
    <definedName name="__123Graph_FMONTHLY2" localSheetId="33" hidden="1">[1]weekly!#REF!</definedName>
    <definedName name="__123Graph_FMONTHLY2" localSheetId="82" hidden="1">[1]weekly!#REF!</definedName>
    <definedName name="__123Graph_FMONTHLY2" localSheetId="44" hidden="1">[1]weekly!#REF!</definedName>
    <definedName name="__123Graph_FMONTHLY2" localSheetId="69" hidden="1">[1]weekly!#REF!</definedName>
    <definedName name="__123Graph_FMONTHLY2" localSheetId="45" hidden="1">[1]weekly!#REF!</definedName>
    <definedName name="__123Graph_FMONTHLY2" localSheetId="24" hidden="1">[1]weekly!#REF!</definedName>
    <definedName name="__123Graph_FMONTHLY2" localSheetId="25" hidden="1">[1]weekly!#REF!</definedName>
    <definedName name="__123Graph_FMONTHLY2" localSheetId="46" hidden="1">[1]weekly!#REF!</definedName>
    <definedName name="__123Graph_FMONTHLY2" localSheetId="14" hidden="1">[1]weekly!#REF!</definedName>
    <definedName name="__123Graph_FMONTHLY2" localSheetId="93" hidden="1">[1]weekly!#REF!</definedName>
    <definedName name="__123Graph_FMONTHLY2" localSheetId="47" hidden="1">[1]weekly!#REF!</definedName>
    <definedName name="__123Graph_FMONTHLY2" localSheetId="48" hidden="1">[1]weekly!#REF!</definedName>
    <definedName name="__123Graph_FMONTHLY2" localSheetId="49" hidden="1">[1]weekly!#REF!</definedName>
    <definedName name="__123Graph_FMONTHLY2" localSheetId="50" hidden="1">[1]weekly!#REF!</definedName>
    <definedName name="__123Graph_FMONTHLY2" localSheetId="54" hidden="1">[1]weekly!#REF!</definedName>
    <definedName name="__123Graph_FMONTHLY2" localSheetId="51" hidden="1">[1]weekly!#REF!</definedName>
    <definedName name="__123Graph_FMONTHLY2" localSheetId="52" hidden="1">[1]weekly!#REF!</definedName>
    <definedName name="__123Graph_FMONTHLY2" localSheetId="34" hidden="1">[1]weekly!#REF!</definedName>
    <definedName name="__123Graph_FMONTHLY2" localSheetId="59" hidden="1">[1]weekly!#REF!</definedName>
    <definedName name="__123Graph_FMONTHLY2" localSheetId="21" hidden="1">[1]weekly!#REF!</definedName>
    <definedName name="__123Graph_FMONTHLY2" localSheetId="22" hidden="1">[1]weekly!#REF!</definedName>
    <definedName name="__123Graph_FMONTHLY2" localSheetId="53" hidden="1">[1]weekly!#REF!</definedName>
    <definedName name="__123Graph_FMONTHLY2" localSheetId="91" hidden="1">[1]weekly!#REF!</definedName>
    <definedName name="__123Graph_FMONTHLY2" localSheetId="27" hidden="1">[1]weekly!#REF!</definedName>
    <definedName name="__123Graph_FMONTHLY2" localSheetId="88" hidden="1">[1]weekly!#REF!</definedName>
    <definedName name="__123Graph_FMONTHLY2" localSheetId="90" hidden="1">[1]weekly!#REF!</definedName>
    <definedName name="__123Graph_FMONTHLY2" hidden="1">[1]weekly!#REF!</definedName>
    <definedName name="__123Graph_XMAIN" localSheetId="60" hidden="1">[1]weekly!#REF!</definedName>
    <definedName name="__123Graph_XMAIN" localSheetId="87" hidden="1">[1]weekly!#REF!</definedName>
    <definedName name="__123Graph_XMAIN" localSheetId="36" hidden="1">[1]weekly!#REF!</definedName>
    <definedName name="__123Graph_XMAIN" localSheetId="61" hidden="1">[1]weekly!#REF!</definedName>
    <definedName name="__123Graph_XMAIN" localSheetId="37" hidden="1">[1]weekly!#REF!</definedName>
    <definedName name="__123Graph_XMAIN" localSheetId="30" hidden="1">[1]weekly!#REF!</definedName>
    <definedName name="__123Graph_XMAIN" localSheetId="17" hidden="1">[1]weekly!#REF!</definedName>
    <definedName name="__123Graph_XMAIN" localSheetId="55" hidden="1">[1]weekly!#REF!</definedName>
    <definedName name="__123Graph_XMAIN" localSheetId="57" hidden="1">[1]weekly!#REF!</definedName>
    <definedName name="__123Graph_XMAIN" localSheetId="15" hidden="1">[1]weekly!#REF!</definedName>
    <definedName name="__123Graph_XMAIN" localSheetId="18" hidden="1">[1]weekly!#REF!</definedName>
    <definedName name="__123Graph_XMAIN" localSheetId="56" hidden="1">[1]weekly!#REF!</definedName>
    <definedName name="__123Graph_XMAIN" localSheetId="58" hidden="1">[1]weekly!#REF!</definedName>
    <definedName name="__123Graph_XMAIN" localSheetId="16" hidden="1">[1]weekly!#REF!</definedName>
    <definedName name="__123Graph_XMAIN" localSheetId="19" hidden="1">[1]weekly!#REF!</definedName>
    <definedName name="__123Graph_XMAIN" localSheetId="83" hidden="1">[1]weekly!#REF!</definedName>
    <definedName name="__123Graph_XMAIN" localSheetId="38" hidden="1">[1]weekly!#REF!</definedName>
    <definedName name="__123Graph_XMAIN" localSheetId="39" hidden="1">[1]weekly!#REF!</definedName>
    <definedName name="__123Graph_XMAIN" localSheetId="95" hidden="1">[1]weekly!#REF!</definedName>
    <definedName name="__123Graph_XMAIN" localSheetId="40" hidden="1">[1]weekly!#REF!</definedName>
    <definedName name="__123Graph_XMAIN" localSheetId="92" hidden="1">[1]weekly!#REF!</definedName>
    <definedName name="__123Graph_XMAIN" localSheetId="41" hidden="1">[1]weekly!#REF!</definedName>
    <definedName name="__123Graph_XMAIN" localSheetId="42" hidden="1">[1]weekly!#REF!</definedName>
    <definedName name="__123Graph_XMAIN" localSheetId="43" hidden="1">[1]weekly!#REF!</definedName>
    <definedName name="__123Graph_XMAIN" localSheetId="33" hidden="1">[1]weekly!#REF!</definedName>
    <definedName name="__123Graph_XMAIN" localSheetId="82" hidden="1">[1]weekly!#REF!</definedName>
    <definedName name="__123Graph_XMAIN" localSheetId="44" hidden="1">[1]weekly!#REF!</definedName>
    <definedName name="__123Graph_XMAIN" localSheetId="69" hidden="1">[1]weekly!#REF!</definedName>
    <definedName name="__123Graph_XMAIN" localSheetId="45" hidden="1">[1]weekly!#REF!</definedName>
    <definedName name="__123Graph_XMAIN" localSheetId="24" hidden="1">[1]weekly!#REF!</definedName>
    <definedName name="__123Graph_XMAIN" localSheetId="25" hidden="1">[1]weekly!#REF!</definedName>
    <definedName name="__123Graph_XMAIN" localSheetId="46" hidden="1">[1]weekly!#REF!</definedName>
    <definedName name="__123Graph_XMAIN" localSheetId="14" hidden="1">[1]weekly!#REF!</definedName>
    <definedName name="__123Graph_XMAIN" localSheetId="93" hidden="1">[1]weekly!#REF!</definedName>
    <definedName name="__123Graph_XMAIN" localSheetId="47" hidden="1">[1]weekly!#REF!</definedName>
    <definedName name="__123Graph_XMAIN" localSheetId="48" hidden="1">[1]weekly!#REF!</definedName>
    <definedName name="__123Graph_XMAIN" localSheetId="49" hidden="1">[1]weekly!#REF!</definedName>
    <definedName name="__123Graph_XMAIN" localSheetId="50" hidden="1">[1]weekly!#REF!</definedName>
    <definedName name="__123Graph_XMAIN" localSheetId="54" hidden="1">[1]weekly!#REF!</definedName>
    <definedName name="__123Graph_XMAIN" localSheetId="51" hidden="1">[1]weekly!#REF!</definedName>
    <definedName name="__123Graph_XMAIN" localSheetId="52" hidden="1">[1]weekly!#REF!</definedName>
    <definedName name="__123Graph_XMAIN" localSheetId="34" hidden="1">[1]weekly!#REF!</definedName>
    <definedName name="__123Graph_XMAIN" localSheetId="59" hidden="1">[1]weekly!#REF!</definedName>
    <definedName name="__123Graph_XMAIN" localSheetId="21" hidden="1">[1]weekly!#REF!</definedName>
    <definedName name="__123Graph_XMAIN" localSheetId="22" hidden="1">[1]weekly!#REF!</definedName>
    <definedName name="__123Graph_XMAIN" localSheetId="53" hidden="1">[1]weekly!#REF!</definedName>
    <definedName name="__123Graph_XMAIN" localSheetId="91" hidden="1">[1]weekly!#REF!</definedName>
    <definedName name="__123Graph_XMAIN" localSheetId="27" hidden="1">[1]weekly!#REF!</definedName>
    <definedName name="__123Graph_XMAIN" localSheetId="88" hidden="1">[1]weekly!#REF!</definedName>
    <definedName name="__123Graph_XMAIN" localSheetId="90" hidden="1">[1]weekly!#REF!</definedName>
    <definedName name="__123Graph_XMAIN" hidden="1">[1]weekly!#REF!</definedName>
    <definedName name="__123Graph_XMONTHLY" localSheetId="60" hidden="1">[1]weekly!#REF!</definedName>
    <definedName name="__123Graph_XMONTHLY" localSheetId="87" hidden="1">[1]weekly!#REF!</definedName>
    <definedName name="__123Graph_XMONTHLY" localSheetId="36" hidden="1">[1]weekly!#REF!</definedName>
    <definedName name="__123Graph_XMONTHLY" localSheetId="61" hidden="1">[1]weekly!#REF!</definedName>
    <definedName name="__123Graph_XMONTHLY" localSheetId="37" hidden="1">[1]weekly!#REF!</definedName>
    <definedName name="__123Graph_XMONTHLY" localSheetId="30" hidden="1">[1]weekly!#REF!</definedName>
    <definedName name="__123Graph_XMONTHLY" localSheetId="17" hidden="1">[1]weekly!#REF!</definedName>
    <definedName name="__123Graph_XMONTHLY" localSheetId="55" hidden="1">[1]weekly!#REF!</definedName>
    <definedName name="__123Graph_XMONTHLY" localSheetId="57" hidden="1">[1]weekly!#REF!</definedName>
    <definedName name="__123Graph_XMONTHLY" localSheetId="15" hidden="1">[1]weekly!#REF!</definedName>
    <definedName name="__123Graph_XMONTHLY" localSheetId="18" hidden="1">[1]weekly!#REF!</definedName>
    <definedName name="__123Graph_XMONTHLY" localSheetId="56" hidden="1">[1]weekly!#REF!</definedName>
    <definedName name="__123Graph_XMONTHLY" localSheetId="58" hidden="1">[1]weekly!#REF!</definedName>
    <definedName name="__123Graph_XMONTHLY" localSheetId="16" hidden="1">[1]weekly!#REF!</definedName>
    <definedName name="__123Graph_XMONTHLY" localSheetId="19" hidden="1">[1]weekly!#REF!</definedName>
    <definedName name="__123Graph_XMONTHLY" localSheetId="83" hidden="1">[1]weekly!#REF!</definedName>
    <definedName name="__123Graph_XMONTHLY" localSheetId="38" hidden="1">[1]weekly!#REF!</definedName>
    <definedName name="__123Graph_XMONTHLY" localSheetId="39" hidden="1">[1]weekly!#REF!</definedName>
    <definedName name="__123Graph_XMONTHLY" localSheetId="95" hidden="1">[1]weekly!#REF!</definedName>
    <definedName name="__123Graph_XMONTHLY" localSheetId="40" hidden="1">[1]weekly!#REF!</definedName>
    <definedName name="__123Graph_XMONTHLY" localSheetId="92" hidden="1">[1]weekly!#REF!</definedName>
    <definedName name="__123Graph_XMONTHLY" localSheetId="41" hidden="1">[1]weekly!#REF!</definedName>
    <definedName name="__123Graph_XMONTHLY" localSheetId="42" hidden="1">[1]weekly!#REF!</definedName>
    <definedName name="__123Graph_XMONTHLY" localSheetId="43" hidden="1">[1]weekly!#REF!</definedName>
    <definedName name="__123Graph_XMONTHLY" localSheetId="33" hidden="1">[1]weekly!#REF!</definedName>
    <definedName name="__123Graph_XMONTHLY" localSheetId="82" hidden="1">[1]weekly!#REF!</definedName>
    <definedName name="__123Graph_XMONTHLY" localSheetId="44" hidden="1">[1]weekly!#REF!</definedName>
    <definedName name="__123Graph_XMONTHLY" localSheetId="69" hidden="1">[1]weekly!#REF!</definedName>
    <definedName name="__123Graph_XMONTHLY" localSheetId="45" hidden="1">[1]weekly!#REF!</definedName>
    <definedName name="__123Graph_XMONTHLY" localSheetId="24" hidden="1">[1]weekly!#REF!</definedName>
    <definedName name="__123Graph_XMONTHLY" localSheetId="25" hidden="1">[1]weekly!#REF!</definedName>
    <definedName name="__123Graph_XMONTHLY" localSheetId="46" hidden="1">[1]weekly!#REF!</definedName>
    <definedName name="__123Graph_XMONTHLY" localSheetId="14" hidden="1">[1]weekly!#REF!</definedName>
    <definedName name="__123Graph_XMONTHLY" localSheetId="93" hidden="1">[1]weekly!#REF!</definedName>
    <definedName name="__123Graph_XMONTHLY" localSheetId="47" hidden="1">[1]weekly!#REF!</definedName>
    <definedName name="__123Graph_XMONTHLY" localSheetId="48" hidden="1">[1]weekly!#REF!</definedName>
    <definedName name="__123Graph_XMONTHLY" localSheetId="49" hidden="1">[1]weekly!#REF!</definedName>
    <definedName name="__123Graph_XMONTHLY" localSheetId="50" hidden="1">[1]weekly!#REF!</definedName>
    <definedName name="__123Graph_XMONTHLY" localSheetId="54" hidden="1">[1]weekly!#REF!</definedName>
    <definedName name="__123Graph_XMONTHLY" localSheetId="51" hidden="1">[1]weekly!#REF!</definedName>
    <definedName name="__123Graph_XMONTHLY" localSheetId="52" hidden="1">[1]weekly!#REF!</definedName>
    <definedName name="__123Graph_XMONTHLY" localSheetId="34" hidden="1">[1]weekly!#REF!</definedName>
    <definedName name="__123Graph_XMONTHLY" localSheetId="59" hidden="1">[1]weekly!#REF!</definedName>
    <definedName name="__123Graph_XMONTHLY" localSheetId="21" hidden="1">[1]weekly!#REF!</definedName>
    <definedName name="__123Graph_XMONTHLY" localSheetId="22" hidden="1">[1]weekly!#REF!</definedName>
    <definedName name="__123Graph_XMONTHLY" localSheetId="53" hidden="1">[1]weekly!#REF!</definedName>
    <definedName name="__123Graph_XMONTHLY" localSheetId="91" hidden="1">[1]weekly!#REF!</definedName>
    <definedName name="__123Graph_XMONTHLY" localSheetId="27" hidden="1">[1]weekly!#REF!</definedName>
    <definedName name="__123Graph_XMONTHLY" localSheetId="88" hidden="1">[1]weekly!#REF!</definedName>
    <definedName name="__123Graph_XMONTHLY" localSheetId="90" hidden="1">[1]weekly!#REF!</definedName>
    <definedName name="__123Graph_XMONTHLY" hidden="1">[1]weekly!#REF!</definedName>
    <definedName name="__123Graph_XMONTHLY2" localSheetId="60" hidden="1">[1]weekly!#REF!</definedName>
    <definedName name="__123Graph_XMONTHLY2" localSheetId="87" hidden="1">[1]weekly!#REF!</definedName>
    <definedName name="__123Graph_XMONTHLY2" localSheetId="36" hidden="1">[1]weekly!#REF!</definedName>
    <definedName name="__123Graph_XMONTHLY2" localSheetId="61" hidden="1">[1]weekly!#REF!</definedName>
    <definedName name="__123Graph_XMONTHLY2" localSheetId="37" hidden="1">[1]weekly!#REF!</definedName>
    <definedName name="__123Graph_XMONTHLY2" localSheetId="30" hidden="1">[1]weekly!#REF!</definedName>
    <definedName name="__123Graph_XMONTHLY2" localSheetId="17" hidden="1">[1]weekly!#REF!</definedName>
    <definedName name="__123Graph_XMONTHLY2" localSheetId="55" hidden="1">[1]weekly!#REF!</definedName>
    <definedName name="__123Graph_XMONTHLY2" localSheetId="57" hidden="1">[1]weekly!#REF!</definedName>
    <definedName name="__123Graph_XMONTHLY2" localSheetId="15" hidden="1">[1]weekly!#REF!</definedName>
    <definedName name="__123Graph_XMONTHLY2" localSheetId="18" hidden="1">[1]weekly!#REF!</definedName>
    <definedName name="__123Graph_XMONTHLY2" localSheetId="56" hidden="1">[1]weekly!#REF!</definedName>
    <definedName name="__123Graph_XMONTHLY2" localSheetId="58" hidden="1">[1]weekly!#REF!</definedName>
    <definedName name="__123Graph_XMONTHLY2" localSheetId="16" hidden="1">[1]weekly!#REF!</definedName>
    <definedName name="__123Graph_XMONTHLY2" localSheetId="19" hidden="1">[1]weekly!#REF!</definedName>
    <definedName name="__123Graph_XMONTHLY2" localSheetId="83" hidden="1">[1]weekly!#REF!</definedName>
    <definedName name="__123Graph_XMONTHLY2" localSheetId="38" hidden="1">[1]weekly!#REF!</definedName>
    <definedName name="__123Graph_XMONTHLY2" localSheetId="39" hidden="1">[1]weekly!#REF!</definedName>
    <definedName name="__123Graph_XMONTHLY2" localSheetId="95" hidden="1">[1]weekly!#REF!</definedName>
    <definedName name="__123Graph_XMONTHLY2" localSheetId="40" hidden="1">[1]weekly!#REF!</definedName>
    <definedName name="__123Graph_XMONTHLY2" localSheetId="92" hidden="1">[1]weekly!#REF!</definedName>
    <definedName name="__123Graph_XMONTHLY2" localSheetId="41" hidden="1">[1]weekly!#REF!</definedName>
    <definedName name="__123Graph_XMONTHLY2" localSheetId="42" hidden="1">[1]weekly!#REF!</definedName>
    <definedName name="__123Graph_XMONTHLY2" localSheetId="43" hidden="1">[1]weekly!#REF!</definedName>
    <definedName name="__123Graph_XMONTHLY2" localSheetId="33" hidden="1">[1]weekly!#REF!</definedName>
    <definedName name="__123Graph_XMONTHLY2" localSheetId="82" hidden="1">[1]weekly!#REF!</definedName>
    <definedName name="__123Graph_XMONTHLY2" localSheetId="44" hidden="1">[1]weekly!#REF!</definedName>
    <definedName name="__123Graph_XMONTHLY2" localSheetId="69" hidden="1">[1]weekly!#REF!</definedName>
    <definedName name="__123Graph_XMONTHLY2" localSheetId="45" hidden="1">[1]weekly!#REF!</definedName>
    <definedName name="__123Graph_XMONTHLY2" localSheetId="24" hidden="1">[1]weekly!#REF!</definedName>
    <definedName name="__123Graph_XMONTHLY2" localSheetId="25" hidden="1">[1]weekly!#REF!</definedName>
    <definedName name="__123Graph_XMONTHLY2" localSheetId="46" hidden="1">[1]weekly!#REF!</definedName>
    <definedName name="__123Graph_XMONTHLY2" localSheetId="14" hidden="1">[1]weekly!#REF!</definedName>
    <definedName name="__123Graph_XMONTHLY2" localSheetId="93" hidden="1">[1]weekly!#REF!</definedName>
    <definedName name="__123Graph_XMONTHLY2" localSheetId="47" hidden="1">[1]weekly!#REF!</definedName>
    <definedName name="__123Graph_XMONTHLY2" localSheetId="48" hidden="1">[1]weekly!#REF!</definedName>
    <definedName name="__123Graph_XMONTHLY2" localSheetId="49" hidden="1">[1]weekly!#REF!</definedName>
    <definedName name="__123Graph_XMONTHLY2" localSheetId="50" hidden="1">[1]weekly!#REF!</definedName>
    <definedName name="__123Graph_XMONTHLY2" localSheetId="54" hidden="1">[1]weekly!#REF!</definedName>
    <definedName name="__123Graph_XMONTHLY2" localSheetId="51" hidden="1">[1]weekly!#REF!</definedName>
    <definedName name="__123Graph_XMONTHLY2" localSheetId="52" hidden="1">[1]weekly!#REF!</definedName>
    <definedName name="__123Graph_XMONTHLY2" localSheetId="34" hidden="1">[1]weekly!#REF!</definedName>
    <definedName name="__123Graph_XMONTHLY2" localSheetId="59" hidden="1">[1]weekly!#REF!</definedName>
    <definedName name="__123Graph_XMONTHLY2" localSheetId="21" hidden="1">[1]weekly!#REF!</definedName>
    <definedName name="__123Graph_XMONTHLY2" localSheetId="22" hidden="1">[1]weekly!#REF!</definedName>
    <definedName name="__123Graph_XMONTHLY2" localSheetId="53" hidden="1">[1]weekly!#REF!</definedName>
    <definedName name="__123Graph_XMONTHLY2" localSheetId="91" hidden="1">[1]weekly!#REF!</definedName>
    <definedName name="__123Graph_XMONTHLY2" localSheetId="27" hidden="1">[1]weekly!#REF!</definedName>
    <definedName name="__123Graph_XMONTHLY2" localSheetId="88" hidden="1">[1]weekly!#REF!</definedName>
    <definedName name="__123Graph_XMONTHLY2" localSheetId="90" hidden="1">[1]weekly!#REF!</definedName>
    <definedName name="__123Graph_XMONTHLY2" hidden="1">[1]weekly!#REF!</definedName>
    <definedName name="aaa" localSheetId="60" hidden="1">[1]weekly!#REF!</definedName>
    <definedName name="aaa" localSheetId="87" hidden="1">[1]weekly!#REF!</definedName>
    <definedName name="aaa" localSheetId="36" hidden="1">[1]weekly!#REF!</definedName>
    <definedName name="aaa" localSheetId="61" hidden="1">[1]weekly!#REF!</definedName>
    <definedName name="aaa" localSheetId="37" hidden="1">[1]weekly!#REF!</definedName>
    <definedName name="aaa" localSheetId="17" hidden="1">[1]weekly!#REF!</definedName>
    <definedName name="aaa" localSheetId="57" hidden="1">[1]weekly!#REF!</definedName>
    <definedName name="aaa" localSheetId="56" hidden="1">[1]weekly!#REF!</definedName>
    <definedName name="aaa" localSheetId="58" hidden="1">[1]weekly!#REF!</definedName>
    <definedName name="aaa" localSheetId="19" hidden="1">[1]weekly!#REF!</definedName>
    <definedName name="aaa" localSheetId="83" hidden="1">[1]weekly!#REF!</definedName>
    <definedName name="aaa" localSheetId="38" hidden="1">[1]weekly!#REF!</definedName>
    <definedName name="aaa" localSheetId="39" hidden="1">[1]weekly!#REF!</definedName>
    <definedName name="aaa" localSheetId="95" hidden="1">[1]weekly!#REF!</definedName>
    <definedName name="aaa" localSheetId="40" hidden="1">[1]weekly!#REF!</definedName>
    <definedName name="aaa" localSheetId="92" hidden="1">[1]weekly!#REF!</definedName>
    <definedName name="aaa" localSheetId="41" hidden="1">[1]weekly!#REF!</definedName>
    <definedName name="aaa" localSheetId="42" hidden="1">[1]weekly!#REF!</definedName>
    <definedName name="aaa" localSheetId="43" hidden="1">[1]weekly!#REF!</definedName>
    <definedName name="aaa" localSheetId="33" hidden="1">[1]weekly!#REF!</definedName>
    <definedName name="aaa" localSheetId="82" hidden="1">[1]weekly!#REF!</definedName>
    <definedName name="aaa" localSheetId="44" hidden="1">[1]weekly!#REF!</definedName>
    <definedName name="aaa" localSheetId="69" hidden="1">[1]weekly!#REF!</definedName>
    <definedName name="aaa" localSheetId="45" hidden="1">[1]weekly!#REF!</definedName>
    <definedName name="aaa" localSheetId="24" hidden="1">[1]weekly!#REF!</definedName>
    <definedName name="aaa" localSheetId="25" hidden="1">[1]weekly!#REF!</definedName>
    <definedName name="aaa" localSheetId="46" hidden="1">[1]weekly!#REF!</definedName>
    <definedName name="aaa" localSheetId="14" hidden="1">[1]weekly!#REF!</definedName>
    <definedName name="aaa" localSheetId="93" hidden="1">[1]weekly!#REF!</definedName>
    <definedName name="aaa" localSheetId="2" hidden="1">[1]weekly!#REF!</definedName>
    <definedName name="aaa" localSheetId="47" hidden="1">[1]weekly!#REF!</definedName>
    <definedName name="aaa" localSheetId="48" hidden="1">[1]weekly!#REF!</definedName>
    <definedName name="aaa" localSheetId="49" hidden="1">[1]weekly!#REF!</definedName>
    <definedName name="aaa" localSheetId="50" hidden="1">[1]weekly!#REF!</definedName>
    <definedName name="aaa" localSheetId="54" hidden="1">[1]weekly!#REF!</definedName>
    <definedName name="aaa" localSheetId="51" hidden="1">[1]weekly!#REF!</definedName>
    <definedName name="aaa" localSheetId="52" hidden="1">[1]weekly!#REF!</definedName>
    <definedName name="aaa" localSheetId="34" hidden="1">[1]weekly!#REF!</definedName>
    <definedName name="aaa" localSheetId="59" hidden="1">[1]weekly!#REF!</definedName>
    <definedName name="aaa" localSheetId="21" hidden="1">[1]weekly!#REF!</definedName>
    <definedName name="aaa" localSheetId="22" hidden="1">[1]weekly!#REF!</definedName>
    <definedName name="aaa" localSheetId="53" hidden="1">[1]weekly!#REF!</definedName>
    <definedName name="aaa" localSheetId="91" hidden="1">[1]weekly!#REF!</definedName>
    <definedName name="aaa" localSheetId="88" hidden="1">[1]weekly!#REF!</definedName>
    <definedName name="aaa" localSheetId="90" hidden="1">[1]weekly!#REF!</definedName>
    <definedName name="aaa" hidden="1">[1]weekly!#REF!</definedName>
    <definedName name="aaaaa" localSheetId="60" hidden="1">[1]weekly!#REF!</definedName>
    <definedName name="aaaaa" localSheetId="87" hidden="1">[1]weekly!#REF!</definedName>
    <definedName name="aaaaa" localSheetId="36" hidden="1">[1]weekly!#REF!</definedName>
    <definedName name="aaaaa" localSheetId="61" hidden="1">[1]weekly!#REF!</definedName>
    <definedName name="aaaaa" localSheetId="37" hidden="1">[1]weekly!#REF!</definedName>
    <definedName name="aaaaa" localSheetId="57" hidden="1">[1]weekly!#REF!</definedName>
    <definedName name="aaaaa" localSheetId="56" hidden="1">[1]weekly!#REF!</definedName>
    <definedName name="aaaaa" localSheetId="58" hidden="1">[1]weekly!#REF!</definedName>
    <definedName name="aaaaa" localSheetId="83" hidden="1">[1]weekly!#REF!</definedName>
    <definedName name="aaaaa" localSheetId="38" hidden="1">[1]weekly!#REF!</definedName>
    <definedName name="aaaaa" localSheetId="39" hidden="1">[1]weekly!#REF!</definedName>
    <definedName name="aaaaa" localSheetId="95" hidden="1">[1]weekly!#REF!</definedName>
    <definedName name="aaaaa" localSheetId="40" hidden="1">[1]weekly!#REF!</definedName>
    <definedName name="aaaaa" localSheetId="92" hidden="1">[1]weekly!#REF!</definedName>
    <definedName name="aaaaa" localSheetId="41" hidden="1">[1]weekly!#REF!</definedName>
    <definedName name="aaaaa" localSheetId="42" hidden="1">[1]weekly!#REF!</definedName>
    <definedName name="aaaaa" localSheetId="43" hidden="1">[1]weekly!#REF!</definedName>
    <definedName name="aaaaa" localSheetId="33" hidden="1">[1]weekly!#REF!</definedName>
    <definedName name="aaaaa" localSheetId="82" hidden="1">[1]weekly!#REF!</definedName>
    <definedName name="aaaaa" localSheetId="44" hidden="1">[1]weekly!#REF!</definedName>
    <definedName name="aaaaa" localSheetId="69" hidden="1">[1]weekly!#REF!</definedName>
    <definedName name="aaaaa" localSheetId="45" hidden="1">[1]weekly!#REF!</definedName>
    <definedName name="aaaaa" localSheetId="24" hidden="1">[1]weekly!#REF!</definedName>
    <definedName name="aaaaa" localSheetId="25" hidden="1">[1]weekly!#REF!</definedName>
    <definedName name="aaaaa" localSheetId="46" hidden="1">[1]weekly!#REF!</definedName>
    <definedName name="aaaaa" localSheetId="14" hidden="1">[1]weekly!#REF!</definedName>
    <definedName name="aaaaa" localSheetId="93" hidden="1">[1]weekly!#REF!</definedName>
    <definedName name="aaaaa" localSheetId="47" hidden="1">[1]weekly!#REF!</definedName>
    <definedName name="aaaaa" localSheetId="48" hidden="1">[1]weekly!#REF!</definedName>
    <definedName name="aaaaa" localSheetId="49" hidden="1">[1]weekly!#REF!</definedName>
    <definedName name="aaaaa" localSheetId="50" hidden="1">[1]weekly!#REF!</definedName>
    <definedName name="aaaaa" localSheetId="54" hidden="1">[1]weekly!#REF!</definedName>
    <definedName name="aaaaa" localSheetId="51" hidden="1">[1]weekly!#REF!</definedName>
    <definedName name="aaaaa" localSheetId="52" hidden="1">[1]weekly!#REF!</definedName>
    <definedName name="aaaaa" localSheetId="34" hidden="1">[1]weekly!#REF!</definedName>
    <definedName name="aaaaa" localSheetId="59" hidden="1">[1]weekly!#REF!</definedName>
    <definedName name="aaaaa" localSheetId="53" hidden="1">[1]weekly!#REF!</definedName>
    <definedName name="aaaaa" localSheetId="91" hidden="1">[1]weekly!#REF!</definedName>
    <definedName name="aaaaa" localSheetId="88" hidden="1">[1]weekly!#REF!</definedName>
    <definedName name="aaaaa" localSheetId="90" hidden="1">[1]weekly!#REF!</definedName>
    <definedName name="aaaaa" hidden="1">[1]weekly!#REF!</definedName>
    <definedName name="bb" localSheetId="60" hidden="1">[1]weekly!#REF!</definedName>
    <definedName name="bb" localSheetId="87" hidden="1">[1]weekly!#REF!</definedName>
    <definedName name="bb" localSheetId="36" hidden="1">[1]weekly!#REF!</definedName>
    <definedName name="bb" localSheetId="61" hidden="1">[1]weekly!#REF!</definedName>
    <definedName name="bb" localSheetId="37" hidden="1">[1]weekly!#REF!</definedName>
    <definedName name="bb" localSheetId="57" hidden="1">[1]weekly!#REF!</definedName>
    <definedName name="bb" localSheetId="56" hidden="1">[1]weekly!#REF!</definedName>
    <definedName name="bb" localSheetId="58" hidden="1">[1]weekly!#REF!</definedName>
    <definedName name="bb" localSheetId="83" hidden="1">[1]weekly!#REF!</definedName>
    <definedName name="bb" localSheetId="38" hidden="1">[1]weekly!#REF!</definedName>
    <definedName name="bb" localSheetId="39" hidden="1">[1]weekly!#REF!</definedName>
    <definedName name="bb" localSheetId="95" hidden="1">[1]weekly!#REF!</definedName>
    <definedName name="bb" localSheetId="40" hidden="1">[1]weekly!#REF!</definedName>
    <definedName name="bb" localSheetId="92" hidden="1">[1]weekly!#REF!</definedName>
    <definedName name="bb" localSheetId="41" hidden="1">[1]weekly!#REF!</definedName>
    <definedName name="bb" localSheetId="42" hidden="1">[1]weekly!#REF!</definedName>
    <definedName name="bb" localSheetId="43" hidden="1">[1]weekly!#REF!</definedName>
    <definedName name="bb" localSheetId="33" hidden="1">[1]weekly!#REF!</definedName>
    <definedName name="bb" localSheetId="82" hidden="1">[1]weekly!#REF!</definedName>
    <definedName name="bb" localSheetId="44" hidden="1">[1]weekly!#REF!</definedName>
    <definedName name="bb" localSheetId="69" hidden="1">[1]weekly!#REF!</definedName>
    <definedName name="bb" localSheetId="45" hidden="1">[1]weekly!#REF!</definedName>
    <definedName name="bb" localSheetId="24" hidden="1">[1]weekly!#REF!</definedName>
    <definedName name="bb" localSheetId="25" hidden="1">[1]weekly!#REF!</definedName>
    <definedName name="bb" localSheetId="46" hidden="1">[1]weekly!#REF!</definedName>
    <definedName name="bb" localSheetId="14" hidden="1">[1]weekly!#REF!</definedName>
    <definedName name="bb" localSheetId="93" hidden="1">[1]weekly!#REF!</definedName>
    <definedName name="bb" localSheetId="2" hidden="1">[1]weekly!#REF!</definedName>
    <definedName name="bb" localSheetId="47" hidden="1">[1]weekly!#REF!</definedName>
    <definedName name="bb" localSheetId="48" hidden="1">[1]weekly!#REF!</definedName>
    <definedName name="bb" localSheetId="49" hidden="1">[1]weekly!#REF!</definedName>
    <definedName name="bb" localSheetId="50" hidden="1">[1]weekly!#REF!</definedName>
    <definedName name="bb" localSheetId="54" hidden="1">[1]weekly!#REF!</definedName>
    <definedName name="bb" localSheetId="51" hidden="1">[1]weekly!#REF!</definedName>
    <definedName name="bb" localSheetId="52" hidden="1">[1]weekly!#REF!</definedName>
    <definedName name="bb" localSheetId="34" hidden="1">[1]weekly!#REF!</definedName>
    <definedName name="bb" localSheetId="59" hidden="1">[1]weekly!#REF!</definedName>
    <definedName name="bb" localSheetId="53" hidden="1">[1]weekly!#REF!</definedName>
    <definedName name="bb" localSheetId="91" hidden="1">[1]weekly!#REF!</definedName>
    <definedName name="bb" localSheetId="88" hidden="1">[1]weekly!#REF!</definedName>
    <definedName name="bb" localSheetId="90" hidden="1">[1]weekly!#REF!</definedName>
    <definedName name="bb" hidden="1">[1]weekly!#REF!</definedName>
    <definedName name="bbbb" localSheetId="60" hidden="1">[1]weekly!#REF!</definedName>
    <definedName name="bbbb" localSheetId="87" hidden="1">[1]weekly!#REF!</definedName>
    <definedName name="bbbb" localSheetId="36" hidden="1">[1]weekly!#REF!</definedName>
    <definedName name="bbbb" localSheetId="61" hidden="1">[1]weekly!#REF!</definedName>
    <definedName name="bbbb" localSheetId="37" hidden="1">[1]weekly!#REF!</definedName>
    <definedName name="bbbb" localSheetId="57" hidden="1">[1]weekly!#REF!</definedName>
    <definedName name="bbbb" localSheetId="56" hidden="1">[1]weekly!#REF!</definedName>
    <definedName name="bbbb" localSheetId="58" hidden="1">[1]weekly!#REF!</definedName>
    <definedName name="bbbb" localSheetId="83" hidden="1">[1]weekly!#REF!</definedName>
    <definedName name="bbbb" localSheetId="38" hidden="1">[1]weekly!#REF!</definedName>
    <definedName name="bbbb" localSheetId="39" hidden="1">[1]weekly!#REF!</definedName>
    <definedName name="bbbb" localSheetId="95" hidden="1">[1]weekly!#REF!</definedName>
    <definedName name="bbbb" localSheetId="40" hidden="1">[1]weekly!#REF!</definedName>
    <definedName name="bbbb" localSheetId="92" hidden="1">[1]weekly!#REF!</definedName>
    <definedName name="bbbb" localSheetId="41" hidden="1">[1]weekly!#REF!</definedName>
    <definedName name="bbbb" localSheetId="42" hidden="1">[1]weekly!#REF!</definedName>
    <definedName name="bbbb" localSheetId="43" hidden="1">[1]weekly!#REF!</definedName>
    <definedName name="bbbb" localSheetId="33" hidden="1">[1]weekly!#REF!</definedName>
    <definedName name="bbbb" localSheetId="82" hidden="1">[1]weekly!#REF!</definedName>
    <definedName name="bbbb" localSheetId="44" hidden="1">[1]weekly!#REF!</definedName>
    <definedName name="bbbb" localSheetId="69" hidden="1">[1]weekly!#REF!</definedName>
    <definedName name="bbbb" localSheetId="45" hidden="1">[1]weekly!#REF!</definedName>
    <definedName name="bbbb" localSheetId="24" hidden="1">[1]weekly!#REF!</definedName>
    <definedName name="bbbb" localSheetId="25" hidden="1">[1]weekly!#REF!</definedName>
    <definedName name="bbbb" localSheetId="46" hidden="1">[1]weekly!#REF!</definedName>
    <definedName name="bbbb" localSheetId="14" hidden="1">[1]weekly!#REF!</definedName>
    <definedName name="bbbb" localSheetId="93" hidden="1">[1]weekly!#REF!</definedName>
    <definedName name="bbbb" localSheetId="47" hidden="1">[1]weekly!#REF!</definedName>
    <definedName name="bbbb" localSheetId="48" hidden="1">[1]weekly!#REF!</definedName>
    <definedName name="bbbb" localSheetId="49" hidden="1">[1]weekly!#REF!</definedName>
    <definedName name="bbbb" localSheetId="50" hidden="1">[1]weekly!#REF!</definedName>
    <definedName name="bbbb" localSheetId="54" hidden="1">[1]weekly!#REF!</definedName>
    <definedName name="bbbb" localSheetId="51" hidden="1">[1]weekly!#REF!</definedName>
    <definedName name="bbbb" localSheetId="52" hidden="1">[1]weekly!#REF!</definedName>
    <definedName name="bbbb" localSheetId="34" hidden="1">[1]weekly!#REF!</definedName>
    <definedName name="bbbb" localSheetId="59" hidden="1">[1]weekly!#REF!</definedName>
    <definedName name="bbbb" localSheetId="53" hidden="1">[1]weekly!#REF!</definedName>
    <definedName name="bbbb" localSheetId="91" hidden="1">[1]weekly!#REF!</definedName>
    <definedName name="bbbb" localSheetId="88" hidden="1">[1]weekly!#REF!</definedName>
    <definedName name="bbbb" localSheetId="90" hidden="1">[1]weekly!#REF!</definedName>
    <definedName name="bbbb" hidden="1">[1]weekly!#REF!</definedName>
    <definedName name="cc" localSheetId="60" hidden="1">[1]weekly!#REF!</definedName>
    <definedName name="cc" localSheetId="87" hidden="1">[1]weekly!#REF!</definedName>
    <definedName name="cc" localSheetId="36" hidden="1">[1]weekly!#REF!</definedName>
    <definedName name="cc" localSheetId="61" hidden="1">[1]weekly!#REF!</definedName>
    <definedName name="cc" localSheetId="37" hidden="1">[1]weekly!#REF!</definedName>
    <definedName name="cc" localSheetId="57" hidden="1">[1]weekly!#REF!</definedName>
    <definedName name="cc" localSheetId="56" hidden="1">[1]weekly!#REF!</definedName>
    <definedName name="cc" localSheetId="58" hidden="1">[1]weekly!#REF!</definedName>
    <definedName name="cc" localSheetId="83" hidden="1">[1]weekly!#REF!</definedName>
    <definedName name="cc" localSheetId="38" hidden="1">[1]weekly!#REF!</definedName>
    <definedName name="cc" localSheetId="39" hidden="1">[1]weekly!#REF!</definedName>
    <definedName name="cc" localSheetId="95" hidden="1">[1]weekly!#REF!</definedName>
    <definedName name="cc" localSheetId="40" hidden="1">[1]weekly!#REF!</definedName>
    <definedName name="cc" localSheetId="92" hidden="1">[1]weekly!#REF!</definedName>
    <definedName name="cc" localSheetId="41" hidden="1">[1]weekly!#REF!</definedName>
    <definedName name="cc" localSheetId="42" hidden="1">[1]weekly!#REF!</definedName>
    <definedName name="cc" localSheetId="43" hidden="1">[1]weekly!#REF!</definedName>
    <definedName name="cc" localSheetId="33" hidden="1">[1]weekly!#REF!</definedName>
    <definedName name="cc" localSheetId="82" hidden="1">[1]weekly!#REF!</definedName>
    <definedName name="cc" localSheetId="44" hidden="1">[1]weekly!#REF!</definedName>
    <definedName name="cc" localSheetId="69" hidden="1">[1]weekly!#REF!</definedName>
    <definedName name="cc" localSheetId="45" hidden="1">[1]weekly!#REF!</definedName>
    <definedName name="cc" localSheetId="24" hidden="1">[1]weekly!#REF!</definedName>
    <definedName name="cc" localSheetId="25" hidden="1">[1]weekly!#REF!</definedName>
    <definedName name="cc" localSheetId="46" hidden="1">[1]weekly!#REF!</definedName>
    <definedName name="cc" localSheetId="14" hidden="1">[1]weekly!#REF!</definedName>
    <definedName name="cc" localSheetId="93" hidden="1">[1]weekly!#REF!</definedName>
    <definedName name="cc" localSheetId="2" hidden="1">[1]weekly!#REF!</definedName>
    <definedName name="cc" localSheetId="47" hidden="1">[1]weekly!#REF!</definedName>
    <definedName name="cc" localSheetId="48" hidden="1">[1]weekly!#REF!</definedName>
    <definedName name="cc" localSheetId="49" hidden="1">[1]weekly!#REF!</definedName>
    <definedName name="cc" localSheetId="50" hidden="1">[1]weekly!#REF!</definedName>
    <definedName name="cc" localSheetId="54" hidden="1">[1]weekly!#REF!</definedName>
    <definedName name="cc" localSheetId="51" hidden="1">[1]weekly!#REF!</definedName>
    <definedName name="cc" localSheetId="52" hidden="1">[1]weekly!#REF!</definedName>
    <definedName name="cc" localSheetId="34" hidden="1">[1]weekly!#REF!</definedName>
    <definedName name="cc" localSheetId="59" hidden="1">[1]weekly!#REF!</definedName>
    <definedName name="cc" localSheetId="53" hidden="1">[1]weekly!#REF!</definedName>
    <definedName name="cc" localSheetId="91" hidden="1">[1]weekly!#REF!</definedName>
    <definedName name="cc" localSheetId="88" hidden="1">[1]weekly!#REF!</definedName>
    <definedName name="cc" localSheetId="90" hidden="1">[1]weekly!#REF!</definedName>
    <definedName name="cc" hidden="1">[1]weekly!#REF!</definedName>
    <definedName name="cccc" localSheetId="60" hidden="1">[1]weekly!#REF!</definedName>
    <definedName name="cccc" localSheetId="87" hidden="1">[1]weekly!#REF!</definedName>
    <definedName name="cccc" localSheetId="36" hidden="1">[1]weekly!#REF!</definedName>
    <definedName name="cccc" localSheetId="61" hidden="1">[1]weekly!#REF!</definedName>
    <definedName name="cccc" localSheetId="37" hidden="1">[1]weekly!#REF!</definedName>
    <definedName name="cccc" localSheetId="57" hidden="1">[1]weekly!#REF!</definedName>
    <definedName name="cccc" localSheetId="56" hidden="1">[1]weekly!#REF!</definedName>
    <definedName name="cccc" localSheetId="58" hidden="1">[1]weekly!#REF!</definedName>
    <definedName name="cccc" localSheetId="83" hidden="1">[1]weekly!#REF!</definedName>
    <definedName name="cccc" localSheetId="38" hidden="1">[1]weekly!#REF!</definedName>
    <definedName name="cccc" localSheetId="39" hidden="1">[1]weekly!#REF!</definedName>
    <definedName name="cccc" localSheetId="95" hidden="1">[1]weekly!#REF!</definedName>
    <definedName name="cccc" localSheetId="40" hidden="1">[1]weekly!#REF!</definedName>
    <definedName name="cccc" localSheetId="92" hidden="1">[1]weekly!#REF!</definedName>
    <definedName name="cccc" localSheetId="41" hidden="1">[1]weekly!#REF!</definedName>
    <definedName name="cccc" localSheetId="42" hidden="1">[1]weekly!#REF!</definedName>
    <definedName name="cccc" localSheetId="43" hidden="1">[1]weekly!#REF!</definedName>
    <definedName name="cccc" localSheetId="33" hidden="1">[1]weekly!#REF!</definedName>
    <definedName name="cccc" localSheetId="82" hidden="1">[1]weekly!#REF!</definedName>
    <definedName name="cccc" localSheetId="44" hidden="1">[1]weekly!#REF!</definedName>
    <definedName name="cccc" localSheetId="69" hidden="1">[1]weekly!#REF!</definedName>
    <definedName name="cccc" localSheetId="45" hidden="1">[1]weekly!#REF!</definedName>
    <definedName name="cccc" localSheetId="24" hidden="1">[1]weekly!#REF!</definedName>
    <definedName name="cccc" localSheetId="25" hidden="1">[1]weekly!#REF!</definedName>
    <definedName name="cccc" localSheetId="46" hidden="1">[1]weekly!#REF!</definedName>
    <definedName name="cccc" localSheetId="14" hidden="1">[1]weekly!#REF!</definedName>
    <definedName name="cccc" localSheetId="93" hidden="1">[1]weekly!#REF!</definedName>
    <definedName name="cccc" localSheetId="47" hidden="1">[1]weekly!#REF!</definedName>
    <definedName name="cccc" localSheetId="48" hidden="1">[1]weekly!#REF!</definedName>
    <definedName name="cccc" localSheetId="49" hidden="1">[1]weekly!#REF!</definedName>
    <definedName name="cccc" localSheetId="50" hidden="1">[1]weekly!#REF!</definedName>
    <definedName name="cccc" localSheetId="54" hidden="1">[1]weekly!#REF!</definedName>
    <definedName name="cccc" localSheetId="51" hidden="1">[1]weekly!#REF!</definedName>
    <definedName name="cccc" localSheetId="52" hidden="1">[1]weekly!#REF!</definedName>
    <definedName name="cccc" localSheetId="34" hidden="1">[1]weekly!#REF!</definedName>
    <definedName name="cccc" localSheetId="59" hidden="1">[1]weekly!#REF!</definedName>
    <definedName name="cccc" localSheetId="53" hidden="1">[1]weekly!#REF!</definedName>
    <definedName name="cccc" localSheetId="91" hidden="1">[1]weekly!#REF!</definedName>
    <definedName name="cccc" localSheetId="88" hidden="1">[1]weekly!#REF!</definedName>
    <definedName name="cccc" localSheetId="90" hidden="1">[1]weekly!#REF!</definedName>
    <definedName name="cccc" hidden="1">[1]weekly!#REF!</definedName>
    <definedName name="CurrentVersion">Details!$G$62</definedName>
    <definedName name="d" localSheetId="60" hidden="1">[1]weekly!#REF!</definedName>
    <definedName name="d" localSheetId="87" hidden="1">[1]weekly!#REF!</definedName>
    <definedName name="d" localSheetId="36" hidden="1">[1]weekly!#REF!</definedName>
    <definedName name="d" localSheetId="61" hidden="1">[1]weekly!#REF!</definedName>
    <definedName name="d" localSheetId="37" hidden="1">[1]weekly!#REF!</definedName>
    <definedName name="d" localSheetId="57" hidden="1">[1]weekly!#REF!</definedName>
    <definedName name="d" localSheetId="56" hidden="1">[1]weekly!#REF!</definedName>
    <definedName name="d" localSheetId="58" hidden="1">[1]weekly!#REF!</definedName>
    <definedName name="d" localSheetId="83" hidden="1">[1]weekly!#REF!</definedName>
    <definedName name="d" localSheetId="38" hidden="1">[1]weekly!#REF!</definedName>
    <definedName name="d" localSheetId="39" hidden="1">[1]weekly!#REF!</definedName>
    <definedName name="d" localSheetId="95" hidden="1">[1]weekly!#REF!</definedName>
    <definedName name="d" localSheetId="40" hidden="1">[1]weekly!#REF!</definedName>
    <definedName name="d" localSheetId="92" hidden="1">[1]weekly!#REF!</definedName>
    <definedName name="d" localSheetId="41" hidden="1">[1]weekly!#REF!</definedName>
    <definedName name="d" localSheetId="42" hidden="1">[1]weekly!#REF!</definedName>
    <definedName name="d" localSheetId="43" hidden="1">[1]weekly!#REF!</definedName>
    <definedName name="d" localSheetId="33" hidden="1">[1]weekly!#REF!</definedName>
    <definedName name="d" localSheetId="82" hidden="1">[1]weekly!#REF!</definedName>
    <definedName name="d" localSheetId="44" hidden="1">[1]weekly!#REF!</definedName>
    <definedName name="d" localSheetId="69" hidden="1">[1]weekly!#REF!</definedName>
    <definedName name="d" localSheetId="45" hidden="1">[1]weekly!#REF!</definedName>
    <definedName name="d" localSheetId="24" hidden="1">[1]weekly!#REF!</definedName>
    <definedName name="d" localSheetId="25" hidden="1">[1]weekly!#REF!</definedName>
    <definedName name="d" localSheetId="46" hidden="1">[1]weekly!#REF!</definedName>
    <definedName name="d" localSheetId="14" hidden="1">[1]weekly!#REF!</definedName>
    <definedName name="d" localSheetId="93" hidden="1">[1]weekly!#REF!</definedName>
    <definedName name="d" localSheetId="2" hidden="1">[1]weekly!#REF!</definedName>
    <definedName name="d" localSheetId="47" hidden="1">[1]weekly!#REF!</definedName>
    <definedName name="d" localSheetId="48" hidden="1">[1]weekly!#REF!</definedName>
    <definedName name="d" localSheetId="49" hidden="1">[1]weekly!#REF!</definedName>
    <definedName name="d" localSheetId="50" hidden="1">[1]weekly!#REF!</definedName>
    <definedName name="d" localSheetId="54" hidden="1">[1]weekly!#REF!</definedName>
    <definedName name="d" localSheetId="51" hidden="1">[1]weekly!#REF!</definedName>
    <definedName name="d" localSheetId="52" hidden="1">[1]weekly!#REF!</definedName>
    <definedName name="d" localSheetId="34" hidden="1">[1]weekly!#REF!</definedName>
    <definedName name="d" localSheetId="59" hidden="1">[1]weekly!#REF!</definedName>
    <definedName name="d" localSheetId="53" hidden="1">[1]weekly!#REF!</definedName>
    <definedName name="d" localSheetId="91" hidden="1">[1]weekly!#REF!</definedName>
    <definedName name="d" localSheetId="88" hidden="1">[1]weekly!#REF!</definedName>
    <definedName name="d" localSheetId="90" hidden="1">[1]weekly!#REF!</definedName>
    <definedName name="d" hidden="1">[1]weekly!#REF!</definedName>
    <definedName name="dd" localSheetId="60" hidden="1">[1]weekly!#REF!</definedName>
    <definedName name="dd" localSheetId="87" hidden="1">[1]weekly!#REF!</definedName>
    <definedName name="dd" localSheetId="36" hidden="1">[1]weekly!#REF!</definedName>
    <definedName name="dd" localSheetId="61" hidden="1">[1]weekly!#REF!</definedName>
    <definedName name="dd" localSheetId="37" hidden="1">[1]weekly!#REF!</definedName>
    <definedName name="dd" localSheetId="57" hidden="1">[1]weekly!#REF!</definedName>
    <definedName name="dd" localSheetId="56" hidden="1">[1]weekly!#REF!</definedName>
    <definedName name="dd" localSheetId="58" hidden="1">[1]weekly!#REF!</definedName>
    <definedName name="dd" localSheetId="83" hidden="1">[1]weekly!#REF!</definedName>
    <definedName name="dd" localSheetId="38" hidden="1">[1]weekly!#REF!</definedName>
    <definedName name="dd" localSheetId="39" hidden="1">[1]weekly!#REF!</definedName>
    <definedName name="dd" localSheetId="95" hidden="1">[1]weekly!#REF!</definedName>
    <definedName name="dd" localSheetId="40" hidden="1">[1]weekly!#REF!</definedName>
    <definedName name="dd" localSheetId="92" hidden="1">[1]weekly!#REF!</definedName>
    <definedName name="dd" localSheetId="41" hidden="1">[1]weekly!#REF!</definedName>
    <definedName name="dd" localSheetId="42" hidden="1">[1]weekly!#REF!</definedName>
    <definedName name="dd" localSheetId="43" hidden="1">[1]weekly!#REF!</definedName>
    <definedName name="dd" localSheetId="33" hidden="1">[1]weekly!#REF!</definedName>
    <definedName name="dd" localSheetId="82" hidden="1">[1]weekly!#REF!</definedName>
    <definedName name="dd" localSheetId="44" hidden="1">[1]weekly!#REF!</definedName>
    <definedName name="dd" localSheetId="69" hidden="1">[1]weekly!#REF!</definedName>
    <definedName name="dd" localSheetId="45" hidden="1">[1]weekly!#REF!</definedName>
    <definedName name="dd" localSheetId="24" hidden="1">[1]weekly!#REF!</definedName>
    <definedName name="dd" localSheetId="25" hidden="1">[1]weekly!#REF!</definedName>
    <definedName name="dd" localSheetId="46" hidden="1">[1]weekly!#REF!</definedName>
    <definedName name="dd" localSheetId="14" hidden="1">[1]weekly!#REF!</definedName>
    <definedName name="dd" localSheetId="93" hidden="1">[1]weekly!#REF!</definedName>
    <definedName name="dd" localSheetId="2" hidden="1">[1]weekly!#REF!</definedName>
    <definedName name="dd" localSheetId="47" hidden="1">[1]weekly!#REF!</definedName>
    <definedName name="dd" localSheetId="48" hidden="1">[1]weekly!#REF!</definedName>
    <definedName name="dd" localSheetId="49" hidden="1">[1]weekly!#REF!</definedName>
    <definedName name="dd" localSheetId="50" hidden="1">[1]weekly!#REF!</definedName>
    <definedName name="dd" localSheetId="54" hidden="1">[1]weekly!#REF!</definedName>
    <definedName name="dd" localSheetId="51" hidden="1">[1]weekly!#REF!</definedName>
    <definedName name="dd" localSheetId="52" hidden="1">[1]weekly!#REF!</definedName>
    <definedName name="dd" localSheetId="34" hidden="1">[1]weekly!#REF!</definedName>
    <definedName name="dd" localSheetId="59" hidden="1">[1]weekly!#REF!</definedName>
    <definedName name="dd" localSheetId="53" hidden="1">[1]weekly!#REF!</definedName>
    <definedName name="dd" localSheetId="91" hidden="1">[1]weekly!#REF!</definedName>
    <definedName name="dd" localSheetId="88" hidden="1">[1]weekly!#REF!</definedName>
    <definedName name="dd" localSheetId="90" hidden="1">[1]weekly!#REF!</definedName>
    <definedName name="dd" hidden="1">[1]weekly!#REF!</definedName>
    <definedName name="dddd" localSheetId="60" hidden="1">[1]weekly!#REF!</definedName>
    <definedName name="dddd" localSheetId="87" hidden="1">[1]weekly!#REF!</definedName>
    <definedName name="dddd" localSheetId="36" hidden="1">[1]weekly!#REF!</definedName>
    <definedName name="dddd" localSheetId="61" hidden="1">[1]weekly!#REF!</definedName>
    <definedName name="dddd" localSheetId="37" hidden="1">[1]weekly!#REF!</definedName>
    <definedName name="dddd" localSheetId="17" hidden="1">[1]weekly!#REF!</definedName>
    <definedName name="dddd" localSheetId="57" hidden="1">[1]weekly!#REF!</definedName>
    <definedName name="dddd" localSheetId="56" hidden="1">[1]weekly!#REF!</definedName>
    <definedName name="dddd" localSheetId="58" hidden="1">[1]weekly!#REF!</definedName>
    <definedName name="dddd" localSheetId="19" hidden="1">[1]weekly!#REF!</definedName>
    <definedName name="dddd" localSheetId="83" hidden="1">[1]weekly!#REF!</definedName>
    <definedName name="dddd" localSheetId="38" hidden="1">[1]weekly!#REF!</definedName>
    <definedName name="dddd" localSheetId="39" hidden="1">[1]weekly!#REF!</definedName>
    <definedName name="dddd" localSheetId="95" hidden="1">[1]weekly!#REF!</definedName>
    <definedName name="dddd" localSheetId="40" hidden="1">[1]weekly!#REF!</definedName>
    <definedName name="dddd" localSheetId="92" hidden="1">[1]weekly!#REF!</definedName>
    <definedName name="dddd" localSheetId="41" hidden="1">[1]weekly!#REF!</definedName>
    <definedName name="dddd" localSheetId="42" hidden="1">[1]weekly!#REF!</definedName>
    <definedName name="dddd" localSheetId="43" hidden="1">[1]weekly!#REF!</definedName>
    <definedName name="dddd" localSheetId="33" hidden="1">[1]weekly!#REF!</definedName>
    <definedName name="dddd" localSheetId="82" hidden="1">[1]weekly!#REF!</definedName>
    <definedName name="dddd" localSheetId="44" hidden="1">[1]weekly!#REF!</definedName>
    <definedName name="dddd" localSheetId="69" hidden="1">[1]weekly!#REF!</definedName>
    <definedName name="dddd" localSheetId="45" hidden="1">[1]weekly!#REF!</definedName>
    <definedName name="dddd" localSheetId="24" hidden="1">[1]weekly!#REF!</definedName>
    <definedName name="dddd" localSheetId="25" hidden="1">[1]weekly!#REF!</definedName>
    <definedName name="dddd" localSheetId="46" hidden="1">[1]weekly!#REF!</definedName>
    <definedName name="dddd" localSheetId="14" hidden="1">[1]weekly!#REF!</definedName>
    <definedName name="dddd" localSheetId="93" hidden="1">[1]weekly!#REF!</definedName>
    <definedName name="dddd" localSheetId="47" hidden="1">[1]weekly!#REF!</definedName>
    <definedName name="dddd" localSheetId="48" hidden="1">[1]weekly!#REF!</definedName>
    <definedName name="dddd" localSheetId="49" hidden="1">[1]weekly!#REF!</definedName>
    <definedName name="dddd" localSheetId="50" hidden="1">[1]weekly!#REF!</definedName>
    <definedName name="dddd" localSheetId="54" hidden="1">[1]weekly!#REF!</definedName>
    <definedName name="dddd" localSheetId="51" hidden="1">[1]weekly!#REF!</definedName>
    <definedName name="dddd" localSheetId="52" hidden="1">[1]weekly!#REF!</definedName>
    <definedName name="dddd" localSheetId="34" hidden="1">[1]weekly!#REF!</definedName>
    <definedName name="dddd" localSheetId="59" hidden="1">[1]weekly!#REF!</definedName>
    <definedName name="dddd" localSheetId="21" hidden="1">[1]weekly!#REF!</definedName>
    <definedName name="dddd" localSheetId="22" hidden="1">[1]weekly!#REF!</definedName>
    <definedName name="dddd" localSheetId="53" hidden="1">[1]weekly!#REF!</definedName>
    <definedName name="dddd" localSheetId="91" hidden="1">[1]weekly!#REF!</definedName>
    <definedName name="dddd" localSheetId="88" hidden="1">[1]weekly!#REF!</definedName>
    <definedName name="dddd" localSheetId="90" hidden="1">[1]weekly!#REF!</definedName>
    <definedName name="dddd" hidden="1">[1]weekly!#REF!</definedName>
    <definedName name="ddddd" localSheetId="60" hidden="1">[1]weekly!#REF!</definedName>
    <definedName name="ddddd" localSheetId="87" hidden="1">[1]weekly!#REF!</definedName>
    <definedName name="ddddd" localSheetId="36" hidden="1">[1]weekly!#REF!</definedName>
    <definedName name="ddddd" localSheetId="61" hidden="1">[1]weekly!#REF!</definedName>
    <definedName name="ddddd" localSheetId="37" hidden="1">[1]weekly!#REF!</definedName>
    <definedName name="ddddd" localSheetId="17" hidden="1">[1]weekly!#REF!</definedName>
    <definedName name="ddddd" localSheetId="57" hidden="1">[1]weekly!#REF!</definedName>
    <definedName name="ddddd" localSheetId="56" hidden="1">[1]weekly!#REF!</definedName>
    <definedName name="ddddd" localSheetId="58" hidden="1">[1]weekly!#REF!</definedName>
    <definedName name="ddddd" localSheetId="19" hidden="1">[1]weekly!#REF!</definedName>
    <definedName name="ddddd" localSheetId="83" hidden="1">[1]weekly!#REF!</definedName>
    <definedName name="ddddd" localSheetId="38" hidden="1">[1]weekly!#REF!</definedName>
    <definedName name="ddddd" localSheetId="39" hidden="1">[1]weekly!#REF!</definedName>
    <definedName name="ddddd" localSheetId="95" hidden="1">[1]weekly!#REF!</definedName>
    <definedName name="ddddd" localSheetId="40" hidden="1">[1]weekly!#REF!</definedName>
    <definedName name="ddddd" localSheetId="92" hidden="1">[1]weekly!#REF!</definedName>
    <definedName name="ddddd" localSheetId="41" hidden="1">[1]weekly!#REF!</definedName>
    <definedName name="ddddd" localSheetId="42" hidden="1">[1]weekly!#REF!</definedName>
    <definedName name="ddddd" localSheetId="43" hidden="1">[1]weekly!#REF!</definedName>
    <definedName name="ddddd" localSheetId="33" hidden="1">[1]weekly!#REF!</definedName>
    <definedName name="ddddd" localSheetId="82" hidden="1">[1]weekly!#REF!</definedName>
    <definedName name="ddddd" localSheetId="44" hidden="1">[1]weekly!#REF!</definedName>
    <definedName name="ddddd" localSheetId="69" hidden="1">[1]weekly!#REF!</definedName>
    <definedName name="ddddd" localSheetId="45" hidden="1">[1]weekly!#REF!</definedName>
    <definedName name="ddddd" localSheetId="24" hidden="1">[1]weekly!#REF!</definedName>
    <definedName name="ddddd" localSheetId="25" hidden="1">[1]weekly!#REF!</definedName>
    <definedName name="ddddd" localSheetId="46" hidden="1">[1]weekly!#REF!</definedName>
    <definedName name="ddddd" localSheetId="14" hidden="1">[1]weekly!#REF!</definedName>
    <definedName name="ddddd" localSheetId="93" hidden="1">[1]weekly!#REF!</definedName>
    <definedName name="ddddd" localSheetId="47" hidden="1">[1]weekly!#REF!</definedName>
    <definedName name="ddddd" localSheetId="48" hidden="1">[1]weekly!#REF!</definedName>
    <definedName name="ddddd" localSheetId="49" hidden="1">[1]weekly!#REF!</definedName>
    <definedName name="ddddd" localSheetId="50" hidden="1">[1]weekly!#REF!</definedName>
    <definedName name="ddddd" localSheetId="54" hidden="1">[1]weekly!#REF!</definedName>
    <definedName name="ddddd" localSheetId="51" hidden="1">[1]weekly!#REF!</definedName>
    <definedName name="ddddd" localSheetId="52" hidden="1">[1]weekly!#REF!</definedName>
    <definedName name="ddddd" localSheetId="34" hidden="1">[1]weekly!#REF!</definedName>
    <definedName name="ddddd" localSheetId="59" hidden="1">[1]weekly!#REF!</definedName>
    <definedName name="ddddd" localSheetId="21" hidden="1">[1]weekly!#REF!</definedName>
    <definedName name="ddddd" localSheetId="22" hidden="1">[1]weekly!#REF!</definedName>
    <definedName name="ddddd" localSheetId="53" hidden="1">[1]weekly!#REF!</definedName>
    <definedName name="ddddd" localSheetId="91" hidden="1">[1]weekly!#REF!</definedName>
    <definedName name="ddddd" localSheetId="88" hidden="1">[1]weekly!#REF!</definedName>
    <definedName name="ddddd" localSheetId="90" hidden="1">[1]weekly!#REF!</definedName>
    <definedName name="ddddd" hidden="1">[1]weekly!#REF!</definedName>
    <definedName name="dddddddddddd" localSheetId="60" hidden="1">[1]weekly!#REF!</definedName>
    <definedName name="dddddddddddd" localSheetId="87" hidden="1">[1]weekly!#REF!</definedName>
    <definedName name="dddddddddddd" localSheetId="36" hidden="1">[1]weekly!#REF!</definedName>
    <definedName name="dddddddddddd" localSheetId="61" hidden="1">[1]weekly!#REF!</definedName>
    <definedName name="dddddddddddd" localSheetId="37" hidden="1">[1]weekly!#REF!</definedName>
    <definedName name="dddddddddddd" localSheetId="17" hidden="1">[1]weekly!#REF!</definedName>
    <definedName name="dddddddddddd" localSheetId="57" hidden="1">[1]weekly!#REF!</definedName>
    <definedName name="dddddddddddd" localSheetId="56" hidden="1">[1]weekly!#REF!</definedName>
    <definedName name="dddddddddddd" localSheetId="58" hidden="1">[1]weekly!#REF!</definedName>
    <definedName name="dddddddddddd" localSheetId="19" hidden="1">[1]weekly!#REF!</definedName>
    <definedName name="dddddddddddd" localSheetId="83" hidden="1">[1]weekly!#REF!</definedName>
    <definedName name="dddddddddddd" localSheetId="38" hidden="1">[1]weekly!#REF!</definedName>
    <definedName name="dddddddddddd" localSheetId="39" hidden="1">[1]weekly!#REF!</definedName>
    <definedName name="dddddddddddd" localSheetId="95" hidden="1">[1]weekly!#REF!</definedName>
    <definedName name="dddddddddddd" localSheetId="40" hidden="1">[1]weekly!#REF!</definedName>
    <definedName name="dddddddddddd" localSheetId="92" hidden="1">[1]weekly!#REF!</definedName>
    <definedName name="dddddddddddd" localSheetId="41" hidden="1">[1]weekly!#REF!</definedName>
    <definedName name="dddddddddddd" localSheetId="42" hidden="1">[1]weekly!#REF!</definedName>
    <definedName name="dddddddddddd" localSheetId="43" hidden="1">[1]weekly!#REF!</definedName>
    <definedName name="dddddddddddd" localSheetId="33" hidden="1">[1]weekly!#REF!</definedName>
    <definedName name="dddddddddddd" localSheetId="82" hidden="1">[1]weekly!#REF!</definedName>
    <definedName name="dddddddddddd" localSheetId="44" hidden="1">[1]weekly!#REF!</definedName>
    <definedName name="dddddddddddd" localSheetId="69" hidden="1">[1]weekly!#REF!</definedName>
    <definedName name="dddddddddddd" localSheetId="45" hidden="1">[1]weekly!#REF!</definedName>
    <definedName name="dddddddddddd" localSheetId="24" hidden="1">[1]weekly!#REF!</definedName>
    <definedName name="dddddddddddd" localSheetId="25" hidden="1">[1]weekly!#REF!</definedName>
    <definedName name="dddddddddddd" localSheetId="46" hidden="1">[1]weekly!#REF!</definedName>
    <definedName name="dddddddddddd" localSheetId="14" hidden="1">[1]weekly!#REF!</definedName>
    <definedName name="dddddddddddd" localSheetId="93" hidden="1">[1]weekly!#REF!</definedName>
    <definedName name="dddddddddddd" localSheetId="47" hidden="1">[1]weekly!#REF!</definedName>
    <definedName name="dddddddddddd" localSheetId="48" hidden="1">[1]weekly!#REF!</definedName>
    <definedName name="dddddddddddd" localSheetId="49" hidden="1">[1]weekly!#REF!</definedName>
    <definedName name="dddddddddddd" localSheetId="50" hidden="1">[1]weekly!#REF!</definedName>
    <definedName name="dddddddddddd" localSheetId="54" hidden="1">[1]weekly!#REF!</definedName>
    <definedName name="dddddddddddd" localSheetId="51" hidden="1">[1]weekly!#REF!</definedName>
    <definedName name="dddddddddddd" localSheetId="52" hidden="1">[1]weekly!#REF!</definedName>
    <definedName name="dddddddddddd" localSheetId="34" hidden="1">[1]weekly!#REF!</definedName>
    <definedName name="dddddddddddd" localSheetId="59" hidden="1">[1]weekly!#REF!</definedName>
    <definedName name="dddddddddddd" localSheetId="21" hidden="1">[1]weekly!#REF!</definedName>
    <definedName name="dddddddddddd" localSheetId="22" hidden="1">[1]weekly!#REF!</definedName>
    <definedName name="dddddddddddd" localSheetId="53" hidden="1">[1]weekly!#REF!</definedName>
    <definedName name="dddddddddddd" localSheetId="91" hidden="1">[1]weekly!#REF!</definedName>
    <definedName name="dddddddddddd" localSheetId="88" hidden="1">[1]weekly!#REF!</definedName>
    <definedName name="dddddddddddd" localSheetId="90" hidden="1">[1]weekly!#REF!</definedName>
    <definedName name="dddddddddddd" hidden="1">[1]weekly!#REF!</definedName>
    <definedName name="ddddddddddddddd" localSheetId="60" hidden="1">[1]weekly!#REF!</definedName>
    <definedName name="ddddddddddddddd" localSheetId="87" hidden="1">[1]weekly!#REF!</definedName>
    <definedName name="ddddddddddddddd" localSheetId="36" hidden="1">[1]weekly!#REF!</definedName>
    <definedName name="ddddddddddddddd" localSheetId="61" hidden="1">[1]weekly!#REF!</definedName>
    <definedName name="ddddddddddddddd" localSheetId="37" hidden="1">[1]weekly!#REF!</definedName>
    <definedName name="ddddddddddddddd" localSheetId="17" hidden="1">[1]weekly!#REF!</definedName>
    <definedName name="ddddddddddddddd" localSheetId="57" hidden="1">[1]weekly!#REF!</definedName>
    <definedName name="ddddddddddddddd" localSheetId="56" hidden="1">[1]weekly!#REF!</definedName>
    <definedName name="ddddddddddddddd" localSheetId="58" hidden="1">[1]weekly!#REF!</definedName>
    <definedName name="ddddddddddddddd" localSheetId="19" hidden="1">[1]weekly!#REF!</definedName>
    <definedName name="ddddddddddddddd" localSheetId="83" hidden="1">[1]weekly!#REF!</definedName>
    <definedName name="ddddddddddddddd" localSheetId="38" hidden="1">[1]weekly!#REF!</definedName>
    <definedName name="ddddddddddddddd" localSheetId="39" hidden="1">[1]weekly!#REF!</definedName>
    <definedName name="ddddddddddddddd" localSheetId="95" hidden="1">[1]weekly!#REF!</definedName>
    <definedName name="ddddddddddddddd" localSheetId="40" hidden="1">[1]weekly!#REF!</definedName>
    <definedName name="ddddddddddddddd" localSheetId="92" hidden="1">[1]weekly!#REF!</definedName>
    <definedName name="ddddddddddddddd" localSheetId="41" hidden="1">[1]weekly!#REF!</definedName>
    <definedName name="ddddddddddddddd" localSheetId="42" hidden="1">[1]weekly!#REF!</definedName>
    <definedName name="ddddddddddddddd" localSheetId="43" hidden="1">[1]weekly!#REF!</definedName>
    <definedName name="ddddddddddddddd" localSheetId="33" hidden="1">[1]weekly!#REF!</definedName>
    <definedName name="ddddddddddddddd" localSheetId="82" hidden="1">[1]weekly!#REF!</definedName>
    <definedName name="ddddddddddddddd" localSheetId="44" hidden="1">[1]weekly!#REF!</definedName>
    <definedName name="ddddddddddddddd" localSheetId="69" hidden="1">[1]weekly!#REF!</definedName>
    <definedName name="ddddddddddddddd" localSheetId="45" hidden="1">[1]weekly!#REF!</definedName>
    <definedName name="ddddddddddddddd" localSheetId="24" hidden="1">[1]weekly!#REF!</definedName>
    <definedName name="ddddddddddddddd" localSheetId="25" hidden="1">[1]weekly!#REF!</definedName>
    <definedName name="ddddddddddddddd" localSheetId="46" hidden="1">[1]weekly!#REF!</definedName>
    <definedName name="ddddddddddddddd" localSheetId="14" hidden="1">[1]weekly!#REF!</definedName>
    <definedName name="ddddddddddddddd" localSheetId="93" hidden="1">[1]weekly!#REF!</definedName>
    <definedName name="ddddddddddddddd" localSheetId="47" hidden="1">[1]weekly!#REF!</definedName>
    <definedName name="ddddddddddddddd" localSheetId="48" hidden="1">[1]weekly!#REF!</definedName>
    <definedName name="ddddddddddddddd" localSheetId="49" hidden="1">[1]weekly!#REF!</definedName>
    <definedName name="ddddddddddddddd" localSheetId="50" hidden="1">[1]weekly!#REF!</definedName>
    <definedName name="ddddddddddddddd" localSheetId="54" hidden="1">[1]weekly!#REF!</definedName>
    <definedName name="ddddddddddddddd" localSheetId="51" hidden="1">[1]weekly!#REF!</definedName>
    <definedName name="ddddddddddddddd" localSheetId="52" hidden="1">[1]weekly!#REF!</definedName>
    <definedName name="ddddddddddddddd" localSheetId="34" hidden="1">[1]weekly!#REF!</definedName>
    <definedName name="ddddddddddddddd" localSheetId="59" hidden="1">[1]weekly!#REF!</definedName>
    <definedName name="ddddddddddddddd" localSheetId="21" hidden="1">[1]weekly!#REF!</definedName>
    <definedName name="ddddddddddddddd" localSheetId="22" hidden="1">[1]weekly!#REF!</definedName>
    <definedName name="ddddddddddddddd" localSheetId="53" hidden="1">[1]weekly!#REF!</definedName>
    <definedName name="ddddddddddddddd" localSheetId="91" hidden="1">[1]weekly!#REF!</definedName>
    <definedName name="ddddddddddddddd" localSheetId="88" hidden="1">[1]weekly!#REF!</definedName>
    <definedName name="ddddddddddddddd" localSheetId="90" hidden="1">[1]weekly!#REF!</definedName>
    <definedName name="ddddddddddddddd" hidden="1">[1]weekly!#REF!</definedName>
    <definedName name="dddddddddddddddd" localSheetId="60" hidden="1">[1]weekly!#REF!</definedName>
    <definedName name="dddddddddddddddd" localSheetId="87" hidden="1">[1]weekly!#REF!</definedName>
    <definedName name="dddddddddddddddd" localSheetId="36" hidden="1">[1]weekly!#REF!</definedName>
    <definedName name="dddddddddddddddd" localSheetId="61" hidden="1">[1]weekly!#REF!</definedName>
    <definedName name="dddddddddddddddd" localSheetId="37" hidden="1">[1]weekly!#REF!</definedName>
    <definedName name="dddddddddddddddd" localSheetId="17" hidden="1">[1]weekly!#REF!</definedName>
    <definedName name="dddddddddddddddd" localSheetId="57" hidden="1">[1]weekly!#REF!</definedName>
    <definedName name="dddddddddddddddd" localSheetId="56" hidden="1">[1]weekly!#REF!</definedName>
    <definedName name="dddddddddddddddd" localSheetId="58" hidden="1">[1]weekly!#REF!</definedName>
    <definedName name="dddddddddddddddd" localSheetId="19" hidden="1">[1]weekly!#REF!</definedName>
    <definedName name="dddddddddddddddd" localSheetId="83" hidden="1">[1]weekly!#REF!</definedName>
    <definedName name="dddddddddddddddd" localSheetId="38" hidden="1">[1]weekly!#REF!</definedName>
    <definedName name="dddddddddddddddd" localSheetId="39" hidden="1">[1]weekly!#REF!</definedName>
    <definedName name="dddddddddddddddd" localSheetId="95" hidden="1">[1]weekly!#REF!</definedName>
    <definedName name="dddddddddddddddd" localSheetId="40" hidden="1">[1]weekly!#REF!</definedName>
    <definedName name="dddddddddddddddd" localSheetId="92" hidden="1">[1]weekly!#REF!</definedName>
    <definedName name="dddddddddddddddd" localSheetId="41" hidden="1">[1]weekly!#REF!</definedName>
    <definedName name="dddddddddddddddd" localSheetId="42" hidden="1">[1]weekly!#REF!</definedName>
    <definedName name="dddddddddddddddd" localSheetId="43" hidden="1">[1]weekly!#REF!</definedName>
    <definedName name="dddddddddddddddd" localSheetId="33" hidden="1">[1]weekly!#REF!</definedName>
    <definedName name="dddddddddddddddd" localSheetId="82" hidden="1">[1]weekly!#REF!</definedName>
    <definedName name="dddddddddddddddd" localSheetId="44" hidden="1">[1]weekly!#REF!</definedName>
    <definedName name="dddddddddddddddd" localSheetId="69" hidden="1">[1]weekly!#REF!</definedName>
    <definedName name="dddddddddddddddd" localSheetId="45" hidden="1">[1]weekly!#REF!</definedName>
    <definedName name="dddddddddddddddd" localSheetId="24" hidden="1">[1]weekly!#REF!</definedName>
    <definedName name="dddddddddddddddd" localSheetId="25" hidden="1">[1]weekly!#REF!</definedName>
    <definedName name="dddddddddddddddd" localSheetId="46" hidden="1">[1]weekly!#REF!</definedName>
    <definedName name="dddddddddddddddd" localSheetId="14" hidden="1">[1]weekly!#REF!</definedName>
    <definedName name="dddddddddddddddd" localSheetId="93" hidden="1">[1]weekly!#REF!</definedName>
    <definedName name="dddddddddddddddd" localSheetId="47" hidden="1">[1]weekly!#REF!</definedName>
    <definedName name="dddddddddddddddd" localSheetId="48" hidden="1">[1]weekly!#REF!</definedName>
    <definedName name="dddddddddddddddd" localSheetId="49" hidden="1">[1]weekly!#REF!</definedName>
    <definedName name="dddddddddddddddd" localSheetId="50" hidden="1">[1]weekly!#REF!</definedName>
    <definedName name="dddddddddddddddd" localSheetId="54" hidden="1">[1]weekly!#REF!</definedName>
    <definedName name="dddddddddddddddd" localSheetId="51" hidden="1">[1]weekly!#REF!</definedName>
    <definedName name="dddddddddddddddd" localSheetId="52" hidden="1">[1]weekly!#REF!</definedName>
    <definedName name="dddddddddddddddd" localSheetId="34" hidden="1">[1]weekly!#REF!</definedName>
    <definedName name="dddddddddddddddd" localSheetId="59" hidden="1">[1]weekly!#REF!</definedName>
    <definedName name="dddddddddddddddd" localSheetId="21" hidden="1">[1]weekly!#REF!</definedName>
    <definedName name="dddddddddddddddd" localSheetId="22" hidden="1">[1]weekly!#REF!</definedName>
    <definedName name="dddddddddddddddd" localSheetId="53" hidden="1">[1]weekly!#REF!</definedName>
    <definedName name="dddddddddddddddd" localSheetId="91" hidden="1">[1]weekly!#REF!</definedName>
    <definedName name="dddddddddddddddd" localSheetId="88" hidden="1">[1]weekly!#REF!</definedName>
    <definedName name="dddddddddddddddd" localSheetId="90" hidden="1">[1]weekly!#REF!</definedName>
    <definedName name="dddddddddddddddd" hidden="1">[1]weekly!#REF!</definedName>
    <definedName name="ddddddddddddddddd" localSheetId="60" hidden="1">[1]weekly!#REF!</definedName>
    <definedName name="ddddddddddddddddd" localSheetId="87" hidden="1">[1]weekly!#REF!</definedName>
    <definedName name="ddddddddddddddddd" localSheetId="36" hidden="1">[1]weekly!#REF!</definedName>
    <definedName name="ddddddddddddddddd" localSheetId="61" hidden="1">[1]weekly!#REF!</definedName>
    <definedName name="ddddddddddddddddd" localSheetId="37" hidden="1">[1]weekly!#REF!</definedName>
    <definedName name="ddddddddddddddddd" localSheetId="17" hidden="1">[1]weekly!#REF!</definedName>
    <definedName name="ddddddddddddddddd" localSheetId="57" hidden="1">[1]weekly!#REF!</definedName>
    <definedName name="ddddddddddddddddd" localSheetId="56" hidden="1">[1]weekly!#REF!</definedName>
    <definedName name="ddddddddddddddddd" localSheetId="58" hidden="1">[1]weekly!#REF!</definedName>
    <definedName name="ddddddddddddddddd" localSheetId="19" hidden="1">[1]weekly!#REF!</definedName>
    <definedName name="ddddddddddddddddd" localSheetId="83" hidden="1">[1]weekly!#REF!</definedName>
    <definedName name="ddddddddddddddddd" localSheetId="38" hidden="1">[1]weekly!#REF!</definedName>
    <definedName name="ddddddddddddddddd" localSheetId="39" hidden="1">[1]weekly!#REF!</definedName>
    <definedName name="ddddddddddddddddd" localSheetId="95" hidden="1">[1]weekly!#REF!</definedName>
    <definedName name="ddddddddddddddddd" localSheetId="40" hidden="1">[1]weekly!#REF!</definedName>
    <definedName name="ddddddddddddddddd" localSheetId="92" hidden="1">[1]weekly!#REF!</definedName>
    <definedName name="ddddddddddddddddd" localSheetId="41" hidden="1">[1]weekly!#REF!</definedName>
    <definedName name="ddddddddddddddddd" localSheetId="42" hidden="1">[1]weekly!#REF!</definedName>
    <definedName name="ddddddddddddddddd" localSheetId="43" hidden="1">[1]weekly!#REF!</definedName>
    <definedName name="ddddddddddddddddd" localSheetId="33" hidden="1">[1]weekly!#REF!</definedName>
    <definedName name="ddddddddddddddddd" localSheetId="82" hidden="1">[1]weekly!#REF!</definedName>
    <definedName name="ddddddddddddddddd" localSheetId="44" hidden="1">[1]weekly!#REF!</definedName>
    <definedName name="ddddddddddddddddd" localSheetId="69" hidden="1">[1]weekly!#REF!</definedName>
    <definedName name="ddddddddddddddddd" localSheetId="45" hidden="1">[1]weekly!#REF!</definedName>
    <definedName name="ddddddddddddddddd" localSheetId="24" hidden="1">[1]weekly!#REF!</definedName>
    <definedName name="ddddddddddddddddd" localSheetId="25" hidden="1">[1]weekly!#REF!</definedName>
    <definedName name="ddddddddddddddddd" localSheetId="46" hidden="1">[1]weekly!#REF!</definedName>
    <definedName name="ddddddddddddddddd" localSheetId="14" hidden="1">[1]weekly!#REF!</definedName>
    <definedName name="ddddddddddddddddd" localSheetId="93" hidden="1">[1]weekly!#REF!</definedName>
    <definedName name="ddddddddddddddddd" localSheetId="47" hidden="1">[1]weekly!#REF!</definedName>
    <definedName name="ddddddddddddddddd" localSheetId="48" hidden="1">[1]weekly!#REF!</definedName>
    <definedName name="ddddddddddddddddd" localSheetId="49" hidden="1">[1]weekly!#REF!</definedName>
    <definedName name="ddddddddddddddddd" localSheetId="50" hidden="1">[1]weekly!#REF!</definedName>
    <definedName name="ddddddddddddddddd" localSheetId="54" hidden="1">[1]weekly!#REF!</definedName>
    <definedName name="ddddddddddddddddd" localSheetId="51" hidden="1">[1]weekly!#REF!</definedName>
    <definedName name="ddddddddddddddddd" localSheetId="52" hidden="1">[1]weekly!#REF!</definedName>
    <definedName name="ddddddddddddddddd" localSheetId="34" hidden="1">[1]weekly!#REF!</definedName>
    <definedName name="ddddddddddddddddd" localSheetId="59" hidden="1">[1]weekly!#REF!</definedName>
    <definedName name="ddddddddddddddddd" localSheetId="21" hidden="1">[1]weekly!#REF!</definedName>
    <definedName name="ddddddddddddddddd" localSheetId="22" hidden="1">[1]weekly!#REF!</definedName>
    <definedName name="ddddddddddddddddd" localSheetId="53" hidden="1">[1]weekly!#REF!</definedName>
    <definedName name="ddddddddddddddddd" localSheetId="91" hidden="1">[1]weekly!#REF!</definedName>
    <definedName name="ddddddddddddddddd" localSheetId="88" hidden="1">[1]weekly!#REF!</definedName>
    <definedName name="ddddddddddddddddd" localSheetId="90" hidden="1">[1]weekly!#REF!</definedName>
    <definedName name="ddddddddddddddddd" hidden="1">[1]weekly!#REF!</definedName>
    <definedName name="ddddddddddddddddddd" localSheetId="60" hidden="1">[1]weekly!#REF!</definedName>
    <definedName name="ddddddddddddddddddd" localSheetId="87" hidden="1">[1]weekly!#REF!</definedName>
    <definedName name="ddddddddddddddddddd" localSheetId="36" hidden="1">[1]weekly!#REF!</definedName>
    <definedName name="ddddddddddddddddddd" localSheetId="61" hidden="1">[1]weekly!#REF!</definedName>
    <definedName name="ddddddddddddddddddd" localSheetId="37" hidden="1">[1]weekly!#REF!</definedName>
    <definedName name="ddddddddddddddddddd" localSheetId="17" hidden="1">[1]weekly!#REF!</definedName>
    <definedName name="ddddddddddddddddddd" localSheetId="57" hidden="1">[1]weekly!#REF!</definedName>
    <definedName name="ddddddddddddddddddd" localSheetId="56" hidden="1">[1]weekly!#REF!</definedName>
    <definedName name="ddddddddddddddddddd" localSheetId="58" hidden="1">[1]weekly!#REF!</definedName>
    <definedName name="ddddddddddddddddddd" localSheetId="19" hidden="1">[1]weekly!#REF!</definedName>
    <definedName name="ddddddddddddddddddd" localSheetId="83" hidden="1">[1]weekly!#REF!</definedName>
    <definedName name="ddddddddddddddddddd" localSheetId="38" hidden="1">[1]weekly!#REF!</definedName>
    <definedName name="ddddddddddddddddddd" localSheetId="39" hidden="1">[1]weekly!#REF!</definedName>
    <definedName name="ddddddddddddddddddd" localSheetId="95" hidden="1">[1]weekly!#REF!</definedName>
    <definedName name="ddddddddddddddddddd" localSheetId="40" hidden="1">[1]weekly!#REF!</definedName>
    <definedName name="ddddddddddddddddddd" localSheetId="92" hidden="1">[1]weekly!#REF!</definedName>
    <definedName name="ddddddddddddddddddd" localSheetId="41" hidden="1">[1]weekly!#REF!</definedName>
    <definedName name="ddddddddddddddddddd" localSheetId="42" hidden="1">[1]weekly!#REF!</definedName>
    <definedName name="ddddddddddddddddddd" localSheetId="43" hidden="1">[1]weekly!#REF!</definedName>
    <definedName name="ddddddddddddddddddd" localSheetId="33" hidden="1">[1]weekly!#REF!</definedName>
    <definedName name="ddddddddddddddddddd" localSheetId="82" hidden="1">[1]weekly!#REF!</definedName>
    <definedName name="ddddddddddddddddddd" localSheetId="44" hidden="1">[1]weekly!#REF!</definedName>
    <definedName name="ddddddddddddddddddd" localSheetId="69" hidden="1">[1]weekly!#REF!</definedName>
    <definedName name="ddddddddddddddddddd" localSheetId="45" hidden="1">[1]weekly!#REF!</definedName>
    <definedName name="ddddddddddddddddddd" localSheetId="24" hidden="1">[1]weekly!#REF!</definedName>
    <definedName name="ddddddddddddddddddd" localSheetId="25" hidden="1">[1]weekly!#REF!</definedName>
    <definedName name="ddddddddddddddddddd" localSheetId="46" hidden="1">[1]weekly!#REF!</definedName>
    <definedName name="ddddddddddddddddddd" localSheetId="14" hidden="1">[1]weekly!#REF!</definedName>
    <definedName name="ddddddddddddddddddd" localSheetId="93" hidden="1">[1]weekly!#REF!</definedName>
    <definedName name="ddddddddddddddddddd" localSheetId="47" hidden="1">[1]weekly!#REF!</definedName>
    <definedName name="ddddddddddddddddddd" localSheetId="48" hidden="1">[1]weekly!#REF!</definedName>
    <definedName name="ddddddddddddddddddd" localSheetId="49" hidden="1">[1]weekly!#REF!</definedName>
    <definedName name="ddddddddddddddddddd" localSheetId="50" hidden="1">[1]weekly!#REF!</definedName>
    <definedName name="ddddddddddddddddddd" localSheetId="54" hidden="1">[1]weekly!#REF!</definedName>
    <definedName name="ddddddddddddddddddd" localSheetId="51" hidden="1">[1]weekly!#REF!</definedName>
    <definedName name="ddddddddddddddddddd" localSheetId="52" hidden="1">[1]weekly!#REF!</definedName>
    <definedName name="ddddddddddddddddddd" localSheetId="34" hidden="1">[1]weekly!#REF!</definedName>
    <definedName name="ddddddddddddddddddd" localSheetId="59" hidden="1">[1]weekly!#REF!</definedName>
    <definedName name="ddddddddddddddddddd" localSheetId="21" hidden="1">[1]weekly!#REF!</definedName>
    <definedName name="ddddddddddddddddddd" localSheetId="22" hidden="1">[1]weekly!#REF!</definedName>
    <definedName name="ddddddddddddddddddd" localSheetId="53" hidden="1">[1]weekly!#REF!</definedName>
    <definedName name="ddddddddddddddddddd" localSheetId="91" hidden="1">[1]weekly!#REF!</definedName>
    <definedName name="ddddddddddddddddddd" localSheetId="88" hidden="1">[1]weekly!#REF!</definedName>
    <definedName name="ddddddddddddddddddd" localSheetId="90" hidden="1">[1]weekly!#REF!</definedName>
    <definedName name="ddddddddddddddddddd" hidden="1">[1]weekly!#REF!</definedName>
    <definedName name="dddddddddddddddddddddddddddddddd" localSheetId="60" hidden="1">[1]weekly!#REF!</definedName>
    <definedName name="dddddddddddddddddddddddddddddddd" localSheetId="87" hidden="1">[1]weekly!#REF!</definedName>
    <definedName name="dddddddddddddddddddddddddddddddd" localSheetId="36" hidden="1">[1]weekly!#REF!</definedName>
    <definedName name="dddddddddddddddddddddddddddddddd" localSheetId="61" hidden="1">[1]weekly!#REF!</definedName>
    <definedName name="dddddddddddddddddddddddddddddddd" localSheetId="37" hidden="1">[1]weekly!#REF!</definedName>
    <definedName name="dddddddddddddddddddddddddddddddd" localSheetId="17" hidden="1">[1]weekly!#REF!</definedName>
    <definedName name="dddddddddddddddddddddddddddddddd" localSheetId="57" hidden="1">[1]weekly!#REF!</definedName>
    <definedName name="dddddddddddddddddddddddddddddddd" localSheetId="56" hidden="1">[1]weekly!#REF!</definedName>
    <definedName name="dddddddddddddddddddddddddddddddd" localSheetId="58" hidden="1">[1]weekly!#REF!</definedName>
    <definedName name="dddddddddddddddddddddddddddddddd" localSheetId="19" hidden="1">[1]weekly!#REF!</definedName>
    <definedName name="dddddddddddddddddddddddddddddddd" localSheetId="83" hidden="1">[1]weekly!#REF!</definedName>
    <definedName name="dddddddddddddddddddddddddddddddd" localSheetId="38" hidden="1">[1]weekly!#REF!</definedName>
    <definedName name="dddddddddddddddddddddddddddddddd" localSheetId="39" hidden="1">[1]weekly!#REF!</definedName>
    <definedName name="dddddddddddddddddddddddddddddddd" localSheetId="95" hidden="1">[1]weekly!#REF!</definedName>
    <definedName name="dddddddddddddddddddddddddddddddd" localSheetId="40" hidden="1">[1]weekly!#REF!</definedName>
    <definedName name="dddddddddddddddddddddddddddddddd" localSheetId="92" hidden="1">[1]weekly!#REF!</definedName>
    <definedName name="dddddddddddddddddddddddddddddddd" localSheetId="41" hidden="1">[1]weekly!#REF!</definedName>
    <definedName name="dddddddddddddddddddddddddddddddd" localSheetId="42" hidden="1">[1]weekly!#REF!</definedName>
    <definedName name="dddddddddddddddddddddddddddddddd" localSheetId="43" hidden="1">[1]weekly!#REF!</definedName>
    <definedName name="dddddddddddddddddddddddddddddddd" localSheetId="33" hidden="1">[1]weekly!#REF!</definedName>
    <definedName name="dddddddddddddddddddddddddddddddd" localSheetId="82" hidden="1">[1]weekly!#REF!</definedName>
    <definedName name="dddddddddddddddddddddddddddddddd" localSheetId="44" hidden="1">[1]weekly!#REF!</definedName>
    <definedName name="dddddddddddddddddddddddddddddddd" localSheetId="69" hidden="1">[1]weekly!#REF!</definedName>
    <definedName name="dddddddddddddddddddddddddddddddd" localSheetId="45" hidden="1">[1]weekly!#REF!</definedName>
    <definedName name="dddddddddddddddddddddddddddddddd" localSheetId="24" hidden="1">[1]weekly!#REF!</definedName>
    <definedName name="dddddddddddddddddddddddddddddddd" localSheetId="25" hidden="1">[1]weekly!#REF!</definedName>
    <definedName name="dddddddddddddddddddddddddddddddd" localSheetId="46" hidden="1">[1]weekly!#REF!</definedName>
    <definedName name="dddddddddddddddddddddddddddddddd" localSheetId="14" hidden="1">[1]weekly!#REF!</definedName>
    <definedName name="dddddddddddddddddddddddddddddddd" localSheetId="93" hidden="1">[1]weekly!#REF!</definedName>
    <definedName name="dddddddddddddddddddddddddddddddd" localSheetId="47" hidden="1">[1]weekly!#REF!</definedName>
    <definedName name="dddddddddddddddddddddddddddddddd" localSheetId="48" hidden="1">[1]weekly!#REF!</definedName>
    <definedName name="dddddddddddddddddddddddddddddddd" localSheetId="49" hidden="1">[1]weekly!#REF!</definedName>
    <definedName name="dddddddddddddddddddddddddddddddd" localSheetId="50" hidden="1">[1]weekly!#REF!</definedName>
    <definedName name="dddddddddddddddddddddddddddddddd" localSheetId="54" hidden="1">[1]weekly!#REF!</definedName>
    <definedName name="dddddddddddddddddddddddddddddddd" localSheetId="51" hidden="1">[1]weekly!#REF!</definedName>
    <definedName name="dddddddddddddddddddddddddddddddd" localSheetId="52" hidden="1">[1]weekly!#REF!</definedName>
    <definedName name="dddddddddddddddddddddddddddddddd" localSheetId="34" hidden="1">[1]weekly!#REF!</definedName>
    <definedName name="dddddddddddddddddddddddddddddddd" localSheetId="59" hidden="1">[1]weekly!#REF!</definedName>
    <definedName name="dddddddddddddddddddddddddddddddd" localSheetId="21" hidden="1">[1]weekly!#REF!</definedName>
    <definedName name="dddddddddddddddddddddddddddddddd" localSheetId="22" hidden="1">[1]weekly!#REF!</definedName>
    <definedName name="dddddddddddddddddddddddddddddddd" localSheetId="53" hidden="1">[1]weekly!#REF!</definedName>
    <definedName name="dddddddddddddddddddddddddddddddd" localSheetId="91" hidden="1">[1]weekly!#REF!</definedName>
    <definedName name="dddddddddddddddddddddddddddddddd" localSheetId="88" hidden="1">[1]weekly!#REF!</definedName>
    <definedName name="dddddddddddddddddddddddddddddddd" localSheetId="90" hidden="1">[1]weekly!#REF!</definedName>
    <definedName name="dddddddddddddddddddddddddddddddd" hidden="1">[1]weekly!#REF!</definedName>
    <definedName name="dddddddddddddddddddddddddddddddddddddd" localSheetId="60" hidden="1">[1]weekly!#REF!</definedName>
    <definedName name="dddddddddddddddddddddddddddddddddddddd" localSheetId="87" hidden="1">[1]weekly!#REF!</definedName>
    <definedName name="dddddddddddddddddddddddddddddddddddddd" localSheetId="36" hidden="1">[1]weekly!#REF!</definedName>
    <definedName name="dddddddddddddddddddddddddddddddddddddd" localSheetId="61" hidden="1">[1]weekly!#REF!</definedName>
    <definedName name="dddddddddddddddddddddddddddddddddddddd" localSheetId="37" hidden="1">[1]weekly!#REF!</definedName>
    <definedName name="dddddddddddddddddddddddddddddddddddddd" localSheetId="17" hidden="1">[1]weekly!#REF!</definedName>
    <definedName name="dddddddddddddddddddddddddddddddddddddd" localSheetId="57" hidden="1">[1]weekly!#REF!</definedName>
    <definedName name="dddddddddddddddddddddddddddddddddddddd" localSheetId="56" hidden="1">[1]weekly!#REF!</definedName>
    <definedName name="dddddddddddddddddddddddddddddddddddddd" localSheetId="58" hidden="1">[1]weekly!#REF!</definedName>
    <definedName name="dddddddddddddddddddddddddddddddddddddd" localSheetId="19" hidden="1">[1]weekly!#REF!</definedName>
    <definedName name="dddddddddddddddddddddddddddddddddddddd" localSheetId="83" hidden="1">[1]weekly!#REF!</definedName>
    <definedName name="dddddddddddddddddddddddddddddddddddddd" localSheetId="38" hidden="1">[1]weekly!#REF!</definedName>
    <definedName name="dddddddddddddddddddddddddddddddddddddd" localSheetId="39" hidden="1">[1]weekly!#REF!</definedName>
    <definedName name="dddddddddddddddddddddddddddddddddddddd" localSheetId="95" hidden="1">[1]weekly!#REF!</definedName>
    <definedName name="dddddddddddddddddddddddddddddddddddddd" localSheetId="40" hidden="1">[1]weekly!#REF!</definedName>
    <definedName name="dddddddddddddddddddddddddddddddddddddd" localSheetId="92" hidden="1">[1]weekly!#REF!</definedName>
    <definedName name="dddddddddddddddddddddddddddddddddddddd" localSheetId="41" hidden="1">[1]weekly!#REF!</definedName>
    <definedName name="dddddddddddddddddddddddddddddddddddddd" localSheetId="42" hidden="1">[1]weekly!#REF!</definedName>
    <definedName name="dddddddddddddddddddddddddddddddddddddd" localSheetId="43" hidden="1">[1]weekly!#REF!</definedName>
    <definedName name="dddddddddddddddddddddddddddddddddddddd" localSheetId="33" hidden="1">[1]weekly!#REF!</definedName>
    <definedName name="dddddddddddddddddddddddddddddddddddddd" localSheetId="82" hidden="1">[1]weekly!#REF!</definedName>
    <definedName name="dddddddddddddddddddddddddddddddddddddd" localSheetId="44" hidden="1">[1]weekly!#REF!</definedName>
    <definedName name="dddddddddddddddddddddddddddddddddddddd" localSheetId="69" hidden="1">[1]weekly!#REF!</definedName>
    <definedName name="dddddddddddddddddddddddddddddddddddddd" localSheetId="45" hidden="1">[1]weekly!#REF!</definedName>
    <definedName name="dddddddddddddddddddddddddddddddddddddd" localSheetId="24" hidden="1">[1]weekly!#REF!</definedName>
    <definedName name="dddddddddddddddddddddddddddddddddddddd" localSheetId="25" hidden="1">[1]weekly!#REF!</definedName>
    <definedName name="dddddddddddddddddddddddddddddddddddddd" localSheetId="46" hidden="1">[1]weekly!#REF!</definedName>
    <definedName name="dddddddddddddddddddddddddddddddddddddd" localSheetId="14" hidden="1">[1]weekly!#REF!</definedName>
    <definedName name="dddddddddddddddddddddddddddddddddddddd" localSheetId="93" hidden="1">[1]weekly!#REF!</definedName>
    <definedName name="dddddddddddddddddddddddddddddddddddddd" localSheetId="47" hidden="1">[1]weekly!#REF!</definedName>
    <definedName name="dddddddddddddddddddddddddddddddddddddd" localSheetId="48" hidden="1">[1]weekly!#REF!</definedName>
    <definedName name="dddddddddddddddddddddddddddddddddddddd" localSheetId="49" hidden="1">[1]weekly!#REF!</definedName>
    <definedName name="dddddddddddddddddddddddddddddddddddddd" localSheetId="50" hidden="1">[1]weekly!#REF!</definedName>
    <definedName name="dddddddddddddddddddddddddddddddddddddd" localSheetId="54" hidden="1">[1]weekly!#REF!</definedName>
    <definedName name="dddddddddddddddddddddddddddddddddddddd" localSheetId="51" hidden="1">[1]weekly!#REF!</definedName>
    <definedName name="dddddddddddddddddddddddddddddddddddddd" localSheetId="52" hidden="1">[1]weekly!#REF!</definedName>
    <definedName name="dddddddddddddddddddddddddddddddddddddd" localSheetId="34" hidden="1">[1]weekly!#REF!</definedName>
    <definedName name="dddddddddddddddddddddddddddddddddddddd" localSheetId="59" hidden="1">[1]weekly!#REF!</definedName>
    <definedName name="dddddddddddddddddddddddddddddddddddddd" localSheetId="21" hidden="1">[1]weekly!#REF!</definedName>
    <definedName name="dddddddddddddddddddddddddddddddddddddd" localSheetId="22" hidden="1">[1]weekly!#REF!</definedName>
    <definedName name="dddddddddddddddddddddddddddddddddddddd" localSheetId="53" hidden="1">[1]weekly!#REF!</definedName>
    <definedName name="dddddddddddddddddddddddddddddddddddddd" localSheetId="91" hidden="1">[1]weekly!#REF!</definedName>
    <definedName name="dddddddddddddddddddddddddddddddddddddd" localSheetId="88" hidden="1">[1]weekly!#REF!</definedName>
    <definedName name="dddddddddddddddddddddddddddddddddddddd" localSheetId="90" hidden="1">[1]weekly!#REF!</definedName>
    <definedName name="dddddddddddddddddddddddddddddddddddddd" hidden="1">[1]weekly!#REF!</definedName>
    <definedName name="ddff" localSheetId="60" hidden="1">[1]weekly!#REF!</definedName>
    <definedName name="ddff" localSheetId="87" hidden="1">[1]weekly!#REF!</definedName>
    <definedName name="ddff" localSheetId="36" hidden="1">[1]weekly!#REF!</definedName>
    <definedName name="ddff" localSheetId="61" hidden="1">[1]weekly!#REF!</definedName>
    <definedName name="ddff" localSheetId="37" hidden="1">[1]weekly!#REF!</definedName>
    <definedName name="ddff" localSheetId="17" hidden="1">[1]weekly!#REF!</definedName>
    <definedName name="ddff" localSheetId="57" hidden="1">[1]weekly!#REF!</definedName>
    <definedName name="ddff" localSheetId="56" hidden="1">[1]weekly!#REF!</definedName>
    <definedName name="ddff" localSheetId="58" hidden="1">[1]weekly!#REF!</definedName>
    <definedName name="ddff" localSheetId="19" hidden="1">[1]weekly!#REF!</definedName>
    <definedName name="ddff" localSheetId="83" hidden="1">[1]weekly!#REF!</definedName>
    <definedName name="ddff" localSheetId="38" hidden="1">[1]weekly!#REF!</definedName>
    <definedName name="ddff" localSheetId="39" hidden="1">[1]weekly!#REF!</definedName>
    <definedName name="ddff" localSheetId="95" hidden="1">[1]weekly!#REF!</definedName>
    <definedName name="ddff" localSheetId="40" hidden="1">[1]weekly!#REF!</definedName>
    <definedName name="ddff" localSheetId="92" hidden="1">[1]weekly!#REF!</definedName>
    <definedName name="ddff" localSheetId="41" hidden="1">[1]weekly!#REF!</definedName>
    <definedName name="ddff" localSheetId="42" hidden="1">[1]weekly!#REF!</definedName>
    <definedName name="ddff" localSheetId="43" hidden="1">[1]weekly!#REF!</definedName>
    <definedName name="ddff" localSheetId="33" hidden="1">[1]weekly!#REF!</definedName>
    <definedName name="ddff" localSheetId="82" hidden="1">[1]weekly!#REF!</definedName>
    <definedName name="ddff" localSheetId="44" hidden="1">[1]weekly!#REF!</definedName>
    <definedName name="ddff" localSheetId="69" hidden="1">[1]weekly!#REF!</definedName>
    <definedName name="ddff" localSheetId="45" hidden="1">[1]weekly!#REF!</definedName>
    <definedName name="ddff" localSheetId="24" hidden="1">[1]weekly!#REF!</definedName>
    <definedName name="ddff" localSheetId="25" hidden="1">[1]weekly!#REF!</definedName>
    <definedName name="ddff" localSheetId="46" hidden="1">[1]weekly!#REF!</definedName>
    <definedName name="ddff" localSheetId="14" hidden="1">[1]weekly!#REF!</definedName>
    <definedName name="ddff" localSheetId="93" hidden="1">[1]weekly!#REF!</definedName>
    <definedName name="ddff" localSheetId="47" hidden="1">[1]weekly!#REF!</definedName>
    <definedName name="ddff" localSheetId="48" hidden="1">[1]weekly!#REF!</definedName>
    <definedName name="ddff" localSheetId="49" hidden="1">[1]weekly!#REF!</definedName>
    <definedName name="ddff" localSheetId="50" hidden="1">[1]weekly!#REF!</definedName>
    <definedName name="ddff" localSheetId="54" hidden="1">[1]weekly!#REF!</definedName>
    <definedName name="ddff" localSheetId="51" hidden="1">[1]weekly!#REF!</definedName>
    <definedName name="ddff" localSheetId="52" hidden="1">[1]weekly!#REF!</definedName>
    <definedName name="ddff" localSheetId="34" hidden="1">[1]weekly!#REF!</definedName>
    <definedName name="ddff" localSheetId="59" hidden="1">[1]weekly!#REF!</definedName>
    <definedName name="ddff" localSheetId="21" hidden="1">[1]weekly!#REF!</definedName>
    <definedName name="ddff" localSheetId="22" hidden="1">[1]weekly!#REF!</definedName>
    <definedName name="ddff" localSheetId="53" hidden="1">[1]weekly!#REF!</definedName>
    <definedName name="ddff" localSheetId="91" hidden="1">[1]weekly!#REF!</definedName>
    <definedName name="ddff" localSheetId="88" hidden="1">[1]weekly!#REF!</definedName>
    <definedName name="ddff" localSheetId="90" hidden="1">[1]weekly!#REF!</definedName>
    <definedName name="ddff" hidden="1">[1]weekly!#REF!</definedName>
    <definedName name="e" localSheetId="60" hidden="1">[1]weekly!#REF!</definedName>
    <definedName name="e" localSheetId="87" hidden="1">[1]weekly!#REF!</definedName>
    <definedName name="e" localSheetId="36" hidden="1">[1]weekly!#REF!</definedName>
    <definedName name="e" localSheetId="61" hidden="1">[1]weekly!#REF!</definedName>
    <definedName name="e" localSheetId="37" hidden="1">[1]weekly!#REF!</definedName>
    <definedName name="e" localSheetId="57" hidden="1">[1]weekly!#REF!</definedName>
    <definedName name="e" localSheetId="56" hidden="1">[1]weekly!#REF!</definedName>
    <definedName name="e" localSheetId="58" hidden="1">[1]weekly!#REF!</definedName>
    <definedName name="e" localSheetId="83" hidden="1">[1]weekly!#REF!</definedName>
    <definedName name="e" localSheetId="38" hidden="1">[1]weekly!#REF!</definedName>
    <definedName name="e" localSheetId="39" hidden="1">[1]weekly!#REF!</definedName>
    <definedName name="e" localSheetId="95" hidden="1">[1]weekly!#REF!</definedName>
    <definedName name="e" localSheetId="40" hidden="1">[1]weekly!#REF!</definedName>
    <definedName name="e" localSheetId="92" hidden="1">[1]weekly!#REF!</definedName>
    <definedName name="e" localSheetId="41" hidden="1">[1]weekly!#REF!</definedName>
    <definedName name="e" localSheetId="42" hidden="1">[1]weekly!#REF!</definedName>
    <definedName name="e" localSheetId="43" hidden="1">[1]weekly!#REF!</definedName>
    <definedName name="e" localSheetId="33" hidden="1">[1]weekly!#REF!</definedName>
    <definedName name="e" localSheetId="82" hidden="1">[1]weekly!#REF!</definedName>
    <definedName name="e" localSheetId="44" hidden="1">[1]weekly!#REF!</definedName>
    <definedName name="e" localSheetId="69" hidden="1">[1]weekly!#REF!</definedName>
    <definedName name="e" localSheetId="45" hidden="1">[1]weekly!#REF!</definedName>
    <definedName name="e" localSheetId="24" hidden="1">[1]weekly!#REF!</definedName>
    <definedName name="e" localSheetId="25" hidden="1">[1]weekly!#REF!</definedName>
    <definedName name="e" localSheetId="46" hidden="1">[1]weekly!#REF!</definedName>
    <definedName name="e" localSheetId="14" hidden="1">[1]weekly!#REF!</definedName>
    <definedName name="e" localSheetId="93" hidden="1">[1]weekly!#REF!</definedName>
    <definedName name="e" localSheetId="47" hidden="1">[1]weekly!#REF!</definedName>
    <definedName name="e" localSheetId="48" hidden="1">[1]weekly!#REF!</definedName>
    <definedName name="e" localSheetId="49" hidden="1">[1]weekly!#REF!</definedName>
    <definedName name="e" localSheetId="50" hidden="1">[1]weekly!#REF!</definedName>
    <definedName name="e" localSheetId="54" hidden="1">[1]weekly!#REF!</definedName>
    <definedName name="e" localSheetId="51" hidden="1">[1]weekly!#REF!</definedName>
    <definedName name="e" localSheetId="52" hidden="1">[1]weekly!#REF!</definedName>
    <definedName name="e" localSheetId="34" hidden="1">[1]weekly!#REF!</definedName>
    <definedName name="e" localSheetId="59" hidden="1">[1]weekly!#REF!</definedName>
    <definedName name="e" localSheetId="53" hidden="1">[1]weekly!#REF!</definedName>
    <definedName name="e" localSheetId="91" hidden="1">[1]weekly!#REF!</definedName>
    <definedName name="e" localSheetId="88" hidden="1">[1]weekly!#REF!</definedName>
    <definedName name="e" localSheetId="90" hidden="1">[1]weekly!#REF!</definedName>
    <definedName name="e" hidden="1">[1]weekly!#REF!</definedName>
    <definedName name="eee" localSheetId="60" hidden="1">[1]weekly!#REF!</definedName>
    <definedName name="eee" localSheetId="87" hidden="1">[1]weekly!#REF!</definedName>
    <definedName name="eee" localSheetId="36" hidden="1">[1]weekly!#REF!</definedName>
    <definedName name="eee" localSheetId="61" hidden="1">[1]weekly!#REF!</definedName>
    <definedName name="eee" localSheetId="37" hidden="1">[1]weekly!#REF!</definedName>
    <definedName name="eee" localSheetId="57" hidden="1">[1]weekly!#REF!</definedName>
    <definedName name="eee" localSheetId="56" hidden="1">[1]weekly!#REF!</definedName>
    <definedName name="eee" localSheetId="58" hidden="1">[1]weekly!#REF!</definedName>
    <definedName name="eee" localSheetId="83" hidden="1">[1]weekly!#REF!</definedName>
    <definedName name="eee" localSheetId="38" hidden="1">[1]weekly!#REF!</definedName>
    <definedName name="eee" localSheetId="39" hidden="1">[1]weekly!#REF!</definedName>
    <definedName name="eee" localSheetId="95" hidden="1">[1]weekly!#REF!</definedName>
    <definedName name="eee" localSheetId="40" hidden="1">[1]weekly!#REF!</definedName>
    <definedName name="eee" localSheetId="92" hidden="1">[1]weekly!#REF!</definedName>
    <definedName name="eee" localSheetId="41" hidden="1">[1]weekly!#REF!</definedName>
    <definedName name="eee" localSheetId="42" hidden="1">[1]weekly!#REF!</definedName>
    <definedName name="eee" localSheetId="43" hidden="1">[1]weekly!#REF!</definedName>
    <definedName name="eee" localSheetId="33" hidden="1">[1]weekly!#REF!</definedName>
    <definedName name="eee" localSheetId="82" hidden="1">[1]weekly!#REF!</definedName>
    <definedName name="eee" localSheetId="44" hidden="1">[1]weekly!#REF!</definedName>
    <definedName name="eee" localSheetId="69" hidden="1">[1]weekly!#REF!</definedName>
    <definedName name="eee" localSheetId="45" hidden="1">[1]weekly!#REF!</definedName>
    <definedName name="eee" localSheetId="24" hidden="1">[1]weekly!#REF!</definedName>
    <definedName name="eee" localSheetId="25" hidden="1">[1]weekly!#REF!</definedName>
    <definedName name="eee" localSheetId="46" hidden="1">[1]weekly!#REF!</definedName>
    <definedName name="eee" localSheetId="14" hidden="1">[1]weekly!#REF!</definedName>
    <definedName name="eee" localSheetId="93" hidden="1">[1]weekly!#REF!</definedName>
    <definedName name="eee" localSheetId="47" hidden="1">[1]weekly!#REF!</definedName>
    <definedName name="eee" localSheetId="48" hidden="1">[1]weekly!#REF!</definedName>
    <definedName name="eee" localSheetId="49" hidden="1">[1]weekly!#REF!</definedName>
    <definedName name="eee" localSheetId="50" hidden="1">[1]weekly!#REF!</definedName>
    <definedName name="eee" localSheetId="54" hidden="1">[1]weekly!#REF!</definedName>
    <definedName name="eee" localSheetId="51" hidden="1">[1]weekly!#REF!</definedName>
    <definedName name="eee" localSheetId="52" hidden="1">[1]weekly!#REF!</definedName>
    <definedName name="eee" localSheetId="34" hidden="1">[1]weekly!#REF!</definedName>
    <definedName name="eee" localSheetId="59" hidden="1">[1]weekly!#REF!</definedName>
    <definedName name="eee" localSheetId="53" hidden="1">[1]weekly!#REF!</definedName>
    <definedName name="eee" localSheetId="91" hidden="1">[1]weekly!#REF!</definedName>
    <definedName name="eee" localSheetId="88" hidden="1">[1]weekly!#REF!</definedName>
    <definedName name="eee" localSheetId="90" hidden="1">[1]weekly!#REF!</definedName>
    <definedName name="eee" hidden="1">[1]weekly!#REF!</definedName>
    <definedName name="eeeee" localSheetId="60" hidden="1">[1]weekly!#REF!</definedName>
    <definedName name="eeeee" localSheetId="87" hidden="1">[1]weekly!#REF!</definedName>
    <definedName name="eeeee" localSheetId="36" hidden="1">[1]weekly!#REF!</definedName>
    <definedName name="eeeee" localSheetId="61" hidden="1">[1]weekly!#REF!</definedName>
    <definedName name="eeeee" localSheetId="37" hidden="1">[1]weekly!#REF!</definedName>
    <definedName name="eeeee" localSheetId="17" hidden="1">[1]weekly!#REF!</definedName>
    <definedName name="eeeee" localSheetId="55" hidden="1">[1]weekly!#REF!</definedName>
    <definedName name="eeeee" localSheetId="57" hidden="1">[1]weekly!#REF!</definedName>
    <definedName name="eeeee" localSheetId="15" hidden="1">[1]weekly!#REF!</definedName>
    <definedName name="eeeee" localSheetId="56" hidden="1">[1]weekly!#REF!</definedName>
    <definedName name="eeeee" localSheetId="58" hidden="1">[1]weekly!#REF!</definedName>
    <definedName name="eeeee" localSheetId="19" hidden="1">[1]weekly!#REF!</definedName>
    <definedName name="eeeee" localSheetId="83" hidden="1">[1]weekly!#REF!</definedName>
    <definedName name="eeeee" localSheetId="38" hidden="1">[1]weekly!#REF!</definedName>
    <definedName name="eeeee" localSheetId="39" hidden="1">[1]weekly!#REF!</definedName>
    <definedName name="eeeee" localSheetId="95" hidden="1">[1]weekly!#REF!</definedName>
    <definedName name="eeeee" localSheetId="40" hidden="1">[1]weekly!#REF!</definedName>
    <definedName name="eeeee" localSheetId="92" hidden="1">[1]weekly!#REF!</definedName>
    <definedName name="eeeee" localSheetId="41" hidden="1">[1]weekly!#REF!</definedName>
    <definedName name="eeeee" localSheetId="42" hidden="1">[1]weekly!#REF!</definedName>
    <definedName name="eeeee" localSheetId="43" hidden="1">[1]weekly!#REF!</definedName>
    <definedName name="eeeee" localSheetId="33" hidden="1">[1]weekly!#REF!</definedName>
    <definedName name="eeeee" localSheetId="82" hidden="1">[1]weekly!#REF!</definedName>
    <definedName name="eeeee" localSheetId="44" hidden="1">[1]weekly!#REF!</definedName>
    <definedName name="eeeee" localSheetId="69" hidden="1">[1]weekly!#REF!</definedName>
    <definedName name="eeeee" localSheetId="45" hidden="1">[1]weekly!#REF!</definedName>
    <definedName name="eeeee" localSheetId="24" hidden="1">[1]weekly!#REF!</definedName>
    <definedName name="eeeee" localSheetId="25" hidden="1">[1]weekly!#REF!</definedName>
    <definedName name="eeeee" localSheetId="46" hidden="1">[1]weekly!#REF!</definedName>
    <definedName name="eeeee" localSheetId="14" hidden="1">[1]weekly!#REF!</definedName>
    <definedName name="eeeee" localSheetId="93" hidden="1">[1]weekly!#REF!</definedName>
    <definedName name="eeeee" localSheetId="47" hidden="1">[1]weekly!#REF!</definedName>
    <definedName name="eeeee" localSheetId="48" hidden="1">[1]weekly!#REF!</definedName>
    <definedName name="eeeee" localSheetId="49" hidden="1">[1]weekly!#REF!</definedName>
    <definedName name="eeeee" localSheetId="50" hidden="1">[1]weekly!#REF!</definedName>
    <definedName name="eeeee" localSheetId="54" hidden="1">[1]weekly!#REF!</definedName>
    <definedName name="eeeee" localSheetId="51" hidden="1">[1]weekly!#REF!</definedName>
    <definedName name="eeeee" localSheetId="52" hidden="1">[1]weekly!#REF!</definedName>
    <definedName name="eeeee" localSheetId="34" hidden="1">[1]weekly!#REF!</definedName>
    <definedName name="eeeee" localSheetId="59" hidden="1">[1]weekly!#REF!</definedName>
    <definedName name="eeeee" localSheetId="21" hidden="1">[1]weekly!#REF!</definedName>
    <definedName name="eeeee" localSheetId="22" hidden="1">[1]weekly!#REF!</definedName>
    <definedName name="eeeee" localSheetId="53" hidden="1">[1]weekly!#REF!</definedName>
    <definedName name="eeeee" localSheetId="91" hidden="1">[1]weekly!#REF!</definedName>
    <definedName name="eeeee" localSheetId="88" hidden="1">[1]weekly!#REF!</definedName>
    <definedName name="eeeee" localSheetId="90" hidden="1">[1]weekly!#REF!</definedName>
    <definedName name="eeeee" hidden="1">[1]weekly!#REF!</definedName>
    <definedName name="eeeeee" localSheetId="60" hidden="1">[1]weekly!#REF!</definedName>
    <definedName name="eeeeee" localSheetId="87" hidden="1">[1]weekly!#REF!</definedName>
    <definedName name="eeeeee" localSheetId="36" hidden="1">[1]weekly!#REF!</definedName>
    <definedName name="eeeeee" localSheetId="61" hidden="1">[1]weekly!#REF!</definedName>
    <definedName name="eeeeee" localSheetId="37" hidden="1">[1]weekly!#REF!</definedName>
    <definedName name="eeeeee" localSheetId="17" hidden="1">[1]weekly!#REF!</definedName>
    <definedName name="eeeeee" localSheetId="55" hidden="1">[1]weekly!#REF!</definedName>
    <definedName name="eeeeee" localSheetId="57" hidden="1">[1]weekly!#REF!</definedName>
    <definedName name="eeeeee" localSheetId="15" hidden="1">[1]weekly!#REF!</definedName>
    <definedName name="eeeeee" localSheetId="56" hidden="1">[1]weekly!#REF!</definedName>
    <definedName name="eeeeee" localSheetId="58" hidden="1">[1]weekly!#REF!</definedName>
    <definedName name="eeeeee" localSheetId="19" hidden="1">[1]weekly!#REF!</definedName>
    <definedName name="eeeeee" localSheetId="83" hidden="1">[1]weekly!#REF!</definedName>
    <definedName name="eeeeee" localSheetId="38" hidden="1">[1]weekly!#REF!</definedName>
    <definedName name="eeeeee" localSheetId="39" hidden="1">[1]weekly!#REF!</definedName>
    <definedName name="eeeeee" localSheetId="95" hidden="1">[1]weekly!#REF!</definedName>
    <definedName name="eeeeee" localSheetId="40" hidden="1">[1]weekly!#REF!</definedName>
    <definedName name="eeeeee" localSheetId="92" hidden="1">[1]weekly!#REF!</definedName>
    <definedName name="eeeeee" localSheetId="41" hidden="1">[1]weekly!#REF!</definedName>
    <definedName name="eeeeee" localSheetId="42" hidden="1">[1]weekly!#REF!</definedName>
    <definedName name="eeeeee" localSheetId="43" hidden="1">[1]weekly!#REF!</definedName>
    <definedName name="eeeeee" localSheetId="33" hidden="1">[1]weekly!#REF!</definedName>
    <definedName name="eeeeee" localSheetId="82" hidden="1">[1]weekly!#REF!</definedName>
    <definedName name="eeeeee" localSheetId="44" hidden="1">[1]weekly!#REF!</definedName>
    <definedName name="eeeeee" localSheetId="69" hidden="1">[1]weekly!#REF!</definedName>
    <definedName name="eeeeee" localSheetId="45" hidden="1">[1]weekly!#REF!</definedName>
    <definedName name="eeeeee" localSheetId="24" hidden="1">[1]weekly!#REF!</definedName>
    <definedName name="eeeeee" localSheetId="25" hidden="1">[1]weekly!#REF!</definedName>
    <definedName name="eeeeee" localSheetId="46" hidden="1">[1]weekly!#REF!</definedName>
    <definedName name="eeeeee" localSheetId="14" hidden="1">[1]weekly!#REF!</definedName>
    <definedName name="eeeeee" localSheetId="93" hidden="1">[1]weekly!#REF!</definedName>
    <definedName name="eeeeee" localSheetId="47" hidden="1">[1]weekly!#REF!</definedName>
    <definedName name="eeeeee" localSheetId="48" hidden="1">[1]weekly!#REF!</definedName>
    <definedName name="eeeeee" localSheetId="49" hidden="1">[1]weekly!#REF!</definedName>
    <definedName name="eeeeee" localSheetId="50" hidden="1">[1]weekly!#REF!</definedName>
    <definedName name="eeeeee" localSheetId="54" hidden="1">[1]weekly!#REF!</definedName>
    <definedName name="eeeeee" localSheetId="51" hidden="1">[1]weekly!#REF!</definedName>
    <definedName name="eeeeee" localSheetId="52" hidden="1">[1]weekly!#REF!</definedName>
    <definedName name="eeeeee" localSheetId="34" hidden="1">[1]weekly!#REF!</definedName>
    <definedName name="eeeeee" localSheetId="59" hidden="1">[1]weekly!#REF!</definedName>
    <definedName name="eeeeee" localSheetId="21" hidden="1">[1]weekly!#REF!</definedName>
    <definedName name="eeeeee" localSheetId="22" hidden="1">[1]weekly!#REF!</definedName>
    <definedName name="eeeeee" localSheetId="53" hidden="1">[1]weekly!#REF!</definedName>
    <definedName name="eeeeee" localSheetId="91" hidden="1">[1]weekly!#REF!</definedName>
    <definedName name="eeeeee" localSheetId="88" hidden="1">[1]weekly!#REF!</definedName>
    <definedName name="eeeeee" localSheetId="90" hidden="1">[1]weekly!#REF!</definedName>
    <definedName name="eeeeee" hidden="1">[1]weekly!#REF!</definedName>
    <definedName name="eeeeeeeeeeeeeeeee" localSheetId="60" hidden="1">[1]weekly!#REF!</definedName>
    <definedName name="eeeeeeeeeeeeeeeee" localSheetId="87" hidden="1">[1]weekly!#REF!</definedName>
    <definedName name="eeeeeeeeeeeeeeeee" localSheetId="36" hidden="1">[1]weekly!#REF!</definedName>
    <definedName name="eeeeeeeeeeeeeeeee" localSheetId="61" hidden="1">[1]weekly!#REF!</definedName>
    <definedName name="eeeeeeeeeeeeeeeee" localSheetId="37" hidden="1">[1]weekly!#REF!</definedName>
    <definedName name="eeeeeeeeeeeeeeeee" localSheetId="17" hidden="1">[1]weekly!#REF!</definedName>
    <definedName name="eeeeeeeeeeeeeeeee" localSheetId="55" hidden="1">[1]weekly!#REF!</definedName>
    <definedName name="eeeeeeeeeeeeeeeee" localSheetId="57" hidden="1">[1]weekly!#REF!</definedName>
    <definedName name="eeeeeeeeeeeeeeeee" localSheetId="15" hidden="1">[1]weekly!#REF!</definedName>
    <definedName name="eeeeeeeeeeeeeeeee" localSheetId="56" hidden="1">[1]weekly!#REF!</definedName>
    <definedName name="eeeeeeeeeeeeeeeee" localSheetId="58" hidden="1">[1]weekly!#REF!</definedName>
    <definedName name="eeeeeeeeeeeeeeeee" localSheetId="19" hidden="1">[1]weekly!#REF!</definedName>
    <definedName name="eeeeeeeeeeeeeeeee" localSheetId="83" hidden="1">[1]weekly!#REF!</definedName>
    <definedName name="eeeeeeeeeeeeeeeee" localSheetId="38" hidden="1">[1]weekly!#REF!</definedName>
    <definedName name="eeeeeeeeeeeeeeeee" localSheetId="39" hidden="1">[1]weekly!#REF!</definedName>
    <definedName name="eeeeeeeeeeeeeeeee" localSheetId="95" hidden="1">[1]weekly!#REF!</definedName>
    <definedName name="eeeeeeeeeeeeeeeee" localSheetId="40" hidden="1">[1]weekly!#REF!</definedName>
    <definedName name="eeeeeeeeeeeeeeeee" localSheetId="92" hidden="1">[1]weekly!#REF!</definedName>
    <definedName name="eeeeeeeeeeeeeeeee" localSheetId="41" hidden="1">[1]weekly!#REF!</definedName>
    <definedName name="eeeeeeeeeeeeeeeee" localSheetId="42" hidden="1">[1]weekly!#REF!</definedName>
    <definedName name="eeeeeeeeeeeeeeeee" localSheetId="43" hidden="1">[1]weekly!#REF!</definedName>
    <definedName name="eeeeeeeeeeeeeeeee" localSheetId="33" hidden="1">[1]weekly!#REF!</definedName>
    <definedName name="eeeeeeeeeeeeeeeee" localSheetId="82" hidden="1">[1]weekly!#REF!</definedName>
    <definedName name="eeeeeeeeeeeeeeeee" localSheetId="44" hidden="1">[1]weekly!#REF!</definedName>
    <definedName name="eeeeeeeeeeeeeeeee" localSheetId="69" hidden="1">[1]weekly!#REF!</definedName>
    <definedName name="eeeeeeeeeeeeeeeee" localSheetId="45" hidden="1">[1]weekly!#REF!</definedName>
    <definedName name="eeeeeeeeeeeeeeeee" localSheetId="24" hidden="1">[1]weekly!#REF!</definedName>
    <definedName name="eeeeeeeeeeeeeeeee" localSheetId="25" hidden="1">[1]weekly!#REF!</definedName>
    <definedName name="eeeeeeeeeeeeeeeee" localSheetId="46" hidden="1">[1]weekly!#REF!</definedName>
    <definedName name="eeeeeeeeeeeeeeeee" localSheetId="14" hidden="1">[1]weekly!#REF!</definedName>
    <definedName name="eeeeeeeeeeeeeeeee" localSheetId="93" hidden="1">[1]weekly!#REF!</definedName>
    <definedName name="eeeeeeeeeeeeeeeee" localSheetId="47" hidden="1">[1]weekly!#REF!</definedName>
    <definedName name="eeeeeeeeeeeeeeeee" localSheetId="48" hidden="1">[1]weekly!#REF!</definedName>
    <definedName name="eeeeeeeeeeeeeeeee" localSheetId="49" hidden="1">[1]weekly!#REF!</definedName>
    <definedName name="eeeeeeeeeeeeeeeee" localSheetId="50" hidden="1">[1]weekly!#REF!</definedName>
    <definedName name="eeeeeeeeeeeeeeeee" localSheetId="54" hidden="1">[1]weekly!#REF!</definedName>
    <definedName name="eeeeeeeeeeeeeeeee" localSheetId="51" hidden="1">[1]weekly!#REF!</definedName>
    <definedName name="eeeeeeeeeeeeeeeee" localSheetId="52" hidden="1">[1]weekly!#REF!</definedName>
    <definedName name="eeeeeeeeeeeeeeeee" localSheetId="34" hidden="1">[1]weekly!#REF!</definedName>
    <definedName name="eeeeeeeeeeeeeeeee" localSheetId="59" hidden="1">[1]weekly!#REF!</definedName>
    <definedName name="eeeeeeeeeeeeeeeee" localSheetId="21" hidden="1">[1]weekly!#REF!</definedName>
    <definedName name="eeeeeeeeeeeeeeeee" localSheetId="22" hidden="1">[1]weekly!#REF!</definedName>
    <definedName name="eeeeeeeeeeeeeeeee" localSheetId="53" hidden="1">[1]weekly!#REF!</definedName>
    <definedName name="eeeeeeeeeeeeeeeee" localSheetId="91" hidden="1">[1]weekly!#REF!</definedName>
    <definedName name="eeeeeeeeeeeeeeeee" localSheetId="88" hidden="1">[1]weekly!#REF!</definedName>
    <definedName name="eeeeeeeeeeeeeeeee" localSheetId="90" hidden="1">[1]weekly!#REF!</definedName>
    <definedName name="eeeeeeeeeeeeeeeee" hidden="1">[1]weekly!#REF!</definedName>
    <definedName name="eeeeeeeeeeeeeeeeeeeeee" localSheetId="60" hidden="1">[1]weekly!#REF!</definedName>
    <definedName name="eeeeeeeeeeeeeeeeeeeeee" localSheetId="87" hidden="1">[1]weekly!#REF!</definedName>
    <definedName name="eeeeeeeeeeeeeeeeeeeeee" localSheetId="36" hidden="1">[1]weekly!#REF!</definedName>
    <definedName name="eeeeeeeeeeeeeeeeeeeeee" localSheetId="61" hidden="1">[1]weekly!#REF!</definedName>
    <definedName name="eeeeeeeeeeeeeeeeeeeeee" localSheetId="37" hidden="1">[1]weekly!#REF!</definedName>
    <definedName name="eeeeeeeeeeeeeeeeeeeeee" localSheetId="17" hidden="1">[1]weekly!#REF!</definedName>
    <definedName name="eeeeeeeeeeeeeeeeeeeeee" localSheetId="55" hidden="1">[1]weekly!#REF!</definedName>
    <definedName name="eeeeeeeeeeeeeeeeeeeeee" localSheetId="57" hidden="1">[1]weekly!#REF!</definedName>
    <definedName name="eeeeeeeeeeeeeeeeeeeeee" localSheetId="15" hidden="1">[1]weekly!#REF!</definedName>
    <definedName name="eeeeeeeeeeeeeeeeeeeeee" localSheetId="56" hidden="1">[1]weekly!#REF!</definedName>
    <definedName name="eeeeeeeeeeeeeeeeeeeeee" localSheetId="58" hidden="1">[1]weekly!#REF!</definedName>
    <definedName name="eeeeeeeeeeeeeeeeeeeeee" localSheetId="19" hidden="1">[1]weekly!#REF!</definedName>
    <definedName name="eeeeeeeeeeeeeeeeeeeeee" localSheetId="83" hidden="1">[1]weekly!#REF!</definedName>
    <definedName name="eeeeeeeeeeeeeeeeeeeeee" localSheetId="38" hidden="1">[1]weekly!#REF!</definedName>
    <definedName name="eeeeeeeeeeeeeeeeeeeeee" localSheetId="39" hidden="1">[1]weekly!#REF!</definedName>
    <definedName name="eeeeeeeeeeeeeeeeeeeeee" localSheetId="95" hidden="1">[1]weekly!#REF!</definedName>
    <definedName name="eeeeeeeeeeeeeeeeeeeeee" localSheetId="40" hidden="1">[1]weekly!#REF!</definedName>
    <definedName name="eeeeeeeeeeeeeeeeeeeeee" localSheetId="92" hidden="1">[1]weekly!#REF!</definedName>
    <definedName name="eeeeeeeeeeeeeeeeeeeeee" localSheetId="41" hidden="1">[1]weekly!#REF!</definedName>
    <definedName name="eeeeeeeeeeeeeeeeeeeeee" localSheetId="42" hidden="1">[1]weekly!#REF!</definedName>
    <definedName name="eeeeeeeeeeeeeeeeeeeeee" localSheetId="43" hidden="1">[1]weekly!#REF!</definedName>
    <definedName name="eeeeeeeeeeeeeeeeeeeeee" localSheetId="33" hidden="1">[1]weekly!#REF!</definedName>
    <definedName name="eeeeeeeeeeeeeeeeeeeeee" localSheetId="82" hidden="1">[1]weekly!#REF!</definedName>
    <definedName name="eeeeeeeeeeeeeeeeeeeeee" localSheetId="44" hidden="1">[1]weekly!#REF!</definedName>
    <definedName name="eeeeeeeeeeeeeeeeeeeeee" localSheetId="69" hidden="1">[1]weekly!#REF!</definedName>
    <definedName name="eeeeeeeeeeeeeeeeeeeeee" localSheetId="45" hidden="1">[1]weekly!#REF!</definedName>
    <definedName name="eeeeeeeeeeeeeeeeeeeeee" localSheetId="24" hidden="1">[1]weekly!#REF!</definedName>
    <definedName name="eeeeeeeeeeeeeeeeeeeeee" localSheetId="25" hidden="1">[1]weekly!#REF!</definedName>
    <definedName name="eeeeeeeeeeeeeeeeeeeeee" localSheetId="46" hidden="1">[1]weekly!#REF!</definedName>
    <definedName name="eeeeeeeeeeeeeeeeeeeeee" localSheetId="14" hidden="1">[1]weekly!#REF!</definedName>
    <definedName name="eeeeeeeeeeeeeeeeeeeeee" localSheetId="93" hidden="1">[1]weekly!#REF!</definedName>
    <definedName name="eeeeeeeeeeeeeeeeeeeeee" localSheetId="47" hidden="1">[1]weekly!#REF!</definedName>
    <definedName name="eeeeeeeeeeeeeeeeeeeeee" localSheetId="48" hidden="1">[1]weekly!#REF!</definedName>
    <definedName name="eeeeeeeeeeeeeeeeeeeeee" localSheetId="49" hidden="1">[1]weekly!#REF!</definedName>
    <definedName name="eeeeeeeeeeeeeeeeeeeeee" localSheetId="50" hidden="1">[1]weekly!#REF!</definedName>
    <definedName name="eeeeeeeeeeeeeeeeeeeeee" localSheetId="54" hidden="1">[1]weekly!#REF!</definedName>
    <definedName name="eeeeeeeeeeeeeeeeeeeeee" localSheetId="51" hidden="1">[1]weekly!#REF!</definedName>
    <definedName name="eeeeeeeeeeeeeeeeeeeeee" localSheetId="52" hidden="1">[1]weekly!#REF!</definedName>
    <definedName name="eeeeeeeeeeeeeeeeeeeeee" localSheetId="34" hidden="1">[1]weekly!#REF!</definedName>
    <definedName name="eeeeeeeeeeeeeeeeeeeeee" localSheetId="59" hidden="1">[1]weekly!#REF!</definedName>
    <definedName name="eeeeeeeeeeeeeeeeeeeeee" localSheetId="21" hidden="1">[1]weekly!#REF!</definedName>
    <definedName name="eeeeeeeeeeeeeeeeeeeeee" localSheetId="22" hidden="1">[1]weekly!#REF!</definedName>
    <definedName name="eeeeeeeeeeeeeeeeeeeeee" localSheetId="53" hidden="1">[1]weekly!#REF!</definedName>
    <definedName name="eeeeeeeeeeeeeeeeeeeeee" localSheetId="91" hidden="1">[1]weekly!#REF!</definedName>
    <definedName name="eeeeeeeeeeeeeeeeeeeeee" localSheetId="88" hidden="1">[1]weekly!#REF!</definedName>
    <definedName name="eeeeeeeeeeeeeeeeeeeeee" localSheetId="90" hidden="1">[1]weekly!#REF!</definedName>
    <definedName name="eeeeeeeeeeeeeeeeeeeeee" hidden="1">[1]weekly!#REF!</definedName>
    <definedName name="efeef" localSheetId="60" hidden="1">[1]weekly!#REF!</definedName>
    <definedName name="efeef" localSheetId="87" hidden="1">[1]weekly!#REF!</definedName>
    <definedName name="efeef" localSheetId="36" hidden="1">[1]weekly!#REF!</definedName>
    <definedName name="efeef" localSheetId="61" hidden="1">[1]weekly!#REF!</definedName>
    <definedName name="efeef" localSheetId="37" hidden="1">[1]weekly!#REF!</definedName>
    <definedName name="efeef" localSheetId="17" hidden="1">[1]weekly!#REF!</definedName>
    <definedName name="efeef" localSheetId="57" hidden="1">[1]weekly!#REF!</definedName>
    <definedName name="efeef" localSheetId="56" hidden="1">[1]weekly!#REF!</definedName>
    <definedName name="efeef" localSheetId="58" hidden="1">[1]weekly!#REF!</definedName>
    <definedName name="efeef" localSheetId="19" hidden="1">[1]weekly!#REF!</definedName>
    <definedName name="efeef" localSheetId="83" hidden="1">[1]weekly!#REF!</definedName>
    <definedName name="efeef" localSheetId="38" hidden="1">[1]weekly!#REF!</definedName>
    <definedName name="efeef" localSheetId="39" hidden="1">[1]weekly!#REF!</definedName>
    <definedName name="efeef" localSheetId="95" hidden="1">[1]weekly!#REF!</definedName>
    <definedName name="efeef" localSheetId="40" hidden="1">[1]weekly!#REF!</definedName>
    <definedName name="efeef" localSheetId="92" hidden="1">[1]weekly!#REF!</definedName>
    <definedName name="efeef" localSheetId="41" hidden="1">[1]weekly!#REF!</definedName>
    <definedName name="efeef" localSheetId="42" hidden="1">[1]weekly!#REF!</definedName>
    <definedName name="efeef" localSheetId="43" hidden="1">[1]weekly!#REF!</definedName>
    <definedName name="efeef" localSheetId="33" hidden="1">[1]weekly!#REF!</definedName>
    <definedName name="efeef" localSheetId="82" hidden="1">[1]weekly!#REF!</definedName>
    <definedName name="efeef" localSheetId="44" hidden="1">[1]weekly!#REF!</definedName>
    <definedName name="efeef" localSheetId="69" hidden="1">[1]weekly!#REF!</definedName>
    <definedName name="efeef" localSheetId="45" hidden="1">[1]weekly!#REF!</definedName>
    <definedName name="efeef" localSheetId="24" hidden="1">[1]weekly!#REF!</definedName>
    <definedName name="efeef" localSheetId="25" hidden="1">[1]weekly!#REF!</definedName>
    <definedName name="efeef" localSheetId="46" hidden="1">[1]weekly!#REF!</definedName>
    <definedName name="efeef" localSheetId="14" hidden="1">[1]weekly!#REF!</definedName>
    <definedName name="efeef" localSheetId="93" hidden="1">[1]weekly!#REF!</definedName>
    <definedName name="efeef" localSheetId="47" hidden="1">[1]weekly!#REF!</definedName>
    <definedName name="efeef" localSheetId="48" hidden="1">[1]weekly!#REF!</definedName>
    <definedName name="efeef" localSheetId="49" hidden="1">[1]weekly!#REF!</definedName>
    <definedName name="efeef" localSheetId="50" hidden="1">[1]weekly!#REF!</definedName>
    <definedName name="efeef" localSheetId="54" hidden="1">[1]weekly!#REF!</definedName>
    <definedName name="efeef" localSheetId="51" hidden="1">[1]weekly!#REF!</definedName>
    <definedName name="efeef" localSheetId="52" hidden="1">[1]weekly!#REF!</definedName>
    <definedName name="efeef" localSheetId="34" hidden="1">[1]weekly!#REF!</definedName>
    <definedName name="efeef" localSheetId="59" hidden="1">[1]weekly!#REF!</definedName>
    <definedName name="efeef" localSheetId="21" hidden="1">[1]weekly!#REF!</definedName>
    <definedName name="efeef" localSheetId="22" hidden="1">[1]weekly!#REF!</definedName>
    <definedName name="efeef" localSheetId="53" hidden="1">[1]weekly!#REF!</definedName>
    <definedName name="efeef" localSheetId="91" hidden="1">[1]weekly!#REF!</definedName>
    <definedName name="efeef" localSheetId="88" hidden="1">[1]weekly!#REF!</definedName>
    <definedName name="efeef" localSheetId="90" hidden="1">[1]weekly!#REF!</definedName>
    <definedName name="efeef" hidden="1">[1]weekly!#REF!</definedName>
    <definedName name="efefefefe" localSheetId="60" hidden="1">[1]weekly!#REF!</definedName>
    <definedName name="efefefefe" localSheetId="87" hidden="1">[1]weekly!#REF!</definedName>
    <definedName name="efefefefe" localSheetId="36" hidden="1">[1]weekly!#REF!</definedName>
    <definedName name="efefefefe" localSheetId="61" hidden="1">[1]weekly!#REF!</definedName>
    <definedName name="efefefefe" localSheetId="37" hidden="1">[1]weekly!#REF!</definedName>
    <definedName name="efefefefe" localSheetId="17" hidden="1">[1]weekly!#REF!</definedName>
    <definedName name="efefefefe" localSheetId="57" hidden="1">[1]weekly!#REF!</definedName>
    <definedName name="efefefefe" localSheetId="56" hidden="1">[1]weekly!#REF!</definedName>
    <definedName name="efefefefe" localSheetId="58" hidden="1">[1]weekly!#REF!</definedName>
    <definedName name="efefefefe" localSheetId="19" hidden="1">[1]weekly!#REF!</definedName>
    <definedName name="efefefefe" localSheetId="83" hidden="1">[1]weekly!#REF!</definedName>
    <definedName name="efefefefe" localSheetId="38" hidden="1">[1]weekly!#REF!</definedName>
    <definedName name="efefefefe" localSheetId="39" hidden="1">[1]weekly!#REF!</definedName>
    <definedName name="efefefefe" localSheetId="95" hidden="1">[1]weekly!#REF!</definedName>
    <definedName name="efefefefe" localSheetId="40" hidden="1">[1]weekly!#REF!</definedName>
    <definedName name="efefefefe" localSheetId="92" hidden="1">[1]weekly!#REF!</definedName>
    <definedName name="efefefefe" localSheetId="41" hidden="1">[1]weekly!#REF!</definedName>
    <definedName name="efefefefe" localSheetId="42" hidden="1">[1]weekly!#REF!</definedName>
    <definedName name="efefefefe" localSheetId="43" hidden="1">[1]weekly!#REF!</definedName>
    <definedName name="efefefefe" localSheetId="33" hidden="1">[1]weekly!#REF!</definedName>
    <definedName name="efefefefe" localSheetId="82" hidden="1">[1]weekly!#REF!</definedName>
    <definedName name="efefefefe" localSheetId="44" hidden="1">[1]weekly!#REF!</definedName>
    <definedName name="efefefefe" localSheetId="69" hidden="1">[1]weekly!#REF!</definedName>
    <definedName name="efefefefe" localSheetId="45" hidden="1">[1]weekly!#REF!</definedName>
    <definedName name="efefefefe" localSheetId="24" hidden="1">[1]weekly!#REF!</definedName>
    <definedName name="efefefefe" localSheetId="25" hidden="1">[1]weekly!#REF!</definedName>
    <definedName name="efefefefe" localSheetId="46" hidden="1">[1]weekly!#REF!</definedName>
    <definedName name="efefefefe" localSheetId="14" hidden="1">[1]weekly!#REF!</definedName>
    <definedName name="efefefefe" localSheetId="93" hidden="1">[1]weekly!#REF!</definedName>
    <definedName name="efefefefe" localSheetId="47" hidden="1">[1]weekly!#REF!</definedName>
    <definedName name="efefefefe" localSheetId="48" hidden="1">[1]weekly!#REF!</definedName>
    <definedName name="efefefefe" localSheetId="49" hidden="1">[1]weekly!#REF!</definedName>
    <definedName name="efefefefe" localSheetId="50" hidden="1">[1]weekly!#REF!</definedName>
    <definedName name="efefefefe" localSheetId="54" hidden="1">[1]weekly!#REF!</definedName>
    <definedName name="efefefefe" localSheetId="51" hidden="1">[1]weekly!#REF!</definedName>
    <definedName name="efefefefe" localSheetId="52" hidden="1">[1]weekly!#REF!</definedName>
    <definedName name="efefefefe" localSheetId="34" hidden="1">[1]weekly!#REF!</definedName>
    <definedName name="efefefefe" localSheetId="59" hidden="1">[1]weekly!#REF!</definedName>
    <definedName name="efefefefe" localSheetId="21" hidden="1">[1]weekly!#REF!</definedName>
    <definedName name="efefefefe" localSheetId="22" hidden="1">[1]weekly!#REF!</definedName>
    <definedName name="efefefefe" localSheetId="53" hidden="1">[1]weekly!#REF!</definedName>
    <definedName name="efefefefe" localSheetId="91" hidden="1">[1]weekly!#REF!</definedName>
    <definedName name="efefefefe" localSheetId="88" hidden="1">[1]weekly!#REF!</definedName>
    <definedName name="efefefefe" localSheetId="90" hidden="1">[1]weekly!#REF!</definedName>
    <definedName name="efefefefe" hidden="1">[1]weekly!#REF!</definedName>
    <definedName name="efefefefefe" localSheetId="60" hidden="1">[1]weekly!#REF!</definedName>
    <definedName name="efefefefefe" localSheetId="87" hidden="1">[1]weekly!#REF!</definedName>
    <definedName name="efefefefefe" localSheetId="36" hidden="1">[1]weekly!#REF!</definedName>
    <definedName name="efefefefefe" localSheetId="61" hidden="1">[1]weekly!#REF!</definedName>
    <definedName name="efefefefefe" localSheetId="37" hidden="1">[1]weekly!#REF!</definedName>
    <definedName name="efefefefefe" localSheetId="17" hidden="1">[1]weekly!#REF!</definedName>
    <definedName name="efefefefefe" localSheetId="57" hidden="1">[1]weekly!#REF!</definedName>
    <definedName name="efefefefefe" localSheetId="56" hidden="1">[1]weekly!#REF!</definedName>
    <definedName name="efefefefefe" localSheetId="58" hidden="1">[1]weekly!#REF!</definedName>
    <definedName name="efefefefefe" localSheetId="19" hidden="1">[1]weekly!#REF!</definedName>
    <definedName name="efefefefefe" localSheetId="83" hidden="1">[1]weekly!#REF!</definedName>
    <definedName name="efefefefefe" localSheetId="38" hidden="1">[1]weekly!#REF!</definedName>
    <definedName name="efefefefefe" localSheetId="39" hidden="1">[1]weekly!#REF!</definedName>
    <definedName name="efefefefefe" localSheetId="95" hidden="1">[1]weekly!#REF!</definedName>
    <definedName name="efefefefefe" localSheetId="40" hidden="1">[1]weekly!#REF!</definedName>
    <definedName name="efefefefefe" localSheetId="92" hidden="1">[1]weekly!#REF!</definedName>
    <definedName name="efefefefefe" localSheetId="41" hidden="1">[1]weekly!#REF!</definedName>
    <definedName name="efefefefefe" localSheetId="42" hidden="1">[1]weekly!#REF!</definedName>
    <definedName name="efefefefefe" localSheetId="43" hidden="1">[1]weekly!#REF!</definedName>
    <definedName name="efefefefefe" localSheetId="33" hidden="1">[1]weekly!#REF!</definedName>
    <definedName name="efefefefefe" localSheetId="82" hidden="1">[1]weekly!#REF!</definedName>
    <definedName name="efefefefefe" localSheetId="44" hidden="1">[1]weekly!#REF!</definedName>
    <definedName name="efefefefefe" localSheetId="69" hidden="1">[1]weekly!#REF!</definedName>
    <definedName name="efefefefefe" localSheetId="45" hidden="1">[1]weekly!#REF!</definedName>
    <definedName name="efefefefefe" localSheetId="24" hidden="1">[1]weekly!#REF!</definedName>
    <definedName name="efefefefefe" localSheetId="25" hidden="1">[1]weekly!#REF!</definedName>
    <definedName name="efefefefefe" localSheetId="46" hidden="1">[1]weekly!#REF!</definedName>
    <definedName name="efefefefefe" localSheetId="14" hidden="1">[1]weekly!#REF!</definedName>
    <definedName name="efefefefefe" localSheetId="93" hidden="1">[1]weekly!#REF!</definedName>
    <definedName name="efefefefefe" localSheetId="47" hidden="1">[1]weekly!#REF!</definedName>
    <definedName name="efefefefefe" localSheetId="48" hidden="1">[1]weekly!#REF!</definedName>
    <definedName name="efefefefefe" localSheetId="49" hidden="1">[1]weekly!#REF!</definedName>
    <definedName name="efefefefefe" localSheetId="50" hidden="1">[1]weekly!#REF!</definedName>
    <definedName name="efefefefefe" localSheetId="54" hidden="1">[1]weekly!#REF!</definedName>
    <definedName name="efefefefefe" localSheetId="51" hidden="1">[1]weekly!#REF!</definedName>
    <definedName name="efefefefefe" localSheetId="52" hidden="1">[1]weekly!#REF!</definedName>
    <definedName name="efefefefefe" localSheetId="34" hidden="1">[1]weekly!#REF!</definedName>
    <definedName name="efefefefefe" localSheetId="59" hidden="1">[1]weekly!#REF!</definedName>
    <definedName name="efefefefefe" localSheetId="21" hidden="1">[1]weekly!#REF!</definedName>
    <definedName name="efefefefefe" localSheetId="22" hidden="1">[1]weekly!#REF!</definedName>
    <definedName name="efefefefefe" localSheetId="53" hidden="1">[1]weekly!#REF!</definedName>
    <definedName name="efefefefefe" localSheetId="91" hidden="1">[1]weekly!#REF!</definedName>
    <definedName name="efefefefefe" localSheetId="88" hidden="1">[1]weekly!#REF!</definedName>
    <definedName name="efefefefefe" localSheetId="90" hidden="1">[1]weekly!#REF!</definedName>
    <definedName name="efefefefefe" hidden="1">[1]weekly!#REF!</definedName>
    <definedName name="efefeffefefefefefefe" localSheetId="60" hidden="1">[1]weekly!#REF!</definedName>
    <definedName name="efefeffefefefefefefe" localSheetId="87" hidden="1">[1]weekly!#REF!</definedName>
    <definedName name="efefeffefefefefefefe" localSheetId="36" hidden="1">[1]weekly!#REF!</definedName>
    <definedName name="efefeffefefefefefefe" localSheetId="61" hidden="1">[1]weekly!#REF!</definedName>
    <definedName name="efefeffefefefefefefe" localSheetId="37" hidden="1">[1]weekly!#REF!</definedName>
    <definedName name="efefeffefefefefefefe" localSheetId="17" hidden="1">[1]weekly!#REF!</definedName>
    <definedName name="efefeffefefefefefefe" localSheetId="57" hidden="1">[1]weekly!#REF!</definedName>
    <definedName name="efefeffefefefefefefe" localSheetId="56" hidden="1">[1]weekly!#REF!</definedName>
    <definedName name="efefeffefefefefefefe" localSheetId="58" hidden="1">[1]weekly!#REF!</definedName>
    <definedName name="efefeffefefefefefefe" localSheetId="19" hidden="1">[1]weekly!#REF!</definedName>
    <definedName name="efefeffefefefefefefe" localSheetId="83" hidden="1">[1]weekly!#REF!</definedName>
    <definedName name="efefeffefefefefefefe" localSheetId="38" hidden="1">[1]weekly!#REF!</definedName>
    <definedName name="efefeffefefefefefefe" localSheetId="39" hidden="1">[1]weekly!#REF!</definedName>
    <definedName name="efefeffefefefefefefe" localSheetId="95" hidden="1">[1]weekly!#REF!</definedName>
    <definedName name="efefeffefefefefefefe" localSheetId="40" hidden="1">[1]weekly!#REF!</definedName>
    <definedName name="efefeffefefefefefefe" localSheetId="92" hidden="1">[1]weekly!#REF!</definedName>
    <definedName name="efefeffefefefefefefe" localSheetId="41" hidden="1">[1]weekly!#REF!</definedName>
    <definedName name="efefeffefefefefefefe" localSheetId="42" hidden="1">[1]weekly!#REF!</definedName>
    <definedName name="efefeffefefefefefefe" localSheetId="43" hidden="1">[1]weekly!#REF!</definedName>
    <definedName name="efefeffefefefefefefe" localSheetId="33" hidden="1">[1]weekly!#REF!</definedName>
    <definedName name="efefeffefefefefefefe" localSheetId="82" hidden="1">[1]weekly!#REF!</definedName>
    <definedName name="efefeffefefefefefefe" localSheetId="44" hidden="1">[1]weekly!#REF!</definedName>
    <definedName name="efefeffefefefefefefe" localSheetId="69" hidden="1">[1]weekly!#REF!</definedName>
    <definedName name="efefeffefefefefefefe" localSheetId="45" hidden="1">[1]weekly!#REF!</definedName>
    <definedName name="efefeffefefefefefefe" localSheetId="24" hidden="1">[1]weekly!#REF!</definedName>
    <definedName name="efefeffefefefefefefe" localSheetId="25" hidden="1">[1]weekly!#REF!</definedName>
    <definedName name="efefeffefefefefefefe" localSheetId="46" hidden="1">[1]weekly!#REF!</definedName>
    <definedName name="efefeffefefefefefefe" localSheetId="14" hidden="1">[1]weekly!#REF!</definedName>
    <definedName name="efefeffefefefefefefe" localSheetId="93" hidden="1">[1]weekly!#REF!</definedName>
    <definedName name="efefeffefefefefefefe" localSheetId="47" hidden="1">[1]weekly!#REF!</definedName>
    <definedName name="efefeffefefefefefefe" localSheetId="48" hidden="1">[1]weekly!#REF!</definedName>
    <definedName name="efefeffefefefefefefe" localSheetId="49" hidden="1">[1]weekly!#REF!</definedName>
    <definedName name="efefeffefefefefefefe" localSheetId="50" hidden="1">[1]weekly!#REF!</definedName>
    <definedName name="efefeffefefefefefefe" localSheetId="54" hidden="1">[1]weekly!#REF!</definedName>
    <definedName name="efefeffefefefefefefe" localSheetId="51" hidden="1">[1]weekly!#REF!</definedName>
    <definedName name="efefeffefefefefefefe" localSheetId="52" hidden="1">[1]weekly!#REF!</definedName>
    <definedName name="efefeffefefefefefefe" localSheetId="34" hidden="1">[1]weekly!#REF!</definedName>
    <definedName name="efefeffefefefefefefe" localSheetId="59" hidden="1">[1]weekly!#REF!</definedName>
    <definedName name="efefeffefefefefefefe" localSheetId="21" hidden="1">[1]weekly!#REF!</definedName>
    <definedName name="efefeffefefefefefefe" localSheetId="22" hidden="1">[1]weekly!#REF!</definedName>
    <definedName name="efefeffefefefefefefe" localSheetId="53" hidden="1">[1]weekly!#REF!</definedName>
    <definedName name="efefeffefefefefefefe" localSheetId="91" hidden="1">[1]weekly!#REF!</definedName>
    <definedName name="efefeffefefefefefefe" localSheetId="88" hidden="1">[1]weekly!#REF!</definedName>
    <definedName name="efefeffefefefefefefe" localSheetId="90" hidden="1">[1]weekly!#REF!</definedName>
    <definedName name="efefeffefefefefefefe" hidden="1">[1]weekly!#REF!</definedName>
    <definedName name="f" localSheetId="60" hidden="1">[1]weekly!#REF!</definedName>
    <definedName name="f" localSheetId="87" hidden="1">[1]weekly!#REF!</definedName>
    <definedName name="f" localSheetId="36" hidden="1">[1]weekly!#REF!</definedName>
    <definedName name="f" localSheetId="61" hidden="1">[1]weekly!#REF!</definedName>
    <definedName name="f" localSheetId="37" hidden="1">[1]weekly!#REF!</definedName>
    <definedName name="f" localSheetId="57" hidden="1">[1]weekly!#REF!</definedName>
    <definedName name="f" localSheetId="56" hidden="1">[1]weekly!#REF!</definedName>
    <definedName name="f" localSheetId="58" hidden="1">[1]weekly!#REF!</definedName>
    <definedName name="f" localSheetId="83" hidden="1">[1]weekly!#REF!</definedName>
    <definedName name="f" localSheetId="38" hidden="1">[1]weekly!#REF!</definedName>
    <definedName name="f" localSheetId="39" hidden="1">[1]weekly!#REF!</definedName>
    <definedName name="f" localSheetId="95" hidden="1">[1]weekly!#REF!</definedName>
    <definedName name="f" localSheetId="40" hidden="1">[1]weekly!#REF!</definedName>
    <definedName name="f" localSheetId="92" hidden="1">[1]weekly!#REF!</definedName>
    <definedName name="f" localSheetId="41" hidden="1">[1]weekly!#REF!</definedName>
    <definedName name="f" localSheetId="42" hidden="1">[1]weekly!#REF!</definedName>
    <definedName name="f" localSheetId="43" hidden="1">[1]weekly!#REF!</definedName>
    <definedName name="f" localSheetId="33" hidden="1">[1]weekly!#REF!</definedName>
    <definedName name="f" localSheetId="82" hidden="1">[1]weekly!#REF!</definedName>
    <definedName name="f" localSheetId="44" hidden="1">[1]weekly!#REF!</definedName>
    <definedName name="f" localSheetId="69" hidden="1">[1]weekly!#REF!</definedName>
    <definedName name="f" localSheetId="45" hidden="1">[1]weekly!#REF!</definedName>
    <definedName name="f" localSheetId="24" hidden="1">[1]weekly!#REF!</definedName>
    <definedName name="f" localSheetId="25" hidden="1">[1]weekly!#REF!</definedName>
    <definedName name="f" localSheetId="46" hidden="1">[1]weekly!#REF!</definedName>
    <definedName name="f" localSheetId="14" hidden="1">[1]weekly!#REF!</definedName>
    <definedName name="f" localSheetId="93" hidden="1">[1]weekly!#REF!</definedName>
    <definedName name="f" localSheetId="47" hidden="1">[1]weekly!#REF!</definedName>
    <definedName name="f" localSheetId="48" hidden="1">[1]weekly!#REF!</definedName>
    <definedName name="f" localSheetId="49" hidden="1">[1]weekly!#REF!</definedName>
    <definedName name="f" localSheetId="50" hidden="1">[1]weekly!#REF!</definedName>
    <definedName name="f" localSheetId="54" hidden="1">[1]weekly!#REF!</definedName>
    <definedName name="f" localSheetId="51" hidden="1">[1]weekly!#REF!</definedName>
    <definedName name="f" localSheetId="52" hidden="1">[1]weekly!#REF!</definedName>
    <definedName name="f" localSheetId="34" hidden="1">[1]weekly!#REF!</definedName>
    <definedName name="f" localSheetId="59" hidden="1">[1]weekly!#REF!</definedName>
    <definedName name="f" localSheetId="53" hidden="1">[1]weekly!#REF!</definedName>
    <definedName name="f" localSheetId="91" hidden="1">[1]weekly!#REF!</definedName>
    <definedName name="f" localSheetId="88" hidden="1">[1]weekly!#REF!</definedName>
    <definedName name="f" localSheetId="90" hidden="1">[1]weekly!#REF!</definedName>
    <definedName name="f" hidden="1">[1]weekly!#REF!</definedName>
    <definedName name="feefe" localSheetId="60" hidden="1">[1]weekly!#REF!</definedName>
    <definedName name="feefe" localSheetId="87" hidden="1">[1]weekly!#REF!</definedName>
    <definedName name="feefe" localSheetId="36" hidden="1">[1]weekly!#REF!</definedName>
    <definedName name="feefe" localSheetId="61" hidden="1">[1]weekly!#REF!</definedName>
    <definedName name="feefe" localSheetId="37" hidden="1">[1]weekly!#REF!</definedName>
    <definedName name="feefe" localSheetId="17" hidden="1">[1]weekly!#REF!</definedName>
    <definedName name="feefe" localSheetId="57" hidden="1">[1]weekly!#REF!</definedName>
    <definedName name="feefe" localSheetId="56" hidden="1">[1]weekly!#REF!</definedName>
    <definedName name="feefe" localSheetId="58" hidden="1">[1]weekly!#REF!</definedName>
    <definedName name="feefe" localSheetId="19" hidden="1">[1]weekly!#REF!</definedName>
    <definedName name="feefe" localSheetId="83" hidden="1">[1]weekly!#REF!</definedName>
    <definedName name="feefe" localSheetId="38" hidden="1">[1]weekly!#REF!</definedName>
    <definedName name="feefe" localSheetId="39" hidden="1">[1]weekly!#REF!</definedName>
    <definedName name="feefe" localSheetId="95" hidden="1">[1]weekly!#REF!</definedName>
    <definedName name="feefe" localSheetId="40" hidden="1">[1]weekly!#REF!</definedName>
    <definedName name="feefe" localSheetId="92" hidden="1">[1]weekly!#REF!</definedName>
    <definedName name="feefe" localSheetId="41" hidden="1">[1]weekly!#REF!</definedName>
    <definedName name="feefe" localSheetId="42" hidden="1">[1]weekly!#REF!</definedName>
    <definedName name="feefe" localSheetId="43" hidden="1">[1]weekly!#REF!</definedName>
    <definedName name="feefe" localSheetId="33" hidden="1">[1]weekly!#REF!</definedName>
    <definedName name="feefe" localSheetId="82" hidden="1">[1]weekly!#REF!</definedName>
    <definedName name="feefe" localSheetId="44" hidden="1">[1]weekly!#REF!</definedName>
    <definedName name="feefe" localSheetId="69" hidden="1">[1]weekly!#REF!</definedName>
    <definedName name="feefe" localSheetId="45" hidden="1">[1]weekly!#REF!</definedName>
    <definedName name="feefe" localSheetId="24" hidden="1">[1]weekly!#REF!</definedName>
    <definedName name="feefe" localSheetId="25" hidden="1">[1]weekly!#REF!</definedName>
    <definedName name="feefe" localSheetId="46" hidden="1">[1]weekly!#REF!</definedName>
    <definedName name="feefe" localSheetId="14" hidden="1">[1]weekly!#REF!</definedName>
    <definedName name="feefe" localSheetId="93" hidden="1">[1]weekly!#REF!</definedName>
    <definedName name="feefe" localSheetId="47" hidden="1">[1]weekly!#REF!</definedName>
    <definedName name="feefe" localSheetId="48" hidden="1">[1]weekly!#REF!</definedName>
    <definedName name="feefe" localSheetId="49" hidden="1">[1]weekly!#REF!</definedName>
    <definedName name="feefe" localSheetId="50" hidden="1">[1]weekly!#REF!</definedName>
    <definedName name="feefe" localSheetId="54" hidden="1">[1]weekly!#REF!</definedName>
    <definedName name="feefe" localSheetId="51" hidden="1">[1]weekly!#REF!</definedName>
    <definedName name="feefe" localSheetId="52" hidden="1">[1]weekly!#REF!</definedName>
    <definedName name="feefe" localSheetId="34" hidden="1">[1]weekly!#REF!</definedName>
    <definedName name="feefe" localSheetId="59" hidden="1">[1]weekly!#REF!</definedName>
    <definedName name="feefe" localSheetId="21" hidden="1">[1]weekly!#REF!</definedName>
    <definedName name="feefe" localSheetId="22" hidden="1">[1]weekly!#REF!</definedName>
    <definedName name="feefe" localSheetId="53" hidden="1">[1]weekly!#REF!</definedName>
    <definedName name="feefe" localSheetId="91" hidden="1">[1]weekly!#REF!</definedName>
    <definedName name="feefe" localSheetId="88" hidden="1">[1]weekly!#REF!</definedName>
    <definedName name="feefe" localSheetId="90" hidden="1">[1]weekly!#REF!</definedName>
    <definedName name="feefe" hidden="1">[1]weekly!#REF!</definedName>
    <definedName name="fefefefeef" localSheetId="60" hidden="1">[1]weekly!#REF!</definedName>
    <definedName name="fefefefeef" localSheetId="87" hidden="1">[1]weekly!#REF!</definedName>
    <definedName name="fefefefeef" localSheetId="36" hidden="1">[1]weekly!#REF!</definedName>
    <definedName name="fefefefeef" localSheetId="61" hidden="1">[1]weekly!#REF!</definedName>
    <definedName name="fefefefeef" localSheetId="37" hidden="1">[1]weekly!#REF!</definedName>
    <definedName name="fefefefeef" localSheetId="17" hidden="1">[1]weekly!#REF!</definedName>
    <definedName name="fefefefeef" localSheetId="57" hidden="1">[1]weekly!#REF!</definedName>
    <definedName name="fefefefeef" localSheetId="56" hidden="1">[1]weekly!#REF!</definedName>
    <definedName name="fefefefeef" localSheetId="58" hidden="1">[1]weekly!#REF!</definedName>
    <definedName name="fefefefeef" localSheetId="19" hidden="1">[1]weekly!#REF!</definedName>
    <definedName name="fefefefeef" localSheetId="83" hidden="1">[1]weekly!#REF!</definedName>
    <definedName name="fefefefeef" localSheetId="38" hidden="1">[1]weekly!#REF!</definedName>
    <definedName name="fefefefeef" localSheetId="39" hidden="1">[1]weekly!#REF!</definedName>
    <definedName name="fefefefeef" localSheetId="95" hidden="1">[1]weekly!#REF!</definedName>
    <definedName name="fefefefeef" localSheetId="40" hidden="1">[1]weekly!#REF!</definedName>
    <definedName name="fefefefeef" localSheetId="92" hidden="1">[1]weekly!#REF!</definedName>
    <definedName name="fefefefeef" localSheetId="41" hidden="1">[1]weekly!#REF!</definedName>
    <definedName name="fefefefeef" localSheetId="42" hidden="1">[1]weekly!#REF!</definedName>
    <definedName name="fefefefeef" localSheetId="43" hidden="1">[1]weekly!#REF!</definedName>
    <definedName name="fefefefeef" localSheetId="33" hidden="1">[1]weekly!#REF!</definedName>
    <definedName name="fefefefeef" localSheetId="82" hidden="1">[1]weekly!#REF!</definedName>
    <definedName name="fefefefeef" localSheetId="44" hidden="1">[1]weekly!#REF!</definedName>
    <definedName name="fefefefeef" localSheetId="69" hidden="1">[1]weekly!#REF!</definedName>
    <definedName name="fefefefeef" localSheetId="45" hidden="1">[1]weekly!#REF!</definedName>
    <definedName name="fefefefeef" localSheetId="24" hidden="1">[1]weekly!#REF!</definedName>
    <definedName name="fefefefeef" localSheetId="25" hidden="1">[1]weekly!#REF!</definedName>
    <definedName name="fefefefeef" localSheetId="46" hidden="1">[1]weekly!#REF!</definedName>
    <definedName name="fefefefeef" localSheetId="14" hidden="1">[1]weekly!#REF!</definedName>
    <definedName name="fefefefeef" localSheetId="93" hidden="1">[1]weekly!#REF!</definedName>
    <definedName name="fefefefeef" localSheetId="47" hidden="1">[1]weekly!#REF!</definedName>
    <definedName name="fefefefeef" localSheetId="48" hidden="1">[1]weekly!#REF!</definedName>
    <definedName name="fefefefeef" localSheetId="49" hidden="1">[1]weekly!#REF!</definedName>
    <definedName name="fefefefeef" localSheetId="50" hidden="1">[1]weekly!#REF!</definedName>
    <definedName name="fefefefeef" localSheetId="54" hidden="1">[1]weekly!#REF!</definedName>
    <definedName name="fefefefeef" localSheetId="51" hidden="1">[1]weekly!#REF!</definedName>
    <definedName name="fefefefeef" localSheetId="52" hidden="1">[1]weekly!#REF!</definedName>
    <definedName name="fefefefeef" localSheetId="34" hidden="1">[1]weekly!#REF!</definedName>
    <definedName name="fefefefeef" localSheetId="59" hidden="1">[1]weekly!#REF!</definedName>
    <definedName name="fefefefeef" localSheetId="21" hidden="1">[1]weekly!#REF!</definedName>
    <definedName name="fefefefeef" localSheetId="22" hidden="1">[1]weekly!#REF!</definedName>
    <definedName name="fefefefeef" localSheetId="53" hidden="1">[1]weekly!#REF!</definedName>
    <definedName name="fefefefeef" localSheetId="91" hidden="1">[1]weekly!#REF!</definedName>
    <definedName name="fefefefeef" localSheetId="88" hidden="1">[1]weekly!#REF!</definedName>
    <definedName name="fefefefeef" localSheetId="90" hidden="1">[1]weekly!#REF!</definedName>
    <definedName name="fefefefeef" hidden="1">[1]weekly!#REF!</definedName>
    <definedName name="fefefefef" localSheetId="60" hidden="1">[1]weekly!#REF!</definedName>
    <definedName name="fefefefef" localSheetId="87" hidden="1">[1]weekly!#REF!</definedName>
    <definedName name="fefefefef" localSheetId="36" hidden="1">[1]weekly!#REF!</definedName>
    <definedName name="fefefefef" localSheetId="61" hidden="1">[1]weekly!#REF!</definedName>
    <definedName name="fefefefef" localSheetId="37" hidden="1">[1]weekly!#REF!</definedName>
    <definedName name="fefefefef" localSheetId="17" hidden="1">[1]weekly!#REF!</definedName>
    <definedName name="fefefefef" localSheetId="57" hidden="1">[1]weekly!#REF!</definedName>
    <definedName name="fefefefef" localSheetId="56" hidden="1">[1]weekly!#REF!</definedName>
    <definedName name="fefefefef" localSheetId="58" hidden="1">[1]weekly!#REF!</definedName>
    <definedName name="fefefefef" localSheetId="19" hidden="1">[1]weekly!#REF!</definedName>
    <definedName name="fefefefef" localSheetId="83" hidden="1">[1]weekly!#REF!</definedName>
    <definedName name="fefefefef" localSheetId="38" hidden="1">[1]weekly!#REF!</definedName>
    <definedName name="fefefefef" localSheetId="39" hidden="1">[1]weekly!#REF!</definedName>
    <definedName name="fefefefef" localSheetId="95" hidden="1">[1]weekly!#REF!</definedName>
    <definedName name="fefefefef" localSheetId="40" hidden="1">[1]weekly!#REF!</definedName>
    <definedName name="fefefefef" localSheetId="92" hidden="1">[1]weekly!#REF!</definedName>
    <definedName name="fefefefef" localSheetId="41" hidden="1">[1]weekly!#REF!</definedName>
    <definedName name="fefefefef" localSheetId="42" hidden="1">[1]weekly!#REF!</definedName>
    <definedName name="fefefefef" localSheetId="43" hidden="1">[1]weekly!#REF!</definedName>
    <definedName name="fefefefef" localSheetId="33" hidden="1">[1]weekly!#REF!</definedName>
    <definedName name="fefefefef" localSheetId="82" hidden="1">[1]weekly!#REF!</definedName>
    <definedName name="fefefefef" localSheetId="44" hidden="1">[1]weekly!#REF!</definedName>
    <definedName name="fefefefef" localSheetId="69" hidden="1">[1]weekly!#REF!</definedName>
    <definedName name="fefefefef" localSheetId="45" hidden="1">[1]weekly!#REF!</definedName>
    <definedName name="fefefefef" localSheetId="24" hidden="1">[1]weekly!#REF!</definedName>
    <definedName name="fefefefef" localSheetId="25" hidden="1">[1]weekly!#REF!</definedName>
    <definedName name="fefefefef" localSheetId="46" hidden="1">[1]weekly!#REF!</definedName>
    <definedName name="fefefefef" localSheetId="14" hidden="1">[1]weekly!#REF!</definedName>
    <definedName name="fefefefef" localSheetId="93" hidden="1">[1]weekly!#REF!</definedName>
    <definedName name="fefefefef" localSheetId="47" hidden="1">[1]weekly!#REF!</definedName>
    <definedName name="fefefefef" localSheetId="48" hidden="1">[1]weekly!#REF!</definedName>
    <definedName name="fefefefef" localSheetId="49" hidden="1">[1]weekly!#REF!</definedName>
    <definedName name="fefefefef" localSheetId="50" hidden="1">[1]weekly!#REF!</definedName>
    <definedName name="fefefefef" localSheetId="54" hidden="1">[1]weekly!#REF!</definedName>
    <definedName name="fefefefef" localSheetId="51" hidden="1">[1]weekly!#REF!</definedName>
    <definedName name="fefefefef" localSheetId="52" hidden="1">[1]weekly!#REF!</definedName>
    <definedName name="fefefefef" localSheetId="34" hidden="1">[1]weekly!#REF!</definedName>
    <definedName name="fefefefef" localSheetId="59" hidden="1">[1]weekly!#REF!</definedName>
    <definedName name="fefefefef" localSheetId="21" hidden="1">[1]weekly!#REF!</definedName>
    <definedName name="fefefefef" localSheetId="22" hidden="1">[1]weekly!#REF!</definedName>
    <definedName name="fefefefef" localSheetId="53" hidden="1">[1]weekly!#REF!</definedName>
    <definedName name="fefefefef" localSheetId="91" hidden="1">[1]weekly!#REF!</definedName>
    <definedName name="fefefefef" localSheetId="88" hidden="1">[1]weekly!#REF!</definedName>
    <definedName name="fefefefef" localSheetId="90" hidden="1">[1]weekly!#REF!</definedName>
    <definedName name="fefefefef" hidden="1">[1]weekly!#REF!</definedName>
    <definedName name="fefefefefefe" localSheetId="60" hidden="1">[1]weekly!#REF!</definedName>
    <definedName name="fefefefefefe" localSheetId="87" hidden="1">[1]weekly!#REF!</definedName>
    <definedName name="fefefefefefe" localSheetId="36" hidden="1">[1]weekly!#REF!</definedName>
    <definedName name="fefefefefefe" localSheetId="61" hidden="1">[1]weekly!#REF!</definedName>
    <definedName name="fefefefefefe" localSheetId="37" hidden="1">[1]weekly!#REF!</definedName>
    <definedName name="fefefefefefe" localSheetId="17" hidden="1">[1]weekly!#REF!</definedName>
    <definedName name="fefefefefefe" localSheetId="57" hidden="1">[1]weekly!#REF!</definedName>
    <definedName name="fefefefefefe" localSheetId="56" hidden="1">[1]weekly!#REF!</definedName>
    <definedName name="fefefefefefe" localSheetId="58" hidden="1">[1]weekly!#REF!</definedName>
    <definedName name="fefefefefefe" localSheetId="19" hidden="1">[1]weekly!#REF!</definedName>
    <definedName name="fefefefefefe" localSheetId="83" hidden="1">[1]weekly!#REF!</definedName>
    <definedName name="fefefefefefe" localSheetId="38" hidden="1">[1]weekly!#REF!</definedName>
    <definedName name="fefefefefefe" localSheetId="39" hidden="1">[1]weekly!#REF!</definedName>
    <definedName name="fefefefefefe" localSheetId="95" hidden="1">[1]weekly!#REF!</definedName>
    <definedName name="fefefefefefe" localSheetId="40" hidden="1">[1]weekly!#REF!</definedName>
    <definedName name="fefefefefefe" localSheetId="92" hidden="1">[1]weekly!#REF!</definedName>
    <definedName name="fefefefefefe" localSheetId="41" hidden="1">[1]weekly!#REF!</definedName>
    <definedName name="fefefefefefe" localSheetId="42" hidden="1">[1]weekly!#REF!</definedName>
    <definedName name="fefefefefefe" localSheetId="43" hidden="1">[1]weekly!#REF!</definedName>
    <definedName name="fefefefefefe" localSheetId="33" hidden="1">[1]weekly!#REF!</definedName>
    <definedName name="fefefefefefe" localSheetId="82" hidden="1">[1]weekly!#REF!</definedName>
    <definedName name="fefefefefefe" localSheetId="44" hidden="1">[1]weekly!#REF!</definedName>
    <definedName name="fefefefefefe" localSheetId="69" hidden="1">[1]weekly!#REF!</definedName>
    <definedName name="fefefefefefe" localSheetId="45" hidden="1">[1]weekly!#REF!</definedName>
    <definedName name="fefefefefefe" localSheetId="24" hidden="1">[1]weekly!#REF!</definedName>
    <definedName name="fefefefefefe" localSheetId="25" hidden="1">[1]weekly!#REF!</definedName>
    <definedName name="fefefefefefe" localSheetId="46" hidden="1">[1]weekly!#REF!</definedName>
    <definedName name="fefefefefefe" localSheetId="14" hidden="1">[1]weekly!#REF!</definedName>
    <definedName name="fefefefefefe" localSheetId="93" hidden="1">[1]weekly!#REF!</definedName>
    <definedName name="fefefefefefe" localSheetId="47" hidden="1">[1]weekly!#REF!</definedName>
    <definedName name="fefefefefefe" localSheetId="48" hidden="1">[1]weekly!#REF!</definedName>
    <definedName name="fefefefefefe" localSheetId="49" hidden="1">[1]weekly!#REF!</definedName>
    <definedName name="fefefefefefe" localSheetId="50" hidden="1">[1]weekly!#REF!</definedName>
    <definedName name="fefefefefefe" localSheetId="54" hidden="1">[1]weekly!#REF!</definedName>
    <definedName name="fefefefefefe" localSheetId="51" hidden="1">[1]weekly!#REF!</definedName>
    <definedName name="fefefefefefe" localSheetId="52" hidden="1">[1]weekly!#REF!</definedName>
    <definedName name="fefefefefefe" localSheetId="34" hidden="1">[1]weekly!#REF!</definedName>
    <definedName name="fefefefefefe" localSheetId="59" hidden="1">[1]weekly!#REF!</definedName>
    <definedName name="fefefefefefe" localSheetId="21" hidden="1">[1]weekly!#REF!</definedName>
    <definedName name="fefefefefefe" localSheetId="22" hidden="1">[1]weekly!#REF!</definedName>
    <definedName name="fefefefefefe" localSheetId="53" hidden="1">[1]weekly!#REF!</definedName>
    <definedName name="fefefefefefe" localSheetId="91" hidden="1">[1]weekly!#REF!</definedName>
    <definedName name="fefefefefefe" localSheetId="88" hidden="1">[1]weekly!#REF!</definedName>
    <definedName name="fefefefefefe" localSheetId="90" hidden="1">[1]weekly!#REF!</definedName>
    <definedName name="fefefefefefe" hidden="1">[1]weekly!#REF!</definedName>
    <definedName name="ff" localSheetId="60" hidden="1">[1]weekly!#REF!</definedName>
    <definedName name="ff" localSheetId="87" hidden="1">[1]weekly!#REF!</definedName>
    <definedName name="ff" localSheetId="36" hidden="1">[1]weekly!#REF!</definedName>
    <definedName name="ff" localSheetId="61" hidden="1">[1]weekly!#REF!</definedName>
    <definedName name="ff" localSheetId="37" hidden="1">[1]weekly!#REF!</definedName>
    <definedName name="ff" localSheetId="57" hidden="1">[1]weekly!#REF!</definedName>
    <definedName name="ff" localSheetId="56" hidden="1">[1]weekly!#REF!</definedName>
    <definedName name="ff" localSheetId="58" hidden="1">[1]weekly!#REF!</definedName>
    <definedName name="ff" localSheetId="83" hidden="1">[1]weekly!#REF!</definedName>
    <definedName name="ff" localSheetId="38" hidden="1">[1]weekly!#REF!</definedName>
    <definedName name="ff" localSheetId="39" hidden="1">[1]weekly!#REF!</definedName>
    <definedName name="ff" localSheetId="95" hidden="1">[1]weekly!#REF!</definedName>
    <definedName name="ff" localSheetId="40" hidden="1">[1]weekly!#REF!</definedName>
    <definedName name="ff" localSheetId="92" hidden="1">[1]weekly!#REF!</definedName>
    <definedName name="ff" localSheetId="41" hidden="1">[1]weekly!#REF!</definedName>
    <definedName name="ff" localSheetId="42" hidden="1">[1]weekly!#REF!</definedName>
    <definedName name="ff" localSheetId="43" hidden="1">[1]weekly!#REF!</definedName>
    <definedName name="ff" localSheetId="33" hidden="1">[1]weekly!#REF!</definedName>
    <definedName name="ff" localSheetId="82" hidden="1">[1]weekly!#REF!</definedName>
    <definedName name="ff" localSheetId="44" hidden="1">[1]weekly!#REF!</definedName>
    <definedName name="ff" localSheetId="69" hidden="1">[1]weekly!#REF!</definedName>
    <definedName name="ff" localSheetId="45" hidden="1">[1]weekly!#REF!</definedName>
    <definedName name="ff" localSheetId="24" hidden="1">[1]weekly!#REF!</definedName>
    <definedName name="ff" localSheetId="25" hidden="1">[1]weekly!#REF!</definedName>
    <definedName name="ff" localSheetId="46" hidden="1">[1]weekly!#REF!</definedName>
    <definedName name="ff" localSheetId="14" hidden="1">[1]weekly!#REF!</definedName>
    <definedName name="ff" localSheetId="93" hidden="1">[1]weekly!#REF!</definedName>
    <definedName name="ff" localSheetId="2" hidden="1">[1]weekly!#REF!</definedName>
    <definedName name="ff" localSheetId="47" hidden="1">[1]weekly!#REF!</definedName>
    <definedName name="ff" localSheetId="48" hidden="1">[1]weekly!#REF!</definedName>
    <definedName name="ff" localSheetId="49" hidden="1">[1]weekly!#REF!</definedName>
    <definedName name="ff" localSheetId="50" hidden="1">[1]weekly!#REF!</definedName>
    <definedName name="ff" localSheetId="54" hidden="1">[1]weekly!#REF!</definedName>
    <definedName name="ff" localSheetId="51" hidden="1">[1]weekly!#REF!</definedName>
    <definedName name="ff" localSheetId="52" hidden="1">[1]weekly!#REF!</definedName>
    <definedName name="ff" localSheetId="34" hidden="1">[1]weekly!#REF!</definedName>
    <definedName name="ff" localSheetId="59" hidden="1">[1]weekly!#REF!</definedName>
    <definedName name="ff" localSheetId="53" hidden="1">[1]weekly!#REF!</definedName>
    <definedName name="ff" localSheetId="91" hidden="1">[1]weekly!#REF!</definedName>
    <definedName name="ff" localSheetId="88" hidden="1">[1]weekly!#REF!</definedName>
    <definedName name="ff" localSheetId="90" hidden="1">[1]weekly!#REF!</definedName>
    <definedName name="ff" hidden="1">[1]weekly!#REF!</definedName>
    <definedName name="fff" localSheetId="60" hidden="1">[1]weekly!#REF!</definedName>
    <definedName name="fff" localSheetId="87" hidden="1">[1]weekly!#REF!</definedName>
    <definedName name="fff" localSheetId="36" hidden="1">[1]weekly!#REF!</definedName>
    <definedName name="fff" localSheetId="61" hidden="1">[1]weekly!#REF!</definedName>
    <definedName name="fff" localSheetId="37" hidden="1">[1]weekly!#REF!</definedName>
    <definedName name="fff" localSheetId="57" hidden="1">[1]weekly!#REF!</definedName>
    <definedName name="fff" localSheetId="56" hidden="1">[1]weekly!#REF!</definedName>
    <definedName name="fff" localSheetId="58" hidden="1">[1]weekly!#REF!</definedName>
    <definedName name="fff" localSheetId="83" hidden="1">[1]weekly!#REF!</definedName>
    <definedName name="fff" localSheetId="38" hidden="1">[1]weekly!#REF!</definedName>
    <definedName name="fff" localSheetId="39" hidden="1">[1]weekly!#REF!</definedName>
    <definedName name="fff" localSheetId="95" hidden="1">[1]weekly!#REF!</definedName>
    <definedName name="fff" localSheetId="40" hidden="1">[1]weekly!#REF!</definedName>
    <definedName name="fff" localSheetId="92" hidden="1">[1]weekly!#REF!</definedName>
    <definedName name="fff" localSheetId="41" hidden="1">[1]weekly!#REF!</definedName>
    <definedName name="fff" localSheetId="42" hidden="1">[1]weekly!#REF!</definedName>
    <definedName name="fff" localSheetId="43" hidden="1">[1]weekly!#REF!</definedName>
    <definedName name="fff" localSheetId="33" hidden="1">[1]weekly!#REF!</definedName>
    <definedName name="fff" localSheetId="82" hidden="1">[1]weekly!#REF!</definedName>
    <definedName name="fff" localSheetId="44" hidden="1">[1]weekly!#REF!</definedName>
    <definedName name="fff" localSheetId="69" hidden="1">[1]weekly!#REF!</definedName>
    <definedName name="fff" localSheetId="45" hidden="1">[1]weekly!#REF!</definedName>
    <definedName name="fff" localSheetId="24" hidden="1">[1]weekly!#REF!</definedName>
    <definedName name="fff" localSheetId="25" hidden="1">[1]weekly!#REF!</definedName>
    <definedName name="fff" localSheetId="46" hidden="1">[1]weekly!#REF!</definedName>
    <definedName name="fff" localSheetId="14" hidden="1">[1]weekly!#REF!</definedName>
    <definedName name="fff" localSheetId="93" hidden="1">[1]weekly!#REF!</definedName>
    <definedName name="fff" localSheetId="47" hidden="1">[1]weekly!#REF!</definedName>
    <definedName name="fff" localSheetId="48" hidden="1">[1]weekly!#REF!</definedName>
    <definedName name="fff" localSheetId="49" hidden="1">[1]weekly!#REF!</definedName>
    <definedName name="fff" localSheetId="50" hidden="1">[1]weekly!#REF!</definedName>
    <definedName name="fff" localSheetId="54" hidden="1">[1]weekly!#REF!</definedName>
    <definedName name="fff" localSheetId="51" hidden="1">[1]weekly!#REF!</definedName>
    <definedName name="fff" localSheetId="52" hidden="1">[1]weekly!#REF!</definedName>
    <definedName name="fff" localSheetId="34" hidden="1">[1]weekly!#REF!</definedName>
    <definedName name="fff" localSheetId="59" hidden="1">[1]weekly!#REF!</definedName>
    <definedName name="fff" localSheetId="53" hidden="1">[1]weekly!#REF!</definedName>
    <definedName name="fff" localSheetId="91" hidden="1">[1]weekly!#REF!</definedName>
    <definedName name="fff" localSheetId="88" hidden="1">[1]weekly!#REF!</definedName>
    <definedName name="fff" localSheetId="90" hidden="1">[1]weekly!#REF!</definedName>
    <definedName name="fff" hidden="1">[1]weekly!#REF!</definedName>
    <definedName name="ffff" localSheetId="60" hidden="1">[1]weekly!#REF!</definedName>
    <definedName name="ffff" localSheetId="87" hidden="1">[1]weekly!#REF!</definedName>
    <definedName name="ffff" localSheetId="36" hidden="1">[1]weekly!#REF!</definedName>
    <definedName name="ffff" localSheetId="61" hidden="1">[1]weekly!#REF!</definedName>
    <definedName name="ffff" localSheetId="37" hidden="1">[1]weekly!#REF!</definedName>
    <definedName name="ffff" localSheetId="17" hidden="1">[1]weekly!#REF!</definedName>
    <definedName name="ffff" localSheetId="55" hidden="1">[1]weekly!#REF!</definedName>
    <definedName name="ffff" localSheetId="57" hidden="1">[1]weekly!#REF!</definedName>
    <definedName name="ffff" localSheetId="15" hidden="1">[1]weekly!#REF!</definedName>
    <definedName name="ffff" localSheetId="56" hidden="1">[1]weekly!#REF!</definedName>
    <definedName name="ffff" localSheetId="58" hidden="1">[1]weekly!#REF!</definedName>
    <definedName name="ffff" localSheetId="16" hidden="1">[1]weekly!#REF!</definedName>
    <definedName name="ffff" localSheetId="19" hidden="1">[1]weekly!#REF!</definedName>
    <definedName name="ffff" localSheetId="83" hidden="1">[1]weekly!#REF!</definedName>
    <definedName name="ffff" localSheetId="38" hidden="1">[1]weekly!#REF!</definedName>
    <definedName name="ffff" localSheetId="39" hidden="1">[1]weekly!#REF!</definedName>
    <definedName name="ffff" localSheetId="95" hidden="1">[1]weekly!#REF!</definedName>
    <definedName name="ffff" localSheetId="40" hidden="1">[1]weekly!#REF!</definedName>
    <definedName name="ffff" localSheetId="92" hidden="1">[1]weekly!#REF!</definedName>
    <definedName name="ffff" localSheetId="41" hidden="1">[1]weekly!#REF!</definedName>
    <definedName name="ffff" localSheetId="42" hidden="1">[1]weekly!#REF!</definedName>
    <definedName name="ffff" localSheetId="43" hidden="1">[1]weekly!#REF!</definedName>
    <definedName name="ffff" localSheetId="33" hidden="1">[1]weekly!#REF!</definedName>
    <definedName name="ffff" localSheetId="82" hidden="1">[1]weekly!#REF!</definedName>
    <definedName name="ffff" localSheetId="44" hidden="1">[1]weekly!#REF!</definedName>
    <definedName name="ffff" localSheetId="69" hidden="1">[1]weekly!#REF!</definedName>
    <definedName name="ffff" localSheetId="45" hidden="1">[1]weekly!#REF!</definedName>
    <definedName name="ffff" localSheetId="24" hidden="1">[1]weekly!#REF!</definedName>
    <definedName name="ffff" localSheetId="25" hidden="1">[1]weekly!#REF!</definedName>
    <definedName name="ffff" localSheetId="46" hidden="1">[1]weekly!#REF!</definedName>
    <definedName name="ffff" localSheetId="14" hidden="1">[1]weekly!#REF!</definedName>
    <definedName name="ffff" localSheetId="93" hidden="1">[1]weekly!#REF!</definedName>
    <definedName name="ffff" localSheetId="47" hidden="1">[1]weekly!#REF!</definedName>
    <definedName name="ffff" localSheetId="48" hidden="1">[1]weekly!#REF!</definedName>
    <definedName name="ffff" localSheetId="49" hidden="1">[1]weekly!#REF!</definedName>
    <definedName name="ffff" localSheetId="50" hidden="1">[1]weekly!#REF!</definedName>
    <definedName name="ffff" localSheetId="54" hidden="1">[1]weekly!#REF!</definedName>
    <definedName name="ffff" localSheetId="51" hidden="1">[1]weekly!#REF!</definedName>
    <definedName name="ffff" localSheetId="52" hidden="1">[1]weekly!#REF!</definedName>
    <definedName name="ffff" localSheetId="34" hidden="1">[1]weekly!#REF!</definedName>
    <definedName name="ffff" localSheetId="59" hidden="1">[1]weekly!#REF!</definedName>
    <definedName name="ffff" localSheetId="21" hidden="1">[1]weekly!#REF!</definedName>
    <definedName name="ffff" localSheetId="22" hidden="1">[1]weekly!#REF!</definedName>
    <definedName name="ffff" localSheetId="53" hidden="1">[1]weekly!#REF!</definedName>
    <definedName name="ffff" localSheetId="91" hidden="1">[1]weekly!#REF!</definedName>
    <definedName name="ffff" localSheetId="88" hidden="1">[1]weekly!#REF!</definedName>
    <definedName name="ffff" localSheetId="90" hidden="1">[1]weekly!#REF!</definedName>
    <definedName name="ffff" hidden="1">[1]weekly!#REF!</definedName>
    <definedName name="fffffffffffffffffffffffff" localSheetId="60" hidden="1">[1]weekly!#REF!</definedName>
    <definedName name="fffffffffffffffffffffffff" localSheetId="87" hidden="1">[1]weekly!#REF!</definedName>
    <definedName name="fffffffffffffffffffffffff" localSheetId="36" hidden="1">[1]weekly!#REF!</definedName>
    <definedName name="fffffffffffffffffffffffff" localSheetId="61" hidden="1">[1]weekly!#REF!</definedName>
    <definedName name="fffffffffffffffffffffffff" localSheetId="37" hidden="1">[1]weekly!#REF!</definedName>
    <definedName name="fffffffffffffffffffffffff" localSheetId="17" hidden="1">[1]weekly!#REF!</definedName>
    <definedName name="fffffffffffffffffffffffff" localSheetId="55" hidden="1">[1]weekly!#REF!</definedName>
    <definedName name="fffffffffffffffffffffffff" localSheetId="57" hidden="1">[1]weekly!#REF!</definedName>
    <definedName name="fffffffffffffffffffffffff" localSheetId="15" hidden="1">[1]weekly!#REF!</definedName>
    <definedName name="fffffffffffffffffffffffff" localSheetId="56" hidden="1">[1]weekly!#REF!</definedName>
    <definedName name="fffffffffffffffffffffffff" localSheetId="58" hidden="1">[1]weekly!#REF!</definedName>
    <definedName name="fffffffffffffffffffffffff" localSheetId="19" hidden="1">[1]weekly!#REF!</definedName>
    <definedName name="fffffffffffffffffffffffff" localSheetId="83" hidden="1">[1]weekly!#REF!</definedName>
    <definedName name="fffffffffffffffffffffffff" localSheetId="38" hidden="1">[1]weekly!#REF!</definedName>
    <definedName name="fffffffffffffffffffffffff" localSheetId="39" hidden="1">[1]weekly!#REF!</definedName>
    <definedName name="fffffffffffffffffffffffff" localSheetId="95" hidden="1">[1]weekly!#REF!</definedName>
    <definedName name="fffffffffffffffffffffffff" localSheetId="40" hidden="1">[1]weekly!#REF!</definedName>
    <definedName name="fffffffffffffffffffffffff" localSheetId="92" hidden="1">[1]weekly!#REF!</definedName>
    <definedName name="fffffffffffffffffffffffff" localSheetId="41" hidden="1">[1]weekly!#REF!</definedName>
    <definedName name="fffffffffffffffffffffffff" localSheetId="42" hidden="1">[1]weekly!#REF!</definedName>
    <definedName name="fffffffffffffffffffffffff" localSheetId="43" hidden="1">[1]weekly!#REF!</definedName>
    <definedName name="fffffffffffffffffffffffff" localSheetId="33" hidden="1">[1]weekly!#REF!</definedName>
    <definedName name="fffffffffffffffffffffffff" localSheetId="82" hidden="1">[1]weekly!#REF!</definedName>
    <definedName name="fffffffffffffffffffffffff" localSheetId="44" hidden="1">[1]weekly!#REF!</definedName>
    <definedName name="fffffffffffffffffffffffff" localSheetId="69" hidden="1">[1]weekly!#REF!</definedName>
    <definedName name="fffffffffffffffffffffffff" localSheetId="45" hidden="1">[1]weekly!#REF!</definedName>
    <definedName name="fffffffffffffffffffffffff" localSheetId="24" hidden="1">[1]weekly!#REF!</definedName>
    <definedName name="fffffffffffffffffffffffff" localSheetId="25" hidden="1">[1]weekly!#REF!</definedName>
    <definedName name="fffffffffffffffffffffffff" localSheetId="46" hidden="1">[1]weekly!#REF!</definedName>
    <definedName name="fffffffffffffffffffffffff" localSheetId="14" hidden="1">[1]weekly!#REF!</definedName>
    <definedName name="fffffffffffffffffffffffff" localSheetId="93" hidden="1">[1]weekly!#REF!</definedName>
    <definedName name="fffffffffffffffffffffffff" localSheetId="47" hidden="1">[1]weekly!#REF!</definedName>
    <definedName name="fffffffffffffffffffffffff" localSheetId="48" hidden="1">[1]weekly!#REF!</definedName>
    <definedName name="fffffffffffffffffffffffff" localSheetId="49" hidden="1">[1]weekly!#REF!</definedName>
    <definedName name="fffffffffffffffffffffffff" localSheetId="50" hidden="1">[1]weekly!#REF!</definedName>
    <definedName name="fffffffffffffffffffffffff" localSheetId="54" hidden="1">[1]weekly!#REF!</definedName>
    <definedName name="fffffffffffffffffffffffff" localSheetId="51" hidden="1">[1]weekly!#REF!</definedName>
    <definedName name="fffffffffffffffffffffffff" localSheetId="52" hidden="1">[1]weekly!#REF!</definedName>
    <definedName name="fffffffffffffffffffffffff" localSheetId="34" hidden="1">[1]weekly!#REF!</definedName>
    <definedName name="fffffffffffffffffffffffff" localSheetId="59" hidden="1">[1]weekly!#REF!</definedName>
    <definedName name="fffffffffffffffffffffffff" localSheetId="21" hidden="1">[1]weekly!#REF!</definedName>
    <definedName name="fffffffffffffffffffffffff" localSheetId="22" hidden="1">[1]weekly!#REF!</definedName>
    <definedName name="fffffffffffffffffffffffff" localSheetId="53" hidden="1">[1]weekly!#REF!</definedName>
    <definedName name="fffffffffffffffffffffffff" localSheetId="91" hidden="1">[1]weekly!#REF!</definedName>
    <definedName name="fffffffffffffffffffffffff" localSheetId="88" hidden="1">[1]weekly!#REF!</definedName>
    <definedName name="fffffffffffffffffffffffff" localSheetId="90" hidden="1">[1]weekly!#REF!</definedName>
    <definedName name="fffffffffffffffffffffffff" hidden="1">[1]weekly!#REF!</definedName>
    <definedName name="fffffffffffffffffffffffffffffffffffffffffffffffffffffffffffffff" localSheetId="60" hidden="1">[1]weekly!#REF!</definedName>
    <definedName name="fffffffffffffffffffffffffffffffffffffffffffffffffffffffffffffff" localSheetId="87" hidden="1">[1]weekly!#REF!</definedName>
    <definedName name="fffffffffffffffffffffffffffffffffffffffffffffffffffffffffffffff" localSheetId="36" hidden="1">[1]weekly!#REF!</definedName>
    <definedName name="fffffffffffffffffffffffffffffffffffffffffffffffffffffffffffffff" localSheetId="61" hidden="1">[1]weekly!#REF!</definedName>
    <definedName name="fffffffffffffffffffffffffffffffffffffffffffffffffffffffffffffff" localSheetId="37" hidden="1">[1]weekly!#REF!</definedName>
    <definedName name="fffffffffffffffffffffffffffffffffffffffffffffffffffffffffffffff" localSheetId="17" hidden="1">[1]weekly!#REF!</definedName>
    <definedName name="fffffffffffffffffffffffffffffffffffffffffffffffffffffffffffffff" localSheetId="57" hidden="1">[1]weekly!#REF!</definedName>
    <definedName name="fffffffffffffffffffffffffffffffffffffffffffffffffffffffffffffff" localSheetId="56" hidden="1">[1]weekly!#REF!</definedName>
    <definedName name="fffffffffffffffffffffffffffffffffffffffffffffffffffffffffffffff" localSheetId="58" hidden="1">[1]weekly!#REF!</definedName>
    <definedName name="fffffffffffffffffffffffffffffffffffffffffffffffffffffffffffffff" localSheetId="19" hidden="1">[1]weekly!#REF!</definedName>
    <definedName name="fffffffffffffffffffffffffffffffffffffffffffffffffffffffffffffff" localSheetId="83" hidden="1">[1]weekly!#REF!</definedName>
    <definedName name="fffffffffffffffffffffffffffffffffffffffffffffffffffffffffffffff" localSheetId="38" hidden="1">[1]weekly!#REF!</definedName>
    <definedName name="fffffffffffffffffffffffffffffffffffffffffffffffffffffffffffffff" localSheetId="39" hidden="1">[1]weekly!#REF!</definedName>
    <definedName name="fffffffffffffffffffffffffffffffffffffffffffffffffffffffffffffff" localSheetId="95" hidden="1">[1]weekly!#REF!</definedName>
    <definedName name="fffffffffffffffffffffffffffffffffffffffffffffffffffffffffffffff" localSheetId="40" hidden="1">[1]weekly!#REF!</definedName>
    <definedName name="fffffffffffffffffffffffffffffffffffffffffffffffffffffffffffffff" localSheetId="92" hidden="1">[1]weekly!#REF!</definedName>
    <definedName name="fffffffffffffffffffffffffffffffffffffffffffffffffffffffffffffff" localSheetId="41" hidden="1">[1]weekly!#REF!</definedName>
    <definedName name="fffffffffffffffffffffffffffffffffffffffffffffffffffffffffffffff" localSheetId="42" hidden="1">[1]weekly!#REF!</definedName>
    <definedName name="fffffffffffffffffffffffffffffffffffffffffffffffffffffffffffffff" localSheetId="43" hidden="1">[1]weekly!#REF!</definedName>
    <definedName name="fffffffffffffffffffffffffffffffffffffffffffffffffffffffffffffff" localSheetId="33" hidden="1">[1]weekly!#REF!</definedName>
    <definedName name="fffffffffffffffffffffffffffffffffffffffffffffffffffffffffffffff" localSheetId="82" hidden="1">[1]weekly!#REF!</definedName>
    <definedName name="fffffffffffffffffffffffffffffffffffffffffffffffffffffffffffffff" localSheetId="44" hidden="1">[1]weekly!#REF!</definedName>
    <definedName name="fffffffffffffffffffffffffffffffffffffffffffffffffffffffffffffff" localSheetId="69" hidden="1">[1]weekly!#REF!</definedName>
    <definedName name="fffffffffffffffffffffffffffffffffffffffffffffffffffffffffffffff" localSheetId="45" hidden="1">[1]weekly!#REF!</definedName>
    <definedName name="fffffffffffffffffffffffffffffffffffffffffffffffffffffffffffffff" localSheetId="24" hidden="1">[1]weekly!#REF!</definedName>
    <definedName name="fffffffffffffffffffffffffffffffffffffffffffffffffffffffffffffff" localSheetId="25" hidden="1">[1]weekly!#REF!</definedName>
    <definedName name="fffffffffffffffffffffffffffffffffffffffffffffffffffffffffffffff" localSheetId="46" hidden="1">[1]weekly!#REF!</definedName>
    <definedName name="fffffffffffffffffffffffffffffffffffffffffffffffffffffffffffffff" localSheetId="14" hidden="1">[1]weekly!#REF!</definedName>
    <definedName name="fffffffffffffffffffffffffffffffffffffffffffffffffffffffffffffff" localSheetId="93" hidden="1">[1]weekly!#REF!</definedName>
    <definedName name="fffffffffffffffffffffffffffffffffffffffffffffffffffffffffffffff" localSheetId="47" hidden="1">[1]weekly!#REF!</definedName>
    <definedName name="fffffffffffffffffffffffffffffffffffffffffffffffffffffffffffffff" localSheetId="48" hidden="1">[1]weekly!#REF!</definedName>
    <definedName name="fffffffffffffffffffffffffffffffffffffffffffffffffffffffffffffff" localSheetId="49" hidden="1">[1]weekly!#REF!</definedName>
    <definedName name="fffffffffffffffffffffffffffffffffffffffffffffffffffffffffffffff" localSheetId="50" hidden="1">[1]weekly!#REF!</definedName>
    <definedName name="fffffffffffffffffffffffffffffffffffffffffffffffffffffffffffffff" localSheetId="54" hidden="1">[1]weekly!#REF!</definedName>
    <definedName name="fffffffffffffffffffffffffffffffffffffffffffffffffffffffffffffff" localSheetId="51" hidden="1">[1]weekly!#REF!</definedName>
    <definedName name="fffffffffffffffffffffffffffffffffffffffffffffffffffffffffffffff" localSheetId="52" hidden="1">[1]weekly!#REF!</definedName>
    <definedName name="fffffffffffffffffffffffffffffffffffffffffffffffffffffffffffffff" localSheetId="34" hidden="1">[1]weekly!#REF!</definedName>
    <definedName name="fffffffffffffffffffffffffffffffffffffffffffffffffffffffffffffff" localSheetId="59" hidden="1">[1]weekly!#REF!</definedName>
    <definedName name="fffffffffffffffffffffffffffffffffffffffffffffffffffffffffffffff" localSheetId="21" hidden="1">[1]weekly!#REF!</definedName>
    <definedName name="fffffffffffffffffffffffffffffffffffffffffffffffffffffffffffffff" localSheetId="22" hidden="1">[1]weekly!#REF!</definedName>
    <definedName name="fffffffffffffffffffffffffffffffffffffffffffffffffffffffffffffff" localSheetId="53" hidden="1">[1]weekly!#REF!</definedName>
    <definedName name="fffffffffffffffffffffffffffffffffffffffffffffffffffffffffffffff" localSheetId="91" hidden="1">[1]weekly!#REF!</definedName>
    <definedName name="fffffffffffffffffffffffffffffffffffffffffffffffffffffffffffffff" localSheetId="88" hidden="1">[1]weekly!#REF!</definedName>
    <definedName name="fffffffffffffffffffffffffffffffffffffffffffffffffffffffffffffff" localSheetId="90" hidden="1">[1]weekly!#REF!</definedName>
    <definedName name="fffffffffffffffffffffffffffffffffffffffffffffffffffffffffffffff" hidden="1">[1]weekly!#REF!</definedName>
    <definedName name="fjfijeijf" localSheetId="60" hidden="1">[1]weekly!#REF!</definedName>
    <definedName name="fjfijeijf" localSheetId="87" hidden="1">[1]weekly!#REF!</definedName>
    <definedName name="fjfijeijf" localSheetId="36" hidden="1">[1]weekly!#REF!</definedName>
    <definedName name="fjfijeijf" localSheetId="61" hidden="1">[1]weekly!#REF!</definedName>
    <definedName name="fjfijeijf" localSheetId="37" hidden="1">[1]weekly!#REF!</definedName>
    <definedName name="fjfijeijf" localSheetId="17" hidden="1">[1]weekly!#REF!</definedName>
    <definedName name="fjfijeijf" localSheetId="55" hidden="1">[1]weekly!#REF!</definedName>
    <definedName name="fjfijeijf" localSheetId="57" hidden="1">[1]weekly!#REF!</definedName>
    <definedName name="fjfijeijf" localSheetId="15" hidden="1">[1]weekly!#REF!</definedName>
    <definedName name="fjfijeijf" localSheetId="56" hidden="1">[1]weekly!#REF!</definedName>
    <definedName name="fjfijeijf" localSheetId="58" hidden="1">[1]weekly!#REF!</definedName>
    <definedName name="fjfijeijf" localSheetId="16" hidden="1">[1]weekly!#REF!</definedName>
    <definedName name="fjfijeijf" localSheetId="19" hidden="1">[1]weekly!#REF!</definedName>
    <definedName name="fjfijeijf" localSheetId="83" hidden="1">[1]weekly!#REF!</definedName>
    <definedName name="fjfijeijf" localSheetId="38" hidden="1">[1]weekly!#REF!</definedName>
    <definedName name="fjfijeijf" localSheetId="39" hidden="1">[1]weekly!#REF!</definedName>
    <definedName name="fjfijeijf" localSheetId="95" hidden="1">[1]weekly!#REF!</definedName>
    <definedName name="fjfijeijf" localSheetId="40" hidden="1">[1]weekly!#REF!</definedName>
    <definedName name="fjfijeijf" localSheetId="92" hidden="1">[1]weekly!#REF!</definedName>
    <definedName name="fjfijeijf" localSheetId="41" hidden="1">[1]weekly!#REF!</definedName>
    <definedName name="fjfijeijf" localSheetId="42" hidden="1">[1]weekly!#REF!</definedName>
    <definedName name="fjfijeijf" localSheetId="43" hidden="1">[1]weekly!#REF!</definedName>
    <definedName name="fjfijeijf" localSheetId="33" hidden="1">[1]weekly!#REF!</definedName>
    <definedName name="fjfijeijf" localSheetId="82" hidden="1">[1]weekly!#REF!</definedName>
    <definedName name="fjfijeijf" localSheetId="44" hidden="1">[1]weekly!#REF!</definedName>
    <definedName name="fjfijeijf" localSheetId="69" hidden="1">[1]weekly!#REF!</definedName>
    <definedName name="fjfijeijf" localSheetId="45" hidden="1">[1]weekly!#REF!</definedName>
    <definedName name="fjfijeijf" localSheetId="24" hidden="1">[1]weekly!#REF!</definedName>
    <definedName name="fjfijeijf" localSheetId="25" hidden="1">[1]weekly!#REF!</definedName>
    <definedName name="fjfijeijf" localSheetId="46" hidden="1">[1]weekly!#REF!</definedName>
    <definedName name="fjfijeijf" localSheetId="14" hidden="1">[1]weekly!#REF!</definedName>
    <definedName name="fjfijeijf" localSheetId="93" hidden="1">[1]weekly!#REF!</definedName>
    <definedName name="fjfijeijf" localSheetId="2" hidden="1">[1]weekly!#REF!</definedName>
    <definedName name="fjfijeijf" localSheetId="47" hidden="1">[1]weekly!#REF!</definedName>
    <definedName name="fjfijeijf" localSheetId="48" hidden="1">[1]weekly!#REF!</definedName>
    <definedName name="fjfijeijf" localSheetId="49" hidden="1">[1]weekly!#REF!</definedName>
    <definedName name="fjfijeijf" localSheetId="50" hidden="1">[1]weekly!#REF!</definedName>
    <definedName name="fjfijeijf" localSheetId="54" hidden="1">[1]weekly!#REF!</definedName>
    <definedName name="fjfijeijf" localSheetId="51" hidden="1">[1]weekly!#REF!</definedName>
    <definedName name="fjfijeijf" localSheetId="52" hidden="1">[1]weekly!#REF!</definedName>
    <definedName name="fjfijeijf" localSheetId="34" hidden="1">[1]weekly!#REF!</definedName>
    <definedName name="fjfijeijf" localSheetId="59" hidden="1">[1]weekly!#REF!</definedName>
    <definedName name="fjfijeijf" localSheetId="21" hidden="1">[1]weekly!#REF!</definedName>
    <definedName name="fjfijeijf" localSheetId="22" hidden="1">[1]weekly!#REF!</definedName>
    <definedName name="fjfijeijf" localSheetId="53" hidden="1">[1]weekly!#REF!</definedName>
    <definedName name="fjfijeijf" localSheetId="91" hidden="1">[1]weekly!#REF!</definedName>
    <definedName name="fjfijeijf" localSheetId="88" hidden="1">[1]weekly!#REF!</definedName>
    <definedName name="fjfijeijf" localSheetId="90" hidden="1">[1]weekly!#REF!</definedName>
    <definedName name="fjfijeijf" hidden="1">[1]weekly!#REF!</definedName>
    <definedName name="fjiejfiejfoi" localSheetId="60" hidden="1">[1]weekly!#REF!</definedName>
    <definedName name="fjiejfiejfoi" localSheetId="87" hidden="1">[1]weekly!#REF!</definedName>
    <definedName name="fjiejfiejfoi" localSheetId="36" hidden="1">[1]weekly!#REF!</definedName>
    <definedName name="fjiejfiejfoi" localSheetId="61" hidden="1">[1]weekly!#REF!</definedName>
    <definedName name="fjiejfiejfoi" localSheetId="37" hidden="1">[1]weekly!#REF!</definedName>
    <definedName name="fjiejfiejfoi" localSheetId="17" hidden="1">[1]weekly!#REF!</definedName>
    <definedName name="fjiejfiejfoi" localSheetId="55" hidden="1">[1]weekly!#REF!</definedName>
    <definedName name="fjiejfiejfoi" localSheetId="57" hidden="1">[1]weekly!#REF!</definedName>
    <definedName name="fjiejfiejfoi" localSheetId="15" hidden="1">[1]weekly!#REF!</definedName>
    <definedName name="fjiejfiejfoi" localSheetId="56" hidden="1">[1]weekly!#REF!</definedName>
    <definedName name="fjiejfiejfoi" localSheetId="58" hidden="1">[1]weekly!#REF!</definedName>
    <definedName name="fjiejfiejfoi" localSheetId="16" hidden="1">[1]weekly!#REF!</definedName>
    <definedName name="fjiejfiejfoi" localSheetId="19" hidden="1">[1]weekly!#REF!</definedName>
    <definedName name="fjiejfiejfoi" localSheetId="83" hidden="1">[1]weekly!#REF!</definedName>
    <definedName name="fjiejfiejfoi" localSheetId="38" hidden="1">[1]weekly!#REF!</definedName>
    <definedName name="fjiejfiejfoi" localSheetId="39" hidden="1">[1]weekly!#REF!</definedName>
    <definedName name="fjiejfiejfoi" localSheetId="95" hidden="1">[1]weekly!#REF!</definedName>
    <definedName name="fjiejfiejfoi" localSheetId="40" hidden="1">[1]weekly!#REF!</definedName>
    <definedName name="fjiejfiejfoi" localSheetId="92" hidden="1">[1]weekly!#REF!</definedName>
    <definedName name="fjiejfiejfoi" localSheetId="41" hidden="1">[1]weekly!#REF!</definedName>
    <definedName name="fjiejfiejfoi" localSheetId="42" hidden="1">[1]weekly!#REF!</definedName>
    <definedName name="fjiejfiejfoi" localSheetId="43" hidden="1">[1]weekly!#REF!</definedName>
    <definedName name="fjiejfiejfoi" localSheetId="33" hidden="1">[1]weekly!#REF!</definedName>
    <definedName name="fjiejfiejfoi" localSheetId="82" hidden="1">[1]weekly!#REF!</definedName>
    <definedName name="fjiejfiejfoi" localSheetId="44" hidden="1">[1]weekly!#REF!</definedName>
    <definedName name="fjiejfiejfoi" localSheetId="69" hidden="1">[1]weekly!#REF!</definedName>
    <definedName name="fjiejfiejfoi" localSheetId="45" hidden="1">[1]weekly!#REF!</definedName>
    <definedName name="fjiejfiejfoi" localSheetId="24" hidden="1">[1]weekly!#REF!</definedName>
    <definedName name="fjiejfiejfoi" localSheetId="25" hidden="1">[1]weekly!#REF!</definedName>
    <definedName name="fjiejfiejfoi" localSheetId="46" hidden="1">[1]weekly!#REF!</definedName>
    <definedName name="fjiejfiejfoi" localSheetId="14" hidden="1">[1]weekly!#REF!</definedName>
    <definedName name="fjiejfiejfoi" localSheetId="93" hidden="1">[1]weekly!#REF!</definedName>
    <definedName name="fjiejfiejfoi" localSheetId="47" hidden="1">[1]weekly!#REF!</definedName>
    <definedName name="fjiejfiejfoi" localSheetId="48" hidden="1">[1]weekly!#REF!</definedName>
    <definedName name="fjiejfiejfoi" localSheetId="49" hidden="1">[1]weekly!#REF!</definedName>
    <definedName name="fjiejfiejfoi" localSheetId="50" hidden="1">[1]weekly!#REF!</definedName>
    <definedName name="fjiejfiejfoi" localSheetId="54" hidden="1">[1]weekly!#REF!</definedName>
    <definedName name="fjiejfiejfoi" localSheetId="51" hidden="1">[1]weekly!#REF!</definedName>
    <definedName name="fjiejfiejfoi" localSheetId="52" hidden="1">[1]weekly!#REF!</definedName>
    <definedName name="fjiejfiejfoi" localSheetId="34" hidden="1">[1]weekly!#REF!</definedName>
    <definedName name="fjiejfiejfoi" localSheetId="59" hidden="1">[1]weekly!#REF!</definedName>
    <definedName name="fjiejfiejfoi" localSheetId="21" hidden="1">[1]weekly!#REF!</definedName>
    <definedName name="fjiejfiejfoi" localSheetId="22" hidden="1">[1]weekly!#REF!</definedName>
    <definedName name="fjiejfiejfoi" localSheetId="53" hidden="1">[1]weekly!#REF!</definedName>
    <definedName name="fjiejfiejfoi" localSheetId="91" hidden="1">[1]weekly!#REF!</definedName>
    <definedName name="fjiejfiejfoi" localSheetId="88" hidden="1">[1]weekly!#REF!</definedName>
    <definedName name="fjiejfiejfoi" localSheetId="90" hidden="1">[1]weekly!#REF!</definedName>
    <definedName name="fjiejfiejfoi" hidden="1">[1]weekly!#REF!</definedName>
    <definedName name="fjiejfieojfioe" localSheetId="60" hidden="1">[1]weekly!#REF!</definedName>
    <definedName name="fjiejfieojfioe" localSheetId="87" hidden="1">[1]weekly!#REF!</definedName>
    <definedName name="fjiejfieojfioe" localSheetId="36" hidden="1">[1]weekly!#REF!</definedName>
    <definedName name="fjiejfieojfioe" localSheetId="61" hidden="1">[1]weekly!#REF!</definedName>
    <definedName name="fjiejfieojfioe" localSheetId="37" hidden="1">[1]weekly!#REF!</definedName>
    <definedName name="fjiejfieojfioe" localSheetId="17" hidden="1">[1]weekly!#REF!</definedName>
    <definedName name="fjiejfieojfioe" localSheetId="55" hidden="1">[1]weekly!#REF!</definedName>
    <definedName name="fjiejfieojfioe" localSheetId="57" hidden="1">[1]weekly!#REF!</definedName>
    <definedName name="fjiejfieojfioe" localSheetId="15" hidden="1">[1]weekly!#REF!</definedName>
    <definedName name="fjiejfieojfioe" localSheetId="56" hidden="1">[1]weekly!#REF!</definedName>
    <definedName name="fjiejfieojfioe" localSheetId="58" hidden="1">[1]weekly!#REF!</definedName>
    <definedName name="fjiejfieojfioe" localSheetId="16" hidden="1">[1]weekly!#REF!</definedName>
    <definedName name="fjiejfieojfioe" localSheetId="19" hidden="1">[1]weekly!#REF!</definedName>
    <definedName name="fjiejfieojfioe" localSheetId="83" hidden="1">[1]weekly!#REF!</definedName>
    <definedName name="fjiejfieojfioe" localSheetId="38" hidden="1">[1]weekly!#REF!</definedName>
    <definedName name="fjiejfieojfioe" localSheetId="39" hidden="1">[1]weekly!#REF!</definedName>
    <definedName name="fjiejfieojfioe" localSheetId="95" hidden="1">[1]weekly!#REF!</definedName>
    <definedName name="fjiejfieojfioe" localSheetId="40" hidden="1">[1]weekly!#REF!</definedName>
    <definedName name="fjiejfieojfioe" localSheetId="92" hidden="1">[1]weekly!#REF!</definedName>
    <definedName name="fjiejfieojfioe" localSheetId="41" hidden="1">[1]weekly!#REF!</definedName>
    <definedName name="fjiejfieojfioe" localSheetId="42" hidden="1">[1]weekly!#REF!</definedName>
    <definedName name="fjiejfieojfioe" localSheetId="43" hidden="1">[1]weekly!#REF!</definedName>
    <definedName name="fjiejfieojfioe" localSheetId="33" hidden="1">[1]weekly!#REF!</definedName>
    <definedName name="fjiejfieojfioe" localSheetId="82" hidden="1">[1]weekly!#REF!</definedName>
    <definedName name="fjiejfieojfioe" localSheetId="44" hidden="1">[1]weekly!#REF!</definedName>
    <definedName name="fjiejfieojfioe" localSheetId="69" hidden="1">[1]weekly!#REF!</definedName>
    <definedName name="fjiejfieojfioe" localSheetId="45" hidden="1">[1]weekly!#REF!</definedName>
    <definedName name="fjiejfieojfioe" localSheetId="24" hidden="1">[1]weekly!#REF!</definedName>
    <definedName name="fjiejfieojfioe" localSheetId="25" hidden="1">[1]weekly!#REF!</definedName>
    <definedName name="fjiejfieojfioe" localSheetId="46" hidden="1">[1]weekly!#REF!</definedName>
    <definedName name="fjiejfieojfioe" localSheetId="14" hidden="1">[1]weekly!#REF!</definedName>
    <definedName name="fjiejfieojfioe" localSheetId="93" hidden="1">[1]weekly!#REF!</definedName>
    <definedName name="fjiejfieojfioe" localSheetId="47" hidden="1">[1]weekly!#REF!</definedName>
    <definedName name="fjiejfieojfioe" localSheetId="48" hidden="1">[1]weekly!#REF!</definedName>
    <definedName name="fjiejfieojfioe" localSheetId="49" hidden="1">[1]weekly!#REF!</definedName>
    <definedName name="fjiejfieojfioe" localSheetId="50" hidden="1">[1]weekly!#REF!</definedName>
    <definedName name="fjiejfieojfioe" localSheetId="54" hidden="1">[1]weekly!#REF!</definedName>
    <definedName name="fjiejfieojfioe" localSheetId="51" hidden="1">[1]weekly!#REF!</definedName>
    <definedName name="fjiejfieojfioe" localSheetId="52" hidden="1">[1]weekly!#REF!</definedName>
    <definedName name="fjiejfieojfioe" localSheetId="34" hidden="1">[1]weekly!#REF!</definedName>
    <definedName name="fjiejfieojfioe" localSheetId="59" hidden="1">[1]weekly!#REF!</definedName>
    <definedName name="fjiejfieojfioe" localSheetId="21" hidden="1">[1]weekly!#REF!</definedName>
    <definedName name="fjiejfieojfioe" localSheetId="22" hidden="1">[1]weekly!#REF!</definedName>
    <definedName name="fjiejfieojfioe" localSheetId="53" hidden="1">[1]weekly!#REF!</definedName>
    <definedName name="fjiejfieojfioe" localSheetId="91" hidden="1">[1]weekly!#REF!</definedName>
    <definedName name="fjiejfieojfioe" localSheetId="88" hidden="1">[1]weekly!#REF!</definedName>
    <definedName name="fjiejfieojfioe" localSheetId="90" hidden="1">[1]weekly!#REF!</definedName>
    <definedName name="fjiejfieojfioe" hidden="1">[1]weekly!#REF!</definedName>
    <definedName name="fjiejifjeio" localSheetId="60" hidden="1">[1]weekly!#REF!</definedName>
    <definedName name="fjiejifjeio" localSheetId="87" hidden="1">[1]weekly!#REF!</definedName>
    <definedName name="fjiejifjeio" localSheetId="36" hidden="1">[1]weekly!#REF!</definedName>
    <definedName name="fjiejifjeio" localSheetId="61" hidden="1">[1]weekly!#REF!</definedName>
    <definedName name="fjiejifjeio" localSheetId="37" hidden="1">[1]weekly!#REF!</definedName>
    <definedName name="fjiejifjeio" localSheetId="17" hidden="1">[1]weekly!#REF!</definedName>
    <definedName name="fjiejifjeio" localSheetId="55" hidden="1">[1]weekly!#REF!</definedName>
    <definedName name="fjiejifjeio" localSheetId="57" hidden="1">[1]weekly!#REF!</definedName>
    <definedName name="fjiejifjeio" localSheetId="15" hidden="1">[1]weekly!#REF!</definedName>
    <definedName name="fjiejifjeio" localSheetId="56" hidden="1">[1]weekly!#REF!</definedName>
    <definedName name="fjiejifjeio" localSheetId="58" hidden="1">[1]weekly!#REF!</definedName>
    <definedName name="fjiejifjeio" localSheetId="16" hidden="1">[1]weekly!#REF!</definedName>
    <definedName name="fjiejifjeio" localSheetId="19" hidden="1">[1]weekly!#REF!</definedName>
    <definedName name="fjiejifjeio" localSheetId="83" hidden="1">[1]weekly!#REF!</definedName>
    <definedName name="fjiejifjeio" localSheetId="38" hidden="1">[1]weekly!#REF!</definedName>
    <definedName name="fjiejifjeio" localSheetId="39" hidden="1">[1]weekly!#REF!</definedName>
    <definedName name="fjiejifjeio" localSheetId="95" hidden="1">[1]weekly!#REF!</definedName>
    <definedName name="fjiejifjeio" localSheetId="40" hidden="1">[1]weekly!#REF!</definedName>
    <definedName name="fjiejifjeio" localSheetId="92" hidden="1">[1]weekly!#REF!</definedName>
    <definedName name="fjiejifjeio" localSheetId="41" hidden="1">[1]weekly!#REF!</definedName>
    <definedName name="fjiejifjeio" localSheetId="42" hidden="1">[1]weekly!#REF!</definedName>
    <definedName name="fjiejifjeio" localSheetId="43" hidden="1">[1]weekly!#REF!</definedName>
    <definedName name="fjiejifjeio" localSheetId="33" hidden="1">[1]weekly!#REF!</definedName>
    <definedName name="fjiejifjeio" localSheetId="82" hidden="1">[1]weekly!#REF!</definedName>
    <definedName name="fjiejifjeio" localSheetId="44" hidden="1">[1]weekly!#REF!</definedName>
    <definedName name="fjiejifjeio" localSheetId="69" hidden="1">[1]weekly!#REF!</definedName>
    <definedName name="fjiejifjeio" localSheetId="45" hidden="1">[1]weekly!#REF!</definedName>
    <definedName name="fjiejifjeio" localSheetId="24" hidden="1">[1]weekly!#REF!</definedName>
    <definedName name="fjiejifjeio" localSheetId="25" hidden="1">[1]weekly!#REF!</definedName>
    <definedName name="fjiejifjeio" localSheetId="46" hidden="1">[1]weekly!#REF!</definedName>
    <definedName name="fjiejifjeio" localSheetId="14" hidden="1">[1]weekly!#REF!</definedName>
    <definedName name="fjiejifjeio" localSheetId="93" hidden="1">[1]weekly!#REF!</definedName>
    <definedName name="fjiejifjeio" localSheetId="47" hidden="1">[1]weekly!#REF!</definedName>
    <definedName name="fjiejifjeio" localSheetId="48" hidden="1">[1]weekly!#REF!</definedName>
    <definedName name="fjiejifjeio" localSheetId="49" hidden="1">[1]weekly!#REF!</definedName>
    <definedName name="fjiejifjeio" localSheetId="50" hidden="1">[1]weekly!#REF!</definedName>
    <definedName name="fjiejifjeio" localSheetId="54" hidden="1">[1]weekly!#REF!</definedName>
    <definedName name="fjiejifjeio" localSheetId="51" hidden="1">[1]weekly!#REF!</definedName>
    <definedName name="fjiejifjeio" localSheetId="52" hidden="1">[1]weekly!#REF!</definedName>
    <definedName name="fjiejifjeio" localSheetId="34" hidden="1">[1]weekly!#REF!</definedName>
    <definedName name="fjiejifjeio" localSheetId="59" hidden="1">[1]weekly!#REF!</definedName>
    <definedName name="fjiejifjeio" localSheetId="21" hidden="1">[1]weekly!#REF!</definedName>
    <definedName name="fjiejifjeio" localSheetId="22" hidden="1">[1]weekly!#REF!</definedName>
    <definedName name="fjiejifjeio" localSheetId="53" hidden="1">[1]weekly!#REF!</definedName>
    <definedName name="fjiejifjeio" localSheetId="91" hidden="1">[1]weekly!#REF!</definedName>
    <definedName name="fjiejifjeio" localSheetId="88" hidden="1">[1]weekly!#REF!</definedName>
    <definedName name="fjiejifjeio" localSheetId="90" hidden="1">[1]weekly!#REF!</definedName>
    <definedName name="fjiejifjeio" hidden="1">[1]weekly!#REF!</definedName>
    <definedName name="fjiejifjeoi" localSheetId="60" hidden="1">[1]weekly!#REF!</definedName>
    <definedName name="fjiejifjeoi" localSheetId="87" hidden="1">[1]weekly!#REF!</definedName>
    <definedName name="fjiejifjeoi" localSheetId="36" hidden="1">[1]weekly!#REF!</definedName>
    <definedName name="fjiejifjeoi" localSheetId="61" hidden="1">[1]weekly!#REF!</definedName>
    <definedName name="fjiejifjeoi" localSheetId="37" hidden="1">[1]weekly!#REF!</definedName>
    <definedName name="fjiejifjeoi" localSheetId="17" hidden="1">[1]weekly!#REF!</definedName>
    <definedName name="fjiejifjeoi" localSheetId="55" hidden="1">[1]weekly!#REF!</definedName>
    <definedName name="fjiejifjeoi" localSheetId="57" hidden="1">[1]weekly!#REF!</definedName>
    <definedName name="fjiejifjeoi" localSheetId="15" hidden="1">[1]weekly!#REF!</definedName>
    <definedName name="fjiejifjeoi" localSheetId="56" hidden="1">[1]weekly!#REF!</definedName>
    <definedName name="fjiejifjeoi" localSheetId="58" hidden="1">[1]weekly!#REF!</definedName>
    <definedName name="fjiejifjeoi" localSheetId="16" hidden="1">[1]weekly!#REF!</definedName>
    <definedName name="fjiejifjeoi" localSheetId="19" hidden="1">[1]weekly!#REF!</definedName>
    <definedName name="fjiejifjeoi" localSheetId="83" hidden="1">[1]weekly!#REF!</definedName>
    <definedName name="fjiejifjeoi" localSheetId="38" hidden="1">[1]weekly!#REF!</definedName>
    <definedName name="fjiejifjeoi" localSheetId="39" hidden="1">[1]weekly!#REF!</definedName>
    <definedName name="fjiejifjeoi" localSheetId="95" hidden="1">[1]weekly!#REF!</definedName>
    <definedName name="fjiejifjeoi" localSheetId="40" hidden="1">[1]weekly!#REF!</definedName>
    <definedName name="fjiejifjeoi" localSheetId="92" hidden="1">[1]weekly!#REF!</definedName>
    <definedName name="fjiejifjeoi" localSheetId="41" hidden="1">[1]weekly!#REF!</definedName>
    <definedName name="fjiejifjeoi" localSheetId="42" hidden="1">[1]weekly!#REF!</definedName>
    <definedName name="fjiejifjeoi" localSheetId="43" hidden="1">[1]weekly!#REF!</definedName>
    <definedName name="fjiejifjeoi" localSheetId="33" hidden="1">[1]weekly!#REF!</definedName>
    <definedName name="fjiejifjeoi" localSheetId="82" hidden="1">[1]weekly!#REF!</definedName>
    <definedName name="fjiejifjeoi" localSheetId="44" hidden="1">[1]weekly!#REF!</definedName>
    <definedName name="fjiejifjeoi" localSheetId="69" hidden="1">[1]weekly!#REF!</definedName>
    <definedName name="fjiejifjeoi" localSheetId="45" hidden="1">[1]weekly!#REF!</definedName>
    <definedName name="fjiejifjeoi" localSheetId="24" hidden="1">[1]weekly!#REF!</definedName>
    <definedName name="fjiejifjeoi" localSheetId="25" hidden="1">[1]weekly!#REF!</definedName>
    <definedName name="fjiejifjeoi" localSheetId="46" hidden="1">[1]weekly!#REF!</definedName>
    <definedName name="fjiejifjeoi" localSheetId="14" hidden="1">[1]weekly!#REF!</definedName>
    <definedName name="fjiejifjeoi" localSheetId="93" hidden="1">[1]weekly!#REF!</definedName>
    <definedName name="fjiejifjeoi" localSheetId="47" hidden="1">[1]weekly!#REF!</definedName>
    <definedName name="fjiejifjeoi" localSheetId="48" hidden="1">[1]weekly!#REF!</definedName>
    <definedName name="fjiejifjeoi" localSheetId="49" hidden="1">[1]weekly!#REF!</definedName>
    <definedName name="fjiejifjeoi" localSheetId="50" hidden="1">[1]weekly!#REF!</definedName>
    <definedName name="fjiejifjeoi" localSheetId="54" hidden="1">[1]weekly!#REF!</definedName>
    <definedName name="fjiejifjeoi" localSheetId="51" hidden="1">[1]weekly!#REF!</definedName>
    <definedName name="fjiejifjeoi" localSheetId="52" hidden="1">[1]weekly!#REF!</definedName>
    <definedName name="fjiejifjeoi" localSheetId="34" hidden="1">[1]weekly!#REF!</definedName>
    <definedName name="fjiejifjeoi" localSheetId="59" hidden="1">[1]weekly!#REF!</definedName>
    <definedName name="fjiejifjeoi" localSheetId="21" hidden="1">[1]weekly!#REF!</definedName>
    <definedName name="fjiejifjeoi" localSheetId="22" hidden="1">[1]weekly!#REF!</definedName>
    <definedName name="fjiejifjeoi" localSheetId="53" hidden="1">[1]weekly!#REF!</definedName>
    <definedName name="fjiejifjeoi" localSheetId="91" hidden="1">[1]weekly!#REF!</definedName>
    <definedName name="fjiejifjeoi" localSheetId="88" hidden="1">[1]weekly!#REF!</definedName>
    <definedName name="fjiejifjeoi" localSheetId="90" hidden="1">[1]weekly!#REF!</definedName>
    <definedName name="fjiejifjeoi" hidden="1">[1]weekly!#REF!</definedName>
    <definedName name="g" localSheetId="60" hidden="1">[1]weekly!#REF!</definedName>
    <definedName name="g" localSheetId="87" hidden="1">[1]weekly!#REF!</definedName>
    <definedName name="g" localSheetId="36" hidden="1">[1]weekly!#REF!</definedName>
    <definedName name="g" localSheetId="61" hidden="1">[1]weekly!#REF!</definedName>
    <definedName name="g" localSheetId="37" hidden="1">[1]weekly!#REF!</definedName>
    <definedName name="g" localSheetId="57" hidden="1">[1]weekly!#REF!</definedName>
    <definedName name="g" localSheetId="56" hidden="1">[1]weekly!#REF!</definedName>
    <definedName name="g" localSheetId="58" hidden="1">[1]weekly!#REF!</definedName>
    <definedName name="g" localSheetId="83" hidden="1">[1]weekly!#REF!</definedName>
    <definedName name="g" localSheetId="38" hidden="1">[1]weekly!#REF!</definedName>
    <definedName name="g" localSheetId="39" hidden="1">[1]weekly!#REF!</definedName>
    <definedName name="g" localSheetId="95" hidden="1">[1]weekly!#REF!</definedName>
    <definedName name="g" localSheetId="40" hidden="1">[1]weekly!#REF!</definedName>
    <definedName name="g" localSheetId="92" hidden="1">[1]weekly!#REF!</definedName>
    <definedName name="g" localSheetId="41" hidden="1">[1]weekly!#REF!</definedName>
    <definedName name="g" localSheetId="42" hidden="1">[1]weekly!#REF!</definedName>
    <definedName name="g" localSheetId="43" hidden="1">[1]weekly!#REF!</definedName>
    <definedName name="g" localSheetId="33" hidden="1">[1]weekly!#REF!</definedName>
    <definedName name="g" localSheetId="82" hidden="1">[1]weekly!#REF!</definedName>
    <definedName name="g" localSheetId="44" hidden="1">[1]weekly!#REF!</definedName>
    <definedName name="g" localSheetId="69" hidden="1">[1]weekly!#REF!</definedName>
    <definedName name="g" localSheetId="45" hidden="1">[1]weekly!#REF!</definedName>
    <definedName name="g" localSheetId="24" hidden="1">[1]weekly!#REF!</definedName>
    <definedName name="g" localSheetId="25" hidden="1">[1]weekly!#REF!</definedName>
    <definedName name="g" localSheetId="46" hidden="1">[1]weekly!#REF!</definedName>
    <definedName name="g" localSheetId="14" hidden="1">[1]weekly!#REF!</definedName>
    <definedName name="g" localSheetId="93" hidden="1">[1]weekly!#REF!</definedName>
    <definedName name="g" localSheetId="47" hidden="1">[1]weekly!#REF!</definedName>
    <definedName name="g" localSheetId="48" hidden="1">[1]weekly!#REF!</definedName>
    <definedName name="g" localSheetId="49" hidden="1">[1]weekly!#REF!</definedName>
    <definedName name="g" localSheetId="50" hidden="1">[1]weekly!#REF!</definedName>
    <definedName name="g" localSheetId="54" hidden="1">[1]weekly!#REF!</definedName>
    <definedName name="g" localSheetId="51" hidden="1">[1]weekly!#REF!</definedName>
    <definedName name="g" localSheetId="52" hidden="1">[1]weekly!#REF!</definedName>
    <definedName name="g" localSheetId="34" hidden="1">[1]weekly!#REF!</definedName>
    <definedName name="g" localSheetId="59" hidden="1">[1]weekly!#REF!</definedName>
    <definedName name="g" localSheetId="53" hidden="1">[1]weekly!#REF!</definedName>
    <definedName name="g" localSheetId="91" hidden="1">[1]weekly!#REF!</definedName>
    <definedName name="g" localSheetId="88" hidden="1">[1]weekly!#REF!</definedName>
    <definedName name="g" localSheetId="90" hidden="1">[1]weekly!#REF!</definedName>
    <definedName name="g" hidden="1">[1]weekly!#REF!</definedName>
    <definedName name="gg" localSheetId="60" hidden="1">[1]weekly!#REF!</definedName>
    <definedName name="gg" localSheetId="87" hidden="1">[1]weekly!#REF!</definedName>
    <definedName name="gg" localSheetId="36" hidden="1">[1]weekly!#REF!</definedName>
    <definedName name="gg" localSheetId="61" hidden="1">[1]weekly!#REF!</definedName>
    <definedName name="gg" localSheetId="37" hidden="1">[1]weekly!#REF!</definedName>
    <definedName name="gg" localSheetId="57" hidden="1">[1]weekly!#REF!</definedName>
    <definedName name="gg" localSheetId="56" hidden="1">[1]weekly!#REF!</definedName>
    <definedName name="gg" localSheetId="58" hidden="1">[1]weekly!#REF!</definedName>
    <definedName name="gg" localSheetId="83" hidden="1">[1]weekly!#REF!</definedName>
    <definedName name="gg" localSheetId="38" hidden="1">[1]weekly!#REF!</definedName>
    <definedName name="gg" localSheetId="39" hidden="1">[1]weekly!#REF!</definedName>
    <definedName name="gg" localSheetId="95" hidden="1">[1]weekly!#REF!</definedName>
    <definedName name="gg" localSheetId="40" hidden="1">[1]weekly!#REF!</definedName>
    <definedName name="gg" localSheetId="92" hidden="1">[1]weekly!#REF!</definedName>
    <definedName name="gg" localSheetId="41" hidden="1">[1]weekly!#REF!</definedName>
    <definedName name="gg" localSheetId="42" hidden="1">[1]weekly!#REF!</definedName>
    <definedName name="gg" localSheetId="43" hidden="1">[1]weekly!#REF!</definedName>
    <definedName name="gg" localSheetId="33" hidden="1">[1]weekly!#REF!</definedName>
    <definedName name="gg" localSheetId="82" hidden="1">[1]weekly!#REF!</definedName>
    <definedName name="gg" localSheetId="44" hidden="1">[1]weekly!#REF!</definedName>
    <definedName name="gg" localSheetId="69" hidden="1">[1]weekly!#REF!</definedName>
    <definedName name="gg" localSheetId="45" hidden="1">[1]weekly!#REF!</definedName>
    <definedName name="gg" localSheetId="24" hidden="1">[1]weekly!#REF!</definedName>
    <definedName name="gg" localSheetId="25" hidden="1">[1]weekly!#REF!</definedName>
    <definedName name="gg" localSheetId="46" hidden="1">[1]weekly!#REF!</definedName>
    <definedName name="gg" localSheetId="14" hidden="1">[1]weekly!#REF!</definedName>
    <definedName name="gg" localSheetId="93" hidden="1">[1]weekly!#REF!</definedName>
    <definedName name="gg" localSheetId="2" hidden="1">[1]weekly!#REF!</definedName>
    <definedName name="gg" localSheetId="47" hidden="1">[1]weekly!#REF!</definedName>
    <definedName name="gg" localSheetId="48" hidden="1">[1]weekly!#REF!</definedName>
    <definedName name="gg" localSheetId="49" hidden="1">[1]weekly!#REF!</definedName>
    <definedName name="gg" localSheetId="50" hidden="1">[1]weekly!#REF!</definedName>
    <definedName name="gg" localSheetId="54" hidden="1">[1]weekly!#REF!</definedName>
    <definedName name="gg" localSheetId="51" hidden="1">[1]weekly!#REF!</definedName>
    <definedName name="gg" localSheetId="52" hidden="1">[1]weekly!#REF!</definedName>
    <definedName name="gg" localSheetId="34" hidden="1">[1]weekly!#REF!</definedName>
    <definedName name="gg" localSheetId="59" hidden="1">[1]weekly!#REF!</definedName>
    <definedName name="gg" localSheetId="53" hidden="1">[1]weekly!#REF!</definedName>
    <definedName name="gg" localSheetId="91" hidden="1">[1]weekly!#REF!</definedName>
    <definedName name="gg" localSheetId="88" hidden="1">[1]weekly!#REF!</definedName>
    <definedName name="gg" localSheetId="90" hidden="1">[1]weekly!#REF!</definedName>
    <definedName name="gg" hidden="1">[1]weekly!#REF!</definedName>
    <definedName name="ggggg" localSheetId="60" hidden="1">[1]weekly!#REF!</definedName>
    <definedName name="ggggg" localSheetId="87" hidden="1">[1]weekly!#REF!</definedName>
    <definedName name="ggggg" localSheetId="36" hidden="1">[1]weekly!#REF!</definedName>
    <definedName name="ggggg" localSheetId="61" hidden="1">[1]weekly!#REF!</definedName>
    <definedName name="ggggg" localSheetId="37" hidden="1">[1]weekly!#REF!</definedName>
    <definedName name="ggggg" localSheetId="57" hidden="1">[1]weekly!#REF!</definedName>
    <definedName name="ggggg" localSheetId="56" hidden="1">[1]weekly!#REF!</definedName>
    <definedName name="ggggg" localSheetId="58" hidden="1">[1]weekly!#REF!</definedName>
    <definedName name="ggggg" localSheetId="83" hidden="1">[1]weekly!#REF!</definedName>
    <definedName name="ggggg" localSheetId="38" hidden="1">[1]weekly!#REF!</definedName>
    <definedName name="ggggg" localSheetId="39" hidden="1">[1]weekly!#REF!</definedName>
    <definedName name="ggggg" localSheetId="95" hidden="1">[1]weekly!#REF!</definedName>
    <definedName name="ggggg" localSheetId="40" hidden="1">[1]weekly!#REF!</definedName>
    <definedName name="ggggg" localSheetId="92" hidden="1">[1]weekly!#REF!</definedName>
    <definedName name="ggggg" localSheetId="41" hidden="1">[1]weekly!#REF!</definedName>
    <definedName name="ggggg" localSheetId="42" hidden="1">[1]weekly!#REF!</definedName>
    <definedName name="ggggg" localSheetId="43" hidden="1">[1]weekly!#REF!</definedName>
    <definedName name="ggggg" localSheetId="33" hidden="1">[1]weekly!#REF!</definedName>
    <definedName name="ggggg" localSheetId="82" hidden="1">[1]weekly!#REF!</definedName>
    <definedName name="ggggg" localSheetId="44" hidden="1">[1]weekly!#REF!</definedName>
    <definedName name="ggggg" localSheetId="69" hidden="1">[1]weekly!#REF!</definedName>
    <definedName name="ggggg" localSheetId="45" hidden="1">[1]weekly!#REF!</definedName>
    <definedName name="ggggg" localSheetId="24" hidden="1">[1]weekly!#REF!</definedName>
    <definedName name="ggggg" localSheetId="25" hidden="1">[1]weekly!#REF!</definedName>
    <definedName name="ggggg" localSheetId="46" hidden="1">[1]weekly!#REF!</definedName>
    <definedName name="ggggg" localSheetId="14" hidden="1">[1]weekly!#REF!</definedName>
    <definedName name="ggggg" localSheetId="93" hidden="1">[1]weekly!#REF!</definedName>
    <definedName name="ggggg" localSheetId="47" hidden="1">[1]weekly!#REF!</definedName>
    <definedName name="ggggg" localSheetId="48" hidden="1">[1]weekly!#REF!</definedName>
    <definedName name="ggggg" localSheetId="49" hidden="1">[1]weekly!#REF!</definedName>
    <definedName name="ggggg" localSheetId="50" hidden="1">[1]weekly!#REF!</definedName>
    <definedName name="ggggg" localSheetId="54" hidden="1">[1]weekly!#REF!</definedName>
    <definedName name="ggggg" localSheetId="51" hidden="1">[1]weekly!#REF!</definedName>
    <definedName name="ggggg" localSheetId="52" hidden="1">[1]weekly!#REF!</definedName>
    <definedName name="ggggg" localSheetId="34" hidden="1">[1]weekly!#REF!</definedName>
    <definedName name="ggggg" localSheetId="59" hidden="1">[1]weekly!#REF!</definedName>
    <definedName name="ggggg" localSheetId="53" hidden="1">[1]weekly!#REF!</definedName>
    <definedName name="ggggg" localSheetId="91" hidden="1">[1]weekly!#REF!</definedName>
    <definedName name="ggggg" localSheetId="88" hidden="1">[1]weekly!#REF!</definedName>
    <definedName name="ggggg" localSheetId="90" hidden="1">[1]weekly!#REF!</definedName>
    <definedName name="ggggg" hidden="1">[1]weekly!#REF!</definedName>
    <definedName name="ggggggggg" localSheetId="60" hidden="1">[1]weekly!#REF!</definedName>
    <definedName name="ggggggggg" localSheetId="87" hidden="1">[1]weekly!#REF!</definedName>
    <definedName name="ggggggggg" localSheetId="36" hidden="1">[1]weekly!#REF!</definedName>
    <definedName name="ggggggggg" localSheetId="61" hidden="1">[1]weekly!#REF!</definedName>
    <definedName name="ggggggggg" localSheetId="37" hidden="1">[1]weekly!#REF!</definedName>
    <definedName name="ggggggggg" localSheetId="17" hidden="1">[1]weekly!#REF!</definedName>
    <definedName name="ggggggggg" localSheetId="55" hidden="1">[1]weekly!#REF!</definedName>
    <definedName name="ggggggggg" localSheetId="57" hidden="1">[1]weekly!#REF!</definedName>
    <definedName name="ggggggggg" localSheetId="15" hidden="1">[1]weekly!#REF!</definedName>
    <definedName name="ggggggggg" localSheetId="56" hidden="1">[1]weekly!#REF!</definedName>
    <definedName name="ggggggggg" localSheetId="58" hidden="1">[1]weekly!#REF!</definedName>
    <definedName name="ggggggggg" localSheetId="19" hidden="1">[1]weekly!#REF!</definedName>
    <definedName name="ggggggggg" localSheetId="83" hidden="1">[1]weekly!#REF!</definedName>
    <definedName name="ggggggggg" localSheetId="38" hidden="1">[1]weekly!#REF!</definedName>
    <definedName name="ggggggggg" localSheetId="39" hidden="1">[1]weekly!#REF!</definedName>
    <definedName name="ggggggggg" localSheetId="95" hidden="1">[1]weekly!#REF!</definedName>
    <definedName name="ggggggggg" localSheetId="40" hidden="1">[1]weekly!#REF!</definedName>
    <definedName name="ggggggggg" localSheetId="92" hidden="1">[1]weekly!#REF!</definedName>
    <definedName name="ggggggggg" localSheetId="41" hidden="1">[1]weekly!#REF!</definedName>
    <definedName name="ggggggggg" localSheetId="42" hidden="1">[1]weekly!#REF!</definedName>
    <definedName name="ggggggggg" localSheetId="43" hidden="1">[1]weekly!#REF!</definedName>
    <definedName name="ggggggggg" localSheetId="33" hidden="1">[1]weekly!#REF!</definedName>
    <definedName name="ggggggggg" localSheetId="82" hidden="1">[1]weekly!#REF!</definedName>
    <definedName name="ggggggggg" localSheetId="44" hidden="1">[1]weekly!#REF!</definedName>
    <definedName name="ggggggggg" localSheetId="69" hidden="1">[1]weekly!#REF!</definedName>
    <definedName name="ggggggggg" localSheetId="45" hidden="1">[1]weekly!#REF!</definedName>
    <definedName name="ggggggggg" localSheetId="24" hidden="1">[1]weekly!#REF!</definedName>
    <definedName name="ggggggggg" localSheetId="25" hidden="1">[1]weekly!#REF!</definedName>
    <definedName name="ggggggggg" localSheetId="46" hidden="1">[1]weekly!#REF!</definedName>
    <definedName name="ggggggggg" localSheetId="14" hidden="1">[1]weekly!#REF!</definedName>
    <definedName name="ggggggggg" localSheetId="93" hidden="1">[1]weekly!#REF!</definedName>
    <definedName name="ggggggggg" localSheetId="47" hidden="1">[1]weekly!#REF!</definedName>
    <definedName name="ggggggggg" localSheetId="48" hidden="1">[1]weekly!#REF!</definedName>
    <definedName name="ggggggggg" localSheetId="49" hidden="1">[1]weekly!#REF!</definedName>
    <definedName name="ggggggggg" localSheetId="50" hidden="1">[1]weekly!#REF!</definedName>
    <definedName name="ggggggggg" localSheetId="54" hidden="1">[1]weekly!#REF!</definedName>
    <definedName name="ggggggggg" localSheetId="51" hidden="1">[1]weekly!#REF!</definedName>
    <definedName name="ggggggggg" localSheetId="52" hidden="1">[1]weekly!#REF!</definedName>
    <definedName name="ggggggggg" localSheetId="34" hidden="1">[1]weekly!#REF!</definedName>
    <definedName name="ggggggggg" localSheetId="59" hidden="1">[1]weekly!#REF!</definedName>
    <definedName name="ggggggggg" localSheetId="21" hidden="1">[1]weekly!#REF!</definedName>
    <definedName name="ggggggggg" localSheetId="22" hidden="1">[1]weekly!#REF!</definedName>
    <definedName name="ggggggggg" localSheetId="53" hidden="1">[1]weekly!#REF!</definedName>
    <definedName name="ggggggggg" localSheetId="91" hidden="1">[1]weekly!#REF!</definedName>
    <definedName name="ggggggggg" localSheetId="88" hidden="1">[1]weekly!#REF!</definedName>
    <definedName name="ggggggggg" localSheetId="90" hidden="1">[1]weekly!#REF!</definedName>
    <definedName name="ggggggggg" hidden="1">[1]weekly!#REF!</definedName>
    <definedName name="gggggggggggg" localSheetId="60" hidden="1">[1]weekly!#REF!</definedName>
    <definedName name="gggggggggggg" localSheetId="87" hidden="1">[1]weekly!#REF!</definedName>
    <definedName name="gggggggggggg" localSheetId="36" hidden="1">[1]weekly!#REF!</definedName>
    <definedName name="gggggggggggg" localSheetId="61" hidden="1">[1]weekly!#REF!</definedName>
    <definedName name="gggggggggggg" localSheetId="37" hidden="1">[1]weekly!#REF!</definedName>
    <definedName name="gggggggggggg" localSheetId="17" hidden="1">[1]weekly!#REF!</definedName>
    <definedName name="gggggggggggg" localSheetId="55" hidden="1">[1]weekly!#REF!</definedName>
    <definedName name="gggggggggggg" localSheetId="57" hidden="1">[1]weekly!#REF!</definedName>
    <definedName name="gggggggggggg" localSheetId="15" hidden="1">[1]weekly!#REF!</definedName>
    <definedName name="gggggggggggg" localSheetId="56" hidden="1">[1]weekly!#REF!</definedName>
    <definedName name="gggggggggggg" localSheetId="58" hidden="1">[1]weekly!#REF!</definedName>
    <definedName name="gggggggggggg" localSheetId="19" hidden="1">[1]weekly!#REF!</definedName>
    <definedName name="gggggggggggg" localSheetId="83" hidden="1">[1]weekly!#REF!</definedName>
    <definedName name="gggggggggggg" localSheetId="38" hidden="1">[1]weekly!#REF!</definedName>
    <definedName name="gggggggggggg" localSheetId="39" hidden="1">[1]weekly!#REF!</definedName>
    <definedName name="gggggggggggg" localSheetId="95" hidden="1">[1]weekly!#REF!</definedName>
    <definedName name="gggggggggggg" localSheetId="40" hidden="1">[1]weekly!#REF!</definedName>
    <definedName name="gggggggggggg" localSheetId="92" hidden="1">[1]weekly!#REF!</definedName>
    <definedName name="gggggggggggg" localSheetId="41" hidden="1">[1]weekly!#REF!</definedName>
    <definedName name="gggggggggggg" localSheetId="42" hidden="1">[1]weekly!#REF!</definedName>
    <definedName name="gggggggggggg" localSheetId="43" hidden="1">[1]weekly!#REF!</definedName>
    <definedName name="gggggggggggg" localSheetId="33" hidden="1">[1]weekly!#REF!</definedName>
    <definedName name="gggggggggggg" localSheetId="82" hidden="1">[1]weekly!#REF!</definedName>
    <definedName name="gggggggggggg" localSheetId="44" hidden="1">[1]weekly!#REF!</definedName>
    <definedName name="gggggggggggg" localSheetId="69" hidden="1">[1]weekly!#REF!</definedName>
    <definedName name="gggggggggggg" localSheetId="45" hidden="1">[1]weekly!#REF!</definedName>
    <definedName name="gggggggggggg" localSheetId="24" hidden="1">[1]weekly!#REF!</definedName>
    <definedName name="gggggggggggg" localSheetId="25" hidden="1">[1]weekly!#REF!</definedName>
    <definedName name="gggggggggggg" localSheetId="46" hidden="1">[1]weekly!#REF!</definedName>
    <definedName name="gggggggggggg" localSheetId="14" hidden="1">[1]weekly!#REF!</definedName>
    <definedName name="gggggggggggg" localSheetId="93" hidden="1">[1]weekly!#REF!</definedName>
    <definedName name="gggggggggggg" localSheetId="47" hidden="1">[1]weekly!#REF!</definedName>
    <definedName name="gggggggggggg" localSheetId="48" hidden="1">[1]weekly!#REF!</definedName>
    <definedName name="gggggggggggg" localSheetId="49" hidden="1">[1]weekly!#REF!</definedName>
    <definedName name="gggggggggggg" localSheetId="50" hidden="1">[1]weekly!#REF!</definedName>
    <definedName name="gggggggggggg" localSheetId="54" hidden="1">[1]weekly!#REF!</definedName>
    <definedName name="gggggggggggg" localSheetId="51" hidden="1">[1]weekly!#REF!</definedName>
    <definedName name="gggggggggggg" localSheetId="52" hidden="1">[1]weekly!#REF!</definedName>
    <definedName name="gggggggggggg" localSheetId="34" hidden="1">[1]weekly!#REF!</definedName>
    <definedName name="gggggggggggg" localSheetId="59" hidden="1">[1]weekly!#REF!</definedName>
    <definedName name="gggggggggggg" localSheetId="21" hidden="1">[1]weekly!#REF!</definedName>
    <definedName name="gggggggggggg" localSheetId="22" hidden="1">[1]weekly!#REF!</definedName>
    <definedName name="gggggggggggg" localSheetId="53" hidden="1">[1]weekly!#REF!</definedName>
    <definedName name="gggggggggggg" localSheetId="91" hidden="1">[1]weekly!#REF!</definedName>
    <definedName name="gggggggggggg" localSheetId="88" hidden="1">[1]weekly!#REF!</definedName>
    <definedName name="gggggggggggg" localSheetId="90" hidden="1">[1]weekly!#REF!</definedName>
    <definedName name="gggggggggggg" hidden="1">[1]weekly!#REF!</definedName>
    <definedName name="ggggggggggggggggg" localSheetId="60" hidden="1">[1]weekly!#REF!</definedName>
    <definedName name="ggggggggggggggggg" localSheetId="87" hidden="1">[1]weekly!#REF!</definedName>
    <definedName name="ggggggggggggggggg" localSheetId="36" hidden="1">[1]weekly!#REF!</definedName>
    <definedName name="ggggggggggggggggg" localSheetId="61" hidden="1">[1]weekly!#REF!</definedName>
    <definedName name="ggggggggggggggggg" localSheetId="37" hidden="1">[1]weekly!#REF!</definedName>
    <definedName name="ggggggggggggggggg" localSheetId="17" hidden="1">[1]weekly!#REF!</definedName>
    <definedName name="ggggggggggggggggg" localSheetId="55" hidden="1">[1]weekly!#REF!</definedName>
    <definedName name="ggggggggggggggggg" localSheetId="57" hidden="1">[1]weekly!#REF!</definedName>
    <definedName name="ggggggggggggggggg" localSheetId="15" hidden="1">[1]weekly!#REF!</definedName>
    <definedName name="ggggggggggggggggg" localSheetId="56" hidden="1">[1]weekly!#REF!</definedName>
    <definedName name="ggggggggggggggggg" localSheetId="58" hidden="1">[1]weekly!#REF!</definedName>
    <definedName name="ggggggggggggggggg" localSheetId="19" hidden="1">[1]weekly!#REF!</definedName>
    <definedName name="ggggggggggggggggg" localSheetId="83" hidden="1">[1]weekly!#REF!</definedName>
    <definedName name="ggggggggggggggggg" localSheetId="38" hidden="1">[1]weekly!#REF!</definedName>
    <definedName name="ggggggggggggggggg" localSheetId="39" hidden="1">[1]weekly!#REF!</definedName>
    <definedName name="ggggggggggggggggg" localSheetId="95" hidden="1">[1]weekly!#REF!</definedName>
    <definedName name="ggggggggggggggggg" localSheetId="40" hidden="1">[1]weekly!#REF!</definedName>
    <definedName name="ggggggggggggggggg" localSheetId="92" hidden="1">[1]weekly!#REF!</definedName>
    <definedName name="ggggggggggggggggg" localSheetId="41" hidden="1">[1]weekly!#REF!</definedName>
    <definedName name="ggggggggggggggggg" localSheetId="42" hidden="1">[1]weekly!#REF!</definedName>
    <definedName name="ggggggggggggggggg" localSheetId="43" hidden="1">[1]weekly!#REF!</definedName>
    <definedName name="ggggggggggggggggg" localSheetId="33" hidden="1">[1]weekly!#REF!</definedName>
    <definedName name="ggggggggggggggggg" localSheetId="82" hidden="1">[1]weekly!#REF!</definedName>
    <definedName name="ggggggggggggggggg" localSheetId="44" hidden="1">[1]weekly!#REF!</definedName>
    <definedName name="ggggggggggggggggg" localSheetId="69" hidden="1">[1]weekly!#REF!</definedName>
    <definedName name="ggggggggggggggggg" localSheetId="45" hidden="1">[1]weekly!#REF!</definedName>
    <definedName name="ggggggggggggggggg" localSheetId="24" hidden="1">[1]weekly!#REF!</definedName>
    <definedName name="ggggggggggggggggg" localSheetId="25" hidden="1">[1]weekly!#REF!</definedName>
    <definedName name="ggggggggggggggggg" localSheetId="46" hidden="1">[1]weekly!#REF!</definedName>
    <definedName name="ggggggggggggggggg" localSheetId="14" hidden="1">[1]weekly!#REF!</definedName>
    <definedName name="ggggggggggggggggg" localSheetId="93" hidden="1">[1]weekly!#REF!</definedName>
    <definedName name="ggggggggggggggggg" localSheetId="47" hidden="1">[1]weekly!#REF!</definedName>
    <definedName name="ggggggggggggggggg" localSheetId="48" hidden="1">[1]weekly!#REF!</definedName>
    <definedName name="ggggggggggggggggg" localSheetId="49" hidden="1">[1]weekly!#REF!</definedName>
    <definedName name="ggggggggggggggggg" localSheetId="50" hidden="1">[1]weekly!#REF!</definedName>
    <definedName name="ggggggggggggggggg" localSheetId="54" hidden="1">[1]weekly!#REF!</definedName>
    <definedName name="ggggggggggggggggg" localSheetId="51" hidden="1">[1]weekly!#REF!</definedName>
    <definedName name="ggggggggggggggggg" localSheetId="52" hidden="1">[1]weekly!#REF!</definedName>
    <definedName name="ggggggggggggggggg" localSheetId="34" hidden="1">[1]weekly!#REF!</definedName>
    <definedName name="ggggggggggggggggg" localSheetId="59" hidden="1">[1]weekly!#REF!</definedName>
    <definedName name="ggggggggggggggggg" localSheetId="21" hidden="1">[1]weekly!#REF!</definedName>
    <definedName name="ggggggggggggggggg" localSheetId="22" hidden="1">[1]weekly!#REF!</definedName>
    <definedName name="ggggggggggggggggg" localSheetId="53" hidden="1">[1]weekly!#REF!</definedName>
    <definedName name="ggggggggggggggggg" localSheetId="91" hidden="1">[1]weekly!#REF!</definedName>
    <definedName name="ggggggggggggggggg" localSheetId="88" hidden="1">[1]weekly!#REF!</definedName>
    <definedName name="ggggggggggggggggg" localSheetId="90" hidden="1">[1]weekly!#REF!</definedName>
    <definedName name="ggggggggggggggggg" hidden="1">[1]weekly!#REF!</definedName>
    <definedName name="gggggggggggggggggg" localSheetId="60" hidden="1">[1]weekly!#REF!</definedName>
    <definedName name="gggggggggggggggggg" localSheetId="87" hidden="1">[1]weekly!#REF!</definedName>
    <definedName name="gggggggggggggggggg" localSheetId="36" hidden="1">[1]weekly!#REF!</definedName>
    <definedName name="gggggggggggggggggg" localSheetId="61" hidden="1">[1]weekly!#REF!</definedName>
    <definedName name="gggggggggggggggggg" localSheetId="37" hidden="1">[1]weekly!#REF!</definedName>
    <definedName name="gggggggggggggggggg" localSheetId="17" hidden="1">[1]weekly!#REF!</definedName>
    <definedName name="gggggggggggggggggg" localSheetId="55" hidden="1">[1]weekly!#REF!</definedName>
    <definedName name="gggggggggggggggggg" localSheetId="57" hidden="1">[1]weekly!#REF!</definedName>
    <definedName name="gggggggggggggggggg" localSheetId="15" hidden="1">[1]weekly!#REF!</definedName>
    <definedName name="gggggggggggggggggg" localSheetId="56" hidden="1">[1]weekly!#REF!</definedName>
    <definedName name="gggggggggggggggggg" localSheetId="58" hidden="1">[1]weekly!#REF!</definedName>
    <definedName name="gggggggggggggggggg" localSheetId="19" hidden="1">[1]weekly!#REF!</definedName>
    <definedName name="gggggggggggggggggg" localSheetId="83" hidden="1">[1]weekly!#REF!</definedName>
    <definedName name="gggggggggggggggggg" localSheetId="38" hidden="1">[1]weekly!#REF!</definedName>
    <definedName name="gggggggggggggggggg" localSheetId="39" hidden="1">[1]weekly!#REF!</definedName>
    <definedName name="gggggggggggggggggg" localSheetId="95" hidden="1">[1]weekly!#REF!</definedName>
    <definedName name="gggggggggggggggggg" localSheetId="40" hidden="1">[1]weekly!#REF!</definedName>
    <definedName name="gggggggggggggggggg" localSheetId="92" hidden="1">[1]weekly!#REF!</definedName>
    <definedName name="gggggggggggggggggg" localSheetId="41" hidden="1">[1]weekly!#REF!</definedName>
    <definedName name="gggggggggggggggggg" localSheetId="42" hidden="1">[1]weekly!#REF!</definedName>
    <definedName name="gggggggggggggggggg" localSheetId="43" hidden="1">[1]weekly!#REF!</definedName>
    <definedName name="gggggggggggggggggg" localSheetId="33" hidden="1">[1]weekly!#REF!</definedName>
    <definedName name="gggggggggggggggggg" localSheetId="82" hidden="1">[1]weekly!#REF!</definedName>
    <definedName name="gggggggggggggggggg" localSheetId="44" hidden="1">[1]weekly!#REF!</definedName>
    <definedName name="gggggggggggggggggg" localSheetId="69" hidden="1">[1]weekly!#REF!</definedName>
    <definedName name="gggggggggggggggggg" localSheetId="45" hidden="1">[1]weekly!#REF!</definedName>
    <definedName name="gggggggggggggggggg" localSheetId="24" hidden="1">[1]weekly!#REF!</definedName>
    <definedName name="gggggggggggggggggg" localSheetId="25" hidden="1">[1]weekly!#REF!</definedName>
    <definedName name="gggggggggggggggggg" localSheetId="46" hidden="1">[1]weekly!#REF!</definedName>
    <definedName name="gggggggggggggggggg" localSheetId="14" hidden="1">[1]weekly!#REF!</definedName>
    <definedName name="gggggggggggggggggg" localSheetId="93" hidden="1">[1]weekly!#REF!</definedName>
    <definedName name="gggggggggggggggggg" localSheetId="47" hidden="1">[1]weekly!#REF!</definedName>
    <definedName name="gggggggggggggggggg" localSheetId="48" hidden="1">[1]weekly!#REF!</definedName>
    <definedName name="gggggggggggggggggg" localSheetId="49" hidden="1">[1]weekly!#REF!</definedName>
    <definedName name="gggggggggggggggggg" localSheetId="50" hidden="1">[1]weekly!#REF!</definedName>
    <definedName name="gggggggggggggggggg" localSheetId="54" hidden="1">[1]weekly!#REF!</definedName>
    <definedName name="gggggggggggggggggg" localSheetId="51" hidden="1">[1]weekly!#REF!</definedName>
    <definedName name="gggggggggggggggggg" localSheetId="52" hidden="1">[1]weekly!#REF!</definedName>
    <definedName name="gggggggggggggggggg" localSheetId="34" hidden="1">[1]weekly!#REF!</definedName>
    <definedName name="gggggggggggggggggg" localSheetId="59" hidden="1">[1]weekly!#REF!</definedName>
    <definedName name="gggggggggggggggggg" localSheetId="21" hidden="1">[1]weekly!#REF!</definedName>
    <definedName name="gggggggggggggggggg" localSheetId="22" hidden="1">[1]weekly!#REF!</definedName>
    <definedName name="gggggggggggggggggg" localSheetId="53" hidden="1">[1]weekly!#REF!</definedName>
    <definedName name="gggggggggggggggggg" localSheetId="91" hidden="1">[1]weekly!#REF!</definedName>
    <definedName name="gggggggggggggggggg" localSheetId="88" hidden="1">[1]weekly!#REF!</definedName>
    <definedName name="gggggggggggggggggg" localSheetId="90" hidden="1">[1]weekly!#REF!</definedName>
    <definedName name="gggggggggggggggggg" hidden="1">[1]weekly!#REF!</definedName>
    <definedName name="h" localSheetId="60" hidden="1">[1]weekly!#REF!</definedName>
    <definedName name="h" localSheetId="87" hidden="1">[1]weekly!#REF!</definedName>
    <definedName name="h" localSheetId="36" hidden="1">[1]weekly!#REF!</definedName>
    <definedName name="h" localSheetId="61" hidden="1">[1]weekly!#REF!</definedName>
    <definedName name="h" localSheetId="37" hidden="1">[1]weekly!#REF!</definedName>
    <definedName name="h" localSheetId="57" hidden="1">[1]weekly!#REF!</definedName>
    <definedName name="h" localSheetId="56" hidden="1">[1]weekly!#REF!</definedName>
    <definedName name="h" localSheetId="58" hidden="1">[1]weekly!#REF!</definedName>
    <definedName name="h" localSheetId="83" hidden="1">[1]weekly!#REF!</definedName>
    <definedName name="h" localSheetId="38" hidden="1">[1]weekly!#REF!</definedName>
    <definedName name="h" localSheetId="39" hidden="1">[1]weekly!#REF!</definedName>
    <definedName name="h" localSheetId="95" hidden="1">[1]weekly!#REF!</definedName>
    <definedName name="h" localSheetId="40" hidden="1">[1]weekly!#REF!</definedName>
    <definedName name="h" localSheetId="92" hidden="1">[1]weekly!#REF!</definedName>
    <definedName name="h" localSheetId="41" hidden="1">[1]weekly!#REF!</definedName>
    <definedName name="h" localSheetId="42" hidden="1">[1]weekly!#REF!</definedName>
    <definedName name="h" localSheetId="43" hidden="1">[1]weekly!#REF!</definedName>
    <definedName name="h" localSheetId="33" hidden="1">[1]weekly!#REF!</definedName>
    <definedName name="h" localSheetId="82" hidden="1">[1]weekly!#REF!</definedName>
    <definedName name="h" localSheetId="44" hidden="1">[1]weekly!#REF!</definedName>
    <definedName name="h" localSheetId="69" hidden="1">[1]weekly!#REF!</definedName>
    <definedName name="h" localSheetId="45" hidden="1">[1]weekly!#REF!</definedName>
    <definedName name="h" localSheetId="24" hidden="1">[1]weekly!#REF!</definedName>
    <definedName name="h" localSheetId="25" hidden="1">[1]weekly!#REF!</definedName>
    <definedName name="h" localSheetId="46" hidden="1">[1]weekly!#REF!</definedName>
    <definedName name="h" localSheetId="14" hidden="1">[1]weekly!#REF!</definedName>
    <definedName name="h" localSheetId="93" hidden="1">[1]weekly!#REF!</definedName>
    <definedName name="h" localSheetId="47" hidden="1">[1]weekly!#REF!</definedName>
    <definedName name="h" localSheetId="48" hidden="1">[1]weekly!#REF!</definedName>
    <definedName name="h" localSheetId="49" hidden="1">[1]weekly!#REF!</definedName>
    <definedName name="h" localSheetId="50" hidden="1">[1]weekly!#REF!</definedName>
    <definedName name="h" localSheetId="54" hidden="1">[1]weekly!#REF!</definedName>
    <definedName name="h" localSheetId="51" hidden="1">[1]weekly!#REF!</definedName>
    <definedName name="h" localSheetId="52" hidden="1">[1]weekly!#REF!</definedName>
    <definedName name="h" localSheetId="34" hidden="1">[1]weekly!#REF!</definedName>
    <definedName name="h" localSheetId="59" hidden="1">[1]weekly!#REF!</definedName>
    <definedName name="h" localSheetId="53" hidden="1">[1]weekly!#REF!</definedName>
    <definedName name="h" localSheetId="91" hidden="1">[1]weekly!#REF!</definedName>
    <definedName name="h" localSheetId="88" hidden="1">[1]weekly!#REF!</definedName>
    <definedName name="h" localSheetId="90" hidden="1">[1]weekly!#REF!</definedName>
    <definedName name="h" hidden="1">[1]weekly!#REF!</definedName>
    <definedName name="hh" localSheetId="60" hidden="1">[1]weekly!#REF!</definedName>
    <definedName name="hh" localSheetId="87" hidden="1">[1]weekly!#REF!</definedName>
    <definedName name="hh" localSheetId="36" hidden="1">[1]weekly!#REF!</definedName>
    <definedName name="hh" localSheetId="61" hidden="1">[1]weekly!#REF!</definedName>
    <definedName name="hh" localSheetId="37" hidden="1">[1]weekly!#REF!</definedName>
    <definedName name="hh" localSheetId="57" hidden="1">[1]weekly!#REF!</definedName>
    <definedName name="hh" localSheetId="56" hidden="1">[1]weekly!#REF!</definedName>
    <definedName name="hh" localSheetId="58" hidden="1">[1]weekly!#REF!</definedName>
    <definedName name="hh" localSheetId="83" hidden="1">[1]weekly!#REF!</definedName>
    <definedName name="hh" localSheetId="38" hidden="1">[1]weekly!#REF!</definedName>
    <definedName name="hh" localSheetId="39" hidden="1">[1]weekly!#REF!</definedName>
    <definedName name="hh" localSheetId="95" hidden="1">[1]weekly!#REF!</definedName>
    <definedName name="hh" localSheetId="40" hidden="1">[1]weekly!#REF!</definedName>
    <definedName name="hh" localSheetId="92" hidden="1">[1]weekly!#REF!</definedName>
    <definedName name="hh" localSheetId="41" hidden="1">[1]weekly!#REF!</definedName>
    <definedName name="hh" localSheetId="42" hidden="1">[1]weekly!#REF!</definedName>
    <definedName name="hh" localSheetId="43" hidden="1">[1]weekly!#REF!</definedName>
    <definedName name="hh" localSheetId="33" hidden="1">[1]weekly!#REF!</definedName>
    <definedName name="hh" localSheetId="82" hidden="1">[1]weekly!#REF!</definedName>
    <definedName name="hh" localSheetId="44" hidden="1">[1]weekly!#REF!</definedName>
    <definedName name="hh" localSheetId="69" hidden="1">[1]weekly!#REF!</definedName>
    <definedName name="hh" localSheetId="45" hidden="1">[1]weekly!#REF!</definedName>
    <definedName name="hh" localSheetId="24" hidden="1">[1]weekly!#REF!</definedName>
    <definedName name="hh" localSheetId="25" hidden="1">[1]weekly!#REF!</definedName>
    <definedName name="hh" localSheetId="46" hidden="1">[1]weekly!#REF!</definedName>
    <definedName name="hh" localSheetId="14" hidden="1">[1]weekly!#REF!</definedName>
    <definedName name="hh" localSheetId="93" hidden="1">[1]weekly!#REF!</definedName>
    <definedName name="hh" localSheetId="47" hidden="1">[1]weekly!#REF!</definedName>
    <definedName name="hh" localSheetId="48" hidden="1">[1]weekly!#REF!</definedName>
    <definedName name="hh" localSheetId="49" hidden="1">[1]weekly!#REF!</definedName>
    <definedName name="hh" localSheetId="50" hidden="1">[1]weekly!#REF!</definedName>
    <definedName name="hh" localSheetId="54" hidden="1">[1]weekly!#REF!</definedName>
    <definedName name="hh" localSheetId="51" hidden="1">[1]weekly!#REF!</definedName>
    <definedName name="hh" localSheetId="52" hidden="1">[1]weekly!#REF!</definedName>
    <definedName name="hh" localSheetId="34" hidden="1">[1]weekly!#REF!</definedName>
    <definedName name="hh" localSheetId="59" hidden="1">[1]weekly!#REF!</definedName>
    <definedName name="hh" localSheetId="53" hidden="1">[1]weekly!#REF!</definedName>
    <definedName name="hh" localSheetId="91" hidden="1">[1]weekly!#REF!</definedName>
    <definedName name="hh" localSheetId="88" hidden="1">[1]weekly!#REF!</definedName>
    <definedName name="hh" localSheetId="90" hidden="1">[1]weekly!#REF!</definedName>
    <definedName name="hh" hidden="1">[1]weekly!#REF!</definedName>
    <definedName name="hhhhh" localSheetId="60" hidden="1">[1]weekly!#REF!</definedName>
    <definedName name="hhhhh" localSheetId="87" hidden="1">[1]weekly!#REF!</definedName>
    <definedName name="hhhhh" localSheetId="36" hidden="1">[1]weekly!#REF!</definedName>
    <definedName name="hhhhh" localSheetId="61" hidden="1">[1]weekly!#REF!</definedName>
    <definedName name="hhhhh" localSheetId="37" hidden="1">[1]weekly!#REF!</definedName>
    <definedName name="hhhhh" localSheetId="57" hidden="1">[1]weekly!#REF!</definedName>
    <definedName name="hhhhh" localSheetId="56" hidden="1">[1]weekly!#REF!</definedName>
    <definedName name="hhhhh" localSheetId="58" hidden="1">[1]weekly!#REF!</definedName>
    <definedName name="hhhhh" localSheetId="83" hidden="1">[1]weekly!#REF!</definedName>
    <definedName name="hhhhh" localSheetId="38" hidden="1">[1]weekly!#REF!</definedName>
    <definedName name="hhhhh" localSheetId="39" hidden="1">[1]weekly!#REF!</definedName>
    <definedName name="hhhhh" localSheetId="95" hidden="1">[1]weekly!#REF!</definedName>
    <definedName name="hhhhh" localSheetId="40" hidden="1">[1]weekly!#REF!</definedName>
    <definedName name="hhhhh" localSheetId="92" hidden="1">[1]weekly!#REF!</definedName>
    <definedName name="hhhhh" localSheetId="41" hidden="1">[1]weekly!#REF!</definedName>
    <definedName name="hhhhh" localSheetId="42" hidden="1">[1]weekly!#REF!</definedName>
    <definedName name="hhhhh" localSheetId="43" hidden="1">[1]weekly!#REF!</definedName>
    <definedName name="hhhhh" localSheetId="33" hidden="1">[1]weekly!#REF!</definedName>
    <definedName name="hhhhh" localSheetId="82" hidden="1">[1]weekly!#REF!</definedName>
    <definedName name="hhhhh" localSheetId="44" hidden="1">[1]weekly!#REF!</definedName>
    <definedName name="hhhhh" localSheetId="69" hidden="1">[1]weekly!#REF!</definedName>
    <definedName name="hhhhh" localSheetId="45" hidden="1">[1]weekly!#REF!</definedName>
    <definedName name="hhhhh" localSheetId="24" hidden="1">[1]weekly!#REF!</definedName>
    <definedName name="hhhhh" localSheetId="25" hidden="1">[1]weekly!#REF!</definedName>
    <definedName name="hhhhh" localSheetId="46" hidden="1">[1]weekly!#REF!</definedName>
    <definedName name="hhhhh" localSheetId="14" hidden="1">[1]weekly!#REF!</definedName>
    <definedName name="hhhhh" localSheetId="93" hidden="1">[1]weekly!#REF!</definedName>
    <definedName name="hhhhh" localSheetId="47" hidden="1">[1]weekly!#REF!</definedName>
    <definedName name="hhhhh" localSheetId="48" hidden="1">[1]weekly!#REF!</definedName>
    <definedName name="hhhhh" localSheetId="49" hidden="1">[1]weekly!#REF!</definedName>
    <definedName name="hhhhh" localSheetId="50" hidden="1">[1]weekly!#REF!</definedName>
    <definedName name="hhhhh" localSheetId="54" hidden="1">[1]weekly!#REF!</definedName>
    <definedName name="hhhhh" localSheetId="51" hidden="1">[1]weekly!#REF!</definedName>
    <definedName name="hhhhh" localSheetId="52" hidden="1">[1]weekly!#REF!</definedName>
    <definedName name="hhhhh" localSheetId="34" hidden="1">[1]weekly!#REF!</definedName>
    <definedName name="hhhhh" localSheetId="59" hidden="1">[1]weekly!#REF!</definedName>
    <definedName name="hhhhh" localSheetId="53" hidden="1">[1]weekly!#REF!</definedName>
    <definedName name="hhhhh" localSheetId="91" hidden="1">[1]weekly!#REF!</definedName>
    <definedName name="hhhhh" localSheetId="88" hidden="1">[1]weekly!#REF!</definedName>
    <definedName name="hhhhh" localSheetId="90" hidden="1">[1]weekly!#REF!</definedName>
    <definedName name="hhhhh" hidden="1">[1]weekly!#REF!</definedName>
    <definedName name="i" localSheetId="60" hidden="1">[1]weekly!#REF!</definedName>
    <definedName name="i" localSheetId="87" hidden="1">[1]weekly!#REF!</definedName>
    <definedName name="i" localSheetId="36" hidden="1">[1]weekly!#REF!</definedName>
    <definedName name="i" localSheetId="61" hidden="1">[1]weekly!#REF!</definedName>
    <definedName name="i" localSheetId="37" hidden="1">[1]weekly!#REF!</definedName>
    <definedName name="i" localSheetId="57" hidden="1">[1]weekly!#REF!</definedName>
    <definedName name="i" localSheetId="56" hidden="1">[1]weekly!#REF!</definedName>
    <definedName name="i" localSheetId="58" hidden="1">[1]weekly!#REF!</definedName>
    <definedName name="i" localSheetId="83" hidden="1">[1]weekly!#REF!</definedName>
    <definedName name="i" localSheetId="38" hidden="1">[1]weekly!#REF!</definedName>
    <definedName name="i" localSheetId="39" hidden="1">[1]weekly!#REF!</definedName>
    <definedName name="i" localSheetId="95" hidden="1">[1]weekly!#REF!</definedName>
    <definedName name="i" localSheetId="40" hidden="1">[1]weekly!#REF!</definedName>
    <definedName name="i" localSheetId="92" hidden="1">[1]weekly!#REF!</definedName>
    <definedName name="i" localSheetId="41" hidden="1">[1]weekly!#REF!</definedName>
    <definedName name="i" localSheetId="42" hidden="1">[1]weekly!#REF!</definedName>
    <definedName name="i" localSheetId="43" hidden="1">[1]weekly!#REF!</definedName>
    <definedName name="i" localSheetId="33" hidden="1">[1]weekly!#REF!</definedName>
    <definedName name="i" localSheetId="82" hidden="1">[1]weekly!#REF!</definedName>
    <definedName name="i" localSheetId="44" hidden="1">[1]weekly!#REF!</definedName>
    <definedName name="i" localSheetId="69" hidden="1">[1]weekly!#REF!</definedName>
    <definedName name="i" localSheetId="45" hidden="1">[1]weekly!#REF!</definedName>
    <definedName name="i" localSheetId="24" hidden="1">[1]weekly!#REF!</definedName>
    <definedName name="i" localSheetId="25" hidden="1">[1]weekly!#REF!</definedName>
    <definedName name="i" localSheetId="46" hidden="1">[1]weekly!#REF!</definedName>
    <definedName name="i" localSheetId="14" hidden="1">[1]weekly!#REF!</definedName>
    <definedName name="i" localSheetId="93" hidden="1">[1]weekly!#REF!</definedName>
    <definedName name="i" localSheetId="2" hidden="1">[1]weekly!#REF!</definedName>
    <definedName name="i" localSheetId="47" hidden="1">[1]weekly!#REF!</definedName>
    <definedName name="i" localSheetId="48" hidden="1">[1]weekly!#REF!</definedName>
    <definedName name="i" localSheetId="49" hidden="1">[1]weekly!#REF!</definedName>
    <definedName name="i" localSheetId="50" hidden="1">[1]weekly!#REF!</definedName>
    <definedName name="i" localSheetId="54" hidden="1">[1]weekly!#REF!</definedName>
    <definedName name="i" localSheetId="51" hidden="1">[1]weekly!#REF!</definedName>
    <definedName name="i" localSheetId="52" hidden="1">[1]weekly!#REF!</definedName>
    <definedName name="i" localSheetId="34" hidden="1">[1]weekly!#REF!</definedName>
    <definedName name="i" localSheetId="59" hidden="1">[1]weekly!#REF!</definedName>
    <definedName name="i" localSheetId="53" hidden="1">[1]weekly!#REF!</definedName>
    <definedName name="i" localSheetId="91" hidden="1">[1]weekly!#REF!</definedName>
    <definedName name="i" localSheetId="88" hidden="1">[1]weekly!#REF!</definedName>
    <definedName name="i" localSheetId="90" hidden="1">[1]weekly!#REF!</definedName>
    <definedName name="i" hidden="1">[1]weekly!#REF!</definedName>
    <definedName name="ii" localSheetId="60" hidden="1">[1]weekly!#REF!</definedName>
    <definedName name="ii" localSheetId="87" hidden="1">[1]weekly!#REF!</definedName>
    <definedName name="ii" localSheetId="36" hidden="1">[1]weekly!#REF!</definedName>
    <definedName name="ii" localSheetId="61" hidden="1">[1]weekly!#REF!</definedName>
    <definedName name="ii" localSheetId="37" hidden="1">[1]weekly!#REF!</definedName>
    <definedName name="ii" localSheetId="57" hidden="1">[1]weekly!#REF!</definedName>
    <definedName name="ii" localSheetId="56" hidden="1">[1]weekly!#REF!</definedName>
    <definedName name="ii" localSheetId="58" hidden="1">[1]weekly!#REF!</definedName>
    <definedName name="ii" localSheetId="83" hidden="1">[1]weekly!#REF!</definedName>
    <definedName name="ii" localSheetId="38" hidden="1">[1]weekly!#REF!</definedName>
    <definedName name="ii" localSheetId="39" hidden="1">[1]weekly!#REF!</definedName>
    <definedName name="ii" localSheetId="95" hidden="1">[1]weekly!#REF!</definedName>
    <definedName name="ii" localSheetId="40" hidden="1">[1]weekly!#REF!</definedName>
    <definedName name="ii" localSheetId="92" hidden="1">[1]weekly!#REF!</definedName>
    <definedName name="ii" localSheetId="41" hidden="1">[1]weekly!#REF!</definedName>
    <definedName name="ii" localSheetId="42" hidden="1">[1]weekly!#REF!</definedName>
    <definedName name="ii" localSheetId="43" hidden="1">[1]weekly!#REF!</definedName>
    <definedName name="ii" localSheetId="33" hidden="1">[1]weekly!#REF!</definedName>
    <definedName name="ii" localSheetId="82" hidden="1">[1]weekly!#REF!</definedName>
    <definedName name="ii" localSheetId="44" hidden="1">[1]weekly!#REF!</definedName>
    <definedName name="ii" localSheetId="69" hidden="1">[1]weekly!#REF!</definedName>
    <definedName name="ii" localSheetId="45" hidden="1">[1]weekly!#REF!</definedName>
    <definedName name="ii" localSheetId="24" hidden="1">[1]weekly!#REF!</definedName>
    <definedName name="ii" localSheetId="25" hidden="1">[1]weekly!#REF!</definedName>
    <definedName name="ii" localSheetId="46" hidden="1">[1]weekly!#REF!</definedName>
    <definedName name="ii" localSheetId="14" hidden="1">[1]weekly!#REF!</definedName>
    <definedName name="ii" localSheetId="93" hidden="1">[1]weekly!#REF!</definedName>
    <definedName name="ii" localSheetId="47" hidden="1">[1]weekly!#REF!</definedName>
    <definedName name="ii" localSheetId="48" hidden="1">[1]weekly!#REF!</definedName>
    <definedName name="ii" localSheetId="49" hidden="1">[1]weekly!#REF!</definedName>
    <definedName name="ii" localSheetId="50" hidden="1">[1]weekly!#REF!</definedName>
    <definedName name="ii" localSheetId="54" hidden="1">[1]weekly!#REF!</definedName>
    <definedName name="ii" localSheetId="51" hidden="1">[1]weekly!#REF!</definedName>
    <definedName name="ii" localSheetId="52" hidden="1">[1]weekly!#REF!</definedName>
    <definedName name="ii" localSheetId="34" hidden="1">[1]weekly!#REF!</definedName>
    <definedName name="ii" localSheetId="59" hidden="1">[1]weekly!#REF!</definedName>
    <definedName name="ii" localSheetId="53" hidden="1">[1]weekly!#REF!</definedName>
    <definedName name="ii" localSheetId="91" hidden="1">[1]weekly!#REF!</definedName>
    <definedName name="ii" localSheetId="88" hidden="1">[1]weekly!#REF!</definedName>
    <definedName name="ii" localSheetId="90" hidden="1">[1]weekly!#REF!</definedName>
    <definedName name="ii" hidden="1">[1]weekly!#REF!</definedName>
    <definedName name="iii" localSheetId="60" hidden="1">[1]weekly!#REF!</definedName>
    <definedName name="iii" localSheetId="87" hidden="1">[1]weekly!#REF!</definedName>
    <definedName name="iii" localSheetId="36" hidden="1">[1]weekly!#REF!</definedName>
    <definedName name="iii" localSheetId="61" hidden="1">[1]weekly!#REF!</definedName>
    <definedName name="iii" localSheetId="37" hidden="1">[1]weekly!#REF!</definedName>
    <definedName name="iii" localSheetId="57" hidden="1">[1]weekly!#REF!</definedName>
    <definedName name="iii" localSheetId="56" hidden="1">[1]weekly!#REF!</definedName>
    <definedName name="iii" localSheetId="58" hidden="1">[1]weekly!#REF!</definedName>
    <definedName name="iii" localSheetId="83" hidden="1">[1]weekly!#REF!</definedName>
    <definedName name="iii" localSheetId="38" hidden="1">[1]weekly!#REF!</definedName>
    <definedName name="iii" localSheetId="39" hidden="1">[1]weekly!#REF!</definedName>
    <definedName name="iii" localSheetId="95" hidden="1">[1]weekly!#REF!</definedName>
    <definedName name="iii" localSheetId="40" hidden="1">[1]weekly!#REF!</definedName>
    <definedName name="iii" localSheetId="92" hidden="1">[1]weekly!#REF!</definedName>
    <definedName name="iii" localSheetId="41" hidden="1">[1]weekly!#REF!</definedName>
    <definedName name="iii" localSheetId="42" hidden="1">[1]weekly!#REF!</definedName>
    <definedName name="iii" localSheetId="43" hidden="1">[1]weekly!#REF!</definedName>
    <definedName name="iii" localSheetId="33" hidden="1">[1]weekly!#REF!</definedName>
    <definedName name="iii" localSheetId="82" hidden="1">[1]weekly!#REF!</definedName>
    <definedName name="iii" localSheetId="44" hidden="1">[1]weekly!#REF!</definedName>
    <definedName name="iii" localSheetId="69" hidden="1">[1]weekly!#REF!</definedName>
    <definedName name="iii" localSheetId="45" hidden="1">[1]weekly!#REF!</definedName>
    <definedName name="iii" localSheetId="24" hidden="1">[1]weekly!#REF!</definedName>
    <definedName name="iii" localSheetId="25" hidden="1">[1]weekly!#REF!</definedName>
    <definedName name="iii" localSheetId="46" hidden="1">[1]weekly!#REF!</definedName>
    <definedName name="iii" localSheetId="14" hidden="1">[1]weekly!#REF!</definedName>
    <definedName name="iii" localSheetId="93" hidden="1">[1]weekly!#REF!</definedName>
    <definedName name="iii" localSheetId="47" hidden="1">[1]weekly!#REF!</definedName>
    <definedName name="iii" localSheetId="48" hidden="1">[1]weekly!#REF!</definedName>
    <definedName name="iii" localSheetId="49" hidden="1">[1]weekly!#REF!</definedName>
    <definedName name="iii" localSheetId="50" hidden="1">[1]weekly!#REF!</definedName>
    <definedName name="iii" localSheetId="54" hidden="1">[1]weekly!#REF!</definedName>
    <definedName name="iii" localSheetId="51" hidden="1">[1]weekly!#REF!</definedName>
    <definedName name="iii" localSheetId="52" hidden="1">[1]weekly!#REF!</definedName>
    <definedName name="iii" localSheetId="34" hidden="1">[1]weekly!#REF!</definedName>
    <definedName name="iii" localSheetId="59" hidden="1">[1]weekly!#REF!</definedName>
    <definedName name="iii" localSheetId="53" hidden="1">[1]weekly!#REF!</definedName>
    <definedName name="iii" localSheetId="91" hidden="1">[1]weekly!#REF!</definedName>
    <definedName name="iii" localSheetId="88" hidden="1">[1]weekly!#REF!</definedName>
    <definedName name="iii" localSheetId="90" hidden="1">[1]weekly!#REF!</definedName>
    <definedName name="iii" hidden="1">[1]weekly!#REF!</definedName>
    <definedName name="iiiii" localSheetId="60" hidden="1">[1]weekly!#REF!</definedName>
    <definedName name="iiiii" localSheetId="87" hidden="1">[1]weekly!#REF!</definedName>
    <definedName name="iiiii" localSheetId="36" hidden="1">[1]weekly!#REF!</definedName>
    <definedName name="iiiii" localSheetId="61" hidden="1">[1]weekly!#REF!</definedName>
    <definedName name="iiiii" localSheetId="37" hidden="1">[1]weekly!#REF!</definedName>
    <definedName name="iiiii" localSheetId="57" hidden="1">[1]weekly!#REF!</definedName>
    <definedName name="iiiii" localSheetId="56" hidden="1">[1]weekly!#REF!</definedName>
    <definedName name="iiiii" localSheetId="58" hidden="1">[1]weekly!#REF!</definedName>
    <definedName name="iiiii" localSheetId="83" hidden="1">[1]weekly!#REF!</definedName>
    <definedName name="iiiii" localSheetId="38" hidden="1">[1]weekly!#REF!</definedName>
    <definedName name="iiiii" localSheetId="39" hidden="1">[1]weekly!#REF!</definedName>
    <definedName name="iiiii" localSheetId="95" hidden="1">[1]weekly!#REF!</definedName>
    <definedName name="iiiii" localSheetId="40" hidden="1">[1]weekly!#REF!</definedName>
    <definedName name="iiiii" localSheetId="92" hidden="1">[1]weekly!#REF!</definedName>
    <definedName name="iiiii" localSheetId="41" hidden="1">[1]weekly!#REF!</definedName>
    <definedName name="iiiii" localSheetId="42" hidden="1">[1]weekly!#REF!</definedName>
    <definedName name="iiiii" localSheetId="43" hidden="1">[1]weekly!#REF!</definedName>
    <definedName name="iiiii" localSheetId="33" hidden="1">[1]weekly!#REF!</definedName>
    <definedName name="iiiii" localSheetId="82" hidden="1">[1]weekly!#REF!</definedName>
    <definedName name="iiiii" localSheetId="44" hidden="1">[1]weekly!#REF!</definedName>
    <definedName name="iiiii" localSheetId="69" hidden="1">[1]weekly!#REF!</definedName>
    <definedName name="iiiii" localSheetId="45" hidden="1">[1]weekly!#REF!</definedName>
    <definedName name="iiiii" localSheetId="24" hidden="1">[1]weekly!#REF!</definedName>
    <definedName name="iiiii" localSheetId="25" hidden="1">[1]weekly!#REF!</definedName>
    <definedName name="iiiii" localSheetId="46" hidden="1">[1]weekly!#REF!</definedName>
    <definedName name="iiiii" localSheetId="14" hidden="1">[1]weekly!#REF!</definedName>
    <definedName name="iiiii" localSheetId="93" hidden="1">[1]weekly!#REF!</definedName>
    <definedName name="iiiii" localSheetId="47" hidden="1">[1]weekly!#REF!</definedName>
    <definedName name="iiiii" localSheetId="48" hidden="1">[1]weekly!#REF!</definedName>
    <definedName name="iiiii" localSheetId="49" hidden="1">[1]weekly!#REF!</definedName>
    <definedName name="iiiii" localSheetId="50" hidden="1">[1]weekly!#REF!</definedName>
    <definedName name="iiiii" localSheetId="54" hidden="1">[1]weekly!#REF!</definedName>
    <definedName name="iiiii" localSheetId="51" hidden="1">[1]weekly!#REF!</definedName>
    <definedName name="iiiii" localSheetId="52" hidden="1">[1]weekly!#REF!</definedName>
    <definedName name="iiiii" localSheetId="34" hidden="1">[1]weekly!#REF!</definedName>
    <definedName name="iiiii" localSheetId="59" hidden="1">[1]weekly!#REF!</definedName>
    <definedName name="iiiii" localSheetId="53" hidden="1">[1]weekly!#REF!</definedName>
    <definedName name="iiiii" localSheetId="91" hidden="1">[1]weekly!#REF!</definedName>
    <definedName name="iiiii" localSheetId="88" hidden="1">[1]weekly!#REF!</definedName>
    <definedName name="iiiii" localSheetId="90" hidden="1">[1]weekly!#REF!</definedName>
    <definedName name="iiiii" hidden="1">[1]weekly!#REF!</definedName>
    <definedName name="j" localSheetId="60" hidden="1">[1]weekly!#REF!</definedName>
    <definedName name="j" localSheetId="87" hidden="1">[1]weekly!#REF!</definedName>
    <definedName name="j" localSheetId="36" hidden="1">[1]weekly!#REF!</definedName>
    <definedName name="j" localSheetId="61" hidden="1">[1]weekly!#REF!</definedName>
    <definedName name="j" localSheetId="37" hidden="1">[1]weekly!#REF!</definedName>
    <definedName name="j" localSheetId="57" hidden="1">[1]weekly!#REF!</definedName>
    <definedName name="j" localSheetId="56" hidden="1">[1]weekly!#REF!</definedName>
    <definedName name="j" localSheetId="58" hidden="1">[1]weekly!#REF!</definedName>
    <definedName name="j" localSheetId="83" hidden="1">[1]weekly!#REF!</definedName>
    <definedName name="j" localSheetId="38" hidden="1">[1]weekly!#REF!</definedName>
    <definedName name="j" localSheetId="39" hidden="1">[1]weekly!#REF!</definedName>
    <definedName name="j" localSheetId="95" hidden="1">[1]weekly!#REF!</definedName>
    <definedName name="j" localSheetId="40" hidden="1">[1]weekly!#REF!</definedName>
    <definedName name="j" localSheetId="92" hidden="1">[1]weekly!#REF!</definedName>
    <definedName name="j" localSheetId="41" hidden="1">[1]weekly!#REF!</definedName>
    <definedName name="j" localSheetId="42" hidden="1">[1]weekly!#REF!</definedName>
    <definedName name="j" localSheetId="43" hidden="1">[1]weekly!#REF!</definedName>
    <definedName name="j" localSheetId="33" hidden="1">[1]weekly!#REF!</definedName>
    <definedName name="j" localSheetId="82" hidden="1">[1]weekly!#REF!</definedName>
    <definedName name="j" localSheetId="44" hidden="1">[1]weekly!#REF!</definedName>
    <definedName name="j" localSheetId="69" hidden="1">[1]weekly!#REF!</definedName>
    <definedName name="j" localSheetId="45" hidden="1">[1]weekly!#REF!</definedName>
    <definedName name="j" localSheetId="24" hidden="1">[1]weekly!#REF!</definedName>
    <definedName name="j" localSheetId="25" hidden="1">[1]weekly!#REF!</definedName>
    <definedName name="j" localSheetId="46" hidden="1">[1]weekly!#REF!</definedName>
    <definedName name="j" localSheetId="14" hidden="1">[1]weekly!#REF!</definedName>
    <definedName name="j" localSheetId="93" hidden="1">[1]weekly!#REF!</definedName>
    <definedName name="j" localSheetId="2" hidden="1">[1]weekly!#REF!</definedName>
    <definedName name="j" localSheetId="47" hidden="1">[1]weekly!#REF!</definedName>
    <definedName name="j" localSheetId="48" hidden="1">[1]weekly!#REF!</definedName>
    <definedName name="j" localSheetId="49" hidden="1">[1]weekly!#REF!</definedName>
    <definedName name="j" localSheetId="50" hidden="1">[1]weekly!#REF!</definedName>
    <definedName name="j" localSheetId="54" hidden="1">[1]weekly!#REF!</definedName>
    <definedName name="j" localSheetId="51" hidden="1">[1]weekly!#REF!</definedName>
    <definedName name="j" localSheetId="52" hidden="1">[1]weekly!#REF!</definedName>
    <definedName name="j" localSheetId="34" hidden="1">[1]weekly!#REF!</definedName>
    <definedName name="j" localSheetId="59" hidden="1">[1]weekly!#REF!</definedName>
    <definedName name="j" localSheetId="53" hidden="1">[1]weekly!#REF!</definedName>
    <definedName name="j" localSheetId="91" hidden="1">[1]weekly!#REF!</definedName>
    <definedName name="j" localSheetId="88" hidden="1">[1]weekly!#REF!</definedName>
    <definedName name="j" localSheetId="90" hidden="1">[1]weekly!#REF!</definedName>
    <definedName name="j" hidden="1">[1]weekly!#REF!</definedName>
    <definedName name="jgigigjgejigjei" localSheetId="60" hidden="1">[1]weekly!#REF!</definedName>
    <definedName name="jgigigjgejigjei" localSheetId="87" hidden="1">[1]weekly!#REF!</definedName>
    <definedName name="jgigigjgejigjei" localSheetId="36" hidden="1">[1]weekly!#REF!</definedName>
    <definedName name="jgigigjgejigjei" localSheetId="61" hidden="1">[1]weekly!#REF!</definedName>
    <definedName name="jgigigjgejigjei" localSheetId="37" hidden="1">[1]weekly!#REF!</definedName>
    <definedName name="jgigigjgejigjei" localSheetId="17" hidden="1">[1]weekly!#REF!</definedName>
    <definedName name="jgigigjgejigjei" localSheetId="55" hidden="1">[1]weekly!#REF!</definedName>
    <definedName name="jgigigjgejigjei" localSheetId="57" hidden="1">[1]weekly!#REF!</definedName>
    <definedName name="jgigigjgejigjei" localSheetId="15" hidden="1">[1]weekly!#REF!</definedName>
    <definedName name="jgigigjgejigjei" localSheetId="56" hidden="1">[1]weekly!#REF!</definedName>
    <definedName name="jgigigjgejigjei" localSheetId="58" hidden="1">[1]weekly!#REF!</definedName>
    <definedName name="jgigigjgejigjei" localSheetId="16" hidden="1">[1]weekly!#REF!</definedName>
    <definedName name="jgigigjgejigjei" localSheetId="19" hidden="1">[1]weekly!#REF!</definedName>
    <definedName name="jgigigjgejigjei" localSheetId="83" hidden="1">[1]weekly!#REF!</definedName>
    <definedName name="jgigigjgejigjei" localSheetId="38" hidden="1">[1]weekly!#REF!</definedName>
    <definedName name="jgigigjgejigjei" localSheetId="39" hidden="1">[1]weekly!#REF!</definedName>
    <definedName name="jgigigjgejigjei" localSheetId="95" hidden="1">[1]weekly!#REF!</definedName>
    <definedName name="jgigigjgejigjei" localSheetId="40" hidden="1">[1]weekly!#REF!</definedName>
    <definedName name="jgigigjgejigjei" localSheetId="92" hidden="1">[1]weekly!#REF!</definedName>
    <definedName name="jgigigjgejigjei" localSheetId="41" hidden="1">[1]weekly!#REF!</definedName>
    <definedName name="jgigigjgejigjei" localSheetId="42" hidden="1">[1]weekly!#REF!</definedName>
    <definedName name="jgigigjgejigjei" localSheetId="43" hidden="1">[1]weekly!#REF!</definedName>
    <definedName name="jgigigjgejigjei" localSheetId="33" hidden="1">[1]weekly!#REF!</definedName>
    <definedName name="jgigigjgejigjei" localSheetId="82" hidden="1">[1]weekly!#REF!</definedName>
    <definedName name="jgigigjgejigjei" localSheetId="44" hidden="1">[1]weekly!#REF!</definedName>
    <definedName name="jgigigjgejigjei" localSheetId="69" hidden="1">[1]weekly!#REF!</definedName>
    <definedName name="jgigigjgejigjei" localSheetId="45" hidden="1">[1]weekly!#REF!</definedName>
    <definedName name="jgigigjgejigjei" localSheetId="24" hidden="1">[1]weekly!#REF!</definedName>
    <definedName name="jgigigjgejigjei" localSheetId="25" hidden="1">[1]weekly!#REF!</definedName>
    <definedName name="jgigigjgejigjei" localSheetId="46" hidden="1">[1]weekly!#REF!</definedName>
    <definedName name="jgigigjgejigjei" localSheetId="14" hidden="1">[1]weekly!#REF!</definedName>
    <definedName name="jgigigjgejigjei" localSheetId="93" hidden="1">[1]weekly!#REF!</definedName>
    <definedName name="jgigigjgejigjei" localSheetId="2" hidden="1">[1]weekly!#REF!</definedName>
    <definedName name="jgigigjgejigjei" localSheetId="47" hidden="1">[1]weekly!#REF!</definedName>
    <definedName name="jgigigjgejigjei" localSheetId="48" hidden="1">[1]weekly!#REF!</definedName>
    <definedName name="jgigigjgejigjei" localSheetId="49" hidden="1">[1]weekly!#REF!</definedName>
    <definedName name="jgigigjgejigjei" localSheetId="50" hidden="1">[1]weekly!#REF!</definedName>
    <definedName name="jgigigjgejigjei" localSheetId="54" hidden="1">[1]weekly!#REF!</definedName>
    <definedName name="jgigigjgejigjei" localSheetId="51" hidden="1">[1]weekly!#REF!</definedName>
    <definedName name="jgigigjgejigjei" localSheetId="52" hidden="1">[1]weekly!#REF!</definedName>
    <definedName name="jgigigjgejigjei" localSheetId="34" hidden="1">[1]weekly!#REF!</definedName>
    <definedName name="jgigigjgejigjei" localSheetId="59" hidden="1">[1]weekly!#REF!</definedName>
    <definedName name="jgigigjgejigjei" localSheetId="21" hidden="1">[1]weekly!#REF!</definedName>
    <definedName name="jgigigjgejigjei" localSheetId="22" hidden="1">[1]weekly!#REF!</definedName>
    <definedName name="jgigigjgejigjei" localSheetId="53" hidden="1">[1]weekly!#REF!</definedName>
    <definedName name="jgigigjgejigjei" localSheetId="91" hidden="1">[1]weekly!#REF!</definedName>
    <definedName name="jgigigjgejigjei" localSheetId="88" hidden="1">[1]weekly!#REF!</definedName>
    <definedName name="jgigigjgejigjei" localSheetId="90" hidden="1">[1]weekly!#REF!</definedName>
    <definedName name="jgigigjgejigjei" hidden="1">[1]weekly!#REF!</definedName>
    <definedName name="jifjeijeio" localSheetId="60" hidden="1">[1]weekly!#REF!</definedName>
    <definedName name="jifjeijeio" localSheetId="87" hidden="1">[1]weekly!#REF!</definedName>
    <definedName name="jifjeijeio" localSheetId="36" hidden="1">[1]weekly!#REF!</definedName>
    <definedName name="jifjeijeio" localSheetId="61" hidden="1">[1]weekly!#REF!</definedName>
    <definedName name="jifjeijeio" localSheetId="37" hidden="1">[1]weekly!#REF!</definedName>
    <definedName name="jifjeijeio" localSheetId="17" hidden="1">[1]weekly!#REF!</definedName>
    <definedName name="jifjeijeio" localSheetId="55" hidden="1">[1]weekly!#REF!</definedName>
    <definedName name="jifjeijeio" localSheetId="57" hidden="1">[1]weekly!#REF!</definedName>
    <definedName name="jifjeijeio" localSheetId="15" hidden="1">[1]weekly!#REF!</definedName>
    <definedName name="jifjeijeio" localSheetId="56" hidden="1">[1]weekly!#REF!</definedName>
    <definedName name="jifjeijeio" localSheetId="58" hidden="1">[1]weekly!#REF!</definedName>
    <definedName name="jifjeijeio" localSheetId="16" hidden="1">[1]weekly!#REF!</definedName>
    <definedName name="jifjeijeio" localSheetId="19" hidden="1">[1]weekly!#REF!</definedName>
    <definedName name="jifjeijeio" localSheetId="83" hidden="1">[1]weekly!#REF!</definedName>
    <definedName name="jifjeijeio" localSheetId="38" hidden="1">[1]weekly!#REF!</definedName>
    <definedName name="jifjeijeio" localSheetId="39" hidden="1">[1]weekly!#REF!</definedName>
    <definedName name="jifjeijeio" localSheetId="95" hidden="1">[1]weekly!#REF!</definedName>
    <definedName name="jifjeijeio" localSheetId="40" hidden="1">[1]weekly!#REF!</definedName>
    <definedName name="jifjeijeio" localSheetId="92" hidden="1">[1]weekly!#REF!</definedName>
    <definedName name="jifjeijeio" localSheetId="41" hidden="1">[1]weekly!#REF!</definedName>
    <definedName name="jifjeijeio" localSheetId="42" hidden="1">[1]weekly!#REF!</definedName>
    <definedName name="jifjeijeio" localSheetId="43" hidden="1">[1]weekly!#REF!</definedName>
    <definedName name="jifjeijeio" localSheetId="33" hidden="1">[1]weekly!#REF!</definedName>
    <definedName name="jifjeijeio" localSheetId="82" hidden="1">[1]weekly!#REF!</definedName>
    <definedName name="jifjeijeio" localSheetId="44" hidden="1">[1]weekly!#REF!</definedName>
    <definedName name="jifjeijeio" localSheetId="69" hidden="1">[1]weekly!#REF!</definedName>
    <definedName name="jifjeijeio" localSheetId="45" hidden="1">[1]weekly!#REF!</definedName>
    <definedName name="jifjeijeio" localSheetId="24" hidden="1">[1]weekly!#REF!</definedName>
    <definedName name="jifjeijeio" localSheetId="25" hidden="1">[1]weekly!#REF!</definedName>
    <definedName name="jifjeijeio" localSheetId="46" hidden="1">[1]weekly!#REF!</definedName>
    <definedName name="jifjeijeio" localSheetId="14" hidden="1">[1]weekly!#REF!</definedName>
    <definedName name="jifjeijeio" localSheetId="93" hidden="1">[1]weekly!#REF!</definedName>
    <definedName name="jifjeijeio" localSheetId="47" hidden="1">[1]weekly!#REF!</definedName>
    <definedName name="jifjeijeio" localSheetId="48" hidden="1">[1]weekly!#REF!</definedName>
    <definedName name="jifjeijeio" localSheetId="49" hidden="1">[1]weekly!#REF!</definedName>
    <definedName name="jifjeijeio" localSheetId="50" hidden="1">[1]weekly!#REF!</definedName>
    <definedName name="jifjeijeio" localSheetId="54" hidden="1">[1]weekly!#REF!</definedName>
    <definedName name="jifjeijeio" localSheetId="51" hidden="1">[1]weekly!#REF!</definedName>
    <definedName name="jifjeijeio" localSheetId="52" hidden="1">[1]weekly!#REF!</definedName>
    <definedName name="jifjeijeio" localSheetId="34" hidden="1">[1]weekly!#REF!</definedName>
    <definedName name="jifjeijeio" localSheetId="59" hidden="1">[1]weekly!#REF!</definedName>
    <definedName name="jifjeijeio" localSheetId="21" hidden="1">[1]weekly!#REF!</definedName>
    <definedName name="jifjeijeio" localSheetId="22" hidden="1">[1]weekly!#REF!</definedName>
    <definedName name="jifjeijeio" localSheetId="53" hidden="1">[1]weekly!#REF!</definedName>
    <definedName name="jifjeijeio" localSheetId="91" hidden="1">[1]weekly!#REF!</definedName>
    <definedName name="jifjeijeio" localSheetId="88" hidden="1">[1]weekly!#REF!</definedName>
    <definedName name="jifjeijeio" localSheetId="90" hidden="1">[1]weekly!#REF!</definedName>
    <definedName name="jifjeijeio" hidden="1">[1]weekly!#REF!</definedName>
    <definedName name="jj" localSheetId="60" hidden="1">[1]weekly!#REF!</definedName>
    <definedName name="jj" localSheetId="87" hidden="1">[1]weekly!#REF!</definedName>
    <definedName name="jj" localSheetId="36" hidden="1">[1]weekly!#REF!</definedName>
    <definedName name="jj" localSheetId="61" hidden="1">[1]weekly!#REF!</definedName>
    <definedName name="jj" localSheetId="37" hidden="1">[1]weekly!#REF!</definedName>
    <definedName name="jj" localSheetId="57" hidden="1">[1]weekly!#REF!</definedName>
    <definedName name="jj" localSheetId="56" hidden="1">[1]weekly!#REF!</definedName>
    <definedName name="jj" localSheetId="58" hidden="1">[1]weekly!#REF!</definedName>
    <definedName name="jj" localSheetId="83" hidden="1">[1]weekly!#REF!</definedName>
    <definedName name="jj" localSheetId="38" hidden="1">[1]weekly!#REF!</definedName>
    <definedName name="jj" localSheetId="39" hidden="1">[1]weekly!#REF!</definedName>
    <definedName name="jj" localSheetId="95" hidden="1">[1]weekly!#REF!</definedName>
    <definedName name="jj" localSheetId="40" hidden="1">[1]weekly!#REF!</definedName>
    <definedName name="jj" localSheetId="92" hidden="1">[1]weekly!#REF!</definedName>
    <definedName name="jj" localSheetId="41" hidden="1">[1]weekly!#REF!</definedName>
    <definedName name="jj" localSheetId="42" hidden="1">[1]weekly!#REF!</definedName>
    <definedName name="jj" localSheetId="43" hidden="1">[1]weekly!#REF!</definedName>
    <definedName name="jj" localSheetId="33" hidden="1">[1]weekly!#REF!</definedName>
    <definedName name="jj" localSheetId="82" hidden="1">[1]weekly!#REF!</definedName>
    <definedName name="jj" localSheetId="44" hidden="1">[1]weekly!#REF!</definedName>
    <definedName name="jj" localSheetId="69" hidden="1">[1]weekly!#REF!</definedName>
    <definedName name="jj" localSheetId="45" hidden="1">[1]weekly!#REF!</definedName>
    <definedName name="jj" localSheetId="24" hidden="1">[1]weekly!#REF!</definedName>
    <definedName name="jj" localSheetId="25" hidden="1">[1]weekly!#REF!</definedName>
    <definedName name="jj" localSheetId="46" hidden="1">[1]weekly!#REF!</definedName>
    <definedName name="jj" localSheetId="14" hidden="1">[1]weekly!#REF!</definedName>
    <definedName name="jj" localSheetId="93" hidden="1">[1]weekly!#REF!</definedName>
    <definedName name="jj" localSheetId="47" hidden="1">[1]weekly!#REF!</definedName>
    <definedName name="jj" localSheetId="48" hidden="1">[1]weekly!#REF!</definedName>
    <definedName name="jj" localSheetId="49" hidden="1">[1]weekly!#REF!</definedName>
    <definedName name="jj" localSheetId="50" hidden="1">[1]weekly!#REF!</definedName>
    <definedName name="jj" localSheetId="54" hidden="1">[1]weekly!#REF!</definedName>
    <definedName name="jj" localSheetId="51" hidden="1">[1]weekly!#REF!</definedName>
    <definedName name="jj" localSheetId="52" hidden="1">[1]weekly!#REF!</definedName>
    <definedName name="jj" localSheetId="34" hidden="1">[1]weekly!#REF!</definedName>
    <definedName name="jj" localSheetId="59" hidden="1">[1]weekly!#REF!</definedName>
    <definedName name="jj" localSheetId="53" hidden="1">[1]weekly!#REF!</definedName>
    <definedName name="jj" localSheetId="91" hidden="1">[1]weekly!#REF!</definedName>
    <definedName name="jj" localSheetId="88" hidden="1">[1]weekly!#REF!</definedName>
    <definedName name="jj" localSheetId="90" hidden="1">[1]weekly!#REF!</definedName>
    <definedName name="jj" hidden="1">[1]weekly!#REF!</definedName>
    <definedName name="jjjjj" localSheetId="60" hidden="1">[1]weekly!#REF!</definedName>
    <definedName name="jjjjj" localSheetId="87" hidden="1">[1]weekly!#REF!</definedName>
    <definedName name="jjjjj" localSheetId="36" hidden="1">[1]weekly!#REF!</definedName>
    <definedName name="jjjjj" localSheetId="61" hidden="1">[1]weekly!#REF!</definedName>
    <definedName name="jjjjj" localSheetId="37" hidden="1">[1]weekly!#REF!</definedName>
    <definedName name="jjjjj" localSheetId="57" hidden="1">[1]weekly!#REF!</definedName>
    <definedName name="jjjjj" localSheetId="56" hidden="1">[1]weekly!#REF!</definedName>
    <definedName name="jjjjj" localSheetId="58" hidden="1">[1]weekly!#REF!</definedName>
    <definedName name="jjjjj" localSheetId="83" hidden="1">[1]weekly!#REF!</definedName>
    <definedName name="jjjjj" localSheetId="38" hidden="1">[1]weekly!#REF!</definedName>
    <definedName name="jjjjj" localSheetId="39" hidden="1">[1]weekly!#REF!</definedName>
    <definedName name="jjjjj" localSheetId="95" hidden="1">[1]weekly!#REF!</definedName>
    <definedName name="jjjjj" localSheetId="40" hidden="1">[1]weekly!#REF!</definedName>
    <definedName name="jjjjj" localSheetId="92" hidden="1">[1]weekly!#REF!</definedName>
    <definedName name="jjjjj" localSheetId="41" hidden="1">[1]weekly!#REF!</definedName>
    <definedName name="jjjjj" localSheetId="42" hidden="1">[1]weekly!#REF!</definedName>
    <definedName name="jjjjj" localSheetId="43" hidden="1">[1]weekly!#REF!</definedName>
    <definedName name="jjjjj" localSheetId="33" hidden="1">[1]weekly!#REF!</definedName>
    <definedName name="jjjjj" localSheetId="82" hidden="1">[1]weekly!#REF!</definedName>
    <definedName name="jjjjj" localSheetId="44" hidden="1">[1]weekly!#REF!</definedName>
    <definedName name="jjjjj" localSheetId="69" hidden="1">[1]weekly!#REF!</definedName>
    <definedName name="jjjjj" localSheetId="45" hidden="1">[1]weekly!#REF!</definedName>
    <definedName name="jjjjj" localSheetId="24" hidden="1">[1]weekly!#REF!</definedName>
    <definedName name="jjjjj" localSheetId="25" hidden="1">[1]weekly!#REF!</definedName>
    <definedName name="jjjjj" localSheetId="46" hidden="1">[1]weekly!#REF!</definedName>
    <definedName name="jjjjj" localSheetId="14" hidden="1">[1]weekly!#REF!</definedName>
    <definedName name="jjjjj" localSheetId="93" hidden="1">[1]weekly!#REF!</definedName>
    <definedName name="jjjjj" localSheetId="47" hidden="1">[1]weekly!#REF!</definedName>
    <definedName name="jjjjj" localSheetId="48" hidden="1">[1]weekly!#REF!</definedName>
    <definedName name="jjjjj" localSheetId="49" hidden="1">[1]weekly!#REF!</definedName>
    <definedName name="jjjjj" localSheetId="50" hidden="1">[1]weekly!#REF!</definedName>
    <definedName name="jjjjj" localSheetId="54" hidden="1">[1]weekly!#REF!</definedName>
    <definedName name="jjjjj" localSheetId="51" hidden="1">[1]weekly!#REF!</definedName>
    <definedName name="jjjjj" localSheetId="52" hidden="1">[1]weekly!#REF!</definedName>
    <definedName name="jjjjj" localSheetId="34" hidden="1">[1]weekly!#REF!</definedName>
    <definedName name="jjjjj" localSheetId="59" hidden="1">[1]weekly!#REF!</definedName>
    <definedName name="jjjjj" localSheetId="53" hidden="1">[1]weekly!#REF!</definedName>
    <definedName name="jjjjj" localSheetId="91" hidden="1">[1]weekly!#REF!</definedName>
    <definedName name="jjjjj" localSheetId="88" hidden="1">[1]weekly!#REF!</definedName>
    <definedName name="jjjjj" localSheetId="90" hidden="1">[1]weekly!#REF!</definedName>
    <definedName name="jjjjj" hidden="1">[1]weekly!#REF!</definedName>
    <definedName name="k" localSheetId="60" hidden="1">[1]weekly!#REF!</definedName>
    <definedName name="k" localSheetId="87" hidden="1">[1]weekly!#REF!</definedName>
    <definedName name="k" localSheetId="36" hidden="1">[1]weekly!#REF!</definedName>
    <definedName name="k" localSheetId="61" hidden="1">[1]weekly!#REF!</definedName>
    <definedName name="k" localSheetId="37" hidden="1">[1]weekly!#REF!</definedName>
    <definedName name="k" localSheetId="57" hidden="1">[1]weekly!#REF!</definedName>
    <definedName name="k" localSheetId="56" hidden="1">[1]weekly!#REF!</definedName>
    <definedName name="k" localSheetId="58" hidden="1">[1]weekly!#REF!</definedName>
    <definedName name="k" localSheetId="83" hidden="1">[1]weekly!#REF!</definedName>
    <definedName name="k" localSheetId="38" hidden="1">[1]weekly!#REF!</definedName>
    <definedName name="k" localSheetId="39" hidden="1">[1]weekly!#REF!</definedName>
    <definedName name="k" localSheetId="95" hidden="1">[1]weekly!#REF!</definedName>
    <definedName name="k" localSheetId="40" hidden="1">[1]weekly!#REF!</definedName>
    <definedName name="k" localSheetId="92" hidden="1">[1]weekly!#REF!</definedName>
    <definedName name="k" localSheetId="41" hidden="1">[1]weekly!#REF!</definedName>
    <definedName name="k" localSheetId="42" hidden="1">[1]weekly!#REF!</definedName>
    <definedName name="k" localSheetId="43" hidden="1">[1]weekly!#REF!</definedName>
    <definedName name="k" localSheetId="33" hidden="1">[1]weekly!#REF!</definedName>
    <definedName name="k" localSheetId="82" hidden="1">[1]weekly!#REF!</definedName>
    <definedName name="k" localSheetId="44" hidden="1">[1]weekly!#REF!</definedName>
    <definedName name="k" localSheetId="69" hidden="1">[1]weekly!#REF!</definedName>
    <definedName name="k" localSheetId="45" hidden="1">[1]weekly!#REF!</definedName>
    <definedName name="k" localSheetId="24" hidden="1">[1]weekly!#REF!</definedName>
    <definedName name="k" localSheetId="25" hidden="1">[1]weekly!#REF!</definedName>
    <definedName name="k" localSheetId="46" hidden="1">[1]weekly!#REF!</definedName>
    <definedName name="k" localSheetId="14" hidden="1">[1]weekly!#REF!</definedName>
    <definedName name="k" localSheetId="93" hidden="1">[1]weekly!#REF!</definedName>
    <definedName name="k" localSheetId="47" hidden="1">[1]weekly!#REF!</definedName>
    <definedName name="k" localSheetId="48" hidden="1">[1]weekly!#REF!</definedName>
    <definedName name="k" localSheetId="49" hidden="1">[1]weekly!#REF!</definedName>
    <definedName name="k" localSheetId="50" hidden="1">[1]weekly!#REF!</definedName>
    <definedName name="k" localSheetId="54" hidden="1">[1]weekly!#REF!</definedName>
    <definedName name="k" localSheetId="51" hidden="1">[1]weekly!#REF!</definedName>
    <definedName name="k" localSheetId="52" hidden="1">[1]weekly!#REF!</definedName>
    <definedName name="k" localSheetId="34" hidden="1">[1]weekly!#REF!</definedName>
    <definedName name="k" localSheetId="59" hidden="1">[1]weekly!#REF!</definedName>
    <definedName name="k" localSheetId="53" hidden="1">[1]weekly!#REF!</definedName>
    <definedName name="k" localSheetId="91" hidden="1">[1]weekly!#REF!</definedName>
    <definedName name="k" localSheetId="88" hidden="1">[1]weekly!#REF!</definedName>
    <definedName name="k" localSheetId="90" hidden="1">[1]weekly!#REF!</definedName>
    <definedName name="k" hidden="1">[1]weekly!#REF!</definedName>
    <definedName name="kk" localSheetId="60" hidden="1">[1]weekly!#REF!</definedName>
    <definedName name="kk" localSheetId="87" hidden="1">[1]weekly!#REF!</definedName>
    <definedName name="kk" localSheetId="36" hidden="1">[1]weekly!#REF!</definedName>
    <definedName name="kk" localSheetId="61" hidden="1">[1]weekly!#REF!</definedName>
    <definedName name="kk" localSheetId="37" hidden="1">[1]weekly!#REF!</definedName>
    <definedName name="kk" localSheetId="57" hidden="1">[1]weekly!#REF!</definedName>
    <definedName name="kk" localSheetId="56" hidden="1">[1]weekly!#REF!</definedName>
    <definedName name="kk" localSheetId="58" hidden="1">[1]weekly!#REF!</definedName>
    <definedName name="kk" localSheetId="83" hidden="1">[1]weekly!#REF!</definedName>
    <definedName name="kk" localSheetId="38" hidden="1">[1]weekly!#REF!</definedName>
    <definedName name="kk" localSheetId="39" hidden="1">[1]weekly!#REF!</definedName>
    <definedName name="kk" localSheetId="95" hidden="1">[1]weekly!#REF!</definedName>
    <definedName name="kk" localSheetId="40" hidden="1">[1]weekly!#REF!</definedName>
    <definedName name="kk" localSheetId="92" hidden="1">[1]weekly!#REF!</definedName>
    <definedName name="kk" localSheetId="41" hidden="1">[1]weekly!#REF!</definedName>
    <definedName name="kk" localSheetId="42" hidden="1">[1]weekly!#REF!</definedName>
    <definedName name="kk" localSheetId="43" hidden="1">[1]weekly!#REF!</definedName>
    <definedName name="kk" localSheetId="33" hidden="1">[1]weekly!#REF!</definedName>
    <definedName name="kk" localSheetId="82" hidden="1">[1]weekly!#REF!</definedName>
    <definedName name="kk" localSheetId="44" hidden="1">[1]weekly!#REF!</definedName>
    <definedName name="kk" localSheetId="69" hidden="1">[1]weekly!#REF!</definedName>
    <definedName name="kk" localSheetId="45" hidden="1">[1]weekly!#REF!</definedName>
    <definedName name="kk" localSheetId="24" hidden="1">[1]weekly!#REF!</definedName>
    <definedName name="kk" localSheetId="25" hidden="1">[1]weekly!#REF!</definedName>
    <definedName name="kk" localSheetId="46" hidden="1">[1]weekly!#REF!</definedName>
    <definedName name="kk" localSheetId="14" hidden="1">[1]weekly!#REF!</definedName>
    <definedName name="kk" localSheetId="93" hidden="1">[1]weekly!#REF!</definedName>
    <definedName name="kk" localSheetId="47" hidden="1">[1]weekly!#REF!</definedName>
    <definedName name="kk" localSheetId="48" hidden="1">[1]weekly!#REF!</definedName>
    <definedName name="kk" localSheetId="49" hidden="1">[1]weekly!#REF!</definedName>
    <definedName name="kk" localSheetId="50" hidden="1">[1]weekly!#REF!</definedName>
    <definedName name="kk" localSheetId="54" hidden="1">[1]weekly!#REF!</definedName>
    <definedName name="kk" localSheetId="51" hidden="1">[1]weekly!#REF!</definedName>
    <definedName name="kk" localSheetId="52" hidden="1">[1]weekly!#REF!</definedName>
    <definedName name="kk" localSheetId="34" hidden="1">[1]weekly!#REF!</definedName>
    <definedName name="kk" localSheetId="59" hidden="1">[1]weekly!#REF!</definedName>
    <definedName name="kk" localSheetId="53" hidden="1">[1]weekly!#REF!</definedName>
    <definedName name="kk" localSheetId="91" hidden="1">[1]weekly!#REF!</definedName>
    <definedName name="kk" localSheetId="88" hidden="1">[1]weekly!#REF!</definedName>
    <definedName name="kk" localSheetId="90" hidden="1">[1]weekly!#REF!</definedName>
    <definedName name="kk" hidden="1">[1]weekly!#REF!</definedName>
    <definedName name="kkk" localSheetId="60" hidden="1">[1]weekly!#REF!</definedName>
    <definedName name="kkk" localSheetId="87" hidden="1">[1]weekly!#REF!</definedName>
    <definedName name="kkk" localSheetId="36" hidden="1">[1]weekly!#REF!</definedName>
    <definedName name="kkk" localSheetId="61" hidden="1">[1]weekly!#REF!</definedName>
    <definedName name="kkk" localSheetId="37" hidden="1">[1]weekly!#REF!</definedName>
    <definedName name="kkk" localSheetId="57" hidden="1">[1]weekly!#REF!</definedName>
    <definedName name="kkk" localSheetId="56" hidden="1">[1]weekly!#REF!</definedName>
    <definedName name="kkk" localSheetId="58" hidden="1">[1]weekly!#REF!</definedName>
    <definedName name="kkk" localSheetId="83" hidden="1">[1]weekly!#REF!</definedName>
    <definedName name="kkk" localSheetId="38" hidden="1">[1]weekly!#REF!</definedName>
    <definedName name="kkk" localSheetId="39" hidden="1">[1]weekly!#REF!</definedName>
    <definedName name="kkk" localSheetId="95" hidden="1">[1]weekly!#REF!</definedName>
    <definedName name="kkk" localSheetId="40" hidden="1">[1]weekly!#REF!</definedName>
    <definedName name="kkk" localSheetId="92" hidden="1">[1]weekly!#REF!</definedName>
    <definedName name="kkk" localSheetId="41" hidden="1">[1]weekly!#REF!</definedName>
    <definedName name="kkk" localSheetId="42" hidden="1">[1]weekly!#REF!</definedName>
    <definedName name="kkk" localSheetId="43" hidden="1">[1]weekly!#REF!</definedName>
    <definedName name="kkk" localSheetId="33" hidden="1">[1]weekly!#REF!</definedName>
    <definedName name="kkk" localSheetId="82" hidden="1">[1]weekly!#REF!</definedName>
    <definedName name="kkk" localSheetId="44" hidden="1">[1]weekly!#REF!</definedName>
    <definedName name="kkk" localSheetId="69" hidden="1">[1]weekly!#REF!</definedName>
    <definedName name="kkk" localSheetId="45" hidden="1">[1]weekly!#REF!</definedName>
    <definedName name="kkk" localSheetId="24" hidden="1">[1]weekly!#REF!</definedName>
    <definedName name="kkk" localSheetId="25" hidden="1">[1]weekly!#REF!</definedName>
    <definedName name="kkk" localSheetId="46" hidden="1">[1]weekly!#REF!</definedName>
    <definedName name="kkk" localSheetId="14" hidden="1">[1]weekly!#REF!</definedName>
    <definedName name="kkk" localSheetId="93" hidden="1">[1]weekly!#REF!</definedName>
    <definedName name="kkk" localSheetId="47" hidden="1">[1]weekly!#REF!</definedName>
    <definedName name="kkk" localSheetId="48" hidden="1">[1]weekly!#REF!</definedName>
    <definedName name="kkk" localSheetId="49" hidden="1">[1]weekly!#REF!</definedName>
    <definedName name="kkk" localSheetId="50" hidden="1">[1]weekly!#REF!</definedName>
    <definedName name="kkk" localSheetId="54" hidden="1">[1]weekly!#REF!</definedName>
    <definedName name="kkk" localSheetId="51" hidden="1">[1]weekly!#REF!</definedName>
    <definedName name="kkk" localSheetId="52" hidden="1">[1]weekly!#REF!</definedName>
    <definedName name="kkk" localSheetId="34" hidden="1">[1]weekly!#REF!</definedName>
    <definedName name="kkk" localSheetId="59" hidden="1">[1]weekly!#REF!</definedName>
    <definedName name="kkk" localSheetId="53" hidden="1">[1]weekly!#REF!</definedName>
    <definedName name="kkk" localSheetId="91" hidden="1">[1]weekly!#REF!</definedName>
    <definedName name="kkk" localSheetId="88" hidden="1">[1]weekly!#REF!</definedName>
    <definedName name="kkk" localSheetId="90" hidden="1">[1]weekly!#REF!</definedName>
    <definedName name="kkk" hidden="1">[1]weekly!#REF!</definedName>
    <definedName name="kkkkk" localSheetId="60" hidden="1">[1]weekly!#REF!</definedName>
    <definedName name="kkkkk" localSheetId="87" hidden="1">[1]weekly!#REF!</definedName>
    <definedName name="kkkkk" localSheetId="36" hidden="1">[1]weekly!#REF!</definedName>
    <definedName name="kkkkk" localSheetId="61" hidden="1">[1]weekly!#REF!</definedName>
    <definedName name="kkkkk" localSheetId="37" hidden="1">[1]weekly!#REF!</definedName>
    <definedName name="kkkkk" localSheetId="57" hidden="1">[1]weekly!#REF!</definedName>
    <definedName name="kkkkk" localSheetId="56" hidden="1">[1]weekly!#REF!</definedName>
    <definedName name="kkkkk" localSheetId="58" hidden="1">[1]weekly!#REF!</definedName>
    <definedName name="kkkkk" localSheetId="83" hidden="1">[1]weekly!#REF!</definedName>
    <definedName name="kkkkk" localSheetId="38" hidden="1">[1]weekly!#REF!</definedName>
    <definedName name="kkkkk" localSheetId="39" hidden="1">[1]weekly!#REF!</definedName>
    <definedName name="kkkkk" localSheetId="95" hidden="1">[1]weekly!#REF!</definedName>
    <definedName name="kkkkk" localSheetId="40" hidden="1">[1]weekly!#REF!</definedName>
    <definedName name="kkkkk" localSheetId="92" hidden="1">[1]weekly!#REF!</definedName>
    <definedName name="kkkkk" localSheetId="41" hidden="1">[1]weekly!#REF!</definedName>
    <definedName name="kkkkk" localSheetId="42" hidden="1">[1]weekly!#REF!</definedName>
    <definedName name="kkkkk" localSheetId="43" hidden="1">[1]weekly!#REF!</definedName>
    <definedName name="kkkkk" localSheetId="33" hidden="1">[1]weekly!#REF!</definedName>
    <definedName name="kkkkk" localSheetId="82" hidden="1">[1]weekly!#REF!</definedName>
    <definedName name="kkkkk" localSheetId="44" hidden="1">[1]weekly!#REF!</definedName>
    <definedName name="kkkkk" localSheetId="69" hidden="1">[1]weekly!#REF!</definedName>
    <definedName name="kkkkk" localSheetId="45" hidden="1">[1]weekly!#REF!</definedName>
    <definedName name="kkkkk" localSheetId="24" hidden="1">[1]weekly!#REF!</definedName>
    <definedName name="kkkkk" localSheetId="25" hidden="1">[1]weekly!#REF!</definedName>
    <definedName name="kkkkk" localSheetId="46" hidden="1">[1]weekly!#REF!</definedName>
    <definedName name="kkkkk" localSheetId="14" hidden="1">[1]weekly!#REF!</definedName>
    <definedName name="kkkkk" localSheetId="93" hidden="1">[1]weekly!#REF!</definedName>
    <definedName name="kkkkk" localSheetId="47" hidden="1">[1]weekly!#REF!</definedName>
    <definedName name="kkkkk" localSheetId="48" hidden="1">[1]weekly!#REF!</definedName>
    <definedName name="kkkkk" localSheetId="49" hidden="1">[1]weekly!#REF!</definedName>
    <definedName name="kkkkk" localSheetId="50" hidden="1">[1]weekly!#REF!</definedName>
    <definedName name="kkkkk" localSheetId="54" hidden="1">[1]weekly!#REF!</definedName>
    <definedName name="kkkkk" localSheetId="51" hidden="1">[1]weekly!#REF!</definedName>
    <definedName name="kkkkk" localSheetId="52" hidden="1">[1]weekly!#REF!</definedName>
    <definedName name="kkkkk" localSheetId="34" hidden="1">[1]weekly!#REF!</definedName>
    <definedName name="kkkkk" localSheetId="59" hidden="1">[1]weekly!#REF!</definedName>
    <definedName name="kkkkk" localSheetId="53" hidden="1">[1]weekly!#REF!</definedName>
    <definedName name="kkkkk" localSheetId="91" hidden="1">[1]weekly!#REF!</definedName>
    <definedName name="kkkkk" localSheetId="88" hidden="1">[1]weekly!#REF!</definedName>
    <definedName name="kkkkk" localSheetId="90" hidden="1">[1]weekly!#REF!</definedName>
    <definedName name="kkkkk" hidden="1">[1]weekly!#REF!</definedName>
    <definedName name="l" localSheetId="60" hidden="1">[1]weekly!#REF!</definedName>
    <definedName name="l" localSheetId="87" hidden="1">[1]weekly!#REF!</definedName>
    <definedName name="l" localSheetId="36" hidden="1">[1]weekly!#REF!</definedName>
    <definedName name="l" localSheetId="61" hidden="1">[1]weekly!#REF!</definedName>
    <definedName name="l" localSheetId="37" hidden="1">[1]weekly!#REF!</definedName>
    <definedName name="l" localSheetId="57" hidden="1">[1]weekly!#REF!</definedName>
    <definedName name="l" localSheetId="56" hidden="1">[1]weekly!#REF!</definedName>
    <definedName name="l" localSheetId="58" hidden="1">[1]weekly!#REF!</definedName>
    <definedName name="l" localSheetId="83" hidden="1">[1]weekly!#REF!</definedName>
    <definedName name="l" localSheetId="38" hidden="1">[1]weekly!#REF!</definedName>
    <definedName name="l" localSheetId="39" hidden="1">[1]weekly!#REF!</definedName>
    <definedName name="l" localSheetId="95" hidden="1">[1]weekly!#REF!</definedName>
    <definedName name="l" localSheetId="40" hidden="1">[1]weekly!#REF!</definedName>
    <definedName name="l" localSheetId="92" hidden="1">[1]weekly!#REF!</definedName>
    <definedName name="l" localSheetId="41" hidden="1">[1]weekly!#REF!</definedName>
    <definedName name="l" localSheetId="42" hidden="1">[1]weekly!#REF!</definedName>
    <definedName name="l" localSheetId="43" hidden="1">[1]weekly!#REF!</definedName>
    <definedName name="l" localSheetId="33" hidden="1">[1]weekly!#REF!</definedName>
    <definedName name="l" localSheetId="82" hidden="1">[1]weekly!#REF!</definedName>
    <definedName name="l" localSheetId="44" hidden="1">[1]weekly!#REF!</definedName>
    <definedName name="l" localSheetId="69" hidden="1">[1]weekly!#REF!</definedName>
    <definedName name="l" localSheetId="45" hidden="1">[1]weekly!#REF!</definedName>
    <definedName name="l" localSheetId="24" hidden="1">[1]weekly!#REF!</definedName>
    <definedName name="l" localSheetId="25" hidden="1">[1]weekly!#REF!</definedName>
    <definedName name="l" localSheetId="46" hidden="1">[1]weekly!#REF!</definedName>
    <definedName name="l" localSheetId="14" hidden="1">[1]weekly!#REF!</definedName>
    <definedName name="l" localSheetId="93" hidden="1">[1]weekly!#REF!</definedName>
    <definedName name="l" localSheetId="47" hidden="1">[1]weekly!#REF!</definedName>
    <definedName name="l" localSheetId="48" hidden="1">[1]weekly!#REF!</definedName>
    <definedName name="l" localSheetId="49" hidden="1">[1]weekly!#REF!</definedName>
    <definedName name="l" localSheetId="50" hidden="1">[1]weekly!#REF!</definedName>
    <definedName name="l" localSheetId="54" hidden="1">[1]weekly!#REF!</definedName>
    <definedName name="l" localSheetId="51" hidden="1">[1]weekly!#REF!</definedName>
    <definedName name="l" localSheetId="52" hidden="1">[1]weekly!#REF!</definedName>
    <definedName name="l" localSheetId="34" hidden="1">[1]weekly!#REF!</definedName>
    <definedName name="l" localSheetId="59" hidden="1">[1]weekly!#REF!</definedName>
    <definedName name="l" localSheetId="53" hidden="1">[1]weekly!#REF!</definedName>
    <definedName name="l" localSheetId="91" hidden="1">[1]weekly!#REF!</definedName>
    <definedName name="l" localSheetId="88" hidden="1">[1]weekly!#REF!</definedName>
    <definedName name="l" localSheetId="90" hidden="1">[1]weekly!#REF!</definedName>
    <definedName name="l" hidden="1">[1]weekly!#REF!</definedName>
    <definedName name="ll" localSheetId="60" hidden="1">[1]weekly!#REF!</definedName>
    <definedName name="ll" localSheetId="87" hidden="1">[1]weekly!#REF!</definedName>
    <definedName name="ll" localSheetId="36" hidden="1">[1]weekly!#REF!</definedName>
    <definedName name="ll" localSheetId="61" hidden="1">[1]weekly!#REF!</definedName>
    <definedName name="ll" localSheetId="37" hidden="1">[1]weekly!#REF!</definedName>
    <definedName name="ll" localSheetId="57" hidden="1">[1]weekly!#REF!</definedName>
    <definedName name="ll" localSheetId="56" hidden="1">[1]weekly!#REF!</definedName>
    <definedName name="ll" localSheetId="58" hidden="1">[1]weekly!#REF!</definedName>
    <definedName name="ll" localSheetId="83" hidden="1">[1]weekly!#REF!</definedName>
    <definedName name="ll" localSheetId="38" hidden="1">[1]weekly!#REF!</definedName>
    <definedName name="ll" localSheetId="39" hidden="1">[1]weekly!#REF!</definedName>
    <definedName name="ll" localSheetId="95" hidden="1">[1]weekly!#REF!</definedName>
    <definedName name="ll" localSheetId="40" hidden="1">[1]weekly!#REF!</definedName>
    <definedName name="ll" localSheetId="92" hidden="1">[1]weekly!#REF!</definedName>
    <definedName name="ll" localSheetId="41" hidden="1">[1]weekly!#REF!</definedName>
    <definedName name="ll" localSheetId="42" hidden="1">[1]weekly!#REF!</definedName>
    <definedName name="ll" localSheetId="43" hidden="1">[1]weekly!#REF!</definedName>
    <definedName name="ll" localSheetId="33" hidden="1">[1]weekly!#REF!</definedName>
    <definedName name="ll" localSheetId="82" hidden="1">[1]weekly!#REF!</definedName>
    <definedName name="ll" localSheetId="44" hidden="1">[1]weekly!#REF!</definedName>
    <definedName name="ll" localSheetId="69" hidden="1">[1]weekly!#REF!</definedName>
    <definedName name="ll" localSheetId="45" hidden="1">[1]weekly!#REF!</definedName>
    <definedName name="ll" localSheetId="24" hidden="1">[1]weekly!#REF!</definedName>
    <definedName name="ll" localSheetId="25" hidden="1">[1]weekly!#REF!</definedName>
    <definedName name="ll" localSheetId="46" hidden="1">[1]weekly!#REF!</definedName>
    <definedName name="ll" localSheetId="14" hidden="1">[1]weekly!#REF!</definedName>
    <definedName name="ll" localSheetId="93" hidden="1">[1]weekly!#REF!</definedName>
    <definedName name="ll" localSheetId="2" hidden="1">[1]weekly!#REF!</definedName>
    <definedName name="ll" localSheetId="47" hidden="1">[1]weekly!#REF!</definedName>
    <definedName name="ll" localSheetId="48" hidden="1">[1]weekly!#REF!</definedName>
    <definedName name="ll" localSheetId="49" hidden="1">[1]weekly!#REF!</definedName>
    <definedName name="ll" localSheetId="50" hidden="1">[1]weekly!#REF!</definedName>
    <definedName name="ll" localSheetId="54" hidden="1">[1]weekly!#REF!</definedName>
    <definedName name="ll" localSheetId="51" hidden="1">[1]weekly!#REF!</definedName>
    <definedName name="ll" localSheetId="52" hidden="1">[1]weekly!#REF!</definedName>
    <definedName name="ll" localSheetId="34" hidden="1">[1]weekly!#REF!</definedName>
    <definedName name="ll" localSheetId="59" hidden="1">[1]weekly!#REF!</definedName>
    <definedName name="ll" localSheetId="53" hidden="1">[1]weekly!#REF!</definedName>
    <definedName name="ll" localSheetId="91" hidden="1">[1]weekly!#REF!</definedName>
    <definedName name="ll" localSheetId="88" hidden="1">[1]weekly!#REF!</definedName>
    <definedName name="ll" localSheetId="90" hidden="1">[1]weekly!#REF!</definedName>
    <definedName name="ll" hidden="1">[1]weekly!#REF!</definedName>
    <definedName name="lll" localSheetId="60" hidden="1">[1]weekly!#REF!</definedName>
    <definedName name="lll" localSheetId="87" hidden="1">[1]weekly!#REF!</definedName>
    <definedName name="lll" localSheetId="36" hidden="1">[1]weekly!#REF!</definedName>
    <definedName name="lll" localSheetId="61" hidden="1">[1]weekly!#REF!</definedName>
    <definedName name="lll" localSheetId="37" hidden="1">[1]weekly!#REF!</definedName>
    <definedName name="lll" localSheetId="57" hidden="1">[1]weekly!#REF!</definedName>
    <definedName name="lll" localSheetId="56" hidden="1">[1]weekly!#REF!</definedName>
    <definedName name="lll" localSheetId="58" hidden="1">[1]weekly!#REF!</definedName>
    <definedName name="lll" localSheetId="83" hidden="1">[1]weekly!#REF!</definedName>
    <definedName name="lll" localSheetId="38" hidden="1">[1]weekly!#REF!</definedName>
    <definedName name="lll" localSheetId="39" hidden="1">[1]weekly!#REF!</definedName>
    <definedName name="lll" localSheetId="95" hidden="1">[1]weekly!#REF!</definedName>
    <definedName name="lll" localSheetId="40" hidden="1">[1]weekly!#REF!</definedName>
    <definedName name="lll" localSheetId="92" hidden="1">[1]weekly!#REF!</definedName>
    <definedName name="lll" localSheetId="41" hidden="1">[1]weekly!#REF!</definedName>
    <definedName name="lll" localSheetId="42" hidden="1">[1]weekly!#REF!</definedName>
    <definedName name="lll" localSheetId="43" hidden="1">[1]weekly!#REF!</definedName>
    <definedName name="lll" localSheetId="33" hidden="1">[1]weekly!#REF!</definedName>
    <definedName name="lll" localSheetId="82" hidden="1">[1]weekly!#REF!</definedName>
    <definedName name="lll" localSheetId="44" hidden="1">[1]weekly!#REF!</definedName>
    <definedName name="lll" localSheetId="69" hidden="1">[1]weekly!#REF!</definedName>
    <definedName name="lll" localSheetId="45" hidden="1">[1]weekly!#REF!</definedName>
    <definedName name="lll" localSheetId="24" hidden="1">[1]weekly!#REF!</definedName>
    <definedName name="lll" localSheetId="25" hidden="1">[1]weekly!#REF!</definedName>
    <definedName name="lll" localSheetId="46" hidden="1">[1]weekly!#REF!</definedName>
    <definedName name="lll" localSheetId="14" hidden="1">[1]weekly!#REF!</definedName>
    <definedName name="lll" localSheetId="93" hidden="1">[1]weekly!#REF!</definedName>
    <definedName name="lll" localSheetId="47" hidden="1">[1]weekly!#REF!</definedName>
    <definedName name="lll" localSheetId="48" hidden="1">[1]weekly!#REF!</definedName>
    <definedName name="lll" localSheetId="49" hidden="1">[1]weekly!#REF!</definedName>
    <definedName name="lll" localSheetId="50" hidden="1">[1]weekly!#REF!</definedName>
    <definedName name="lll" localSheetId="54" hidden="1">[1]weekly!#REF!</definedName>
    <definedName name="lll" localSheetId="51" hidden="1">[1]weekly!#REF!</definedName>
    <definedName name="lll" localSheetId="52" hidden="1">[1]weekly!#REF!</definedName>
    <definedName name="lll" localSheetId="34" hidden="1">[1]weekly!#REF!</definedName>
    <definedName name="lll" localSheetId="59" hidden="1">[1]weekly!#REF!</definedName>
    <definedName name="lll" localSheetId="53" hidden="1">[1]weekly!#REF!</definedName>
    <definedName name="lll" localSheetId="91" hidden="1">[1]weekly!#REF!</definedName>
    <definedName name="lll" localSheetId="88" hidden="1">[1]weekly!#REF!</definedName>
    <definedName name="lll" localSheetId="90" hidden="1">[1]weekly!#REF!</definedName>
    <definedName name="lll" hidden="1">[1]weekly!#REF!</definedName>
    <definedName name="mm" localSheetId="60" hidden="1">[1]weekly!#REF!</definedName>
    <definedName name="mm" localSheetId="87" hidden="1">[1]weekly!#REF!</definedName>
    <definedName name="mm" localSheetId="36" hidden="1">[1]weekly!#REF!</definedName>
    <definedName name="mm" localSheetId="61" hidden="1">[1]weekly!#REF!</definedName>
    <definedName name="mm" localSheetId="37" hidden="1">[1]weekly!#REF!</definedName>
    <definedName name="mm" localSheetId="57" hidden="1">[1]weekly!#REF!</definedName>
    <definedName name="mm" localSheetId="56" hidden="1">[1]weekly!#REF!</definedName>
    <definedName name="mm" localSheetId="58" hidden="1">[1]weekly!#REF!</definedName>
    <definedName name="mm" localSheetId="83" hidden="1">[1]weekly!#REF!</definedName>
    <definedName name="mm" localSheetId="38" hidden="1">[1]weekly!#REF!</definedName>
    <definedName name="mm" localSheetId="39" hidden="1">[1]weekly!#REF!</definedName>
    <definedName name="mm" localSheetId="95" hidden="1">[1]weekly!#REF!</definedName>
    <definedName name="mm" localSheetId="40" hidden="1">[1]weekly!#REF!</definedName>
    <definedName name="mm" localSheetId="92" hidden="1">[1]weekly!#REF!</definedName>
    <definedName name="mm" localSheetId="41" hidden="1">[1]weekly!#REF!</definedName>
    <definedName name="mm" localSheetId="42" hidden="1">[1]weekly!#REF!</definedName>
    <definedName name="mm" localSheetId="43" hidden="1">[1]weekly!#REF!</definedName>
    <definedName name="mm" localSheetId="33" hidden="1">[1]weekly!#REF!</definedName>
    <definedName name="mm" localSheetId="82" hidden="1">[1]weekly!#REF!</definedName>
    <definedName name="mm" localSheetId="44" hidden="1">[1]weekly!#REF!</definedName>
    <definedName name="mm" localSheetId="69" hidden="1">[1]weekly!#REF!</definedName>
    <definedName name="mm" localSheetId="45" hidden="1">[1]weekly!#REF!</definedName>
    <definedName name="mm" localSheetId="24" hidden="1">[1]weekly!#REF!</definedName>
    <definedName name="mm" localSheetId="25" hidden="1">[1]weekly!#REF!</definedName>
    <definedName name="mm" localSheetId="46" hidden="1">[1]weekly!#REF!</definedName>
    <definedName name="mm" localSheetId="14" hidden="1">[1]weekly!#REF!</definedName>
    <definedName name="mm" localSheetId="93" hidden="1">[1]weekly!#REF!</definedName>
    <definedName name="mm" localSheetId="47" hidden="1">[1]weekly!#REF!</definedName>
    <definedName name="mm" localSheetId="48" hidden="1">[1]weekly!#REF!</definedName>
    <definedName name="mm" localSheetId="49" hidden="1">[1]weekly!#REF!</definedName>
    <definedName name="mm" localSheetId="50" hidden="1">[1]weekly!#REF!</definedName>
    <definedName name="mm" localSheetId="54" hidden="1">[1]weekly!#REF!</definedName>
    <definedName name="mm" localSheetId="51" hidden="1">[1]weekly!#REF!</definedName>
    <definedName name="mm" localSheetId="52" hidden="1">[1]weekly!#REF!</definedName>
    <definedName name="mm" localSheetId="34" hidden="1">[1]weekly!#REF!</definedName>
    <definedName name="mm" localSheetId="59" hidden="1">[1]weekly!#REF!</definedName>
    <definedName name="mm" localSheetId="53" hidden="1">[1]weekly!#REF!</definedName>
    <definedName name="mm" localSheetId="91" hidden="1">[1]weekly!#REF!</definedName>
    <definedName name="mm" localSheetId="88" hidden="1">[1]weekly!#REF!</definedName>
    <definedName name="mm" localSheetId="90" hidden="1">[1]weekly!#REF!</definedName>
    <definedName name="mm" hidden="1">[1]weekly!#REF!</definedName>
    <definedName name="mmmm" localSheetId="60" hidden="1">[1]weekly!#REF!</definedName>
    <definedName name="mmmm" localSheetId="87" hidden="1">[1]weekly!#REF!</definedName>
    <definedName name="mmmm" localSheetId="36" hidden="1">[1]weekly!#REF!</definedName>
    <definedName name="mmmm" localSheetId="61" hidden="1">[1]weekly!#REF!</definedName>
    <definedName name="mmmm" localSheetId="37" hidden="1">[1]weekly!#REF!</definedName>
    <definedName name="mmmm" localSheetId="57" hidden="1">[1]weekly!#REF!</definedName>
    <definedName name="mmmm" localSheetId="56" hidden="1">[1]weekly!#REF!</definedName>
    <definedName name="mmmm" localSheetId="58" hidden="1">[1]weekly!#REF!</definedName>
    <definedName name="mmmm" localSheetId="83" hidden="1">[1]weekly!#REF!</definedName>
    <definedName name="mmmm" localSheetId="38" hidden="1">[1]weekly!#REF!</definedName>
    <definedName name="mmmm" localSheetId="39" hidden="1">[1]weekly!#REF!</definedName>
    <definedName name="mmmm" localSheetId="95" hidden="1">[1]weekly!#REF!</definedName>
    <definedName name="mmmm" localSheetId="40" hidden="1">[1]weekly!#REF!</definedName>
    <definedName name="mmmm" localSheetId="92" hidden="1">[1]weekly!#REF!</definedName>
    <definedName name="mmmm" localSheetId="41" hidden="1">[1]weekly!#REF!</definedName>
    <definedName name="mmmm" localSheetId="42" hidden="1">[1]weekly!#REF!</definedName>
    <definedName name="mmmm" localSheetId="43" hidden="1">[1]weekly!#REF!</definedName>
    <definedName name="mmmm" localSheetId="33" hidden="1">[1]weekly!#REF!</definedName>
    <definedName name="mmmm" localSheetId="82" hidden="1">[1]weekly!#REF!</definedName>
    <definedName name="mmmm" localSheetId="44" hidden="1">[1]weekly!#REF!</definedName>
    <definedName name="mmmm" localSheetId="69" hidden="1">[1]weekly!#REF!</definedName>
    <definedName name="mmmm" localSheetId="45" hidden="1">[1]weekly!#REF!</definedName>
    <definedName name="mmmm" localSheetId="24" hidden="1">[1]weekly!#REF!</definedName>
    <definedName name="mmmm" localSheetId="25" hidden="1">[1]weekly!#REF!</definedName>
    <definedName name="mmmm" localSheetId="46" hidden="1">[1]weekly!#REF!</definedName>
    <definedName name="mmmm" localSheetId="14" hidden="1">[1]weekly!#REF!</definedName>
    <definedName name="mmmm" localSheetId="93" hidden="1">[1]weekly!#REF!</definedName>
    <definedName name="mmmm" localSheetId="47" hidden="1">[1]weekly!#REF!</definedName>
    <definedName name="mmmm" localSheetId="48" hidden="1">[1]weekly!#REF!</definedName>
    <definedName name="mmmm" localSheetId="49" hidden="1">[1]weekly!#REF!</definedName>
    <definedName name="mmmm" localSheetId="50" hidden="1">[1]weekly!#REF!</definedName>
    <definedName name="mmmm" localSheetId="54" hidden="1">[1]weekly!#REF!</definedName>
    <definedName name="mmmm" localSheetId="51" hidden="1">[1]weekly!#REF!</definedName>
    <definedName name="mmmm" localSheetId="52" hidden="1">[1]weekly!#REF!</definedName>
    <definedName name="mmmm" localSheetId="34" hidden="1">[1]weekly!#REF!</definedName>
    <definedName name="mmmm" localSheetId="59" hidden="1">[1]weekly!#REF!</definedName>
    <definedName name="mmmm" localSheetId="53" hidden="1">[1]weekly!#REF!</definedName>
    <definedName name="mmmm" localSheetId="91" hidden="1">[1]weekly!#REF!</definedName>
    <definedName name="mmmm" localSheetId="88" hidden="1">[1]weekly!#REF!</definedName>
    <definedName name="mmmm" localSheetId="90" hidden="1">[1]weekly!#REF!</definedName>
    <definedName name="mmmm" hidden="1">[1]weekly!#REF!</definedName>
    <definedName name="ModelBanner">Details!$G$63</definedName>
    <definedName name="ModelName">Details!$G$61</definedName>
    <definedName name="nn" localSheetId="60" hidden="1">[1]weekly!#REF!</definedName>
    <definedName name="nn" localSheetId="87" hidden="1">[1]weekly!#REF!</definedName>
    <definedName name="nn" localSheetId="36" hidden="1">[1]weekly!#REF!</definedName>
    <definedName name="nn" localSheetId="61" hidden="1">[1]weekly!#REF!</definedName>
    <definedName name="nn" localSheetId="37" hidden="1">[1]weekly!#REF!</definedName>
    <definedName name="nn" localSheetId="57" hidden="1">[1]weekly!#REF!</definedName>
    <definedName name="nn" localSheetId="56" hidden="1">[1]weekly!#REF!</definedName>
    <definedName name="nn" localSheetId="58" hidden="1">[1]weekly!#REF!</definedName>
    <definedName name="nn" localSheetId="83" hidden="1">[1]weekly!#REF!</definedName>
    <definedName name="nn" localSheetId="38" hidden="1">[1]weekly!#REF!</definedName>
    <definedName name="nn" localSheetId="39" hidden="1">[1]weekly!#REF!</definedName>
    <definedName name="nn" localSheetId="95" hidden="1">[1]weekly!#REF!</definedName>
    <definedName name="nn" localSheetId="40" hidden="1">[1]weekly!#REF!</definedName>
    <definedName name="nn" localSheetId="92" hidden="1">[1]weekly!#REF!</definedName>
    <definedName name="nn" localSheetId="41" hidden="1">[1]weekly!#REF!</definedName>
    <definedName name="nn" localSheetId="42" hidden="1">[1]weekly!#REF!</definedName>
    <definedName name="nn" localSheetId="43" hidden="1">[1]weekly!#REF!</definedName>
    <definedName name="nn" localSheetId="33" hidden="1">[1]weekly!#REF!</definedName>
    <definedName name="nn" localSheetId="82" hidden="1">[1]weekly!#REF!</definedName>
    <definedName name="nn" localSheetId="44" hidden="1">[1]weekly!#REF!</definedName>
    <definedName name="nn" localSheetId="69" hidden="1">[1]weekly!#REF!</definedName>
    <definedName name="nn" localSheetId="45" hidden="1">[1]weekly!#REF!</definedName>
    <definedName name="nn" localSheetId="24" hidden="1">[1]weekly!#REF!</definedName>
    <definedName name="nn" localSheetId="25" hidden="1">[1]weekly!#REF!</definedName>
    <definedName name="nn" localSheetId="46" hidden="1">[1]weekly!#REF!</definedName>
    <definedName name="nn" localSheetId="14" hidden="1">[1]weekly!#REF!</definedName>
    <definedName name="nn" localSheetId="93" hidden="1">[1]weekly!#REF!</definedName>
    <definedName name="nn" localSheetId="2" hidden="1">[1]weekly!#REF!</definedName>
    <definedName name="nn" localSheetId="47" hidden="1">[1]weekly!#REF!</definedName>
    <definedName name="nn" localSheetId="48" hidden="1">[1]weekly!#REF!</definedName>
    <definedName name="nn" localSheetId="49" hidden="1">[1]weekly!#REF!</definedName>
    <definedName name="nn" localSheetId="50" hidden="1">[1]weekly!#REF!</definedName>
    <definedName name="nn" localSheetId="54" hidden="1">[1]weekly!#REF!</definedName>
    <definedName name="nn" localSheetId="51" hidden="1">[1]weekly!#REF!</definedName>
    <definedName name="nn" localSheetId="52" hidden="1">[1]weekly!#REF!</definedName>
    <definedName name="nn" localSheetId="34" hidden="1">[1]weekly!#REF!</definedName>
    <definedName name="nn" localSheetId="59" hidden="1">[1]weekly!#REF!</definedName>
    <definedName name="nn" localSheetId="53" hidden="1">[1]weekly!#REF!</definedName>
    <definedName name="nn" localSheetId="91" hidden="1">[1]weekly!#REF!</definedName>
    <definedName name="nn" localSheetId="88" hidden="1">[1]weekly!#REF!</definedName>
    <definedName name="nn" localSheetId="90" hidden="1">[1]weekly!#REF!</definedName>
    <definedName name="nn" hidden="1">[1]weekly!#REF!</definedName>
    <definedName name="nnnn" localSheetId="60" hidden="1">[1]weekly!#REF!</definedName>
    <definedName name="nnnn" localSheetId="87" hidden="1">[1]weekly!#REF!</definedName>
    <definedName name="nnnn" localSheetId="36" hidden="1">[1]weekly!#REF!</definedName>
    <definedName name="nnnn" localSheetId="61" hidden="1">[1]weekly!#REF!</definedName>
    <definedName name="nnnn" localSheetId="37" hidden="1">[1]weekly!#REF!</definedName>
    <definedName name="nnnn" localSheetId="57" hidden="1">[1]weekly!#REF!</definedName>
    <definedName name="nnnn" localSheetId="56" hidden="1">[1]weekly!#REF!</definedName>
    <definedName name="nnnn" localSheetId="58" hidden="1">[1]weekly!#REF!</definedName>
    <definedName name="nnnn" localSheetId="83" hidden="1">[1]weekly!#REF!</definedName>
    <definedName name="nnnn" localSheetId="38" hidden="1">[1]weekly!#REF!</definedName>
    <definedName name="nnnn" localSheetId="39" hidden="1">[1]weekly!#REF!</definedName>
    <definedName name="nnnn" localSheetId="95" hidden="1">[1]weekly!#REF!</definedName>
    <definedName name="nnnn" localSheetId="40" hidden="1">[1]weekly!#REF!</definedName>
    <definedName name="nnnn" localSheetId="92" hidden="1">[1]weekly!#REF!</definedName>
    <definedName name="nnnn" localSheetId="41" hidden="1">[1]weekly!#REF!</definedName>
    <definedName name="nnnn" localSheetId="42" hidden="1">[1]weekly!#REF!</definedName>
    <definedName name="nnnn" localSheetId="43" hidden="1">[1]weekly!#REF!</definedName>
    <definedName name="nnnn" localSheetId="33" hidden="1">[1]weekly!#REF!</definedName>
    <definedName name="nnnn" localSheetId="82" hidden="1">[1]weekly!#REF!</definedName>
    <definedName name="nnnn" localSheetId="44" hidden="1">[1]weekly!#REF!</definedName>
    <definedName name="nnnn" localSheetId="69" hidden="1">[1]weekly!#REF!</definedName>
    <definedName name="nnnn" localSheetId="45" hidden="1">[1]weekly!#REF!</definedName>
    <definedName name="nnnn" localSheetId="24" hidden="1">[1]weekly!#REF!</definedName>
    <definedName name="nnnn" localSheetId="25" hidden="1">[1]weekly!#REF!</definedName>
    <definedName name="nnnn" localSheetId="46" hidden="1">[1]weekly!#REF!</definedName>
    <definedName name="nnnn" localSheetId="14" hidden="1">[1]weekly!#REF!</definedName>
    <definedName name="nnnn" localSheetId="93" hidden="1">[1]weekly!#REF!</definedName>
    <definedName name="nnnn" localSheetId="47" hidden="1">[1]weekly!#REF!</definedName>
    <definedName name="nnnn" localSheetId="48" hidden="1">[1]weekly!#REF!</definedName>
    <definedName name="nnnn" localSheetId="49" hidden="1">[1]weekly!#REF!</definedName>
    <definedName name="nnnn" localSheetId="50" hidden="1">[1]weekly!#REF!</definedName>
    <definedName name="nnnn" localSheetId="54" hidden="1">[1]weekly!#REF!</definedName>
    <definedName name="nnnn" localSheetId="51" hidden="1">[1]weekly!#REF!</definedName>
    <definedName name="nnnn" localSheetId="52" hidden="1">[1]weekly!#REF!</definedName>
    <definedName name="nnnn" localSheetId="34" hidden="1">[1]weekly!#REF!</definedName>
    <definedName name="nnnn" localSheetId="59" hidden="1">[1]weekly!#REF!</definedName>
    <definedName name="nnnn" localSheetId="53" hidden="1">[1]weekly!#REF!</definedName>
    <definedName name="nnnn" localSheetId="91" hidden="1">[1]weekly!#REF!</definedName>
    <definedName name="nnnn" localSheetId="88" hidden="1">[1]weekly!#REF!</definedName>
    <definedName name="nnnn" localSheetId="90" hidden="1">[1]weekly!#REF!</definedName>
    <definedName name="nnnn" hidden="1">[1]weekly!#REF!</definedName>
    <definedName name="o" localSheetId="60" hidden="1">[1]weekly!#REF!</definedName>
    <definedName name="o" localSheetId="87" hidden="1">[1]weekly!#REF!</definedName>
    <definedName name="o" localSheetId="36" hidden="1">[1]weekly!#REF!</definedName>
    <definedName name="o" localSheetId="61" hidden="1">[1]weekly!#REF!</definedName>
    <definedName name="o" localSheetId="37" hidden="1">[1]weekly!#REF!</definedName>
    <definedName name="o" localSheetId="57" hidden="1">[1]weekly!#REF!</definedName>
    <definedName name="o" localSheetId="56" hidden="1">[1]weekly!#REF!</definedName>
    <definedName name="o" localSheetId="58" hidden="1">[1]weekly!#REF!</definedName>
    <definedName name="o" localSheetId="83" hidden="1">[1]weekly!#REF!</definedName>
    <definedName name="o" localSheetId="38" hidden="1">[1]weekly!#REF!</definedName>
    <definedName name="o" localSheetId="39" hidden="1">[1]weekly!#REF!</definedName>
    <definedName name="o" localSheetId="95" hidden="1">[1]weekly!#REF!</definedName>
    <definedName name="o" localSheetId="40" hidden="1">[1]weekly!#REF!</definedName>
    <definedName name="o" localSheetId="92" hidden="1">[1]weekly!#REF!</definedName>
    <definedName name="o" localSheetId="41" hidden="1">[1]weekly!#REF!</definedName>
    <definedName name="o" localSheetId="42" hidden="1">[1]weekly!#REF!</definedName>
    <definedName name="o" localSheetId="43" hidden="1">[1]weekly!#REF!</definedName>
    <definedName name="o" localSheetId="33" hidden="1">[1]weekly!#REF!</definedName>
    <definedName name="o" localSheetId="82" hidden="1">[1]weekly!#REF!</definedName>
    <definedName name="o" localSheetId="44" hidden="1">[1]weekly!#REF!</definedName>
    <definedName name="o" localSheetId="69" hidden="1">[1]weekly!#REF!</definedName>
    <definedName name="o" localSheetId="45" hidden="1">[1]weekly!#REF!</definedName>
    <definedName name="o" localSheetId="24" hidden="1">[1]weekly!#REF!</definedName>
    <definedName name="o" localSheetId="25" hidden="1">[1]weekly!#REF!</definedName>
    <definedName name="o" localSheetId="46" hidden="1">[1]weekly!#REF!</definedName>
    <definedName name="o" localSheetId="14" hidden="1">[1]weekly!#REF!</definedName>
    <definedName name="o" localSheetId="93" hidden="1">[1]weekly!#REF!</definedName>
    <definedName name="o" localSheetId="47" hidden="1">[1]weekly!#REF!</definedName>
    <definedName name="o" localSheetId="48" hidden="1">[1]weekly!#REF!</definedName>
    <definedName name="o" localSheetId="49" hidden="1">[1]weekly!#REF!</definedName>
    <definedName name="o" localSheetId="50" hidden="1">[1]weekly!#REF!</definedName>
    <definedName name="o" localSheetId="54" hidden="1">[1]weekly!#REF!</definedName>
    <definedName name="o" localSheetId="51" hidden="1">[1]weekly!#REF!</definedName>
    <definedName name="o" localSheetId="52" hidden="1">[1]weekly!#REF!</definedName>
    <definedName name="o" localSheetId="34" hidden="1">[1]weekly!#REF!</definedName>
    <definedName name="o" localSheetId="59" hidden="1">[1]weekly!#REF!</definedName>
    <definedName name="o" localSheetId="53" hidden="1">[1]weekly!#REF!</definedName>
    <definedName name="o" localSheetId="91" hidden="1">[1]weekly!#REF!</definedName>
    <definedName name="o" localSheetId="88" hidden="1">[1]weekly!#REF!</definedName>
    <definedName name="o" localSheetId="90" hidden="1">[1]weekly!#REF!</definedName>
    <definedName name="o" hidden="1">[1]weekly!#REF!</definedName>
    <definedName name="oo" localSheetId="60" hidden="1">[1]weekly!#REF!</definedName>
    <definedName name="oo" localSheetId="87" hidden="1">[1]weekly!#REF!</definedName>
    <definedName name="oo" localSheetId="36" hidden="1">[1]weekly!#REF!</definedName>
    <definedName name="oo" localSheetId="61" hidden="1">[1]weekly!#REF!</definedName>
    <definedName name="oo" localSheetId="37" hidden="1">[1]weekly!#REF!</definedName>
    <definedName name="oo" localSheetId="57" hidden="1">[1]weekly!#REF!</definedName>
    <definedName name="oo" localSheetId="56" hidden="1">[1]weekly!#REF!</definedName>
    <definedName name="oo" localSheetId="58" hidden="1">[1]weekly!#REF!</definedName>
    <definedName name="oo" localSheetId="83" hidden="1">[1]weekly!#REF!</definedName>
    <definedName name="oo" localSheetId="38" hidden="1">[1]weekly!#REF!</definedName>
    <definedName name="oo" localSheetId="39" hidden="1">[1]weekly!#REF!</definedName>
    <definedName name="oo" localSheetId="95" hidden="1">[1]weekly!#REF!</definedName>
    <definedName name="oo" localSheetId="40" hidden="1">[1]weekly!#REF!</definedName>
    <definedName name="oo" localSheetId="92" hidden="1">[1]weekly!#REF!</definedName>
    <definedName name="oo" localSheetId="41" hidden="1">[1]weekly!#REF!</definedName>
    <definedName name="oo" localSheetId="42" hidden="1">[1]weekly!#REF!</definedName>
    <definedName name="oo" localSheetId="43" hidden="1">[1]weekly!#REF!</definedName>
    <definedName name="oo" localSheetId="33" hidden="1">[1]weekly!#REF!</definedName>
    <definedName name="oo" localSheetId="82" hidden="1">[1]weekly!#REF!</definedName>
    <definedName name="oo" localSheetId="44" hidden="1">[1]weekly!#REF!</definedName>
    <definedName name="oo" localSheetId="69" hidden="1">[1]weekly!#REF!</definedName>
    <definedName name="oo" localSheetId="45" hidden="1">[1]weekly!#REF!</definedName>
    <definedName name="oo" localSheetId="24" hidden="1">[1]weekly!#REF!</definedName>
    <definedName name="oo" localSheetId="25" hidden="1">[1]weekly!#REF!</definedName>
    <definedName name="oo" localSheetId="46" hidden="1">[1]weekly!#REF!</definedName>
    <definedName name="oo" localSheetId="14" hidden="1">[1]weekly!#REF!</definedName>
    <definedName name="oo" localSheetId="93" hidden="1">[1]weekly!#REF!</definedName>
    <definedName name="oo" localSheetId="47" hidden="1">[1]weekly!#REF!</definedName>
    <definedName name="oo" localSheetId="48" hidden="1">[1]weekly!#REF!</definedName>
    <definedName name="oo" localSheetId="49" hidden="1">[1]weekly!#REF!</definedName>
    <definedName name="oo" localSheetId="50" hidden="1">[1]weekly!#REF!</definedName>
    <definedName name="oo" localSheetId="54" hidden="1">[1]weekly!#REF!</definedName>
    <definedName name="oo" localSheetId="51" hidden="1">[1]weekly!#REF!</definedName>
    <definedName name="oo" localSheetId="52" hidden="1">[1]weekly!#REF!</definedName>
    <definedName name="oo" localSheetId="34" hidden="1">[1]weekly!#REF!</definedName>
    <definedName name="oo" localSheetId="59" hidden="1">[1]weekly!#REF!</definedName>
    <definedName name="oo" localSheetId="53" hidden="1">[1]weekly!#REF!</definedName>
    <definedName name="oo" localSheetId="91" hidden="1">[1]weekly!#REF!</definedName>
    <definedName name="oo" localSheetId="88" hidden="1">[1]weekly!#REF!</definedName>
    <definedName name="oo" localSheetId="90" hidden="1">[1]weekly!#REF!</definedName>
    <definedName name="oo" hidden="1">[1]weekly!#REF!</definedName>
    <definedName name="p" localSheetId="60" hidden="1">[1]weekly!#REF!</definedName>
    <definedName name="p" localSheetId="87" hidden="1">[1]weekly!#REF!</definedName>
    <definedName name="p" localSheetId="36" hidden="1">[1]weekly!#REF!</definedName>
    <definedName name="p" localSheetId="61" hidden="1">[1]weekly!#REF!</definedName>
    <definedName name="p" localSheetId="37" hidden="1">[1]weekly!#REF!</definedName>
    <definedName name="p" localSheetId="57" hidden="1">[1]weekly!#REF!</definedName>
    <definedName name="p" localSheetId="56" hidden="1">[1]weekly!#REF!</definedName>
    <definedName name="p" localSheetId="58" hidden="1">[1]weekly!#REF!</definedName>
    <definedName name="p" localSheetId="83" hidden="1">[1]weekly!#REF!</definedName>
    <definedName name="p" localSheetId="38" hidden="1">[1]weekly!#REF!</definedName>
    <definedName name="p" localSheetId="39" hidden="1">[1]weekly!#REF!</definedName>
    <definedName name="p" localSheetId="95" hidden="1">[1]weekly!#REF!</definedName>
    <definedName name="p" localSheetId="40" hidden="1">[1]weekly!#REF!</definedName>
    <definedName name="p" localSheetId="92" hidden="1">[1]weekly!#REF!</definedName>
    <definedName name="p" localSheetId="41" hidden="1">[1]weekly!#REF!</definedName>
    <definedName name="p" localSheetId="42" hidden="1">[1]weekly!#REF!</definedName>
    <definedName name="p" localSheetId="43" hidden="1">[1]weekly!#REF!</definedName>
    <definedName name="p" localSheetId="33" hidden="1">[1]weekly!#REF!</definedName>
    <definedName name="p" localSheetId="82" hidden="1">[1]weekly!#REF!</definedName>
    <definedName name="p" localSheetId="44" hidden="1">[1]weekly!#REF!</definedName>
    <definedName name="p" localSheetId="69" hidden="1">[1]weekly!#REF!</definedName>
    <definedName name="p" localSheetId="45" hidden="1">[1]weekly!#REF!</definedName>
    <definedName name="p" localSheetId="24" hidden="1">[1]weekly!#REF!</definedName>
    <definedName name="p" localSheetId="25" hidden="1">[1]weekly!#REF!</definedName>
    <definedName name="p" localSheetId="46" hidden="1">[1]weekly!#REF!</definedName>
    <definedName name="p" localSheetId="14" hidden="1">[1]weekly!#REF!</definedName>
    <definedName name="p" localSheetId="93" hidden="1">[1]weekly!#REF!</definedName>
    <definedName name="p" localSheetId="2" hidden="1">[1]weekly!#REF!</definedName>
    <definedName name="p" localSheetId="47" hidden="1">[1]weekly!#REF!</definedName>
    <definedName name="p" localSheetId="48" hidden="1">[1]weekly!#REF!</definedName>
    <definedName name="p" localSheetId="49" hidden="1">[1]weekly!#REF!</definedName>
    <definedName name="p" localSheetId="50" hidden="1">[1]weekly!#REF!</definedName>
    <definedName name="p" localSheetId="54" hidden="1">[1]weekly!#REF!</definedName>
    <definedName name="p" localSheetId="51" hidden="1">[1]weekly!#REF!</definedName>
    <definedName name="p" localSheetId="52" hidden="1">[1]weekly!#REF!</definedName>
    <definedName name="p" localSheetId="34" hidden="1">[1]weekly!#REF!</definedName>
    <definedName name="p" localSheetId="59" hidden="1">[1]weekly!#REF!</definedName>
    <definedName name="p" localSheetId="53" hidden="1">[1]weekly!#REF!</definedName>
    <definedName name="p" localSheetId="91" hidden="1">[1]weekly!#REF!</definedName>
    <definedName name="p" localSheetId="88" hidden="1">[1]weekly!#REF!</definedName>
    <definedName name="p" localSheetId="90" hidden="1">[1]weekly!#REF!</definedName>
    <definedName name="p" hidden="1">[1]weekly!#REF!</definedName>
    <definedName name="pp" localSheetId="60" hidden="1">[1]weekly!#REF!</definedName>
    <definedName name="pp" localSheetId="87" hidden="1">[1]weekly!#REF!</definedName>
    <definedName name="pp" localSheetId="36" hidden="1">[1]weekly!#REF!</definedName>
    <definedName name="pp" localSheetId="61" hidden="1">[1]weekly!#REF!</definedName>
    <definedName name="pp" localSheetId="37" hidden="1">[1]weekly!#REF!</definedName>
    <definedName name="pp" localSheetId="57" hidden="1">[1]weekly!#REF!</definedName>
    <definedName name="pp" localSheetId="56" hidden="1">[1]weekly!#REF!</definedName>
    <definedName name="pp" localSheetId="58" hidden="1">[1]weekly!#REF!</definedName>
    <definedName name="pp" localSheetId="83" hidden="1">[1]weekly!#REF!</definedName>
    <definedName name="pp" localSheetId="38" hidden="1">[1]weekly!#REF!</definedName>
    <definedName name="pp" localSheetId="39" hidden="1">[1]weekly!#REF!</definedName>
    <definedName name="pp" localSheetId="95" hidden="1">[1]weekly!#REF!</definedName>
    <definedName name="pp" localSheetId="40" hidden="1">[1]weekly!#REF!</definedName>
    <definedName name="pp" localSheetId="92" hidden="1">[1]weekly!#REF!</definedName>
    <definedName name="pp" localSheetId="41" hidden="1">[1]weekly!#REF!</definedName>
    <definedName name="pp" localSheetId="42" hidden="1">[1]weekly!#REF!</definedName>
    <definedName name="pp" localSheetId="43" hidden="1">[1]weekly!#REF!</definedName>
    <definedName name="pp" localSheetId="33" hidden="1">[1]weekly!#REF!</definedName>
    <definedName name="pp" localSheetId="82" hidden="1">[1]weekly!#REF!</definedName>
    <definedName name="pp" localSheetId="44" hidden="1">[1]weekly!#REF!</definedName>
    <definedName name="pp" localSheetId="69" hidden="1">[1]weekly!#REF!</definedName>
    <definedName name="pp" localSheetId="45" hidden="1">[1]weekly!#REF!</definedName>
    <definedName name="pp" localSheetId="24" hidden="1">[1]weekly!#REF!</definedName>
    <definedName name="pp" localSheetId="25" hidden="1">[1]weekly!#REF!</definedName>
    <definedName name="pp" localSheetId="46" hidden="1">[1]weekly!#REF!</definedName>
    <definedName name="pp" localSheetId="14" hidden="1">[1]weekly!#REF!</definedName>
    <definedName name="pp" localSheetId="93" hidden="1">[1]weekly!#REF!</definedName>
    <definedName name="pp" localSheetId="2" hidden="1">[1]weekly!#REF!</definedName>
    <definedName name="pp" localSheetId="47" hidden="1">[1]weekly!#REF!</definedName>
    <definedName name="pp" localSheetId="48" hidden="1">[1]weekly!#REF!</definedName>
    <definedName name="pp" localSheetId="49" hidden="1">[1]weekly!#REF!</definedName>
    <definedName name="pp" localSheetId="50" hidden="1">[1]weekly!#REF!</definedName>
    <definedName name="pp" localSheetId="54" hidden="1">[1]weekly!#REF!</definedName>
    <definedName name="pp" localSheetId="51" hidden="1">[1]weekly!#REF!</definedName>
    <definedName name="pp" localSheetId="52" hidden="1">[1]weekly!#REF!</definedName>
    <definedName name="pp" localSheetId="34" hidden="1">[1]weekly!#REF!</definedName>
    <definedName name="pp" localSheetId="59" hidden="1">[1]weekly!#REF!</definedName>
    <definedName name="pp" localSheetId="53" hidden="1">[1]weekly!#REF!</definedName>
    <definedName name="pp" localSheetId="91" hidden="1">[1]weekly!#REF!</definedName>
    <definedName name="pp" localSheetId="88" hidden="1">[1]weekly!#REF!</definedName>
    <definedName name="pp" localSheetId="90" hidden="1">[1]weekly!#REF!</definedName>
    <definedName name="pp" hidden="1">[1]weekly!#REF!</definedName>
    <definedName name="ppppp" localSheetId="60" hidden="1">[1]weekly!#REF!</definedName>
    <definedName name="ppppp" localSheetId="87" hidden="1">[1]weekly!#REF!</definedName>
    <definedName name="ppppp" localSheetId="36" hidden="1">[1]weekly!#REF!</definedName>
    <definedName name="ppppp" localSheetId="61" hidden="1">[1]weekly!#REF!</definedName>
    <definedName name="ppppp" localSheetId="37" hidden="1">[1]weekly!#REF!</definedName>
    <definedName name="ppppp" localSheetId="57" hidden="1">[1]weekly!#REF!</definedName>
    <definedName name="ppppp" localSheetId="56" hidden="1">[1]weekly!#REF!</definedName>
    <definedName name="ppppp" localSheetId="58" hidden="1">[1]weekly!#REF!</definedName>
    <definedName name="ppppp" localSheetId="83" hidden="1">[1]weekly!#REF!</definedName>
    <definedName name="ppppp" localSheetId="38" hidden="1">[1]weekly!#REF!</definedName>
    <definedName name="ppppp" localSheetId="39" hidden="1">[1]weekly!#REF!</definedName>
    <definedName name="ppppp" localSheetId="95" hidden="1">[1]weekly!#REF!</definedName>
    <definedName name="ppppp" localSheetId="40" hidden="1">[1]weekly!#REF!</definedName>
    <definedName name="ppppp" localSheetId="92" hidden="1">[1]weekly!#REF!</definedName>
    <definedName name="ppppp" localSheetId="41" hidden="1">[1]weekly!#REF!</definedName>
    <definedName name="ppppp" localSheetId="42" hidden="1">[1]weekly!#REF!</definedName>
    <definedName name="ppppp" localSheetId="43" hidden="1">[1]weekly!#REF!</definedName>
    <definedName name="ppppp" localSheetId="33" hidden="1">[1]weekly!#REF!</definedName>
    <definedName name="ppppp" localSheetId="82" hidden="1">[1]weekly!#REF!</definedName>
    <definedName name="ppppp" localSheetId="44" hidden="1">[1]weekly!#REF!</definedName>
    <definedName name="ppppp" localSheetId="69" hidden="1">[1]weekly!#REF!</definedName>
    <definedName name="ppppp" localSheetId="45" hidden="1">[1]weekly!#REF!</definedName>
    <definedName name="ppppp" localSheetId="24" hidden="1">[1]weekly!#REF!</definedName>
    <definedName name="ppppp" localSheetId="25" hidden="1">[1]weekly!#REF!</definedName>
    <definedName name="ppppp" localSheetId="46" hidden="1">[1]weekly!#REF!</definedName>
    <definedName name="ppppp" localSheetId="14" hidden="1">[1]weekly!#REF!</definedName>
    <definedName name="ppppp" localSheetId="93" hidden="1">[1]weekly!#REF!</definedName>
    <definedName name="ppppp" localSheetId="47" hidden="1">[1]weekly!#REF!</definedName>
    <definedName name="ppppp" localSheetId="48" hidden="1">[1]weekly!#REF!</definedName>
    <definedName name="ppppp" localSheetId="49" hidden="1">[1]weekly!#REF!</definedName>
    <definedName name="ppppp" localSheetId="50" hidden="1">[1]weekly!#REF!</definedName>
    <definedName name="ppppp" localSheetId="54" hidden="1">[1]weekly!#REF!</definedName>
    <definedName name="ppppp" localSheetId="51" hidden="1">[1]weekly!#REF!</definedName>
    <definedName name="ppppp" localSheetId="52" hidden="1">[1]weekly!#REF!</definedName>
    <definedName name="ppppp" localSheetId="34" hidden="1">[1]weekly!#REF!</definedName>
    <definedName name="ppppp" localSheetId="59" hidden="1">[1]weekly!#REF!</definedName>
    <definedName name="ppppp" localSheetId="53" hidden="1">[1]weekly!#REF!</definedName>
    <definedName name="ppppp" localSheetId="91" hidden="1">[1]weekly!#REF!</definedName>
    <definedName name="ppppp" localSheetId="88" hidden="1">[1]weekly!#REF!</definedName>
    <definedName name="ppppp" localSheetId="90" hidden="1">[1]weekly!#REF!</definedName>
    <definedName name="ppppp" hidden="1">[1]weekly!#REF!</definedName>
    <definedName name="q" localSheetId="60" hidden="1">[1]weekly!#REF!</definedName>
    <definedName name="q" localSheetId="87" hidden="1">[1]weekly!#REF!</definedName>
    <definedName name="q" localSheetId="36" hidden="1">[1]weekly!#REF!</definedName>
    <definedName name="q" localSheetId="61" hidden="1">[1]weekly!#REF!</definedName>
    <definedName name="q" localSheetId="37" hidden="1">[1]weekly!#REF!</definedName>
    <definedName name="q" localSheetId="57" hidden="1">[1]weekly!#REF!</definedName>
    <definedName name="q" localSheetId="56" hidden="1">[1]weekly!#REF!</definedName>
    <definedName name="q" localSheetId="58" hidden="1">[1]weekly!#REF!</definedName>
    <definedName name="q" localSheetId="83" hidden="1">[1]weekly!#REF!</definedName>
    <definedName name="q" localSheetId="38" hidden="1">[1]weekly!#REF!</definedName>
    <definedName name="q" localSheetId="39" hidden="1">[1]weekly!#REF!</definedName>
    <definedName name="q" localSheetId="95" hidden="1">[1]weekly!#REF!</definedName>
    <definedName name="q" localSheetId="40" hidden="1">[1]weekly!#REF!</definedName>
    <definedName name="q" localSheetId="92" hidden="1">[1]weekly!#REF!</definedName>
    <definedName name="q" localSheetId="41" hidden="1">[1]weekly!#REF!</definedName>
    <definedName name="q" localSheetId="42" hidden="1">[1]weekly!#REF!</definedName>
    <definedName name="q" localSheetId="43" hidden="1">[1]weekly!#REF!</definedName>
    <definedName name="q" localSheetId="33" hidden="1">[1]weekly!#REF!</definedName>
    <definedName name="q" localSheetId="82" hidden="1">[1]weekly!#REF!</definedName>
    <definedName name="q" localSheetId="44" hidden="1">[1]weekly!#REF!</definedName>
    <definedName name="q" localSheetId="69" hidden="1">[1]weekly!#REF!</definedName>
    <definedName name="q" localSheetId="45" hidden="1">[1]weekly!#REF!</definedName>
    <definedName name="q" localSheetId="24" hidden="1">[1]weekly!#REF!</definedName>
    <definedName name="q" localSheetId="25" hidden="1">[1]weekly!#REF!</definedName>
    <definedName name="q" localSheetId="46" hidden="1">[1]weekly!#REF!</definedName>
    <definedName name="q" localSheetId="14" hidden="1">[1]weekly!#REF!</definedName>
    <definedName name="q" localSheetId="93" hidden="1">[1]weekly!#REF!</definedName>
    <definedName name="q" localSheetId="2" hidden="1">[1]weekly!#REF!</definedName>
    <definedName name="q" localSheetId="47" hidden="1">[1]weekly!#REF!</definedName>
    <definedName name="q" localSheetId="48" hidden="1">[1]weekly!#REF!</definedName>
    <definedName name="q" localSheetId="49" hidden="1">[1]weekly!#REF!</definedName>
    <definedName name="q" localSheetId="50" hidden="1">[1]weekly!#REF!</definedName>
    <definedName name="q" localSheetId="54" hidden="1">[1]weekly!#REF!</definedName>
    <definedName name="q" localSheetId="51" hidden="1">[1]weekly!#REF!</definedName>
    <definedName name="q" localSheetId="52" hidden="1">[1]weekly!#REF!</definedName>
    <definedName name="q" localSheetId="34" hidden="1">[1]weekly!#REF!</definedName>
    <definedName name="q" localSheetId="59" hidden="1">[1]weekly!#REF!</definedName>
    <definedName name="q" localSheetId="53" hidden="1">[1]weekly!#REF!</definedName>
    <definedName name="q" localSheetId="91" hidden="1">[1]weekly!#REF!</definedName>
    <definedName name="q" localSheetId="88" hidden="1">[1]weekly!#REF!</definedName>
    <definedName name="q" localSheetId="90" hidden="1">[1]weekly!#REF!</definedName>
    <definedName name="q" hidden="1">[1]weekly!#REF!</definedName>
    <definedName name="qq" localSheetId="60" hidden="1">[1]weekly!#REF!</definedName>
    <definedName name="qq" localSheetId="87" hidden="1">[1]weekly!#REF!</definedName>
    <definedName name="qq" localSheetId="36" hidden="1">[1]weekly!#REF!</definedName>
    <definedName name="qq" localSheetId="61" hidden="1">[1]weekly!#REF!</definedName>
    <definedName name="qq" localSheetId="37" hidden="1">[1]weekly!#REF!</definedName>
    <definedName name="qq" localSheetId="17" hidden="1">[1]weekly!#REF!</definedName>
    <definedName name="qq" localSheetId="57" hidden="1">[1]weekly!#REF!</definedName>
    <definedName name="qq" localSheetId="56" hidden="1">[1]weekly!#REF!</definedName>
    <definedName name="qq" localSheetId="58" hidden="1">[1]weekly!#REF!</definedName>
    <definedName name="qq" localSheetId="19" hidden="1">[1]weekly!#REF!</definedName>
    <definedName name="qq" localSheetId="83" hidden="1">[1]weekly!#REF!</definedName>
    <definedName name="qq" localSheetId="38" hidden="1">[1]weekly!#REF!</definedName>
    <definedName name="qq" localSheetId="39" hidden="1">[1]weekly!#REF!</definedName>
    <definedName name="qq" localSheetId="95" hidden="1">[1]weekly!#REF!</definedName>
    <definedName name="qq" localSheetId="40" hidden="1">[1]weekly!#REF!</definedName>
    <definedName name="qq" localSheetId="92" hidden="1">[1]weekly!#REF!</definedName>
    <definedName name="qq" localSheetId="41" hidden="1">[1]weekly!#REF!</definedName>
    <definedName name="qq" localSheetId="42" hidden="1">[1]weekly!#REF!</definedName>
    <definedName name="qq" localSheetId="43" hidden="1">[1]weekly!#REF!</definedName>
    <definedName name="qq" localSheetId="33" hidden="1">[1]weekly!#REF!</definedName>
    <definedName name="qq" localSheetId="82" hidden="1">[1]weekly!#REF!</definedName>
    <definedName name="qq" localSheetId="44" hidden="1">[1]weekly!#REF!</definedName>
    <definedName name="qq" localSheetId="69" hidden="1">[1]weekly!#REF!</definedName>
    <definedName name="qq" localSheetId="45" hidden="1">[1]weekly!#REF!</definedName>
    <definedName name="qq" localSheetId="24" hidden="1">[1]weekly!#REF!</definedName>
    <definedName name="qq" localSheetId="25" hidden="1">[1]weekly!#REF!</definedName>
    <definedName name="qq" localSheetId="46" hidden="1">[1]weekly!#REF!</definedName>
    <definedName name="qq" localSheetId="14" hidden="1">[1]weekly!#REF!</definedName>
    <definedName name="qq" localSheetId="93" hidden="1">[1]weekly!#REF!</definedName>
    <definedName name="qq" localSheetId="47" hidden="1">[1]weekly!#REF!</definedName>
    <definedName name="qq" localSheetId="48" hidden="1">[1]weekly!#REF!</definedName>
    <definedName name="qq" localSheetId="49" hidden="1">[1]weekly!#REF!</definedName>
    <definedName name="qq" localSheetId="50" hidden="1">[1]weekly!#REF!</definedName>
    <definedName name="qq" localSheetId="54" hidden="1">[1]weekly!#REF!</definedName>
    <definedName name="qq" localSheetId="51" hidden="1">[1]weekly!#REF!</definedName>
    <definedName name="qq" localSheetId="52" hidden="1">[1]weekly!#REF!</definedName>
    <definedName name="qq" localSheetId="34" hidden="1">[1]weekly!#REF!</definedName>
    <definedName name="qq" localSheetId="59" hidden="1">[1]weekly!#REF!</definedName>
    <definedName name="qq" localSheetId="21" hidden="1">[1]weekly!#REF!</definedName>
    <definedName name="qq" localSheetId="22" hidden="1">[1]weekly!#REF!</definedName>
    <definedName name="qq" localSheetId="53" hidden="1">[1]weekly!#REF!</definedName>
    <definedName name="qq" localSheetId="91" hidden="1">[1]weekly!#REF!</definedName>
    <definedName name="qq" localSheetId="88" hidden="1">[1]weekly!#REF!</definedName>
    <definedName name="qq" localSheetId="90" hidden="1">[1]weekly!#REF!</definedName>
    <definedName name="qq" hidden="1">[1]weekly!#REF!</definedName>
    <definedName name="qqq" localSheetId="60" hidden="1">[1]weekly!#REF!</definedName>
    <definedName name="qqq" localSheetId="87" hidden="1">[1]weekly!#REF!</definedName>
    <definedName name="qqq" localSheetId="36" hidden="1">[1]weekly!#REF!</definedName>
    <definedName name="qqq" localSheetId="61" hidden="1">[1]weekly!#REF!</definedName>
    <definedName name="qqq" localSheetId="37" hidden="1">[1]weekly!#REF!</definedName>
    <definedName name="qqq" localSheetId="57" hidden="1">[1]weekly!#REF!</definedName>
    <definedName name="qqq" localSheetId="56" hidden="1">[1]weekly!#REF!</definedName>
    <definedName name="qqq" localSheetId="58" hidden="1">[1]weekly!#REF!</definedName>
    <definedName name="qqq" localSheetId="83" hidden="1">[1]weekly!#REF!</definedName>
    <definedName name="qqq" localSheetId="38" hidden="1">[1]weekly!#REF!</definedName>
    <definedName name="qqq" localSheetId="39" hidden="1">[1]weekly!#REF!</definedName>
    <definedName name="qqq" localSheetId="95" hidden="1">[1]weekly!#REF!</definedName>
    <definedName name="qqq" localSheetId="40" hidden="1">[1]weekly!#REF!</definedName>
    <definedName name="qqq" localSheetId="92" hidden="1">[1]weekly!#REF!</definedName>
    <definedName name="qqq" localSheetId="41" hidden="1">[1]weekly!#REF!</definedName>
    <definedName name="qqq" localSheetId="42" hidden="1">[1]weekly!#REF!</definedName>
    <definedName name="qqq" localSheetId="43" hidden="1">[1]weekly!#REF!</definedName>
    <definedName name="qqq" localSheetId="33" hidden="1">[1]weekly!#REF!</definedName>
    <definedName name="qqq" localSheetId="82" hidden="1">[1]weekly!#REF!</definedName>
    <definedName name="qqq" localSheetId="44" hidden="1">[1]weekly!#REF!</definedName>
    <definedName name="qqq" localSheetId="69" hidden="1">[1]weekly!#REF!</definedName>
    <definedName name="qqq" localSheetId="45" hidden="1">[1]weekly!#REF!</definedName>
    <definedName name="qqq" localSheetId="24" hidden="1">[1]weekly!#REF!</definedName>
    <definedName name="qqq" localSheetId="25" hidden="1">[1]weekly!#REF!</definedName>
    <definedName name="qqq" localSheetId="46" hidden="1">[1]weekly!#REF!</definedName>
    <definedName name="qqq" localSheetId="14" hidden="1">[1]weekly!#REF!</definedName>
    <definedName name="qqq" localSheetId="93" hidden="1">[1]weekly!#REF!</definedName>
    <definedName name="qqq" localSheetId="47" hidden="1">[1]weekly!#REF!</definedName>
    <definedName name="qqq" localSheetId="48" hidden="1">[1]weekly!#REF!</definedName>
    <definedName name="qqq" localSheetId="49" hidden="1">[1]weekly!#REF!</definedName>
    <definedName name="qqq" localSheetId="50" hidden="1">[1]weekly!#REF!</definedName>
    <definedName name="qqq" localSheetId="54" hidden="1">[1]weekly!#REF!</definedName>
    <definedName name="qqq" localSheetId="51" hidden="1">[1]weekly!#REF!</definedName>
    <definedName name="qqq" localSheetId="52" hidden="1">[1]weekly!#REF!</definedName>
    <definedName name="qqq" localSheetId="34" hidden="1">[1]weekly!#REF!</definedName>
    <definedName name="qqq" localSheetId="59" hidden="1">[1]weekly!#REF!</definedName>
    <definedName name="qqq" localSheetId="53" hidden="1">[1]weekly!#REF!</definedName>
    <definedName name="qqq" localSheetId="91" hidden="1">[1]weekly!#REF!</definedName>
    <definedName name="qqq" localSheetId="88" hidden="1">[1]weekly!#REF!</definedName>
    <definedName name="qqq" localSheetId="90" hidden="1">[1]weekly!#REF!</definedName>
    <definedName name="qqq" hidden="1">[1]weekly!#REF!</definedName>
    <definedName name="qqqqq" localSheetId="60" hidden="1">[1]weekly!#REF!</definedName>
    <definedName name="qqqqq" localSheetId="87" hidden="1">[1]weekly!#REF!</definedName>
    <definedName name="qqqqq" localSheetId="36" hidden="1">[1]weekly!#REF!</definedName>
    <definedName name="qqqqq" localSheetId="61" hidden="1">[1]weekly!#REF!</definedName>
    <definedName name="qqqqq" localSheetId="37" hidden="1">[1]weekly!#REF!</definedName>
    <definedName name="qqqqq" localSheetId="57" hidden="1">[1]weekly!#REF!</definedName>
    <definedName name="qqqqq" localSheetId="56" hidden="1">[1]weekly!#REF!</definedName>
    <definedName name="qqqqq" localSheetId="58" hidden="1">[1]weekly!#REF!</definedName>
    <definedName name="qqqqq" localSheetId="83" hidden="1">[1]weekly!#REF!</definedName>
    <definedName name="qqqqq" localSheetId="38" hidden="1">[1]weekly!#REF!</definedName>
    <definedName name="qqqqq" localSheetId="39" hidden="1">[1]weekly!#REF!</definedName>
    <definedName name="qqqqq" localSheetId="95" hidden="1">[1]weekly!#REF!</definedName>
    <definedName name="qqqqq" localSheetId="40" hidden="1">[1]weekly!#REF!</definedName>
    <definedName name="qqqqq" localSheetId="92" hidden="1">[1]weekly!#REF!</definedName>
    <definedName name="qqqqq" localSheetId="41" hidden="1">[1]weekly!#REF!</definedName>
    <definedName name="qqqqq" localSheetId="42" hidden="1">[1]weekly!#REF!</definedName>
    <definedName name="qqqqq" localSheetId="43" hidden="1">[1]weekly!#REF!</definedName>
    <definedName name="qqqqq" localSheetId="33" hidden="1">[1]weekly!#REF!</definedName>
    <definedName name="qqqqq" localSheetId="82" hidden="1">[1]weekly!#REF!</definedName>
    <definedName name="qqqqq" localSheetId="44" hidden="1">[1]weekly!#REF!</definedName>
    <definedName name="qqqqq" localSheetId="69" hidden="1">[1]weekly!#REF!</definedName>
    <definedName name="qqqqq" localSheetId="45" hidden="1">[1]weekly!#REF!</definedName>
    <definedName name="qqqqq" localSheetId="24" hidden="1">[1]weekly!#REF!</definedName>
    <definedName name="qqqqq" localSheetId="25" hidden="1">[1]weekly!#REF!</definedName>
    <definedName name="qqqqq" localSheetId="46" hidden="1">[1]weekly!#REF!</definedName>
    <definedName name="qqqqq" localSheetId="14" hidden="1">[1]weekly!#REF!</definedName>
    <definedName name="qqqqq" localSheetId="93" hidden="1">[1]weekly!#REF!</definedName>
    <definedName name="qqqqq" localSheetId="47" hidden="1">[1]weekly!#REF!</definedName>
    <definedName name="qqqqq" localSheetId="48" hidden="1">[1]weekly!#REF!</definedName>
    <definedName name="qqqqq" localSheetId="49" hidden="1">[1]weekly!#REF!</definedName>
    <definedName name="qqqqq" localSheetId="50" hidden="1">[1]weekly!#REF!</definedName>
    <definedName name="qqqqq" localSheetId="54" hidden="1">[1]weekly!#REF!</definedName>
    <definedName name="qqqqq" localSheetId="51" hidden="1">[1]weekly!#REF!</definedName>
    <definedName name="qqqqq" localSheetId="52" hidden="1">[1]weekly!#REF!</definedName>
    <definedName name="qqqqq" localSheetId="34" hidden="1">[1]weekly!#REF!</definedName>
    <definedName name="qqqqq" localSheetId="59" hidden="1">[1]weekly!#REF!</definedName>
    <definedName name="qqqqq" localSheetId="53" hidden="1">[1]weekly!#REF!</definedName>
    <definedName name="qqqqq" localSheetId="91" hidden="1">[1]weekly!#REF!</definedName>
    <definedName name="qqqqq" localSheetId="88" hidden="1">[1]weekly!#REF!</definedName>
    <definedName name="qqqqq" localSheetId="90" hidden="1">[1]weekly!#REF!</definedName>
    <definedName name="qqqqq" hidden="1">[1]weekly!#REF!</definedName>
    <definedName name="qqqqqqqqqq" localSheetId="60" hidden="1">[1]weekly!#REF!</definedName>
    <definedName name="qqqqqqqqqq" localSheetId="87" hidden="1">[1]weekly!#REF!</definedName>
    <definedName name="qqqqqqqqqq" localSheetId="36" hidden="1">[1]weekly!#REF!</definedName>
    <definedName name="qqqqqqqqqq" localSheetId="61" hidden="1">[1]weekly!#REF!</definedName>
    <definedName name="qqqqqqqqqq" localSheetId="37" hidden="1">[1]weekly!#REF!</definedName>
    <definedName name="qqqqqqqqqq" localSheetId="17" hidden="1">[1]weekly!#REF!</definedName>
    <definedName name="qqqqqqqqqq" localSheetId="55" hidden="1">[1]weekly!#REF!</definedName>
    <definedName name="qqqqqqqqqq" localSheetId="57" hidden="1">[1]weekly!#REF!</definedName>
    <definedName name="qqqqqqqqqq" localSheetId="15" hidden="1">[1]weekly!#REF!</definedName>
    <definedName name="qqqqqqqqqq" localSheetId="56" hidden="1">[1]weekly!#REF!</definedName>
    <definedName name="qqqqqqqqqq" localSheetId="58" hidden="1">[1]weekly!#REF!</definedName>
    <definedName name="qqqqqqqqqq" localSheetId="19" hidden="1">[1]weekly!#REF!</definedName>
    <definedName name="qqqqqqqqqq" localSheetId="83" hidden="1">[1]weekly!#REF!</definedName>
    <definedName name="qqqqqqqqqq" localSheetId="38" hidden="1">[1]weekly!#REF!</definedName>
    <definedName name="qqqqqqqqqq" localSheetId="39" hidden="1">[1]weekly!#REF!</definedName>
    <definedName name="qqqqqqqqqq" localSheetId="95" hidden="1">[1]weekly!#REF!</definedName>
    <definedName name="qqqqqqqqqq" localSheetId="40" hidden="1">[1]weekly!#REF!</definedName>
    <definedName name="qqqqqqqqqq" localSheetId="92" hidden="1">[1]weekly!#REF!</definedName>
    <definedName name="qqqqqqqqqq" localSheetId="41" hidden="1">[1]weekly!#REF!</definedName>
    <definedName name="qqqqqqqqqq" localSheetId="42" hidden="1">[1]weekly!#REF!</definedName>
    <definedName name="qqqqqqqqqq" localSheetId="43" hidden="1">[1]weekly!#REF!</definedName>
    <definedName name="qqqqqqqqqq" localSheetId="33" hidden="1">[1]weekly!#REF!</definedName>
    <definedName name="qqqqqqqqqq" localSheetId="82" hidden="1">[1]weekly!#REF!</definedName>
    <definedName name="qqqqqqqqqq" localSheetId="44" hidden="1">[1]weekly!#REF!</definedName>
    <definedName name="qqqqqqqqqq" localSheetId="69" hidden="1">[1]weekly!#REF!</definedName>
    <definedName name="qqqqqqqqqq" localSheetId="45" hidden="1">[1]weekly!#REF!</definedName>
    <definedName name="qqqqqqqqqq" localSheetId="24" hidden="1">[1]weekly!#REF!</definedName>
    <definedName name="qqqqqqqqqq" localSheetId="25" hidden="1">[1]weekly!#REF!</definedName>
    <definedName name="qqqqqqqqqq" localSheetId="46" hidden="1">[1]weekly!#REF!</definedName>
    <definedName name="qqqqqqqqqq" localSheetId="14" hidden="1">[1]weekly!#REF!</definedName>
    <definedName name="qqqqqqqqqq" localSheetId="93" hidden="1">[1]weekly!#REF!</definedName>
    <definedName name="qqqqqqqqqq" localSheetId="47" hidden="1">[1]weekly!#REF!</definedName>
    <definedName name="qqqqqqqqqq" localSheetId="48" hidden="1">[1]weekly!#REF!</definedName>
    <definedName name="qqqqqqqqqq" localSheetId="49" hidden="1">[1]weekly!#REF!</definedName>
    <definedName name="qqqqqqqqqq" localSheetId="50" hidden="1">[1]weekly!#REF!</definedName>
    <definedName name="qqqqqqqqqq" localSheetId="54" hidden="1">[1]weekly!#REF!</definedName>
    <definedName name="qqqqqqqqqq" localSheetId="51" hidden="1">[1]weekly!#REF!</definedName>
    <definedName name="qqqqqqqqqq" localSheetId="52" hidden="1">[1]weekly!#REF!</definedName>
    <definedName name="qqqqqqqqqq" localSheetId="34" hidden="1">[1]weekly!#REF!</definedName>
    <definedName name="qqqqqqqqqq" localSheetId="59" hidden="1">[1]weekly!#REF!</definedName>
    <definedName name="qqqqqqqqqq" localSheetId="21" hidden="1">[1]weekly!#REF!</definedName>
    <definedName name="qqqqqqqqqq" localSheetId="22" hidden="1">[1]weekly!#REF!</definedName>
    <definedName name="qqqqqqqqqq" localSheetId="53" hidden="1">[1]weekly!#REF!</definedName>
    <definedName name="qqqqqqqqqq" localSheetId="91" hidden="1">[1]weekly!#REF!</definedName>
    <definedName name="qqqqqqqqqq" localSheetId="88" hidden="1">[1]weekly!#REF!</definedName>
    <definedName name="qqqqqqqqqq" localSheetId="90" hidden="1">[1]weekly!#REF!</definedName>
    <definedName name="qqqqqqqqqq" hidden="1">[1]weekly!#REF!</definedName>
    <definedName name="qqqqqqqqqqqqqqqq" localSheetId="60" hidden="1">[1]weekly!#REF!</definedName>
    <definedName name="qqqqqqqqqqqqqqqq" localSheetId="87" hidden="1">[1]weekly!#REF!</definedName>
    <definedName name="qqqqqqqqqqqqqqqq" localSheetId="36" hidden="1">[1]weekly!#REF!</definedName>
    <definedName name="qqqqqqqqqqqqqqqq" localSheetId="61" hidden="1">[1]weekly!#REF!</definedName>
    <definedName name="qqqqqqqqqqqqqqqq" localSheetId="37" hidden="1">[1]weekly!#REF!</definedName>
    <definedName name="qqqqqqqqqqqqqqqq" localSheetId="17" hidden="1">[1]weekly!#REF!</definedName>
    <definedName name="qqqqqqqqqqqqqqqq" localSheetId="57" hidden="1">[1]weekly!#REF!</definedName>
    <definedName name="qqqqqqqqqqqqqqqq" localSheetId="56" hidden="1">[1]weekly!#REF!</definedName>
    <definedName name="qqqqqqqqqqqqqqqq" localSheetId="58" hidden="1">[1]weekly!#REF!</definedName>
    <definedName name="qqqqqqqqqqqqqqqq" localSheetId="19" hidden="1">[1]weekly!#REF!</definedName>
    <definedName name="qqqqqqqqqqqqqqqq" localSheetId="83" hidden="1">[1]weekly!#REF!</definedName>
    <definedName name="qqqqqqqqqqqqqqqq" localSheetId="38" hidden="1">[1]weekly!#REF!</definedName>
    <definedName name="qqqqqqqqqqqqqqqq" localSheetId="39" hidden="1">[1]weekly!#REF!</definedName>
    <definedName name="qqqqqqqqqqqqqqqq" localSheetId="95" hidden="1">[1]weekly!#REF!</definedName>
    <definedName name="qqqqqqqqqqqqqqqq" localSheetId="40" hidden="1">[1]weekly!#REF!</definedName>
    <definedName name="qqqqqqqqqqqqqqqq" localSheetId="92" hidden="1">[1]weekly!#REF!</definedName>
    <definedName name="qqqqqqqqqqqqqqqq" localSheetId="41" hidden="1">[1]weekly!#REF!</definedName>
    <definedName name="qqqqqqqqqqqqqqqq" localSheetId="42" hidden="1">[1]weekly!#REF!</definedName>
    <definedName name="qqqqqqqqqqqqqqqq" localSheetId="43" hidden="1">[1]weekly!#REF!</definedName>
    <definedName name="qqqqqqqqqqqqqqqq" localSheetId="33" hidden="1">[1]weekly!#REF!</definedName>
    <definedName name="qqqqqqqqqqqqqqqq" localSheetId="82" hidden="1">[1]weekly!#REF!</definedName>
    <definedName name="qqqqqqqqqqqqqqqq" localSheetId="44" hidden="1">[1]weekly!#REF!</definedName>
    <definedName name="qqqqqqqqqqqqqqqq" localSheetId="69" hidden="1">[1]weekly!#REF!</definedName>
    <definedName name="qqqqqqqqqqqqqqqq" localSheetId="45" hidden="1">[1]weekly!#REF!</definedName>
    <definedName name="qqqqqqqqqqqqqqqq" localSheetId="24" hidden="1">[1]weekly!#REF!</definedName>
    <definedName name="qqqqqqqqqqqqqqqq" localSheetId="25" hidden="1">[1]weekly!#REF!</definedName>
    <definedName name="qqqqqqqqqqqqqqqq" localSheetId="46" hidden="1">[1]weekly!#REF!</definedName>
    <definedName name="qqqqqqqqqqqqqqqq" localSheetId="14" hidden="1">[1]weekly!#REF!</definedName>
    <definedName name="qqqqqqqqqqqqqqqq" localSheetId="93" hidden="1">[1]weekly!#REF!</definedName>
    <definedName name="qqqqqqqqqqqqqqqq" localSheetId="47" hidden="1">[1]weekly!#REF!</definedName>
    <definedName name="qqqqqqqqqqqqqqqq" localSheetId="48" hidden="1">[1]weekly!#REF!</definedName>
    <definedName name="qqqqqqqqqqqqqqqq" localSheetId="49" hidden="1">[1]weekly!#REF!</definedName>
    <definedName name="qqqqqqqqqqqqqqqq" localSheetId="50" hidden="1">[1]weekly!#REF!</definedName>
    <definedName name="qqqqqqqqqqqqqqqq" localSheetId="54" hidden="1">[1]weekly!#REF!</definedName>
    <definedName name="qqqqqqqqqqqqqqqq" localSheetId="51" hidden="1">[1]weekly!#REF!</definedName>
    <definedName name="qqqqqqqqqqqqqqqq" localSheetId="52" hidden="1">[1]weekly!#REF!</definedName>
    <definedName name="qqqqqqqqqqqqqqqq" localSheetId="34" hidden="1">[1]weekly!#REF!</definedName>
    <definedName name="qqqqqqqqqqqqqqqq" localSheetId="59" hidden="1">[1]weekly!#REF!</definedName>
    <definedName name="qqqqqqqqqqqqqqqq" localSheetId="21" hidden="1">[1]weekly!#REF!</definedName>
    <definedName name="qqqqqqqqqqqqqqqq" localSheetId="22" hidden="1">[1]weekly!#REF!</definedName>
    <definedName name="qqqqqqqqqqqqqqqq" localSheetId="53" hidden="1">[1]weekly!#REF!</definedName>
    <definedName name="qqqqqqqqqqqqqqqq" localSheetId="91" hidden="1">[1]weekly!#REF!</definedName>
    <definedName name="qqqqqqqqqqqqqqqq" localSheetId="88" hidden="1">[1]weekly!#REF!</definedName>
    <definedName name="qqqqqqqqqqqqqqqq" localSheetId="90" hidden="1">[1]weekly!#REF!</definedName>
    <definedName name="qqqqqqqqqqqqqqqq" hidden="1">[1]weekly!#REF!</definedName>
    <definedName name="qqqqqqqqqqqqqqqqq" localSheetId="60" hidden="1">[1]weekly!#REF!</definedName>
    <definedName name="qqqqqqqqqqqqqqqqq" localSheetId="87" hidden="1">[1]weekly!#REF!</definedName>
    <definedName name="qqqqqqqqqqqqqqqqq" localSheetId="36" hidden="1">[1]weekly!#REF!</definedName>
    <definedName name="qqqqqqqqqqqqqqqqq" localSheetId="61" hidden="1">[1]weekly!#REF!</definedName>
    <definedName name="qqqqqqqqqqqqqqqqq" localSheetId="37" hidden="1">[1]weekly!#REF!</definedName>
    <definedName name="qqqqqqqqqqqqqqqqq" localSheetId="17" hidden="1">[1]weekly!#REF!</definedName>
    <definedName name="qqqqqqqqqqqqqqqqq" localSheetId="57" hidden="1">[1]weekly!#REF!</definedName>
    <definedName name="qqqqqqqqqqqqqqqqq" localSheetId="56" hidden="1">[1]weekly!#REF!</definedName>
    <definedName name="qqqqqqqqqqqqqqqqq" localSheetId="58" hidden="1">[1]weekly!#REF!</definedName>
    <definedName name="qqqqqqqqqqqqqqqqq" localSheetId="19" hidden="1">[1]weekly!#REF!</definedName>
    <definedName name="qqqqqqqqqqqqqqqqq" localSheetId="83" hidden="1">[1]weekly!#REF!</definedName>
    <definedName name="qqqqqqqqqqqqqqqqq" localSheetId="38" hidden="1">[1]weekly!#REF!</definedName>
    <definedName name="qqqqqqqqqqqqqqqqq" localSheetId="39" hidden="1">[1]weekly!#REF!</definedName>
    <definedName name="qqqqqqqqqqqqqqqqq" localSheetId="95" hidden="1">[1]weekly!#REF!</definedName>
    <definedName name="qqqqqqqqqqqqqqqqq" localSheetId="40" hidden="1">[1]weekly!#REF!</definedName>
    <definedName name="qqqqqqqqqqqqqqqqq" localSheetId="92" hidden="1">[1]weekly!#REF!</definedName>
    <definedName name="qqqqqqqqqqqqqqqqq" localSheetId="41" hidden="1">[1]weekly!#REF!</definedName>
    <definedName name="qqqqqqqqqqqqqqqqq" localSheetId="42" hidden="1">[1]weekly!#REF!</definedName>
    <definedName name="qqqqqqqqqqqqqqqqq" localSheetId="43" hidden="1">[1]weekly!#REF!</definedName>
    <definedName name="qqqqqqqqqqqqqqqqq" localSheetId="33" hidden="1">[1]weekly!#REF!</definedName>
    <definedName name="qqqqqqqqqqqqqqqqq" localSheetId="82" hidden="1">[1]weekly!#REF!</definedName>
    <definedName name="qqqqqqqqqqqqqqqqq" localSheetId="44" hidden="1">[1]weekly!#REF!</definedName>
    <definedName name="qqqqqqqqqqqqqqqqq" localSheetId="69" hidden="1">[1]weekly!#REF!</definedName>
    <definedName name="qqqqqqqqqqqqqqqqq" localSheetId="45" hidden="1">[1]weekly!#REF!</definedName>
    <definedName name="qqqqqqqqqqqqqqqqq" localSheetId="24" hidden="1">[1]weekly!#REF!</definedName>
    <definedName name="qqqqqqqqqqqqqqqqq" localSheetId="25" hidden="1">[1]weekly!#REF!</definedName>
    <definedName name="qqqqqqqqqqqqqqqqq" localSheetId="46" hidden="1">[1]weekly!#REF!</definedName>
    <definedName name="qqqqqqqqqqqqqqqqq" localSheetId="14" hidden="1">[1]weekly!#REF!</definedName>
    <definedName name="qqqqqqqqqqqqqqqqq" localSheetId="93" hidden="1">[1]weekly!#REF!</definedName>
    <definedName name="qqqqqqqqqqqqqqqqq" localSheetId="47" hidden="1">[1]weekly!#REF!</definedName>
    <definedName name="qqqqqqqqqqqqqqqqq" localSheetId="48" hidden="1">[1]weekly!#REF!</definedName>
    <definedName name="qqqqqqqqqqqqqqqqq" localSheetId="49" hidden="1">[1]weekly!#REF!</definedName>
    <definedName name="qqqqqqqqqqqqqqqqq" localSheetId="50" hidden="1">[1]weekly!#REF!</definedName>
    <definedName name="qqqqqqqqqqqqqqqqq" localSheetId="54" hidden="1">[1]weekly!#REF!</definedName>
    <definedName name="qqqqqqqqqqqqqqqqq" localSheetId="51" hidden="1">[1]weekly!#REF!</definedName>
    <definedName name="qqqqqqqqqqqqqqqqq" localSheetId="52" hidden="1">[1]weekly!#REF!</definedName>
    <definedName name="qqqqqqqqqqqqqqqqq" localSheetId="34" hidden="1">[1]weekly!#REF!</definedName>
    <definedName name="qqqqqqqqqqqqqqqqq" localSheetId="59" hidden="1">[1]weekly!#REF!</definedName>
    <definedName name="qqqqqqqqqqqqqqqqq" localSheetId="21" hidden="1">[1]weekly!#REF!</definedName>
    <definedName name="qqqqqqqqqqqqqqqqq" localSheetId="22" hidden="1">[1]weekly!#REF!</definedName>
    <definedName name="qqqqqqqqqqqqqqqqq" localSheetId="53" hidden="1">[1]weekly!#REF!</definedName>
    <definedName name="qqqqqqqqqqqqqqqqq" localSheetId="91" hidden="1">[1]weekly!#REF!</definedName>
    <definedName name="qqqqqqqqqqqqqqqqq" localSheetId="88" hidden="1">[1]weekly!#REF!</definedName>
    <definedName name="qqqqqqqqqqqqqqqqq" localSheetId="90" hidden="1">[1]weekly!#REF!</definedName>
    <definedName name="qqqqqqqqqqqqqqqqq" hidden="1">[1]weekly!#REF!</definedName>
    <definedName name="rrr" localSheetId="60" hidden="1">[1]weekly!#REF!</definedName>
    <definedName name="rrr" localSheetId="87" hidden="1">[1]weekly!#REF!</definedName>
    <definedName name="rrr" localSheetId="36" hidden="1">[1]weekly!#REF!</definedName>
    <definedName name="rrr" localSheetId="61" hidden="1">[1]weekly!#REF!</definedName>
    <definedName name="rrr" localSheetId="37" hidden="1">[1]weekly!#REF!</definedName>
    <definedName name="rrr" localSheetId="57" hidden="1">[1]weekly!#REF!</definedName>
    <definedName name="rrr" localSheetId="56" hidden="1">[1]weekly!#REF!</definedName>
    <definedName name="rrr" localSheetId="58" hidden="1">[1]weekly!#REF!</definedName>
    <definedName name="rrr" localSheetId="83" hidden="1">[1]weekly!#REF!</definedName>
    <definedName name="rrr" localSheetId="38" hidden="1">[1]weekly!#REF!</definedName>
    <definedName name="rrr" localSheetId="39" hidden="1">[1]weekly!#REF!</definedName>
    <definedName name="rrr" localSheetId="95" hidden="1">[1]weekly!#REF!</definedName>
    <definedName name="rrr" localSheetId="40" hidden="1">[1]weekly!#REF!</definedName>
    <definedName name="rrr" localSheetId="92" hidden="1">[1]weekly!#REF!</definedName>
    <definedName name="rrr" localSheetId="41" hidden="1">[1]weekly!#REF!</definedName>
    <definedName name="rrr" localSheetId="42" hidden="1">[1]weekly!#REF!</definedName>
    <definedName name="rrr" localSheetId="43" hidden="1">[1]weekly!#REF!</definedName>
    <definedName name="rrr" localSheetId="33" hidden="1">[1]weekly!#REF!</definedName>
    <definedName name="rrr" localSheetId="82" hidden="1">[1]weekly!#REF!</definedName>
    <definedName name="rrr" localSheetId="44" hidden="1">[1]weekly!#REF!</definedName>
    <definedName name="rrr" localSheetId="69" hidden="1">[1]weekly!#REF!</definedName>
    <definedName name="rrr" localSheetId="45" hidden="1">[1]weekly!#REF!</definedName>
    <definedName name="rrr" localSheetId="24" hidden="1">[1]weekly!#REF!</definedName>
    <definedName name="rrr" localSheetId="25" hidden="1">[1]weekly!#REF!</definedName>
    <definedName name="rrr" localSheetId="46" hidden="1">[1]weekly!#REF!</definedName>
    <definedName name="rrr" localSheetId="14" hidden="1">[1]weekly!#REF!</definedName>
    <definedName name="rrr" localSheetId="93" hidden="1">[1]weekly!#REF!</definedName>
    <definedName name="rrr" localSheetId="2" hidden="1">[1]weekly!#REF!</definedName>
    <definedName name="rrr" localSheetId="47" hidden="1">[1]weekly!#REF!</definedName>
    <definedName name="rrr" localSheetId="48" hidden="1">[1]weekly!#REF!</definedName>
    <definedName name="rrr" localSheetId="49" hidden="1">[1]weekly!#REF!</definedName>
    <definedName name="rrr" localSheetId="50" hidden="1">[1]weekly!#REF!</definedName>
    <definedName name="rrr" localSheetId="54" hidden="1">[1]weekly!#REF!</definedName>
    <definedName name="rrr" localSheetId="51" hidden="1">[1]weekly!#REF!</definedName>
    <definedName name="rrr" localSheetId="52" hidden="1">[1]weekly!#REF!</definedName>
    <definedName name="rrr" localSheetId="34" hidden="1">[1]weekly!#REF!</definedName>
    <definedName name="rrr" localSheetId="59" hidden="1">[1]weekly!#REF!</definedName>
    <definedName name="rrr" localSheetId="53" hidden="1">[1]weekly!#REF!</definedName>
    <definedName name="rrr" localSheetId="91" hidden="1">[1]weekly!#REF!</definedName>
    <definedName name="rrr" localSheetId="88" hidden="1">[1]weekly!#REF!</definedName>
    <definedName name="rrr" localSheetId="90" hidden="1">[1]weekly!#REF!</definedName>
    <definedName name="rrr" hidden="1">[1]weekly!#REF!</definedName>
    <definedName name="rrrrr" localSheetId="60" hidden="1">[1]weekly!#REF!</definedName>
    <definedName name="rrrrr" localSheetId="87" hidden="1">[1]weekly!#REF!</definedName>
    <definedName name="rrrrr" localSheetId="36" hidden="1">[1]weekly!#REF!</definedName>
    <definedName name="rrrrr" localSheetId="61" hidden="1">[1]weekly!#REF!</definedName>
    <definedName name="rrrrr" localSheetId="37" hidden="1">[1]weekly!#REF!</definedName>
    <definedName name="rrrrr" localSheetId="57" hidden="1">[1]weekly!#REF!</definedName>
    <definedName name="rrrrr" localSheetId="56" hidden="1">[1]weekly!#REF!</definedName>
    <definedName name="rrrrr" localSheetId="58" hidden="1">[1]weekly!#REF!</definedName>
    <definedName name="rrrrr" localSheetId="83" hidden="1">[1]weekly!#REF!</definedName>
    <definedName name="rrrrr" localSheetId="38" hidden="1">[1]weekly!#REF!</definedName>
    <definedName name="rrrrr" localSheetId="39" hidden="1">[1]weekly!#REF!</definedName>
    <definedName name="rrrrr" localSheetId="95" hidden="1">[1]weekly!#REF!</definedName>
    <definedName name="rrrrr" localSheetId="40" hidden="1">[1]weekly!#REF!</definedName>
    <definedName name="rrrrr" localSheetId="92" hidden="1">[1]weekly!#REF!</definedName>
    <definedName name="rrrrr" localSheetId="41" hidden="1">[1]weekly!#REF!</definedName>
    <definedName name="rrrrr" localSheetId="42" hidden="1">[1]weekly!#REF!</definedName>
    <definedName name="rrrrr" localSheetId="43" hidden="1">[1]weekly!#REF!</definedName>
    <definedName name="rrrrr" localSheetId="33" hidden="1">[1]weekly!#REF!</definedName>
    <definedName name="rrrrr" localSheetId="82" hidden="1">[1]weekly!#REF!</definedName>
    <definedName name="rrrrr" localSheetId="44" hidden="1">[1]weekly!#REF!</definedName>
    <definedName name="rrrrr" localSheetId="69" hidden="1">[1]weekly!#REF!</definedName>
    <definedName name="rrrrr" localSheetId="45" hidden="1">[1]weekly!#REF!</definedName>
    <definedName name="rrrrr" localSheetId="24" hidden="1">[1]weekly!#REF!</definedName>
    <definedName name="rrrrr" localSheetId="25" hidden="1">[1]weekly!#REF!</definedName>
    <definedName name="rrrrr" localSheetId="46" hidden="1">[1]weekly!#REF!</definedName>
    <definedName name="rrrrr" localSheetId="14" hidden="1">[1]weekly!#REF!</definedName>
    <definedName name="rrrrr" localSheetId="93" hidden="1">[1]weekly!#REF!</definedName>
    <definedName name="rrrrr" localSheetId="47" hidden="1">[1]weekly!#REF!</definedName>
    <definedName name="rrrrr" localSheetId="48" hidden="1">[1]weekly!#REF!</definedName>
    <definedName name="rrrrr" localSheetId="49" hidden="1">[1]weekly!#REF!</definedName>
    <definedName name="rrrrr" localSheetId="50" hidden="1">[1]weekly!#REF!</definedName>
    <definedName name="rrrrr" localSheetId="54" hidden="1">[1]weekly!#REF!</definedName>
    <definedName name="rrrrr" localSheetId="51" hidden="1">[1]weekly!#REF!</definedName>
    <definedName name="rrrrr" localSheetId="52" hidden="1">[1]weekly!#REF!</definedName>
    <definedName name="rrrrr" localSheetId="34" hidden="1">[1]weekly!#REF!</definedName>
    <definedName name="rrrrr" localSheetId="59" hidden="1">[1]weekly!#REF!</definedName>
    <definedName name="rrrrr" localSheetId="53" hidden="1">[1]weekly!#REF!</definedName>
    <definedName name="rrrrr" localSheetId="91" hidden="1">[1]weekly!#REF!</definedName>
    <definedName name="rrrrr" localSheetId="88" hidden="1">[1]weekly!#REF!</definedName>
    <definedName name="rrrrr" localSheetId="90" hidden="1">[1]weekly!#REF!</definedName>
    <definedName name="rrrrr" hidden="1">[1]weekly!#REF!</definedName>
    <definedName name="s" localSheetId="60" hidden="1">[1]weekly!#REF!</definedName>
    <definedName name="s" localSheetId="87" hidden="1">[1]weekly!#REF!</definedName>
    <definedName name="s" localSheetId="36" hidden="1">[1]weekly!#REF!</definedName>
    <definedName name="s" localSheetId="61" hidden="1">[1]weekly!#REF!</definedName>
    <definedName name="s" localSheetId="37" hidden="1">[1]weekly!#REF!</definedName>
    <definedName name="s" localSheetId="57" hidden="1">[1]weekly!#REF!</definedName>
    <definedName name="s" localSheetId="56" hidden="1">[1]weekly!#REF!</definedName>
    <definedName name="s" localSheetId="58" hidden="1">[1]weekly!#REF!</definedName>
    <definedName name="s" localSheetId="83" hidden="1">[1]weekly!#REF!</definedName>
    <definedName name="s" localSheetId="38" hidden="1">[1]weekly!#REF!</definedName>
    <definedName name="s" localSheetId="39" hidden="1">[1]weekly!#REF!</definedName>
    <definedName name="s" localSheetId="95" hidden="1">[1]weekly!#REF!</definedName>
    <definedName name="s" localSheetId="40" hidden="1">[1]weekly!#REF!</definedName>
    <definedName name="s" localSheetId="92" hidden="1">[1]weekly!#REF!</definedName>
    <definedName name="s" localSheetId="41" hidden="1">[1]weekly!#REF!</definedName>
    <definedName name="s" localSheetId="42" hidden="1">[1]weekly!#REF!</definedName>
    <definedName name="s" localSheetId="43" hidden="1">[1]weekly!#REF!</definedName>
    <definedName name="s" localSheetId="33" hidden="1">[1]weekly!#REF!</definedName>
    <definedName name="s" localSheetId="82" hidden="1">[1]weekly!#REF!</definedName>
    <definedName name="s" localSheetId="44" hidden="1">[1]weekly!#REF!</definedName>
    <definedName name="s" localSheetId="69" hidden="1">[1]weekly!#REF!</definedName>
    <definedName name="s" localSheetId="45" hidden="1">[1]weekly!#REF!</definedName>
    <definedName name="s" localSheetId="24" hidden="1">[1]weekly!#REF!</definedName>
    <definedName name="s" localSheetId="25" hidden="1">[1]weekly!#REF!</definedName>
    <definedName name="s" localSheetId="46" hidden="1">[1]weekly!#REF!</definedName>
    <definedName name="s" localSheetId="14" hidden="1">[1]weekly!#REF!</definedName>
    <definedName name="s" localSheetId="93" hidden="1">[1]weekly!#REF!</definedName>
    <definedName name="s" localSheetId="47" hidden="1">[1]weekly!#REF!</definedName>
    <definedName name="s" localSheetId="48" hidden="1">[1]weekly!#REF!</definedName>
    <definedName name="s" localSheetId="49" hidden="1">[1]weekly!#REF!</definedName>
    <definedName name="s" localSheetId="50" hidden="1">[1]weekly!#REF!</definedName>
    <definedName name="s" localSheetId="54" hidden="1">[1]weekly!#REF!</definedName>
    <definedName name="s" localSheetId="51" hidden="1">[1]weekly!#REF!</definedName>
    <definedName name="s" localSheetId="52" hidden="1">[1]weekly!#REF!</definedName>
    <definedName name="s" localSheetId="34" hidden="1">[1]weekly!#REF!</definedName>
    <definedName name="s" localSheetId="59" hidden="1">[1]weekly!#REF!</definedName>
    <definedName name="s" localSheetId="53" hidden="1">[1]weekly!#REF!</definedName>
    <definedName name="s" localSheetId="91" hidden="1">[1]weekly!#REF!</definedName>
    <definedName name="s" localSheetId="88" hidden="1">[1]weekly!#REF!</definedName>
    <definedName name="s" localSheetId="90" hidden="1">[1]weekly!#REF!</definedName>
    <definedName name="s" hidden="1">[1]weekly!#REF!</definedName>
    <definedName name="ss" localSheetId="60" hidden="1">[1]weekly!#REF!</definedName>
    <definedName name="ss" localSheetId="87" hidden="1">[1]weekly!#REF!</definedName>
    <definedName name="ss" localSheetId="36" hidden="1">[1]weekly!#REF!</definedName>
    <definedName name="ss" localSheetId="61" hidden="1">[1]weekly!#REF!</definedName>
    <definedName name="ss" localSheetId="37" hidden="1">[1]weekly!#REF!</definedName>
    <definedName name="ss" localSheetId="57" hidden="1">[1]weekly!#REF!</definedName>
    <definedName name="ss" localSheetId="56" hidden="1">[1]weekly!#REF!</definedName>
    <definedName name="ss" localSheetId="58" hidden="1">[1]weekly!#REF!</definedName>
    <definedName name="ss" localSheetId="83" hidden="1">[1]weekly!#REF!</definedName>
    <definedName name="ss" localSheetId="38" hidden="1">[1]weekly!#REF!</definedName>
    <definedName name="ss" localSheetId="39" hidden="1">[1]weekly!#REF!</definedName>
    <definedName name="ss" localSheetId="95" hidden="1">[1]weekly!#REF!</definedName>
    <definedName name="ss" localSheetId="40" hidden="1">[1]weekly!#REF!</definedName>
    <definedName name="ss" localSheetId="92" hidden="1">[1]weekly!#REF!</definedName>
    <definedName name="ss" localSheetId="41" hidden="1">[1]weekly!#REF!</definedName>
    <definedName name="ss" localSheetId="42" hidden="1">[1]weekly!#REF!</definedName>
    <definedName name="ss" localSheetId="43" hidden="1">[1]weekly!#REF!</definedName>
    <definedName name="ss" localSheetId="33" hidden="1">[1]weekly!#REF!</definedName>
    <definedName name="ss" localSheetId="82" hidden="1">[1]weekly!#REF!</definedName>
    <definedName name="ss" localSheetId="44" hidden="1">[1]weekly!#REF!</definedName>
    <definedName name="ss" localSheetId="69" hidden="1">[1]weekly!#REF!</definedName>
    <definedName name="ss" localSheetId="45" hidden="1">[1]weekly!#REF!</definedName>
    <definedName name="ss" localSheetId="24" hidden="1">[1]weekly!#REF!</definedName>
    <definedName name="ss" localSheetId="25" hidden="1">[1]weekly!#REF!</definedName>
    <definedName name="ss" localSheetId="46" hidden="1">[1]weekly!#REF!</definedName>
    <definedName name="ss" localSheetId="14" hidden="1">[1]weekly!#REF!</definedName>
    <definedName name="ss" localSheetId="93" hidden="1">[1]weekly!#REF!</definedName>
    <definedName name="ss" localSheetId="2" hidden="1">[1]weekly!#REF!</definedName>
    <definedName name="ss" localSheetId="47" hidden="1">[1]weekly!#REF!</definedName>
    <definedName name="ss" localSheetId="48" hidden="1">[1]weekly!#REF!</definedName>
    <definedName name="ss" localSheetId="49" hidden="1">[1]weekly!#REF!</definedName>
    <definedName name="ss" localSheetId="50" hidden="1">[1]weekly!#REF!</definedName>
    <definedName name="ss" localSheetId="54" hidden="1">[1]weekly!#REF!</definedName>
    <definedName name="ss" localSheetId="51" hidden="1">[1]weekly!#REF!</definedName>
    <definedName name="ss" localSheetId="52" hidden="1">[1]weekly!#REF!</definedName>
    <definedName name="ss" localSheetId="34" hidden="1">[1]weekly!#REF!</definedName>
    <definedName name="ss" localSheetId="59" hidden="1">[1]weekly!#REF!</definedName>
    <definedName name="ss" localSheetId="53" hidden="1">[1]weekly!#REF!</definedName>
    <definedName name="ss" localSheetId="91" hidden="1">[1]weekly!#REF!</definedName>
    <definedName name="ss" localSheetId="88" hidden="1">[1]weekly!#REF!</definedName>
    <definedName name="ss" localSheetId="90" hidden="1">[1]weekly!#REF!</definedName>
    <definedName name="ss" hidden="1">[1]weekly!#REF!</definedName>
    <definedName name="t" localSheetId="60" hidden="1">[1]weekly!#REF!</definedName>
    <definedName name="t" localSheetId="87" hidden="1">[1]weekly!#REF!</definedName>
    <definedName name="t" localSheetId="36" hidden="1">[1]weekly!#REF!</definedName>
    <definedName name="t" localSheetId="61" hidden="1">[1]weekly!#REF!</definedName>
    <definedName name="t" localSheetId="37" hidden="1">[1]weekly!#REF!</definedName>
    <definedName name="t" localSheetId="57" hidden="1">[1]weekly!#REF!</definedName>
    <definedName name="t" localSheetId="56" hidden="1">[1]weekly!#REF!</definedName>
    <definedName name="t" localSheetId="58" hidden="1">[1]weekly!#REF!</definedName>
    <definedName name="t" localSheetId="83" hidden="1">[1]weekly!#REF!</definedName>
    <definedName name="t" localSheetId="38" hidden="1">[1]weekly!#REF!</definedName>
    <definedName name="t" localSheetId="39" hidden="1">[1]weekly!#REF!</definedName>
    <definedName name="t" localSheetId="95" hidden="1">[1]weekly!#REF!</definedName>
    <definedName name="t" localSheetId="40" hidden="1">[1]weekly!#REF!</definedName>
    <definedName name="t" localSheetId="92" hidden="1">[1]weekly!#REF!</definedName>
    <definedName name="t" localSheetId="41" hidden="1">[1]weekly!#REF!</definedName>
    <definedName name="t" localSheetId="42" hidden="1">[1]weekly!#REF!</definedName>
    <definedName name="t" localSheetId="43" hidden="1">[1]weekly!#REF!</definedName>
    <definedName name="t" localSheetId="33" hidden="1">[1]weekly!#REF!</definedName>
    <definedName name="t" localSheetId="82" hidden="1">[1]weekly!#REF!</definedName>
    <definedName name="t" localSheetId="44" hidden="1">[1]weekly!#REF!</definedName>
    <definedName name="t" localSheetId="69" hidden="1">[1]weekly!#REF!</definedName>
    <definedName name="t" localSheetId="45" hidden="1">[1]weekly!#REF!</definedName>
    <definedName name="t" localSheetId="24" hidden="1">[1]weekly!#REF!</definedName>
    <definedName name="t" localSheetId="25" hidden="1">[1]weekly!#REF!</definedName>
    <definedName name="t" localSheetId="46" hidden="1">[1]weekly!#REF!</definedName>
    <definedName name="t" localSheetId="14" hidden="1">[1]weekly!#REF!</definedName>
    <definedName name="t" localSheetId="93" hidden="1">[1]weekly!#REF!</definedName>
    <definedName name="t" localSheetId="2" hidden="1">[1]weekly!#REF!</definedName>
    <definedName name="t" localSheetId="47" hidden="1">[1]weekly!#REF!</definedName>
    <definedName name="t" localSheetId="48" hidden="1">[1]weekly!#REF!</definedName>
    <definedName name="t" localSheetId="49" hidden="1">[1]weekly!#REF!</definedName>
    <definedName name="t" localSheetId="50" hidden="1">[1]weekly!#REF!</definedName>
    <definedName name="t" localSheetId="54" hidden="1">[1]weekly!#REF!</definedName>
    <definedName name="t" localSheetId="51" hidden="1">[1]weekly!#REF!</definedName>
    <definedName name="t" localSheetId="52" hidden="1">[1]weekly!#REF!</definedName>
    <definedName name="t" localSheetId="34" hidden="1">[1]weekly!#REF!</definedName>
    <definedName name="t" localSheetId="59" hidden="1">[1]weekly!#REF!</definedName>
    <definedName name="t" localSheetId="53" hidden="1">[1]weekly!#REF!</definedName>
    <definedName name="t" localSheetId="91" hidden="1">[1]weekly!#REF!</definedName>
    <definedName name="t" localSheetId="88" hidden="1">[1]weekly!#REF!</definedName>
    <definedName name="t" localSheetId="90" hidden="1">[1]weekly!#REF!</definedName>
    <definedName name="t" hidden="1">[1]weekly!#REF!</definedName>
    <definedName name="ttt" localSheetId="60" hidden="1">[1]weekly!#REF!</definedName>
    <definedName name="ttt" localSheetId="87" hidden="1">[1]weekly!#REF!</definedName>
    <definedName name="ttt" localSheetId="36" hidden="1">[1]weekly!#REF!</definedName>
    <definedName name="ttt" localSheetId="61" hidden="1">[1]weekly!#REF!</definedName>
    <definedName name="ttt" localSheetId="37" hidden="1">[1]weekly!#REF!</definedName>
    <definedName name="ttt" localSheetId="57" hidden="1">[1]weekly!#REF!</definedName>
    <definedName name="ttt" localSheetId="56" hidden="1">[1]weekly!#REF!</definedName>
    <definedName name="ttt" localSheetId="58" hidden="1">[1]weekly!#REF!</definedName>
    <definedName name="ttt" localSheetId="83" hidden="1">[1]weekly!#REF!</definedName>
    <definedName name="ttt" localSheetId="38" hidden="1">[1]weekly!#REF!</definedName>
    <definedName name="ttt" localSheetId="39" hidden="1">[1]weekly!#REF!</definedName>
    <definedName name="ttt" localSheetId="95" hidden="1">[1]weekly!#REF!</definedName>
    <definedName name="ttt" localSheetId="40" hidden="1">[1]weekly!#REF!</definedName>
    <definedName name="ttt" localSheetId="92" hidden="1">[1]weekly!#REF!</definedName>
    <definedName name="ttt" localSheetId="41" hidden="1">[1]weekly!#REF!</definedName>
    <definedName name="ttt" localSheetId="42" hidden="1">[1]weekly!#REF!</definedName>
    <definedName name="ttt" localSheetId="43" hidden="1">[1]weekly!#REF!</definedName>
    <definedName name="ttt" localSheetId="33" hidden="1">[1]weekly!#REF!</definedName>
    <definedName name="ttt" localSheetId="82" hidden="1">[1]weekly!#REF!</definedName>
    <definedName name="ttt" localSheetId="44" hidden="1">[1]weekly!#REF!</definedName>
    <definedName name="ttt" localSheetId="69" hidden="1">[1]weekly!#REF!</definedName>
    <definedName name="ttt" localSheetId="45" hidden="1">[1]weekly!#REF!</definedName>
    <definedName name="ttt" localSheetId="24" hidden="1">[1]weekly!#REF!</definedName>
    <definedName name="ttt" localSheetId="25" hidden="1">[1]weekly!#REF!</definedName>
    <definedName name="ttt" localSheetId="46" hidden="1">[1]weekly!#REF!</definedName>
    <definedName name="ttt" localSheetId="14" hidden="1">[1]weekly!#REF!</definedName>
    <definedName name="ttt" localSheetId="93" hidden="1">[1]weekly!#REF!</definedName>
    <definedName name="ttt" localSheetId="2" hidden="1">[1]weekly!#REF!</definedName>
    <definedName name="ttt" localSheetId="47" hidden="1">[1]weekly!#REF!</definedName>
    <definedName name="ttt" localSheetId="48" hidden="1">[1]weekly!#REF!</definedName>
    <definedName name="ttt" localSheetId="49" hidden="1">[1]weekly!#REF!</definedName>
    <definedName name="ttt" localSheetId="50" hidden="1">[1]weekly!#REF!</definedName>
    <definedName name="ttt" localSheetId="54" hidden="1">[1]weekly!#REF!</definedName>
    <definedName name="ttt" localSheetId="51" hidden="1">[1]weekly!#REF!</definedName>
    <definedName name="ttt" localSheetId="52" hidden="1">[1]weekly!#REF!</definedName>
    <definedName name="ttt" localSheetId="34" hidden="1">[1]weekly!#REF!</definedName>
    <definedName name="ttt" localSheetId="59" hidden="1">[1]weekly!#REF!</definedName>
    <definedName name="ttt" localSheetId="53" hidden="1">[1]weekly!#REF!</definedName>
    <definedName name="ttt" localSheetId="91" hidden="1">[1]weekly!#REF!</definedName>
    <definedName name="ttt" localSheetId="88" hidden="1">[1]weekly!#REF!</definedName>
    <definedName name="ttt" localSheetId="90" hidden="1">[1]weekly!#REF!</definedName>
    <definedName name="ttt" hidden="1">[1]weekly!#REF!</definedName>
    <definedName name="ttttt" localSheetId="60" hidden="1">[1]weekly!#REF!</definedName>
    <definedName name="ttttt" localSheetId="87" hidden="1">[1]weekly!#REF!</definedName>
    <definedName name="ttttt" localSheetId="36" hidden="1">[1]weekly!#REF!</definedName>
    <definedName name="ttttt" localSheetId="61" hidden="1">[1]weekly!#REF!</definedName>
    <definedName name="ttttt" localSheetId="37" hidden="1">[1]weekly!#REF!</definedName>
    <definedName name="ttttt" localSheetId="57" hidden="1">[1]weekly!#REF!</definedName>
    <definedName name="ttttt" localSheetId="56" hidden="1">[1]weekly!#REF!</definedName>
    <definedName name="ttttt" localSheetId="58" hidden="1">[1]weekly!#REF!</definedName>
    <definedName name="ttttt" localSheetId="83" hidden="1">[1]weekly!#REF!</definedName>
    <definedName name="ttttt" localSheetId="38" hidden="1">[1]weekly!#REF!</definedName>
    <definedName name="ttttt" localSheetId="39" hidden="1">[1]weekly!#REF!</definedName>
    <definedName name="ttttt" localSheetId="95" hidden="1">[1]weekly!#REF!</definedName>
    <definedName name="ttttt" localSheetId="40" hidden="1">[1]weekly!#REF!</definedName>
    <definedName name="ttttt" localSheetId="92" hidden="1">[1]weekly!#REF!</definedName>
    <definedName name="ttttt" localSheetId="41" hidden="1">[1]weekly!#REF!</definedName>
    <definedName name="ttttt" localSheetId="42" hidden="1">[1]weekly!#REF!</definedName>
    <definedName name="ttttt" localSheetId="43" hidden="1">[1]weekly!#REF!</definedName>
    <definedName name="ttttt" localSheetId="33" hidden="1">[1]weekly!#REF!</definedName>
    <definedName name="ttttt" localSheetId="82" hidden="1">[1]weekly!#REF!</definedName>
    <definedName name="ttttt" localSheetId="44" hidden="1">[1]weekly!#REF!</definedName>
    <definedName name="ttttt" localSheetId="69" hidden="1">[1]weekly!#REF!</definedName>
    <definedName name="ttttt" localSheetId="45" hidden="1">[1]weekly!#REF!</definedName>
    <definedName name="ttttt" localSheetId="24" hidden="1">[1]weekly!#REF!</definedName>
    <definedName name="ttttt" localSheetId="25" hidden="1">[1]weekly!#REF!</definedName>
    <definedName name="ttttt" localSheetId="46" hidden="1">[1]weekly!#REF!</definedName>
    <definedName name="ttttt" localSheetId="14" hidden="1">[1]weekly!#REF!</definedName>
    <definedName name="ttttt" localSheetId="93" hidden="1">[1]weekly!#REF!</definedName>
    <definedName name="ttttt" localSheetId="47" hidden="1">[1]weekly!#REF!</definedName>
    <definedName name="ttttt" localSheetId="48" hidden="1">[1]weekly!#REF!</definedName>
    <definedName name="ttttt" localSheetId="49" hidden="1">[1]weekly!#REF!</definedName>
    <definedName name="ttttt" localSheetId="50" hidden="1">[1]weekly!#REF!</definedName>
    <definedName name="ttttt" localSheetId="54" hidden="1">[1]weekly!#REF!</definedName>
    <definedName name="ttttt" localSheetId="51" hidden="1">[1]weekly!#REF!</definedName>
    <definedName name="ttttt" localSheetId="52" hidden="1">[1]weekly!#REF!</definedName>
    <definedName name="ttttt" localSheetId="34" hidden="1">[1]weekly!#REF!</definedName>
    <definedName name="ttttt" localSheetId="59" hidden="1">[1]weekly!#REF!</definedName>
    <definedName name="ttttt" localSheetId="53" hidden="1">[1]weekly!#REF!</definedName>
    <definedName name="ttttt" localSheetId="91" hidden="1">[1]weekly!#REF!</definedName>
    <definedName name="ttttt" localSheetId="88" hidden="1">[1]weekly!#REF!</definedName>
    <definedName name="ttttt" localSheetId="90" hidden="1">[1]weekly!#REF!</definedName>
    <definedName name="ttttt" hidden="1">[1]weekly!#REF!</definedName>
    <definedName name="u" localSheetId="60" hidden="1">[1]weekly!#REF!</definedName>
    <definedName name="u" localSheetId="87" hidden="1">[1]weekly!#REF!</definedName>
    <definedName name="u" localSheetId="36" hidden="1">[1]weekly!#REF!</definedName>
    <definedName name="u" localSheetId="61" hidden="1">[1]weekly!#REF!</definedName>
    <definedName name="u" localSheetId="37" hidden="1">[1]weekly!#REF!</definedName>
    <definedName name="u" localSheetId="57" hidden="1">[1]weekly!#REF!</definedName>
    <definedName name="u" localSheetId="56" hidden="1">[1]weekly!#REF!</definedName>
    <definedName name="u" localSheetId="58" hidden="1">[1]weekly!#REF!</definedName>
    <definedName name="u" localSheetId="83" hidden="1">[1]weekly!#REF!</definedName>
    <definedName name="u" localSheetId="38" hidden="1">[1]weekly!#REF!</definedName>
    <definedName name="u" localSheetId="39" hidden="1">[1]weekly!#REF!</definedName>
    <definedName name="u" localSheetId="95" hidden="1">[1]weekly!#REF!</definedName>
    <definedName name="u" localSheetId="40" hidden="1">[1]weekly!#REF!</definedName>
    <definedName name="u" localSheetId="92" hidden="1">[1]weekly!#REF!</definedName>
    <definedName name="u" localSheetId="41" hidden="1">[1]weekly!#REF!</definedName>
    <definedName name="u" localSheetId="42" hidden="1">[1]weekly!#REF!</definedName>
    <definedName name="u" localSheetId="43" hidden="1">[1]weekly!#REF!</definedName>
    <definedName name="u" localSheetId="33" hidden="1">[1]weekly!#REF!</definedName>
    <definedName name="u" localSheetId="82" hidden="1">[1]weekly!#REF!</definedName>
    <definedName name="u" localSheetId="44" hidden="1">[1]weekly!#REF!</definedName>
    <definedName name="u" localSheetId="69" hidden="1">[1]weekly!#REF!</definedName>
    <definedName name="u" localSheetId="45" hidden="1">[1]weekly!#REF!</definedName>
    <definedName name="u" localSheetId="24" hidden="1">[1]weekly!#REF!</definedName>
    <definedName name="u" localSheetId="25" hidden="1">[1]weekly!#REF!</definedName>
    <definedName name="u" localSheetId="46" hidden="1">[1]weekly!#REF!</definedName>
    <definedName name="u" localSheetId="14" hidden="1">[1]weekly!#REF!</definedName>
    <definedName name="u" localSheetId="93" hidden="1">[1]weekly!#REF!</definedName>
    <definedName name="u" localSheetId="47" hidden="1">[1]weekly!#REF!</definedName>
    <definedName name="u" localSheetId="48" hidden="1">[1]weekly!#REF!</definedName>
    <definedName name="u" localSheetId="49" hidden="1">[1]weekly!#REF!</definedName>
    <definedName name="u" localSheetId="50" hidden="1">[1]weekly!#REF!</definedName>
    <definedName name="u" localSheetId="54" hidden="1">[1]weekly!#REF!</definedName>
    <definedName name="u" localSheetId="51" hidden="1">[1]weekly!#REF!</definedName>
    <definedName name="u" localSheetId="52" hidden="1">[1]weekly!#REF!</definedName>
    <definedName name="u" localSheetId="34" hidden="1">[1]weekly!#REF!</definedName>
    <definedName name="u" localSheetId="59" hidden="1">[1]weekly!#REF!</definedName>
    <definedName name="u" localSheetId="53" hidden="1">[1]weekly!#REF!</definedName>
    <definedName name="u" localSheetId="91" hidden="1">[1]weekly!#REF!</definedName>
    <definedName name="u" localSheetId="88" hidden="1">[1]weekly!#REF!</definedName>
    <definedName name="u" localSheetId="90" hidden="1">[1]weekly!#REF!</definedName>
    <definedName name="u" hidden="1">[1]weekly!#REF!</definedName>
    <definedName name="uuu" localSheetId="60" hidden="1">[1]weekly!#REF!</definedName>
    <definedName name="uuu" localSheetId="87" hidden="1">[1]weekly!#REF!</definedName>
    <definedName name="uuu" localSheetId="36" hidden="1">[1]weekly!#REF!</definedName>
    <definedName name="uuu" localSheetId="61" hidden="1">[1]weekly!#REF!</definedName>
    <definedName name="uuu" localSheetId="37" hidden="1">[1]weekly!#REF!</definedName>
    <definedName name="uuu" localSheetId="57" hidden="1">[1]weekly!#REF!</definedName>
    <definedName name="uuu" localSheetId="56" hidden="1">[1]weekly!#REF!</definedName>
    <definedName name="uuu" localSheetId="58" hidden="1">[1]weekly!#REF!</definedName>
    <definedName name="uuu" localSheetId="83" hidden="1">[1]weekly!#REF!</definedName>
    <definedName name="uuu" localSheetId="38" hidden="1">[1]weekly!#REF!</definedName>
    <definedName name="uuu" localSheetId="39" hidden="1">[1]weekly!#REF!</definedName>
    <definedName name="uuu" localSheetId="95" hidden="1">[1]weekly!#REF!</definedName>
    <definedName name="uuu" localSheetId="40" hidden="1">[1]weekly!#REF!</definedName>
    <definedName name="uuu" localSheetId="92" hidden="1">[1]weekly!#REF!</definedName>
    <definedName name="uuu" localSheetId="41" hidden="1">[1]weekly!#REF!</definedName>
    <definedName name="uuu" localSheetId="42" hidden="1">[1]weekly!#REF!</definedName>
    <definedName name="uuu" localSheetId="43" hidden="1">[1]weekly!#REF!</definedName>
    <definedName name="uuu" localSheetId="33" hidden="1">[1]weekly!#REF!</definedName>
    <definedName name="uuu" localSheetId="82" hidden="1">[1]weekly!#REF!</definedName>
    <definedName name="uuu" localSheetId="44" hidden="1">[1]weekly!#REF!</definedName>
    <definedName name="uuu" localSheetId="69" hidden="1">[1]weekly!#REF!</definedName>
    <definedName name="uuu" localSheetId="45" hidden="1">[1]weekly!#REF!</definedName>
    <definedName name="uuu" localSheetId="24" hidden="1">[1]weekly!#REF!</definedName>
    <definedName name="uuu" localSheetId="25" hidden="1">[1]weekly!#REF!</definedName>
    <definedName name="uuu" localSheetId="46" hidden="1">[1]weekly!#REF!</definedName>
    <definedName name="uuu" localSheetId="14" hidden="1">[1]weekly!#REF!</definedName>
    <definedName name="uuu" localSheetId="93" hidden="1">[1]weekly!#REF!</definedName>
    <definedName name="uuu" localSheetId="47" hidden="1">[1]weekly!#REF!</definedName>
    <definedName name="uuu" localSheetId="48" hidden="1">[1]weekly!#REF!</definedName>
    <definedName name="uuu" localSheetId="49" hidden="1">[1]weekly!#REF!</definedName>
    <definedName name="uuu" localSheetId="50" hidden="1">[1]weekly!#REF!</definedName>
    <definedName name="uuu" localSheetId="54" hidden="1">[1]weekly!#REF!</definedName>
    <definedName name="uuu" localSheetId="51" hidden="1">[1]weekly!#REF!</definedName>
    <definedName name="uuu" localSheetId="52" hidden="1">[1]weekly!#REF!</definedName>
    <definedName name="uuu" localSheetId="34" hidden="1">[1]weekly!#REF!</definedName>
    <definedName name="uuu" localSheetId="59" hidden="1">[1]weekly!#REF!</definedName>
    <definedName name="uuu" localSheetId="53" hidden="1">[1]weekly!#REF!</definedName>
    <definedName name="uuu" localSheetId="91" hidden="1">[1]weekly!#REF!</definedName>
    <definedName name="uuu" localSheetId="88" hidden="1">[1]weekly!#REF!</definedName>
    <definedName name="uuu" localSheetId="90" hidden="1">[1]weekly!#REF!</definedName>
    <definedName name="uuu" hidden="1">[1]weekly!#REF!</definedName>
    <definedName name="uuuuu" localSheetId="60" hidden="1">[1]weekly!#REF!</definedName>
    <definedName name="uuuuu" localSheetId="87" hidden="1">[1]weekly!#REF!</definedName>
    <definedName name="uuuuu" localSheetId="36" hidden="1">[1]weekly!#REF!</definedName>
    <definedName name="uuuuu" localSheetId="61" hidden="1">[1]weekly!#REF!</definedName>
    <definedName name="uuuuu" localSheetId="37" hidden="1">[1]weekly!#REF!</definedName>
    <definedName name="uuuuu" localSheetId="57" hidden="1">[1]weekly!#REF!</definedName>
    <definedName name="uuuuu" localSheetId="56" hidden="1">[1]weekly!#REF!</definedName>
    <definedName name="uuuuu" localSheetId="58" hidden="1">[1]weekly!#REF!</definedName>
    <definedName name="uuuuu" localSheetId="83" hidden="1">[1]weekly!#REF!</definedName>
    <definedName name="uuuuu" localSheetId="38" hidden="1">[1]weekly!#REF!</definedName>
    <definedName name="uuuuu" localSheetId="39" hidden="1">[1]weekly!#REF!</definedName>
    <definedName name="uuuuu" localSheetId="95" hidden="1">[1]weekly!#REF!</definedName>
    <definedName name="uuuuu" localSheetId="40" hidden="1">[1]weekly!#REF!</definedName>
    <definedName name="uuuuu" localSheetId="92" hidden="1">[1]weekly!#REF!</definedName>
    <definedName name="uuuuu" localSheetId="41" hidden="1">[1]weekly!#REF!</definedName>
    <definedName name="uuuuu" localSheetId="42" hidden="1">[1]weekly!#REF!</definedName>
    <definedName name="uuuuu" localSheetId="43" hidden="1">[1]weekly!#REF!</definedName>
    <definedName name="uuuuu" localSheetId="33" hidden="1">[1]weekly!#REF!</definedName>
    <definedName name="uuuuu" localSheetId="82" hidden="1">[1]weekly!#REF!</definedName>
    <definedName name="uuuuu" localSheetId="44" hidden="1">[1]weekly!#REF!</definedName>
    <definedName name="uuuuu" localSheetId="69" hidden="1">[1]weekly!#REF!</definedName>
    <definedName name="uuuuu" localSheetId="45" hidden="1">[1]weekly!#REF!</definedName>
    <definedName name="uuuuu" localSheetId="24" hidden="1">[1]weekly!#REF!</definedName>
    <definedName name="uuuuu" localSheetId="25" hidden="1">[1]weekly!#REF!</definedName>
    <definedName name="uuuuu" localSheetId="46" hidden="1">[1]weekly!#REF!</definedName>
    <definedName name="uuuuu" localSheetId="14" hidden="1">[1]weekly!#REF!</definedName>
    <definedName name="uuuuu" localSheetId="93" hidden="1">[1]weekly!#REF!</definedName>
    <definedName name="uuuuu" localSheetId="47" hidden="1">[1]weekly!#REF!</definedName>
    <definedName name="uuuuu" localSheetId="48" hidden="1">[1]weekly!#REF!</definedName>
    <definedName name="uuuuu" localSheetId="49" hidden="1">[1]weekly!#REF!</definedName>
    <definedName name="uuuuu" localSheetId="50" hidden="1">[1]weekly!#REF!</definedName>
    <definedName name="uuuuu" localSheetId="54" hidden="1">[1]weekly!#REF!</definedName>
    <definedName name="uuuuu" localSheetId="51" hidden="1">[1]weekly!#REF!</definedName>
    <definedName name="uuuuu" localSheetId="52" hidden="1">[1]weekly!#REF!</definedName>
    <definedName name="uuuuu" localSheetId="34" hidden="1">[1]weekly!#REF!</definedName>
    <definedName name="uuuuu" localSheetId="59" hidden="1">[1]weekly!#REF!</definedName>
    <definedName name="uuuuu" localSheetId="53" hidden="1">[1]weekly!#REF!</definedName>
    <definedName name="uuuuu" localSheetId="91" hidden="1">[1]weekly!#REF!</definedName>
    <definedName name="uuuuu" localSheetId="88" hidden="1">[1]weekly!#REF!</definedName>
    <definedName name="uuuuu" localSheetId="90" hidden="1">[1]weekly!#REF!</definedName>
    <definedName name="uuuuu" hidden="1">[1]weekly!#REF!</definedName>
    <definedName name="v" localSheetId="60" hidden="1">[1]weekly!#REF!</definedName>
    <definedName name="v" localSheetId="87" hidden="1">[1]weekly!#REF!</definedName>
    <definedName name="v" localSheetId="36" hidden="1">[1]weekly!#REF!</definedName>
    <definedName name="v" localSheetId="61" hidden="1">[1]weekly!#REF!</definedName>
    <definedName name="v" localSheetId="37" hidden="1">[1]weekly!#REF!</definedName>
    <definedName name="v" localSheetId="57" hidden="1">[1]weekly!#REF!</definedName>
    <definedName name="v" localSheetId="56" hidden="1">[1]weekly!#REF!</definedName>
    <definedName name="v" localSheetId="58" hidden="1">[1]weekly!#REF!</definedName>
    <definedName name="v" localSheetId="83" hidden="1">[1]weekly!#REF!</definedName>
    <definedName name="v" localSheetId="38" hidden="1">[1]weekly!#REF!</definedName>
    <definedName name="v" localSheetId="39" hidden="1">[1]weekly!#REF!</definedName>
    <definedName name="v" localSheetId="95" hidden="1">[1]weekly!#REF!</definedName>
    <definedName name="v" localSheetId="40" hidden="1">[1]weekly!#REF!</definedName>
    <definedName name="v" localSheetId="92" hidden="1">[1]weekly!#REF!</definedName>
    <definedName name="v" localSheetId="41" hidden="1">[1]weekly!#REF!</definedName>
    <definedName name="v" localSheetId="42" hidden="1">[1]weekly!#REF!</definedName>
    <definedName name="v" localSheetId="43" hidden="1">[1]weekly!#REF!</definedName>
    <definedName name="v" localSheetId="33" hidden="1">[1]weekly!#REF!</definedName>
    <definedName name="v" localSheetId="82" hidden="1">[1]weekly!#REF!</definedName>
    <definedName name="v" localSheetId="44" hidden="1">[1]weekly!#REF!</definedName>
    <definedName name="v" localSheetId="69" hidden="1">[1]weekly!#REF!</definedName>
    <definedName name="v" localSheetId="45" hidden="1">[1]weekly!#REF!</definedName>
    <definedName name="v" localSheetId="24" hidden="1">[1]weekly!#REF!</definedName>
    <definedName name="v" localSheetId="25" hidden="1">[1]weekly!#REF!</definedName>
    <definedName name="v" localSheetId="46" hidden="1">[1]weekly!#REF!</definedName>
    <definedName name="v" localSheetId="14" hidden="1">[1]weekly!#REF!</definedName>
    <definedName name="v" localSheetId="93" hidden="1">[1]weekly!#REF!</definedName>
    <definedName name="v" localSheetId="47" hidden="1">[1]weekly!#REF!</definedName>
    <definedName name="v" localSheetId="48" hidden="1">[1]weekly!#REF!</definedName>
    <definedName name="v" localSheetId="49" hidden="1">[1]weekly!#REF!</definedName>
    <definedName name="v" localSheetId="50" hidden="1">[1]weekly!#REF!</definedName>
    <definedName name="v" localSheetId="54" hidden="1">[1]weekly!#REF!</definedName>
    <definedName name="v" localSheetId="51" hidden="1">[1]weekly!#REF!</definedName>
    <definedName name="v" localSheetId="52" hidden="1">[1]weekly!#REF!</definedName>
    <definedName name="v" localSheetId="34" hidden="1">[1]weekly!#REF!</definedName>
    <definedName name="v" localSheetId="59" hidden="1">[1]weekly!#REF!</definedName>
    <definedName name="v" localSheetId="53" hidden="1">[1]weekly!#REF!</definedName>
    <definedName name="v" localSheetId="91" hidden="1">[1]weekly!#REF!</definedName>
    <definedName name="v" localSheetId="88" hidden="1">[1]weekly!#REF!</definedName>
    <definedName name="v" localSheetId="90" hidden="1">[1]weekly!#REF!</definedName>
    <definedName name="v" hidden="1">[1]weekly!#REF!</definedName>
    <definedName name="vv" localSheetId="60" hidden="1">[1]weekly!#REF!</definedName>
    <definedName name="vv" localSheetId="87" hidden="1">[1]weekly!#REF!</definedName>
    <definedName name="vv" localSheetId="36" hidden="1">[1]weekly!#REF!</definedName>
    <definedName name="vv" localSheetId="61" hidden="1">[1]weekly!#REF!</definedName>
    <definedName name="vv" localSheetId="37" hidden="1">[1]weekly!#REF!</definedName>
    <definedName name="vv" localSheetId="57" hidden="1">[1]weekly!#REF!</definedName>
    <definedName name="vv" localSheetId="56" hidden="1">[1]weekly!#REF!</definedName>
    <definedName name="vv" localSheetId="58" hidden="1">[1]weekly!#REF!</definedName>
    <definedName name="vv" localSheetId="83" hidden="1">[1]weekly!#REF!</definedName>
    <definedName name="vv" localSheetId="38" hidden="1">[1]weekly!#REF!</definedName>
    <definedName name="vv" localSheetId="39" hidden="1">[1]weekly!#REF!</definedName>
    <definedName name="vv" localSheetId="95" hidden="1">[1]weekly!#REF!</definedName>
    <definedName name="vv" localSheetId="40" hidden="1">[1]weekly!#REF!</definedName>
    <definedName name="vv" localSheetId="92" hidden="1">[1]weekly!#REF!</definedName>
    <definedName name="vv" localSheetId="41" hidden="1">[1]weekly!#REF!</definedName>
    <definedName name="vv" localSheetId="42" hidden="1">[1]weekly!#REF!</definedName>
    <definedName name="vv" localSheetId="43" hidden="1">[1]weekly!#REF!</definedName>
    <definedName name="vv" localSheetId="33" hidden="1">[1]weekly!#REF!</definedName>
    <definedName name="vv" localSheetId="82" hidden="1">[1]weekly!#REF!</definedName>
    <definedName name="vv" localSheetId="44" hidden="1">[1]weekly!#REF!</definedName>
    <definedName name="vv" localSheetId="69" hidden="1">[1]weekly!#REF!</definedName>
    <definedName name="vv" localSheetId="45" hidden="1">[1]weekly!#REF!</definedName>
    <definedName name="vv" localSheetId="24" hidden="1">[1]weekly!#REF!</definedName>
    <definedName name="vv" localSheetId="25" hidden="1">[1]weekly!#REF!</definedName>
    <definedName name="vv" localSheetId="46" hidden="1">[1]weekly!#REF!</definedName>
    <definedName name="vv" localSheetId="14" hidden="1">[1]weekly!#REF!</definedName>
    <definedName name="vv" localSheetId="93" hidden="1">[1]weekly!#REF!</definedName>
    <definedName name="vv" localSheetId="47" hidden="1">[1]weekly!#REF!</definedName>
    <definedName name="vv" localSheetId="48" hidden="1">[1]weekly!#REF!</definedName>
    <definedName name="vv" localSheetId="49" hidden="1">[1]weekly!#REF!</definedName>
    <definedName name="vv" localSheetId="50" hidden="1">[1]weekly!#REF!</definedName>
    <definedName name="vv" localSheetId="54" hidden="1">[1]weekly!#REF!</definedName>
    <definedName name="vv" localSheetId="51" hidden="1">[1]weekly!#REF!</definedName>
    <definedName name="vv" localSheetId="52" hidden="1">[1]weekly!#REF!</definedName>
    <definedName name="vv" localSheetId="34" hidden="1">[1]weekly!#REF!</definedName>
    <definedName name="vv" localSheetId="59" hidden="1">[1]weekly!#REF!</definedName>
    <definedName name="vv" localSheetId="53" hidden="1">[1]weekly!#REF!</definedName>
    <definedName name="vv" localSheetId="91" hidden="1">[1]weekly!#REF!</definedName>
    <definedName name="vv" localSheetId="88" hidden="1">[1]weekly!#REF!</definedName>
    <definedName name="vv" localSheetId="90" hidden="1">[1]weekly!#REF!</definedName>
    <definedName name="vv" hidden="1">[1]weekly!#REF!</definedName>
    <definedName name="vvvv" localSheetId="60" hidden="1">[1]weekly!#REF!</definedName>
    <definedName name="vvvv" localSheetId="87" hidden="1">[1]weekly!#REF!</definedName>
    <definedName name="vvvv" localSheetId="36" hidden="1">[1]weekly!#REF!</definedName>
    <definedName name="vvvv" localSheetId="61" hidden="1">[1]weekly!#REF!</definedName>
    <definedName name="vvvv" localSheetId="37" hidden="1">[1]weekly!#REF!</definedName>
    <definedName name="vvvv" localSheetId="57" hidden="1">[1]weekly!#REF!</definedName>
    <definedName name="vvvv" localSheetId="56" hidden="1">[1]weekly!#REF!</definedName>
    <definedName name="vvvv" localSheetId="58" hidden="1">[1]weekly!#REF!</definedName>
    <definedName name="vvvv" localSheetId="83" hidden="1">[1]weekly!#REF!</definedName>
    <definedName name="vvvv" localSheetId="38" hidden="1">[1]weekly!#REF!</definedName>
    <definedName name="vvvv" localSheetId="39" hidden="1">[1]weekly!#REF!</definedName>
    <definedName name="vvvv" localSheetId="95" hidden="1">[1]weekly!#REF!</definedName>
    <definedName name="vvvv" localSheetId="40" hidden="1">[1]weekly!#REF!</definedName>
    <definedName name="vvvv" localSheetId="92" hidden="1">[1]weekly!#REF!</definedName>
    <definedName name="vvvv" localSheetId="41" hidden="1">[1]weekly!#REF!</definedName>
    <definedName name="vvvv" localSheetId="42" hidden="1">[1]weekly!#REF!</definedName>
    <definedName name="vvvv" localSheetId="43" hidden="1">[1]weekly!#REF!</definedName>
    <definedName name="vvvv" localSheetId="33" hidden="1">[1]weekly!#REF!</definedName>
    <definedName name="vvvv" localSheetId="82" hidden="1">[1]weekly!#REF!</definedName>
    <definedName name="vvvv" localSheetId="44" hidden="1">[1]weekly!#REF!</definedName>
    <definedName name="vvvv" localSheetId="69" hidden="1">[1]weekly!#REF!</definedName>
    <definedName name="vvvv" localSheetId="45" hidden="1">[1]weekly!#REF!</definedName>
    <definedName name="vvvv" localSheetId="24" hidden="1">[1]weekly!#REF!</definedName>
    <definedName name="vvvv" localSheetId="25" hidden="1">[1]weekly!#REF!</definedName>
    <definedName name="vvvv" localSheetId="46" hidden="1">[1]weekly!#REF!</definedName>
    <definedName name="vvvv" localSheetId="14" hidden="1">[1]weekly!#REF!</definedName>
    <definedName name="vvvv" localSheetId="93" hidden="1">[1]weekly!#REF!</definedName>
    <definedName name="vvvv" localSheetId="47" hidden="1">[1]weekly!#REF!</definedName>
    <definedName name="vvvv" localSheetId="48" hidden="1">[1]weekly!#REF!</definedName>
    <definedName name="vvvv" localSheetId="49" hidden="1">[1]weekly!#REF!</definedName>
    <definedName name="vvvv" localSheetId="50" hidden="1">[1]weekly!#REF!</definedName>
    <definedName name="vvvv" localSheetId="54" hidden="1">[1]weekly!#REF!</definedName>
    <definedName name="vvvv" localSheetId="51" hidden="1">[1]weekly!#REF!</definedName>
    <definedName name="vvvv" localSheetId="52" hidden="1">[1]weekly!#REF!</definedName>
    <definedName name="vvvv" localSheetId="34" hidden="1">[1]weekly!#REF!</definedName>
    <definedName name="vvvv" localSheetId="59" hidden="1">[1]weekly!#REF!</definedName>
    <definedName name="vvvv" localSheetId="53" hidden="1">[1]weekly!#REF!</definedName>
    <definedName name="vvvv" localSheetId="91" hidden="1">[1]weekly!#REF!</definedName>
    <definedName name="vvvv" localSheetId="88" hidden="1">[1]weekly!#REF!</definedName>
    <definedName name="vvvv" localSheetId="90" hidden="1">[1]weekly!#REF!</definedName>
    <definedName name="vvvv" hidden="1">[1]weekly!#REF!</definedName>
    <definedName name="w" localSheetId="60" hidden="1">[1]weekly!#REF!</definedName>
    <definedName name="w" localSheetId="87" hidden="1">[1]weekly!#REF!</definedName>
    <definedName name="w" localSheetId="36" hidden="1">[1]weekly!#REF!</definedName>
    <definedName name="w" localSheetId="61" hidden="1">[1]weekly!#REF!</definedName>
    <definedName name="w" localSheetId="37" hidden="1">[1]weekly!#REF!</definedName>
    <definedName name="w" localSheetId="57" hidden="1">[1]weekly!#REF!</definedName>
    <definedName name="w" localSheetId="56" hidden="1">[1]weekly!#REF!</definedName>
    <definedName name="w" localSheetId="58" hidden="1">[1]weekly!#REF!</definedName>
    <definedName name="w" localSheetId="83" hidden="1">[1]weekly!#REF!</definedName>
    <definedName name="w" localSheetId="38" hidden="1">[1]weekly!#REF!</definedName>
    <definedName name="w" localSheetId="39" hidden="1">[1]weekly!#REF!</definedName>
    <definedName name="w" localSheetId="95" hidden="1">[1]weekly!#REF!</definedName>
    <definedName name="w" localSheetId="40" hidden="1">[1]weekly!#REF!</definedName>
    <definedName name="w" localSheetId="92" hidden="1">[1]weekly!#REF!</definedName>
    <definedName name="w" localSheetId="41" hidden="1">[1]weekly!#REF!</definedName>
    <definedName name="w" localSheetId="42" hidden="1">[1]weekly!#REF!</definedName>
    <definedName name="w" localSheetId="43" hidden="1">[1]weekly!#REF!</definedName>
    <definedName name="w" localSheetId="33" hidden="1">[1]weekly!#REF!</definedName>
    <definedName name="w" localSheetId="82" hidden="1">[1]weekly!#REF!</definedName>
    <definedName name="w" localSheetId="44" hidden="1">[1]weekly!#REF!</definedName>
    <definedName name="w" localSheetId="69" hidden="1">[1]weekly!#REF!</definedName>
    <definedName name="w" localSheetId="45" hidden="1">[1]weekly!#REF!</definedName>
    <definedName name="w" localSheetId="24" hidden="1">[1]weekly!#REF!</definedName>
    <definedName name="w" localSheetId="25" hidden="1">[1]weekly!#REF!</definedName>
    <definedName name="w" localSheetId="46" hidden="1">[1]weekly!#REF!</definedName>
    <definedName name="w" localSheetId="14" hidden="1">[1]weekly!#REF!</definedName>
    <definedName name="w" localSheetId="93" hidden="1">[1]weekly!#REF!</definedName>
    <definedName name="w" localSheetId="47" hidden="1">[1]weekly!#REF!</definedName>
    <definedName name="w" localSheetId="48" hidden="1">[1]weekly!#REF!</definedName>
    <definedName name="w" localSheetId="49" hidden="1">[1]weekly!#REF!</definedName>
    <definedName name="w" localSheetId="50" hidden="1">[1]weekly!#REF!</definedName>
    <definedName name="w" localSheetId="54" hidden="1">[1]weekly!#REF!</definedName>
    <definedName name="w" localSheetId="51" hidden="1">[1]weekly!#REF!</definedName>
    <definedName name="w" localSheetId="52" hidden="1">[1]weekly!#REF!</definedName>
    <definedName name="w" localSheetId="34" hidden="1">[1]weekly!#REF!</definedName>
    <definedName name="w" localSheetId="59" hidden="1">[1]weekly!#REF!</definedName>
    <definedName name="w" localSheetId="53" hidden="1">[1]weekly!#REF!</definedName>
    <definedName name="w" localSheetId="91" hidden="1">[1]weekly!#REF!</definedName>
    <definedName name="w" localSheetId="88" hidden="1">[1]weekly!#REF!</definedName>
    <definedName name="w" localSheetId="90" hidden="1">[1]weekly!#REF!</definedName>
    <definedName name="w" hidden="1">[1]weekly!#REF!</definedName>
    <definedName name="ww" localSheetId="60" hidden="1">[1]weekly!#REF!</definedName>
    <definedName name="ww" localSheetId="87" hidden="1">[1]weekly!#REF!</definedName>
    <definedName name="ww" localSheetId="36" hidden="1">[1]weekly!#REF!</definedName>
    <definedName name="ww" localSheetId="61" hidden="1">[1]weekly!#REF!</definedName>
    <definedName name="ww" localSheetId="37" hidden="1">[1]weekly!#REF!</definedName>
    <definedName name="ww" localSheetId="17" hidden="1">[1]weekly!#REF!</definedName>
    <definedName name="ww" localSheetId="55" hidden="1">[1]weekly!#REF!</definedName>
    <definedName name="ww" localSheetId="57" hidden="1">[1]weekly!#REF!</definedName>
    <definedName name="ww" localSheetId="15" hidden="1">[1]weekly!#REF!</definedName>
    <definedName name="ww" localSheetId="56" hidden="1">[1]weekly!#REF!</definedName>
    <definedName name="ww" localSheetId="58" hidden="1">[1]weekly!#REF!</definedName>
    <definedName name="ww" localSheetId="19" hidden="1">[1]weekly!#REF!</definedName>
    <definedName name="ww" localSheetId="83" hidden="1">[1]weekly!#REF!</definedName>
    <definedName name="ww" localSheetId="38" hidden="1">[1]weekly!#REF!</definedName>
    <definedName name="ww" localSheetId="39" hidden="1">[1]weekly!#REF!</definedName>
    <definedName name="ww" localSheetId="95" hidden="1">[1]weekly!#REF!</definedName>
    <definedName name="ww" localSheetId="40" hidden="1">[1]weekly!#REF!</definedName>
    <definedName name="ww" localSheetId="92" hidden="1">[1]weekly!#REF!</definedName>
    <definedName name="ww" localSheetId="41" hidden="1">[1]weekly!#REF!</definedName>
    <definedName name="ww" localSheetId="42" hidden="1">[1]weekly!#REF!</definedName>
    <definedName name="ww" localSheetId="43" hidden="1">[1]weekly!#REF!</definedName>
    <definedName name="ww" localSheetId="33" hidden="1">[1]weekly!#REF!</definedName>
    <definedName name="ww" localSheetId="82" hidden="1">[1]weekly!#REF!</definedName>
    <definedName name="ww" localSheetId="44" hidden="1">[1]weekly!#REF!</definedName>
    <definedName name="ww" localSheetId="69" hidden="1">[1]weekly!#REF!</definedName>
    <definedName name="ww" localSheetId="45" hidden="1">[1]weekly!#REF!</definedName>
    <definedName name="ww" localSheetId="24" hidden="1">[1]weekly!#REF!</definedName>
    <definedName name="ww" localSheetId="25" hidden="1">[1]weekly!#REF!</definedName>
    <definedName name="ww" localSheetId="46" hidden="1">[1]weekly!#REF!</definedName>
    <definedName name="ww" localSheetId="14" hidden="1">[1]weekly!#REF!</definedName>
    <definedName name="ww" localSheetId="93" hidden="1">[1]weekly!#REF!</definedName>
    <definedName name="ww" localSheetId="2" hidden="1">[1]weekly!#REF!</definedName>
    <definedName name="ww" localSheetId="47" hidden="1">[1]weekly!#REF!</definedName>
    <definedName name="ww" localSheetId="48" hidden="1">[1]weekly!#REF!</definedName>
    <definedName name="ww" localSheetId="49" hidden="1">[1]weekly!#REF!</definedName>
    <definedName name="ww" localSheetId="50" hidden="1">[1]weekly!#REF!</definedName>
    <definedName name="ww" localSheetId="54" hidden="1">[1]weekly!#REF!</definedName>
    <definedName name="ww" localSheetId="51" hidden="1">[1]weekly!#REF!</definedName>
    <definedName name="ww" localSheetId="52" hidden="1">[1]weekly!#REF!</definedName>
    <definedName name="ww" localSheetId="34" hidden="1">[1]weekly!#REF!</definedName>
    <definedName name="ww" localSheetId="59" hidden="1">[1]weekly!#REF!</definedName>
    <definedName name="ww" localSheetId="21" hidden="1">[1]weekly!#REF!</definedName>
    <definedName name="ww" localSheetId="22" hidden="1">[1]weekly!#REF!</definedName>
    <definedName name="ww" localSheetId="53" hidden="1">[1]weekly!#REF!</definedName>
    <definedName name="ww" localSheetId="91" hidden="1">[1]weekly!#REF!</definedName>
    <definedName name="ww" localSheetId="88" hidden="1">[1]weekly!#REF!</definedName>
    <definedName name="ww" localSheetId="90" hidden="1">[1]weekly!#REF!</definedName>
    <definedName name="ww" hidden="1">[1]weekly!#REF!</definedName>
    <definedName name="wwww" localSheetId="60" hidden="1">[1]weekly!#REF!</definedName>
    <definedName name="wwww" localSheetId="87" hidden="1">[1]weekly!#REF!</definedName>
    <definedName name="wwww" localSheetId="36" hidden="1">[1]weekly!#REF!</definedName>
    <definedName name="wwww" localSheetId="61" hidden="1">[1]weekly!#REF!</definedName>
    <definedName name="wwww" localSheetId="37" hidden="1">[1]weekly!#REF!</definedName>
    <definedName name="wwww" localSheetId="17" hidden="1">[1]weekly!#REF!</definedName>
    <definedName name="wwww" localSheetId="55" hidden="1">[1]weekly!#REF!</definedName>
    <definedName name="wwww" localSheetId="57" hidden="1">[1]weekly!#REF!</definedName>
    <definedName name="wwww" localSheetId="15" hidden="1">[1]weekly!#REF!</definedName>
    <definedName name="wwww" localSheetId="56" hidden="1">[1]weekly!#REF!</definedName>
    <definedName name="wwww" localSheetId="58" hidden="1">[1]weekly!#REF!</definedName>
    <definedName name="wwww" localSheetId="19" hidden="1">[1]weekly!#REF!</definedName>
    <definedName name="wwww" localSheetId="83" hidden="1">[1]weekly!#REF!</definedName>
    <definedName name="wwww" localSheetId="38" hidden="1">[1]weekly!#REF!</definedName>
    <definedName name="wwww" localSheetId="39" hidden="1">[1]weekly!#REF!</definedName>
    <definedName name="wwww" localSheetId="95" hidden="1">[1]weekly!#REF!</definedName>
    <definedName name="wwww" localSheetId="40" hidden="1">[1]weekly!#REF!</definedName>
    <definedName name="wwww" localSheetId="92" hidden="1">[1]weekly!#REF!</definedName>
    <definedName name="wwww" localSheetId="41" hidden="1">[1]weekly!#REF!</definedName>
    <definedName name="wwww" localSheetId="42" hidden="1">[1]weekly!#REF!</definedName>
    <definedName name="wwww" localSheetId="43" hidden="1">[1]weekly!#REF!</definedName>
    <definedName name="wwww" localSheetId="33" hidden="1">[1]weekly!#REF!</definedName>
    <definedName name="wwww" localSheetId="82" hidden="1">[1]weekly!#REF!</definedName>
    <definedName name="wwww" localSheetId="44" hidden="1">[1]weekly!#REF!</definedName>
    <definedName name="wwww" localSheetId="69" hidden="1">[1]weekly!#REF!</definedName>
    <definedName name="wwww" localSheetId="45" hidden="1">[1]weekly!#REF!</definedName>
    <definedName name="wwww" localSheetId="24" hidden="1">[1]weekly!#REF!</definedName>
    <definedName name="wwww" localSheetId="25" hidden="1">[1]weekly!#REF!</definedName>
    <definedName name="wwww" localSheetId="46" hidden="1">[1]weekly!#REF!</definedName>
    <definedName name="wwww" localSheetId="14" hidden="1">[1]weekly!#REF!</definedName>
    <definedName name="wwww" localSheetId="93" hidden="1">[1]weekly!#REF!</definedName>
    <definedName name="wwww" localSheetId="47" hidden="1">[1]weekly!#REF!</definedName>
    <definedName name="wwww" localSheetId="48" hidden="1">[1]weekly!#REF!</definedName>
    <definedName name="wwww" localSheetId="49" hidden="1">[1]weekly!#REF!</definedName>
    <definedName name="wwww" localSheetId="50" hidden="1">[1]weekly!#REF!</definedName>
    <definedName name="wwww" localSheetId="54" hidden="1">[1]weekly!#REF!</definedName>
    <definedName name="wwww" localSheetId="51" hidden="1">[1]weekly!#REF!</definedName>
    <definedName name="wwww" localSheetId="52" hidden="1">[1]weekly!#REF!</definedName>
    <definedName name="wwww" localSheetId="34" hidden="1">[1]weekly!#REF!</definedName>
    <definedName name="wwww" localSheetId="59" hidden="1">[1]weekly!#REF!</definedName>
    <definedName name="wwww" localSheetId="21" hidden="1">[1]weekly!#REF!</definedName>
    <definedName name="wwww" localSheetId="22" hidden="1">[1]weekly!#REF!</definedName>
    <definedName name="wwww" localSheetId="53" hidden="1">[1]weekly!#REF!</definedName>
    <definedName name="wwww" localSheetId="91" hidden="1">[1]weekly!#REF!</definedName>
    <definedName name="wwww" localSheetId="88" hidden="1">[1]weekly!#REF!</definedName>
    <definedName name="wwww" localSheetId="90" hidden="1">[1]weekly!#REF!</definedName>
    <definedName name="wwww" hidden="1">[1]weekly!#REF!</definedName>
    <definedName name="wwwwwwwwww" localSheetId="60" hidden="1">[1]weekly!#REF!</definedName>
    <definedName name="wwwwwwwwww" localSheetId="87" hidden="1">[1]weekly!#REF!</definedName>
    <definedName name="wwwwwwwwww" localSheetId="36" hidden="1">[1]weekly!#REF!</definedName>
    <definedName name="wwwwwwwwww" localSheetId="61" hidden="1">[1]weekly!#REF!</definedName>
    <definedName name="wwwwwwwwww" localSheetId="37" hidden="1">[1]weekly!#REF!</definedName>
    <definedName name="wwwwwwwwww" localSheetId="17" hidden="1">[1]weekly!#REF!</definedName>
    <definedName name="wwwwwwwwww" localSheetId="55" hidden="1">[1]weekly!#REF!</definedName>
    <definedName name="wwwwwwwwww" localSheetId="57" hidden="1">[1]weekly!#REF!</definedName>
    <definedName name="wwwwwwwwww" localSheetId="15" hidden="1">[1]weekly!#REF!</definedName>
    <definedName name="wwwwwwwwww" localSheetId="56" hidden="1">[1]weekly!#REF!</definedName>
    <definedName name="wwwwwwwwww" localSheetId="58" hidden="1">[1]weekly!#REF!</definedName>
    <definedName name="wwwwwwwwww" localSheetId="19" hidden="1">[1]weekly!#REF!</definedName>
    <definedName name="wwwwwwwwww" localSheetId="83" hidden="1">[1]weekly!#REF!</definedName>
    <definedName name="wwwwwwwwww" localSheetId="38" hidden="1">[1]weekly!#REF!</definedName>
    <definedName name="wwwwwwwwww" localSheetId="39" hidden="1">[1]weekly!#REF!</definedName>
    <definedName name="wwwwwwwwww" localSheetId="95" hidden="1">[1]weekly!#REF!</definedName>
    <definedName name="wwwwwwwwww" localSheetId="40" hidden="1">[1]weekly!#REF!</definedName>
    <definedName name="wwwwwwwwww" localSheetId="92" hidden="1">[1]weekly!#REF!</definedName>
    <definedName name="wwwwwwwwww" localSheetId="41" hidden="1">[1]weekly!#REF!</definedName>
    <definedName name="wwwwwwwwww" localSheetId="42" hidden="1">[1]weekly!#REF!</definedName>
    <definedName name="wwwwwwwwww" localSheetId="43" hidden="1">[1]weekly!#REF!</definedName>
    <definedName name="wwwwwwwwww" localSheetId="33" hidden="1">[1]weekly!#REF!</definedName>
    <definedName name="wwwwwwwwww" localSheetId="82" hidden="1">[1]weekly!#REF!</definedName>
    <definedName name="wwwwwwwwww" localSheetId="44" hidden="1">[1]weekly!#REF!</definedName>
    <definedName name="wwwwwwwwww" localSheetId="69" hidden="1">[1]weekly!#REF!</definedName>
    <definedName name="wwwwwwwwww" localSheetId="45" hidden="1">[1]weekly!#REF!</definedName>
    <definedName name="wwwwwwwwww" localSheetId="24" hidden="1">[1]weekly!#REF!</definedName>
    <definedName name="wwwwwwwwww" localSheetId="25" hidden="1">[1]weekly!#REF!</definedName>
    <definedName name="wwwwwwwwww" localSheetId="46" hidden="1">[1]weekly!#REF!</definedName>
    <definedName name="wwwwwwwwww" localSheetId="14" hidden="1">[1]weekly!#REF!</definedName>
    <definedName name="wwwwwwwwww" localSheetId="93" hidden="1">[1]weekly!#REF!</definedName>
    <definedName name="wwwwwwwwww" localSheetId="47" hidden="1">[1]weekly!#REF!</definedName>
    <definedName name="wwwwwwwwww" localSheetId="48" hidden="1">[1]weekly!#REF!</definedName>
    <definedName name="wwwwwwwwww" localSheetId="49" hidden="1">[1]weekly!#REF!</definedName>
    <definedName name="wwwwwwwwww" localSheetId="50" hidden="1">[1]weekly!#REF!</definedName>
    <definedName name="wwwwwwwwww" localSheetId="54" hidden="1">[1]weekly!#REF!</definedName>
    <definedName name="wwwwwwwwww" localSheetId="51" hidden="1">[1]weekly!#REF!</definedName>
    <definedName name="wwwwwwwwww" localSheetId="52" hidden="1">[1]weekly!#REF!</definedName>
    <definedName name="wwwwwwwwww" localSheetId="34" hidden="1">[1]weekly!#REF!</definedName>
    <definedName name="wwwwwwwwww" localSheetId="59" hidden="1">[1]weekly!#REF!</definedName>
    <definedName name="wwwwwwwwww" localSheetId="21" hidden="1">[1]weekly!#REF!</definedName>
    <definedName name="wwwwwwwwww" localSheetId="22" hidden="1">[1]weekly!#REF!</definedName>
    <definedName name="wwwwwwwwww" localSheetId="53" hidden="1">[1]weekly!#REF!</definedName>
    <definedName name="wwwwwwwwww" localSheetId="91" hidden="1">[1]weekly!#REF!</definedName>
    <definedName name="wwwwwwwwww" localSheetId="88" hidden="1">[1]weekly!#REF!</definedName>
    <definedName name="wwwwwwwwww" localSheetId="90" hidden="1">[1]weekly!#REF!</definedName>
    <definedName name="wwwwwwwwww" hidden="1">[1]weekly!#REF!</definedName>
    <definedName name="wwwwwwwwwww" localSheetId="60" hidden="1">[1]weekly!#REF!</definedName>
    <definedName name="wwwwwwwwwww" localSheetId="87" hidden="1">[1]weekly!#REF!</definedName>
    <definedName name="wwwwwwwwwww" localSheetId="36" hidden="1">[1]weekly!#REF!</definedName>
    <definedName name="wwwwwwwwwww" localSheetId="61" hidden="1">[1]weekly!#REF!</definedName>
    <definedName name="wwwwwwwwwww" localSheetId="37" hidden="1">[1]weekly!#REF!</definedName>
    <definedName name="wwwwwwwwwww" localSheetId="17" hidden="1">[1]weekly!#REF!</definedName>
    <definedName name="wwwwwwwwwww" localSheetId="55" hidden="1">[1]weekly!#REF!</definedName>
    <definedName name="wwwwwwwwwww" localSheetId="57" hidden="1">[1]weekly!#REF!</definedName>
    <definedName name="wwwwwwwwwww" localSheetId="15" hidden="1">[1]weekly!#REF!</definedName>
    <definedName name="wwwwwwwwwww" localSheetId="56" hidden="1">[1]weekly!#REF!</definedName>
    <definedName name="wwwwwwwwwww" localSheetId="58" hidden="1">[1]weekly!#REF!</definedName>
    <definedName name="wwwwwwwwwww" localSheetId="19" hidden="1">[1]weekly!#REF!</definedName>
    <definedName name="wwwwwwwwwww" localSheetId="83" hidden="1">[1]weekly!#REF!</definedName>
    <definedName name="wwwwwwwwwww" localSheetId="38" hidden="1">[1]weekly!#REF!</definedName>
    <definedName name="wwwwwwwwwww" localSheetId="39" hidden="1">[1]weekly!#REF!</definedName>
    <definedName name="wwwwwwwwwww" localSheetId="95" hidden="1">[1]weekly!#REF!</definedName>
    <definedName name="wwwwwwwwwww" localSheetId="40" hidden="1">[1]weekly!#REF!</definedName>
    <definedName name="wwwwwwwwwww" localSheetId="92" hidden="1">[1]weekly!#REF!</definedName>
    <definedName name="wwwwwwwwwww" localSheetId="41" hidden="1">[1]weekly!#REF!</definedName>
    <definedName name="wwwwwwwwwww" localSheetId="42" hidden="1">[1]weekly!#REF!</definedName>
    <definedName name="wwwwwwwwwww" localSheetId="43" hidden="1">[1]weekly!#REF!</definedName>
    <definedName name="wwwwwwwwwww" localSheetId="33" hidden="1">[1]weekly!#REF!</definedName>
    <definedName name="wwwwwwwwwww" localSheetId="82" hidden="1">[1]weekly!#REF!</definedName>
    <definedName name="wwwwwwwwwww" localSheetId="44" hidden="1">[1]weekly!#REF!</definedName>
    <definedName name="wwwwwwwwwww" localSheetId="69" hidden="1">[1]weekly!#REF!</definedName>
    <definedName name="wwwwwwwwwww" localSheetId="45" hidden="1">[1]weekly!#REF!</definedName>
    <definedName name="wwwwwwwwwww" localSheetId="24" hidden="1">[1]weekly!#REF!</definedName>
    <definedName name="wwwwwwwwwww" localSheetId="25" hidden="1">[1]weekly!#REF!</definedName>
    <definedName name="wwwwwwwwwww" localSheetId="46" hidden="1">[1]weekly!#REF!</definedName>
    <definedName name="wwwwwwwwwww" localSheetId="14" hidden="1">[1]weekly!#REF!</definedName>
    <definedName name="wwwwwwwwwww" localSheetId="93" hidden="1">[1]weekly!#REF!</definedName>
    <definedName name="wwwwwwwwwww" localSheetId="47" hidden="1">[1]weekly!#REF!</definedName>
    <definedName name="wwwwwwwwwww" localSheetId="48" hidden="1">[1]weekly!#REF!</definedName>
    <definedName name="wwwwwwwwwww" localSheetId="49" hidden="1">[1]weekly!#REF!</definedName>
    <definedName name="wwwwwwwwwww" localSheetId="50" hidden="1">[1]weekly!#REF!</definedName>
    <definedName name="wwwwwwwwwww" localSheetId="54" hidden="1">[1]weekly!#REF!</definedName>
    <definedName name="wwwwwwwwwww" localSheetId="51" hidden="1">[1]weekly!#REF!</definedName>
    <definedName name="wwwwwwwwwww" localSheetId="52" hidden="1">[1]weekly!#REF!</definedName>
    <definedName name="wwwwwwwwwww" localSheetId="34" hidden="1">[1]weekly!#REF!</definedName>
    <definedName name="wwwwwwwwwww" localSheetId="59" hidden="1">[1]weekly!#REF!</definedName>
    <definedName name="wwwwwwwwwww" localSheetId="21" hidden="1">[1]weekly!#REF!</definedName>
    <definedName name="wwwwwwwwwww" localSheetId="22" hidden="1">[1]weekly!#REF!</definedName>
    <definedName name="wwwwwwwwwww" localSheetId="53" hidden="1">[1]weekly!#REF!</definedName>
    <definedName name="wwwwwwwwwww" localSheetId="91" hidden="1">[1]weekly!#REF!</definedName>
    <definedName name="wwwwwwwwwww" localSheetId="88" hidden="1">[1]weekly!#REF!</definedName>
    <definedName name="wwwwwwwwwww" localSheetId="90" hidden="1">[1]weekly!#REF!</definedName>
    <definedName name="wwwwwwwwwww" hidden="1">[1]weekly!#REF!</definedName>
    <definedName name="wwwwwwwwwwwwwwwww" localSheetId="60" hidden="1">[1]weekly!#REF!</definedName>
    <definedName name="wwwwwwwwwwwwwwwww" localSheetId="87" hidden="1">[1]weekly!#REF!</definedName>
    <definedName name="wwwwwwwwwwwwwwwww" localSheetId="36" hidden="1">[1]weekly!#REF!</definedName>
    <definedName name="wwwwwwwwwwwwwwwww" localSheetId="61" hidden="1">[1]weekly!#REF!</definedName>
    <definedName name="wwwwwwwwwwwwwwwww" localSheetId="37" hidden="1">[1]weekly!#REF!</definedName>
    <definedName name="wwwwwwwwwwwwwwwww" localSheetId="17" hidden="1">[1]weekly!#REF!</definedName>
    <definedName name="wwwwwwwwwwwwwwwww" localSheetId="55" hidden="1">[1]weekly!#REF!</definedName>
    <definedName name="wwwwwwwwwwwwwwwww" localSheetId="57" hidden="1">[1]weekly!#REF!</definedName>
    <definedName name="wwwwwwwwwwwwwwwww" localSheetId="15" hidden="1">[1]weekly!#REF!</definedName>
    <definedName name="wwwwwwwwwwwwwwwww" localSheetId="56" hidden="1">[1]weekly!#REF!</definedName>
    <definedName name="wwwwwwwwwwwwwwwww" localSheetId="58" hidden="1">[1]weekly!#REF!</definedName>
    <definedName name="wwwwwwwwwwwwwwwww" localSheetId="19" hidden="1">[1]weekly!#REF!</definedName>
    <definedName name="wwwwwwwwwwwwwwwww" localSheetId="83" hidden="1">[1]weekly!#REF!</definedName>
    <definedName name="wwwwwwwwwwwwwwwww" localSheetId="38" hidden="1">[1]weekly!#REF!</definedName>
    <definedName name="wwwwwwwwwwwwwwwww" localSheetId="39" hidden="1">[1]weekly!#REF!</definedName>
    <definedName name="wwwwwwwwwwwwwwwww" localSheetId="95" hidden="1">[1]weekly!#REF!</definedName>
    <definedName name="wwwwwwwwwwwwwwwww" localSheetId="40" hidden="1">[1]weekly!#REF!</definedName>
    <definedName name="wwwwwwwwwwwwwwwww" localSheetId="92" hidden="1">[1]weekly!#REF!</definedName>
    <definedName name="wwwwwwwwwwwwwwwww" localSheetId="41" hidden="1">[1]weekly!#REF!</definedName>
    <definedName name="wwwwwwwwwwwwwwwww" localSheetId="42" hidden="1">[1]weekly!#REF!</definedName>
    <definedName name="wwwwwwwwwwwwwwwww" localSheetId="43" hidden="1">[1]weekly!#REF!</definedName>
    <definedName name="wwwwwwwwwwwwwwwww" localSheetId="33" hidden="1">[1]weekly!#REF!</definedName>
    <definedName name="wwwwwwwwwwwwwwwww" localSheetId="82" hidden="1">[1]weekly!#REF!</definedName>
    <definedName name="wwwwwwwwwwwwwwwww" localSheetId="44" hidden="1">[1]weekly!#REF!</definedName>
    <definedName name="wwwwwwwwwwwwwwwww" localSheetId="69" hidden="1">[1]weekly!#REF!</definedName>
    <definedName name="wwwwwwwwwwwwwwwww" localSheetId="45" hidden="1">[1]weekly!#REF!</definedName>
    <definedName name="wwwwwwwwwwwwwwwww" localSheetId="24" hidden="1">[1]weekly!#REF!</definedName>
    <definedName name="wwwwwwwwwwwwwwwww" localSheetId="25" hidden="1">[1]weekly!#REF!</definedName>
    <definedName name="wwwwwwwwwwwwwwwww" localSheetId="46" hidden="1">[1]weekly!#REF!</definedName>
    <definedName name="wwwwwwwwwwwwwwwww" localSheetId="14" hidden="1">[1]weekly!#REF!</definedName>
    <definedName name="wwwwwwwwwwwwwwwww" localSheetId="93" hidden="1">[1]weekly!#REF!</definedName>
    <definedName name="wwwwwwwwwwwwwwwww" localSheetId="47" hidden="1">[1]weekly!#REF!</definedName>
    <definedName name="wwwwwwwwwwwwwwwww" localSheetId="48" hidden="1">[1]weekly!#REF!</definedName>
    <definedName name="wwwwwwwwwwwwwwwww" localSheetId="49" hidden="1">[1]weekly!#REF!</definedName>
    <definedName name="wwwwwwwwwwwwwwwww" localSheetId="50" hidden="1">[1]weekly!#REF!</definedName>
    <definedName name="wwwwwwwwwwwwwwwww" localSheetId="54" hidden="1">[1]weekly!#REF!</definedName>
    <definedName name="wwwwwwwwwwwwwwwww" localSheetId="51" hidden="1">[1]weekly!#REF!</definedName>
    <definedName name="wwwwwwwwwwwwwwwww" localSheetId="52" hidden="1">[1]weekly!#REF!</definedName>
    <definedName name="wwwwwwwwwwwwwwwww" localSheetId="34" hidden="1">[1]weekly!#REF!</definedName>
    <definedName name="wwwwwwwwwwwwwwwww" localSheetId="59" hidden="1">[1]weekly!#REF!</definedName>
    <definedName name="wwwwwwwwwwwwwwwww" localSheetId="21" hidden="1">[1]weekly!#REF!</definedName>
    <definedName name="wwwwwwwwwwwwwwwww" localSheetId="22" hidden="1">[1]weekly!#REF!</definedName>
    <definedName name="wwwwwwwwwwwwwwwww" localSheetId="53" hidden="1">[1]weekly!#REF!</definedName>
    <definedName name="wwwwwwwwwwwwwwwww" localSheetId="91" hidden="1">[1]weekly!#REF!</definedName>
    <definedName name="wwwwwwwwwwwwwwwww" localSheetId="88" hidden="1">[1]weekly!#REF!</definedName>
    <definedName name="wwwwwwwwwwwwwwwww" localSheetId="90" hidden="1">[1]weekly!#REF!</definedName>
    <definedName name="wwwwwwwwwwwwwwwww" hidden="1">[1]weekly!#REF!</definedName>
    <definedName name="xx" localSheetId="60" hidden="1">[1]weekly!#REF!</definedName>
    <definedName name="xx" localSheetId="87" hidden="1">[1]weekly!#REF!</definedName>
    <definedName name="xx" localSheetId="36" hidden="1">[1]weekly!#REF!</definedName>
    <definedName name="xx" localSheetId="61" hidden="1">[1]weekly!#REF!</definedName>
    <definedName name="xx" localSheetId="37" hidden="1">[1]weekly!#REF!</definedName>
    <definedName name="xx" localSheetId="57" hidden="1">[1]weekly!#REF!</definedName>
    <definedName name="xx" localSheetId="56" hidden="1">[1]weekly!#REF!</definedName>
    <definedName name="xx" localSheetId="58" hidden="1">[1]weekly!#REF!</definedName>
    <definedName name="xx" localSheetId="83" hidden="1">[1]weekly!#REF!</definedName>
    <definedName name="xx" localSheetId="38" hidden="1">[1]weekly!#REF!</definedName>
    <definedName name="xx" localSheetId="39" hidden="1">[1]weekly!#REF!</definedName>
    <definedName name="xx" localSheetId="95" hidden="1">[1]weekly!#REF!</definedName>
    <definedName name="xx" localSheetId="40" hidden="1">[1]weekly!#REF!</definedName>
    <definedName name="xx" localSheetId="92" hidden="1">[1]weekly!#REF!</definedName>
    <definedName name="xx" localSheetId="41" hidden="1">[1]weekly!#REF!</definedName>
    <definedName name="xx" localSheetId="42" hidden="1">[1]weekly!#REF!</definedName>
    <definedName name="xx" localSheetId="43" hidden="1">[1]weekly!#REF!</definedName>
    <definedName name="xx" localSheetId="33" hidden="1">[1]weekly!#REF!</definedName>
    <definedName name="xx" localSheetId="82" hidden="1">[1]weekly!#REF!</definedName>
    <definedName name="xx" localSheetId="44" hidden="1">[1]weekly!#REF!</definedName>
    <definedName name="xx" localSheetId="69" hidden="1">[1]weekly!#REF!</definedName>
    <definedName name="xx" localSheetId="45" hidden="1">[1]weekly!#REF!</definedName>
    <definedName name="xx" localSheetId="24" hidden="1">[1]weekly!#REF!</definedName>
    <definedName name="xx" localSheetId="25" hidden="1">[1]weekly!#REF!</definedName>
    <definedName name="xx" localSheetId="46" hidden="1">[1]weekly!#REF!</definedName>
    <definedName name="xx" localSheetId="14" hidden="1">[1]weekly!#REF!</definedName>
    <definedName name="xx" localSheetId="93" hidden="1">[1]weekly!#REF!</definedName>
    <definedName name="xx" localSheetId="47" hidden="1">[1]weekly!#REF!</definedName>
    <definedName name="xx" localSheetId="48" hidden="1">[1]weekly!#REF!</definedName>
    <definedName name="xx" localSheetId="49" hidden="1">[1]weekly!#REF!</definedName>
    <definedName name="xx" localSheetId="50" hidden="1">[1]weekly!#REF!</definedName>
    <definedName name="xx" localSheetId="54" hidden="1">[1]weekly!#REF!</definedName>
    <definedName name="xx" localSheetId="51" hidden="1">[1]weekly!#REF!</definedName>
    <definedName name="xx" localSheetId="52" hidden="1">[1]weekly!#REF!</definedName>
    <definedName name="xx" localSheetId="34" hidden="1">[1]weekly!#REF!</definedName>
    <definedName name="xx" localSheetId="59" hidden="1">[1]weekly!#REF!</definedName>
    <definedName name="xx" localSheetId="53" hidden="1">[1]weekly!#REF!</definedName>
    <definedName name="xx" localSheetId="91" hidden="1">[1]weekly!#REF!</definedName>
    <definedName name="xx" localSheetId="88" hidden="1">[1]weekly!#REF!</definedName>
    <definedName name="xx" localSheetId="90" hidden="1">[1]weekly!#REF!</definedName>
    <definedName name="xx" hidden="1">[1]weekly!#REF!</definedName>
    <definedName name="xxxx" localSheetId="60" hidden="1">[1]weekly!#REF!</definedName>
    <definedName name="xxxx" localSheetId="87" hidden="1">[1]weekly!#REF!</definedName>
    <definedName name="xxxx" localSheetId="36" hidden="1">[1]weekly!#REF!</definedName>
    <definedName name="xxxx" localSheetId="61" hidden="1">[1]weekly!#REF!</definedName>
    <definedName name="xxxx" localSheetId="37" hidden="1">[1]weekly!#REF!</definedName>
    <definedName name="xxxx" localSheetId="57" hidden="1">[1]weekly!#REF!</definedName>
    <definedName name="xxxx" localSheetId="56" hidden="1">[1]weekly!#REF!</definedName>
    <definedName name="xxxx" localSheetId="58" hidden="1">[1]weekly!#REF!</definedName>
    <definedName name="xxxx" localSheetId="83" hidden="1">[1]weekly!#REF!</definedName>
    <definedName name="xxxx" localSheetId="38" hidden="1">[1]weekly!#REF!</definedName>
    <definedName name="xxxx" localSheetId="39" hidden="1">[1]weekly!#REF!</definedName>
    <definedName name="xxxx" localSheetId="95" hidden="1">[1]weekly!#REF!</definedName>
    <definedName name="xxxx" localSheetId="40" hidden="1">[1]weekly!#REF!</definedName>
    <definedName name="xxxx" localSheetId="92" hidden="1">[1]weekly!#REF!</definedName>
    <definedName name="xxxx" localSheetId="41" hidden="1">[1]weekly!#REF!</definedName>
    <definedName name="xxxx" localSheetId="42" hidden="1">[1]weekly!#REF!</definedName>
    <definedName name="xxxx" localSheetId="43" hidden="1">[1]weekly!#REF!</definedName>
    <definedName name="xxxx" localSheetId="33" hidden="1">[1]weekly!#REF!</definedName>
    <definedName name="xxxx" localSheetId="82" hidden="1">[1]weekly!#REF!</definedName>
    <definedName name="xxxx" localSheetId="44" hidden="1">[1]weekly!#REF!</definedName>
    <definedName name="xxxx" localSheetId="69" hidden="1">[1]weekly!#REF!</definedName>
    <definedName name="xxxx" localSheetId="45" hidden="1">[1]weekly!#REF!</definedName>
    <definedName name="xxxx" localSheetId="24" hidden="1">[1]weekly!#REF!</definedName>
    <definedName name="xxxx" localSheetId="25" hidden="1">[1]weekly!#REF!</definedName>
    <definedName name="xxxx" localSheetId="46" hidden="1">[1]weekly!#REF!</definedName>
    <definedName name="xxxx" localSheetId="14" hidden="1">[1]weekly!#REF!</definedName>
    <definedName name="xxxx" localSheetId="93" hidden="1">[1]weekly!#REF!</definedName>
    <definedName name="xxxx" localSheetId="47" hidden="1">[1]weekly!#REF!</definedName>
    <definedName name="xxxx" localSheetId="48" hidden="1">[1]weekly!#REF!</definedName>
    <definedName name="xxxx" localSheetId="49" hidden="1">[1]weekly!#REF!</definedName>
    <definedName name="xxxx" localSheetId="50" hidden="1">[1]weekly!#REF!</definedName>
    <definedName name="xxxx" localSheetId="54" hidden="1">[1]weekly!#REF!</definedName>
    <definedName name="xxxx" localSheetId="51" hidden="1">[1]weekly!#REF!</definedName>
    <definedName name="xxxx" localSheetId="52" hidden="1">[1]weekly!#REF!</definedName>
    <definedName name="xxxx" localSheetId="34" hidden="1">[1]weekly!#REF!</definedName>
    <definedName name="xxxx" localSheetId="59" hidden="1">[1]weekly!#REF!</definedName>
    <definedName name="xxxx" localSheetId="53" hidden="1">[1]weekly!#REF!</definedName>
    <definedName name="xxxx" localSheetId="91" hidden="1">[1]weekly!#REF!</definedName>
    <definedName name="xxxx" localSheetId="88" hidden="1">[1]weekly!#REF!</definedName>
    <definedName name="xxxx" localSheetId="90" hidden="1">[1]weekly!#REF!</definedName>
    <definedName name="xxxx" hidden="1">[1]weekly!#REF!</definedName>
    <definedName name="y" localSheetId="60" hidden="1">[1]weekly!#REF!</definedName>
    <definedName name="y" localSheetId="87" hidden="1">[1]weekly!#REF!</definedName>
    <definedName name="y" localSheetId="36" hidden="1">[1]weekly!#REF!</definedName>
    <definedName name="y" localSheetId="61" hidden="1">[1]weekly!#REF!</definedName>
    <definedName name="y" localSheetId="37" hidden="1">[1]weekly!#REF!</definedName>
    <definedName name="y" localSheetId="57" hidden="1">[1]weekly!#REF!</definedName>
    <definedName name="y" localSheetId="56" hidden="1">[1]weekly!#REF!</definedName>
    <definedName name="y" localSheetId="58" hidden="1">[1]weekly!#REF!</definedName>
    <definedName name="y" localSheetId="83" hidden="1">[1]weekly!#REF!</definedName>
    <definedName name="y" localSheetId="38" hidden="1">[1]weekly!#REF!</definedName>
    <definedName name="y" localSheetId="39" hidden="1">[1]weekly!#REF!</definedName>
    <definedName name="y" localSheetId="95" hidden="1">[1]weekly!#REF!</definedName>
    <definedName name="y" localSheetId="40" hidden="1">[1]weekly!#REF!</definedName>
    <definedName name="y" localSheetId="92" hidden="1">[1]weekly!#REF!</definedName>
    <definedName name="y" localSheetId="41" hidden="1">[1]weekly!#REF!</definedName>
    <definedName name="y" localSheetId="42" hidden="1">[1]weekly!#REF!</definedName>
    <definedName name="y" localSheetId="43" hidden="1">[1]weekly!#REF!</definedName>
    <definedName name="y" localSheetId="33" hidden="1">[1]weekly!#REF!</definedName>
    <definedName name="y" localSheetId="82" hidden="1">[1]weekly!#REF!</definedName>
    <definedName name="y" localSheetId="44" hidden="1">[1]weekly!#REF!</definedName>
    <definedName name="y" localSheetId="69" hidden="1">[1]weekly!#REF!</definedName>
    <definedName name="y" localSheetId="45" hidden="1">[1]weekly!#REF!</definedName>
    <definedName name="y" localSheetId="24" hidden="1">[1]weekly!#REF!</definedName>
    <definedName name="y" localSheetId="25" hidden="1">[1]weekly!#REF!</definedName>
    <definedName name="y" localSheetId="46" hidden="1">[1]weekly!#REF!</definedName>
    <definedName name="y" localSheetId="14" hidden="1">[1]weekly!#REF!</definedName>
    <definedName name="y" localSheetId="93" hidden="1">[1]weekly!#REF!</definedName>
    <definedName name="y" localSheetId="47" hidden="1">[1]weekly!#REF!</definedName>
    <definedName name="y" localSheetId="48" hidden="1">[1]weekly!#REF!</definedName>
    <definedName name="y" localSheetId="49" hidden="1">[1]weekly!#REF!</definedName>
    <definedName name="y" localSheetId="50" hidden="1">[1]weekly!#REF!</definedName>
    <definedName name="y" localSheetId="54" hidden="1">[1]weekly!#REF!</definedName>
    <definedName name="y" localSheetId="51" hidden="1">[1]weekly!#REF!</definedName>
    <definedName name="y" localSheetId="52" hidden="1">[1]weekly!#REF!</definedName>
    <definedName name="y" localSheetId="34" hidden="1">[1]weekly!#REF!</definedName>
    <definedName name="y" localSheetId="59" hidden="1">[1]weekly!#REF!</definedName>
    <definedName name="y" localSheetId="53" hidden="1">[1]weekly!#REF!</definedName>
    <definedName name="y" localSheetId="91" hidden="1">[1]weekly!#REF!</definedName>
    <definedName name="y" localSheetId="88" hidden="1">[1]weekly!#REF!</definedName>
    <definedName name="y" localSheetId="90" hidden="1">[1]weekly!#REF!</definedName>
    <definedName name="y" hidden="1">[1]weekly!#REF!</definedName>
    <definedName name="z" localSheetId="60" hidden="1">[1]weekly!#REF!</definedName>
    <definedName name="z" localSheetId="87" hidden="1">[1]weekly!#REF!</definedName>
    <definedName name="z" localSheetId="36" hidden="1">[1]weekly!#REF!</definedName>
    <definedName name="z" localSheetId="61" hidden="1">[1]weekly!#REF!</definedName>
    <definedName name="z" localSheetId="37" hidden="1">[1]weekly!#REF!</definedName>
    <definedName name="z" localSheetId="57" hidden="1">[1]weekly!#REF!</definedName>
    <definedName name="z" localSheetId="56" hidden="1">[1]weekly!#REF!</definedName>
    <definedName name="z" localSheetId="58" hidden="1">[1]weekly!#REF!</definedName>
    <definedName name="z" localSheetId="83" hidden="1">[1]weekly!#REF!</definedName>
    <definedName name="z" localSheetId="38" hidden="1">[1]weekly!#REF!</definedName>
    <definedName name="z" localSheetId="39" hidden="1">[1]weekly!#REF!</definedName>
    <definedName name="z" localSheetId="95" hidden="1">[1]weekly!#REF!</definedName>
    <definedName name="z" localSheetId="40" hidden="1">[1]weekly!#REF!</definedName>
    <definedName name="z" localSheetId="92" hidden="1">[1]weekly!#REF!</definedName>
    <definedName name="z" localSheetId="41" hidden="1">[1]weekly!#REF!</definedName>
    <definedName name="z" localSheetId="42" hidden="1">[1]weekly!#REF!</definedName>
    <definedName name="z" localSheetId="43" hidden="1">[1]weekly!#REF!</definedName>
    <definedName name="z" localSheetId="33" hidden="1">[1]weekly!#REF!</definedName>
    <definedName name="z" localSheetId="82" hidden="1">[1]weekly!#REF!</definedName>
    <definedName name="z" localSheetId="44" hidden="1">[1]weekly!#REF!</definedName>
    <definedName name="z" localSheetId="69" hidden="1">[1]weekly!#REF!</definedName>
    <definedName name="z" localSheetId="45" hidden="1">[1]weekly!#REF!</definedName>
    <definedName name="z" localSheetId="24" hidden="1">[1]weekly!#REF!</definedName>
    <definedName name="z" localSheetId="25" hidden="1">[1]weekly!#REF!</definedName>
    <definedName name="z" localSheetId="46" hidden="1">[1]weekly!#REF!</definedName>
    <definedName name="z" localSheetId="14" hidden="1">[1]weekly!#REF!</definedName>
    <definedName name="z" localSheetId="93" hidden="1">[1]weekly!#REF!</definedName>
    <definedName name="z" localSheetId="2" hidden="1">[1]weekly!#REF!</definedName>
    <definedName name="z" localSheetId="47" hidden="1">[1]weekly!#REF!</definedName>
    <definedName name="z" localSheetId="48" hidden="1">[1]weekly!#REF!</definedName>
    <definedName name="z" localSheetId="49" hidden="1">[1]weekly!#REF!</definedName>
    <definedName name="z" localSheetId="50" hidden="1">[1]weekly!#REF!</definedName>
    <definedName name="z" localSheetId="54" hidden="1">[1]weekly!#REF!</definedName>
    <definedName name="z" localSheetId="51" hidden="1">[1]weekly!#REF!</definedName>
    <definedName name="z" localSheetId="52" hidden="1">[1]weekly!#REF!</definedName>
    <definedName name="z" localSheetId="34" hidden="1">[1]weekly!#REF!</definedName>
    <definedName name="z" localSheetId="59" hidden="1">[1]weekly!#REF!</definedName>
    <definedName name="z" localSheetId="53" hidden="1">[1]weekly!#REF!</definedName>
    <definedName name="z" localSheetId="91" hidden="1">[1]weekly!#REF!</definedName>
    <definedName name="z" localSheetId="88" hidden="1">[1]weekly!#REF!</definedName>
    <definedName name="z" localSheetId="90" hidden="1">[1]weekly!#REF!</definedName>
    <definedName name="z" hidden="1">[1]weekly!#REF!</definedName>
    <definedName name="zz" localSheetId="60" hidden="1">[1]weekly!#REF!</definedName>
    <definedName name="zz" localSheetId="87" hidden="1">[1]weekly!#REF!</definedName>
    <definedName name="zz" localSheetId="36" hidden="1">[1]weekly!#REF!</definedName>
    <definedName name="zz" localSheetId="61" hidden="1">[1]weekly!#REF!</definedName>
    <definedName name="zz" localSheetId="37" hidden="1">[1]weekly!#REF!</definedName>
    <definedName name="zz" localSheetId="57" hidden="1">[1]weekly!#REF!</definedName>
    <definedName name="zz" localSheetId="56" hidden="1">[1]weekly!#REF!</definedName>
    <definedName name="zz" localSheetId="58" hidden="1">[1]weekly!#REF!</definedName>
    <definedName name="zz" localSheetId="83" hidden="1">[1]weekly!#REF!</definedName>
    <definedName name="zz" localSheetId="38" hidden="1">[1]weekly!#REF!</definedName>
    <definedName name="zz" localSheetId="39" hidden="1">[1]weekly!#REF!</definedName>
    <definedName name="zz" localSheetId="95" hidden="1">[1]weekly!#REF!</definedName>
    <definedName name="zz" localSheetId="40" hidden="1">[1]weekly!#REF!</definedName>
    <definedName name="zz" localSheetId="92" hidden="1">[1]weekly!#REF!</definedName>
    <definedName name="zz" localSheetId="41" hidden="1">[1]weekly!#REF!</definedName>
    <definedName name="zz" localSheetId="42" hidden="1">[1]weekly!#REF!</definedName>
    <definedName name="zz" localSheetId="43" hidden="1">[1]weekly!#REF!</definedName>
    <definedName name="zz" localSheetId="33" hidden="1">[1]weekly!#REF!</definedName>
    <definedName name="zz" localSheetId="82" hidden="1">[1]weekly!#REF!</definedName>
    <definedName name="zz" localSheetId="44" hidden="1">[1]weekly!#REF!</definedName>
    <definedName name="zz" localSheetId="69" hidden="1">[1]weekly!#REF!</definedName>
    <definedName name="zz" localSheetId="45" hidden="1">[1]weekly!#REF!</definedName>
    <definedName name="zz" localSheetId="24" hidden="1">[1]weekly!#REF!</definedName>
    <definedName name="zz" localSheetId="25" hidden="1">[1]weekly!#REF!</definedName>
    <definedName name="zz" localSheetId="46" hidden="1">[1]weekly!#REF!</definedName>
    <definedName name="zz" localSheetId="14" hidden="1">[1]weekly!#REF!</definedName>
    <definedName name="zz" localSheetId="93" hidden="1">[1]weekly!#REF!</definedName>
    <definedName name="zz" localSheetId="47" hidden="1">[1]weekly!#REF!</definedName>
    <definedName name="zz" localSheetId="48" hidden="1">[1]weekly!#REF!</definedName>
    <definedName name="zz" localSheetId="49" hidden="1">[1]weekly!#REF!</definedName>
    <definedName name="zz" localSheetId="50" hidden="1">[1]weekly!#REF!</definedName>
    <definedName name="zz" localSheetId="54" hidden="1">[1]weekly!#REF!</definedName>
    <definedName name="zz" localSheetId="51" hidden="1">[1]weekly!#REF!</definedName>
    <definedName name="zz" localSheetId="52" hidden="1">[1]weekly!#REF!</definedName>
    <definedName name="zz" localSheetId="34" hidden="1">[1]weekly!#REF!</definedName>
    <definedName name="zz" localSheetId="59" hidden="1">[1]weekly!#REF!</definedName>
    <definedName name="zz" localSheetId="53" hidden="1">[1]weekly!#REF!</definedName>
    <definedName name="zz" localSheetId="91" hidden="1">[1]weekly!#REF!</definedName>
    <definedName name="zz" localSheetId="88" hidden="1">[1]weekly!#REF!</definedName>
    <definedName name="zz" localSheetId="90" hidden="1">[1]weekly!#REF!</definedName>
    <definedName name="zz" hidden="1">[1]weekly!#REF!</definedName>
  </definedNames>
  <calcPr calcId="162913" calcMode="manual"/>
</workbook>
</file>

<file path=xl/calcChain.xml><?xml version="1.0" encoding="utf-8"?>
<calcChain xmlns="http://schemas.openxmlformats.org/spreadsheetml/2006/main">
  <c r="G63" i="69" l="1"/>
  <c r="R37" i="226" l="1"/>
  <c r="Q37" i="226"/>
  <c r="P37" i="226"/>
  <c r="O37" i="226"/>
  <c r="N37" i="226"/>
  <c r="M37" i="226"/>
  <c r="L37" i="226"/>
  <c r="K37" i="226"/>
  <c r="A37" i="226"/>
  <c r="R36" i="226"/>
  <c r="Q36" i="226"/>
  <c r="P36" i="226"/>
  <c r="O36" i="226"/>
  <c r="N36" i="226"/>
  <c r="M36" i="226"/>
  <c r="L36" i="226"/>
  <c r="K36" i="226"/>
  <c r="J36" i="226"/>
  <c r="H36" i="226"/>
  <c r="G36" i="226"/>
  <c r="F36" i="226"/>
  <c r="E36" i="226"/>
  <c r="D36" i="226"/>
  <c r="C36" i="226"/>
  <c r="B36" i="226"/>
  <c r="V35" i="226"/>
  <c r="U35" i="226"/>
  <c r="T35" i="226"/>
  <c r="S35" i="226"/>
  <c r="R35" i="226"/>
  <c r="Q35" i="226"/>
  <c r="P35" i="226"/>
  <c r="O35" i="226"/>
  <c r="N35" i="226"/>
  <c r="M35" i="226"/>
  <c r="L35" i="226"/>
  <c r="K35" i="226"/>
  <c r="J35" i="226"/>
  <c r="F35" i="226"/>
  <c r="E35" i="226"/>
  <c r="D35" i="226"/>
  <c r="C35" i="226"/>
  <c r="B35" i="226"/>
  <c r="V34" i="226"/>
  <c r="U34" i="226"/>
  <c r="T34" i="226"/>
  <c r="S34" i="226"/>
  <c r="R34" i="226"/>
  <c r="Q34" i="226"/>
  <c r="P34" i="226"/>
  <c r="O34" i="226"/>
  <c r="N34" i="226"/>
  <c r="M34" i="226"/>
  <c r="L34" i="226"/>
  <c r="K34" i="226"/>
  <c r="J34" i="226"/>
  <c r="F34" i="226"/>
  <c r="E34" i="226"/>
  <c r="D34" i="226"/>
  <c r="C34" i="226"/>
  <c r="B34" i="226"/>
  <c r="V33" i="226"/>
  <c r="U33" i="226"/>
  <c r="T33" i="226"/>
  <c r="S33" i="226"/>
  <c r="R33" i="226"/>
  <c r="Q33" i="226"/>
  <c r="P33" i="226"/>
  <c r="O33" i="226"/>
  <c r="N33" i="226"/>
  <c r="M33" i="226"/>
  <c r="L33" i="226"/>
  <c r="K33" i="226"/>
  <c r="J33" i="226"/>
  <c r="F33" i="226"/>
  <c r="E33" i="226"/>
  <c r="D33" i="226"/>
  <c r="C33" i="226"/>
  <c r="B33" i="226"/>
  <c r="V32" i="226"/>
  <c r="U32" i="226"/>
  <c r="T32" i="226"/>
  <c r="S32" i="226"/>
  <c r="R32" i="226"/>
  <c r="Q32" i="226"/>
  <c r="P32" i="226"/>
  <c r="O32" i="226"/>
  <c r="N32" i="226"/>
  <c r="M32" i="226"/>
  <c r="L32" i="226"/>
  <c r="K32" i="226"/>
  <c r="J32" i="226"/>
  <c r="F32" i="226"/>
  <c r="E32" i="226"/>
  <c r="D32" i="226"/>
  <c r="C32" i="226"/>
  <c r="B32" i="226"/>
  <c r="V31" i="226"/>
  <c r="U31" i="226"/>
  <c r="T31" i="226"/>
  <c r="S31" i="226"/>
  <c r="R31" i="226"/>
  <c r="Q31" i="226"/>
  <c r="P31" i="226"/>
  <c r="O31" i="226"/>
  <c r="N31" i="226"/>
  <c r="M31" i="226"/>
  <c r="L31" i="226"/>
  <c r="K31" i="226"/>
  <c r="J31" i="226"/>
  <c r="F31" i="226"/>
  <c r="E31" i="226"/>
  <c r="D31" i="226"/>
  <c r="C31" i="226"/>
  <c r="B31" i="226"/>
  <c r="V30" i="226"/>
  <c r="U30" i="226"/>
  <c r="T30" i="226"/>
  <c r="S30" i="226"/>
  <c r="R30" i="226"/>
  <c r="Q30" i="226"/>
  <c r="P30" i="226"/>
  <c r="O30" i="226"/>
  <c r="N30" i="226"/>
  <c r="M30" i="226"/>
  <c r="L30" i="226"/>
  <c r="K30" i="226"/>
  <c r="J30" i="226"/>
  <c r="F30" i="226"/>
  <c r="E30" i="226"/>
  <c r="D30" i="226"/>
  <c r="C30" i="226"/>
  <c r="B30" i="226"/>
  <c r="V29" i="226"/>
  <c r="U29" i="226"/>
  <c r="T29" i="226"/>
  <c r="S29" i="226"/>
  <c r="R29" i="226"/>
  <c r="Q29" i="226"/>
  <c r="P29" i="226"/>
  <c r="O29" i="226"/>
  <c r="N29" i="226"/>
  <c r="M29" i="226"/>
  <c r="L29" i="226"/>
  <c r="K29" i="226"/>
  <c r="J29" i="226"/>
  <c r="F29" i="226"/>
  <c r="E29" i="226"/>
  <c r="D29" i="226"/>
  <c r="C29" i="226"/>
  <c r="B29" i="226"/>
  <c r="V28" i="226"/>
  <c r="U28" i="226"/>
  <c r="T28" i="226"/>
  <c r="S28" i="226"/>
  <c r="R28" i="226"/>
  <c r="Q28" i="226"/>
  <c r="P28" i="226"/>
  <c r="O28" i="226"/>
  <c r="N28" i="226"/>
  <c r="M28" i="226"/>
  <c r="L28" i="226"/>
  <c r="K28" i="226"/>
  <c r="J28" i="226"/>
  <c r="F28" i="226"/>
  <c r="E28" i="226"/>
  <c r="D28" i="226"/>
  <c r="C28" i="226"/>
  <c r="B28" i="226"/>
  <c r="V27" i="226"/>
  <c r="U27" i="226"/>
  <c r="T27" i="226"/>
  <c r="S27" i="226"/>
  <c r="R27" i="226"/>
  <c r="Q27" i="226"/>
  <c r="P27" i="226"/>
  <c r="O27" i="226"/>
  <c r="N27" i="226"/>
  <c r="M27" i="226"/>
  <c r="L27" i="226"/>
  <c r="K27" i="226"/>
  <c r="J27" i="226"/>
  <c r="F27" i="226"/>
  <c r="E27" i="226"/>
  <c r="D27" i="226"/>
  <c r="C27" i="226"/>
  <c r="B27" i="226"/>
  <c r="V26" i="226"/>
  <c r="U26" i="226"/>
  <c r="T26" i="226"/>
  <c r="S26" i="226"/>
  <c r="R26" i="226"/>
  <c r="Q26" i="226"/>
  <c r="P26" i="226"/>
  <c r="O26" i="226"/>
  <c r="N26" i="226"/>
  <c r="M26" i="226"/>
  <c r="L26" i="226"/>
  <c r="K26" i="226"/>
  <c r="J26" i="226"/>
  <c r="F26" i="226"/>
  <c r="E26" i="226"/>
  <c r="D26" i="226"/>
  <c r="C26" i="226"/>
  <c r="B26" i="226"/>
  <c r="V25" i="226"/>
  <c r="U25" i="226"/>
  <c r="T25" i="226"/>
  <c r="S25" i="226"/>
  <c r="R25" i="226"/>
  <c r="Q25" i="226"/>
  <c r="P25" i="226"/>
  <c r="O25" i="226"/>
  <c r="N25" i="226"/>
  <c r="M25" i="226"/>
  <c r="L25" i="226"/>
  <c r="K25" i="226"/>
  <c r="J25" i="226"/>
  <c r="F25" i="226"/>
  <c r="E25" i="226"/>
  <c r="D25" i="226"/>
  <c r="C25" i="226"/>
  <c r="B25" i="226"/>
  <c r="V24" i="226"/>
  <c r="U24" i="226"/>
  <c r="T24" i="226"/>
  <c r="S24" i="226"/>
  <c r="R24" i="226"/>
  <c r="Q24" i="226"/>
  <c r="P24" i="226"/>
  <c r="O24" i="226"/>
  <c r="N24" i="226"/>
  <c r="M24" i="226"/>
  <c r="L24" i="226"/>
  <c r="K24" i="226"/>
  <c r="J24" i="226"/>
  <c r="F24" i="226"/>
  <c r="E24" i="226"/>
  <c r="D24" i="226"/>
  <c r="C24" i="226"/>
  <c r="B24" i="226"/>
  <c r="V23" i="226"/>
  <c r="U23" i="226"/>
  <c r="T23" i="226"/>
  <c r="S23" i="226"/>
  <c r="R23" i="226"/>
  <c r="Q23" i="226"/>
  <c r="P23" i="226"/>
  <c r="O23" i="226"/>
  <c r="N23" i="226"/>
  <c r="M23" i="226"/>
  <c r="L23" i="226"/>
  <c r="K23" i="226"/>
  <c r="J23" i="226"/>
  <c r="F23" i="226"/>
  <c r="E23" i="226"/>
  <c r="D23" i="226"/>
  <c r="C23" i="226"/>
  <c r="B23" i="226"/>
  <c r="V22" i="226"/>
  <c r="U22" i="226"/>
  <c r="T22" i="226"/>
  <c r="S22" i="226"/>
  <c r="R22" i="226"/>
  <c r="Q22" i="226"/>
  <c r="P22" i="226"/>
  <c r="O22" i="226"/>
  <c r="N22" i="226"/>
  <c r="M22" i="226"/>
  <c r="L22" i="226"/>
  <c r="K22" i="226"/>
  <c r="J22" i="226"/>
  <c r="F22" i="226"/>
  <c r="E22" i="226"/>
  <c r="D22" i="226"/>
  <c r="C22" i="226"/>
  <c r="B22" i="226"/>
  <c r="V21" i="226"/>
  <c r="U21" i="226"/>
  <c r="T21" i="226"/>
  <c r="S21" i="226"/>
  <c r="R21" i="226"/>
  <c r="Q21" i="226"/>
  <c r="P21" i="226"/>
  <c r="O21" i="226"/>
  <c r="N21" i="226"/>
  <c r="M21" i="226"/>
  <c r="L21" i="226"/>
  <c r="K21" i="226"/>
  <c r="J21" i="226"/>
  <c r="F21" i="226"/>
  <c r="E21" i="226"/>
  <c r="D21" i="226"/>
  <c r="C21" i="226"/>
  <c r="B21" i="226"/>
  <c r="V20" i="226"/>
  <c r="U20" i="226"/>
  <c r="T20" i="226"/>
  <c r="S20" i="226"/>
  <c r="R20" i="226"/>
  <c r="Q20" i="226"/>
  <c r="P20" i="226"/>
  <c r="O20" i="226"/>
  <c r="N20" i="226"/>
  <c r="M20" i="226"/>
  <c r="L20" i="226"/>
  <c r="K20" i="226"/>
  <c r="J20" i="226"/>
  <c r="F20" i="226"/>
  <c r="E20" i="226"/>
  <c r="D20" i="226"/>
  <c r="C20" i="226"/>
  <c r="B20" i="226"/>
  <c r="V19" i="226"/>
  <c r="U19" i="226"/>
  <c r="T19" i="226"/>
  <c r="S19" i="226"/>
  <c r="R19" i="226"/>
  <c r="Q19" i="226"/>
  <c r="P19" i="226"/>
  <c r="O19" i="226"/>
  <c r="N19" i="226"/>
  <c r="M19" i="226"/>
  <c r="L19" i="226"/>
  <c r="K19" i="226"/>
  <c r="J19" i="226"/>
  <c r="F19" i="226"/>
  <c r="E19" i="226"/>
  <c r="D19" i="226"/>
  <c r="C19" i="226"/>
  <c r="B19" i="226"/>
  <c r="V18" i="226"/>
  <c r="U18" i="226"/>
  <c r="T18" i="226"/>
  <c r="S18" i="226"/>
  <c r="R18" i="226"/>
  <c r="Q18" i="226"/>
  <c r="P18" i="226"/>
  <c r="O18" i="226"/>
  <c r="N18" i="226"/>
  <c r="M18" i="226"/>
  <c r="L18" i="226"/>
  <c r="K18" i="226"/>
  <c r="J18" i="226"/>
  <c r="F18" i="226"/>
  <c r="E18" i="226"/>
  <c r="D18" i="226"/>
  <c r="C18" i="226"/>
  <c r="B18" i="226"/>
  <c r="V17" i="226"/>
  <c r="U17" i="226"/>
  <c r="T17" i="226"/>
  <c r="S17" i="226"/>
  <c r="R17" i="226"/>
  <c r="Q17" i="226"/>
  <c r="P17" i="226"/>
  <c r="O17" i="226"/>
  <c r="N17" i="226"/>
  <c r="M17" i="226"/>
  <c r="L17" i="226"/>
  <c r="K17" i="226"/>
  <c r="J17" i="226"/>
  <c r="F17" i="226"/>
  <c r="E17" i="226"/>
  <c r="D17" i="226"/>
  <c r="C17" i="226"/>
  <c r="B17" i="226"/>
  <c r="U16" i="226"/>
  <c r="T16" i="226"/>
  <c r="S16" i="226"/>
  <c r="Q16" i="226"/>
  <c r="P16" i="226"/>
  <c r="O16" i="226"/>
  <c r="M16" i="226"/>
  <c r="L16" i="226"/>
  <c r="K16" i="226"/>
  <c r="I16" i="226"/>
  <c r="H16" i="226"/>
  <c r="G16" i="226"/>
  <c r="E16" i="226"/>
  <c r="D16" i="226"/>
  <c r="C16" i="226"/>
  <c r="C15" i="226"/>
  <c r="B14" i="226"/>
  <c r="A9" i="226"/>
  <c r="A1" i="226"/>
  <c r="R88" i="218"/>
  <c r="Q88" i="218"/>
  <c r="P88" i="218"/>
  <c r="O88" i="218"/>
  <c r="N88" i="218"/>
  <c r="M88" i="218"/>
  <c r="L88" i="218"/>
  <c r="K88" i="218"/>
  <c r="J88" i="218"/>
  <c r="R87" i="218"/>
  <c r="Q87" i="218"/>
  <c r="P87" i="218"/>
  <c r="O87" i="218"/>
  <c r="N87" i="218"/>
  <c r="M87" i="218"/>
  <c r="L87" i="218"/>
  <c r="K87" i="218"/>
  <c r="J87" i="218"/>
  <c r="R86" i="218"/>
  <c r="Q86" i="218"/>
  <c r="P86" i="218"/>
  <c r="O86" i="218"/>
  <c r="N86" i="218"/>
  <c r="M86" i="218"/>
  <c r="L86" i="218"/>
  <c r="K86" i="218"/>
  <c r="J86" i="218"/>
  <c r="R85" i="218"/>
  <c r="Q85" i="218"/>
  <c r="P85" i="218"/>
  <c r="O85" i="218"/>
  <c r="N85" i="218"/>
  <c r="M85" i="218"/>
  <c r="L85" i="218"/>
  <c r="K85" i="218"/>
  <c r="J85" i="218"/>
  <c r="R84" i="218"/>
  <c r="Q84" i="218"/>
  <c r="P84" i="218"/>
  <c r="O84" i="218"/>
  <c r="N84" i="218"/>
  <c r="M84" i="218"/>
  <c r="L84" i="218"/>
  <c r="K84" i="218"/>
  <c r="J84" i="218"/>
  <c r="R83" i="218"/>
  <c r="Q83" i="218"/>
  <c r="P83" i="218"/>
  <c r="O83" i="218"/>
  <c r="N83" i="218"/>
  <c r="M83" i="218"/>
  <c r="L83" i="218"/>
  <c r="K83" i="218"/>
  <c r="J83" i="218"/>
  <c r="R82" i="218"/>
  <c r="Q82" i="218"/>
  <c r="P82" i="218"/>
  <c r="O82" i="218"/>
  <c r="N82" i="218"/>
  <c r="M82" i="218"/>
  <c r="L82" i="218"/>
  <c r="K82" i="218"/>
  <c r="J82" i="218"/>
  <c r="R81" i="218"/>
  <c r="Q81" i="218"/>
  <c r="P81" i="218"/>
  <c r="O81" i="218"/>
  <c r="N81" i="218"/>
  <c r="M81" i="218"/>
  <c r="L81" i="218"/>
  <c r="K81" i="218"/>
  <c r="J81" i="218"/>
  <c r="R80" i="218"/>
  <c r="Q80" i="218"/>
  <c r="P80" i="218"/>
  <c r="O80" i="218"/>
  <c r="N80" i="218"/>
  <c r="M80" i="218"/>
  <c r="L80" i="218"/>
  <c r="K80" i="218"/>
  <c r="J80" i="218"/>
  <c r="R79" i="218"/>
  <c r="Q79" i="218"/>
  <c r="P79" i="218"/>
  <c r="O79" i="218"/>
  <c r="N79" i="218"/>
  <c r="M79" i="218"/>
  <c r="L79" i="218"/>
  <c r="K79" i="218"/>
  <c r="J79" i="218"/>
  <c r="R78" i="218"/>
  <c r="Q78" i="218"/>
  <c r="P78" i="218"/>
  <c r="O78" i="218"/>
  <c r="N78" i="218"/>
  <c r="M78" i="218"/>
  <c r="L78" i="218"/>
  <c r="K78" i="218"/>
  <c r="J78" i="218"/>
  <c r="R77" i="218"/>
  <c r="Q77" i="218"/>
  <c r="P77" i="218"/>
  <c r="O77" i="218"/>
  <c r="N77" i="218"/>
  <c r="M77" i="218"/>
  <c r="L77" i="218"/>
  <c r="K77" i="218"/>
  <c r="J77" i="218"/>
  <c r="R76" i="218"/>
  <c r="Q76" i="218"/>
  <c r="P76" i="218"/>
  <c r="O76" i="218"/>
  <c r="N76" i="218"/>
  <c r="M76" i="218"/>
  <c r="L76" i="218"/>
  <c r="K76" i="218"/>
  <c r="J76" i="218"/>
  <c r="R75" i="218"/>
  <c r="Q75" i="218"/>
  <c r="P75" i="218"/>
  <c r="O75" i="218"/>
  <c r="N75" i="218"/>
  <c r="M75" i="218"/>
  <c r="L75" i="218"/>
  <c r="K75" i="218"/>
  <c r="J75" i="218"/>
  <c r="R74" i="218"/>
  <c r="Q74" i="218"/>
  <c r="P74" i="218"/>
  <c r="O74" i="218"/>
  <c r="N74" i="218"/>
  <c r="M74" i="218"/>
  <c r="L74" i="218"/>
  <c r="K74" i="218"/>
  <c r="J74" i="218"/>
  <c r="R73" i="218"/>
  <c r="Q73" i="218"/>
  <c r="P73" i="218"/>
  <c r="O73" i="218"/>
  <c r="N73" i="218"/>
  <c r="M73" i="218"/>
  <c r="L73" i="218"/>
  <c r="K73" i="218"/>
  <c r="J73" i="218"/>
  <c r="R72" i="218"/>
  <c r="Q72" i="218"/>
  <c r="P72" i="218"/>
  <c r="O72" i="218"/>
  <c r="N72" i="218"/>
  <c r="M72" i="218"/>
  <c r="L72" i="218"/>
  <c r="K72" i="218"/>
  <c r="J72" i="218"/>
  <c r="R71" i="218"/>
  <c r="Q71" i="218"/>
  <c r="P71" i="218"/>
  <c r="O71" i="218"/>
  <c r="N71" i="218"/>
  <c r="M71" i="218"/>
  <c r="L71" i="218"/>
  <c r="K71" i="218"/>
  <c r="J71" i="218"/>
  <c r="R70" i="218"/>
  <c r="Q70" i="218"/>
  <c r="P70" i="218"/>
  <c r="O70" i="218"/>
  <c r="N70" i="218"/>
  <c r="M70" i="218"/>
  <c r="L70" i="218"/>
  <c r="K70" i="218"/>
  <c r="J70" i="218"/>
  <c r="R69" i="218"/>
  <c r="Q69" i="218"/>
  <c r="P69" i="218"/>
  <c r="O69" i="218"/>
  <c r="N69" i="218"/>
  <c r="M69" i="218"/>
  <c r="L69" i="218"/>
  <c r="K69" i="218"/>
  <c r="J69" i="218"/>
  <c r="R68" i="218"/>
  <c r="Q68" i="218"/>
  <c r="P68" i="218"/>
  <c r="O68" i="218"/>
  <c r="N68" i="218"/>
  <c r="M68" i="218"/>
  <c r="L68" i="218"/>
  <c r="K68" i="218"/>
  <c r="J68" i="218"/>
  <c r="R67" i="218"/>
  <c r="Q67" i="218"/>
  <c r="P67" i="218"/>
  <c r="O67" i="218"/>
  <c r="N67" i="218"/>
  <c r="M67" i="218"/>
  <c r="L67" i="218"/>
  <c r="K67" i="218"/>
  <c r="J67" i="218"/>
  <c r="R66" i="218"/>
  <c r="Q66" i="218"/>
  <c r="P66" i="218"/>
  <c r="O66" i="218"/>
  <c r="N66" i="218"/>
  <c r="M66" i="218"/>
  <c r="L66" i="218"/>
  <c r="K66" i="218"/>
  <c r="J66" i="218"/>
  <c r="I65" i="218"/>
  <c r="H65" i="218"/>
  <c r="G65" i="218"/>
  <c r="F65" i="218"/>
  <c r="E65" i="218"/>
  <c r="D65" i="218"/>
  <c r="C65" i="218"/>
  <c r="I64" i="218"/>
  <c r="H64" i="218"/>
  <c r="G64" i="218"/>
  <c r="F64" i="218"/>
  <c r="E64" i="218"/>
  <c r="D64" i="218"/>
  <c r="C64" i="218"/>
  <c r="I63" i="218"/>
  <c r="H63" i="218"/>
  <c r="G63" i="218"/>
  <c r="F63" i="218"/>
  <c r="A10" i="218"/>
  <c r="A1" i="218"/>
  <c r="X93" i="227"/>
  <c r="W93" i="227"/>
  <c r="V93" i="227"/>
  <c r="U93" i="227"/>
  <c r="T93" i="227"/>
  <c r="S93" i="227"/>
  <c r="R93" i="227"/>
  <c r="Q93" i="227"/>
  <c r="P93" i="227"/>
  <c r="O93" i="227"/>
  <c r="N93" i="227"/>
  <c r="M93" i="227"/>
  <c r="L93" i="227"/>
  <c r="K93" i="227"/>
  <c r="J93" i="227"/>
  <c r="I93" i="227"/>
  <c r="H93" i="227"/>
  <c r="G93" i="227"/>
  <c r="F93" i="227"/>
  <c r="E93" i="227"/>
  <c r="D93" i="227"/>
  <c r="C93" i="227"/>
  <c r="X92" i="227"/>
  <c r="W92" i="227"/>
  <c r="V92" i="227"/>
  <c r="U92" i="227"/>
  <c r="T92" i="227"/>
  <c r="S92" i="227"/>
  <c r="R92" i="227"/>
  <c r="Q92" i="227"/>
  <c r="P92" i="227"/>
  <c r="O92" i="227"/>
  <c r="N92" i="227"/>
  <c r="M92" i="227"/>
  <c r="L92" i="227"/>
  <c r="K92" i="227"/>
  <c r="J92" i="227"/>
  <c r="I92" i="227"/>
  <c r="H92" i="227"/>
  <c r="G92" i="227"/>
  <c r="F92" i="227"/>
  <c r="E92" i="227"/>
  <c r="D92" i="227"/>
  <c r="C92" i="227"/>
  <c r="X91" i="227"/>
  <c r="W91" i="227"/>
  <c r="V91" i="227"/>
  <c r="U91" i="227"/>
  <c r="T91" i="227"/>
  <c r="S91" i="227"/>
  <c r="R91" i="227"/>
  <c r="Q91" i="227"/>
  <c r="P91" i="227"/>
  <c r="O91" i="227"/>
  <c r="N91" i="227"/>
  <c r="M91" i="227"/>
  <c r="L91" i="227"/>
  <c r="K91" i="227"/>
  <c r="J91" i="227"/>
  <c r="I91" i="227"/>
  <c r="H91" i="227"/>
  <c r="G91" i="227"/>
  <c r="F91" i="227"/>
  <c r="E91" i="227"/>
  <c r="D91" i="227"/>
  <c r="C91" i="227"/>
  <c r="X90" i="227"/>
  <c r="W90" i="227"/>
  <c r="V90" i="227"/>
  <c r="U90" i="227"/>
  <c r="T90" i="227"/>
  <c r="S90" i="227"/>
  <c r="R90" i="227"/>
  <c r="Q90" i="227"/>
  <c r="P90" i="227"/>
  <c r="O90" i="227"/>
  <c r="N90" i="227"/>
  <c r="M90" i="227"/>
  <c r="L90" i="227"/>
  <c r="K90" i="227"/>
  <c r="J90" i="227"/>
  <c r="I90" i="227"/>
  <c r="H90" i="227"/>
  <c r="G90" i="227"/>
  <c r="F90" i="227"/>
  <c r="E90" i="227"/>
  <c r="D90" i="227"/>
  <c r="C90" i="227"/>
  <c r="X89" i="227"/>
  <c r="W89" i="227"/>
  <c r="V89" i="227"/>
  <c r="U89" i="227"/>
  <c r="T89" i="227"/>
  <c r="S89" i="227"/>
  <c r="R89" i="227"/>
  <c r="Q89" i="227"/>
  <c r="P89" i="227"/>
  <c r="O89" i="227"/>
  <c r="N89" i="227"/>
  <c r="M89" i="227"/>
  <c r="L89" i="227"/>
  <c r="K89" i="227"/>
  <c r="J89" i="227"/>
  <c r="I89" i="227"/>
  <c r="H89" i="227"/>
  <c r="G89" i="227"/>
  <c r="F89" i="227"/>
  <c r="E89" i="227"/>
  <c r="D89" i="227"/>
  <c r="C89" i="227"/>
  <c r="X88" i="227"/>
  <c r="W88" i="227"/>
  <c r="V88" i="227"/>
  <c r="U88" i="227"/>
  <c r="T88" i="227"/>
  <c r="S88" i="227"/>
  <c r="R88" i="227"/>
  <c r="Q88" i="227"/>
  <c r="P88" i="227"/>
  <c r="O88" i="227"/>
  <c r="N88" i="227"/>
  <c r="M88" i="227"/>
  <c r="L88" i="227"/>
  <c r="K88" i="227"/>
  <c r="J88" i="227"/>
  <c r="I88" i="227"/>
  <c r="H88" i="227"/>
  <c r="G88" i="227"/>
  <c r="F88" i="227"/>
  <c r="E88" i="227"/>
  <c r="D88" i="227"/>
  <c r="C88" i="227"/>
  <c r="Y87" i="227"/>
  <c r="X87" i="227"/>
  <c r="W87" i="227"/>
  <c r="V87" i="227"/>
  <c r="U87" i="227"/>
  <c r="T87" i="227"/>
  <c r="S87" i="227"/>
  <c r="R87" i="227"/>
  <c r="Q87" i="227"/>
  <c r="P87" i="227"/>
  <c r="O87" i="227"/>
  <c r="N87" i="227"/>
  <c r="M87" i="227"/>
  <c r="L87" i="227"/>
  <c r="K87" i="227"/>
  <c r="J87" i="227"/>
  <c r="I87" i="227"/>
  <c r="H87" i="227"/>
  <c r="G87" i="227"/>
  <c r="F87" i="227"/>
  <c r="E87" i="227"/>
  <c r="D87" i="227"/>
  <c r="C87" i="227"/>
  <c r="Y86" i="227"/>
  <c r="X86" i="227"/>
  <c r="W86" i="227"/>
  <c r="V86" i="227"/>
  <c r="U86" i="227"/>
  <c r="T86" i="227"/>
  <c r="S86" i="227"/>
  <c r="R86" i="227"/>
  <c r="Q86" i="227"/>
  <c r="P86" i="227"/>
  <c r="O86" i="227"/>
  <c r="N86" i="227"/>
  <c r="M86" i="227"/>
  <c r="L86" i="227"/>
  <c r="K86" i="227"/>
  <c r="J86" i="227"/>
  <c r="I86" i="227"/>
  <c r="H86" i="227"/>
  <c r="G86" i="227"/>
  <c r="F86" i="227"/>
  <c r="E86" i="227"/>
  <c r="D86" i="227"/>
  <c r="C86" i="227"/>
  <c r="Y85" i="227"/>
  <c r="X85" i="227"/>
  <c r="W85" i="227"/>
  <c r="V85" i="227"/>
  <c r="U85" i="227"/>
  <c r="T85" i="227"/>
  <c r="S85" i="227"/>
  <c r="R85" i="227"/>
  <c r="Q85" i="227"/>
  <c r="P85" i="227"/>
  <c r="O85" i="227"/>
  <c r="N85" i="227"/>
  <c r="M85" i="227"/>
  <c r="L85" i="227"/>
  <c r="K85" i="227"/>
  <c r="J85" i="227"/>
  <c r="I85" i="227"/>
  <c r="H85" i="227"/>
  <c r="G85" i="227"/>
  <c r="F85" i="227"/>
  <c r="E85" i="227"/>
  <c r="D85" i="227"/>
  <c r="C85" i="227"/>
  <c r="Y84" i="227"/>
  <c r="X84" i="227"/>
  <c r="W84" i="227"/>
  <c r="V84" i="227"/>
  <c r="U84" i="227"/>
  <c r="T84" i="227"/>
  <c r="S84" i="227"/>
  <c r="R84" i="227"/>
  <c r="Q84" i="227"/>
  <c r="P84" i="227"/>
  <c r="O84" i="227"/>
  <c r="N84" i="227"/>
  <c r="M84" i="227"/>
  <c r="L84" i="227"/>
  <c r="K84" i="227"/>
  <c r="J84" i="227"/>
  <c r="I84" i="227"/>
  <c r="H84" i="227"/>
  <c r="G84" i="227"/>
  <c r="F84" i="227"/>
  <c r="E84" i="227"/>
  <c r="D84" i="227"/>
  <c r="C84" i="227"/>
  <c r="Y83" i="227"/>
  <c r="X83" i="227"/>
  <c r="W83" i="227"/>
  <c r="V83" i="227"/>
  <c r="U83" i="227"/>
  <c r="T83" i="227"/>
  <c r="S83" i="227"/>
  <c r="R83" i="227"/>
  <c r="Q83" i="227"/>
  <c r="P83" i="227"/>
  <c r="O83" i="227"/>
  <c r="N83" i="227"/>
  <c r="M83" i="227"/>
  <c r="L83" i="227"/>
  <c r="K83" i="227"/>
  <c r="J83" i="227"/>
  <c r="I83" i="227"/>
  <c r="H83" i="227"/>
  <c r="G83" i="227"/>
  <c r="F83" i="227"/>
  <c r="E83" i="227"/>
  <c r="D83" i="227"/>
  <c r="C83" i="227"/>
  <c r="Y82" i="227"/>
  <c r="X82" i="227"/>
  <c r="W82" i="227"/>
  <c r="V82" i="227"/>
  <c r="U82" i="227"/>
  <c r="T82" i="227"/>
  <c r="S82" i="227"/>
  <c r="R82" i="227"/>
  <c r="Q82" i="227"/>
  <c r="P82" i="227"/>
  <c r="O82" i="227"/>
  <c r="N82" i="227"/>
  <c r="M82" i="227"/>
  <c r="L82" i="227"/>
  <c r="K82" i="227"/>
  <c r="J82" i="227"/>
  <c r="I82" i="227"/>
  <c r="H82" i="227"/>
  <c r="G82" i="227"/>
  <c r="F82" i="227"/>
  <c r="E82" i="227"/>
  <c r="D82" i="227"/>
  <c r="C82" i="227"/>
  <c r="Y81" i="227"/>
  <c r="X81" i="227"/>
  <c r="W81" i="227"/>
  <c r="V81" i="227"/>
  <c r="U81" i="227"/>
  <c r="T81" i="227"/>
  <c r="S81" i="227"/>
  <c r="R81" i="227"/>
  <c r="Q81" i="227"/>
  <c r="P81" i="227"/>
  <c r="O81" i="227"/>
  <c r="N81" i="227"/>
  <c r="M81" i="227"/>
  <c r="L81" i="227"/>
  <c r="K81" i="227"/>
  <c r="J81" i="227"/>
  <c r="I81" i="227"/>
  <c r="H81" i="227"/>
  <c r="G81" i="227"/>
  <c r="F81" i="227"/>
  <c r="E81" i="227"/>
  <c r="D81" i="227"/>
  <c r="C81" i="227"/>
  <c r="Z40" i="227"/>
  <c r="Y40" i="227"/>
  <c r="X40" i="227"/>
  <c r="W40" i="227"/>
  <c r="V40" i="227"/>
  <c r="U40" i="227"/>
  <c r="T40" i="227"/>
  <c r="S40" i="227"/>
  <c r="R40" i="227"/>
  <c r="Q40" i="227"/>
  <c r="P40" i="227"/>
  <c r="O40" i="227"/>
  <c r="N40" i="227"/>
  <c r="M40" i="227"/>
  <c r="L40" i="227"/>
  <c r="K40" i="227"/>
  <c r="J40" i="227"/>
  <c r="I40" i="227"/>
  <c r="H40" i="227"/>
  <c r="G40" i="227"/>
  <c r="F40" i="227"/>
  <c r="E40" i="227"/>
  <c r="D40" i="227"/>
  <c r="C40" i="227"/>
  <c r="AA39" i="227"/>
  <c r="Z39" i="227"/>
  <c r="Y39" i="227"/>
  <c r="X39" i="227"/>
  <c r="W39" i="227"/>
  <c r="V39" i="227"/>
  <c r="U39" i="227"/>
  <c r="T39" i="227"/>
  <c r="S39" i="227"/>
  <c r="R39" i="227"/>
  <c r="Q39" i="227"/>
  <c r="P39" i="227"/>
  <c r="O39" i="227"/>
  <c r="N39" i="227"/>
  <c r="M39" i="227"/>
  <c r="L39" i="227"/>
  <c r="K39" i="227"/>
  <c r="J39" i="227"/>
  <c r="I39" i="227"/>
  <c r="H39" i="227"/>
  <c r="G39" i="227"/>
  <c r="F39" i="227"/>
  <c r="E39" i="227"/>
  <c r="D39" i="227"/>
  <c r="C39" i="227"/>
  <c r="Z38" i="227"/>
  <c r="Y38" i="227"/>
  <c r="X38" i="227"/>
  <c r="W38" i="227"/>
  <c r="V38" i="227"/>
  <c r="U38" i="227"/>
  <c r="T38" i="227"/>
  <c r="S38" i="227"/>
  <c r="R38" i="227"/>
  <c r="Q38" i="227"/>
  <c r="P38" i="227"/>
  <c r="O38" i="227"/>
  <c r="N38" i="227"/>
  <c r="M38" i="227"/>
  <c r="L38" i="227"/>
  <c r="K38" i="227"/>
  <c r="J38" i="227"/>
  <c r="I38" i="227"/>
  <c r="H38" i="227"/>
  <c r="G38" i="227"/>
  <c r="F38" i="227"/>
  <c r="E38" i="227"/>
  <c r="D38" i="227"/>
  <c r="C38" i="227"/>
  <c r="AA37" i="227"/>
  <c r="Z37" i="227"/>
  <c r="Y37" i="227"/>
  <c r="X37" i="227"/>
  <c r="W37" i="227"/>
  <c r="V37" i="227"/>
  <c r="U37" i="227"/>
  <c r="T37" i="227"/>
  <c r="S37" i="227"/>
  <c r="R37" i="227"/>
  <c r="Q37" i="227"/>
  <c r="P37" i="227"/>
  <c r="O37" i="227"/>
  <c r="N37" i="227"/>
  <c r="M37" i="227"/>
  <c r="L37" i="227"/>
  <c r="K37" i="227"/>
  <c r="J37" i="227"/>
  <c r="I37" i="227"/>
  <c r="H37" i="227"/>
  <c r="G37" i="227"/>
  <c r="F37" i="227"/>
  <c r="E37" i="227"/>
  <c r="D37" i="227"/>
  <c r="C37" i="227"/>
  <c r="AA36" i="227"/>
  <c r="Z36" i="227"/>
  <c r="Y36" i="227"/>
  <c r="X36" i="227"/>
  <c r="W36" i="227"/>
  <c r="V36" i="227"/>
  <c r="U36" i="227"/>
  <c r="T36" i="227"/>
  <c r="S36" i="227"/>
  <c r="R36" i="227"/>
  <c r="Q36" i="227"/>
  <c r="P36" i="227"/>
  <c r="O36" i="227"/>
  <c r="N36" i="227"/>
  <c r="M36" i="227"/>
  <c r="L36" i="227"/>
  <c r="K36" i="227"/>
  <c r="J36" i="227"/>
  <c r="I36" i="227"/>
  <c r="H36" i="227"/>
  <c r="G36" i="227"/>
  <c r="F36" i="227"/>
  <c r="E36" i="227"/>
  <c r="D36" i="227"/>
  <c r="C36" i="227"/>
  <c r="Z34" i="227"/>
  <c r="Y34" i="227"/>
  <c r="X34" i="227"/>
  <c r="W34" i="227"/>
  <c r="V34" i="227"/>
  <c r="U34" i="227"/>
  <c r="T34" i="227"/>
  <c r="S34" i="227"/>
  <c r="R34" i="227"/>
  <c r="Q34" i="227"/>
  <c r="P34" i="227"/>
  <c r="O34" i="227"/>
  <c r="N34" i="227"/>
  <c r="M34" i="227"/>
  <c r="L34" i="227"/>
  <c r="K34" i="227"/>
  <c r="J34" i="227"/>
  <c r="I34" i="227"/>
  <c r="H34" i="227"/>
  <c r="G34" i="227"/>
  <c r="F34" i="227"/>
  <c r="E34" i="227"/>
  <c r="D34" i="227"/>
  <c r="C34" i="227"/>
  <c r="AA33" i="227"/>
  <c r="Z33" i="227"/>
  <c r="Y33" i="227"/>
  <c r="X33" i="227"/>
  <c r="W33" i="227"/>
  <c r="V33" i="227"/>
  <c r="U33" i="227"/>
  <c r="T33" i="227"/>
  <c r="S33" i="227"/>
  <c r="R33" i="227"/>
  <c r="Q33" i="227"/>
  <c r="P33" i="227"/>
  <c r="O33" i="227"/>
  <c r="N33" i="227"/>
  <c r="M33" i="227"/>
  <c r="L33" i="227"/>
  <c r="K33" i="227"/>
  <c r="J33" i="227"/>
  <c r="I33" i="227"/>
  <c r="H33" i="227"/>
  <c r="G33" i="227"/>
  <c r="F33" i="227"/>
  <c r="E33" i="227"/>
  <c r="D33" i="227"/>
  <c r="C33" i="227"/>
  <c r="AA32" i="227"/>
  <c r="Z32" i="227"/>
  <c r="Y32" i="227"/>
  <c r="X32" i="227"/>
  <c r="W32" i="227"/>
  <c r="V32" i="227"/>
  <c r="U32" i="227"/>
  <c r="T32" i="227"/>
  <c r="S32" i="227"/>
  <c r="R32" i="227"/>
  <c r="Q32" i="227"/>
  <c r="P32" i="227"/>
  <c r="O32" i="227"/>
  <c r="N32" i="227"/>
  <c r="M32" i="227"/>
  <c r="L32" i="227"/>
  <c r="K32" i="227"/>
  <c r="J32" i="227"/>
  <c r="I32" i="227"/>
  <c r="H32" i="227"/>
  <c r="G32" i="227"/>
  <c r="F32" i="227"/>
  <c r="E32" i="227"/>
  <c r="D32" i="227"/>
  <c r="C32" i="227"/>
  <c r="AA28" i="227"/>
  <c r="Z28" i="227"/>
  <c r="Y28" i="227"/>
  <c r="X28" i="227"/>
  <c r="W28" i="227"/>
  <c r="V28" i="227"/>
  <c r="U28" i="227"/>
  <c r="T28" i="227"/>
  <c r="S28" i="227"/>
  <c r="R28" i="227"/>
  <c r="Q28" i="227"/>
  <c r="P28" i="227"/>
  <c r="O28" i="227"/>
  <c r="N28" i="227"/>
  <c r="M28" i="227"/>
  <c r="L28" i="227"/>
  <c r="K28" i="227"/>
  <c r="J28" i="227"/>
  <c r="I28" i="227"/>
  <c r="H28" i="227"/>
  <c r="G28" i="227"/>
  <c r="F28" i="227"/>
  <c r="E28" i="227"/>
  <c r="D28" i="227"/>
  <c r="C28" i="227"/>
  <c r="AA27" i="227"/>
  <c r="Z27" i="227"/>
  <c r="Y27" i="227"/>
  <c r="X27" i="227"/>
  <c r="W27" i="227"/>
  <c r="V27" i="227"/>
  <c r="U27" i="227"/>
  <c r="T27" i="227"/>
  <c r="S27" i="227"/>
  <c r="R27" i="227"/>
  <c r="Q27" i="227"/>
  <c r="P27" i="227"/>
  <c r="O27" i="227"/>
  <c r="N27" i="227"/>
  <c r="M27" i="227"/>
  <c r="L27" i="227"/>
  <c r="K27" i="227"/>
  <c r="J27" i="227"/>
  <c r="I27" i="227"/>
  <c r="H27" i="227"/>
  <c r="G27" i="227"/>
  <c r="F27" i="227"/>
  <c r="E27" i="227"/>
  <c r="D27" i="227"/>
  <c r="C27" i="227"/>
  <c r="AA23" i="227"/>
  <c r="Z23" i="227"/>
  <c r="Y23" i="227"/>
  <c r="X23" i="227"/>
  <c r="W23" i="227"/>
  <c r="V23" i="227"/>
  <c r="U23" i="227"/>
  <c r="T23" i="227"/>
  <c r="S23" i="227"/>
  <c r="R23" i="227"/>
  <c r="Q23" i="227"/>
  <c r="P23" i="227"/>
  <c r="O23" i="227"/>
  <c r="N23" i="227"/>
  <c r="M23" i="227"/>
  <c r="L23" i="227"/>
  <c r="K23" i="227"/>
  <c r="J23" i="227"/>
  <c r="I23" i="227"/>
  <c r="H23" i="227"/>
  <c r="G23" i="227"/>
  <c r="F23" i="227"/>
  <c r="E23" i="227"/>
  <c r="D23" i="227"/>
  <c r="C23" i="227"/>
  <c r="AA22" i="227"/>
  <c r="Z22" i="227"/>
  <c r="Y22" i="227"/>
  <c r="X22" i="227"/>
  <c r="W22" i="227"/>
  <c r="V22" i="227"/>
  <c r="U22" i="227"/>
  <c r="T22" i="227"/>
  <c r="S22" i="227"/>
  <c r="R22" i="227"/>
  <c r="Q22" i="227"/>
  <c r="P22" i="227"/>
  <c r="O22" i="227"/>
  <c r="N22" i="227"/>
  <c r="M22" i="227"/>
  <c r="L22" i="227"/>
  <c r="K22" i="227"/>
  <c r="J22" i="227"/>
  <c r="I22" i="227"/>
  <c r="H22" i="227"/>
  <c r="G22" i="227"/>
  <c r="F22" i="227"/>
  <c r="E22" i="227"/>
  <c r="D22" i="227"/>
  <c r="C22" i="227"/>
  <c r="AA18" i="227"/>
  <c r="Z18" i="227"/>
  <c r="Y18" i="227"/>
  <c r="X18" i="227"/>
  <c r="W18" i="227"/>
  <c r="V18" i="227"/>
  <c r="U18" i="227"/>
  <c r="T18" i="227"/>
  <c r="S18" i="227"/>
  <c r="R18" i="227"/>
  <c r="Q18" i="227"/>
  <c r="P18" i="227"/>
  <c r="O18" i="227"/>
  <c r="N18" i="227"/>
  <c r="M18" i="227"/>
  <c r="L18" i="227"/>
  <c r="K18" i="227"/>
  <c r="J18" i="227"/>
  <c r="I18" i="227"/>
  <c r="H18" i="227"/>
  <c r="G18" i="227"/>
  <c r="F18" i="227"/>
  <c r="E18" i="227"/>
  <c r="D18" i="227"/>
  <c r="C18" i="227"/>
  <c r="AA17" i="227"/>
  <c r="Z17" i="227"/>
  <c r="Y17" i="227"/>
  <c r="X17" i="227"/>
  <c r="W17" i="227"/>
  <c r="V17" i="227"/>
  <c r="U17" i="227"/>
  <c r="T17" i="227"/>
  <c r="S17" i="227"/>
  <c r="R17" i="227"/>
  <c r="Q17" i="227"/>
  <c r="P17" i="227"/>
  <c r="O17" i="227"/>
  <c r="N17" i="227"/>
  <c r="M17" i="227"/>
  <c r="L17" i="227"/>
  <c r="K17" i="227"/>
  <c r="J17" i="227"/>
  <c r="I17" i="227"/>
  <c r="H17" i="227"/>
  <c r="G17" i="227"/>
  <c r="F17" i="227"/>
  <c r="E17" i="227"/>
  <c r="D17" i="227"/>
  <c r="C17" i="227"/>
  <c r="AA13" i="227"/>
  <c r="Z13" i="227"/>
  <c r="Y13" i="227"/>
  <c r="X13" i="227"/>
  <c r="W13" i="227"/>
  <c r="V13" i="227"/>
  <c r="U13" i="227"/>
  <c r="T13" i="227"/>
  <c r="S13" i="227"/>
  <c r="R13" i="227"/>
  <c r="Q13" i="227"/>
  <c r="P13" i="227"/>
  <c r="O13" i="227"/>
  <c r="N13" i="227"/>
  <c r="M13" i="227"/>
  <c r="L13" i="227"/>
  <c r="K13" i="227"/>
  <c r="J13" i="227"/>
  <c r="I13" i="227"/>
  <c r="H13" i="227"/>
  <c r="G13" i="227"/>
  <c r="F13" i="227"/>
  <c r="E13" i="227"/>
  <c r="D13" i="227"/>
  <c r="C13" i="227"/>
  <c r="AA12" i="227"/>
  <c r="Z12" i="227"/>
  <c r="Y12" i="227"/>
  <c r="X12" i="227"/>
  <c r="W12" i="227"/>
  <c r="V12" i="227"/>
  <c r="U12" i="227"/>
  <c r="T12" i="227"/>
  <c r="S12" i="227"/>
  <c r="R12" i="227"/>
  <c r="Q12" i="227"/>
  <c r="P12" i="227"/>
  <c r="O12" i="227"/>
  <c r="N12" i="227"/>
  <c r="M12" i="227"/>
  <c r="L12" i="227"/>
  <c r="K12" i="227"/>
  <c r="J12" i="227"/>
  <c r="I12" i="227"/>
  <c r="H12" i="227"/>
  <c r="G12" i="227"/>
  <c r="F12" i="227"/>
  <c r="E12" i="227"/>
  <c r="D12" i="227"/>
  <c r="C12" i="227"/>
  <c r="A1" i="227"/>
  <c r="U626" i="217"/>
  <c r="T626" i="217"/>
  <c r="S626" i="217"/>
  <c r="R626" i="217"/>
  <c r="Q626" i="217"/>
  <c r="P626" i="217"/>
  <c r="O626" i="217"/>
  <c r="N626" i="217"/>
  <c r="M626" i="217"/>
  <c r="L626" i="217"/>
  <c r="K626" i="217"/>
  <c r="J626" i="217"/>
  <c r="H625" i="217"/>
  <c r="G625" i="217"/>
  <c r="F625" i="217"/>
  <c r="E625" i="217"/>
  <c r="D625" i="217"/>
  <c r="U624" i="217"/>
  <c r="T624" i="217"/>
  <c r="S624" i="217"/>
  <c r="R624" i="217"/>
  <c r="Q624" i="217"/>
  <c r="P624" i="217"/>
  <c r="O624" i="217"/>
  <c r="N624" i="217"/>
  <c r="M624" i="217"/>
  <c r="L624" i="217"/>
  <c r="K624" i="217"/>
  <c r="J624" i="217"/>
  <c r="H623" i="217"/>
  <c r="G623" i="217"/>
  <c r="F623" i="217"/>
  <c r="E623" i="217"/>
  <c r="D623" i="217"/>
  <c r="U622" i="217"/>
  <c r="T622" i="217"/>
  <c r="S622" i="217"/>
  <c r="R622" i="217"/>
  <c r="Q622" i="217"/>
  <c r="P622" i="217"/>
  <c r="O622" i="217"/>
  <c r="N622" i="217"/>
  <c r="M622" i="217"/>
  <c r="L622" i="217"/>
  <c r="K622" i="217"/>
  <c r="J622" i="217"/>
  <c r="H621" i="217"/>
  <c r="G621" i="217"/>
  <c r="F621" i="217"/>
  <c r="E621" i="217"/>
  <c r="D621" i="217"/>
  <c r="C621" i="217"/>
  <c r="U620" i="217"/>
  <c r="T620" i="217"/>
  <c r="S620" i="217"/>
  <c r="R620" i="217"/>
  <c r="Q620" i="217"/>
  <c r="P620" i="217"/>
  <c r="O620" i="217"/>
  <c r="N620" i="217"/>
  <c r="M620" i="217"/>
  <c r="L620" i="217"/>
  <c r="K620" i="217"/>
  <c r="J620" i="217"/>
  <c r="H619" i="217"/>
  <c r="G619" i="217"/>
  <c r="F619" i="217"/>
  <c r="E619" i="217"/>
  <c r="D619" i="217"/>
  <c r="U618" i="217"/>
  <c r="T618" i="217"/>
  <c r="S618" i="217"/>
  <c r="R618" i="217"/>
  <c r="Q618" i="217"/>
  <c r="P618" i="217"/>
  <c r="O618" i="217"/>
  <c r="N618" i="217"/>
  <c r="M618" i="217"/>
  <c r="L618" i="217"/>
  <c r="K618" i="217"/>
  <c r="J618" i="217"/>
  <c r="H617" i="217"/>
  <c r="G617" i="217"/>
  <c r="F617" i="217"/>
  <c r="E617" i="217"/>
  <c r="D617" i="217"/>
  <c r="U616" i="217"/>
  <c r="T616" i="217"/>
  <c r="S616" i="217"/>
  <c r="R616" i="217"/>
  <c r="Q616" i="217"/>
  <c r="P616" i="217"/>
  <c r="O616" i="217"/>
  <c r="N616" i="217"/>
  <c r="M616" i="217"/>
  <c r="L616" i="217"/>
  <c r="K616" i="217"/>
  <c r="J616" i="217"/>
  <c r="H615" i="217"/>
  <c r="G615" i="217"/>
  <c r="F615" i="217"/>
  <c r="E615" i="217"/>
  <c r="D615" i="217"/>
  <c r="C615" i="217"/>
  <c r="U614" i="217"/>
  <c r="T614" i="217"/>
  <c r="S614" i="217"/>
  <c r="R614" i="217"/>
  <c r="Q614" i="217"/>
  <c r="P614" i="217"/>
  <c r="O614" i="217"/>
  <c r="N614" i="217"/>
  <c r="M614" i="217"/>
  <c r="L614" i="217"/>
  <c r="K614" i="217"/>
  <c r="J614" i="217"/>
  <c r="I614" i="217"/>
  <c r="H614" i="217"/>
  <c r="G614" i="217"/>
  <c r="F614" i="217"/>
  <c r="E614" i="217"/>
  <c r="D614" i="217"/>
  <c r="C614" i="217"/>
  <c r="U588" i="217"/>
  <c r="T588" i="217"/>
  <c r="S588" i="217"/>
  <c r="R588" i="217"/>
  <c r="Q588" i="217"/>
  <c r="P588" i="217"/>
  <c r="O588" i="217"/>
  <c r="N588" i="217"/>
  <c r="M588" i="217"/>
  <c r="L588" i="217"/>
  <c r="K588" i="217"/>
  <c r="J588" i="217"/>
  <c r="I588" i="217"/>
  <c r="G588" i="217"/>
  <c r="F588" i="217"/>
  <c r="E588" i="217"/>
  <c r="D588" i="217"/>
  <c r="C588" i="217"/>
  <c r="U587" i="217"/>
  <c r="T587" i="217"/>
  <c r="S587" i="217"/>
  <c r="R587" i="217"/>
  <c r="Q587" i="217"/>
  <c r="P587" i="217"/>
  <c r="O587" i="217"/>
  <c r="N587" i="217"/>
  <c r="M587" i="217"/>
  <c r="L587" i="217"/>
  <c r="K587" i="217"/>
  <c r="J587" i="217"/>
  <c r="I587" i="217"/>
  <c r="U586" i="217"/>
  <c r="T586" i="217"/>
  <c r="S586" i="217"/>
  <c r="R586" i="217"/>
  <c r="Q586" i="217"/>
  <c r="P586" i="217"/>
  <c r="O586" i="217"/>
  <c r="N586" i="217"/>
  <c r="M586" i="217"/>
  <c r="L586" i="217"/>
  <c r="K586" i="217"/>
  <c r="J586" i="217"/>
  <c r="I586" i="217"/>
  <c r="U585" i="217"/>
  <c r="T585" i="217"/>
  <c r="S585" i="217"/>
  <c r="R585" i="217"/>
  <c r="Q585" i="217"/>
  <c r="P585" i="217"/>
  <c r="O585" i="217"/>
  <c r="N585" i="217"/>
  <c r="M585" i="217"/>
  <c r="L585" i="217"/>
  <c r="K585" i="217"/>
  <c r="J585" i="217"/>
  <c r="I585" i="217"/>
  <c r="U584" i="217"/>
  <c r="T584" i="217"/>
  <c r="S584" i="217"/>
  <c r="R584" i="217"/>
  <c r="Q584" i="217"/>
  <c r="P584" i="217"/>
  <c r="O584" i="217"/>
  <c r="N584" i="217"/>
  <c r="M584" i="217"/>
  <c r="L584" i="217"/>
  <c r="K584" i="217"/>
  <c r="J584" i="217"/>
  <c r="I584" i="217"/>
  <c r="U583" i="217"/>
  <c r="T583" i="217"/>
  <c r="S583" i="217"/>
  <c r="R583" i="217"/>
  <c r="Q583" i="217"/>
  <c r="P583" i="217"/>
  <c r="O583" i="217"/>
  <c r="N583" i="217"/>
  <c r="M583" i="217"/>
  <c r="L583" i="217"/>
  <c r="K583" i="217"/>
  <c r="J583" i="217"/>
  <c r="I583" i="217"/>
  <c r="I582" i="217"/>
  <c r="H582" i="217"/>
  <c r="G582" i="217"/>
  <c r="F582" i="217"/>
  <c r="E582" i="217"/>
  <c r="D582" i="217"/>
  <c r="C582" i="217"/>
  <c r="I581" i="217"/>
  <c r="H581" i="217"/>
  <c r="G581" i="217"/>
  <c r="F581" i="217"/>
  <c r="E581" i="217"/>
  <c r="D581" i="217"/>
  <c r="C581" i="217"/>
  <c r="I580" i="217"/>
  <c r="H580" i="217"/>
  <c r="G580" i="217"/>
  <c r="F580" i="217"/>
  <c r="E580" i="217"/>
  <c r="D580" i="217"/>
  <c r="C580" i="217"/>
  <c r="I579" i="217"/>
  <c r="H579" i="217"/>
  <c r="G579" i="217"/>
  <c r="F579" i="217"/>
  <c r="E579" i="217"/>
  <c r="D579" i="217"/>
  <c r="C579" i="217"/>
  <c r="I578" i="217"/>
  <c r="H578" i="217"/>
  <c r="G578" i="217"/>
  <c r="F578" i="217"/>
  <c r="E578" i="217"/>
  <c r="D578" i="217"/>
  <c r="C578" i="217"/>
  <c r="U577" i="217"/>
  <c r="T577" i="217"/>
  <c r="S577" i="217"/>
  <c r="R577" i="217"/>
  <c r="Q577" i="217"/>
  <c r="P577" i="217"/>
  <c r="O577" i="217"/>
  <c r="N577" i="217"/>
  <c r="M577" i="217"/>
  <c r="L577" i="217"/>
  <c r="K577" i="217"/>
  <c r="J577" i="217"/>
  <c r="I577" i="217"/>
  <c r="U576" i="217"/>
  <c r="T576" i="217"/>
  <c r="S576" i="217"/>
  <c r="R576" i="217"/>
  <c r="Q576" i="217"/>
  <c r="P576" i="217"/>
  <c r="O576" i="217"/>
  <c r="N576" i="217"/>
  <c r="M576" i="217"/>
  <c r="L576" i="217"/>
  <c r="K576" i="217"/>
  <c r="J576" i="217"/>
  <c r="I576" i="217"/>
  <c r="U575" i="217"/>
  <c r="T575" i="217"/>
  <c r="S575" i="217"/>
  <c r="R575" i="217"/>
  <c r="Q575" i="217"/>
  <c r="P575" i="217"/>
  <c r="O575" i="217"/>
  <c r="N575" i="217"/>
  <c r="M575" i="217"/>
  <c r="L575" i="217"/>
  <c r="K575" i="217"/>
  <c r="J575" i="217"/>
  <c r="I575" i="217"/>
  <c r="U574" i="217"/>
  <c r="T574" i="217"/>
  <c r="S574" i="217"/>
  <c r="R574" i="217"/>
  <c r="Q574" i="217"/>
  <c r="P574" i="217"/>
  <c r="O574" i="217"/>
  <c r="N574" i="217"/>
  <c r="M574" i="217"/>
  <c r="L574" i="217"/>
  <c r="K574" i="217"/>
  <c r="J574" i="217"/>
  <c r="I574" i="217"/>
  <c r="U573" i="217"/>
  <c r="T573" i="217"/>
  <c r="S573" i="217"/>
  <c r="R573" i="217"/>
  <c r="Q573" i="217"/>
  <c r="P573" i="217"/>
  <c r="O573" i="217"/>
  <c r="N573" i="217"/>
  <c r="M573" i="217"/>
  <c r="L573" i="217"/>
  <c r="K573" i="217"/>
  <c r="J573" i="217"/>
  <c r="I573" i="217"/>
  <c r="I572" i="217"/>
  <c r="H572" i="217"/>
  <c r="G572" i="217"/>
  <c r="F572" i="217"/>
  <c r="E572" i="217"/>
  <c r="D572" i="217"/>
  <c r="C572" i="217"/>
  <c r="I571" i="217"/>
  <c r="H571" i="217"/>
  <c r="G571" i="217"/>
  <c r="F571" i="217"/>
  <c r="E571" i="217"/>
  <c r="D571" i="217"/>
  <c r="C571" i="217"/>
  <c r="I570" i="217"/>
  <c r="H570" i="217"/>
  <c r="G570" i="217"/>
  <c r="F570" i="217"/>
  <c r="E570" i="217"/>
  <c r="D570" i="217"/>
  <c r="C570" i="217"/>
  <c r="I569" i="217"/>
  <c r="H569" i="217"/>
  <c r="G569" i="217"/>
  <c r="F569" i="217"/>
  <c r="E569" i="217"/>
  <c r="D569" i="217"/>
  <c r="C569" i="217"/>
  <c r="I568" i="217"/>
  <c r="H568" i="217"/>
  <c r="G568" i="217"/>
  <c r="F568" i="217"/>
  <c r="E568" i="217"/>
  <c r="D568" i="217"/>
  <c r="C568" i="217"/>
  <c r="U567" i="217"/>
  <c r="T567" i="217"/>
  <c r="S567" i="217"/>
  <c r="R567" i="217"/>
  <c r="Q567" i="217"/>
  <c r="P567" i="217"/>
  <c r="O567" i="217"/>
  <c r="N567" i="217"/>
  <c r="M567" i="217"/>
  <c r="L567" i="217"/>
  <c r="K567" i="217"/>
  <c r="J567" i="217"/>
  <c r="I567" i="217"/>
  <c r="H567" i="217"/>
  <c r="G567" i="217"/>
  <c r="F567" i="217"/>
  <c r="E567" i="217"/>
  <c r="D567" i="217"/>
  <c r="C567" i="217"/>
  <c r="S564" i="217"/>
  <c r="R564" i="217"/>
  <c r="Q564" i="217"/>
  <c r="P564" i="217"/>
  <c r="O564" i="217"/>
  <c r="N564" i="217"/>
  <c r="M564" i="217"/>
  <c r="L564" i="217"/>
  <c r="K564" i="217"/>
  <c r="J564" i="217"/>
  <c r="I564" i="217"/>
  <c r="H564" i="217"/>
  <c r="S563" i="217"/>
  <c r="R563" i="217"/>
  <c r="Q563" i="217"/>
  <c r="P563" i="217"/>
  <c r="O563" i="217"/>
  <c r="N563" i="217"/>
  <c r="M563" i="217"/>
  <c r="L563" i="217"/>
  <c r="K563" i="217"/>
  <c r="J563" i="217"/>
  <c r="I563" i="217"/>
  <c r="H563" i="217"/>
  <c r="S562" i="217"/>
  <c r="R562" i="217"/>
  <c r="Q562" i="217"/>
  <c r="P562" i="217"/>
  <c r="O562" i="217"/>
  <c r="N562" i="217"/>
  <c r="M562" i="217"/>
  <c r="L562" i="217"/>
  <c r="K562" i="217"/>
  <c r="J562" i="217"/>
  <c r="I562" i="217"/>
  <c r="H562" i="217"/>
  <c r="S561" i="217"/>
  <c r="R561" i="217"/>
  <c r="Q561" i="217"/>
  <c r="P561" i="217"/>
  <c r="O561" i="217"/>
  <c r="N561" i="217"/>
  <c r="M561" i="217"/>
  <c r="L561" i="217"/>
  <c r="K561" i="217"/>
  <c r="J561" i="217"/>
  <c r="I561" i="217"/>
  <c r="H561" i="217"/>
  <c r="S560" i="217"/>
  <c r="R560" i="217"/>
  <c r="Q560" i="217"/>
  <c r="P560" i="217"/>
  <c r="O560" i="217"/>
  <c r="N560" i="217"/>
  <c r="M560" i="217"/>
  <c r="L560" i="217"/>
  <c r="K560" i="217"/>
  <c r="J560" i="217"/>
  <c r="I560" i="217"/>
  <c r="H560" i="217"/>
  <c r="S559" i="217"/>
  <c r="R559" i="217"/>
  <c r="Q559" i="217"/>
  <c r="P559" i="217"/>
  <c r="O559" i="217"/>
  <c r="N559" i="217"/>
  <c r="M559" i="217"/>
  <c r="L559" i="217"/>
  <c r="K559" i="217"/>
  <c r="J559" i="217"/>
  <c r="I559" i="217"/>
  <c r="H559" i="217"/>
  <c r="S558" i="217"/>
  <c r="R558" i="217"/>
  <c r="Q558" i="217"/>
  <c r="P558" i="217"/>
  <c r="O558" i="217"/>
  <c r="N558" i="217"/>
  <c r="M558" i="217"/>
  <c r="L558" i="217"/>
  <c r="K558" i="217"/>
  <c r="J558" i="217"/>
  <c r="I558" i="217"/>
  <c r="H558" i="217"/>
  <c r="S557" i="217"/>
  <c r="R557" i="217"/>
  <c r="Q557" i="217"/>
  <c r="P557" i="217"/>
  <c r="O557" i="217"/>
  <c r="N557" i="217"/>
  <c r="M557" i="217"/>
  <c r="L557" i="217"/>
  <c r="K557" i="217"/>
  <c r="J557" i="217"/>
  <c r="I557" i="217"/>
  <c r="H557" i="217"/>
  <c r="S556" i="217"/>
  <c r="R556" i="217"/>
  <c r="Q556" i="217"/>
  <c r="P556" i="217"/>
  <c r="O556" i="217"/>
  <c r="N556" i="217"/>
  <c r="M556" i="217"/>
  <c r="L556" i="217"/>
  <c r="K556" i="217"/>
  <c r="J556" i="217"/>
  <c r="I556" i="217"/>
  <c r="H556" i="217"/>
  <c r="S555" i="217"/>
  <c r="R555" i="217"/>
  <c r="Q555" i="217"/>
  <c r="P555" i="217"/>
  <c r="O555" i="217"/>
  <c r="N555" i="217"/>
  <c r="M555" i="217"/>
  <c r="L555" i="217"/>
  <c r="K555" i="217"/>
  <c r="J555" i="217"/>
  <c r="I555" i="217"/>
  <c r="H555" i="217"/>
  <c r="S554" i="217"/>
  <c r="R554" i="217"/>
  <c r="Q554" i="217"/>
  <c r="P554" i="217"/>
  <c r="O554" i="217"/>
  <c r="N554" i="217"/>
  <c r="M554" i="217"/>
  <c r="L554" i="217"/>
  <c r="K554" i="217"/>
  <c r="J554" i="217"/>
  <c r="I554" i="217"/>
  <c r="H554" i="217"/>
  <c r="H531" i="217"/>
  <c r="U530" i="217"/>
  <c r="T530" i="217"/>
  <c r="S530" i="217"/>
  <c r="R530" i="217"/>
  <c r="Q530" i="217"/>
  <c r="P530" i="217"/>
  <c r="O530" i="217"/>
  <c r="N530" i="217"/>
  <c r="M530" i="217"/>
  <c r="L530" i="217"/>
  <c r="K530" i="217"/>
  <c r="J530" i="217"/>
  <c r="I530" i="217"/>
  <c r="H530" i="217"/>
  <c r="U529" i="217"/>
  <c r="T529" i="217"/>
  <c r="S529" i="217"/>
  <c r="R529" i="217"/>
  <c r="Q529" i="217"/>
  <c r="P529" i="217"/>
  <c r="O529" i="217"/>
  <c r="N529" i="217"/>
  <c r="M529" i="217"/>
  <c r="L529" i="217"/>
  <c r="K529" i="217"/>
  <c r="J529" i="217"/>
  <c r="I529" i="217"/>
  <c r="H529" i="217"/>
  <c r="F529" i="217"/>
  <c r="E529" i="217"/>
  <c r="D529" i="217"/>
  <c r="C529" i="217"/>
  <c r="U528" i="217"/>
  <c r="T528" i="217"/>
  <c r="S528" i="217"/>
  <c r="R528" i="217"/>
  <c r="Q528" i="217"/>
  <c r="P528" i="217"/>
  <c r="O528" i="217"/>
  <c r="N528" i="217"/>
  <c r="M528" i="217"/>
  <c r="L528" i="217"/>
  <c r="K528" i="217"/>
  <c r="J528" i="217"/>
  <c r="I528" i="217"/>
  <c r="U527" i="217"/>
  <c r="T527" i="217"/>
  <c r="S527" i="217"/>
  <c r="R527" i="217"/>
  <c r="Q527" i="217"/>
  <c r="P527" i="217"/>
  <c r="O527" i="217"/>
  <c r="N527" i="217"/>
  <c r="M527" i="217"/>
  <c r="L527" i="217"/>
  <c r="K527" i="217"/>
  <c r="J527" i="217"/>
  <c r="I527" i="217"/>
  <c r="U526" i="217"/>
  <c r="T526" i="217"/>
  <c r="S526" i="217"/>
  <c r="R526" i="217"/>
  <c r="Q526" i="217"/>
  <c r="P526" i="217"/>
  <c r="O526" i="217"/>
  <c r="N526" i="217"/>
  <c r="M526" i="217"/>
  <c r="L526" i="217"/>
  <c r="K526" i="217"/>
  <c r="J526" i="217"/>
  <c r="I526" i="217"/>
  <c r="U525" i="217"/>
  <c r="T525" i="217"/>
  <c r="S525" i="217"/>
  <c r="R525" i="217"/>
  <c r="Q525" i="217"/>
  <c r="P525" i="217"/>
  <c r="O525" i="217"/>
  <c r="N525" i="217"/>
  <c r="M525" i="217"/>
  <c r="L525" i="217"/>
  <c r="K525" i="217"/>
  <c r="J525" i="217"/>
  <c r="I525" i="217"/>
  <c r="U524" i="217"/>
  <c r="T524" i="217"/>
  <c r="S524" i="217"/>
  <c r="R524" i="217"/>
  <c r="Q524" i="217"/>
  <c r="P524" i="217"/>
  <c r="O524" i="217"/>
  <c r="N524" i="217"/>
  <c r="M524" i="217"/>
  <c r="L524" i="217"/>
  <c r="K524" i="217"/>
  <c r="J524" i="217"/>
  <c r="I524" i="217"/>
  <c r="I523" i="217"/>
  <c r="H523" i="217"/>
  <c r="G523" i="217"/>
  <c r="F523" i="217"/>
  <c r="E523" i="217"/>
  <c r="I522" i="217"/>
  <c r="H522" i="217"/>
  <c r="G522" i="217"/>
  <c r="F522" i="217"/>
  <c r="E522" i="217"/>
  <c r="I521" i="217"/>
  <c r="H521" i="217"/>
  <c r="G521" i="217"/>
  <c r="F521" i="217"/>
  <c r="E521" i="217"/>
  <c r="I520" i="217"/>
  <c r="H520" i="217"/>
  <c r="G520" i="217"/>
  <c r="F520" i="217"/>
  <c r="E520" i="217"/>
  <c r="I519" i="217"/>
  <c r="H519" i="217"/>
  <c r="G519" i="217"/>
  <c r="F519" i="217"/>
  <c r="E519" i="217"/>
  <c r="U518" i="217"/>
  <c r="T518" i="217"/>
  <c r="S518" i="217"/>
  <c r="R518" i="217"/>
  <c r="Q518" i="217"/>
  <c r="P518" i="217"/>
  <c r="O518" i="217"/>
  <c r="N518" i="217"/>
  <c r="M518" i="217"/>
  <c r="L518" i="217"/>
  <c r="K518" i="217"/>
  <c r="J518" i="217"/>
  <c r="I518" i="217"/>
  <c r="U517" i="217"/>
  <c r="T517" i="217"/>
  <c r="S517" i="217"/>
  <c r="R517" i="217"/>
  <c r="Q517" i="217"/>
  <c r="P517" i="217"/>
  <c r="O517" i="217"/>
  <c r="N517" i="217"/>
  <c r="M517" i="217"/>
  <c r="L517" i="217"/>
  <c r="K517" i="217"/>
  <c r="J517" i="217"/>
  <c r="I517" i="217"/>
  <c r="U516" i="217"/>
  <c r="T516" i="217"/>
  <c r="S516" i="217"/>
  <c r="R516" i="217"/>
  <c r="Q516" i="217"/>
  <c r="P516" i="217"/>
  <c r="O516" i="217"/>
  <c r="N516" i="217"/>
  <c r="M516" i="217"/>
  <c r="L516" i="217"/>
  <c r="K516" i="217"/>
  <c r="J516" i="217"/>
  <c r="I516" i="217"/>
  <c r="U515" i="217"/>
  <c r="T515" i="217"/>
  <c r="S515" i="217"/>
  <c r="R515" i="217"/>
  <c r="Q515" i="217"/>
  <c r="P515" i="217"/>
  <c r="O515" i="217"/>
  <c r="N515" i="217"/>
  <c r="M515" i="217"/>
  <c r="L515" i="217"/>
  <c r="K515" i="217"/>
  <c r="J515" i="217"/>
  <c r="I515" i="217"/>
  <c r="U514" i="217"/>
  <c r="T514" i="217"/>
  <c r="S514" i="217"/>
  <c r="R514" i="217"/>
  <c r="Q514" i="217"/>
  <c r="P514" i="217"/>
  <c r="O514" i="217"/>
  <c r="N514" i="217"/>
  <c r="M514" i="217"/>
  <c r="L514" i="217"/>
  <c r="K514" i="217"/>
  <c r="J514" i="217"/>
  <c r="I514" i="217"/>
  <c r="I513" i="217"/>
  <c r="H513" i="217"/>
  <c r="G513" i="217"/>
  <c r="F513" i="217"/>
  <c r="E513" i="217"/>
  <c r="I512" i="217"/>
  <c r="H512" i="217"/>
  <c r="G512" i="217"/>
  <c r="F512" i="217"/>
  <c r="E512" i="217"/>
  <c r="I511" i="217"/>
  <c r="H511" i="217"/>
  <c r="G511" i="217"/>
  <c r="F511" i="217"/>
  <c r="E511" i="217"/>
  <c r="I510" i="217"/>
  <c r="H510" i="217"/>
  <c r="G510" i="217"/>
  <c r="F510" i="217"/>
  <c r="E510" i="217"/>
  <c r="I509" i="217"/>
  <c r="H509" i="217"/>
  <c r="G509" i="217"/>
  <c r="F509" i="217"/>
  <c r="E509" i="217"/>
  <c r="U508" i="217"/>
  <c r="T508" i="217"/>
  <c r="S508" i="217"/>
  <c r="R508" i="217"/>
  <c r="Q508" i="217"/>
  <c r="P508" i="217"/>
  <c r="O508" i="217"/>
  <c r="N508" i="217"/>
  <c r="M508" i="217"/>
  <c r="L508" i="217"/>
  <c r="K508" i="217"/>
  <c r="J508" i="217"/>
  <c r="I508" i="217"/>
  <c r="H508" i="217"/>
  <c r="G508" i="217"/>
  <c r="F508" i="217"/>
  <c r="E508" i="217"/>
  <c r="D508" i="217"/>
  <c r="C508" i="217"/>
  <c r="U483" i="217"/>
  <c r="T483" i="217"/>
  <c r="S483" i="217"/>
  <c r="R483" i="217"/>
  <c r="Q483" i="217"/>
  <c r="P483" i="217"/>
  <c r="O483" i="217"/>
  <c r="N483" i="217"/>
  <c r="M483" i="217"/>
  <c r="L483" i="217"/>
  <c r="H482" i="217"/>
  <c r="G482" i="217"/>
  <c r="F482" i="217"/>
  <c r="E482" i="217"/>
  <c r="D482" i="217"/>
  <c r="C482" i="217"/>
  <c r="U481" i="217"/>
  <c r="T481" i="217"/>
  <c r="S481" i="217"/>
  <c r="R481" i="217"/>
  <c r="Q481" i="217"/>
  <c r="P481" i="217"/>
  <c r="O481" i="217"/>
  <c r="N481" i="217"/>
  <c r="M481" i="217"/>
  <c r="L481" i="217"/>
  <c r="H480" i="217"/>
  <c r="G480" i="217"/>
  <c r="F480" i="217"/>
  <c r="E480" i="217"/>
  <c r="D480" i="217"/>
  <c r="C480" i="217"/>
  <c r="U479" i="217"/>
  <c r="T479" i="217"/>
  <c r="S479" i="217"/>
  <c r="R479" i="217"/>
  <c r="Q479" i="217"/>
  <c r="P479" i="217"/>
  <c r="O479" i="217"/>
  <c r="N479" i="217"/>
  <c r="M479" i="217"/>
  <c r="L479" i="217"/>
  <c r="H478" i="217"/>
  <c r="G478" i="217"/>
  <c r="F478" i="217"/>
  <c r="E478" i="217"/>
  <c r="D478" i="217"/>
  <c r="C478" i="217"/>
  <c r="U477" i="217"/>
  <c r="T477" i="217"/>
  <c r="S477" i="217"/>
  <c r="R477" i="217"/>
  <c r="Q477" i="217"/>
  <c r="P477" i="217"/>
  <c r="O477" i="217"/>
  <c r="N477" i="217"/>
  <c r="M477" i="217"/>
  <c r="L477" i="217"/>
  <c r="H476" i="217"/>
  <c r="G476" i="217"/>
  <c r="F476" i="217"/>
  <c r="E476" i="217"/>
  <c r="D476" i="217"/>
  <c r="C476" i="217"/>
  <c r="U475" i="217"/>
  <c r="T475" i="217"/>
  <c r="S475" i="217"/>
  <c r="R475" i="217"/>
  <c r="Q475" i="217"/>
  <c r="P475" i="217"/>
  <c r="O475" i="217"/>
  <c r="N475" i="217"/>
  <c r="M475" i="217"/>
  <c r="L475" i="217"/>
  <c r="H474" i="217"/>
  <c r="G474" i="217"/>
  <c r="F474" i="217"/>
  <c r="E474" i="217"/>
  <c r="D474" i="217"/>
  <c r="C474" i="217"/>
  <c r="U473" i="217"/>
  <c r="T473" i="217"/>
  <c r="S473" i="217"/>
  <c r="R473" i="217"/>
  <c r="Q473" i="217"/>
  <c r="P473" i="217"/>
  <c r="O473" i="217"/>
  <c r="N473" i="217"/>
  <c r="M473" i="217"/>
  <c r="L473" i="217"/>
  <c r="H472" i="217"/>
  <c r="G472" i="217"/>
  <c r="F472" i="217"/>
  <c r="E472" i="217"/>
  <c r="D472" i="217"/>
  <c r="C472" i="217"/>
  <c r="U471" i="217"/>
  <c r="T471" i="217"/>
  <c r="S471" i="217"/>
  <c r="R471" i="217"/>
  <c r="Q471" i="217"/>
  <c r="P471" i="217"/>
  <c r="O471" i="217"/>
  <c r="N471" i="217"/>
  <c r="M471" i="217"/>
  <c r="L471" i="217"/>
  <c r="K471" i="217"/>
  <c r="J471" i="217"/>
  <c r="I471" i="217"/>
  <c r="H471" i="217"/>
  <c r="G471" i="217"/>
  <c r="F471" i="217"/>
  <c r="E471" i="217"/>
  <c r="D471" i="217"/>
  <c r="C471" i="217"/>
  <c r="U446" i="217"/>
  <c r="T446" i="217"/>
  <c r="S446" i="217"/>
  <c r="R446" i="217"/>
  <c r="Q446" i="217"/>
  <c r="P446" i="217"/>
  <c r="O446" i="217"/>
  <c r="N446" i="217"/>
  <c r="M446" i="217"/>
  <c r="L446" i="217"/>
  <c r="H445" i="217"/>
  <c r="G445" i="217"/>
  <c r="F445" i="217"/>
  <c r="E445" i="217"/>
  <c r="U444" i="217"/>
  <c r="T444" i="217"/>
  <c r="S444" i="217"/>
  <c r="R444" i="217"/>
  <c r="Q444" i="217"/>
  <c r="P444" i="217"/>
  <c r="O444" i="217"/>
  <c r="N444" i="217"/>
  <c r="M444" i="217"/>
  <c r="L444" i="217"/>
  <c r="H443" i="217"/>
  <c r="G443" i="217"/>
  <c r="F443" i="217"/>
  <c r="E443" i="217"/>
  <c r="U442" i="217"/>
  <c r="T442" i="217"/>
  <c r="S442" i="217"/>
  <c r="R442" i="217"/>
  <c r="Q442" i="217"/>
  <c r="P442" i="217"/>
  <c r="O442" i="217"/>
  <c r="N442" i="217"/>
  <c r="M442" i="217"/>
  <c r="L442" i="217"/>
  <c r="K442" i="217"/>
  <c r="J442" i="217"/>
  <c r="I442" i="217"/>
  <c r="H442" i="217"/>
  <c r="G442" i="217"/>
  <c r="F442" i="217"/>
  <c r="E442" i="217"/>
  <c r="D442" i="217"/>
  <c r="C442" i="217"/>
  <c r="U417" i="217"/>
  <c r="T417" i="217"/>
  <c r="S417" i="217"/>
  <c r="R417" i="217"/>
  <c r="Q417" i="217"/>
  <c r="P417" i="217"/>
  <c r="O417" i="217"/>
  <c r="N417" i="217"/>
  <c r="M417" i="217"/>
  <c r="L417" i="217"/>
  <c r="H416" i="217"/>
  <c r="G416" i="217"/>
  <c r="F416" i="217"/>
  <c r="E416" i="217"/>
  <c r="U415" i="217"/>
  <c r="T415" i="217"/>
  <c r="S415" i="217"/>
  <c r="R415" i="217"/>
  <c r="Q415" i="217"/>
  <c r="P415" i="217"/>
  <c r="O415" i="217"/>
  <c r="N415" i="217"/>
  <c r="M415" i="217"/>
  <c r="L415" i="217"/>
  <c r="H414" i="217"/>
  <c r="G414" i="217"/>
  <c r="F414" i="217"/>
  <c r="E414" i="217"/>
  <c r="U413" i="217"/>
  <c r="T413" i="217"/>
  <c r="S413" i="217"/>
  <c r="R413" i="217"/>
  <c r="Q413" i="217"/>
  <c r="P413" i="217"/>
  <c r="O413" i="217"/>
  <c r="N413" i="217"/>
  <c r="M413" i="217"/>
  <c r="L413" i="217"/>
  <c r="K413" i="217"/>
  <c r="J413" i="217"/>
  <c r="I413" i="217"/>
  <c r="H413" i="217"/>
  <c r="G413" i="217"/>
  <c r="F413" i="217"/>
  <c r="E413" i="217"/>
  <c r="D413" i="217"/>
  <c r="C413" i="217"/>
  <c r="U388" i="217"/>
  <c r="T388" i="217"/>
  <c r="S388" i="217"/>
  <c r="R388" i="217"/>
  <c r="Q388" i="217"/>
  <c r="P388" i="217"/>
  <c r="O388" i="217"/>
  <c r="N388" i="217"/>
  <c r="M388" i="217"/>
  <c r="L388" i="217"/>
  <c r="H387" i="217"/>
  <c r="G387" i="217"/>
  <c r="F387" i="217"/>
  <c r="E387" i="217"/>
  <c r="U386" i="217"/>
  <c r="T386" i="217"/>
  <c r="S386" i="217"/>
  <c r="R386" i="217"/>
  <c r="Q386" i="217"/>
  <c r="P386" i="217"/>
  <c r="O386" i="217"/>
  <c r="N386" i="217"/>
  <c r="M386" i="217"/>
  <c r="L386" i="217"/>
  <c r="H385" i="217"/>
  <c r="G385" i="217"/>
  <c r="F385" i="217"/>
  <c r="E385" i="217"/>
  <c r="U384" i="217"/>
  <c r="T384" i="217"/>
  <c r="S384" i="217"/>
  <c r="R384" i="217"/>
  <c r="Q384" i="217"/>
  <c r="P384" i="217"/>
  <c r="O384" i="217"/>
  <c r="N384" i="217"/>
  <c r="M384" i="217"/>
  <c r="L384" i="217"/>
  <c r="K384" i="217"/>
  <c r="J384" i="217"/>
  <c r="I384" i="217"/>
  <c r="H384" i="217"/>
  <c r="G384" i="217"/>
  <c r="F384" i="217"/>
  <c r="E384" i="217"/>
  <c r="D384" i="217"/>
  <c r="C384" i="217"/>
  <c r="U359" i="217"/>
  <c r="T359" i="217"/>
  <c r="S359" i="217"/>
  <c r="R359" i="217"/>
  <c r="Q359" i="217"/>
  <c r="P359" i="217"/>
  <c r="O359" i="217"/>
  <c r="N359" i="217"/>
  <c r="M359" i="217"/>
  <c r="L359" i="217"/>
  <c r="K359" i="217"/>
  <c r="J359" i="217"/>
  <c r="H358" i="217"/>
  <c r="G358" i="217"/>
  <c r="F358" i="217"/>
  <c r="E358" i="217"/>
  <c r="D358" i="217"/>
  <c r="C358" i="217"/>
  <c r="U357" i="217"/>
  <c r="T357" i="217"/>
  <c r="S357" i="217"/>
  <c r="R357" i="217"/>
  <c r="Q357" i="217"/>
  <c r="P357" i="217"/>
  <c r="O357" i="217"/>
  <c r="N357" i="217"/>
  <c r="M357" i="217"/>
  <c r="L357" i="217"/>
  <c r="K357" i="217"/>
  <c r="J357" i="217"/>
  <c r="H356" i="217"/>
  <c r="G356" i="217"/>
  <c r="F356" i="217"/>
  <c r="E356" i="217"/>
  <c r="D356" i="217"/>
  <c r="C356" i="217"/>
  <c r="U355" i="217"/>
  <c r="T355" i="217"/>
  <c r="S355" i="217"/>
  <c r="R355" i="217"/>
  <c r="Q355" i="217"/>
  <c r="P355" i="217"/>
  <c r="O355" i="217"/>
  <c r="N355" i="217"/>
  <c r="M355" i="217"/>
  <c r="L355" i="217"/>
  <c r="K355" i="217"/>
  <c r="J355" i="217"/>
  <c r="I355" i="217"/>
  <c r="H355" i="217"/>
  <c r="G355" i="217"/>
  <c r="F355" i="217"/>
  <c r="E355" i="217"/>
  <c r="D355" i="217"/>
  <c r="C355" i="217"/>
  <c r="U330" i="217"/>
  <c r="T330" i="217"/>
  <c r="S330" i="217"/>
  <c r="R330" i="217"/>
  <c r="Q330" i="217"/>
  <c r="P330" i="217"/>
  <c r="O330" i="217"/>
  <c r="N330" i="217"/>
  <c r="M330" i="217"/>
  <c r="L330" i="217"/>
  <c r="K330" i="217"/>
  <c r="J330" i="217"/>
  <c r="H329" i="217"/>
  <c r="G329" i="217"/>
  <c r="F329" i="217"/>
  <c r="E329" i="217"/>
  <c r="U328" i="217"/>
  <c r="T328" i="217"/>
  <c r="S328" i="217"/>
  <c r="R328" i="217"/>
  <c r="Q328" i="217"/>
  <c r="P328" i="217"/>
  <c r="O328" i="217"/>
  <c r="N328" i="217"/>
  <c r="M328" i="217"/>
  <c r="L328" i="217"/>
  <c r="K328" i="217"/>
  <c r="J328" i="217"/>
  <c r="H327" i="217"/>
  <c r="G327" i="217"/>
  <c r="F327" i="217"/>
  <c r="E327" i="217"/>
  <c r="U326" i="217"/>
  <c r="T326" i="217"/>
  <c r="S326" i="217"/>
  <c r="R326" i="217"/>
  <c r="Q326" i="217"/>
  <c r="P326" i="217"/>
  <c r="O326" i="217"/>
  <c r="N326" i="217"/>
  <c r="M326" i="217"/>
  <c r="L326" i="217"/>
  <c r="K326" i="217"/>
  <c r="J326" i="217"/>
  <c r="I326" i="217"/>
  <c r="H326" i="217"/>
  <c r="G326" i="217"/>
  <c r="F326" i="217"/>
  <c r="E326" i="217"/>
  <c r="D326" i="217"/>
  <c r="C326" i="217"/>
  <c r="U301" i="217"/>
  <c r="T301" i="217"/>
  <c r="S301" i="217"/>
  <c r="R301" i="217"/>
  <c r="Q301" i="217"/>
  <c r="P301" i="217"/>
  <c r="O301" i="217"/>
  <c r="N301" i="217"/>
  <c r="M301" i="217"/>
  <c r="L301" i="217"/>
  <c r="K301" i="217"/>
  <c r="J301" i="217"/>
  <c r="H300" i="217"/>
  <c r="G300" i="217"/>
  <c r="F300" i="217"/>
  <c r="E300" i="217"/>
  <c r="D300" i="217"/>
  <c r="U299" i="217"/>
  <c r="T299" i="217"/>
  <c r="S299" i="217"/>
  <c r="R299" i="217"/>
  <c r="Q299" i="217"/>
  <c r="P299" i="217"/>
  <c r="O299" i="217"/>
  <c r="N299" i="217"/>
  <c r="M299" i="217"/>
  <c r="L299" i="217"/>
  <c r="K299" i="217"/>
  <c r="J299" i="217"/>
  <c r="H298" i="217"/>
  <c r="G298" i="217"/>
  <c r="F298" i="217"/>
  <c r="E298" i="217"/>
  <c r="D298" i="217"/>
  <c r="U297" i="217"/>
  <c r="T297" i="217"/>
  <c r="S297" i="217"/>
  <c r="R297" i="217"/>
  <c r="Q297" i="217"/>
  <c r="P297" i="217"/>
  <c r="O297" i="217"/>
  <c r="N297" i="217"/>
  <c r="M297" i="217"/>
  <c r="L297" i="217"/>
  <c r="K297" i="217"/>
  <c r="J297" i="217"/>
  <c r="I297" i="217"/>
  <c r="H297" i="217"/>
  <c r="G297" i="217"/>
  <c r="F297" i="217"/>
  <c r="E297" i="217"/>
  <c r="D297" i="217"/>
  <c r="C297" i="217"/>
  <c r="U272" i="217"/>
  <c r="T272" i="217"/>
  <c r="S272" i="217"/>
  <c r="R272" i="217"/>
  <c r="Q272" i="217"/>
  <c r="P272" i="217"/>
  <c r="O272" i="217"/>
  <c r="N272" i="217"/>
  <c r="M272" i="217"/>
  <c r="L272" i="217"/>
  <c r="K272" i="217"/>
  <c r="J272" i="217"/>
  <c r="H271" i="217"/>
  <c r="G271" i="217"/>
  <c r="F271" i="217"/>
  <c r="E271" i="217"/>
  <c r="D271" i="217"/>
  <c r="U270" i="217"/>
  <c r="T270" i="217"/>
  <c r="S270" i="217"/>
  <c r="R270" i="217"/>
  <c r="Q270" i="217"/>
  <c r="P270" i="217"/>
  <c r="O270" i="217"/>
  <c r="N270" i="217"/>
  <c r="M270" i="217"/>
  <c r="L270" i="217"/>
  <c r="K270" i="217"/>
  <c r="J270" i="217"/>
  <c r="H269" i="217"/>
  <c r="G269" i="217"/>
  <c r="F269" i="217"/>
  <c r="E269" i="217"/>
  <c r="D269" i="217"/>
  <c r="U268" i="217"/>
  <c r="T268" i="217"/>
  <c r="S268" i="217"/>
  <c r="R268" i="217"/>
  <c r="Q268" i="217"/>
  <c r="P268" i="217"/>
  <c r="O268" i="217"/>
  <c r="N268" i="217"/>
  <c r="M268" i="217"/>
  <c r="L268" i="217"/>
  <c r="K268" i="217"/>
  <c r="J268" i="217"/>
  <c r="I268" i="217"/>
  <c r="H268" i="217"/>
  <c r="G268" i="217"/>
  <c r="F268" i="217"/>
  <c r="E268" i="217"/>
  <c r="D268" i="217"/>
  <c r="C268" i="217"/>
  <c r="U242" i="217"/>
  <c r="T242" i="217"/>
  <c r="S242" i="217"/>
  <c r="R242" i="217"/>
  <c r="Q242" i="217"/>
  <c r="P242" i="217"/>
  <c r="O242" i="217"/>
  <c r="N242" i="217"/>
  <c r="M242" i="217"/>
  <c r="L242" i="217"/>
  <c r="K242" i="217"/>
  <c r="J242" i="217"/>
  <c r="H241" i="217"/>
  <c r="G241" i="217"/>
  <c r="F241" i="217"/>
  <c r="E241" i="217"/>
  <c r="D241" i="217"/>
  <c r="C241" i="217"/>
  <c r="U240" i="217"/>
  <c r="T240" i="217"/>
  <c r="S240" i="217"/>
  <c r="R240" i="217"/>
  <c r="Q240" i="217"/>
  <c r="P240" i="217"/>
  <c r="O240" i="217"/>
  <c r="N240" i="217"/>
  <c r="M240" i="217"/>
  <c r="L240" i="217"/>
  <c r="K240" i="217"/>
  <c r="J240" i="217"/>
  <c r="H239" i="217"/>
  <c r="G239" i="217"/>
  <c r="F239" i="217"/>
  <c r="E239" i="217"/>
  <c r="D239" i="217"/>
  <c r="C239" i="217"/>
  <c r="U238" i="217"/>
  <c r="T238" i="217"/>
  <c r="S238" i="217"/>
  <c r="R238" i="217"/>
  <c r="Q238" i="217"/>
  <c r="P238" i="217"/>
  <c r="O238" i="217"/>
  <c r="N238" i="217"/>
  <c r="M238" i="217"/>
  <c r="L238" i="217"/>
  <c r="K238" i="217"/>
  <c r="J238" i="217"/>
  <c r="I238" i="217"/>
  <c r="H238" i="217"/>
  <c r="G238" i="217"/>
  <c r="F238" i="217"/>
  <c r="E238" i="217"/>
  <c r="D238" i="217"/>
  <c r="C238" i="217"/>
  <c r="U213" i="217"/>
  <c r="T213" i="217"/>
  <c r="S213" i="217"/>
  <c r="R213" i="217"/>
  <c r="Q213" i="217"/>
  <c r="P213" i="217"/>
  <c r="O213" i="217"/>
  <c r="N213" i="217"/>
  <c r="M213" i="217"/>
  <c r="L213" i="217"/>
  <c r="K213" i="217"/>
  <c r="J213" i="217"/>
  <c r="H212" i="217"/>
  <c r="G212" i="217"/>
  <c r="F212" i="217"/>
  <c r="E212" i="217"/>
  <c r="U211" i="217"/>
  <c r="T211" i="217"/>
  <c r="S211" i="217"/>
  <c r="R211" i="217"/>
  <c r="Q211" i="217"/>
  <c r="P211" i="217"/>
  <c r="O211" i="217"/>
  <c r="N211" i="217"/>
  <c r="M211" i="217"/>
  <c r="L211" i="217"/>
  <c r="K211" i="217"/>
  <c r="J211" i="217"/>
  <c r="H210" i="217"/>
  <c r="G210" i="217"/>
  <c r="F210" i="217"/>
  <c r="E210" i="217"/>
  <c r="U209" i="217"/>
  <c r="T209" i="217"/>
  <c r="S209" i="217"/>
  <c r="R209" i="217"/>
  <c r="Q209" i="217"/>
  <c r="P209" i="217"/>
  <c r="O209" i="217"/>
  <c r="N209" i="217"/>
  <c r="M209" i="217"/>
  <c r="L209" i="217"/>
  <c r="K209" i="217"/>
  <c r="J209" i="217"/>
  <c r="I209" i="217"/>
  <c r="H209" i="217"/>
  <c r="G209" i="217"/>
  <c r="F209" i="217"/>
  <c r="E209" i="217"/>
  <c r="D209" i="217"/>
  <c r="C209" i="217"/>
  <c r="U183" i="217"/>
  <c r="T183" i="217"/>
  <c r="S183" i="217"/>
  <c r="R183" i="217"/>
  <c r="Q183" i="217"/>
  <c r="P183" i="217"/>
  <c r="O183" i="217"/>
  <c r="N183" i="217"/>
  <c r="M183" i="217"/>
  <c r="L183" i="217"/>
  <c r="K183" i="217"/>
  <c r="J183" i="217"/>
  <c r="H182" i="217"/>
  <c r="G182" i="217"/>
  <c r="F182" i="217"/>
  <c r="E182" i="217"/>
  <c r="D182" i="217"/>
  <c r="C182" i="217"/>
  <c r="U181" i="217"/>
  <c r="T181" i="217"/>
  <c r="S181" i="217"/>
  <c r="R181" i="217"/>
  <c r="Q181" i="217"/>
  <c r="P181" i="217"/>
  <c r="O181" i="217"/>
  <c r="N181" i="217"/>
  <c r="M181" i="217"/>
  <c r="L181" i="217"/>
  <c r="K181" i="217"/>
  <c r="J181" i="217"/>
  <c r="H180" i="217"/>
  <c r="G180" i="217"/>
  <c r="F180" i="217"/>
  <c r="E180" i="217"/>
  <c r="D180" i="217"/>
  <c r="C180" i="217"/>
  <c r="U179" i="217"/>
  <c r="T179" i="217"/>
  <c r="S179" i="217"/>
  <c r="R179" i="217"/>
  <c r="Q179" i="217"/>
  <c r="P179" i="217"/>
  <c r="O179" i="217"/>
  <c r="N179" i="217"/>
  <c r="M179" i="217"/>
  <c r="L179" i="217"/>
  <c r="K179" i="217"/>
  <c r="J179" i="217"/>
  <c r="I179" i="217"/>
  <c r="H179" i="217"/>
  <c r="G179" i="217"/>
  <c r="F179" i="217"/>
  <c r="E179" i="217"/>
  <c r="D179" i="217"/>
  <c r="C179" i="217"/>
  <c r="U154" i="217"/>
  <c r="T154" i="217"/>
  <c r="S154" i="217"/>
  <c r="R154" i="217"/>
  <c r="Q154" i="217"/>
  <c r="P154" i="217"/>
  <c r="O154" i="217"/>
  <c r="N154" i="217"/>
  <c r="M154" i="217"/>
  <c r="L154" i="217"/>
  <c r="K154" i="217"/>
  <c r="J154" i="217"/>
  <c r="H153" i="217"/>
  <c r="G153" i="217"/>
  <c r="F153" i="217"/>
  <c r="E153" i="217"/>
  <c r="U152" i="217"/>
  <c r="T152" i="217"/>
  <c r="S152" i="217"/>
  <c r="R152" i="217"/>
  <c r="Q152" i="217"/>
  <c r="P152" i="217"/>
  <c r="O152" i="217"/>
  <c r="N152" i="217"/>
  <c r="M152" i="217"/>
  <c r="L152" i="217"/>
  <c r="K152" i="217"/>
  <c r="J152" i="217"/>
  <c r="H151" i="217"/>
  <c r="G151" i="217"/>
  <c r="F151" i="217"/>
  <c r="E151" i="217"/>
  <c r="U150" i="217"/>
  <c r="T150" i="217"/>
  <c r="S150" i="217"/>
  <c r="R150" i="217"/>
  <c r="Q150" i="217"/>
  <c r="P150" i="217"/>
  <c r="O150" i="217"/>
  <c r="N150" i="217"/>
  <c r="M150" i="217"/>
  <c r="L150" i="217"/>
  <c r="K150" i="217"/>
  <c r="J150" i="217"/>
  <c r="I150" i="217"/>
  <c r="H150" i="217"/>
  <c r="G150" i="217"/>
  <c r="F150" i="217"/>
  <c r="E150" i="217"/>
  <c r="D150" i="217"/>
  <c r="C150" i="217"/>
  <c r="U123" i="217"/>
  <c r="T123" i="217"/>
  <c r="S123" i="217"/>
  <c r="R123" i="217"/>
  <c r="Q123" i="217"/>
  <c r="P123" i="217"/>
  <c r="O123" i="217"/>
  <c r="N123" i="217"/>
  <c r="M123" i="217"/>
  <c r="L123" i="217"/>
  <c r="K123" i="217"/>
  <c r="J123" i="217"/>
  <c r="H122" i="217"/>
  <c r="G122" i="217"/>
  <c r="F122" i="217"/>
  <c r="E122" i="217"/>
  <c r="D122" i="217"/>
  <c r="C122" i="217"/>
  <c r="U121" i="217"/>
  <c r="T121" i="217"/>
  <c r="S121" i="217"/>
  <c r="R121" i="217"/>
  <c r="Q121" i="217"/>
  <c r="P121" i="217"/>
  <c r="O121" i="217"/>
  <c r="N121" i="217"/>
  <c r="M121" i="217"/>
  <c r="L121" i="217"/>
  <c r="K121" i="217"/>
  <c r="J121" i="217"/>
  <c r="H120" i="217"/>
  <c r="G120" i="217"/>
  <c r="F120" i="217"/>
  <c r="E120" i="217"/>
  <c r="D120" i="217"/>
  <c r="U119" i="217"/>
  <c r="T119" i="217"/>
  <c r="S119" i="217"/>
  <c r="R119" i="217"/>
  <c r="Q119" i="217"/>
  <c r="P119" i="217"/>
  <c r="O119" i="217"/>
  <c r="N119" i="217"/>
  <c r="M119" i="217"/>
  <c r="L119" i="217"/>
  <c r="K119" i="217"/>
  <c r="J119" i="217"/>
  <c r="H118" i="217"/>
  <c r="G118" i="217"/>
  <c r="F118" i="217"/>
  <c r="E118" i="217"/>
  <c r="D118" i="217"/>
  <c r="U117" i="217"/>
  <c r="T117" i="217"/>
  <c r="S117" i="217"/>
  <c r="R117" i="217"/>
  <c r="Q117" i="217"/>
  <c r="P117" i="217"/>
  <c r="O117" i="217"/>
  <c r="N117" i="217"/>
  <c r="M117" i="217"/>
  <c r="L117" i="217"/>
  <c r="K117" i="217"/>
  <c r="J117" i="217"/>
  <c r="I117" i="217"/>
  <c r="H117" i="217"/>
  <c r="G117" i="217"/>
  <c r="F117" i="217"/>
  <c r="E117" i="217"/>
  <c r="D117" i="217"/>
  <c r="C117" i="217"/>
  <c r="U92" i="217"/>
  <c r="T92" i="217"/>
  <c r="S92" i="217"/>
  <c r="R92" i="217"/>
  <c r="Q92" i="217"/>
  <c r="P92" i="217"/>
  <c r="O92" i="217"/>
  <c r="N92" i="217"/>
  <c r="M92" i="217"/>
  <c r="L92" i="217"/>
  <c r="K92" i="217"/>
  <c r="J92" i="217"/>
  <c r="H91" i="217"/>
  <c r="G91" i="217"/>
  <c r="F91" i="217"/>
  <c r="E91" i="217"/>
  <c r="D91" i="217"/>
  <c r="U90" i="217"/>
  <c r="T90" i="217"/>
  <c r="S90" i="217"/>
  <c r="R90" i="217"/>
  <c r="Q90" i="217"/>
  <c r="P90" i="217"/>
  <c r="O90" i="217"/>
  <c r="N90" i="217"/>
  <c r="M90" i="217"/>
  <c r="L90" i="217"/>
  <c r="K90" i="217"/>
  <c r="J90" i="217"/>
  <c r="H89" i="217"/>
  <c r="G89" i="217"/>
  <c r="F89" i="217"/>
  <c r="E89" i="217"/>
  <c r="U88" i="217"/>
  <c r="T88" i="217"/>
  <c r="S88" i="217"/>
  <c r="R88" i="217"/>
  <c r="Q88" i="217"/>
  <c r="P88" i="217"/>
  <c r="O88" i="217"/>
  <c r="N88" i="217"/>
  <c r="M88" i="217"/>
  <c r="L88" i="217"/>
  <c r="K88" i="217"/>
  <c r="J88" i="217"/>
  <c r="H87" i="217"/>
  <c r="G87" i="217"/>
  <c r="F87" i="217"/>
  <c r="E87" i="217"/>
  <c r="U86" i="217"/>
  <c r="T86" i="217"/>
  <c r="S86" i="217"/>
  <c r="R86" i="217"/>
  <c r="Q86" i="217"/>
  <c r="P86" i="217"/>
  <c r="O86" i="217"/>
  <c r="N86" i="217"/>
  <c r="M86" i="217"/>
  <c r="L86" i="217"/>
  <c r="K86" i="217"/>
  <c r="J86" i="217"/>
  <c r="I86" i="217"/>
  <c r="H86" i="217"/>
  <c r="G86" i="217"/>
  <c r="F86" i="217"/>
  <c r="E86" i="217"/>
  <c r="D86" i="217"/>
  <c r="C86" i="217"/>
  <c r="U60" i="217"/>
  <c r="T60" i="217"/>
  <c r="S60" i="217"/>
  <c r="R60" i="217"/>
  <c r="Q60" i="217"/>
  <c r="P60" i="217"/>
  <c r="O60" i="217"/>
  <c r="N60" i="217"/>
  <c r="M60" i="217"/>
  <c r="L60" i="217"/>
  <c r="K60" i="217"/>
  <c r="J60" i="217"/>
  <c r="I60" i="217"/>
  <c r="I59" i="217"/>
  <c r="H59" i="217"/>
  <c r="G59" i="217"/>
  <c r="F59" i="217"/>
  <c r="E59" i="217"/>
  <c r="D59" i="217"/>
  <c r="C59" i="217"/>
  <c r="U58" i="217"/>
  <c r="T58" i="217"/>
  <c r="S58" i="217"/>
  <c r="R58" i="217"/>
  <c r="Q58" i="217"/>
  <c r="P58" i="217"/>
  <c r="O58" i="217"/>
  <c r="N58" i="217"/>
  <c r="M58" i="217"/>
  <c r="L58" i="217"/>
  <c r="K58" i="217"/>
  <c r="J58" i="217"/>
  <c r="I58" i="217"/>
  <c r="I57" i="217"/>
  <c r="H57" i="217"/>
  <c r="G57" i="217"/>
  <c r="F57" i="217"/>
  <c r="E57" i="217"/>
  <c r="D57" i="217"/>
  <c r="C57" i="217"/>
  <c r="U56" i="217"/>
  <c r="T56" i="217"/>
  <c r="S56" i="217"/>
  <c r="R56" i="217"/>
  <c r="Q56" i="217"/>
  <c r="P56" i="217"/>
  <c r="O56" i="217"/>
  <c r="N56" i="217"/>
  <c r="M56" i="217"/>
  <c r="L56" i="217"/>
  <c r="K56" i="217"/>
  <c r="J56" i="217"/>
  <c r="I56" i="217"/>
  <c r="I55" i="217"/>
  <c r="H55" i="217"/>
  <c r="G55" i="217"/>
  <c r="F55" i="217"/>
  <c r="E55" i="217"/>
  <c r="D55" i="217"/>
  <c r="C55" i="217"/>
  <c r="U54" i="217"/>
  <c r="T54" i="217"/>
  <c r="S54" i="217"/>
  <c r="R54" i="217"/>
  <c r="Q54" i="217"/>
  <c r="P54" i="217"/>
  <c r="O54" i="217"/>
  <c r="N54" i="217"/>
  <c r="M54" i="217"/>
  <c r="L54" i="217"/>
  <c r="K54" i="217"/>
  <c r="J54" i="217"/>
  <c r="I54" i="217"/>
  <c r="I53" i="217"/>
  <c r="H53" i="217"/>
  <c r="G53" i="217"/>
  <c r="F53" i="217"/>
  <c r="E53" i="217"/>
  <c r="D53" i="217"/>
  <c r="C53" i="217"/>
  <c r="U52" i="217"/>
  <c r="T52" i="217"/>
  <c r="S52" i="217"/>
  <c r="R52" i="217"/>
  <c r="Q52" i="217"/>
  <c r="P52" i="217"/>
  <c r="O52" i="217"/>
  <c r="N52" i="217"/>
  <c r="M52" i="217"/>
  <c r="L52" i="217"/>
  <c r="K52" i="217"/>
  <c r="J52" i="217"/>
  <c r="I52" i="217"/>
  <c r="H52" i="217"/>
  <c r="G52" i="217"/>
  <c r="F52" i="217"/>
  <c r="E52" i="217"/>
  <c r="D52" i="217"/>
  <c r="C52" i="217"/>
  <c r="U28" i="217"/>
  <c r="T28" i="217"/>
  <c r="S28" i="217"/>
  <c r="R28" i="217"/>
  <c r="Q28" i="217"/>
  <c r="P28" i="217"/>
  <c r="O28" i="217"/>
  <c r="N28" i="217"/>
  <c r="M28" i="217"/>
  <c r="L28" i="217"/>
  <c r="K28" i="217"/>
  <c r="J28" i="217"/>
  <c r="I28" i="217"/>
  <c r="I27" i="217"/>
  <c r="H27" i="217"/>
  <c r="G27" i="217"/>
  <c r="F27" i="217"/>
  <c r="E27" i="217"/>
  <c r="U26" i="217"/>
  <c r="T26" i="217"/>
  <c r="S26" i="217"/>
  <c r="R26" i="217"/>
  <c r="Q26" i="217"/>
  <c r="P26" i="217"/>
  <c r="O26" i="217"/>
  <c r="N26" i="217"/>
  <c r="M26" i="217"/>
  <c r="L26" i="217"/>
  <c r="K26" i="217"/>
  <c r="J26" i="217"/>
  <c r="I26" i="217"/>
  <c r="I25" i="217"/>
  <c r="H25" i="217"/>
  <c r="G25" i="217"/>
  <c r="F25" i="217"/>
  <c r="E25" i="217"/>
  <c r="A10" i="217"/>
  <c r="A1" i="217"/>
  <c r="N35" i="130"/>
  <c r="M35" i="130"/>
  <c r="L35" i="130"/>
  <c r="K35" i="130"/>
  <c r="J35" i="130"/>
  <c r="I35" i="130"/>
  <c r="H35" i="130"/>
  <c r="G35" i="130"/>
  <c r="F35" i="130"/>
  <c r="E35" i="130"/>
  <c r="D35" i="130"/>
  <c r="C35" i="130"/>
  <c r="N34" i="130"/>
  <c r="M34" i="130"/>
  <c r="L34" i="130"/>
  <c r="K34" i="130"/>
  <c r="J34" i="130"/>
  <c r="I34" i="130"/>
  <c r="H34" i="130"/>
  <c r="G34" i="130"/>
  <c r="F34" i="130"/>
  <c r="E34" i="130"/>
  <c r="D34" i="130"/>
  <c r="C34" i="130"/>
  <c r="N33" i="130"/>
  <c r="M33" i="130"/>
  <c r="L33" i="130"/>
  <c r="K33" i="130"/>
  <c r="J33" i="130"/>
  <c r="I33" i="130"/>
  <c r="H33" i="130"/>
  <c r="G33" i="130"/>
  <c r="F33" i="130"/>
  <c r="E33" i="130"/>
  <c r="D33" i="130"/>
  <c r="C33" i="130"/>
  <c r="B33" i="130"/>
  <c r="N32" i="130"/>
  <c r="M32" i="130"/>
  <c r="L32" i="130"/>
  <c r="K32" i="130"/>
  <c r="J32" i="130"/>
  <c r="I32" i="130"/>
  <c r="H32" i="130"/>
  <c r="G32" i="130"/>
  <c r="F32" i="130"/>
  <c r="E32" i="130"/>
  <c r="D32" i="130"/>
  <c r="C32" i="130"/>
  <c r="B32" i="130"/>
  <c r="N31" i="130"/>
  <c r="M31" i="130"/>
  <c r="L31" i="130"/>
  <c r="K31" i="130"/>
  <c r="J31" i="130"/>
  <c r="I31" i="130"/>
  <c r="H31" i="130"/>
  <c r="G31" i="130"/>
  <c r="F31" i="130"/>
  <c r="E31" i="130"/>
  <c r="D31" i="130"/>
  <c r="C31" i="130"/>
  <c r="B31" i="130"/>
  <c r="N30" i="130"/>
  <c r="M30" i="130"/>
  <c r="L30" i="130"/>
  <c r="K30" i="130"/>
  <c r="J30" i="130"/>
  <c r="I30" i="130"/>
  <c r="H30" i="130"/>
  <c r="G30" i="130"/>
  <c r="F30" i="130"/>
  <c r="E30" i="130"/>
  <c r="D30" i="130"/>
  <c r="C30" i="130"/>
  <c r="B30" i="130"/>
  <c r="N29" i="130"/>
  <c r="M29" i="130"/>
  <c r="L29" i="130"/>
  <c r="K29" i="130"/>
  <c r="J29" i="130"/>
  <c r="I29" i="130"/>
  <c r="H29" i="130"/>
  <c r="G29" i="130"/>
  <c r="F29" i="130"/>
  <c r="E29" i="130"/>
  <c r="D29" i="130"/>
  <c r="C29" i="130"/>
  <c r="B29" i="130"/>
  <c r="N28" i="130"/>
  <c r="M28" i="130"/>
  <c r="L28" i="130"/>
  <c r="K28" i="130"/>
  <c r="J28" i="130"/>
  <c r="I28" i="130"/>
  <c r="H28" i="130"/>
  <c r="G28" i="130"/>
  <c r="F28" i="130"/>
  <c r="E28" i="130"/>
  <c r="D28" i="130"/>
  <c r="C28" i="130"/>
  <c r="B28" i="130"/>
  <c r="N27" i="130"/>
  <c r="M27" i="130"/>
  <c r="L27" i="130"/>
  <c r="K27" i="130"/>
  <c r="J27" i="130"/>
  <c r="I27" i="130"/>
  <c r="H27" i="130"/>
  <c r="G27" i="130"/>
  <c r="F27" i="130"/>
  <c r="E27" i="130"/>
  <c r="D27" i="130"/>
  <c r="C27" i="130"/>
  <c r="B27" i="130"/>
  <c r="N26" i="130"/>
  <c r="M26" i="130"/>
  <c r="L26" i="130"/>
  <c r="K26" i="130"/>
  <c r="J26" i="130"/>
  <c r="I26" i="130"/>
  <c r="H26" i="130"/>
  <c r="G26" i="130"/>
  <c r="F26" i="130"/>
  <c r="E26" i="130"/>
  <c r="D26" i="130"/>
  <c r="C26" i="130"/>
  <c r="B26" i="130"/>
  <c r="N25" i="130"/>
  <c r="M25" i="130"/>
  <c r="L25" i="130"/>
  <c r="K25" i="130"/>
  <c r="J25" i="130"/>
  <c r="I25" i="130"/>
  <c r="H25" i="130"/>
  <c r="G25" i="130"/>
  <c r="F25" i="130"/>
  <c r="E25" i="130"/>
  <c r="D25" i="130"/>
  <c r="C25" i="130"/>
  <c r="B25" i="130"/>
  <c r="N24" i="130"/>
  <c r="M24" i="130"/>
  <c r="L24" i="130"/>
  <c r="K24" i="130"/>
  <c r="J24" i="130"/>
  <c r="I24" i="130"/>
  <c r="H24" i="130"/>
  <c r="G24" i="130"/>
  <c r="F24" i="130"/>
  <c r="E24" i="130"/>
  <c r="D24" i="130"/>
  <c r="C24" i="130"/>
  <c r="B24" i="130"/>
  <c r="N23" i="130"/>
  <c r="M23" i="130"/>
  <c r="L23" i="130"/>
  <c r="K23" i="130"/>
  <c r="J23" i="130"/>
  <c r="I23" i="130"/>
  <c r="H23" i="130"/>
  <c r="G23" i="130"/>
  <c r="F23" i="130"/>
  <c r="E23" i="130"/>
  <c r="D23" i="130"/>
  <c r="C23" i="130"/>
  <c r="B23" i="130"/>
  <c r="N22" i="130"/>
  <c r="M22" i="130"/>
  <c r="L22" i="130"/>
  <c r="K22" i="130"/>
  <c r="J22" i="130"/>
  <c r="I22" i="130"/>
  <c r="H22" i="130"/>
  <c r="G22" i="130"/>
  <c r="F22" i="130"/>
  <c r="E22" i="130"/>
  <c r="D22" i="130"/>
  <c r="C22" i="130"/>
  <c r="B22" i="130"/>
  <c r="N21" i="130"/>
  <c r="M21" i="130"/>
  <c r="L21" i="130"/>
  <c r="K21" i="130"/>
  <c r="J21" i="130"/>
  <c r="I21" i="130"/>
  <c r="H21" i="130"/>
  <c r="G21" i="130"/>
  <c r="F21" i="130"/>
  <c r="E21" i="130"/>
  <c r="D21" i="130"/>
  <c r="C21" i="130"/>
  <c r="B21" i="130"/>
  <c r="N20" i="130"/>
  <c r="M20" i="130"/>
  <c r="L20" i="130"/>
  <c r="K20" i="130"/>
  <c r="J20" i="130"/>
  <c r="I20" i="130"/>
  <c r="H20" i="130"/>
  <c r="G20" i="130"/>
  <c r="F20" i="130"/>
  <c r="E20" i="130"/>
  <c r="D20" i="130"/>
  <c r="C20" i="130"/>
  <c r="B20" i="130"/>
  <c r="N19" i="130"/>
  <c r="M19" i="130"/>
  <c r="L19" i="130"/>
  <c r="K19" i="130"/>
  <c r="J19" i="130"/>
  <c r="I19" i="130"/>
  <c r="H19" i="130"/>
  <c r="G19" i="130"/>
  <c r="F19" i="130"/>
  <c r="E19" i="130"/>
  <c r="D19" i="130"/>
  <c r="C19" i="130"/>
  <c r="B19" i="130"/>
  <c r="N18" i="130"/>
  <c r="M18" i="130"/>
  <c r="L18" i="130"/>
  <c r="K18" i="130"/>
  <c r="J18" i="130"/>
  <c r="I18" i="130"/>
  <c r="H18" i="130"/>
  <c r="G18" i="130"/>
  <c r="F18" i="130"/>
  <c r="E18" i="130"/>
  <c r="D18" i="130"/>
  <c r="C18" i="130"/>
  <c r="B18" i="130"/>
  <c r="N17" i="130"/>
  <c r="M17" i="130"/>
  <c r="L17" i="130"/>
  <c r="K17" i="130"/>
  <c r="J17" i="130"/>
  <c r="I17" i="130"/>
  <c r="H17" i="130"/>
  <c r="G17" i="130"/>
  <c r="F17" i="130"/>
  <c r="E17" i="130"/>
  <c r="D17" i="130"/>
  <c r="C17" i="130"/>
  <c r="B17" i="130"/>
  <c r="N16" i="130"/>
  <c r="M16" i="130"/>
  <c r="L16" i="130"/>
  <c r="K16" i="130"/>
  <c r="J16" i="130"/>
  <c r="I16" i="130"/>
  <c r="H16" i="130"/>
  <c r="G16" i="130"/>
  <c r="F16" i="130"/>
  <c r="E16" i="130"/>
  <c r="D16" i="130"/>
  <c r="C16" i="130"/>
  <c r="B16" i="130"/>
  <c r="N15" i="130"/>
  <c r="M15" i="130"/>
  <c r="L15" i="130"/>
  <c r="K15" i="130"/>
  <c r="J15" i="130"/>
  <c r="I15" i="130"/>
  <c r="H15" i="130"/>
  <c r="G15" i="130"/>
  <c r="F15" i="130"/>
  <c r="E15" i="130"/>
  <c r="D15" i="130"/>
  <c r="C15" i="130"/>
  <c r="B15" i="130"/>
  <c r="N14" i="130"/>
  <c r="M14" i="130"/>
  <c r="L14" i="130"/>
  <c r="K14" i="130"/>
  <c r="J14" i="130"/>
  <c r="I14" i="130"/>
  <c r="H14" i="130"/>
  <c r="G14" i="130"/>
  <c r="F14" i="130"/>
  <c r="E14" i="130"/>
  <c r="D14" i="130"/>
  <c r="C14" i="130"/>
  <c r="B14" i="130"/>
  <c r="N13" i="130"/>
  <c r="M13" i="130"/>
  <c r="L13" i="130"/>
  <c r="K13" i="130"/>
  <c r="J13" i="130"/>
  <c r="I13" i="130"/>
  <c r="H13" i="130"/>
  <c r="G13" i="130"/>
  <c r="F13" i="130"/>
  <c r="E13" i="130"/>
  <c r="D13" i="130"/>
  <c r="C13" i="130"/>
  <c r="A10" i="130"/>
  <c r="A1" i="130"/>
  <c r="N35" i="133"/>
  <c r="M35" i="133"/>
  <c r="L35" i="133"/>
  <c r="K35" i="133"/>
  <c r="J35" i="133"/>
  <c r="I35" i="133"/>
  <c r="H35" i="133"/>
  <c r="G35" i="133"/>
  <c r="F35" i="133"/>
  <c r="E35" i="133"/>
  <c r="D35" i="133"/>
  <c r="C35" i="133"/>
  <c r="N34" i="133"/>
  <c r="M34" i="133"/>
  <c r="L34" i="133"/>
  <c r="K34" i="133"/>
  <c r="J34" i="133"/>
  <c r="I34" i="133"/>
  <c r="H34" i="133"/>
  <c r="G34" i="133"/>
  <c r="F34" i="133"/>
  <c r="E34" i="133"/>
  <c r="D34" i="133"/>
  <c r="C34" i="133"/>
  <c r="N33" i="133"/>
  <c r="M33" i="133"/>
  <c r="L33" i="133"/>
  <c r="K33" i="133"/>
  <c r="J33" i="133"/>
  <c r="I33" i="133"/>
  <c r="H33" i="133"/>
  <c r="G33" i="133"/>
  <c r="F33" i="133"/>
  <c r="E33" i="133"/>
  <c r="D33" i="133"/>
  <c r="C33" i="133"/>
  <c r="B33" i="133"/>
  <c r="N32" i="133"/>
  <c r="M32" i="133"/>
  <c r="L32" i="133"/>
  <c r="K32" i="133"/>
  <c r="J32" i="133"/>
  <c r="I32" i="133"/>
  <c r="H32" i="133"/>
  <c r="G32" i="133"/>
  <c r="F32" i="133"/>
  <c r="E32" i="133"/>
  <c r="D32" i="133"/>
  <c r="C32" i="133"/>
  <c r="B32" i="133"/>
  <c r="N31" i="133"/>
  <c r="M31" i="133"/>
  <c r="L31" i="133"/>
  <c r="K31" i="133"/>
  <c r="J31" i="133"/>
  <c r="I31" i="133"/>
  <c r="H31" i="133"/>
  <c r="G31" i="133"/>
  <c r="F31" i="133"/>
  <c r="E31" i="133"/>
  <c r="D31" i="133"/>
  <c r="C31" i="133"/>
  <c r="B31" i="133"/>
  <c r="N30" i="133"/>
  <c r="M30" i="133"/>
  <c r="L30" i="133"/>
  <c r="K30" i="133"/>
  <c r="J30" i="133"/>
  <c r="I30" i="133"/>
  <c r="H30" i="133"/>
  <c r="G30" i="133"/>
  <c r="F30" i="133"/>
  <c r="E30" i="133"/>
  <c r="D30" i="133"/>
  <c r="C30" i="133"/>
  <c r="B30" i="133"/>
  <c r="N29" i="133"/>
  <c r="M29" i="133"/>
  <c r="L29" i="133"/>
  <c r="K29" i="133"/>
  <c r="J29" i="133"/>
  <c r="I29" i="133"/>
  <c r="H29" i="133"/>
  <c r="G29" i="133"/>
  <c r="F29" i="133"/>
  <c r="E29" i="133"/>
  <c r="D29" i="133"/>
  <c r="C29" i="133"/>
  <c r="B29" i="133"/>
  <c r="N28" i="133"/>
  <c r="M28" i="133"/>
  <c r="L28" i="133"/>
  <c r="K28" i="133"/>
  <c r="J28" i="133"/>
  <c r="I28" i="133"/>
  <c r="H28" i="133"/>
  <c r="G28" i="133"/>
  <c r="F28" i="133"/>
  <c r="E28" i="133"/>
  <c r="D28" i="133"/>
  <c r="C28" i="133"/>
  <c r="B28" i="133"/>
  <c r="N27" i="133"/>
  <c r="M27" i="133"/>
  <c r="L27" i="133"/>
  <c r="K27" i="133"/>
  <c r="J27" i="133"/>
  <c r="I27" i="133"/>
  <c r="H27" i="133"/>
  <c r="G27" i="133"/>
  <c r="F27" i="133"/>
  <c r="E27" i="133"/>
  <c r="D27" i="133"/>
  <c r="C27" i="133"/>
  <c r="B27" i="133"/>
  <c r="N26" i="133"/>
  <c r="M26" i="133"/>
  <c r="L26" i="133"/>
  <c r="K26" i="133"/>
  <c r="J26" i="133"/>
  <c r="I26" i="133"/>
  <c r="H26" i="133"/>
  <c r="G26" i="133"/>
  <c r="F26" i="133"/>
  <c r="E26" i="133"/>
  <c r="D26" i="133"/>
  <c r="C26" i="133"/>
  <c r="B26" i="133"/>
  <c r="N25" i="133"/>
  <c r="M25" i="133"/>
  <c r="L25" i="133"/>
  <c r="K25" i="133"/>
  <c r="J25" i="133"/>
  <c r="I25" i="133"/>
  <c r="H25" i="133"/>
  <c r="G25" i="133"/>
  <c r="F25" i="133"/>
  <c r="E25" i="133"/>
  <c r="D25" i="133"/>
  <c r="C25" i="133"/>
  <c r="B25" i="133"/>
  <c r="N24" i="133"/>
  <c r="M24" i="133"/>
  <c r="L24" i="133"/>
  <c r="K24" i="133"/>
  <c r="J24" i="133"/>
  <c r="I24" i="133"/>
  <c r="H24" i="133"/>
  <c r="G24" i="133"/>
  <c r="F24" i="133"/>
  <c r="E24" i="133"/>
  <c r="D24" i="133"/>
  <c r="C24" i="133"/>
  <c r="B24" i="133"/>
  <c r="N23" i="133"/>
  <c r="M23" i="133"/>
  <c r="L23" i="133"/>
  <c r="K23" i="133"/>
  <c r="J23" i="133"/>
  <c r="I23" i="133"/>
  <c r="H23" i="133"/>
  <c r="G23" i="133"/>
  <c r="F23" i="133"/>
  <c r="E23" i="133"/>
  <c r="D23" i="133"/>
  <c r="C23" i="133"/>
  <c r="B23" i="133"/>
  <c r="N22" i="133"/>
  <c r="M22" i="133"/>
  <c r="L22" i="133"/>
  <c r="K22" i="133"/>
  <c r="J22" i="133"/>
  <c r="I22" i="133"/>
  <c r="H22" i="133"/>
  <c r="G22" i="133"/>
  <c r="F22" i="133"/>
  <c r="E22" i="133"/>
  <c r="D22" i="133"/>
  <c r="C22" i="133"/>
  <c r="B22" i="133"/>
  <c r="N21" i="133"/>
  <c r="M21" i="133"/>
  <c r="L21" i="133"/>
  <c r="K21" i="133"/>
  <c r="J21" i="133"/>
  <c r="I21" i="133"/>
  <c r="H21" i="133"/>
  <c r="G21" i="133"/>
  <c r="F21" i="133"/>
  <c r="E21" i="133"/>
  <c r="D21" i="133"/>
  <c r="C21" i="133"/>
  <c r="B21" i="133"/>
  <c r="N20" i="133"/>
  <c r="M20" i="133"/>
  <c r="L20" i="133"/>
  <c r="K20" i="133"/>
  <c r="J20" i="133"/>
  <c r="I20" i="133"/>
  <c r="H20" i="133"/>
  <c r="G20" i="133"/>
  <c r="F20" i="133"/>
  <c r="E20" i="133"/>
  <c r="D20" i="133"/>
  <c r="C20" i="133"/>
  <c r="B20" i="133"/>
  <c r="N19" i="133"/>
  <c r="M19" i="133"/>
  <c r="L19" i="133"/>
  <c r="K19" i="133"/>
  <c r="J19" i="133"/>
  <c r="I19" i="133"/>
  <c r="H19" i="133"/>
  <c r="G19" i="133"/>
  <c r="F19" i="133"/>
  <c r="E19" i="133"/>
  <c r="D19" i="133"/>
  <c r="C19" i="133"/>
  <c r="B19" i="133"/>
  <c r="N18" i="133"/>
  <c r="M18" i="133"/>
  <c r="L18" i="133"/>
  <c r="K18" i="133"/>
  <c r="J18" i="133"/>
  <c r="I18" i="133"/>
  <c r="H18" i="133"/>
  <c r="G18" i="133"/>
  <c r="F18" i="133"/>
  <c r="E18" i="133"/>
  <c r="D18" i="133"/>
  <c r="C18" i="133"/>
  <c r="B18" i="133"/>
  <c r="N17" i="133"/>
  <c r="M17" i="133"/>
  <c r="L17" i="133"/>
  <c r="K17" i="133"/>
  <c r="J17" i="133"/>
  <c r="I17" i="133"/>
  <c r="H17" i="133"/>
  <c r="G17" i="133"/>
  <c r="F17" i="133"/>
  <c r="E17" i="133"/>
  <c r="D17" i="133"/>
  <c r="C17" i="133"/>
  <c r="B17" i="133"/>
  <c r="N16" i="133"/>
  <c r="M16" i="133"/>
  <c r="L16" i="133"/>
  <c r="K16" i="133"/>
  <c r="J16" i="133"/>
  <c r="I16" i="133"/>
  <c r="H16" i="133"/>
  <c r="G16" i="133"/>
  <c r="F16" i="133"/>
  <c r="E16" i="133"/>
  <c r="D16" i="133"/>
  <c r="C16" i="133"/>
  <c r="B16" i="133"/>
  <c r="N15" i="133"/>
  <c r="M15" i="133"/>
  <c r="L15" i="133"/>
  <c r="K15" i="133"/>
  <c r="J15" i="133"/>
  <c r="I15" i="133"/>
  <c r="H15" i="133"/>
  <c r="G15" i="133"/>
  <c r="F15" i="133"/>
  <c r="E15" i="133"/>
  <c r="D15" i="133"/>
  <c r="C15" i="133"/>
  <c r="B15" i="133"/>
  <c r="N14" i="133"/>
  <c r="M14" i="133"/>
  <c r="L14" i="133"/>
  <c r="K14" i="133"/>
  <c r="J14" i="133"/>
  <c r="I14" i="133"/>
  <c r="H14" i="133"/>
  <c r="G14" i="133"/>
  <c r="F14" i="133"/>
  <c r="E14" i="133"/>
  <c r="D14" i="133"/>
  <c r="C14" i="133"/>
  <c r="B14" i="133"/>
  <c r="N13" i="133"/>
  <c r="M13" i="133"/>
  <c r="L13" i="133"/>
  <c r="K13" i="133"/>
  <c r="J13" i="133"/>
  <c r="I13" i="133"/>
  <c r="H13" i="133"/>
  <c r="G13" i="133"/>
  <c r="F13" i="133"/>
  <c r="E13" i="133"/>
  <c r="D13" i="133"/>
  <c r="C13" i="133"/>
  <c r="A10" i="133"/>
  <c r="A1" i="133"/>
  <c r="N35" i="131"/>
  <c r="M35" i="131"/>
  <c r="L35" i="131"/>
  <c r="K35" i="131"/>
  <c r="J35" i="131"/>
  <c r="I35" i="131"/>
  <c r="H35" i="131"/>
  <c r="G35" i="131"/>
  <c r="F35" i="131"/>
  <c r="E35" i="131"/>
  <c r="D35" i="131"/>
  <c r="C35" i="131"/>
  <c r="N34" i="131"/>
  <c r="M34" i="131"/>
  <c r="L34" i="131"/>
  <c r="K34" i="131"/>
  <c r="J34" i="131"/>
  <c r="I34" i="131"/>
  <c r="H34" i="131"/>
  <c r="G34" i="131"/>
  <c r="F34" i="131"/>
  <c r="E34" i="131"/>
  <c r="D34" i="131"/>
  <c r="C34" i="131"/>
  <c r="N33" i="131"/>
  <c r="M33" i="131"/>
  <c r="L33" i="131"/>
  <c r="K33" i="131"/>
  <c r="J33" i="131"/>
  <c r="I33" i="131"/>
  <c r="H33" i="131"/>
  <c r="G33" i="131"/>
  <c r="F33" i="131"/>
  <c r="E33" i="131"/>
  <c r="D33" i="131"/>
  <c r="C33" i="131"/>
  <c r="B33" i="131"/>
  <c r="N32" i="131"/>
  <c r="M32" i="131"/>
  <c r="L32" i="131"/>
  <c r="K32" i="131"/>
  <c r="J32" i="131"/>
  <c r="I32" i="131"/>
  <c r="H32" i="131"/>
  <c r="G32" i="131"/>
  <c r="F32" i="131"/>
  <c r="E32" i="131"/>
  <c r="D32" i="131"/>
  <c r="C32" i="131"/>
  <c r="B32" i="131"/>
  <c r="N31" i="131"/>
  <c r="M31" i="131"/>
  <c r="L31" i="131"/>
  <c r="K31" i="131"/>
  <c r="J31" i="131"/>
  <c r="I31" i="131"/>
  <c r="H31" i="131"/>
  <c r="G31" i="131"/>
  <c r="F31" i="131"/>
  <c r="E31" i="131"/>
  <c r="D31" i="131"/>
  <c r="C31" i="131"/>
  <c r="B31" i="131"/>
  <c r="N30" i="131"/>
  <c r="M30" i="131"/>
  <c r="L30" i="131"/>
  <c r="K30" i="131"/>
  <c r="J30" i="131"/>
  <c r="I30" i="131"/>
  <c r="H30" i="131"/>
  <c r="G30" i="131"/>
  <c r="F30" i="131"/>
  <c r="E30" i="131"/>
  <c r="D30" i="131"/>
  <c r="C30" i="131"/>
  <c r="B30" i="131"/>
  <c r="N29" i="131"/>
  <c r="M29" i="131"/>
  <c r="L29" i="131"/>
  <c r="K29" i="131"/>
  <c r="J29" i="131"/>
  <c r="I29" i="131"/>
  <c r="H29" i="131"/>
  <c r="G29" i="131"/>
  <c r="F29" i="131"/>
  <c r="E29" i="131"/>
  <c r="D29" i="131"/>
  <c r="C29" i="131"/>
  <c r="B29" i="131"/>
  <c r="N28" i="131"/>
  <c r="M28" i="131"/>
  <c r="L28" i="131"/>
  <c r="K28" i="131"/>
  <c r="J28" i="131"/>
  <c r="I28" i="131"/>
  <c r="H28" i="131"/>
  <c r="G28" i="131"/>
  <c r="F28" i="131"/>
  <c r="E28" i="131"/>
  <c r="D28" i="131"/>
  <c r="C28" i="131"/>
  <c r="B28" i="131"/>
  <c r="N27" i="131"/>
  <c r="M27" i="131"/>
  <c r="L27" i="131"/>
  <c r="K27" i="131"/>
  <c r="J27" i="131"/>
  <c r="I27" i="131"/>
  <c r="H27" i="131"/>
  <c r="G27" i="131"/>
  <c r="F27" i="131"/>
  <c r="E27" i="131"/>
  <c r="D27" i="131"/>
  <c r="C27" i="131"/>
  <c r="B27" i="131"/>
  <c r="N26" i="131"/>
  <c r="M26" i="131"/>
  <c r="L26" i="131"/>
  <c r="K26" i="131"/>
  <c r="J26" i="131"/>
  <c r="I26" i="131"/>
  <c r="H26" i="131"/>
  <c r="G26" i="131"/>
  <c r="F26" i="131"/>
  <c r="E26" i="131"/>
  <c r="D26" i="131"/>
  <c r="C26" i="131"/>
  <c r="B26" i="131"/>
  <c r="N25" i="131"/>
  <c r="M25" i="131"/>
  <c r="L25" i="131"/>
  <c r="K25" i="131"/>
  <c r="J25" i="131"/>
  <c r="I25" i="131"/>
  <c r="H25" i="131"/>
  <c r="G25" i="131"/>
  <c r="F25" i="131"/>
  <c r="E25" i="131"/>
  <c r="D25" i="131"/>
  <c r="C25" i="131"/>
  <c r="B25" i="131"/>
  <c r="N24" i="131"/>
  <c r="M24" i="131"/>
  <c r="L24" i="131"/>
  <c r="K24" i="131"/>
  <c r="J24" i="131"/>
  <c r="I24" i="131"/>
  <c r="H24" i="131"/>
  <c r="G24" i="131"/>
  <c r="F24" i="131"/>
  <c r="E24" i="131"/>
  <c r="D24" i="131"/>
  <c r="C24" i="131"/>
  <c r="B24" i="131"/>
  <c r="N23" i="131"/>
  <c r="M23" i="131"/>
  <c r="L23" i="131"/>
  <c r="K23" i="131"/>
  <c r="J23" i="131"/>
  <c r="I23" i="131"/>
  <c r="H23" i="131"/>
  <c r="G23" i="131"/>
  <c r="F23" i="131"/>
  <c r="E23" i="131"/>
  <c r="D23" i="131"/>
  <c r="C23" i="131"/>
  <c r="B23" i="131"/>
  <c r="N22" i="131"/>
  <c r="M22" i="131"/>
  <c r="L22" i="131"/>
  <c r="K22" i="131"/>
  <c r="J22" i="131"/>
  <c r="I22" i="131"/>
  <c r="H22" i="131"/>
  <c r="G22" i="131"/>
  <c r="F22" i="131"/>
  <c r="E22" i="131"/>
  <c r="D22" i="131"/>
  <c r="C22" i="131"/>
  <c r="B22" i="131"/>
  <c r="N21" i="131"/>
  <c r="M21" i="131"/>
  <c r="L21" i="131"/>
  <c r="K21" i="131"/>
  <c r="J21" i="131"/>
  <c r="I21" i="131"/>
  <c r="H21" i="131"/>
  <c r="G21" i="131"/>
  <c r="F21" i="131"/>
  <c r="E21" i="131"/>
  <c r="D21" i="131"/>
  <c r="C21" i="131"/>
  <c r="B21" i="131"/>
  <c r="N20" i="131"/>
  <c r="M20" i="131"/>
  <c r="L20" i="131"/>
  <c r="K20" i="131"/>
  <c r="J20" i="131"/>
  <c r="I20" i="131"/>
  <c r="H20" i="131"/>
  <c r="G20" i="131"/>
  <c r="F20" i="131"/>
  <c r="E20" i="131"/>
  <c r="D20" i="131"/>
  <c r="C20" i="131"/>
  <c r="B20" i="131"/>
  <c r="N19" i="131"/>
  <c r="M19" i="131"/>
  <c r="L19" i="131"/>
  <c r="K19" i="131"/>
  <c r="J19" i="131"/>
  <c r="I19" i="131"/>
  <c r="H19" i="131"/>
  <c r="G19" i="131"/>
  <c r="F19" i="131"/>
  <c r="E19" i="131"/>
  <c r="D19" i="131"/>
  <c r="C19" i="131"/>
  <c r="B19" i="131"/>
  <c r="N18" i="131"/>
  <c r="M18" i="131"/>
  <c r="L18" i="131"/>
  <c r="K18" i="131"/>
  <c r="J18" i="131"/>
  <c r="I18" i="131"/>
  <c r="H18" i="131"/>
  <c r="G18" i="131"/>
  <c r="F18" i="131"/>
  <c r="E18" i="131"/>
  <c r="D18" i="131"/>
  <c r="C18" i="131"/>
  <c r="B18" i="131"/>
  <c r="N17" i="131"/>
  <c r="M17" i="131"/>
  <c r="L17" i="131"/>
  <c r="K17" i="131"/>
  <c r="J17" i="131"/>
  <c r="I17" i="131"/>
  <c r="H17" i="131"/>
  <c r="G17" i="131"/>
  <c r="F17" i="131"/>
  <c r="E17" i="131"/>
  <c r="D17" i="131"/>
  <c r="C17" i="131"/>
  <c r="B17" i="131"/>
  <c r="N16" i="131"/>
  <c r="M16" i="131"/>
  <c r="L16" i="131"/>
  <c r="K16" i="131"/>
  <c r="J16" i="131"/>
  <c r="I16" i="131"/>
  <c r="H16" i="131"/>
  <c r="G16" i="131"/>
  <c r="F16" i="131"/>
  <c r="E16" i="131"/>
  <c r="D16" i="131"/>
  <c r="C16" i="131"/>
  <c r="B16" i="131"/>
  <c r="N15" i="131"/>
  <c r="M15" i="131"/>
  <c r="L15" i="131"/>
  <c r="K15" i="131"/>
  <c r="J15" i="131"/>
  <c r="I15" i="131"/>
  <c r="H15" i="131"/>
  <c r="G15" i="131"/>
  <c r="F15" i="131"/>
  <c r="E15" i="131"/>
  <c r="D15" i="131"/>
  <c r="C15" i="131"/>
  <c r="B15" i="131"/>
  <c r="N14" i="131"/>
  <c r="M14" i="131"/>
  <c r="L14" i="131"/>
  <c r="K14" i="131"/>
  <c r="J14" i="131"/>
  <c r="I14" i="131"/>
  <c r="H14" i="131"/>
  <c r="G14" i="131"/>
  <c r="F14" i="131"/>
  <c r="E14" i="131"/>
  <c r="D14" i="131"/>
  <c r="C14" i="131"/>
  <c r="B14" i="131"/>
  <c r="N13" i="131"/>
  <c r="M13" i="131"/>
  <c r="L13" i="131"/>
  <c r="K13" i="131"/>
  <c r="J13" i="131"/>
  <c r="I13" i="131"/>
  <c r="H13" i="131"/>
  <c r="G13" i="131"/>
  <c r="F13" i="131"/>
  <c r="E13" i="131"/>
  <c r="D13" i="131"/>
  <c r="C13" i="131"/>
  <c r="A10" i="131"/>
  <c r="A1" i="131"/>
  <c r="N35" i="132"/>
  <c r="M35" i="132"/>
  <c r="L35" i="132"/>
  <c r="K35" i="132"/>
  <c r="J35" i="132"/>
  <c r="I35" i="132"/>
  <c r="H35" i="132"/>
  <c r="G35" i="132"/>
  <c r="F35" i="132"/>
  <c r="E35" i="132"/>
  <c r="D35" i="132"/>
  <c r="C35" i="132"/>
  <c r="N34" i="132"/>
  <c r="M34" i="132"/>
  <c r="L34" i="132"/>
  <c r="K34" i="132"/>
  <c r="J34" i="132"/>
  <c r="I34" i="132"/>
  <c r="H34" i="132"/>
  <c r="G34" i="132"/>
  <c r="F34" i="132"/>
  <c r="E34" i="132"/>
  <c r="D34" i="132"/>
  <c r="C34" i="132"/>
  <c r="N33" i="132"/>
  <c r="M33" i="132"/>
  <c r="L33" i="132"/>
  <c r="K33" i="132"/>
  <c r="J33" i="132"/>
  <c r="I33" i="132"/>
  <c r="H33" i="132"/>
  <c r="G33" i="132"/>
  <c r="F33" i="132"/>
  <c r="E33" i="132"/>
  <c r="D33" i="132"/>
  <c r="C33" i="132"/>
  <c r="B33" i="132"/>
  <c r="N32" i="132"/>
  <c r="M32" i="132"/>
  <c r="L32" i="132"/>
  <c r="K32" i="132"/>
  <c r="J32" i="132"/>
  <c r="I32" i="132"/>
  <c r="H32" i="132"/>
  <c r="G32" i="132"/>
  <c r="F32" i="132"/>
  <c r="E32" i="132"/>
  <c r="D32" i="132"/>
  <c r="C32" i="132"/>
  <c r="B32" i="132"/>
  <c r="N31" i="132"/>
  <c r="M31" i="132"/>
  <c r="L31" i="132"/>
  <c r="K31" i="132"/>
  <c r="J31" i="132"/>
  <c r="I31" i="132"/>
  <c r="H31" i="132"/>
  <c r="G31" i="132"/>
  <c r="F31" i="132"/>
  <c r="E31" i="132"/>
  <c r="D31" i="132"/>
  <c r="C31" i="132"/>
  <c r="B31" i="132"/>
  <c r="N30" i="132"/>
  <c r="M30" i="132"/>
  <c r="L30" i="132"/>
  <c r="K30" i="132"/>
  <c r="J30" i="132"/>
  <c r="I30" i="132"/>
  <c r="H30" i="132"/>
  <c r="G30" i="132"/>
  <c r="F30" i="132"/>
  <c r="E30" i="132"/>
  <c r="D30" i="132"/>
  <c r="C30" i="132"/>
  <c r="B30" i="132"/>
  <c r="N29" i="132"/>
  <c r="M29" i="132"/>
  <c r="L29" i="132"/>
  <c r="K29" i="132"/>
  <c r="J29" i="132"/>
  <c r="I29" i="132"/>
  <c r="H29" i="132"/>
  <c r="G29" i="132"/>
  <c r="F29" i="132"/>
  <c r="E29" i="132"/>
  <c r="D29" i="132"/>
  <c r="C29" i="132"/>
  <c r="B29" i="132"/>
  <c r="N28" i="132"/>
  <c r="M28" i="132"/>
  <c r="L28" i="132"/>
  <c r="K28" i="132"/>
  <c r="J28" i="132"/>
  <c r="I28" i="132"/>
  <c r="H28" i="132"/>
  <c r="G28" i="132"/>
  <c r="F28" i="132"/>
  <c r="E28" i="132"/>
  <c r="D28" i="132"/>
  <c r="C28" i="132"/>
  <c r="B28" i="132"/>
  <c r="N27" i="132"/>
  <c r="M27" i="132"/>
  <c r="L27" i="132"/>
  <c r="K27" i="132"/>
  <c r="J27" i="132"/>
  <c r="I27" i="132"/>
  <c r="H27" i="132"/>
  <c r="G27" i="132"/>
  <c r="F27" i="132"/>
  <c r="E27" i="132"/>
  <c r="D27" i="132"/>
  <c r="C27" i="132"/>
  <c r="B27" i="132"/>
  <c r="N26" i="132"/>
  <c r="M26" i="132"/>
  <c r="L26" i="132"/>
  <c r="K26" i="132"/>
  <c r="J26" i="132"/>
  <c r="I26" i="132"/>
  <c r="H26" i="132"/>
  <c r="G26" i="132"/>
  <c r="F26" i="132"/>
  <c r="E26" i="132"/>
  <c r="D26" i="132"/>
  <c r="C26" i="132"/>
  <c r="B26" i="132"/>
  <c r="N25" i="132"/>
  <c r="M25" i="132"/>
  <c r="L25" i="132"/>
  <c r="K25" i="132"/>
  <c r="J25" i="132"/>
  <c r="I25" i="132"/>
  <c r="H25" i="132"/>
  <c r="G25" i="132"/>
  <c r="F25" i="132"/>
  <c r="E25" i="132"/>
  <c r="D25" i="132"/>
  <c r="C25" i="132"/>
  <c r="B25" i="132"/>
  <c r="N24" i="132"/>
  <c r="M24" i="132"/>
  <c r="L24" i="132"/>
  <c r="K24" i="132"/>
  <c r="J24" i="132"/>
  <c r="I24" i="132"/>
  <c r="H24" i="132"/>
  <c r="G24" i="132"/>
  <c r="F24" i="132"/>
  <c r="E24" i="132"/>
  <c r="D24" i="132"/>
  <c r="C24" i="132"/>
  <c r="B24" i="132"/>
  <c r="N23" i="132"/>
  <c r="M23" i="132"/>
  <c r="L23" i="132"/>
  <c r="K23" i="132"/>
  <c r="J23" i="132"/>
  <c r="I23" i="132"/>
  <c r="H23" i="132"/>
  <c r="G23" i="132"/>
  <c r="F23" i="132"/>
  <c r="E23" i="132"/>
  <c r="D23" i="132"/>
  <c r="C23" i="132"/>
  <c r="B23" i="132"/>
  <c r="N22" i="132"/>
  <c r="M22" i="132"/>
  <c r="L22" i="132"/>
  <c r="K22" i="132"/>
  <c r="J22" i="132"/>
  <c r="I22" i="132"/>
  <c r="H22" i="132"/>
  <c r="G22" i="132"/>
  <c r="F22" i="132"/>
  <c r="E22" i="132"/>
  <c r="D22" i="132"/>
  <c r="C22" i="132"/>
  <c r="B22" i="132"/>
  <c r="N21" i="132"/>
  <c r="M21" i="132"/>
  <c r="L21" i="132"/>
  <c r="K21" i="132"/>
  <c r="J21" i="132"/>
  <c r="I21" i="132"/>
  <c r="H21" i="132"/>
  <c r="G21" i="132"/>
  <c r="F21" i="132"/>
  <c r="E21" i="132"/>
  <c r="D21" i="132"/>
  <c r="C21" i="132"/>
  <c r="B21" i="132"/>
  <c r="N20" i="132"/>
  <c r="M20" i="132"/>
  <c r="L20" i="132"/>
  <c r="K20" i="132"/>
  <c r="J20" i="132"/>
  <c r="I20" i="132"/>
  <c r="H20" i="132"/>
  <c r="G20" i="132"/>
  <c r="F20" i="132"/>
  <c r="E20" i="132"/>
  <c r="D20" i="132"/>
  <c r="C20" i="132"/>
  <c r="B20" i="132"/>
  <c r="N19" i="132"/>
  <c r="M19" i="132"/>
  <c r="L19" i="132"/>
  <c r="K19" i="132"/>
  <c r="J19" i="132"/>
  <c r="I19" i="132"/>
  <c r="H19" i="132"/>
  <c r="G19" i="132"/>
  <c r="F19" i="132"/>
  <c r="E19" i="132"/>
  <c r="D19" i="132"/>
  <c r="C19" i="132"/>
  <c r="B19" i="132"/>
  <c r="N18" i="132"/>
  <c r="M18" i="132"/>
  <c r="L18" i="132"/>
  <c r="K18" i="132"/>
  <c r="J18" i="132"/>
  <c r="I18" i="132"/>
  <c r="H18" i="132"/>
  <c r="G18" i="132"/>
  <c r="F18" i="132"/>
  <c r="E18" i="132"/>
  <c r="D18" i="132"/>
  <c r="C18" i="132"/>
  <c r="B18" i="132"/>
  <c r="N17" i="132"/>
  <c r="M17" i="132"/>
  <c r="L17" i="132"/>
  <c r="K17" i="132"/>
  <c r="J17" i="132"/>
  <c r="I17" i="132"/>
  <c r="H17" i="132"/>
  <c r="G17" i="132"/>
  <c r="F17" i="132"/>
  <c r="E17" i="132"/>
  <c r="D17" i="132"/>
  <c r="C17" i="132"/>
  <c r="B17" i="132"/>
  <c r="N16" i="132"/>
  <c r="M16" i="132"/>
  <c r="L16" i="132"/>
  <c r="K16" i="132"/>
  <c r="J16" i="132"/>
  <c r="I16" i="132"/>
  <c r="H16" i="132"/>
  <c r="G16" i="132"/>
  <c r="F16" i="132"/>
  <c r="E16" i="132"/>
  <c r="D16" i="132"/>
  <c r="C16" i="132"/>
  <c r="B16" i="132"/>
  <c r="N15" i="132"/>
  <c r="M15" i="132"/>
  <c r="L15" i="132"/>
  <c r="K15" i="132"/>
  <c r="J15" i="132"/>
  <c r="I15" i="132"/>
  <c r="H15" i="132"/>
  <c r="G15" i="132"/>
  <c r="F15" i="132"/>
  <c r="E15" i="132"/>
  <c r="D15" i="132"/>
  <c r="C15" i="132"/>
  <c r="B15" i="132"/>
  <c r="N14" i="132"/>
  <c r="M14" i="132"/>
  <c r="L14" i="132"/>
  <c r="K14" i="132"/>
  <c r="J14" i="132"/>
  <c r="I14" i="132"/>
  <c r="H14" i="132"/>
  <c r="G14" i="132"/>
  <c r="F14" i="132"/>
  <c r="E14" i="132"/>
  <c r="D14" i="132"/>
  <c r="C14" i="132"/>
  <c r="B14" i="132"/>
  <c r="N13" i="132"/>
  <c r="M13" i="132"/>
  <c r="L13" i="132"/>
  <c r="K13" i="132"/>
  <c r="J13" i="132"/>
  <c r="I13" i="132"/>
  <c r="H13" i="132"/>
  <c r="G13" i="132"/>
  <c r="F13" i="132"/>
  <c r="E13" i="132"/>
  <c r="D13" i="132"/>
  <c r="C13" i="132"/>
  <c r="A10" i="132"/>
  <c r="A1" i="132"/>
  <c r="N129" i="102"/>
  <c r="M129" i="102"/>
  <c r="L129" i="102"/>
  <c r="K129" i="102"/>
  <c r="J129" i="102"/>
  <c r="I129" i="102"/>
  <c r="H129" i="102"/>
  <c r="G129" i="102"/>
  <c r="F129" i="102"/>
  <c r="E129" i="102"/>
  <c r="D129" i="102"/>
  <c r="C129" i="102"/>
  <c r="B129" i="102"/>
  <c r="N128" i="102"/>
  <c r="M128" i="102"/>
  <c r="L128" i="102"/>
  <c r="K128" i="102"/>
  <c r="J128" i="102"/>
  <c r="I128" i="102"/>
  <c r="H128" i="102"/>
  <c r="G128" i="102"/>
  <c r="F128" i="102"/>
  <c r="E128" i="102"/>
  <c r="D128" i="102"/>
  <c r="C128" i="102"/>
  <c r="B128" i="102"/>
  <c r="N127" i="102"/>
  <c r="M127" i="102"/>
  <c r="L127" i="102"/>
  <c r="K127" i="102"/>
  <c r="J127" i="102"/>
  <c r="I127" i="102"/>
  <c r="H127" i="102"/>
  <c r="G127" i="102"/>
  <c r="F127" i="102"/>
  <c r="E127" i="102"/>
  <c r="D127" i="102"/>
  <c r="C127" i="102"/>
  <c r="B127" i="102"/>
  <c r="N126" i="102"/>
  <c r="M126" i="102"/>
  <c r="L126" i="102"/>
  <c r="K126" i="102"/>
  <c r="J126" i="102"/>
  <c r="I126" i="102"/>
  <c r="H126" i="102"/>
  <c r="G126" i="102"/>
  <c r="F126" i="102"/>
  <c r="E126" i="102"/>
  <c r="D126" i="102"/>
  <c r="C126" i="102"/>
  <c r="B126" i="102"/>
  <c r="N125" i="102"/>
  <c r="M125" i="102"/>
  <c r="L125" i="102"/>
  <c r="K125" i="102"/>
  <c r="J125" i="102"/>
  <c r="I125" i="102"/>
  <c r="H125" i="102"/>
  <c r="G125" i="102"/>
  <c r="F125" i="102"/>
  <c r="E125" i="102"/>
  <c r="D125" i="102"/>
  <c r="C125" i="102"/>
  <c r="B125" i="102"/>
  <c r="N124" i="102"/>
  <c r="M124" i="102"/>
  <c r="L124" i="102"/>
  <c r="K124" i="102"/>
  <c r="J124" i="102"/>
  <c r="I124" i="102"/>
  <c r="H124" i="102"/>
  <c r="G124" i="102"/>
  <c r="F124" i="102"/>
  <c r="E124" i="102"/>
  <c r="D124" i="102"/>
  <c r="C124" i="102"/>
  <c r="B124" i="102"/>
  <c r="N123" i="102"/>
  <c r="M123" i="102"/>
  <c r="L123" i="102"/>
  <c r="K123" i="102"/>
  <c r="J123" i="102"/>
  <c r="I123" i="102"/>
  <c r="H123" i="102"/>
  <c r="G123" i="102"/>
  <c r="F123" i="102"/>
  <c r="E123" i="102"/>
  <c r="D123" i="102"/>
  <c r="C123" i="102"/>
  <c r="B123" i="102"/>
  <c r="N122" i="102"/>
  <c r="M122" i="102"/>
  <c r="L122" i="102"/>
  <c r="K122" i="102"/>
  <c r="J122" i="102"/>
  <c r="I122" i="102"/>
  <c r="H122" i="102"/>
  <c r="G122" i="102"/>
  <c r="F122" i="102"/>
  <c r="E122" i="102"/>
  <c r="D122" i="102"/>
  <c r="C122" i="102"/>
  <c r="B122" i="102"/>
  <c r="N121" i="102"/>
  <c r="M121" i="102"/>
  <c r="L121" i="102"/>
  <c r="K121" i="102"/>
  <c r="J121" i="102"/>
  <c r="I121" i="102"/>
  <c r="H121" i="102"/>
  <c r="G121" i="102"/>
  <c r="F121" i="102"/>
  <c r="E121" i="102"/>
  <c r="D121" i="102"/>
  <c r="C121" i="102"/>
  <c r="B121" i="102"/>
  <c r="N120" i="102"/>
  <c r="M120" i="102"/>
  <c r="L120" i="102"/>
  <c r="K120" i="102"/>
  <c r="J120" i="102"/>
  <c r="I120" i="102"/>
  <c r="H120" i="102"/>
  <c r="G120" i="102"/>
  <c r="F120" i="102"/>
  <c r="E120" i="102"/>
  <c r="D120" i="102"/>
  <c r="C120" i="102"/>
  <c r="B120" i="102"/>
  <c r="N119" i="102"/>
  <c r="M119" i="102"/>
  <c r="L119" i="102"/>
  <c r="K119" i="102"/>
  <c r="J119" i="102"/>
  <c r="I119" i="102"/>
  <c r="H119" i="102"/>
  <c r="G119" i="102"/>
  <c r="F119" i="102"/>
  <c r="E119" i="102"/>
  <c r="D119" i="102"/>
  <c r="C119" i="102"/>
  <c r="B119" i="102"/>
  <c r="N118" i="102"/>
  <c r="M118" i="102"/>
  <c r="L118" i="102"/>
  <c r="K118" i="102"/>
  <c r="J118" i="102"/>
  <c r="I118" i="102"/>
  <c r="H118" i="102"/>
  <c r="G118" i="102"/>
  <c r="F118" i="102"/>
  <c r="E118" i="102"/>
  <c r="D118" i="102"/>
  <c r="C118" i="102"/>
  <c r="B118" i="102"/>
  <c r="N117" i="102"/>
  <c r="M117" i="102"/>
  <c r="L117" i="102"/>
  <c r="K117" i="102"/>
  <c r="J117" i="102"/>
  <c r="I117" i="102"/>
  <c r="H117" i="102"/>
  <c r="G117" i="102"/>
  <c r="F117" i="102"/>
  <c r="E117" i="102"/>
  <c r="D117" i="102"/>
  <c r="C117" i="102"/>
  <c r="B117" i="102"/>
  <c r="N116" i="102"/>
  <c r="M116" i="102"/>
  <c r="L116" i="102"/>
  <c r="K116" i="102"/>
  <c r="J116" i="102"/>
  <c r="I116" i="102"/>
  <c r="H116" i="102"/>
  <c r="G116" i="102"/>
  <c r="F116" i="102"/>
  <c r="E116" i="102"/>
  <c r="D116" i="102"/>
  <c r="C116" i="102"/>
  <c r="B116" i="102"/>
  <c r="N115" i="102"/>
  <c r="M115" i="102"/>
  <c r="L115" i="102"/>
  <c r="K115" i="102"/>
  <c r="J115" i="102"/>
  <c r="I115" i="102"/>
  <c r="H115" i="102"/>
  <c r="G115" i="102"/>
  <c r="F115" i="102"/>
  <c r="E115" i="102"/>
  <c r="D115" i="102"/>
  <c r="C115" i="102"/>
  <c r="B115" i="102"/>
  <c r="N114" i="102"/>
  <c r="M114" i="102"/>
  <c r="L114" i="102"/>
  <c r="K114" i="102"/>
  <c r="J114" i="102"/>
  <c r="I114" i="102"/>
  <c r="H114" i="102"/>
  <c r="G114" i="102"/>
  <c r="F114" i="102"/>
  <c r="E114" i="102"/>
  <c r="D114" i="102"/>
  <c r="C114" i="102"/>
  <c r="B114" i="102"/>
  <c r="N113" i="102"/>
  <c r="M113" i="102"/>
  <c r="L113" i="102"/>
  <c r="K113" i="102"/>
  <c r="J113" i="102"/>
  <c r="I113" i="102"/>
  <c r="H113" i="102"/>
  <c r="G113" i="102"/>
  <c r="F113" i="102"/>
  <c r="E113" i="102"/>
  <c r="D113" i="102"/>
  <c r="C113" i="102"/>
  <c r="B113" i="102"/>
  <c r="N112" i="102"/>
  <c r="M112" i="102"/>
  <c r="L112" i="102"/>
  <c r="K112" i="102"/>
  <c r="J112" i="102"/>
  <c r="I112" i="102"/>
  <c r="H112" i="102"/>
  <c r="G112" i="102"/>
  <c r="F112" i="102"/>
  <c r="E112" i="102"/>
  <c r="D112" i="102"/>
  <c r="C112" i="102"/>
  <c r="B112" i="102"/>
  <c r="N111" i="102"/>
  <c r="M111" i="102"/>
  <c r="L111" i="102"/>
  <c r="K111" i="102"/>
  <c r="J111" i="102"/>
  <c r="I111" i="102"/>
  <c r="H111" i="102"/>
  <c r="G111" i="102"/>
  <c r="F111" i="102"/>
  <c r="E111" i="102"/>
  <c r="D111" i="102"/>
  <c r="C111" i="102"/>
  <c r="B111" i="102"/>
  <c r="N110" i="102"/>
  <c r="M110" i="102"/>
  <c r="L110" i="102"/>
  <c r="K110" i="102"/>
  <c r="J110" i="102"/>
  <c r="I110" i="102"/>
  <c r="H110" i="102"/>
  <c r="G110" i="102"/>
  <c r="F110" i="102"/>
  <c r="E110" i="102"/>
  <c r="D110" i="102"/>
  <c r="C110" i="102"/>
  <c r="B110" i="102"/>
  <c r="N109" i="102"/>
  <c r="M109" i="102"/>
  <c r="L109" i="102"/>
  <c r="K109" i="102"/>
  <c r="J109" i="102"/>
  <c r="I109" i="102"/>
  <c r="H109" i="102"/>
  <c r="G109" i="102"/>
  <c r="F109" i="102"/>
  <c r="E109" i="102"/>
  <c r="D109" i="102"/>
  <c r="C109" i="102"/>
  <c r="B109" i="102"/>
  <c r="N108" i="102"/>
  <c r="M108" i="102"/>
  <c r="L108" i="102"/>
  <c r="K108" i="102"/>
  <c r="J108" i="102"/>
  <c r="I108" i="102"/>
  <c r="H108" i="102"/>
  <c r="G108" i="102"/>
  <c r="F108" i="102"/>
  <c r="E108" i="102"/>
  <c r="D108" i="102"/>
  <c r="C108" i="102"/>
  <c r="N107" i="102"/>
  <c r="M107" i="102"/>
  <c r="L107" i="102"/>
  <c r="K107" i="102"/>
  <c r="J107" i="102"/>
  <c r="I107" i="102"/>
  <c r="H107" i="102"/>
  <c r="G107" i="102"/>
  <c r="F107" i="102"/>
  <c r="E107" i="102"/>
  <c r="D107" i="102"/>
  <c r="C107" i="102"/>
  <c r="N106" i="102"/>
  <c r="M106" i="102"/>
  <c r="L106" i="102"/>
  <c r="K106" i="102"/>
  <c r="J106" i="102"/>
  <c r="I106" i="102"/>
  <c r="H106" i="102"/>
  <c r="G106" i="102"/>
  <c r="F106" i="102"/>
  <c r="E106" i="102"/>
  <c r="D106" i="102"/>
  <c r="C106" i="102"/>
  <c r="N105" i="102"/>
  <c r="M105" i="102"/>
  <c r="L105" i="102"/>
  <c r="K105" i="102"/>
  <c r="J105" i="102"/>
  <c r="I105" i="102"/>
  <c r="H105" i="102"/>
  <c r="G105" i="102"/>
  <c r="F105" i="102"/>
  <c r="E105" i="102"/>
  <c r="D105" i="102"/>
  <c r="C105" i="102"/>
  <c r="N104" i="102"/>
  <c r="M104" i="102"/>
  <c r="L104" i="102"/>
  <c r="K104" i="102"/>
  <c r="J104" i="102"/>
  <c r="I104" i="102"/>
  <c r="H104" i="102"/>
  <c r="G104" i="102"/>
  <c r="F104" i="102"/>
  <c r="E104" i="102"/>
  <c r="D104" i="102"/>
  <c r="C104" i="102"/>
  <c r="N103" i="102"/>
  <c r="M103" i="102"/>
  <c r="L103" i="102"/>
  <c r="K103" i="102"/>
  <c r="J103" i="102"/>
  <c r="I103" i="102"/>
  <c r="H103" i="102"/>
  <c r="G103" i="102"/>
  <c r="F103" i="102"/>
  <c r="E103" i="102"/>
  <c r="D103" i="102"/>
  <c r="C103" i="102"/>
  <c r="N102" i="102"/>
  <c r="M102" i="102"/>
  <c r="L102" i="102"/>
  <c r="K102" i="102"/>
  <c r="J102" i="102"/>
  <c r="I102" i="102"/>
  <c r="H102" i="102"/>
  <c r="G102" i="102"/>
  <c r="F102" i="102"/>
  <c r="E102" i="102"/>
  <c r="D102" i="102"/>
  <c r="C102" i="102"/>
  <c r="N101" i="102"/>
  <c r="M101" i="102"/>
  <c r="L101" i="102"/>
  <c r="K101" i="102"/>
  <c r="J101" i="102"/>
  <c r="I101" i="102"/>
  <c r="H101" i="102"/>
  <c r="G101" i="102"/>
  <c r="F101" i="102"/>
  <c r="E101" i="102"/>
  <c r="D101" i="102"/>
  <c r="C101" i="102"/>
  <c r="N100" i="102"/>
  <c r="M100" i="102"/>
  <c r="L100" i="102"/>
  <c r="K100" i="102"/>
  <c r="J100" i="102"/>
  <c r="I100" i="102"/>
  <c r="H100" i="102"/>
  <c r="G100" i="102"/>
  <c r="F100" i="102"/>
  <c r="E100" i="102"/>
  <c r="D100" i="102"/>
  <c r="C100" i="102"/>
  <c r="N99" i="102"/>
  <c r="M99" i="102"/>
  <c r="L99" i="102"/>
  <c r="K99" i="102"/>
  <c r="J99" i="102"/>
  <c r="I99" i="102"/>
  <c r="H99" i="102"/>
  <c r="G99" i="102"/>
  <c r="F99" i="102"/>
  <c r="E99" i="102"/>
  <c r="D99" i="102"/>
  <c r="C99" i="102"/>
  <c r="N98" i="102"/>
  <c r="M98" i="102"/>
  <c r="L98" i="102"/>
  <c r="K98" i="102"/>
  <c r="J98" i="102"/>
  <c r="I98" i="102"/>
  <c r="H98" i="102"/>
  <c r="G98" i="102"/>
  <c r="F98" i="102"/>
  <c r="E98" i="102"/>
  <c r="D98" i="102"/>
  <c r="C98" i="102"/>
  <c r="N97" i="102"/>
  <c r="M97" i="102"/>
  <c r="L97" i="102"/>
  <c r="K97" i="102"/>
  <c r="J97" i="102"/>
  <c r="I97" i="102"/>
  <c r="H97" i="102"/>
  <c r="G97" i="102"/>
  <c r="F97" i="102"/>
  <c r="E97" i="102"/>
  <c r="D97" i="102"/>
  <c r="C97" i="102"/>
  <c r="N96" i="102"/>
  <c r="M96" i="102"/>
  <c r="L96" i="102"/>
  <c r="K96" i="102"/>
  <c r="J96" i="102"/>
  <c r="I96" i="102"/>
  <c r="H96" i="102"/>
  <c r="G96" i="102"/>
  <c r="F96" i="102"/>
  <c r="E96" i="102"/>
  <c r="D96" i="102"/>
  <c r="C96" i="102"/>
  <c r="N95" i="102"/>
  <c r="M95" i="102"/>
  <c r="L95" i="102"/>
  <c r="K95" i="102"/>
  <c r="J95" i="102"/>
  <c r="I95" i="102"/>
  <c r="H95" i="102"/>
  <c r="G95" i="102"/>
  <c r="F95" i="102"/>
  <c r="E95" i="102"/>
  <c r="D95" i="102"/>
  <c r="C95" i="102"/>
  <c r="N94" i="102"/>
  <c r="M94" i="102"/>
  <c r="L94" i="102"/>
  <c r="K94" i="102"/>
  <c r="J94" i="102"/>
  <c r="I94" i="102"/>
  <c r="H94" i="102"/>
  <c r="G94" i="102"/>
  <c r="F94" i="102"/>
  <c r="E94" i="102"/>
  <c r="D94" i="102"/>
  <c r="C94" i="102"/>
  <c r="N93" i="102"/>
  <c r="M93" i="102"/>
  <c r="L93" i="102"/>
  <c r="K93" i="102"/>
  <c r="J93" i="102"/>
  <c r="I93" i="102"/>
  <c r="H93" i="102"/>
  <c r="G93" i="102"/>
  <c r="F93" i="102"/>
  <c r="E93" i="102"/>
  <c r="D93" i="102"/>
  <c r="C93" i="102"/>
  <c r="N92" i="102"/>
  <c r="M92" i="102"/>
  <c r="L92" i="102"/>
  <c r="K92" i="102"/>
  <c r="J92" i="102"/>
  <c r="I92" i="102"/>
  <c r="H92" i="102"/>
  <c r="G92" i="102"/>
  <c r="F92" i="102"/>
  <c r="E92" i="102"/>
  <c r="D92" i="102"/>
  <c r="C92" i="102"/>
  <c r="N91" i="102"/>
  <c r="M91" i="102"/>
  <c r="L91" i="102"/>
  <c r="K91" i="102"/>
  <c r="J91" i="102"/>
  <c r="I91" i="102"/>
  <c r="H91" i="102"/>
  <c r="G91" i="102"/>
  <c r="F91" i="102"/>
  <c r="E91" i="102"/>
  <c r="D91" i="102"/>
  <c r="C91" i="102"/>
  <c r="N90" i="102"/>
  <c r="M90" i="102"/>
  <c r="L90" i="102"/>
  <c r="K90" i="102"/>
  <c r="J90" i="102"/>
  <c r="I90" i="102"/>
  <c r="H90" i="102"/>
  <c r="G90" i="102"/>
  <c r="F90" i="102"/>
  <c r="E90" i="102"/>
  <c r="D90" i="102"/>
  <c r="C90" i="102"/>
  <c r="N89" i="102"/>
  <c r="M89" i="102"/>
  <c r="L89" i="102"/>
  <c r="K89" i="102"/>
  <c r="J89" i="102"/>
  <c r="I89" i="102"/>
  <c r="H89" i="102"/>
  <c r="G89" i="102"/>
  <c r="F89" i="102"/>
  <c r="E89" i="102"/>
  <c r="D89" i="102"/>
  <c r="C89" i="102"/>
  <c r="N88" i="102"/>
  <c r="M88" i="102"/>
  <c r="L88" i="102"/>
  <c r="K88" i="102"/>
  <c r="J88" i="102"/>
  <c r="I88" i="102"/>
  <c r="H88" i="102"/>
  <c r="G88" i="102"/>
  <c r="F88" i="102"/>
  <c r="E88" i="102"/>
  <c r="D88" i="102"/>
  <c r="C88" i="102"/>
  <c r="N87" i="102"/>
  <c r="M87" i="102"/>
  <c r="L87" i="102"/>
  <c r="K87" i="102"/>
  <c r="J87" i="102"/>
  <c r="I87" i="102"/>
  <c r="H87" i="102"/>
  <c r="G87" i="102"/>
  <c r="F87" i="102"/>
  <c r="E87" i="102"/>
  <c r="D87" i="102"/>
  <c r="C87" i="102"/>
  <c r="N68" i="102"/>
  <c r="M68" i="102"/>
  <c r="L68" i="102"/>
  <c r="K68" i="102"/>
  <c r="J68" i="102"/>
  <c r="I68" i="102"/>
  <c r="H68" i="102"/>
  <c r="G68" i="102"/>
  <c r="F68" i="102"/>
  <c r="E68" i="102"/>
  <c r="D68" i="102"/>
  <c r="C68" i="102"/>
  <c r="N67" i="102"/>
  <c r="M67" i="102"/>
  <c r="L67" i="102"/>
  <c r="K67" i="102"/>
  <c r="J67" i="102"/>
  <c r="I67" i="102"/>
  <c r="H67" i="102"/>
  <c r="G67" i="102"/>
  <c r="F67" i="102"/>
  <c r="E67" i="102"/>
  <c r="D67" i="102"/>
  <c r="C67" i="102"/>
  <c r="N66" i="102"/>
  <c r="M66" i="102"/>
  <c r="L66" i="102"/>
  <c r="K66" i="102"/>
  <c r="J66" i="102"/>
  <c r="I66" i="102"/>
  <c r="H66" i="102"/>
  <c r="G66" i="102"/>
  <c r="F66" i="102"/>
  <c r="E66" i="102"/>
  <c r="D66" i="102"/>
  <c r="C66" i="102"/>
  <c r="N42" i="102"/>
  <c r="M42" i="102"/>
  <c r="L42" i="102"/>
  <c r="K42" i="102"/>
  <c r="J42" i="102"/>
  <c r="I42" i="102"/>
  <c r="H42" i="102"/>
  <c r="G42" i="102"/>
  <c r="F42" i="102"/>
  <c r="E42" i="102"/>
  <c r="D42" i="102"/>
  <c r="C42" i="102"/>
  <c r="N38" i="102"/>
  <c r="M38" i="102"/>
  <c r="L38" i="102"/>
  <c r="K38" i="102"/>
  <c r="J38" i="102"/>
  <c r="I38" i="102"/>
  <c r="H38" i="102"/>
  <c r="G38" i="102"/>
  <c r="F38" i="102"/>
  <c r="E38" i="102"/>
  <c r="D38" i="102"/>
  <c r="C38" i="102"/>
  <c r="N37" i="102"/>
  <c r="M37" i="102"/>
  <c r="L37" i="102"/>
  <c r="K37" i="102"/>
  <c r="J37" i="102"/>
  <c r="I37" i="102"/>
  <c r="H37" i="102"/>
  <c r="G37" i="102"/>
  <c r="F37" i="102"/>
  <c r="E37" i="102"/>
  <c r="D37" i="102"/>
  <c r="C37" i="102"/>
  <c r="N35" i="102"/>
  <c r="M35" i="102"/>
  <c r="L35" i="102"/>
  <c r="K35" i="102"/>
  <c r="J35" i="102"/>
  <c r="I35" i="102"/>
  <c r="H35" i="102"/>
  <c r="G35" i="102"/>
  <c r="F35" i="102"/>
  <c r="E35" i="102"/>
  <c r="D35" i="102"/>
  <c r="C35" i="102"/>
  <c r="N34" i="102"/>
  <c r="M34" i="102"/>
  <c r="L34" i="102"/>
  <c r="K34" i="102"/>
  <c r="J34" i="102"/>
  <c r="I34" i="102"/>
  <c r="H34" i="102"/>
  <c r="G34" i="102"/>
  <c r="F34" i="102"/>
  <c r="E34" i="102"/>
  <c r="D34" i="102"/>
  <c r="C34" i="102"/>
  <c r="B34" i="102"/>
  <c r="N33" i="102"/>
  <c r="M33" i="102"/>
  <c r="L33" i="102"/>
  <c r="K33" i="102"/>
  <c r="J33" i="102"/>
  <c r="I33" i="102"/>
  <c r="H33" i="102"/>
  <c r="G33" i="102"/>
  <c r="F33" i="102"/>
  <c r="E33" i="102"/>
  <c r="D33" i="102"/>
  <c r="C33" i="102"/>
  <c r="B33" i="102"/>
  <c r="N32" i="102"/>
  <c r="M32" i="102"/>
  <c r="L32" i="102"/>
  <c r="K32" i="102"/>
  <c r="J32" i="102"/>
  <c r="I32" i="102"/>
  <c r="H32" i="102"/>
  <c r="G32" i="102"/>
  <c r="F32" i="102"/>
  <c r="E32" i="102"/>
  <c r="D32" i="102"/>
  <c r="C32" i="102"/>
  <c r="B32" i="102"/>
  <c r="N31" i="102"/>
  <c r="M31" i="102"/>
  <c r="L31" i="102"/>
  <c r="K31" i="102"/>
  <c r="J31" i="102"/>
  <c r="I31" i="102"/>
  <c r="H31" i="102"/>
  <c r="G31" i="102"/>
  <c r="F31" i="102"/>
  <c r="E31" i="102"/>
  <c r="D31" i="102"/>
  <c r="C31" i="102"/>
  <c r="B31" i="102"/>
  <c r="N30" i="102"/>
  <c r="M30" i="102"/>
  <c r="L30" i="102"/>
  <c r="K30" i="102"/>
  <c r="J30" i="102"/>
  <c r="I30" i="102"/>
  <c r="H30" i="102"/>
  <c r="G30" i="102"/>
  <c r="F30" i="102"/>
  <c r="E30" i="102"/>
  <c r="D30" i="102"/>
  <c r="C30" i="102"/>
  <c r="B30" i="102"/>
  <c r="N29" i="102"/>
  <c r="M29" i="102"/>
  <c r="L29" i="102"/>
  <c r="K29" i="102"/>
  <c r="J29" i="102"/>
  <c r="I29" i="102"/>
  <c r="H29" i="102"/>
  <c r="G29" i="102"/>
  <c r="F29" i="102"/>
  <c r="E29" i="102"/>
  <c r="D29" i="102"/>
  <c r="C29" i="102"/>
  <c r="B29" i="102"/>
  <c r="N28" i="102"/>
  <c r="M28" i="102"/>
  <c r="L28" i="102"/>
  <c r="K28" i="102"/>
  <c r="J28" i="102"/>
  <c r="I28" i="102"/>
  <c r="H28" i="102"/>
  <c r="G28" i="102"/>
  <c r="F28" i="102"/>
  <c r="E28" i="102"/>
  <c r="D28" i="102"/>
  <c r="C28" i="102"/>
  <c r="B28" i="102"/>
  <c r="N27" i="102"/>
  <c r="M27" i="102"/>
  <c r="L27" i="102"/>
  <c r="K27" i="102"/>
  <c r="J27" i="102"/>
  <c r="I27" i="102"/>
  <c r="H27" i="102"/>
  <c r="G27" i="102"/>
  <c r="F27" i="102"/>
  <c r="E27" i="102"/>
  <c r="D27" i="102"/>
  <c r="C27" i="102"/>
  <c r="B27" i="102"/>
  <c r="N26" i="102"/>
  <c r="M26" i="102"/>
  <c r="L26" i="102"/>
  <c r="K26" i="102"/>
  <c r="J26" i="102"/>
  <c r="I26" i="102"/>
  <c r="H26" i="102"/>
  <c r="G26" i="102"/>
  <c r="F26" i="102"/>
  <c r="E26" i="102"/>
  <c r="D26" i="102"/>
  <c r="C26" i="102"/>
  <c r="B26" i="102"/>
  <c r="N25" i="102"/>
  <c r="M25" i="102"/>
  <c r="L25" i="102"/>
  <c r="K25" i="102"/>
  <c r="J25" i="102"/>
  <c r="I25" i="102"/>
  <c r="H25" i="102"/>
  <c r="G25" i="102"/>
  <c r="F25" i="102"/>
  <c r="E25" i="102"/>
  <c r="D25" i="102"/>
  <c r="C25" i="102"/>
  <c r="B25" i="102"/>
  <c r="N24" i="102"/>
  <c r="M24" i="102"/>
  <c r="L24" i="102"/>
  <c r="K24" i="102"/>
  <c r="J24" i="102"/>
  <c r="I24" i="102"/>
  <c r="H24" i="102"/>
  <c r="G24" i="102"/>
  <c r="F24" i="102"/>
  <c r="E24" i="102"/>
  <c r="D24" i="102"/>
  <c r="C24" i="102"/>
  <c r="B24" i="102"/>
  <c r="N23" i="102"/>
  <c r="M23" i="102"/>
  <c r="L23" i="102"/>
  <c r="K23" i="102"/>
  <c r="J23" i="102"/>
  <c r="I23" i="102"/>
  <c r="H23" i="102"/>
  <c r="G23" i="102"/>
  <c r="F23" i="102"/>
  <c r="E23" i="102"/>
  <c r="D23" i="102"/>
  <c r="C23" i="102"/>
  <c r="B23" i="102"/>
  <c r="N22" i="102"/>
  <c r="M22" i="102"/>
  <c r="L22" i="102"/>
  <c r="K22" i="102"/>
  <c r="J22" i="102"/>
  <c r="I22" i="102"/>
  <c r="H22" i="102"/>
  <c r="G22" i="102"/>
  <c r="F22" i="102"/>
  <c r="E22" i="102"/>
  <c r="D22" i="102"/>
  <c r="C22" i="102"/>
  <c r="B22" i="102"/>
  <c r="N21" i="102"/>
  <c r="M21" i="102"/>
  <c r="L21" i="102"/>
  <c r="K21" i="102"/>
  <c r="J21" i="102"/>
  <c r="I21" i="102"/>
  <c r="H21" i="102"/>
  <c r="G21" i="102"/>
  <c r="F21" i="102"/>
  <c r="E21" i="102"/>
  <c r="D21" i="102"/>
  <c r="C21" i="102"/>
  <c r="B21" i="102"/>
  <c r="N20" i="102"/>
  <c r="M20" i="102"/>
  <c r="L20" i="102"/>
  <c r="K20" i="102"/>
  <c r="J20" i="102"/>
  <c r="I20" i="102"/>
  <c r="H20" i="102"/>
  <c r="G20" i="102"/>
  <c r="F20" i="102"/>
  <c r="E20" i="102"/>
  <c r="D20" i="102"/>
  <c r="C20" i="102"/>
  <c r="B20" i="102"/>
  <c r="N19" i="102"/>
  <c r="M19" i="102"/>
  <c r="L19" i="102"/>
  <c r="K19" i="102"/>
  <c r="J19" i="102"/>
  <c r="I19" i="102"/>
  <c r="H19" i="102"/>
  <c r="G19" i="102"/>
  <c r="F19" i="102"/>
  <c r="E19" i="102"/>
  <c r="D19" i="102"/>
  <c r="C19" i="102"/>
  <c r="B19" i="102"/>
  <c r="N18" i="102"/>
  <c r="M18" i="102"/>
  <c r="L18" i="102"/>
  <c r="K18" i="102"/>
  <c r="J18" i="102"/>
  <c r="I18" i="102"/>
  <c r="H18" i="102"/>
  <c r="G18" i="102"/>
  <c r="F18" i="102"/>
  <c r="E18" i="102"/>
  <c r="D18" i="102"/>
  <c r="C18" i="102"/>
  <c r="B18" i="102"/>
  <c r="N17" i="102"/>
  <c r="M17" i="102"/>
  <c r="L17" i="102"/>
  <c r="K17" i="102"/>
  <c r="J17" i="102"/>
  <c r="I17" i="102"/>
  <c r="H17" i="102"/>
  <c r="G17" i="102"/>
  <c r="F17" i="102"/>
  <c r="E17" i="102"/>
  <c r="D17" i="102"/>
  <c r="C17" i="102"/>
  <c r="B17" i="102"/>
  <c r="N16" i="102"/>
  <c r="M16" i="102"/>
  <c r="L16" i="102"/>
  <c r="K16" i="102"/>
  <c r="J16" i="102"/>
  <c r="I16" i="102"/>
  <c r="H16" i="102"/>
  <c r="G16" i="102"/>
  <c r="F16" i="102"/>
  <c r="E16" i="102"/>
  <c r="D16" i="102"/>
  <c r="C16" i="102"/>
  <c r="B16" i="102"/>
  <c r="N15" i="102"/>
  <c r="M15" i="102"/>
  <c r="L15" i="102"/>
  <c r="K15" i="102"/>
  <c r="J15" i="102"/>
  <c r="I15" i="102"/>
  <c r="H15" i="102"/>
  <c r="G15" i="102"/>
  <c r="F15" i="102"/>
  <c r="E15" i="102"/>
  <c r="D15" i="102"/>
  <c r="C15" i="102"/>
  <c r="B15" i="102"/>
  <c r="N14" i="102"/>
  <c r="M14" i="102"/>
  <c r="L14" i="102"/>
  <c r="K14" i="102"/>
  <c r="J14" i="102"/>
  <c r="I14" i="102"/>
  <c r="H14" i="102"/>
  <c r="G14" i="102"/>
  <c r="F14" i="102"/>
  <c r="E14" i="102"/>
  <c r="D14" i="102"/>
  <c r="C14" i="102"/>
  <c r="A10" i="102"/>
  <c r="A1" i="102"/>
  <c r="N64" i="127"/>
  <c r="M64" i="127"/>
  <c r="L64" i="127"/>
  <c r="K64" i="127"/>
  <c r="J64" i="127"/>
  <c r="I64" i="127"/>
  <c r="H64" i="127"/>
  <c r="G64" i="127"/>
  <c r="F64" i="127"/>
  <c r="E64" i="127"/>
  <c r="D64" i="127"/>
  <c r="C64" i="127"/>
  <c r="N63" i="127"/>
  <c r="M63" i="127"/>
  <c r="L63" i="127"/>
  <c r="K63" i="127"/>
  <c r="J63" i="127"/>
  <c r="I63" i="127"/>
  <c r="H63" i="127"/>
  <c r="G63" i="127"/>
  <c r="F63" i="127"/>
  <c r="E63" i="127"/>
  <c r="D63" i="127"/>
  <c r="C63" i="127"/>
  <c r="N62" i="127"/>
  <c r="M62" i="127"/>
  <c r="L62" i="127"/>
  <c r="K62" i="127"/>
  <c r="J62" i="127"/>
  <c r="I62" i="127"/>
  <c r="H62" i="127"/>
  <c r="G62" i="127"/>
  <c r="F62" i="127"/>
  <c r="E62" i="127"/>
  <c r="D62" i="127"/>
  <c r="C62" i="127"/>
  <c r="B59" i="127"/>
  <c r="B58" i="127"/>
  <c r="B57" i="127"/>
  <c r="B56" i="127"/>
  <c r="B55" i="127"/>
  <c r="B54" i="127"/>
  <c r="B53" i="127"/>
  <c r="B52" i="127"/>
  <c r="B51" i="127"/>
  <c r="B50" i="127"/>
  <c r="B49" i="127"/>
  <c r="B48" i="127"/>
  <c r="B47" i="127"/>
  <c r="B46" i="127"/>
  <c r="B45" i="127"/>
  <c r="B44" i="127"/>
  <c r="B43" i="127"/>
  <c r="B42" i="127"/>
  <c r="B41" i="127"/>
  <c r="B40" i="127"/>
  <c r="B39" i="127"/>
  <c r="N38" i="127"/>
  <c r="M38" i="127"/>
  <c r="L38" i="127"/>
  <c r="K38" i="127"/>
  <c r="J38" i="127"/>
  <c r="I38" i="127"/>
  <c r="H38" i="127"/>
  <c r="G38" i="127"/>
  <c r="F38" i="127"/>
  <c r="E38" i="127"/>
  <c r="D38" i="127"/>
  <c r="C38" i="127"/>
  <c r="B38" i="127"/>
  <c r="N34" i="127"/>
  <c r="M34" i="127"/>
  <c r="L34" i="127"/>
  <c r="K34" i="127"/>
  <c r="J34" i="127"/>
  <c r="I34" i="127"/>
  <c r="H34" i="127"/>
  <c r="G34" i="127"/>
  <c r="F34" i="127"/>
  <c r="E34" i="127"/>
  <c r="D34" i="127"/>
  <c r="C34" i="127"/>
  <c r="N33" i="127"/>
  <c r="M33" i="127"/>
  <c r="L33" i="127"/>
  <c r="K33" i="127"/>
  <c r="J33" i="127"/>
  <c r="I33" i="127"/>
  <c r="H33" i="127"/>
  <c r="G33" i="127"/>
  <c r="F33" i="127"/>
  <c r="E33" i="127"/>
  <c r="D33" i="127"/>
  <c r="C33" i="127"/>
  <c r="N32" i="127"/>
  <c r="M32" i="127"/>
  <c r="L32" i="127"/>
  <c r="K32" i="127"/>
  <c r="J32" i="127"/>
  <c r="I32" i="127"/>
  <c r="H32" i="127"/>
  <c r="G32" i="127"/>
  <c r="F32" i="127"/>
  <c r="E32" i="127"/>
  <c r="D32" i="127"/>
  <c r="C32" i="127"/>
  <c r="N31" i="127"/>
  <c r="M31" i="127"/>
  <c r="L31" i="127"/>
  <c r="K31" i="127"/>
  <c r="J31" i="127"/>
  <c r="I31" i="127"/>
  <c r="H31" i="127"/>
  <c r="G31" i="127"/>
  <c r="F31" i="127"/>
  <c r="E31" i="127"/>
  <c r="D31" i="127"/>
  <c r="C31" i="127"/>
  <c r="N30" i="127"/>
  <c r="M30" i="127"/>
  <c r="L30" i="127"/>
  <c r="K30" i="127"/>
  <c r="J30" i="127"/>
  <c r="I30" i="127"/>
  <c r="H30" i="127"/>
  <c r="G30" i="127"/>
  <c r="F30" i="127"/>
  <c r="E30" i="127"/>
  <c r="D30" i="127"/>
  <c r="C30" i="127"/>
  <c r="N29" i="127"/>
  <c r="M29" i="127"/>
  <c r="L29" i="127"/>
  <c r="K29" i="127"/>
  <c r="J29" i="127"/>
  <c r="I29" i="127"/>
  <c r="H29" i="127"/>
  <c r="G29" i="127"/>
  <c r="F29" i="127"/>
  <c r="E29" i="127"/>
  <c r="D29" i="127"/>
  <c r="C29" i="127"/>
  <c r="N28" i="127"/>
  <c r="M28" i="127"/>
  <c r="L28" i="127"/>
  <c r="K28" i="127"/>
  <c r="J28" i="127"/>
  <c r="I28" i="127"/>
  <c r="H28" i="127"/>
  <c r="G28" i="127"/>
  <c r="F28" i="127"/>
  <c r="E28" i="127"/>
  <c r="D28" i="127"/>
  <c r="C28" i="127"/>
  <c r="N27" i="127"/>
  <c r="M27" i="127"/>
  <c r="L27" i="127"/>
  <c r="K27" i="127"/>
  <c r="J27" i="127"/>
  <c r="I27" i="127"/>
  <c r="H27" i="127"/>
  <c r="G27" i="127"/>
  <c r="F27" i="127"/>
  <c r="E27" i="127"/>
  <c r="D27" i="127"/>
  <c r="C27" i="127"/>
  <c r="N26" i="127"/>
  <c r="M26" i="127"/>
  <c r="L26" i="127"/>
  <c r="K26" i="127"/>
  <c r="J26" i="127"/>
  <c r="I26" i="127"/>
  <c r="H26" i="127"/>
  <c r="G26" i="127"/>
  <c r="F26" i="127"/>
  <c r="E26" i="127"/>
  <c r="D26" i="127"/>
  <c r="C26" i="127"/>
  <c r="N25" i="127"/>
  <c r="M25" i="127"/>
  <c r="L25" i="127"/>
  <c r="K25" i="127"/>
  <c r="J25" i="127"/>
  <c r="I25" i="127"/>
  <c r="H25" i="127"/>
  <c r="G25" i="127"/>
  <c r="F25" i="127"/>
  <c r="E25" i="127"/>
  <c r="D25" i="127"/>
  <c r="C25" i="127"/>
  <c r="N24" i="127"/>
  <c r="M24" i="127"/>
  <c r="L24" i="127"/>
  <c r="K24" i="127"/>
  <c r="J24" i="127"/>
  <c r="I24" i="127"/>
  <c r="H24" i="127"/>
  <c r="G24" i="127"/>
  <c r="F24" i="127"/>
  <c r="E24" i="127"/>
  <c r="D24" i="127"/>
  <c r="C24" i="127"/>
  <c r="N23" i="127"/>
  <c r="M23" i="127"/>
  <c r="L23" i="127"/>
  <c r="K23" i="127"/>
  <c r="J23" i="127"/>
  <c r="I23" i="127"/>
  <c r="H23" i="127"/>
  <c r="G23" i="127"/>
  <c r="F23" i="127"/>
  <c r="E23" i="127"/>
  <c r="D23" i="127"/>
  <c r="C23" i="127"/>
  <c r="N22" i="127"/>
  <c r="M22" i="127"/>
  <c r="L22" i="127"/>
  <c r="K22" i="127"/>
  <c r="J22" i="127"/>
  <c r="I22" i="127"/>
  <c r="H22" i="127"/>
  <c r="G22" i="127"/>
  <c r="F22" i="127"/>
  <c r="E22" i="127"/>
  <c r="D22" i="127"/>
  <c r="C22" i="127"/>
  <c r="N21" i="127"/>
  <c r="M21" i="127"/>
  <c r="L21" i="127"/>
  <c r="K21" i="127"/>
  <c r="J21" i="127"/>
  <c r="I21" i="127"/>
  <c r="H21" i="127"/>
  <c r="G21" i="127"/>
  <c r="F21" i="127"/>
  <c r="E21" i="127"/>
  <c r="D21" i="127"/>
  <c r="C21" i="127"/>
  <c r="N20" i="127"/>
  <c r="M20" i="127"/>
  <c r="L20" i="127"/>
  <c r="K20" i="127"/>
  <c r="J20" i="127"/>
  <c r="I20" i="127"/>
  <c r="H20" i="127"/>
  <c r="G20" i="127"/>
  <c r="F20" i="127"/>
  <c r="E20" i="127"/>
  <c r="D20" i="127"/>
  <c r="C20" i="127"/>
  <c r="N19" i="127"/>
  <c r="M19" i="127"/>
  <c r="L19" i="127"/>
  <c r="K19" i="127"/>
  <c r="J19" i="127"/>
  <c r="I19" i="127"/>
  <c r="H19" i="127"/>
  <c r="G19" i="127"/>
  <c r="F19" i="127"/>
  <c r="E19" i="127"/>
  <c r="D19" i="127"/>
  <c r="C19" i="127"/>
  <c r="N18" i="127"/>
  <c r="M18" i="127"/>
  <c r="L18" i="127"/>
  <c r="K18" i="127"/>
  <c r="J18" i="127"/>
  <c r="I18" i="127"/>
  <c r="H18" i="127"/>
  <c r="G18" i="127"/>
  <c r="F18" i="127"/>
  <c r="E18" i="127"/>
  <c r="D18" i="127"/>
  <c r="C18" i="127"/>
  <c r="N17" i="127"/>
  <c r="M17" i="127"/>
  <c r="L17" i="127"/>
  <c r="K17" i="127"/>
  <c r="J17" i="127"/>
  <c r="I17" i="127"/>
  <c r="H17" i="127"/>
  <c r="G17" i="127"/>
  <c r="F17" i="127"/>
  <c r="E17" i="127"/>
  <c r="D17" i="127"/>
  <c r="C17" i="127"/>
  <c r="N16" i="127"/>
  <c r="M16" i="127"/>
  <c r="L16" i="127"/>
  <c r="K16" i="127"/>
  <c r="J16" i="127"/>
  <c r="I16" i="127"/>
  <c r="H16" i="127"/>
  <c r="G16" i="127"/>
  <c r="F16" i="127"/>
  <c r="E16" i="127"/>
  <c r="D16" i="127"/>
  <c r="C16" i="127"/>
  <c r="N15" i="127"/>
  <c r="M15" i="127"/>
  <c r="L15" i="127"/>
  <c r="K15" i="127"/>
  <c r="J15" i="127"/>
  <c r="I15" i="127"/>
  <c r="H15" i="127"/>
  <c r="G15" i="127"/>
  <c r="F15" i="127"/>
  <c r="E15" i="127"/>
  <c r="D15" i="127"/>
  <c r="C15" i="127"/>
  <c r="N14" i="127"/>
  <c r="M14" i="127"/>
  <c r="L14" i="127"/>
  <c r="K14" i="127"/>
  <c r="J14" i="127"/>
  <c r="I14" i="127"/>
  <c r="H14" i="127"/>
  <c r="G14" i="127"/>
  <c r="F14" i="127"/>
  <c r="E14" i="127"/>
  <c r="D14" i="127"/>
  <c r="C14" i="127"/>
  <c r="N13" i="127"/>
  <c r="M13" i="127"/>
  <c r="L13" i="127"/>
  <c r="K13" i="127"/>
  <c r="J13" i="127"/>
  <c r="I13" i="127"/>
  <c r="H13" i="127"/>
  <c r="G13" i="127"/>
  <c r="F13" i="127"/>
  <c r="E13" i="127"/>
  <c r="D13" i="127"/>
  <c r="C13" i="127"/>
  <c r="B13" i="127"/>
  <c r="A1" i="127"/>
  <c r="C415" i="152"/>
  <c r="B415" i="152"/>
  <c r="C414" i="152"/>
  <c r="B414" i="152"/>
  <c r="C413" i="152"/>
  <c r="B413" i="152"/>
  <c r="C412" i="152"/>
  <c r="B412" i="152"/>
  <c r="C411" i="152"/>
  <c r="B411" i="152"/>
  <c r="C410" i="152"/>
  <c r="B410" i="152"/>
  <c r="C409" i="152"/>
  <c r="B409" i="152"/>
  <c r="C408" i="152"/>
  <c r="B408" i="152"/>
  <c r="C407" i="152"/>
  <c r="B407" i="152"/>
  <c r="C406" i="152"/>
  <c r="B406" i="152"/>
  <c r="C405" i="152"/>
  <c r="B405" i="152"/>
  <c r="C404" i="152"/>
  <c r="B404" i="152"/>
  <c r="C403" i="152"/>
  <c r="B403" i="152"/>
  <c r="C402" i="152"/>
  <c r="B402" i="152"/>
  <c r="C401" i="152"/>
  <c r="B401" i="152"/>
  <c r="C400" i="152"/>
  <c r="B400" i="152"/>
  <c r="C399" i="152"/>
  <c r="B399" i="152"/>
  <c r="C398" i="152"/>
  <c r="B398" i="152"/>
  <c r="C397" i="152"/>
  <c r="B397" i="152"/>
  <c r="C396" i="152"/>
  <c r="B396" i="152"/>
  <c r="B395" i="152"/>
  <c r="C391" i="152"/>
  <c r="B391" i="152"/>
  <c r="C390" i="152"/>
  <c r="B390" i="152"/>
  <c r="C389" i="152"/>
  <c r="B389" i="152"/>
  <c r="C388" i="152"/>
  <c r="B388" i="152"/>
  <c r="C387" i="152"/>
  <c r="B387" i="152"/>
  <c r="C386" i="152"/>
  <c r="B386" i="152"/>
  <c r="C385" i="152"/>
  <c r="B385" i="152"/>
  <c r="C384" i="152"/>
  <c r="B384" i="152"/>
  <c r="C383" i="152"/>
  <c r="B383" i="152"/>
  <c r="C382" i="152"/>
  <c r="B382" i="152"/>
  <c r="C381" i="152"/>
  <c r="C380" i="152"/>
  <c r="B380" i="152"/>
  <c r="C379" i="152"/>
  <c r="B379" i="152"/>
  <c r="C378" i="152"/>
  <c r="B378" i="152"/>
  <c r="C377" i="152"/>
  <c r="B377" i="152"/>
  <c r="C376" i="152"/>
  <c r="B376" i="152"/>
  <c r="C375" i="152"/>
  <c r="B375" i="152"/>
  <c r="C374" i="152"/>
  <c r="B374" i="152"/>
  <c r="C373" i="152"/>
  <c r="B373" i="152"/>
  <c r="C372" i="152"/>
  <c r="B372" i="152"/>
  <c r="C367" i="152"/>
  <c r="B367" i="152"/>
  <c r="C366" i="152"/>
  <c r="B366" i="152"/>
  <c r="C365" i="152"/>
  <c r="B365" i="152"/>
  <c r="B364" i="152"/>
  <c r="C360" i="152"/>
  <c r="B360" i="152"/>
  <c r="C359" i="152"/>
  <c r="B359" i="152"/>
  <c r="C358" i="152"/>
  <c r="B358" i="152"/>
  <c r="B357" i="152"/>
  <c r="C351" i="152"/>
  <c r="B351" i="152"/>
  <c r="C350" i="152"/>
  <c r="B350" i="152"/>
  <c r="C349" i="152"/>
  <c r="B349" i="152"/>
  <c r="C345" i="152"/>
  <c r="B345" i="152"/>
  <c r="C344" i="152"/>
  <c r="B344" i="152"/>
  <c r="C343" i="152"/>
  <c r="B343" i="152"/>
  <c r="C342" i="152"/>
  <c r="B342" i="152"/>
  <c r="C338" i="152"/>
  <c r="B338" i="152"/>
  <c r="C337" i="152"/>
  <c r="B337" i="152"/>
  <c r="C336" i="152"/>
  <c r="B336" i="152"/>
  <c r="C335" i="152"/>
  <c r="B335" i="152"/>
  <c r="C327" i="152"/>
  <c r="B327" i="152"/>
  <c r="C326" i="152"/>
  <c r="B326" i="152"/>
  <c r="C325" i="152"/>
  <c r="B325" i="152"/>
  <c r="C324" i="152"/>
  <c r="B324" i="152"/>
  <c r="C323" i="152"/>
  <c r="B323" i="152"/>
  <c r="C322" i="152"/>
  <c r="B322" i="152"/>
  <c r="C321" i="152"/>
  <c r="B321" i="152"/>
  <c r="C320" i="152"/>
  <c r="B320" i="152"/>
  <c r="C319" i="152"/>
  <c r="B319" i="152"/>
  <c r="C318" i="152"/>
  <c r="B318" i="152"/>
  <c r="C317" i="152"/>
  <c r="B317" i="152"/>
  <c r="B316" i="152"/>
  <c r="C312" i="152"/>
  <c r="B312" i="152"/>
  <c r="C311" i="152"/>
  <c r="B311" i="152"/>
  <c r="C310" i="152"/>
  <c r="B310" i="152"/>
  <c r="C309" i="152"/>
  <c r="B309" i="152"/>
  <c r="C308" i="152"/>
  <c r="B308" i="152"/>
  <c r="C307" i="152"/>
  <c r="B307" i="152"/>
  <c r="C306" i="152"/>
  <c r="B306" i="152"/>
  <c r="C305" i="152"/>
  <c r="B305" i="152"/>
  <c r="C304" i="152"/>
  <c r="B304" i="152"/>
  <c r="C303" i="152"/>
  <c r="B303" i="152"/>
  <c r="C302" i="152"/>
  <c r="B302" i="152"/>
  <c r="B301" i="152"/>
  <c r="E291" i="152"/>
  <c r="D291" i="152"/>
  <c r="C291" i="152"/>
  <c r="B291" i="152"/>
  <c r="E290" i="152"/>
  <c r="D290" i="152"/>
  <c r="C290" i="152"/>
  <c r="B290" i="152"/>
  <c r="E289" i="152"/>
  <c r="D289" i="152"/>
  <c r="C289" i="152"/>
  <c r="B289" i="152"/>
  <c r="E288" i="152"/>
  <c r="D288" i="152"/>
  <c r="C288" i="152"/>
  <c r="B288" i="152"/>
  <c r="E287" i="152"/>
  <c r="D287" i="152"/>
  <c r="C287" i="152"/>
  <c r="B287" i="152"/>
  <c r="E286" i="152"/>
  <c r="D286" i="152"/>
  <c r="C286" i="152"/>
  <c r="B286" i="152"/>
  <c r="E285" i="152"/>
  <c r="D285" i="152"/>
  <c r="C285" i="152"/>
  <c r="B285" i="152"/>
  <c r="E284" i="152"/>
  <c r="D284" i="152"/>
  <c r="C284" i="152"/>
  <c r="B284" i="152"/>
  <c r="E283" i="152"/>
  <c r="D283" i="152"/>
  <c r="C283" i="152"/>
  <c r="B283" i="152"/>
  <c r="E282" i="152"/>
  <c r="D282" i="152"/>
  <c r="C282" i="152"/>
  <c r="B282" i="152"/>
  <c r="E281" i="152"/>
  <c r="D281" i="152"/>
  <c r="C281" i="152"/>
  <c r="B281" i="152"/>
  <c r="E280" i="152"/>
  <c r="D280" i="152"/>
  <c r="C280" i="152"/>
  <c r="B280" i="152"/>
  <c r="E279" i="152"/>
  <c r="D279" i="152"/>
  <c r="C279" i="152"/>
  <c r="B279" i="152"/>
  <c r="E278" i="152"/>
  <c r="D278" i="152"/>
  <c r="C278" i="152"/>
  <c r="B278" i="152"/>
  <c r="E277" i="152"/>
  <c r="D277" i="152"/>
  <c r="C277" i="152"/>
  <c r="B277" i="152"/>
  <c r="E276" i="152"/>
  <c r="D276" i="152"/>
  <c r="C276" i="152"/>
  <c r="B276" i="152"/>
  <c r="E275" i="152"/>
  <c r="D275" i="152"/>
  <c r="C275" i="152"/>
  <c r="B275" i="152"/>
  <c r="E274" i="152"/>
  <c r="D274" i="152"/>
  <c r="C274" i="152"/>
  <c r="B274" i="152"/>
  <c r="E273" i="152"/>
  <c r="D273" i="152"/>
  <c r="C273" i="152"/>
  <c r="B273" i="152"/>
  <c r="E272" i="152"/>
  <c r="D272" i="152"/>
  <c r="C272" i="152"/>
  <c r="B272" i="152"/>
  <c r="E271" i="152"/>
  <c r="D271" i="152"/>
  <c r="C271" i="152"/>
  <c r="B271" i="152"/>
  <c r="O267" i="152"/>
  <c r="N267" i="152"/>
  <c r="M267" i="152"/>
  <c r="L267" i="152"/>
  <c r="K267" i="152"/>
  <c r="J267" i="152"/>
  <c r="I267" i="152"/>
  <c r="H267" i="152"/>
  <c r="G267" i="152"/>
  <c r="F267" i="152"/>
  <c r="E267" i="152"/>
  <c r="D267" i="152"/>
  <c r="C267" i="152"/>
  <c r="O266" i="152"/>
  <c r="N266" i="152"/>
  <c r="M266" i="152"/>
  <c r="L266" i="152"/>
  <c r="K266" i="152"/>
  <c r="J266" i="152"/>
  <c r="I266" i="152"/>
  <c r="H266" i="152"/>
  <c r="G266" i="152"/>
  <c r="F266" i="152"/>
  <c r="E266" i="152"/>
  <c r="D266" i="152"/>
  <c r="C266" i="152"/>
  <c r="O265" i="152"/>
  <c r="N265" i="152"/>
  <c r="M265" i="152"/>
  <c r="L265" i="152"/>
  <c r="K265" i="152"/>
  <c r="J265" i="152"/>
  <c r="I265" i="152"/>
  <c r="H265" i="152"/>
  <c r="G265" i="152"/>
  <c r="F265" i="152"/>
  <c r="E265" i="152"/>
  <c r="D265" i="152"/>
  <c r="C265" i="152"/>
  <c r="O261" i="152"/>
  <c r="N261" i="152"/>
  <c r="M261" i="152"/>
  <c r="L261" i="152"/>
  <c r="K261" i="152"/>
  <c r="J261" i="152"/>
  <c r="I261" i="152"/>
  <c r="H261" i="152"/>
  <c r="G261" i="152"/>
  <c r="F261" i="152"/>
  <c r="E261" i="152"/>
  <c r="D261" i="152"/>
  <c r="C261" i="152"/>
  <c r="O260" i="152"/>
  <c r="N260" i="152"/>
  <c r="M260" i="152"/>
  <c r="L260" i="152"/>
  <c r="K260" i="152"/>
  <c r="J260" i="152"/>
  <c r="I260" i="152"/>
  <c r="H260" i="152"/>
  <c r="G260" i="152"/>
  <c r="F260" i="152"/>
  <c r="E260" i="152"/>
  <c r="D260" i="152"/>
  <c r="C260" i="152"/>
  <c r="O259" i="152"/>
  <c r="N259" i="152"/>
  <c r="M259" i="152"/>
  <c r="L259" i="152"/>
  <c r="K259" i="152"/>
  <c r="J259" i="152"/>
  <c r="I259" i="152"/>
  <c r="H259" i="152"/>
  <c r="G259" i="152"/>
  <c r="F259" i="152"/>
  <c r="E259" i="152"/>
  <c r="D259" i="152"/>
  <c r="C259" i="152"/>
  <c r="D253" i="152"/>
  <c r="C253" i="152"/>
  <c r="B253" i="152"/>
  <c r="D252" i="152"/>
  <c r="C252" i="152"/>
  <c r="B252" i="152"/>
  <c r="D251" i="152"/>
  <c r="C251" i="152"/>
  <c r="B251" i="152"/>
  <c r="D250" i="152"/>
  <c r="C250" i="152"/>
  <c r="B250" i="152"/>
  <c r="D249" i="152"/>
  <c r="C249" i="152"/>
  <c r="B249" i="152"/>
  <c r="D248" i="152"/>
  <c r="C248" i="152"/>
  <c r="B248" i="152"/>
  <c r="D247" i="152"/>
  <c r="C247" i="152"/>
  <c r="B247" i="152"/>
  <c r="D246" i="152"/>
  <c r="C246" i="152"/>
  <c r="B246" i="152"/>
  <c r="D245" i="152"/>
  <c r="C245" i="152"/>
  <c r="B245" i="152"/>
  <c r="D244" i="152"/>
  <c r="C244" i="152"/>
  <c r="B244" i="152"/>
  <c r="D243" i="152"/>
  <c r="C243" i="152"/>
  <c r="B243" i="152"/>
  <c r="D242" i="152"/>
  <c r="C242" i="152"/>
  <c r="B242" i="152"/>
  <c r="D241" i="152"/>
  <c r="C241" i="152"/>
  <c r="B241" i="152"/>
  <c r="D240" i="152"/>
  <c r="C240" i="152"/>
  <c r="B240" i="152"/>
  <c r="D239" i="152"/>
  <c r="C239" i="152"/>
  <c r="B239" i="152"/>
  <c r="D238" i="152"/>
  <c r="C238" i="152"/>
  <c r="B238" i="152"/>
  <c r="D237" i="152"/>
  <c r="C237" i="152"/>
  <c r="B237" i="152"/>
  <c r="D236" i="152"/>
  <c r="C236" i="152"/>
  <c r="B236" i="152"/>
  <c r="D235" i="152"/>
  <c r="C235" i="152"/>
  <c r="B235" i="152"/>
  <c r="D234" i="152"/>
  <c r="C234" i="152"/>
  <c r="D233" i="152"/>
  <c r="C233" i="152"/>
  <c r="B233" i="152"/>
  <c r="P227" i="152"/>
  <c r="O227" i="152"/>
  <c r="N227" i="152"/>
  <c r="M227" i="152"/>
  <c r="L227" i="152"/>
  <c r="K227" i="152"/>
  <c r="J227" i="152"/>
  <c r="I227" i="152"/>
  <c r="H227" i="152"/>
  <c r="G227" i="152"/>
  <c r="F227" i="152"/>
  <c r="E227" i="152"/>
  <c r="D227" i="152"/>
  <c r="C227" i="152"/>
  <c r="B227" i="152"/>
  <c r="P226" i="152"/>
  <c r="O226" i="152"/>
  <c r="N226" i="152"/>
  <c r="M226" i="152"/>
  <c r="L226" i="152"/>
  <c r="K226" i="152"/>
  <c r="J226" i="152"/>
  <c r="I226" i="152"/>
  <c r="H226" i="152"/>
  <c r="G226" i="152"/>
  <c r="F226" i="152"/>
  <c r="E226" i="152"/>
  <c r="D226" i="152"/>
  <c r="C226" i="152"/>
  <c r="B226" i="152"/>
  <c r="P225" i="152"/>
  <c r="O225" i="152"/>
  <c r="N225" i="152"/>
  <c r="M225" i="152"/>
  <c r="L225" i="152"/>
  <c r="K225" i="152"/>
  <c r="J225" i="152"/>
  <c r="I225" i="152"/>
  <c r="H225" i="152"/>
  <c r="G225" i="152"/>
  <c r="F225" i="152"/>
  <c r="E225" i="152"/>
  <c r="D225" i="152"/>
  <c r="C225" i="152"/>
  <c r="B225" i="152"/>
  <c r="P224" i="152"/>
  <c r="O224" i="152"/>
  <c r="N224" i="152"/>
  <c r="M224" i="152"/>
  <c r="L224" i="152"/>
  <c r="K224" i="152"/>
  <c r="J224" i="152"/>
  <c r="I224" i="152"/>
  <c r="H224" i="152"/>
  <c r="G224" i="152"/>
  <c r="F224" i="152"/>
  <c r="E224" i="152"/>
  <c r="D224" i="152"/>
  <c r="C224" i="152"/>
  <c r="B224" i="152"/>
  <c r="P223" i="152"/>
  <c r="O223" i="152"/>
  <c r="N223" i="152"/>
  <c r="M223" i="152"/>
  <c r="L223" i="152"/>
  <c r="K223" i="152"/>
  <c r="J223" i="152"/>
  <c r="I223" i="152"/>
  <c r="H223" i="152"/>
  <c r="G223" i="152"/>
  <c r="F223" i="152"/>
  <c r="E223" i="152"/>
  <c r="D223" i="152"/>
  <c r="C223" i="152"/>
  <c r="B223" i="152"/>
  <c r="P222" i="152"/>
  <c r="O222" i="152"/>
  <c r="N222" i="152"/>
  <c r="M222" i="152"/>
  <c r="L222" i="152"/>
  <c r="K222" i="152"/>
  <c r="J222" i="152"/>
  <c r="I222" i="152"/>
  <c r="H222" i="152"/>
  <c r="G222" i="152"/>
  <c r="F222" i="152"/>
  <c r="E222" i="152"/>
  <c r="D222" i="152"/>
  <c r="C222" i="152"/>
  <c r="B222" i="152"/>
  <c r="P221" i="152"/>
  <c r="O221" i="152"/>
  <c r="N221" i="152"/>
  <c r="M221" i="152"/>
  <c r="L221" i="152"/>
  <c r="K221" i="152"/>
  <c r="J221" i="152"/>
  <c r="I221" i="152"/>
  <c r="H221" i="152"/>
  <c r="G221" i="152"/>
  <c r="F221" i="152"/>
  <c r="E221" i="152"/>
  <c r="D221" i="152"/>
  <c r="C221" i="152"/>
  <c r="B221" i="152"/>
  <c r="P220" i="152"/>
  <c r="O220" i="152"/>
  <c r="N220" i="152"/>
  <c r="M220" i="152"/>
  <c r="L220" i="152"/>
  <c r="K220" i="152"/>
  <c r="J220" i="152"/>
  <c r="I220" i="152"/>
  <c r="H220" i="152"/>
  <c r="G220" i="152"/>
  <c r="F220" i="152"/>
  <c r="E220" i="152"/>
  <c r="D220" i="152"/>
  <c r="C220" i="152"/>
  <c r="B220" i="152"/>
  <c r="P219" i="152"/>
  <c r="O219" i="152"/>
  <c r="N219" i="152"/>
  <c r="M219" i="152"/>
  <c r="L219" i="152"/>
  <c r="K219" i="152"/>
  <c r="J219" i="152"/>
  <c r="I219" i="152"/>
  <c r="H219" i="152"/>
  <c r="G219" i="152"/>
  <c r="F219" i="152"/>
  <c r="E219" i="152"/>
  <c r="D219" i="152"/>
  <c r="C219" i="152"/>
  <c r="B219" i="152"/>
  <c r="P218" i="152"/>
  <c r="O218" i="152"/>
  <c r="N218" i="152"/>
  <c r="M218" i="152"/>
  <c r="L218" i="152"/>
  <c r="K218" i="152"/>
  <c r="J218" i="152"/>
  <c r="I218" i="152"/>
  <c r="H218" i="152"/>
  <c r="G218" i="152"/>
  <c r="F218" i="152"/>
  <c r="E218" i="152"/>
  <c r="D218" i="152"/>
  <c r="C218" i="152"/>
  <c r="B218" i="152"/>
  <c r="P217" i="152"/>
  <c r="O217" i="152"/>
  <c r="N217" i="152"/>
  <c r="M217" i="152"/>
  <c r="L217" i="152"/>
  <c r="K217" i="152"/>
  <c r="J217" i="152"/>
  <c r="I217" i="152"/>
  <c r="H217" i="152"/>
  <c r="G217" i="152"/>
  <c r="F217" i="152"/>
  <c r="E217" i="152"/>
  <c r="D217" i="152"/>
  <c r="C217" i="152"/>
  <c r="B217" i="152"/>
  <c r="P216" i="152"/>
  <c r="O216" i="152"/>
  <c r="N216" i="152"/>
  <c r="M216" i="152"/>
  <c r="L216" i="152"/>
  <c r="K216" i="152"/>
  <c r="J216" i="152"/>
  <c r="I216" i="152"/>
  <c r="H216" i="152"/>
  <c r="G216" i="152"/>
  <c r="F216" i="152"/>
  <c r="E216" i="152"/>
  <c r="D216" i="152"/>
  <c r="C216" i="152"/>
  <c r="B216" i="152"/>
  <c r="P212" i="152"/>
  <c r="O212" i="152"/>
  <c r="N212" i="152"/>
  <c r="M212" i="152"/>
  <c r="L212" i="152"/>
  <c r="K212" i="152"/>
  <c r="J212" i="152"/>
  <c r="I212" i="152"/>
  <c r="H212" i="152"/>
  <c r="G212" i="152"/>
  <c r="F212" i="152"/>
  <c r="E212" i="152"/>
  <c r="D212" i="152"/>
  <c r="C212" i="152"/>
  <c r="B212" i="152"/>
  <c r="P211" i="152"/>
  <c r="O211" i="152"/>
  <c r="N211" i="152"/>
  <c r="M211" i="152"/>
  <c r="L211" i="152"/>
  <c r="K211" i="152"/>
  <c r="J211" i="152"/>
  <c r="I211" i="152"/>
  <c r="H211" i="152"/>
  <c r="G211" i="152"/>
  <c r="F211" i="152"/>
  <c r="E211" i="152"/>
  <c r="D211" i="152"/>
  <c r="C211" i="152"/>
  <c r="B211" i="152"/>
  <c r="P210" i="152"/>
  <c r="O210" i="152"/>
  <c r="N210" i="152"/>
  <c r="M210" i="152"/>
  <c r="L210" i="152"/>
  <c r="K210" i="152"/>
  <c r="J210" i="152"/>
  <c r="I210" i="152"/>
  <c r="H210" i="152"/>
  <c r="G210" i="152"/>
  <c r="F210" i="152"/>
  <c r="E210" i="152"/>
  <c r="D210" i="152"/>
  <c r="C210" i="152"/>
  <c r="B210" i="152"/>
  <c r="P209" i="152"/>
  <c r="O209" i="152"/>
  <c r="N209" i="152"/>
  <c r="M209" i="152"/>
  <c r="L209" i="152"/>
  <c r="K209" i="152"/>
  <c r="J209" i="152"/>
  <c r="I209" i="152"/>
  <c r="H209" i="152"/>
  <c r="G209" i="152"/>
  <c r="F209" i="152"/>
  <c r="E209" i="152"/>
  <c r="D209" i="152"/>
  <c r="C209" i="152"/>
  <c r="B209" i="152"/>
  <c r="P208" i="152"/>
  <c r="O208" i="152"/>
  <c r="N208" i="152"/>
  <c r="M208" i="152"/>
  <c r="L208" i="152"/>
  <c r="K208" i="152"/>
  <c r="J208" i="152"/>
  <c r="I208" i="152"/>
  <c r="H208" i="152"/>
  <c r="G208" i="152"/>
  <c r="F208" i="152"/>
  <c r="E208" i="152"/>
  <c r="D208" i="152"/>
  <c r="C208" i="152"/>
  <c r="B208" i="152"/>
  <c r="P207" i="152"/>
  <c r="O207" i="152"/>
  <c r="N207" i="152"/>
  <c r="M207" i="152"/>
  <c r="L207" i="152"/>
  <c r="K207" i="152"/>
  <c r="J207" i="152"/>
  <c r="I207" i="152"/>
  <c r="H207" i="152"/>
  <c r="G207" i="152"/>
  <c r="F207" i="152"/>
  <c r="E207" i="152"/>
  <c r="D207" i="152"/>
  <c r="C207" i="152"/>
  <c r="B207" i="152"/>
  <c r="P206" i="152"/>
  <c r="O206" i="152"/>
  <c r="N206" i="152"/>
  <c r="M206" i="152"/>
  <c r="L206" i="152"/>
  <c r="K206" i="152"/>
  <c r="J206" i="152"/>
  <c r="I206" i="152"/>
  <c r="H206" i="152"/>
  <c r="G206" i="152"/>
  <c r="F206" i="152"/>
  <c r="E206" i="152"/>
  <c r="D206" i="152"/>
  <c r="C206" i="152"/>
  <c r="B206" i="152"/>
  <c r="P205" i="152"/>
  <c r="O205" i="152"/>
  <c r="N205" i="152"/>
  <c r="M205" i="152"/>
  <c r="L205" i="152"/>
  <c r="K205" i="152"/>
  <c r="J205" i="152"/>
  <c r="I205" i="152"/>
  <c r="H205" i="152"/>
  <c r="G205" i="152"/>
  <c r="F205" i="152"/>
  <c r="E205" i="152"/>
  <c r="D205" i="152"/>
  <c r="C205" i="152"/>
  <c r="B205" i="152"/>
  <c r="P204" i="152"/>
  <c r="O204" i="152"/>
  <c r="N204" i="152"/>
  <c r="M204" i="152"/>
  <c r="L204" i="152"/>
  <c r="K204" i="152"/>
  <c r="J204" i="152"/>
  <c r="I204" i="152"/>
  <c r="H204" i="152"/>
  <c r="G204" i="152"/>
  <c r="F204" i="152"/>
  <c r="E204" i="152"/>
  <c r="D204" i="152"/>
  <c r="C204" i="152"/>
  <c r="B204" i="152"/>
  <c r="P203" i="152"/>
  <c r="O203" i="152"/>
  <c r="N203" i="152"/>
  <c r="M203" i="152"/>
  <c r="L203" i="152"/>
  <c r="K203" i="152"/>
  <c r="J203" i="152"/>
  <c r="I203" i="152"/>
  <c r="H203" i="152"/>
  <c r="G203" i="152"/>
  <c r="F203" i="152"/>
  <c r="E203" i="152"/>
  <c r="D203" i="152"/>
  <c r="C203" i="152"/>
  <c r="B203" i="152"/>
  <c r="P202" i="152"/>
  <c r="O202" i="152"/>
  <c r="N202" i="152"/>
  <c r="M202" i="152"/>
  <c r="L202" i="152"/>
  <c r="K202" i="152"/>
  <c r="J202" i="152"/>
  <c r="I202" i="152"/>
  <c r="H202" i="152"/>
  <c r="G202" i="152"/>
  <c r="F202" i="152"/>
  <c r="E202" i="152"/>
  <c r="D202" i="152"/>
  <c r="C202" i="152"/>
  <c r="B202" i="152"/>
  <c r="P201" i="152"/>
  <c r="O201" i="152"/>
  <c r="N201" i="152"/>
  <c r="M201" i="152"/>
  <c r="L201" i="152"/>
  <c r="K201" i="152"/>
  <c r="J201" i="152"/>
  <c r="I201" i="152"/>
  <c r="H201" i="152"/>
  <c r="G201" i="152"/>
  <c r="F201" i="152"/>
  <c r="E201" i="152"/>
  <c r="D201" i="152"/>
  <c r="C201" i="152"/>
  <c r="B201" i="152"/>
  <c r="P195" i="152"/>
  <c r="O195" i="152"/>
  <c r="N195" i="152"/>
  <c r="M195" i="152"/>
  <c r="L195" i="152"/>
  <c r="K195" i="152"/>
  <c r="J195" i="152"/>
  <c r="I195" i="152"/>
  <c r="H195" i="152"/>
  <c r="G195" i="152"/>
  <c r="F195" i="152"/>
  <c r="E195" i="152"/>
  <c r="D195" i="152"/>
  <c r="C195" i="152"/>
  <c r="B195" i="152"/>
  <c r="P194" i="152"/>
  <c r="O194" i="152"/>
  <c r="N194" i="152"/>
  <c r="M194" i="152"/>
  <c r="L194" i="152"/>
  <c r="K194" i="152"/>
  <c r="J194" i="152"/>
  <c r="I194" i="152"/>
  <c r="H194" i="152"/>
  <c r="G194" i="152"/>
  <c r="F194" i="152"/>
  <c r="E194" i="152"/>
  <c r="D194" i="152"/>
  <c r="C194" i="152"/>
  <c r="B194" i="152"/>
  <c r="P193" i="152"/>
  <c r="O193" i="152"/>
  <c r="N193" i="152"/>
  <c r="M193" i="152"/>
  <c r="L193" i="152"/>
  <c r="K193" i="152"/>
  <c r="J193" i="152"/>
  <c r="I193" i="152"/>
  <c r="H193" i="152"/>
  <c r="G193" i="152"/>
  <c r="F193" i="152"/>
  <c r="E193" i="152"/>
  <c r="D193" i="152"/>
  <c r="C193" i="152"/>
  <c r="B193" i="152"/>
  <c r="P192" i="152"/>
  <c r="O192" i="152"/>
  <c r="N192" i="152"/>
  <c r="M192" i="152"/>
  <c r="L192" i="152"/>
  <c r="K192" i="152"/>
  <c r="J192" i="152"/>
  <c r="I192" i="152"/>
  <c r="H192" i="152"/>
  <c r="G192" i="152"/>
  <c r="F192" i="152"/>
  <c r="E192" i="152"/>
  <c r="D192" i="152"/>
  <c r="C192" i="152"/>
  <c r="B192" i="152"/>
  <c r="P191" i="152"/>
  <c r="O191" i="152"/>
  <c r="N191" i="152"/>
  <c r="M191" i="152"/>
  <c r="L191" i="152"/>
  <c r="K191" i="152"/>
  <c r="J191" i="152"/>
  <c r="I191" i="152"/>
  <c r="H191" i="152"/>
  <c r="G191" i="152"/>
  <c r="F191" i="152"/>
  <c r="E191" i="152"/>
  <c r="D191" i="152"/>
  <c r="C191" i="152"/>
  <c r="B191" i="152"/>
  <c r="P190" i="152"/>
  <c r="O190" i="152"/>
  <c r="N190" i="152"/>
  <c r="M190" i="152"/>
  <c r="L190" i="152"/>
  <c r="K190" i="152"/>
  <c r="J190" i="152"/>
  <c r="I190" i="152"/>
  <c r="H190" i="152"/>
  <c r="G190" i="152"/>
  <c r="F190" i="152"/>
  <c r="E190" i="152"/>
  <c r="D190" i="152"/>
  <c r="C190" i="152"/>
  <c r="B190" i="152"/>
  <c r="P189" i="152"/>
  <c r="O189" i="152"/>
  <c r="N189" i="152"/>
  <c r="M189" i="152"/>
  <c r="L189" i="152"/>
  <c r="K189" i="152"/>
  <c r="J189" i="152"/>
  <c r="I189" i="152"/>
  <c r="H189" i="152"/>
  <c r="G189" i="152"/>
  <c r="F189" i="152"/>
  <c r="E189" i="152"/>
  <c r="D189" i="152"/>
  <c r="C189" i="152"/>
  <c r="B189" i="152"/>
  <c r="P188" i="152"/>
  <c r="O188" i="152"/>
  <c r="N188" i="152"/>
  <c r="M188" i="152"/>
  <c r="L188" i="152"/>
  <c r="K188" i="152"/>
  <c r="J188" i="152"/>
  <c r="I188" i="152"/>
  <c r="H188" i="152"/>
  <c r="G188" i="152"/>
  <c r="F188" i="152"/>
  <c r="E188" i="152"/>
  <c r="D188" i="152"/>
  <c r="C188" i="152"/>
  <c r="B188" i="152"/>
  <c r="P187" i="152"/>
  <c r="O187" i="152"/>
  <c r="N187" i="152"/>
  <c r="M187" i="152"/>
  <c r="L187" i="152"/>
  <c r="K187" i="152"/>
  <c r="J187" i="152"/>
  <c r="I187" i="152"/>
  <c r="H187" i="152"/>
  <c r="G187" i="152"/>
  <c r="F187" i="152"/>
  <c r="E187" i="152"/>
  <c r="D187" i="152"/>
  <c r="C187" i="152"/>
  <c r="B187" i="152"/>
  <c r="P186" i="152"/>
  <c r="O186" i="152"/>
  <c r="N186" i="152"/>
  <c r="M186" i="152"/>
  <c r="L186" i="152"/>
  <c r="K186" i="152"/>
  <c r="J186" i="152"/>
  <c r="I186" i="152"/>
  <c r="H186" i="152"/>
  <c r="G186" i="152"/>
  <c r="F186" i="152"/>
  <c r="E186" i="152"/>
  <c r="D186" i="152"/>
  <c r="C186" i="152"/>
  <c r="B186" i="152"/>
  <c r="P185" i="152"/>
  <c r="O185" i="152"/>
  <c r="N185" i="152"/>
  <c r="M185" i="152"/>
  <c r="L185" i="152"/>
  <c r="K185" i="152"/>
  <c r="J185" i="152"/>
  <c r="I185" i="152"/>
  <c r="H185" i="152"/>
  <c r="G185" i="152"/>
  <c r="F185" i="152"/>
  <c r="E185" i="152"/>
  <c r="D185" i="152"/>
  <c r="C185" i="152"/>
  <c r="B185" i="152"/>
  <c r="P184" i="152"/>
  <c r="O184" i="152"/>
  <c r="N184" i="152"/>
  <c r="M184" i="152"/>
  <c r="L184" i="152"/>
  <c r="K184" i="152"/>
  <c r="J184" i="152"/>
  <c r="I184" i="152"/>
  <c r="H184" i="152"/>
  <c r="G184" i="152"/>
  <c r="F184" i="152"/>
  <c r="E184" i="152"/>
  <c r="D184" i="152"/>
  <c r="C184" i="152"/>
  <c r="B184" i="152"/>
  <c r="P180" i="152"/>
  <c r="O180" i="152"/>
  <c r="N180" i="152"/>
  <c r="M180" i="152"/>
  <c r="L180" i="152"/>
  <c r="K180" i="152"/>
  <c r="J180" i="152"/>
  <c r="I180" i="152"/>
  <c r="H180" i="152"/>
  <c r="G180" i="152"/>
  <c r="F180" i="152"/>
  <c r="E180" i="152"/>
  <c r="D180" i="152"/>
  <c r="C180" i="152"/>
  <c r="B180" i="152"/>
  <c r="P179" i="152"/>
  <c r="O179" i="152"/>
  <c r="N179" i="152"/>
  <c r="M179" i="152"/>
  <c r="L179" i="152"/>
  <c r="K179" i="152"/>
  <c r="J179" i="152"/>
  <c r="I179" i="152"/>
  <c r="H179" i="152"/>
  <c r="G179" i="152"/>
  <c r="F179" i="152"/>
  <c r="E179" i="152"/>
  <c r="D179" i="152"/>
  <c r="C179" i="152"/>
  <c r="B179" i="152"/>
  <c r="P178" i="152"/>
  <c r="O178" i="152"/>
  <c r="N178" i="152"/>
  <c r="M178" i="152"/>
  <c r="L178" i="152"/>
  <c r="K178" i="152"/>
  <c r="J178" i="152"/>
  <c r="I178" i="152"/>
  <c r="H178" i="152"/>
  <c r="G178" i="152"/>
  <c r="F178" i="152"/>
  <c r="E178" i="152"/>
  <c r="D178" i="152"/>
  <c r="C178" i="152"/>
  <c r="B178" i="152"/>
  <c r="P177" i="152"/>
  <c r="O177" i="152"/>
  <c r="N177" i="152"/>
  <c r="M177" i="152"/>
  <c r="L177" i="152"/>
  <c r="K177" i="152"/>
  <c r="J177" i="152"/>
  <c r="I177" i="152"/>
  <c r="H177" i="152"/>
  <c r="G177" i="152"/>
  <c r="F177" i="152"/>
  <c r="E177" i="152"/>
  <c r="D177" i="152"/>
  <c r="C177" i="152"/>
  <c r="B177" i="152"/>
  <c r="P176" i="152"/>
  <c r="O176" i="152"/>
  <c r="N176" i="152"/>
  <c r="M176" i="152"/>
  <c r="L176" i="152"/>
  <c r="K176" i="152"/>
  <c r="J176" i="152"/>
  <c r="I176" i="152"/>
  <c r="H176" i="152"/>
  <c r="G176" i="152"/>
  <c r="F176" i="152"/>
  <c r="E176" i="152"/>
  <c r="D176" i="152"/>
  <c r="C176" i="152"/>
  <c r="B176" i="152"/>
  <c r="P175" i="152"/>
  <c r="O175" i="152"/>
  <c r="N175" i="152"/>
  <c r="M175" i="152"/>
  <c r="L175" i="152"/>
  <c r="K175" i="152"/>
  <c r="J175" i="152"/>
  <c r="I175" i="152"/>
  <c r="H175" i="152"/>
  <c r="G175" i="152"/>
  <c r="F175" i="152"/>
  <c r="E175" i="152"/>
  <c r="D175" i="152"/>
  <c r="C175" i="152"/>
  <c r="B175" i="152"/>
  <c r="P174" i="152"/>
  <c r="O174" i="152"/>
  <c r="N174" i="152"/>
  <c r="M174" i="152"/>
  <c r="L174" i="152"/>
  <c r="K174" i="152"/>
  <c r="J174" i="152"/>
  <c r="I174" i="152"/>
  <c r="H174" i="152"/>
  <c r="G174" i="152"/>
  <c r="F174" i="152"/>
  <c r="E174" i="152"/>
  <c r="D174" i="152"/>
  <c r="C174" i="152"/>
  <c r="B174" i="152"/>
  <c r="P173" i="152"/>
  <c r="O173" i="152"/>
  <c r="N173" i="152"/>
  <c r="M173" i="152"/>
  <c r="L173" i="152"/>
  <c r="K173" i="152"/>
  <c r="J173" i="152"/>
  <c r="I173" i="152"/>
  <c r="H173" i="152"/>
  <c r="G173" i="152"/>
  <c r="F173" i="152"/>
  <c r="E173" i="152"/>
  <c r="D173" i="152"/>
  <c r="C173" i="152"/>
  <c r="B173" i="152"/>
  <c r="P172" i="152"/>
  <c r="O172" i="152"/>
  <c r="N172" i="152"/>
  <c r="M172" i="152"/>
  <c r="L172" i="152"/>
  <c r="K172" i="152"/>
  <c r="J172" i="152"/>
  <c r="I172" i="152"/>
  <c r="H172" i="152"/>
  <c r="G172" i="152"/>
  <c r="F172" i="152"/>
  <c r="E172" i="152"/>
  <c r="D172" i="152"/>
  <c r="C172" i="152"/>
  <c r="B172" i="152"/>
  <c r="P171" i="152"/>
  <c r="O171" i="152"/>
  <c r="N171" i="152"/>
  <c r="M171" i="152"/>
  <c r="L171" i="152"/>
  <c r="K171" i="152"/>
  <c r="J171" i="152"/>
  <c r="I171" i="152"/>
  <c r="H171" i="152"/>
  <c r="G171" i="152"/>
  <c r="F171" i="152"/>
  <c r="E171" i="152"/>
  <c r="D171" i="152"/>
  <c r="C171" i="152"/>
  <c r="B171" i="152"/>
  <c r="P170" i="152"/>
  <c r="O170" i="152"/>
  <c r="N170" i="152"/>
  <c r="M170" i="152"/>
  <c r="L170" i="152"/>
  <c r="K170" i="152"/>
  <c r="J170" i="152"/>
  <c r="I170" i="152"/>
  <c r="H170" i="152"/>
  <c r="G170" i="152"/>
  <c r="F170" i="152"/>
  <c r="E170" i="152"/>
  <c r="D170" i="152"/>
  <c r="C170" i="152"/>
  <c r="B170" i="152"/>
  <c r="P169" i="152"/>
  <c r="O169" i="152"/>
  <c r="N169" i="152"/>
  <c r="M169" i="152"/>
  <c r="L169" i="152"/>
  <c r="K169" i="152"/>
  <c r="J169" i="152"/>
  <c r="I169" i="152"/>
  <c r="H169" i="152"/>
  <c r="G169" i="152"/>
  <c r="F169" i="152"/>
  <c r="E169" i="152"/>
  <c r="D169" i="152"/>
  <c r="C169" i="152"/>
  <c r="B169" i="152"/>
  <c r="D157" i="152"/>
  <c r="C157" i="152"/>
  <c r="B157" i="152"/>
  <c r="D156" i="152"/>
  <c r="C156" i="152"/>
  <c r="B156" i="152"/>
  <c r="D155" i="152"/>
  <c r="C155" i="152"/>
  <c r="B155" i="152"/>
  <c r="D154" i="152"/>
  <c r="C154" i="152"/>
  <c r="B154" i="152"/>
  <c r="D153" i="152"/>
  <c r="C153" i="152"/>
  <c r="B153" i="152"/>
  <c r="D152" i="152"/>
  <c r="C152" i="152"/>
  <c r="B152" i="152"/>
  <c r="D151" i="152"/>
  <c r="C151" i="152"/>
  <c r="B151" i="152"/>
  <c r="D150" i="152"/>
  <c r="C150" i="152"/>
  <c r="B150" i="152"/>
  <c r="D149" i="152"/>
  <c r="C149" i="152"/>
  <c r="B149" i="152"/>
  <c r="D148" i="152"/>
  <c r="C148" i="152"/>
  <c r="B148" i="152"/>
  <c r="D147" i="152"/>
  <c r="C147" i="152"/>
  <c r="B147" i="152"/>
  <c r="D146" i="152"/>
  <c r="C146" i="152"/>
  <c r="B146" i="152"/>
  <c r="D142" i="152"/>
  <c r="C142" i="152"/>
  <c r="B142" i="152"/>
  <c r="D141" i="152"/>
  <c r="C141" i="152"/>
  <c r="B141" i="152"/>
  <c r="D140" i="152"/>
  <c r="C140" i="152"/>
  <c r="B140" i="152"/>
  <c r="D139" i="152"/>
  <c r="C139" i="152"/>
  <c r="B139" i="152"/>
  <c r="D138" i="152"/>
  <c r="C138" i="152"/>
  <c r="B138" i="152"/>
  <c r="D137" i="152"/>
  <c r="C137" i="152"/>
  <c r="B137" i="152"/>
  <c r="D136" i="152"/>
  <c r="C136" i="152"/>
  <c r="B136" i="152"/>
  <c r="D135" i="152"/>
  <c r="C135" i="152"/>
  <c r="B135" i="152"/>
  <c r="D134" i="152"/>
  <c r="C134" i="152"/>
  <c r="B134" i="152"/>
  <c r="D133" i="152"/>
  <c r="C133" i="152"/>
  <c r="B133" i="152"/>
  <c r="D132" i="152"/>
  <c r="C132" i="152"/>
  <c r="B132" i="152"/>
  <c r="D131" i="152"/>
  <c r="B131" i="152"/>
  <c r="D121" i="152"/>
  <c r="C121" i="152"/>
  <c r="B121" i="152"/>
  <c r="D120" i="152"/>
  <c r="C120" i="152"/>
  <c r="B120" i="152"/>
  <c r="D119" i="152"/>
  <c r="C119" i="152"/>
  <c r="B119" i="152"/>
  <c r="D118" i="152"/>
  <c r="C118" i="152"/>
  <c r="B118" i="152"/>
  <c r="D117" i="152"/>
  <c r="C117" i="152"/>
  <c r="B117" i="152"/>
  <c r="D116" i="152"/>
  <c r="C116" i="152"/>
  <c r="B116" i="152"/>
  <c r="D115" i="152"/>
  <c r="C115" i="152"/>
  <c r="B115" i="152"/>
  <c r="D114" i="152"/>
  <c r="C114" i="152"/>
  <c r="B114" i="152"/>
  <c r="D113" i="152"/>
  <c r="C113" i="152"/>
  <c r="B113" i="152"/>
  <c r="D112" i="152"/>
  <c r="C112" i="152"/>
  <c r="B112" i="152"/>
  <c r="D111" i="152"/>
  <c r="C111" i="152"/>
  <c r="B111" i="152"/>
  <c r="D110" i="152"/>
  <c r="C110" i="152"/>
  <c r="B110" i="152"/>
  <c r="D106" i="152"/>
  <c r="C106" i="152"/>
  <c r="B106" i="152"/>
  <c r="D105" i="152"/>
  <c r="C105" i="152"/>
  <c r="B105" i="152"/>
  <c r="D104" i="152"/>
  <c r="C104" i="152"/>
  <c r="B104" i="152"/>
  <c r="D103" i="152"/>
  <c r="C103" i="152"/>
  <c r="B103" i="152"/>
  <c r="D102" i="152"/>
  <c r="C102" i="152"/>
  <c r="B102" i="152"/>
  <c r="D101" i="152"/>
  <c r="C101" i="152"/>
  <c r="B101" i="152"/>
  <c r="D100" i="152"/>
  <c r="C100" i="152"/>
  <c r="B100" i="152"/>
  <c r="D99" i="152"/>
  <c r="C99" i="152"/>
  <c r="B99" i="152"/>
  <c r="D98" i="152"/>
  <c r="C98" i="152"/>
  <c r="B98" i="152"/>
  <c r="D97" i="152"/>
  <c r="C97" i="152"/>
  <c r="B97" i="152"/>
  <c r="D96" i="152"/>
  <c r="C96" i="152"/>
  <c r="B96" i="152"/>
  <c r="B95" i="152"/>
  <c r="D85" i="152"/>
  <c r="C85" i="152"/>
  <c r="B85" i="152"/>
  <c r="D84" i="152"/>
  <c r="C84" i="152"/>
  <c r="B84" i="152"/>
  <c r="D83" i="152"/>
  <c r="C83" i="152"/>
  <c r="B83" i="152"/>
  <c r="D82" i="152"/>
  <c r="C82" i="152"/>
  <c r="B82" i="152"/>
  <c r="D81" i="152"/>
  <c r="C81" i="152"/>
  <c r="B81" i="152"/>
  <c r="D80" i="152"/>
  <c r="C80" i="152"/>
  <c r="B80" i="152"/>
  <c r="D79" i="152"/>
  <c r="C79" i="152"/>
  <c r="B79" i="152"/>
  <c r="D78" i="152"/>
  <c r="C78" i="152"/>
  <c r="B78" i="152"/>
  <c r="D77" i="152"/>
  <c r="C77" i="152"/>
  <c r="B77" i="152"/>
  <c r="D76" i="152"/>
  <c r="C76" i="152"/>
  <c r="B76" i="152"/>
  <c r="D75" i="152"/>
  <c r="C75" i="152"/>
  <c r="B75" i="152"/>
  <c r="D74" i="152"/>
  <c r="C74" i="152"/>
  <c r="B74" i="152"/>
  <c r="D70" i="152"/>
  <c r="C70" i="152"/>
  <c r="B70" i="152"/>
  <c r="D69" i="152"/>
  <c r="C69" i="152"/>
  <c r="B69" i="152"/>
  <c r="D68" i="152"/>
  <c r="C68" i="152"/>
  <c r="B68" i="152"/>
  <c r="D67" i="152"/>
  <c r="C67" i="152"/>
  <c r="B67" i="152"/>
  <c r="D66" i="152"/>
  <c r="C66" i="152"/>
  <c r="B66" i="152"/>
  <c r="D65" i="152"/>
  <c r="C65" i="152"/>
  <c r="B65" i="152"/>
  <c r="D64" i="152"/>
  <c r="C64" i="152"/>
  <c r="B64" i="152"/>
  <c r="D63" i="152"/>
  <c r="C63" i="152"/>
  <c r="B63" i="152"/>
  <c r="D62" i="152"/>
  <c r="C62" i="152"/>
  <c r="B62" i="152"/>
  <c r="D61" i="152"/>
  <c r="C61" i="152"/>
  <c r="B61" i="152"/>
  <c r="D60" i="152"/>
  <c r="C60" i="152"/>
  <c r="B60" i="152"/>
  <c r="B59" i="152"/>
  <c r="C49" i="152"/>
  <c r="C48" i="152"/>
  <c r="C40" i="152"/>
  <c r="C39" i="152"/>
  <c r="AA31" i="152"/>
  <c r="Z31" i="152"/>
  <c r="Y31" i="152"/>
  <c r="X31" i="152"/>
  <c r="W31" i="152"/>
  <c r="V31" i="152"/>
  <c r="U31" i="152"/>
  <c r="T31" i="152"/>
  <c r="S31" i="152"/>
  <c r="R31" i="152"/>
  <c r="Q31" i="152"/>
  <c r="P31" i="152"/>
  <c r="O31" i="152"/>
  <c r="N31" i="152"/>
  <c r="M31" i="152"/>
  <c r="L31" i="152"/>
  <c r="K31" i="152"/>
  <c r="J31" i="152"/>
  <c r="I31" i="152"/>
  <c r="H31" i="152"/>
  <c r="G31" i="152"/>
  <c r="F31" i="152"/>
  <c r="E31" i="152"/>
  <c r="D31" i="152"/>
  <c r="C31" i="152"/>
  <c r="B31" i="152"/>
  <c r="AA30" i="152"/>
  <c r="Z30" i="152"/>
  <c r="Y30" i="152"/>
  <c r="X30" i="152"/>
  <c r="W30" i="152"/>
  <c r="V30" i="152"/>
  <c r="U30" i="152"/>
  <c r="T30" i="152"/>
  <c r="S30" i="152"/>
  <c r="R30" i="152"/>
  <c r="Q30" i="152"/>
  <c r="P30" i="152"/>
  <c r="O30" i="152"/>
  <c r="N30" i="152"/>
  <c r="M30" i="152"/>
  <c r="L30" i="152"/>
  <c r="K30" i="152"/>
  <c r="J30" i="152"/>
  <c r="I30" i="152"/>
  <c r="H30" i="152"/>
  <c r="G30" i="152"/>
  <c r="F30" i="152"/>
  <c r="E30" i="152"/>
  <c r="D30" i="152"/>
  <c r="C30" i="152"/>
  <c r="B30" i="152"/>
  <c r="AA29" i="152"/>
  <c r="Z29" i="152"/>
  <c r="Y29" i="152"/>
  <c r="X29" i="152"/>
  <c r="W29" i="152"/>
  <c r="V29" i="152"/>
  <c r="U29" i="152"/>
  <c r="T29" i="152"/>
  <c r="S29" i="152"/>
  <c r="R29" i="152"/>
  <c r="Q29" i="152"/>
  <c r="P29" i="152"/>
  <c r="O29" i="152"/>
  <c r="N29" i="152"/>
  <c r="M29" i="152"/>
  <c r="L29" i="152"/>
  <c r="K29" i="152"/>
  <c r="J29" i="152"/>
  <c r="I29" i="152"/>
  <c r="H29" i="152"/>
  <c r="G29" i="152"/>
  <c r="F29" i="152"/>
  <c r="E29" i="152"/>
  <c r="D29" i="152"/>
  <c r="C29" i="152"/>
  <c r="B29" i="152"/>
  <c r="AA28" i="152"/>
  <c r="Z28" i="152"/>
  <c r="Y28" i="152"/>
  <c r="X28" i="152"/>
  <c r="W28" i="152"/>
  <c r="V28" i="152"/>
  <c r="U28" i="152"/>
  <c r="T28" i="152"/>
  <c r="S28" i="152"/>
  <c r="R28" i="152"/>
  <c r="Q28" i="152"/>
  <c r="P28" i="152"/>
  <c r="O28" i="152"/>
  <c r="N28" i="152"/>
  <c r="M28" i="152"/>
  <c r="L28" i="152"/>
  <c r="K28" i="152"/>
  <c r="J28" i="152"/>
  <c r="I28" i="152"/>
  <c r="H28" i="152"/>
  <c r="G28" i="152"/>
  <c r="F28" i="152"/>
  <c r="E28" i="152"/>
  <c r="D28" i="152"/>
  <c r="C28" i="152"/>
  <c r="B28" i="152"/>
  <c r="AA27" i="152"/>
  <c r="Z27" i="152"/>
  <c r="Y27" i="152"/>
  <c r="X27" i="152"/>
  <c r="W27" i="152"/>
  <c r="V27" i="152"/>
  <c r="U27" i="152"/>
  <c r="T27" i="152"/>
  <c r="S27" i="152"/>
  <c r="R27" i="152"/>
  <c r="Q27" i="152"/>
  <c r="P27" i="152"/>
  <c r="O27" i="152"/>
  <c r="N27" i="152"/>
  <c r="M27" i="152"/>
  <c r="L27" i="152"/>
  <c r="K27" i="152"/>
  <c r="J27" i="152"/>
  <c r="I27" i="152"/>
  <c r="H27" i="152"/>
  <c r="G27" i="152"/>
  <c r="F27" i="152"/>
  <c r="E27" i="152"/>
  <c r="D27" i="152"/>
  <c r="C27" i="152"/>
  <c r="I19" i="152"/>
  <c r="H19" i="152"/>
  <c r="G19" i="152"/>
  <c r="F19" i="152"/>
  <c r="E19" i="152"/>
  <c r="D19" i="152"/>
  <c r="C19" i="152"/>
  <c r="B19" i="152"/>
  <c r="I18" i="152"/>
  <c r="H18" i="152"/>
  <c r="G18" i="152"/>
  <c r="F18" i="152"/>
  <c r="E18" i="152"/>
  <c r="D18" i="152"/>
  <c r="C18" i="152"/>
  <c r="B18" i="152"/>
  <c r="I17" i="152"/>
  <c r="H17" i="152"/>
  <c r="G17" i="152"/>
  <c r="F17" i="152"/>
  <c r="E17" i="152"/>
  <c r="D17" i="152"/>
  <c r="C17" i="152"/>
  <c r="A1" i="152"/>
  <c r="L273" i="211"/>
  <c r="K273" i="211"/>
  <c r="J273" i="211"/>
  <c r="I273" i="211"/>
  <c r="H273" i="211"/>
  <c r="G273" i="211"/>
  <c r="F273" i="211"/>
  <c r="E273" i="211"/>
  <c r="D273" i="211"/>
  <c r="C273" i="211"/>
  <c r="B273" i="211"/>
  <c r="L272" i="211"/>
  <c r="K272" i="211"/>
  <c r="J272" i="211"/>
  <c r="I272" i="211"/>
  <c r="H272" i="211"/>
  <c r="G272" i="211"/>
  <c r="F272" i="211"/>
  <c r="E272" i="211"/>
  <c r="D272" i="211"/>
  <c r="C272" i="211"/>
  <c r="B272" i="211"/>
  <c r="L271" i="211"/>
  <c r="K271" i="211"/>
  <c r="J271" i="211"/>
  <c r="I271" i="211"/>
  <c r="H271" i="211"/>
  <c r="G271" i="211"/>
  <c r="F271" i="211"/>
  <c r="E271" i="211"/>
  <c r="D271" i="211"/>
  <c r="C271" i="211"/>
  <c r="B271" i="211"/>
  <c r="L270" i="211"/>
  <c r="K270" i="211"/>
  <c r="J270" i="211"/>
  <c r="I270" i="211"/>
  <c r="H270" i="211"/>
  <c r="G270" i="211"/>
  <c r="F270" i="211"/>
  <c r="E270" i="211"/>
  <c r="D270" i="211"/>
  <c r="C270" i="211"/>
  <c r="B270" i="211"/>
  <c r="L269" i="211"/>
  <c r="K269" i="211"/>
  <c r="J269" i="211"/>
  <c r="I269" i="211"/>
  <c r="H269" i="211"/>
  <c r="G269" i="211"/>
  <c r="F269" i="211"/>
  <c r="E269" i="211"/>
  <c r="D269" i="211"/>
  <c r="C269" i="211"/>
  <c r="B269" i="211"/>
  <c r="L268" i="211"/>
  <c r="K268" i="211"/>
  <c r="J268" i="211"/>
  <c r="I268" i="211"/>
  <c r="H268" i="211"/>
  <c r="G268" i="211"/>
  <c r="F268" i="211"/>
  <c r="E268" i="211"/>
  <c r="D268" i="211"/>
  <c r="C268" i="211"/>
  <c r="B268" i="211"/>
  <c r="L267" i="211"/>
  <c r="K267" i="211"/>
  <c r="J267" i="211"/>
  <c r="I267" i="211"/>
  <c r="H267" i="211"/>
  <c r="G267" i="211"/>
  <c r="F267" i="211"/>
  <c r="E267" i="211"/>
  <c r="D267" i="211"/>
  <c r="C267" i="211"/>
  <c r="B267" i="211"/>
  <c r="L266" i="211"/>
  <c r="K266" i="211"/>
  <c r="J266" i="211"/>
  <c r="I266" i="211"/>
  <c r="H266" i="211"/>
  <c r="G266" i="211"/>
  <c r="F266" i="211"/>
  <c r="E266" i="211"/>
  <c r="D266" i="211"/>
  <c r="C266" i="211"/>
  <c r="B266" i="211"/>
  <c r="L265" i="211"/>
  <c r="K265" i="211"/>
  <c r="J265" i="211"/>
  <c r="I265" i="211"/>
  <c r="H265" i="211"/>
  <c r="G265" i="211"/>
  <c r="F265" i="211"/>
  <c r="E265" i="211"/>
  <c r="D265" i="211"/>
  <c r="C265" i="211"/>
  <c r="B265" i="211"/>
  <c r="L264" i="211"/>
  <c r="K264" i="211"/>
  <c r="J264" i="211"/>
  <c r="I264" i="211"/>
  <c r="H264" i="211"/>
  <c r="G264" i="211"/>
  <c r="F264" i="211"/>
  <c r="E264" i="211"/>
  <c r="D264" i="211"/>
  <c r="C264" i="211"/>
  <c r="B264" i="211"/>
  <c r="L263" i="211"/>
  <c r="K263" i="211"/>
  <c r="J263" i="211"/>
  <c r="I263" i="211"/>
  <c r="H263" i="211"/>
  <c r="G263" i="211"/>
  <c r="F263" i="211"/>
  <c r="E263" i="211"/>
  <c r="D263" i="211"/>
  <c r="C263" i="211"/>
  <c r="B263" i="211"/>
  <c r="L262" i="211"/>
  <c r="K262" i="211"/>
  <c r="J262" i="211"/>
  <c r="I262" i="211"/>
  <c r="H262" i="211"/>
  <c r="G262" i="211"/>
  <c r="F262" i="211"/>
  <c r="E262" i="211"/>
  <c r="D262" i="211"/>
  <c r="C262" i="211"/>
  <c r="B262" i="211"/>
  <c r="L261" i="211"/>
  <c r="K261" i="211"/>
  <c r="J261" i="211"/>
  <c r="I261" i="211"/>
  <c r="H261" i="211"/>
  <c r="G261" i="211"/>
  <c r="F261" i="211"/>
  <c r="E261" i="211"/>
  <c r="D261" i="211"/>
  <c r="C261" i="211"/>
  <c r="B261" i="211"/>
  <c r="L260" i="211"/>
  <c r="K260" i="211"/>
  <c r="J260" i="211"/>
  <c r="I260" i="211"/>
  <c r="H260" i="211"/>
  <c r="G260" i="211"/>
  <c r="F260" i="211"/>
  <c r="E260" i="211"/>
  <c r="D260" i="211"/>
  <c r="C260" i="211"/>
  <c r="B260" i="211"/>
  <c r="L259" i="211"/>
  <c r="K259" i="211"/>
  <c r="J259" i="211"/>
  <c r="I259" i="211"/>
  <c r="H259" i="211"/>
  <c r="G259" i="211"/>
  <c r="F259" i="211"/>
  <c r="E259" i="211"/>
  <c r="D259" i="211"/>
  <c r="C259" i="211"/>
  <c r="B259" i="211"/>
  <c r="L258" i="211"/>
  <c r="K258" i="211"/>
  <c r="J258" i="211"/>
  <c r="I258" i="211"/>
  <c r="H258" i="211"/>
  <c r="G258" i="211"/>
  <c r="F258" i="211"/>
  <c r="E258" i="211"/>
  <c r="D258" i="211"/>
  <c r="C258" i="211"/>
  <c r="B258" i="211"/>
  <c r="L257" i="211"/>
  <c r="K257" i="211"/>
  <c r="J257" i="211"/>
  <c r="I257" i="211"/>
  <c r="H257" i="211"/>
  <c r="G257" i="211"/>
  <c r="F257" i="211"/>
  <c r="E257" i="211"/>
  <c r="D257" i="211"/>
  <c r="C257" i="211"/>
  <c r="B257" i="211"/>
  <c r="L256" i="211"/>
  <c r="K256" i="211"/>
  <c r="J256" i="211"/>
  <c r="I256" i="211"/>
  <c r="H256" i="211"/>
  <c r="G256" i="211"/>
  <c r="F256" i="211"/>
  <c r="E256" i="211"/>
  <c r="D256" i="211"/>
  <c r="C256" i="211"/>
  <c r="B256" i="211"/>
  <c r="L255" i="211"/>
  <c r="K255" i="211"/>
  <c r="J255" i="211"/>
  <c r="I255" i="211"/>
  <c r="H255" i="211"/>
  <c r="G255" i="211"/>
  <c r="F255" i="211"/>
  <c r="E255" i="211"/>
  <c r="D255" i="211"/>
  <c r="C255" i="211"/>
  <c r="B255" i="211"/>
  <c r="L254" i="211"/>
  <c r="K254" i="211"/>
  <c r="J254" i="211"/>
  <c r="I254" i="211"/>
  <c r="H254" i="211"/>
  <c r="G254" i="211"/>
  <c r="F254" i="211"/>
  <c r="E254" i="211"/>
  <c r="D254" i="211"/>
  <c r="C254" i="211"/>
  <c r="B254" i="211"/>
  <c r="L253" i="211"/>
  <c r="K253" i="211"/>
  <c r="J253" i="211"/>
  <c r="I253" i="211"/>
  <c r="H253" i="211"/>
  <c r="G253" i="211"/>
  <c r="F253" i="211"/>
  <c r="E253" i="211"/>
  <c r="D253" i="211"/>
  <c r="C253" i="211"/>
  <c r="B253" i="211"/>
  <c r="L252" i="211"/>
  <c r="K252" i="211"/>
  <c r="J252" i="211"/>
  <c r="I252" i="211"/>
  <c r="H252" i="211"/>
  <c r="G252" i="211"/>
  <c r="F252" i="211"/>
  <c r="E252" i="211"/>
  <c r="D252" i="211"/>
  <c r="C252" i="211"/>
  <c r="B252" i="211"/>
  <c r="L248" i="211"/>
  <c r="K248" i="211"/>
  <c r="J248" i="211"/>
  <c r="I248" i="211"/>
  <c r="H248" i="211"/>
  <c r="G248" i="211"/>
  <c r="F248" i="211"/>
  <c r="E248" i="211"/>
  <c r="D248" i="211"/>
  <c r="C248" i="211"/>
  <c r="L247" i="211"/>
  <c r="K247" i="211"/>
  <c r="J247" i="211"/>
  <c r="I247" i="211"/>
  <c r="H247" i="211"/>
  <c r="G247" i="211"/>
  <c r="F247" i="211"/>
  <c r="E247" i="211"/>
  <c r="D247" i="211"/>
  <c r="C247" i="211"/>
  <c r="B247" i="211"/>
  <c r="L246" i="211"/>
  <c r="K246" i="211"/>
  <c r="J246" i="211"/>
  <c r="I246" i="211"/>
  <c r="H246" i="211"/>
  <c r="G246" i="211"/>
  <c r="F246" i="211"/>
  <c r="E246" i="211"/>
  <c r="D246" i="211"/>
  <c r="C246" i="211"/>
  <c r="B246" i="211"/>
  <c r="L245" i="211"/>
  <c r="K245" i="211"/>
  <c r="J245" i="211"/>
  <c r="I245" i="211"/>
  <c r="H245" i="211"/>
  <c r="G245" i="211"/>
  <c r="F245" i="211"/>
  <c r="E245" i="211"/>
  <c r="D245" i="211"/>
  <c r="C245" i="211"/>
  <c r="B245" i="211"/>
  <c r="L244" i="211"/>
  <c r="K244" i="211"/>
  <c r="J244" i="211"/>
  <c r="I244" i="211"/>
  <c r="H244" i="211"/>
  <c r="G244" i="211"/>
  <c r="F244" i="211"/>
  <c r="E244" i="211"/>
  <c r="D244" i="211"/>
  <c r="C244" i="211"/>
  <c r="B244" i="211"/>
  <c r="L243" i="211"/>
  <c r="K243" i="211"/>
  <c r="J243" i="211"/>
  <c r="I243" i="211"/>
  <c r="H243" i="211"/>
  <c r="G243" i="211"/>
  <c r="F243" i="211"/>
  <c r="E243" i="211"/>
  <c r="D243" i="211"/>
  <c r="C243" i="211"/>
  <c r="B243" i="211"/>
  <c r="L242" i="211"/>
  <c r="K242" i="211"/>
  <c r="J242" i="211"/>
  <c r="I242" i="211"/>
  <c r="H242" i="211"/>
  <c r="G242" i="211"/>
  <c r="F242" i="211"/>
  <c r="E242" i="211"/>
  <c r="D242" i="211"/>
  <c r="C242" i="211"/>
  <c r="B242" i="211"/>
  <c r="L241" i="211"/>
  <c r="K241" i="211"/>
  <c r="J241" i="211"/>
  <c r="I241" i="211"/>
  <c r="H241" i="211"/>
  <c r="G241" i="211"/>
  <c r="F241" i="211"/>
  <c r="E241" i="211"/>
  <c r="D241" i="211"/>
  <c r="C241" i="211"/>
  <c r="B241" i="211"/>
  <c r="L240" i="211"/>
  <c r="K240" i="211"/>
  <c r="J240" i="211"/>
  <c r="I240" i="211"/>
  <c r="H240" i="211"/>
  <c r="G240" i="211"/>
  <c r="F240" i="211"/>
  <c r="E240" i="211"/>
  <c r="D240" i="211"/>
  <c r="C240" i="211"/>
  <c r="B240" i="211"/>
  <c r="L239" i="211"/>
  <c r="K239" i="211"/>
  <c r="J239" i="211"/>
  <c r="I239" i="211"/>
  <c r="H239" i="211"/>
  <c r="G239" i="211"/>
  <c r="F239" i="211"/>
  <c r="E239" i="211"/>
  <c r="D239" i="211"/>
  <c r="C239" i="211"/>
  <c r="B239" i="211"/>
  <c r="L238" i="211"/>
  <c r="K238" i="211"/>
  <c r="J238" i="211"/>
  <c r="I238" i="211"/>
  <c r="H238" i="211"/>
  <c r="G238" i="211"/>
  <c r="F238" i="211"/>
  <c r="E238" i="211"/>
  <c r="D238" i="211"/>
  <c r="C238" i="211"/>
  <c r="B238" i="211"/>
  <c r="L237" i="211"/>
  <c r="K237" i="211"/>
  <c r="J237" i="211"/>
  <c r="I237" i="211"/>
  <c r="H237" i="211"/>
  <c r="G237" i="211"/>
  <c r="F237" i="211"/>
  <c r="E237" i="211"/>
  <c r="D237" i="211"/>
  <c r="C237" i="211"/>
  <c r="B237" i="211"/>
  <c r="L236" i="211"/>
  <c r="K236" i="211"/>
  <c r="J236" i="211"/>
  <c r="I236" i="211"/>
  <c r="H236" i="211"/>
  <c r="G236" i="211"/>
  <c r="F236" i="211"/>
  <c r="E236" i="211"/>
  <c r="D236" i="211"/>
  <c r="C236" i="211"/>
  <c r="B236" i="211"/>
  <c r="L235" i="211"/>
  <c r="K235" i="211"/>
  <c r="J235" i="211"/>
  <c r="I235" i="211"/>
  <c r="H235" i="211"/>
  <c r="G235" i="211"/>
  <c r="F235" i="211"/>
  <c r="E235" i="211"/>
  <c r="D235" i="211"/>
  <c r="C235" i="211"/>
  <c r="B235" i="211"/>
  <c r="L234" i="211"/>
  <c r="K234" i="211"/>
  <c r="J234" i="211"/>
  <c r="I234" i="211"/>
  <c r="H234" i="211"/>
  <c r="G234" i="211"/>
  <c r="F234" i="211"/>
  <c r="E234" i="211"/>
  <c r="D234" i="211"/>
  <c r="C234" i="211"/>
  <c r="B234" i="211"/>
  <c r="L233" i="211"/>
  <c r="K233" i="211"/>
  <c r="J233" i="211"/>
  <c r="I233" i="211"/>
  <c r="H233" i="211"/>
  <c r="G233" i="211"/>
  <c r="F233" i="211"/>
  <c r="E233" i="211"/>
  <c r="D233" i="211"/>
  <c r="C233" i="211"/>
  <c r="B233" i="211"/>
  <c r="L232" i="211"/>
  <c r="K232" i="211"/>
  <c r="J232" i="211"/>
  <c r="I232" i="211"/>
  <c r="H232" i="211"/>
  <c r="G232" i="211"/>
  <c r="F232" i="211"/>
  <c r="E232" i="211"/>
  <c r="D232" i="211"/>
  <c r="C232" i="211"/>
  <c r="B232" i="211"/>
  <c r="L231" i="211"/>
  <c r="K231" i="211"/>
  <c r="J231" i="211"/>
  <c r="I231" i="211"/>
  <c r="H231" i="211"/>
  <c r="G231" i="211"/>
  <c r="F231" i="211"/>
  <c r="E231" i="211"/>
  <c r="D231" i="211"/>
  <c r="C231" i="211"/>
  <c r="B231" i="211"/>
  <c r="L230" i="211"/>
  <c r="K230" i="211"/>
  <c r="J230" i="211"/>
  <c r="I230" i="211"/>
  <c r="H230" i="211"/>
  <c r="G230" i="211"/>
  <c r="F230" i="211"/>
  <c r="E230" i="211"/>
  <c r="D230" i="211"/>
  <c r="C230" i="211"/>
  <c r="B230" i="211"/>
  <c r="L229" i="211"/>
  <c r="K229" i="211"/>
  <c r="J229" i="211"/>
  <c r="I229" i="211"/>
  <c r="H229" i="211"/>
  <c r="G229" i="211"/>
  <c r="F229" i="211"/>
  <c r="E229" i="211"/>
  <c r="D229" i="211"/>
  <c r="C229" i="211"/>
  <c r="B229" i="211"/>
  <c r="L228" i="211"/>
  <c r="K228" i="211"/>
  <c r="J228" i="211"/>
  <c r="I228" i="211"/>
  <c r="H228" i="211"/>
  <c r="G228" i="211"/>
  <c r="F228" i="211"/>
  <c r="E228" i="211"/>
  <c r="D228" i="211"/>
  <c r="C228" i="211"/>
  <c r="B228" i="211"/>
  <c r="L227" i="211"/>
  <c r="K227" i="211"/>
  <c r="J227" i="211"/>
  <c r="I227" i="211"/>
  <c r="H227" i="211"/>
  <c r="G227" i="211"/>
  <c r="F227" i="211"/>
  <c r="E227" i="211"/>
  <c r="D227" i="211"/>
  <c r="C227" i="211"/>
  <c r="B227" i="211"/>
  <c r="L223" i="211"/>
  <c r="K223" i="211"/>
  <c r="J223" i="211"/>
  <c r="I223" i="211"/>
  <c r="H223" i="211"/>
  <c r="G223" i="211"/>
  <c r="F223" i="211"/>
  <c r="E223" i="211"/>
  <c r="D223" i="211"/>
  <c r="C223" i="211"/>
  <c r="B223" i="211"/>
  <c r="L222" i="211"/>
  <c r="K222" i="211"/>
  <c r="J222" i="211"/>
  <c r="I222" i="211"/>
  <c r="H222" i="211"/>
  <c r="G222" i="211"/>
  <c r="F222" i="211"/>
  <c r="E222" i="211"/>
  <c r="D222" i="211"/>
  <c r="C222" i="211"/>
  <c r="B222" i="211"/>
  <c r="L221" i="211"/>
  <c r="K221" i="211"/>
  <c r="J221" i="211"/>
  <c r="I221" i="211"/>
  <c r="H221" i="211"/>
  <c r="G221" i="211"/>
  <c r="F221" i="211"/>
  <c r="E221" i="211"/>
  <c r="D221" i="211"/>
  <c r="C221" i="211"/>
  <c r="B221" i="211"/>
  <c r="L220" i="211"/>
  <c r="K220" i="211"/>
  <c r="J220" i="211"/>
  <c r="I220" i="211"/>
  <c r="H220" i="211"/>
  <c r="G220" i="211"/>
  <c r="F220" i="211"/>
  <c r="E220" i="211"/>
  <c r="D220" i="211"/>
  <c r="C220" i="211"/>
  <c r="B220" i="211"/>
  <c r="L219" i="211"/>
  <c r="K219" i="211"/>
  <c r="J219" i="211"/>
  <c r="I219" i="211"/>
  <c r="H219" i="211"/>
  <c r="G219" i="211"/>
  <c r="F219" i="211"/>
  <c r="E219" i="211"/>
  <c r="D219" i="211"/>
  <c r="C219" i="211"/>
  <c r="B219" i="211"/>
  <c r="L218" i="211"/>
  <c r="K218" i="211"/>
  <c r="J218" i="211"/>
  <c r="I218" i="211"/>
  <c r="H218" i="211"/>
  <c r="G218" i="211"/>
  <c r="F218" i="211"/>
  <c r="E218" i="211"/>
  <c r="D218" i="211"/>
  <c r="C218" i="211"/>
  <c r="B218" i="211"/>
  <c r="L217" i="211"/>
  <c r="K217" i="211"/>
  <c r="J217" i="211"/>
  <c r="I217" i="211"/>
  <c r="H217" i="211"/>
  <c r="G217" i="211"/>
  <c r="F217" i="211"/>
  <c r="E217" i="211"/>
  <c r="D217" i="211"/>
  <c r="C217" i="211"/>
  <c r="B217" i="211"/>
  <c r="L216" i="211"/>
  <c r="K216" i="211"/>
  <c r="J216" i="211"/>
  <c r="I216" i="211"/>
  <c r="H216" i="211"/>
  <c r="G216" i="211"/>
  <c r="F216" i="211"/>
  <c r="E216" i="211"/>
  <c r="D216" i="211"/>
  <c r="C216" i="211"/>
  <c r="B216" i="211"/>
  <c r="L215" i="211"/>
  <c r="K215" i="211"/>
  <c r="J215" i="211"/>
  <c r="I215" i="211"/>
  <c r="H215" i="211"/>
  <c r="G215" i="211"/>
  <c r="F215" i="211"/>
  <c r="E215" i="211"/>
  <c r="D215" i="211"/>
  <c r="C215" i="211"/>
  <c r="B215" i="211"/>
  <c r="L214" i="211"/>
  <c r="K214" i="211"/>
  <c r="J214" i="211"/>
  <c r="I214" i="211"/>
  <c r="H214" i="211"/>
  <c r="G214" i="211"/>
  <c r="F214" i="211"/>
  <c r="E214" i="211"/>
  <c r="D214" i="211"/>
  <c r="C214" i="211"/>
  <c r="B214" i="211"/>
  <c r="L213" i="211"/>
  <c r="K213" i="211"/>
  <c r="J213" i="211"/>
  <c r="I213" i="211"/>
  <c r="H213" i="211"/>
  <c r="G213" i="211"/>
  <c r="F213" i="211"/>
  <c r="E213" i="211"/>
  <c r="D213" i="211"/>
  <c r="C213" i="211"/>
  <c r="B213" i="211"/>
  <c r="L212" i="211"/>
  <c r="K212" i="211"/>
  <c r="J212" i="211"/>
  <c r="I212" i="211"/>
  <c r="H212" i="211"/>
  <c r="G212" i="211"/>
  <c r="F212" i="211"/>
  <c r="E212" i="211"/>
  <c r="D212" i="211"/>
  <c r="C212" i="211"/>
  <c r="B212" i="211"/>
  <c r="L211" i="211"/>
  <c r="K211" i="211"/>
  <c r="J211" i="211"/>
  <c r="I211" i="211"/>
  <c r="H211" i="211"/>
  <c r="G211" i="211"/>
  <c r="F211" i="211"/>
  <c r="E211" i="211"/>
  <c r="D211" i="211"/>
  <c r="C211" i="211"/>
  <c r="B211" i="211"/>
  <c r="L210" i="211"/>
  <c r="K210" i="211"/>
  <c r="J210" i="211"/>
  <c r="I210" i="211"/>
  <c r="H210" i="211"/>
  <c r="G210" i="211"/>
  <c r="F210" i="211"/>
  <c r="E210" i="211"/>
  <c r="D210" i="211"/>
  <c r="C210" i="211"/>
  <c r="B210" i="211"/>
  <c r="L209" i="211"/>
  <c r="K209" i="211"/>
  <c r="J209" i="211"/>
  <c r="I209" i="211"/>
  <c r="H209" i="211"/>
  <c r="G209" i="211"/>
  <c r="F209" i="211"/>
  <c r="E209" i="211"/>
  <c r="D209" i="211"/>
  <c r="C209" i="211"/>
  <c r="B209" i="211"/>
  <c r="L208" i="211"/>
  <c r="K208" i="211"/>
  <c r="J208" i="211"/>
  <c r="I208" i="211"/>
  <c r="H208" i="211"/>
  <c r="G208" i="211"/>
  <c r="F208" i="211"/>
  <c r="E208" i="211"/>
  <c r="D208" i="211"/>
  <c r="C208" i="211"/>
  <c r="B208" i="211"/>
  <c r="L207" i="211"/>
  <c r="K207" i="211"/>
  <c r="J207" i="211"/>
  <c r="I207" i="211"/>
  <c r="H207" i="211"/>
  <c r="G207" i="211"/>
  <c r="F207" i="211"/>
  <c r="E207" i="211"/>
  <c r="D207" i="211"/>
  <c r="C207" i="211"/>
  <c r="B207" i="211"/>
  <c r="L206" i="211"/>
  <c r="K206" i="211"/>
  <c r="J206" i="211"/>
  <c r="I206" i="211"/>
  <c r="H206" i="211"/>
  <c r="G206" i="211"/>
  <c r="F206" i="211"/>
  <c r="E206" i="211"/>
  <c r="D206" i="211"/>
  <c r="C206" i="211"/>
  <c r="B206" i="211"/>
  <c r="L205" i="211"/>
  <c r="K205" i="211"/>
  <c r="J205" i="211"/>
  <c r="I205" i="211"/>
  <c r="H205" i="211"/>
  <c r="G205" i="211"/>
  <c r="F205" i="211"/>
  <c r="E205" i="211"/>
  <c r="D205" i="211"/>
  <c r="C205" i="211"/>
  <c r="B205" i="211"/>
  <c r="L204" i="211"/>
  <c r="K204" i="211"/>
  <c r="J204" i="211"/>
  <c r="I204" i="211"/>
  <c r="H204" i="211"/>
  <c r="G204" i="211"/>
  <c r="F204" i="211"/>
  <c r="E204" i="211"/>
  <c r="D204" i="211"/>
  <c r="C204" i="211"/>
  <c r="B204" i="211"/>
  <c r="L203" i="211"/>
  <c r="K203" i="211"/>
  <c r="J203" i="211"/>
  <c r="I203" i="211"/>
  <c r="H203" i="211"/>
  <c r="G203" i="211"/>
  <c r="F203" i="211"/>
  <c r="E203" i="211"/>
  <c r="D203" i="211"/>
  <c r="C203" i="211"/>
  <c r="B203" i="211"/>
  <c r="L199" i="211"/>
  <c r="K199" i="211"/>
  <c r="J199" i="211"/>
  <c r="I199" i="211"/>
  <c r="H199" i="211"/>
  <c r="G199" i="211"/>
  <c r="F199" i="211"/>
  <c r="E199" i="211"/>
  <c r="D199" i="211"/>
  <c r="C199" i="211"/>
  <c r="B199" i="211"/>
  <c r="L198" i="211"/>
  <c r="K198" i="211"/>
  <c r="J198" i="211"/>
  <c r="I198" i="211"/>
  <c r="H198" i="211"/>
  <c r="G198" i="211"/>
  <c r="F198" i="211"/>
  <c r="E198" i="211"/>
  <c r="D198" i="211"/>
  <c r="C198" i="211"/>
  <c r="B198" i="211"/>
  <c r="L197" i="211"/>
  <c r="K197" i="211"/>
  <c r="J197" i="211"/>
  <c r="I197" i="211"/>
  <c r="H197" i="211"/>
  <c r="G197" i="211"/>
  <c r="F197" i="211"/>
  <c r="E197" i="211"/>
  <c r="D197" i="211"/>
  <c r="C197" i="211"/>
  <c r="B197" i="211"/>
  <c r="L196" i="211"/>
  <c r="K196" i="211"/>
  <c r="J196" i="211"/>
  <c r="I196" i="211"/>
  <c r="H196" i="211"/>
  <c r="G196" i="211"/>
  <c r="F196" i="211"/>
  <c r="E196" i="211"/>
  <c r="D196" i="211"/>
  <c r="C196" i="211"/>
  <c r="B196" i="211"/>
  <c r="L195" i="211"/>
  <c r="K195" i="211"/>
  <c r="J195" i="211"/>
  <c r="I195" i="211"/>
  <c r="H195" i="211"/>
  <c r="G195" i="211"/>
  <c r="F195" i="211"/>
  <c r="E195" i="211"/>
  <c r="D195" i="211"/>
  <c r="C195" i="211"/>
  <c r="B195" i="211"/>
  <c r="L194" i="211"/>
  <c r="K194" i="211"/>
  <c r="J194" i="211"/>
  <c r="I194" i="211"/>
  <c r="H194" i="211"/>
  <c r="G194" i="211"/>
  <c r="F194" i="211"/>
  <c r="E194" i="211"/>
  <c r="D194" i="211"/>
  <c r="C194" i="211"/>
  <c r="B194" i="211"/>
  <c r="L193" i="211"/>
  <c r="K193" i="211"/>
  <c r="J193" i="211"/>
  <c r="I193" i="211"/>
  <c r="H193" i="211"/>
  <c r="G193" i="211"/>
  <c r="F193" i="211"/>
  <c r="E193" i="211"/>
  <c r="D193" i="211"/>
  <c r="C193" i="211"/>
  <c r="B193" i="211"/>
  <c r="L192" i="211"/>
  <c r="K192" i="211"/>
  <c r="J192" i="211"/>
  <c r="I192" i="211"/>
  <c r="H192" i="211"/>
  <c r="G192" i="211"/>
  <c r="F192" i="211"/>
  <c r="E192" i="211"/>
  <c r="D192" i="211"/>
  <c r="C192" i="211"/>
  <c r="B192" i="211"/>
  <c r="L191" i="211"/>
  <c r="K191" i="211"/>
  <c r="J191" i="211"/>
  <c r="I191" i="211"/>
  <c r="H191" i="211"/>
  <c r="G191" i="211"/>
  <c r="F191" i="211"/>
  <c r="E191" i="211"/>
  <c r="D191" i="211"/>
  <c r="C191" i="211"/>
  <c r="B191" i="211"/>
  <c r="L190" i="211"/>
  <c r="K190" i="211"/>
  <c r="J190" i="211"/>
  <c r="I190" i="211"/>
  <c r="H190" i="211"/>
  <c r="G190" i="211"/>
  <c r="F190" i="211"/>
  <c r="E190" i="211"/>
  <c r="D190" i="211"/>
  <c r="C190" i="211"/>
  <c r="B190" i="211"/>
  <c r="L189" i="211"/>
  <c r="K189" i="211"/>
  <c r="J189" i="211"/>
  <c r="I189" i="211"/>
  <c r="H189" i="211"/>
  <c r="G189" i="211"/>
  <c r="F189" i="211"/>
  <c r="E189" i="211"/>
  <c r="D189" i="211"/>
  <c r="C189" i="211"/>
  <c r="B189" i="211"/>
  <c r="L188" i="211"/>
  <c r="K188" i="211"/>
  <c r="J188" i="211"/>
  <c r="I188" i="211"/>
  <c r="H188" i="211"/>
  <c r="G188" i="211"/>
  <c r="F188" i="211"/>
  <c r="E188" i="211"/>
  <c r="D188" i="211"/>
  <c r="C188" i="211"/>
  <c r="B188" i="211"/>
  <c r="L187" i="211"/>
  <c r="K187" i="211"/>
  <c r="J187" i="211"/>
  <c r="I187" i="211"/>
  <c r="H187" i="211"/>
  <c r="G187" i="211"/>
  <c r="F187" i="211"/>
  <c r="E187" i="211"/>
  <c r="D187" i="211"/>
  <c r="C187" i="211"/>
  <c r="B187" i="211"/>
  <c r="L186" i="211"/>
  <c r="K186" i="211"/>
  <c r="J186" i="211"/>
  <c r="I186" i="211"/>
  <c r="H186" i="211"/>
  <c r="G186" i="211"/>
  <c r="F186" i="211"/>
  <c r="E186" i="211"/>
  <c r="D186" i="211"/>
  <c r="C186" i="211"/>
  <c r="B186" i="211"/>
  <c r="L185" i="211"/>
  <c r="K185" i="211"/>
  <c r="J185" i="211"/>
  <c r="I185" i="211"/>
  <c r="H185" i="211"/>
  <c r="G185" i="211"/>
  <c r="F185" i="211"/>
  <c r="E185" i="211"/>
  <c r="D185" i="211"/>
  <c r="C185" i="211"/>
  <c r="B185" i="211"/>
  <c r="L184" i="211"/>
  <c r="K184" i="211"/>
  <c r="J184" i="211"/>
  <c r="I184" i="211"/>
  <c r="H184" i="211"/>
  <c r="G184" i="211"/>
  <c r="F184" i="211"/>
  <c r="E184" i="211"/>
  <c r="D184" i="211"/>
  <c r="C184" i="211"/>
  <c r="B184" i="211"/>
  <c r="L183" i="211"/>
  <c r="K183" i="211"/>
  <c r="J183" i="211"/>
  <c r="I183" i="211"/>
  <c r="H183" i="211"/>
  <c r="G183" i="211"/>
  <c r="F183" i="211"/>
  <c r="E183" i="211"/>
  <c r="D183" i="211"/>
  <c r="C183" i="211"/>
  <c r="B183" i="211"/>
  <c r="L182" i="211"/>
  <c r="K182" i="211"/>
  <c r="J182" i="211"/>
  <c r="I182" i="211"/>
  <c r="H182" i="211"/>
  <c r="G182" i="211"/>
  <c r="F182" i="211"/>
  <c r="E182" i="211"/>
  <c r="D182" i="211"/>
  <c r="C182" i="211"/>
  <c r="B182" i="211"/>
  <c r="L181" i="211"/>
  <c r="K181" i="211"/>
  <c r="J181" i="211"/>
  <c r="I181" i="211"/>
  <c r="H181" i="211"/>
  <c r="G181" i="211"/>
  <c r="F181" i="211"/>
  <c r="E181" i="211"/>
  <c r="D181" i="211"/>
  <c r="C181" i="211"/>
  <c r="B181" i="211"/>
  <c r="L180" i="211"/>
  <c r="K180" i="211"/>
  <c r="J180" i="211"/>
  <c r="I180" i="211"/>
  <c r="H180" i="211"/>
  <c r="G180" i="211"/>
  <c r="F180" i="211"/>
  <c r="E180" i="211"/>
  <c r="D180" i="211"/>
  <c r="C180" i="211"/>
  <c r="B180" i="211"/>
  <c r="L179" i="211"/>
  <c r="K179" i="211"/>
  <c r="J179" i="211"/>
  <c r="I179" i="211"/>
  <c r="H179" i="211"/>
  <c r="G179" i="211"/>
  <c r="F179" i="211"/>
  <c r="E179" i="211"/>
  <c r="D179" i="211"/>
  <c r="C179" i="211"/>
  <c r="B179" i="211"/>
  <c r="L175" i="211"/>
  <c r="K175" i="211"/>
  <c r="J175" i="211"/>
  <c r="I175" i="211"/>
  <c r="H175" i="211"/>
  <c r="G175" i="211"/>
  <c r="F175" i="211"/>
  <c r="E175" i="211"/>
  <c r="D175" i="211"/>
  <c r="C175" i="211"/>
  <c r="B175" i="211"/>
  <c r="L174" i="211"/>
  <c r="K174" i="211"/>
  <c r="J174" i="211"/>
  <c r="I174" i="211"/>
  <c r="H174" i="211"/>
  <c r="G174" i="211"/>
  <c r="F174" i="211"/>
  <c r="E174" i="211"/>
  <c r="D174" i="211"/>
  <c r="C174" i="211"/>
  <c r="B174" i="211"/>
  <c r="L173" i="211"/>
  <c r="K173" i="211"/>
  <c r="J173" i="211"/>
  <c r="I173" i="211"/>
  <c r="H173" i="211"/>
  <c r="G173" i="211"/>
  <c r="F173" i="211"/>
  <c r="E173" i="211"/>
  <c r="D173" i="211"/>
  <c r="C173" i="211"/>
  <c r="B173" i="211"/>
  <c r="L172" i="211"/>
  <c r="K172" i="211"/>
  <c r="J172" i="211"/>
  <c r="I172" i="211"/>
  <c r="H172" i="211"/>
  <c r="G172" i="211"/>
  <c r="F172" i="211"/>
  <c r="E172" i="211"/>
  <c r="D172" i="211"/>
  <c r="C172" i="211"/>
  <c r="B172" i="211"/>
  <c r="L171" i="211"/>
  <c r="K171" i="211"/>
  <c r="J171" i="211"/>
  <c r="I171" i="211"/>
  <c r="H171" i="211"/>
  <c r="G171" i="211"/>
  <c r="F171" i="211"/>
  <c r="E171" i="211"/>
  <c r="D171" i="211"/>
  <c r="C171" i="211"/>
  <c r="B171" i="211"/>
  <c r="L170" i="211"/>
  <c r="K170" i="211"/>
  <c r="J170" i="211"/>
  <c r="I170" i="211"/>
  <c r="H170" i="211"/>
  <c r="G170" i="211"/>
  <c r="F170" i="211"/>
  <c r="E170" i="211"/>
  <c r="D170" i="211"/>
  <c r="C170" i="211"/>
  <c r="B170" i="211"/>
  <c r="L169" i="211"/>
  <c r="K169" i="211"/>
  <c r="J169" i="211"/>
  <c r="I169" i="211"/>
  <c r="H169" i="211"/>
  <c r="G169" i="211"/>
  <c r="F169" i="211"/>
  <c r="E169" i="211"/>
  <c r="D169" i="211"/>
  <c r="C169" i="211"/>
  <c r="B169" i="211"/>
  <c r="L168" i="211"/>
  <c r="K168" i="211"/>
  <c r="J168" i="211"/>
  <c r="I168" i="211"/>
  <c r="H168" i="211"/>
  <c r="G168" i="211"/>
  <c r="F168" i="211"/>
  <c r="E168" i="211"/>
  <c r="D168" i="211"/>
  <c r="C168" i="211"/>
  <c r="B168" i="211"/>
  <c r="L167" i="211"/>
  <c r="K167" i="211"/>
  <c r="J167" i="211"/>
  <c r="I167" i="211"/>
  <c r="H167" i="211"/>
  <c r="G167" i="211"/>
  <c r="F167" i="211"/>
  <c r="E167" i="211"/>
  <c r="D167" i="211"/>
  <c r="C167" i="211"/>
  <c r="B167" i="211"/>
  <c r="L166" i="211"/>
  <c r="K166" i="211"/>
  <c r="J166" i="211"/>
  <c r="I166" i="211"/>
  <c r="H166" i="211"/>
  <c r="G166" i="211"/>
  <c r="F166" i="211"/>
  <c r="E166" i="211"/>
  <c r="D166" i="211"/>
  <c r="C166" i="211"/>
  <c r="B166" i="211"/>
  <c r="L165" i="211"/>
  <c r="K165" i="211"/>
  <c r="J165" i="211"/>
  <c r="I165" i="211"/>
  <c r="H165" i="211"/>
  <c r="G165" i="211"/>
  <c r="F165" i="211"/>
  <c r="E165" i="211"/>
  <c r="D165" i="211"/>
  <c r="C165" i="211"/>
  <c r="B165" i="211"/>
  <c r="L164" i="211"/>
  <c r="K164" i="211"/>
  <c r="J164" i="211"/>
  <c r="I164" i="211"/>
  <c r="H164" i="211"/>
  <c r="G164" i="211"/>
  <c r="F164" i="211"/>
  <c r="E164" i="211"/>
  <c r="D164" i="211"/>
  <c r="C164" i="211"/>
  <c r="B164" i="211"/>
  <c r="L163" i="211"/>
  <c r="K163" i="211"/>
  <c r="J163" i="211"/>
  <c r="I163" i="211"/>
  <c r="H163" i="211"/>
  <c r="G163" i="211"/>
  <c r="F163" i="211"/>
  <c r="E163" i="211"/>
  <c r="D163" i="211"/>
  <c r="C163" i="211"/>
  <c r="B163" i="211"/>
  <c r="L162" i="211"/>
  <c r="K162" i="211"/>
  <c r="J162" i="211"/>
  <c r="I162" i="211"/>
  <c r="H162" i="211"/>
  <c r="G162" i="211"/>
  <c r="F162" i="211"/>
  <c r="E162" i="211"/>
  <c r="D162" i="211"/>
  <c r="C162" i="211"/>
  <c r="B162" i="211"/>
  <c r="L161" i="211"/>
  <c r="K161" i="211"/>
  <c r="J161" i="211"/>
  <c r="I161" i="211"/>
  <c r="H161" i="211"/>
  <c r="G161" i="211"/>
  <c r="F161" i="211"/>
  <c r="E161" i="211"/>
  <c r="D161" i="211"/>
  <c r="C161" i="211"/>
  <c r="B161" i="211"/>
  <c r="L160" i="211"/>
  <c r="K160" i="211"/>
  <c r="J160" i="211"/>
  <c r="I160" i="211"/>
  <c r="H160" i="211"/>
  <c r="G160" i="211"/>
  <c r="F160" i="211"/>
  <c r="E160" i="211"/>
  <c r="D160" i="211"/>
  <c r="C160" i="211"/>
  <c r="B160" i="211"/>
  <c r="L159" i="211"/>
  <c r="K159" i="211"/>
  <c r="J159" i="211"/>
  <c r="I159" i="211"/>
  <c r="H159" i="211"/>
  <c r="G159" i="211"/>
  <c r="F159" i="211"/>
  <c r="E159" i="211"/>
  <c r="D159" i="211"/>
  <c r="C159" i="211"/>
  <c r="B159" i="211"/>
  <c r="L158" i="211"/>
  <c r="K158" i="211"/>
  <c r="J158" i="211"/>
  <c r="I158" i="211"/>
  <c r="H158" i="211"/>
  <c r="G158" i="211"/>
  <c r="F158" i="211"/>
  <c r="E158" i="211"/>
  <c r="D158" i="211"/>
  <c r="C158" i="211"/>
  <c r="B158" i="211"/>
  <c r="L157" i="211"/>
  <c r="K157" i="211"/>
  <c r="J157" i="211"/>
  <c r="I157" i="211"/>
  <c r="H157" i="211"/>
  <c r="G157" i="211"/>
  <c r="F157" i="211"/>
  <c r="E157" i="211"/>
  <c r="D157" i="211"/>
  <c r="C157" i="211"/>
  <c r="B157" i="211"/>
  <c r="L156" i="211"/>
  <c r="K156" i="211"/>
  <c r="J156" i="211"/>
  <c r="I156" i="211"/>
  <c r="H156" i="211"/>
  <c r="G156" i="211"/>
  <c r="F156" i="211"/>
  <c r="E156" i="211"/>
  <c r="D156" i="211"/>
  <c r="C156" i="211"/>
  <c r="B156" i="211"/>
  <c r="L155" i="211"/>
  <c r="K155" i="211"/>
  <c r="J155" i="211"/>
  <c r="I155" i="211"/>
  <c r="H155" i="211"/>
  <c r="G155" i="211"/>
  <c r="F155" i="211"/>
  <c r="E155" i="211"/>
  <c r="D155" i="211"/>
  <c r="C155" i="211"/>
  <c r="B155" i="211"/>
  <c r="L149" i="211"/>
  <c r="K149" i="211"/>
  <c r="J149" i="211"/>
  <c r="I149" i="211"/>
  <c r="H149" i="211"/>
  <c r="G149" i="211"/>
  <c r="F149" i="211"/>
  <c r="E149" i="211"/>
  <c r="D149" i="211"/>
  <c r="C149" i="211"/>
  <c r="B149" i="211"/>
  <c r="L148" i="211"/>
  <c r="K148" i="211"/>
  <c r="J148" i="211"/>
  <c r="I148" i="211"/>
  <c r="H148" i="211"/>
  <c r="G148" i="211"/>
  <c r="F148" i="211"/>
  <c r="E148" i="211"/>
  <c r="D148" i="211"/>
  <c r="C148" i="211"/>
  <c r="B148" i="211"/>
  <c r="L147" i="211"/>
  <c r="K147" i="211"/>
  <c r="J147" i="211"/>
  <c r="I147" i="211"/>
  <c r="H147" i="211"/>
  <c r="G147" i="211"/>
  <c r="F147" i="211"/>
  <c r="E147" i="211"/>
  <c r="D147" i="211"/>
  <c r="C147" i="211"/>
  <c r="B147" i="211"/>
  <c r="L146" i="211"/>
  <c r="K146" i="211"/>
  <c r="J146" i="211"/>
  <c r="I146" i="211"/>
  <c r="H146" i="211"/>
  <c r="G146" i="211"/>
  <c r="F146" i="211"/>
  <c r="E146" i="211"/>
  <c r="D146" i="211"/>
  <c r="C146" i="211"/>
  <c r="B146" i="211"/>
  <c r="L145" i="211"/>
  <c r="K145" i="211"/>
  <c r="J145" i="211"/>
  <c r="I145" i="211"/>
  <c r="H145" i="211"/>
  <c r="G145" i="211"/>
  <c r="F145" i="211"/>
  <c r="E145" i="211"/>
  <c r="D145" i="211"/>
  <c r="C145" i="211"/>
  <c r="B145" i="211"/>
  <c r="L144" i="211"/>
  <c r="K144" i="211"/>
  <c r="J144" i="211"/>
  <c r="I144" i="211"/>
  <c r="H144" i="211"/>
  <c r="G144" i="211"/>
  <c r="F144" i="211"/>
  <c r="E144" i="211"/>
  <c r="D144" i="211"/>
  <c r="C144" i="211"/>
  <c r="B144" i="211"/>
  <c r="L143" i="211"/>
  <c r="K143" i="211"/>
  <c r="J143" i="211"/>
  <c r="I143" i="211"/>
  <c r="H143" i="211"/>
  <c r="G143" i="211"/>
  <c r="F143" i="211"/>
  <c r="E143" i="211"/>
  <c r="D143" i="211"/>
  <c r="C143" i="211"/>
  <c r="B143" i="211"/>
  <c r="L142" i="211"/>
  <c r="K142" i="211"/>
  <c r="J142" i="211"/>
  <c r="I142" i="211"/>
  <c r="H142" i="211"/>
  <c r="G142" i="211"/>
  <c r="F142" i="211"/>
  <c r="E142" i="211"/>
  <c r="D142" i="211"/>
  <c r="C142" i="211"/>
  <c r="B142" i="211"/>
  <c r="L141" i="211"/>
  <c r="K141" i="211"/>
  <c r="J141" i="211"/>
  <c r="I141" i="211"/>
  <c r="H141" i="211"/>
  <c r="G141" i="211"/>
  <c r="F141" i="211"/>
  <c r="E141" i="211"/>
  <c r="D141" i="211"/>
  <c r="C141" i="211"/>
  <c r="B141" i="211"/>
  <c r="L140" i="211"/>
  <c r="K140" i="211"/>
  <c r="J140" i="211"/>
  <c r="I140" i="211"/>
  <c r="H140" i="211"/>
  <c r="G140" i="211"/>
  <c r="F140" i="211"/>
  <c r="E140" i="211"/>
  <c r="D140" i="211"/>
  <c r="C140" i="211"/>
  <c r="B140" i="211"/>
  <c r="L139" i="211"/>
  <c r="K139" i="211"/>
  <c r="J139" i="211"/>
  <c r="I139" i="211"/>
  <c r="H139" i="211"/>
  <c r="G139" i="211"/>
  <c r="F139" i="211"/>
  <c r="E139" i="211"/>
  <c r="D139" i="211"/>
  <c r="C139" i="211"/>
  <c r="B139" i="211"/>
  <c r="L138" i="211"/>
  <c r="K138" i="211"/>
  <c r="J138" i="211"/>
  <c r="I138" i="211"/>
  <c r="H138" i="211"/>
  <c r="G138" i="211"/>
  <c r="F138" i="211"/>
  <c r="E138" i="211"/>
  <c r="D138" i="211"/>
  <c r="C138" i="211"/>
  <c r="B138" i="211"/>
  <c r="L137" i="211"/>
  <c r="K137" i="211"/>
  <c r="J137" i="211"/>
  <c r="I137" i="211"/>
  <c r="H137" i="211"/>
  <c r="G137" i="211"/>
  <c r="F137" i="211"/>
  <c r="E137" i="211"/>
  <c r="D137" i="211"/>
  <c r="C137" i="211"/>
  <c r="B137" i="211"/>
  <c r="L136" i="211"/>
  <c r="K136" i="211"/>
  <c r="J136" i="211"/>
  <c r="I136" i="211"/>
  <c r="H136" i="211"/>
  <c r="G136" i="211"/>
  <c r="F136" i="211"/>
  <c r="E136" i="211"/>
  <c r="D136" i="211"/>
  <c r="C136" i="211"/>
  <c r="B136" i="211"/>
  <c r="L135" i="211"/>
  <c r="K135" i="211"/>
  <c r="J135" i="211"/>
  <c r="I135" i="211"/>
  <c r="H135" i="211"/>
  <c r="G135" i="211"/>
  <c r="F135" i="211"/>
  <c r="E135" i="211"/>
  <c r="D135" i="211"/>
  <c r="C135" i="211"/>
  <c r="B135" i="211"/>
  <c r="L134" i="211"/>
  <c r="K134" i="211"/>
  <c r="J134" i="211"/>
  <c r="I134" i="211"/>
  <c r="H134" i="211"/>
  <c r="G134" i="211"/>
  <c r="F134" i="211"/>
  <c r="E134" i="211"/>
  <c r="D134" i="211"/>
  <c r="C134" i="211"/>
  <c r="B134" i="211"/>
  <c r="L133" i="211"/>
  <c r="K133" i="211"/>
  <c r="J133" i="211"/>
  <c r="I133" i="211"/>
  <c r="H133" i="211"/>
  <c r="G133" i="211"/>
  <c r="F133" i="211"/>
  <c r="E133" i="211"/>
  <c r="D133" i="211"/>
  <c r="C133" i="211"/>
  <c r="B133" i="211"/>
  <c r="L132" i="211"/>
  <c r="K132" i="211"/>
  <c r="J132" i="211"/>
  <c r="I132" i="211"/>
  <c r="H132" i="211"/>
  <c r="G132" i="211"/>
  <c r="F132" i="211"/>
  <c r="E132" i="211"/>
  <c r="D132" i="211"/>
  <c r="C132" i="211"/>
  <c r="B132" i="211"/>
  <c r="L131" i="211"/>
  <c r="K131" i="211"/>
  <c r="J131" i="211"/>
  <c r="I131" i="211"/>
  <c r="H131" i="211"/>
  <c r="G131" i="211"/>
  <c r="F131" i="211"/>
  <c r="E131" i="211"/>
  <c r="D131" i="211"/>
  <c r="C131" i="211"/>
  <c r="B131" i="211"/>
  <c r="L130" i="211"/>
  <c r="K130" i="211"/>
  <c r="J130" i="211"/>
  <c r="I130" i="211"/>
  <c r="H130" i="211"/>
  <c r="G130" i="211"/>
  <c r="F130" i="211"/>
  <c r="E130" i="211"/>
  <c r="D130" i="211"/>
  <c r="C130" i="211"/>
  <c r="B130" i="211"/>
  <c r="L129" i="211"/>
  <c r="K129" i="211"/>
  <c r="J129" i="211"/>
  <c r="I129" i="211"/>
  <c r="H129" i="211"/>
  <c r="G129" i="211"/>
  <c r="F129" i="211"/>
  <c r="E129" i="211"/>
  <c r="D129" i="211"/>
  <c r="C129" i="211"/>
  <c r="B129" i="211"/>
  <c r="L125" i="211"/>
  <c r="K125" i="211"/>
  <c r="J125" i="211"/>
  <c r="I125" i="211"/>
  <c r="H125" i="211"/>
  <c r="G125" i="211"/>
  <c r="F125" i="211"/>
  <c r="E125" i="211"/>
  <c r="D125" i="211"/>
  <c r="C125" i="211"/>
  <c r="B125" i="211"/>
  <c r="L124" i="211"/>
  <c r="K124" i="211"/>
  <c r="J124" i="211"/>
  <c r="I124" i="211"/>
  <c r="H124" i="211"/>
  <c r="G124" i="211"/>
  <c r="F124" i="211"/>
  <c r="E124" i="211"/>
  <c r="D124" i="211"/>
  <c r="C124" i="211"/>
  <c r="B124" i="211"/>
  <c r="L123" i="211"/>
  <c r="K123" i="211"/>
  <c r="J123" i="211"/>
  <c r="I123" i="211"/>
  <c r="H123" i="211"/>
  <c r="G123" i="211"/>
  <c r="F123" i="211"/>
  <c r="E123" i="211"/>
  <c r="D123" i="211"/>
  <c r="C123" i="211"/>
  <c r="B123" i="211"/>
  <c r="L122" i="211"/>
  <c r="K122" i="211"/>
  <c r="J122" i="211"/>
  <c r="I122" i="211"/>
  <c r="H122" i="211"/>
  <c r="G122" i="211"/>
  <c r="F122" i="211"/>
  <c r="E122" i="211"/>
  <c r="D122" i="211"/>
  <c r="C122" i="211"/>
  <c r="B122" i="211"/>
  <c r="L121" i="211"/>
  <c r="K121" i="211"/>
  <c r="J121" i="211"/>
  <c r="I121" i="211"/>
  <c r="H121" i="211"/>
  <c r="G121" i="211"/>
  <c r="F121" i="211"/>
  <c r="E121" i="211"/>
  <c r="D121" i="211"/>
  <c r="C121" i="211"/>
  <c r="B121" i="211"/>
  <c r="L120" i="211"/>
  <c r="K120" i="211"/>
  <c r="J120" i="211"/>
  <c r="I120" i="211"/>
  <c r="H120" i="211"/>
  <c r="G120" i="211"/>
  <c r="F120" i="211"/>
  <c r="E120" i="211"/>
  <c r="D120" i="211"/>
  <c r="C120" i="211"/>
  <c r="B120" i="211"/>
  <c r="L119" i="211"/>
  <c r="K119" i="211"/>
  <c r="J119" i="211"/>
  <c r="I119" i="211"/>
  <c r="H119" i="211"/>
  <c r="G119" i="211"/>
  <c r="F119" i="211"/>
  <c r="E119" i="211"/>
  <c r="D119" i="211"/>
  <c r="C119" i="211"/>
  <c r="B119" i="211"/>
  <c r="L118" i="211"/>
  <c r="K118" i="211"/>
  <c r="J118" i="211"/>
  <c r="I118" i="211"/>
  <c r="H118" i="211"/>
  <c r="G118" i="211"/>
  <c r="F118" i="211"/>
  <c r="E118" i="211"/>
  <c r="D118" i="211"/>
  <c r="C118" i="211"/>
  <c r="B118" i="211"/>
  <c r="L117" i="211"/>
  <c r="K117" i="211"/>
  <c r="J117" i="211"/>
  <c r="I117" i="211"/>
  <c r="H117" i="211"/>
  <c r="G117" i="211"/>
  <c r="F117" i="211"/>
  <c r="E117" i="211"/>
  <c r="D117" i="211"/>
  <c r="C117" i="211"/>
  <c r="B117" i="211"/>
  <c r="L116" i="211"/>
  <c r="K116" i="211"/>
  <c r="J116" i="211"/>
  <c r="I116" i="211"/>
  <c r="H116" i="211"/>
  <c r="G116" i="211"/>
  <c r="F116" i="211"/>
  <c r="E116" i="211"/>
  <c r="D116" i="211"/>
  <c r="C116" i="211"/>
  <c r="B116" i="211"/>
  <c r="L115" i="211"/>
  <c r="K115" i="211"/>
  <c r="J115" i="211"/>
  <c r="I115" i="211"/>
  <c r="H115" i="211"/>
  <c r="G115" i="211"/>
  <c r="F115" i="211"/>
  <c r="E115" i="211"/>
  <c r="D115" i="211"/>
  <c r="C115" i="211"/>
  <c r="B115" i="211"/>
  <c r="L114" i="211"/>
  <c r="K114" i="211"/>
  <c r="J114" i="211"/>
  <c r="I114" i="211"/>
  <c r="H114" i="211"/>
  <c r="G114" i="211"/>
  <c r="F114" i="211"/>
  <c r="E114" i="211"/>
  <c r="D114" i="211"/>
  <c r="C114" i="211"/>
  <c r="B114" i="211"/>
  <c r="L113" i="211"/>
  <c r="K113" i="211"/>
  <c r="J113" i="211"/>
  <c r="I113" i="211"/>
  <c r="H113" i="211"/>
  <c r="G113" i="211"/>
  <c r="F113" i="211"/>
  <c r="E113" i="211"/>
  <c r="D113" i="211"/>
  <c r="C113" i="211"/>
  <c r="B113" i="211"/>
  <c r="L112" i="211"/>
  <c r="K112" i="211"/>
  <c r="J112" i="211"/>
  <c r="I112" i="211"/>
  <c r="H112" i="211"/>
  <c r="G112" i="211"/>
  <c r="F112" i="211"/>
  <c r="E112" i="211"/>
  <c r="D112" i="211"/>
  <c r="C112" i="211"/>
  <c r="B112" i="211"/>
  <c r="L111" i="211"/>
  <c r="K111" i="211"/>
  <c r="J111" i="211"/>
  <c r="I111" i="211"/>
  <c r="H111" i="211"/>
  <c r="G111" i="211"/>
  <c r="F111" i="211"/>
  <c r="E111" i="211"/>
  <c r="D111" i="211"/>
  <c r="C111" i="211"/>
  <c r="B111" i="211"/>
  <c r="L110" i="211"/>
  <c r="K110" i="211"/>
  <c r="J110" i="211"/>
  <c r="I110" i="211"/>
  <c r="H110" i="211"/>
  <c r="G110" i="211"/>
  <c r="F110" i="211"/>
  <c r="E110" i="211"/>
  <c r="D110" i="211"/>
  <c r="C110" i="211"/>
  <c r="B110" i="211"/>
  <c r="L109" i="211"/>
  <c r="K109" i="211"/>
  <c r="J109" i="211"/>
  <c r="I109" i="211"/>
  <c r="H109" i="211"/>
  <c r="G109" i="211"/>
  <c r="F109" i="211"/>
  <c r="E109" i="211"/>
  <c r="D109" i="211"/>
  <c r="C109" i="211"/>
  <c r="B109" i="211"/>
  <c r="L108" i="211"/>
  <c r="K108" i="211"/>
  <c r="J108" i="211"/>
  <c r="I108" i="211"/>
  <c r="H108" i="211"/>
  <c r="G108" i="211"/>
  <c r="F108" i="211"/>
  <c r="E108" i="211"/>
  <c r="D108" i="211"/>
  <c r="C108" i="211"/>
  <c r="B108" i="211"/>
  <c r="L107" i="211"/>
  <c r="K107" i="211"/>
  <c r="J107" i="211"/>
  <c r="I107" i="211"/>
  <c r="H107" i="211"/>
  <c r="G107" i="211"/>
  <c r="F107" i="211"/>
  <c r="E107" i="211"/>
  <c r="D107" i="211"/>
  <c r="C107" i="211"/>
  <c r="B107" i="211"/>
  <c r="L106" i="211"/>
  <c r="K106" i="211"/>
  <c r="J106" i="211"/>
  <c r="I106" i="211"/>
  <c r="H106" i="211"/>
  <c r="G106" i="211"/>
  <c r="F106" i="211"/>
  <c r="E106" i="211"/>
  <c r="D106" i="211"/>
  <c r="C106" i="211"/>
  <c r="B106" i="211"/>
  <c r="L105" i="211"/>
  <c r="K105" i="211"/>
  <c r="J105" i="211"/>
  <c r="I105" i="211"/>
  <c r="H105" i="211"/>
  <c r="G105" i="211"/>
  <c r="F105" i="211"/>
  <c r="E105" i="211"/>
  <c r="D105" i="211"/>
  <c r="C105" i="211"/>
  <c r="B105" i="211"/>
  <c r="L101" i="211"/>
  <c r="K101" i="211"/>
  <c r="J101" i="211"/>
  <c r="I101" i="211"/>
  <c r="H101" i="211"/>
  <c r="G101" i="211"/>
  <c r="F101" i="211"/>
  <c r="E101" i="211"/>
  <c r="D101" i="211"/>
  <c r="C101" i="211"/>
  <c r="B101" i="211"/>
  <c r="L100" i="211"/>
  <c r="K100" i="211"/>
  <c r="J100" i="211"/>
  <c r="I100" i="211"/>
  <c r="H100" i="211"/>
  <c r="G100" i="211"/>
  <c r="F100" i="211"/>
  <c r="E100" i="211"/>
  <c r="D100" i="211"/>
  <c r="C100" i="211"/>
  <c r="B100" i="211"/>
  <c r="L99" i="211"/>
  <c r="K99" i="211"/>
  <c r="J99" i="211"/>
  <c r="I99" i="211"/>
  <c r="H99" i="211"/>
  <c r="G99" i="211"/>
  <c r="F99" i="211"/>
  <c r="E99" i="211"/>
  <c r="D99" i="211"/>
  <c r="C99" i="211"/>
  <c r="B99" i="211"/>
  <c r="L98" i="211"/>
  <c r="K98" i="211"/>
  <c r="J98" i="211"/>
  <c r="I98" i="211"/>
  <c r="H98" i="211"/>
  <c r="G98" i="211"/>
  <c r="F98" i="211"/>
  <c r="E98" i="211"/>
  <c r="D98" i="211"/>
  <c r="C98" i="211"/>
  <c r="B98" i="211"/>
  <c r="L97" i="211"/>
  <c r="K97" i="211"/>
  <c r="J97" i="211"/>
  <c r="I97" i="211"/>
  <c r="H97" i="211"/>
  <c r="G97" i="211"/>
  <c r="F97" i="211"/>
  <c r="E97" i="211"/>
  <c r="D97" i="211"/>
  <c r="C97" i="211"/>
  <c r="B97" i="211"/>
  <c r="L96" i="211"/>
  <c r="K96" i="211"/>
  <c r="J96" i="211"/>
  <c r="I96" i="211"/>
  <c r="H96" i="211"/>
  <c r="G96" i="211"/>
  <c r="F96" i="211"/>
  <c r="E96" i="211"/>
  <c r="D96" i="211"/>
  <c r="C96" i="211"/>
  <c r="B96" i="211"/>
  <c r="L95" i="211"/>
  <c r="K95" i="211"/>
  <c r="J95" i="211"/>
  <c r="I95" i="211"/>
  <c r="H95" i="211"/>
  <c r="G95" i="211"/>
  <c r="F95" i="211"/>
  <c r="E95" i="211"/>
  <c r="D95" i="211"/>
  <c r="C95" i="211"/>
  <c r="B95" i="211"/>
  <c r="L94" i="211"/>
  <c r="K94" i="211"/>
  <c r="J94" i="211"/>
  <c r="I94" i="211"/>
  <c r="H94" i="211"/>
  <c r="G94" i="211"/>
  <c r="F94" i="211"/>
  <c r="E94" i="211"/>
  <c r="D94" i="211"/>
  <c r="C94" i="211"/>
  <c r="B94" i="211"/>
  <c r="L93" i="211"/>
  <c r="K93" i="211"/>
  <c r="J93" i="211"/>
  <c r="I93" i="211"/>
  <c r="H93" i="211"/>
  <c r="G93" i="211"/>
  <c r="F93" i="211"/>
  <c r="E93" i="211"/>
  <c r="D93" i="211"/>
  <c r="C93" i="211"/>
  <c r="B93" i="211"/>
  <c r="L92" i="211"/>
  <c r="K92" i="211"/>
  <c r="J92" i="211"/>
  <c r="I92" i="211"/>
  <c r="H92" i="211"/>
  <c r="G92" i="211"/>
  <c r="F92" i="211"/>
  <c r="E92" i="211"/>
  <c r="D92" i="211"/>
  <c r="C92" i="211"/>
  <c r="B92" i="211"/>
  <c r="L91" i="211"/>
  <c r="K91" i="211"/>
  <c r="J91" i="211"/>
  <c r="I91" i="211"/>
  <c r="H91" i="211"/>
  <c r="G91" i="211"/>
  <c r="F91" i="211"/>
  <c r="E91" i="211"/>
  <c r="D91" i="211"/>
  <c r="C91" i="211"/>
  <c r="B91" i="211"/>
  <c r="L90" i="211"/>
  <c r="K90" i="211"/>
  <c r="J90" i="211"/>
  <c r="I90" i="211"/>
  <c r="H90" i="211"/>
  <c r="G90" i="211"/>
  <c r="F90" i="211"/>
  <c r="E90" i="211"/>
  <c r="D90" i="211"/>
  <c r="C90" i="211"/>
  <c r="B90" i="211"/>
  <c r="L89" i="211"/>
  <c r="K89" i="211"/>
  <c r="J89" i="211"/>
  <c r="I89" i="211"/>
  <c r="H89" i="211"/>
  <c r="G89" i="211"/>
  <c r="F89" i="211"/>
  <c r="E89" i="211"/>
  <c r="D89" i="211"/>
  <c r="C89" i="211"/>
  <c r="B89" i="211"/>
  <c r="L88" i="211"/>
  <c r="K88" i="211"/>
  <c r="J88" i="211"/>
  <c r="I88" i="211"/>
  <c r="H88" i="211"/>
  <c r="G88" i="211"/>
  <c r="F88" i="211"/>
  <c r="E88" i="211"/>
  <c r="D88" i="211"/>
  <c r="C88" i="211"/>
  <c r="B88" i="211"/>
  <c r="L87" i="211"/>
  <c r="K87" i="211"/>
  <c r="J87" i="211"/>
  <c r="I87" i="211"/>
  <c r="H87" i="211"/>
  <c r="G87" i="211"/>
  <c r="F87" i="211"/>
  <c r="E87" i="211"/>
  <c r="D87" i="211"/>
  <c r="C87" i="211"/>
  <c r="B87" i="211"/>
  <c r="L86" i="211"/>
  <c r="K86" i="211"/>
  <c r="J86" i="211"/>
  <c r="I86" i="211"/>
  <c r="H86" i="211"/>
  <c r="G86" i="211"/>
  <c r="F86" i="211"/>
  <c r="E86" i="211"/>
  <c r="D86" i="211"/>
  <c r="C86" i="211"/>
  <c r="B86" i="211"/>
  <c r="L85" i="211"/>
  <c r="K85" i="211"/>
  <c r="J85" i="211"/>
  <c r="I85" i="211"/>
  <c r="H85" i="211"/>
  <c r="G85" i="211"/>
  <c r="F85" i="211"/>
  <c r="E85" i="211"/>
  <c r="D85" i="211"/>
  <c r="C85" i="211"/>
  <c r="B85" i="211"/>
  <c r="L84" i="211"/>
  <c r="K84" i="211"/>
  <c r="J84" i="211"/>
  <c r="I84" i="211"/>
  <c r="H84" i="211"/>
  <c r="G84" i="211"/>
  <c r="F84" i="211"/>
  <c r="E84" i="211"/>
  <c r="D84" i="211"/>
  <c r="C84" i="211"/>
  <c r="B84" i="211"/>
  <c r="L83" i="211"/>
  <c r="K83" i="211"/>
  <c r="J83" i="211"/>
  <c r="I83" i="211"/>
  <c r="H83" i="211"/>
  <c r="G83" i="211"/>
  <c r="F83" i="211"/>
  <c r="E83" i="211"/>
  <c r="D83" i="211"/>
  <c r="C83" i="211"/>
  <c r="B83" i="211"/>
  <c r="L82" i="211"/>
  <c r="K82" i="211"/>
  <c r="J82" i="211"/>
  <c r="I82" i="211"/>
  <c r="H82" i="211"/>
  <c r="G82" i="211"/>
  <c r="F82" i="211"/>
  <c r="E82" i="211"/>
  <c r="D82" i="211"/>
  <c r="C82" i="211"/>
  <c r="B82" i="211"/>
  <c r="L81" i="211"/>
  <c r="K81" i="211"/>
  <c r="J81" i="211"/>
  <c r="I81" i="211"/>
  <c r="H81" i="211"/>
  <c r="G81" i="211"/>
  <c r="F81" i="211"/>
  <c r="E81" i="211"/>
  <c r="D81" i="211"/>
  <c r="C81" i="211"/>
  <c r="B81" i="211"/>
  <c r="L75" i="211"/>
  <c r="K75" i="211"/>
  <c r="J75" i="211"/>
  <c r="I75" i="211"/>
  <c r="H75" i="211"/>
  <c r="G75" i="211"/>
  <c r="F75" i="211"/>
  <c r="E75" i="211"/>
  <c r="D75" i="211"/>
  <c r="C75" i="211"/>
  <c r="B75" i="211"/>
  <c r="L74" i="211"/>
  <c r="K74" i="211"/>
  <c r="J74" i="211"/>
  <c r="I74" i="211"/>
  <c r="H74" i="211"/>
  <c r="G74" i="211"/>
  <c r="F74" i="211"/>
  <c r="E74" i="211"/>
  <c r="D74" i="211"/>
  <c r="C74" i="211"/>
  <c r="B74" i="211"/>
  <c r="L73" i="211"/>
  <c r="K73" i="211"/>
  <c r="J73" i="211"/>
  <c r="I73" i="211"/>
  <c r="H73" i="211"/>
  <c r="G73" i="211"/>
  <c r="F73" i="211"/>
  <c r="E73" i="211"/>
  <c r="D73" i="211"/>
  <c r="C73" i="211"/>
  <c r="B73" i="211"/>
  <c r="L72" i="211"/>
  <c r="K72" i="211"/>
  <c r="J72" i="211"/>
  <c r="I72" i="211"/>
  <c r="H72" i="211"/>
  <c r="G72" i="211"/>
  <c r="F72" i="211"/>
  <c r="E72" i="211"/>
  <c r="D72" i="211"/>
  <c r="C72" i="211"/>
  <c r="B72" i="211"/>
  <c r="L71" i="211"/>
  <c r="K71" i="211"/>
  <c r="J71" i="211"/>
  <c r="I71" i="211"/>
  <c r="H71" i="211"/>
  <c r="G71" i="211"/>
  <c r="F71" i="211"/>
  <c r="E71" i="211"/>
  <c r="D71" i="211"/>
  <c r="C71" i="211"/>
  <c r="B71" i="211"/>
  <c r="L70" i="211"/>
  <c r="K70" i="211"/>
  <c r="J70" i="211"/>
  <c r="I70" i="211"/>
  <c r="H70" i="211"/>
  <c r="G70" i="211"/>
  <c r="F70" i="211"/>
  <c r="E70" i="211"/>
  <c r="D70" i="211"/>
  <c r="C70" i="211"/>
  <c r="B70" i="211"/>
  <c r="L69" i="211"/>
  <c r="K69" i="211"/>
  <c r="J69" i="211"/>
  <c r="I69" i="211"/>
  <c r="H69" i="211"/>
  <c r="G69" i="211"/>
  <c r="F69" i="211"/>
  <c r="E69" i="211"/>
  <c r="D69" i="211"/>
  <c r="C69" i="211"/>
  <c r="B69" i="211"/>
  <c r="L68" i="211"/>
  <c r="K68" i="211"/>
  <c r="J68" i="211"/>
  <c r="I68" i="211"/>
  <c r="H68" i="211"/>
  <c r="G68" i="211"/>
  <c r="F68" i="211"/>
  <c r="E68" i="211"/>
  <c r="D68" i="211"/>
  <c r="C68" i="211"/>
  <c r="B68" i="211"/>
  <c r="L67" i="211"/>
  <c r="K67" i="211"/>
  <c r="J67" i="211"/>
  <c r="I67" i="211"/>
  <c r="H67" i="211"/>
  <c r="G67" i="211"/>
  <c r="F67" i="211"/>
  <c r="E67" i="211"/>
  <c r="D67" i="211"/>
  <c r="C67" i="211"/>
  <c r="B67" i="211"/>
  <c r="L66" i="211"/>
  <c r="K66" i="211"/>
  <c r="J66" i="211"/>
  <c r="I66" i="211"/>
  <c r="H66" i="211"/>
  <c r="G66" i="211"/>
  <c r="F66" i="211"/>
  <c r="E66" i="211"/>
  <c r="D66" i="211"/>
  <c r="C66" i="211"/>
  <c r="B66" i="211"/>
  <c r="L65" i="211"/>
  <c r="K65" i="211"/>
  <c r="J65" i="211"/>
  <c r="I65" i="211"/>
  <c r="H65" i="211"/>
  <c r="G65" i="211"/>
  <c r="F65" i="211"/>
  <c r="E65" i="211"/>
  <c r="D65" i="211"/>
  <c r="C65" i="211"/>
  <c r="B65" i="211"/>
  <c r="L64" i="211"/>
  <c r="K64" i="211"/>
  <c r="J64" i="211"/>
  <c r="I64" i="211"/>
  <c r="H64" i="211"/>
  <c r="G64" i="211"/>
  <c r="F64" i="211"/>
  <c r="E64" i="211"/>
  <c r="D64" i="211"/>
  <c r="C64" i="211"/>
  <c r="B64" i="211"/>
  <c r="L63" i="211"/>
  <c r="K63" i="211"/>
  <c r="J63" i="211"/>
  <c r="I63" i="211"/>
  <c r="H63" i="211"/>
  <c r="G63" i="211"/>
  <c r="F63" i="211"/>
  <c r="E63" i="211"/>
  <c r="D63" i="211"/>
  <c r="C63" i="211"/>
  <c r="B63" i="211"/>
  <c r="L62" i="211"/>
  <c r="K62" i="211"/>
  <c r="J62" i="211"/>
  <c r="I62" i="211"/>
  <c r="H62" i="211"/>
  <c r="G62" i="211"/>
  <c r="F62" i="211"/>
  <c r="E62" i="211"/>
  <c r="D62" i="211"/>
  <c r="C62" i="211"/>
  <c r="B62" i="211"/>
  <c r="L61" i="211"/>
  <c r="K61" i="211"/>
  <c r="J61" i="211"/>
  <c r="I61" i="211"/>
  <c r="H61" i="211"/>
  <c r="G61" i="211"/>
  <c r="F61" i="211"/>
  <c r="E61" i="211"/>
  <c r="D61" i="211"/>
  <c r="C61" i="211"/>
  <c r="B61" i="211"/>
  <c r="L60" i="211"/>
  <c r="K60" i="211"/>
  <c r="J60" i="211"/>
  <c r="I60" i="211"/>
  <c r="H60" i="211"/>
  <c r="G60" i="211"/>
  <c r="F60" i="211"/>
  <c r="E60" i="211"/>
  <c r="D60" i="211"/>
  <c r="C60" i="211"/>
  <c r="B60" i="211"/>
  <c r="L59" i="211"/>
  <c r="K59" i="211"/>
  <c r="J59" i="211"/>
  <c r="I59" i="211"/>
  <c r="H59" i="211"/>
  <c r="G59" i="211"/>
  <c r="F59" i="211"/>
  <c r="E59" i="211"/>
  <c r="D59" i="211"/>
  <c r="C59" i="211"/>
  <c r="B59" i="211"/>
  <c r="L58" i="211"/>
  <c r="K58" i="211"/>
  <c r="J58" i="211"/>
  <c r="I58" i="211"/>
  <c r="H58" i="211"/>
  <c r="G58" i="211"/>
  <c r="F58" i="211"/>
  <c r="E58" i="211"/>
  <c r="D58" i="211"/>
  <c r="C58" i="211"/>
  <c r="B58" i="211"/>
  <c r="L57" i="211"/>
  <c r="K57" i="211"/>
  <c r="J57" i="211"/>
  <c r="I57" i="211"/>
  <c r="H57" i="211"/>
  <c r="G57" i="211"/>
  <c r="F57" i="211"/>
  <c r="E57" i="211"/>
  <c r="D57" i="211"/>
  <c r="C57" i="211"/>
  <c r="B57" i="211"/>
  <c r="L56" i="211"/>
  <c r="K56" i="211"/>
  <c r="J56" i="211"/>
  <c r="I56" i="211"/>
  <c r="H56" i="211"/>
  <c r="G56" i="211"/>
  <c r="F56" i="211"/>
  <c r="E56" i="211"/>
  <c r="D56" i="211"/>
  <c r="C56" i="211"/>
  <c r="B56" i="211"/>
  <c r="L55" i="211"/>
  <c r="K55" i="211"/>
  <c r="J55" i="211"/>
  <c r="I55" i="211"/>
  <c r="H55" i="211"/>
  <c r="G55" i="211"/>
  <c r="F55" i="211"/>
  <c r="E55" i="211"/>
  <c r="D55" i="211"/>
  <c r="C55" i="211"/>
  <c r="B55" i="211"/>
  <c r="L54" i="211"/>
  <c r="K54" i="211"/>
  <c r="J54" i="211"/>
  <c r="I54" i="211"/>
  <c r="H54" i="211"/>
  <c r="G54" i="211"/>
  <c r="F54" i="211"/>
  <c r="E54" i="211"/>
  <c r="D54" i="211"/>
  <c r="C54" i="211"/>
  <c r="B54" i="211"/>
  <c r="E49" i="211"/>
  <c r="E48" i="211"/>
  <c r="F47" i="211"/>
  <c r="E47" i="211"/>
  <c r="E46" i="211"/>
  <c r="E45" i="211"/>
  <c r="H41" i="211"/>
  <c r="G41" i="211"/>
  <c r="F41" i="211"/>
  <c r="E41" i="211"/>
  <c r="D41" i="211"/>
  <c r="C41" i="211"/>
  <c r="B41" i="211"/>
  <c r="H40" i="211"/>
  <c r="G40" i="211"/>
  <c r="F40" i="211"/>
  <c r="E40" i="211"/>
  <c r="D40" i="211"/>
  <c r="C40" i="211"/>
  <c r="B40" i="211"/>
  <c r="H39" i="211"/>
  <c r="G39" i="211"/>
  <c r="F39" i="211"/>
  <c r="E39" i="211"/>
  <c r="D39" i="211"/>
  <c r="C39" i="211"/>
  <c r="B39" i="211"/>
  <c r="H38" i="211"/>
  <c r="G38" i="211"/>
  <c r="F38" i="211"/>
  <c r="E38" i="211"/>
  <c r="D38" i="211"/>
  <c r="C38" i="211"/>
  <c r="B38" i="211"/>
  <c r="H37" i="211"/>
  <c r="G37" i="211"/>
  <c r="F37" i="211"/>
  <c r="E37" i="211"/>
  <c r="D37" i="211"/>
  <c r="C37" i="211"/>
  <c r="B37" i="211"/>
  <c r="H36" i="211"/>
  <c r="G36" i="211"/>
  <c r="F36" i="211"/>
  <c r="E36" i="211"/>
  <c r="D36" i="211"/>
  <c r="C36" i="211"/>
  <c r="B36" i="211"/>
  <c r="H35" i="211"/>
  <c r="G35" i="211"/>
  <c r="F35" i="211"/>
  <c r="E35" i="211"/>
  <c r="D35" i="211"/>
  <c r="C35" i="211"/>
  <c r="B35" i="211"/>
  <c r="H34" i="211"/>
  <c r="G34" i="211"/>
  <c r="F34" i="211"/>
  <c r="E34" i="211"/>
  <c r="D34" i="211"/>
  <c r="C34" i="211"/>
  <c r="B34" i="211"/>
  <c r="H33" i="211"/>
  <c r="G33" i="211"/>
  <c r="F33" i="211"/>
  <c r="E33" i="211"/>
  <c r="D33" i="211"/>
  <c r="C33" i="211"/>
  <c r="B33" i="211"/>
  <c r="H32" i="211"/>
  <c r="G32" i="211"/>
  <c r="F32" i="211"/>
  <c r="E32" i="211"/>
  <c r="D32" i="211"/>
  <c r="C32" i="211"/>
  <c r="B32" i="211"/>
  <c r="H31" i="211"/>
  <c r="G31" i="211"/>
  <c r="F31" i="211"/>
  <c r="E31" i="211"/>
  <c r="D31" i="211"/>
  <c r="C31" i="211"/>
  <c r="B31" i="211"/>
  <c r="H30" i="211"/>
  <c r="G30" i="211"/>
  <c r="F30" i="211"/>
  <c r="E30" i="211"/>
  <c r="D30" i="211"/>
  <c r="C30" i="211"/>
  <c r="B30" i="211"/>
  <c r="H29" i="211"/>
  <c r="G29" i="211"/>
  <c r="F29" i="211"/>
  <c r="E29" i="211"/>
  <c r="D29" i="211"/>
  <c r="C29" i="211"/>
  <c r="B29" i="211"/>
  <c r="H28" i="211"/>
  <c r="G28" i="211"/>
  <c r="F28" i="211"/>
  <c r="E28" i="211"/>
  <c r="D28" i="211"/>
  <c r="C28" i="211"/>
  <c r="B28" i="211"/>
  <c r="H27" i="211"/>
  <c r="G27" i="211"/>
  <c r="F27" i="211"/>
  <c r="E27" i="211"/>
  <c r="D27" i="211"/>
  <c r="C27" i="211"/>
  <c r="B27" i="211"/>
  <c r="H26" i="211"/>
  <c r="G26" i="211"/>
  <c r="F26" i="211"/>
  <c r="E26" i="211"/>
  <c r="D26" i="211"/>
  <c r="C26" i="211"/>
  <c r="B26" i="211"/>
  <c r="H25" i="211"/>
  <c r="G25" i="211"/>
  <c r="F25" i="211"/>
  <c r="E25" i="211"/>
  <c r="D25" i="211"/>
  <c r="C25" i="211"/>
  <c r="B25" i="211"/>
  <c r="H24" i="211"/>
  <c r="G24" i="211"/>
  <c r="F24" i="211"/>
  <c r="E24" i="211"/>
  <c r="D24" i="211"/>
  <c r="C24" i="211"/>
  <c r="B24" i="211"/>
  <c r="H23" i="211"/>
  <c r="G23" i="211"/>
  <c r="F23" i="211"/>
  <c r="E23" i="211"/>
  <c r="D23" i="211"/>
  <c r="C23" i="211"/>
  <c r="B23" i="211"/>
  <c r="H22" i="211"/>
  <c r="G22" i="211"/>
  <c r="F22" i="211"/>
  <c r="E22" i="211"/>
  <c r="D22" i="211"/>
  <c r="C22" i="211"/>
  <c r="B22" i="211"/>
  <c r="A10" i="211"/>
  <c r="A1" i="211"/>
  <c r="L36" i="210"/>
  <c r="K36" i="210"/>
  <c r="J36" i="210"/>
  <c r="I36" i="210"/>
  <c r="H36" i="210"/>
  <c r="G36" i="210"/>
  <c r="F36" i="210"/>
  <c r="E36" i="210"/>
  <c r="D36" i="210"/>
  <c r="C36" i="210"/>
  <c r="B36" i="210"/>
  <c r="L35" i="210"/>
  <c r="K35" i="210"/>
  <c r="J35" i="210"/>
  <c r="I35" i="210"/>
  <c r="H35" i="210"/>
  <c r="G35" i="210"/>
  <c r="F35" i="210"/>
  <c r="E35" i="210"/>
  <c r="D35" i="210"/>
  <c r="C35" i="210"/>
  <c r="B35" i="210"/>
  <c r="L34" i="210"/>
  <c r="K34" i="210"/>
  <c r="J34" i="210"/>
  <c r="I34" i="210"/>
  <c r="H34" i="210"/>
  <c r="G34" i="210"/>
  <c r="F34" i="210"/>
  <c r="E34" i="210"/>
  <c r="D34" i="210"/>
  <c r="C34" i="210"/>
  <c r="B34" i="210"/>
  <c r="L33" i="210"/>
  <c r="K33" i="210"/>
  <c r="J33" i="210"/>
  <c r="I33" i="210"/>
  <c r="H33" i="210"/>
  <c r="G33" i="210"/>
  <c r="F33" i="210"/>
  <c r="E33" i="210"/>
  <c r="D33" i="210"/>
  <c r="C33" i="210"/>
  <c r="B33" i="210"/>
  <c r="L32" i="210"/>
  <c r="K32" i="210"/>
  <c r="J32" i="210"/>
  <c r="I32" i="210"/>
  <c r="H32" i="210"/>
  <c r="G32" i="210"/>
  <c r="F32" i="210"/>
  <c r="E32" i="210"/>
  <c r="D32" i="210"/>
  <c r="C32" i="210"/>
  <c r="B32" i="210"/>
  <c r="L31" i="210"/>
  <c r="K31" i="210"/>
  <c r="J31" i="210"/>
  <c r="I31" i="210"/>
  <c r="H31" i="210"/>
  <c r="G31" i="210"/>
  <c r="F31" i="210"/>
  <c r="E31" i="210"/>
  <c r="D31" i="210"/>
  <c r="C31" i="210"/>
  <c r="B31" i="210"/>
  <c r="L30" i="210"/>
  <c r="K30" i="210"/>
  <c r="J30" i="210"/>
  <c r="I30" i="210"/>
  <c r="H30" i="210"/>
  <c r="G30" i="210"/>
  <c r="F30" i="210"/>
  <c r="E30" i="210"/>
  <c r="D30" i="210"/>
  <c r="C30" i="210"/>
  <c r="B30" i="210"/>
  <c r="L29" i="210"/>
  <c r="K29" i="210"/>
  <c r="J29" i="210"/>
  <c r="I29" i="210"/>
  <c r="H29" i="210"/>
  <c r="G29" i="210"/>
  <c r="F29" i="210"/>
  <c r="E29" i="210"/>
  <c r="D29" i="210"/>
  <c r="C29" i="210"/>
  <c r="B29" i="210"/>
  <c r="L28" i="210"/>
  <c r="K28" i="210"/>
  <c r="J28" i="210"/>
  <c r="I28" i="210"/>
  <c r="H28" i="210"/>
  <c r="G28" i="210"/>
  <c r="F28" i="210"/>
  <c r="E28" i="210"/>
  <c r="D28" i="210"/>
  <c r="C28" i="210"/>
  <c r="B28" i="210"/>
  <c r="L27" i="210"/>
  <c r="K27" i="210"/>
  <c r="J27" i="210"/>
  <c r="I27" i="210"/>
  <c r="H27" i="210"/>
  <c r="G27" i="210"/>
  <c r="F27" i="210"/>
  <c r="E27" i="210"/>
  <c r="D27" i="210"/>
  <c r="C27" i="210"/>
  <c r="B27" i="210"/>
  <c r="L26" i="210"/>
  <c r="K26" i="210"/>
  <c r="J26" i="210"/>
  <c r="I26" i="210"/>
  <c r="H26" i="210"/>
  <c r="G26" i="210"/>
  <c r="F26" i="210"/>
  <c r="E26" i="210"/>
  <c r="D26" i="210"/>
  <c r="C26" i="210"/>
  <c r="B26" i="210"/>
  <c r="L25" i="210"/>
  <c r="K25" i="210"/>
  <c r="J25" i="210"/>
  <c r="I25" i="210"/>
  <c r="H25" i="210"/>
  <c r="G25" i="210"/>
  <c r="F25" i="210"/>
  <c r="E25" i="210"/>
  <c r="D25" i="210"/>
  <c r="C25" i="210"/>
  <c r="B25" i="210"/>
  <c r="L24" i="210"/>
  <c r="K24" i="210"/>
  <c r="J24" i="210"/>
  <c r="I24" i="210"/>
  <c r="H24" i="210"/>
  <c r="G24" i="210"/>
  <c r="F24" i="210"/>
  <c r="E24" i="210"/>
  <c r="D24" i="210"/>
  <c r="C24" i="210"/>
  <c r="B24" i="210"/>
  <c r="L23" i="210"/>
  <c r="K23" i="210"/>
  <c r="J23" i="210"/>
  <c r="I23" i="210"/>
  <c r="H23" i="210"/>
  <c r="G23" i="210"/>
  <c r="F23" i="210"/>
  <c r="E23" i="210"/>
  <c r="D23" i="210"/>
  <c r="C23" i="210"/>
  <c r="B23" i="210"/>
  <c r="L22" i="210"/>
  <c r="K22" i="210"/>
  <c r="J22" i="210"/>
  <c r="I22" i="210"/>
  <c r="H22" i="210"/>
  <c r="G22" i="210"/>
  <c r="F22" i="210"/>
  <c r="E22" i="210"/>
  <c r="D22" i="210"/>
  <c r="C22" i="210"/>
  <c r="B22" i="210"/>
  <c r="L21" i="210"/>
  <c r="K21" i="210"/>
  <c r="J21" i="210"/>
  <c r="I21" i="210"/>
  <c r="H21" i="210"/>
  <c r="G21" i="210"/>
  <c r="F21" i="210"/>
  <c r="E21" i="210"/>
  <c r="D21" i="210"/>
  <c r="C21" i="210"/>
  <c r="B21" i="210"/>
  <c r="L20" i="210"/>
  <c r="K20" i="210"/>
  <c r="J20" i="210"/>
  <c r="I20" i="210"/>
  <c r="H20" i="210"/>
  <c r="G20" i="210"/>
  <c r="F20" i="210"/>
  <c r="E20" i="210"/>
  <c r="D20" i="210"/>
  <c r="C20" i="210"/>
  <c r="B20" i="210"/>
  <c r="L19" i="210"/>
  <c r="K19" i="210"/>
  <c r="J19" i="210"/>
  <c r="I19" i="210"/>
  <c r="H19" i="210"/>
  <c r="G19" i="210"/>
  <c r="F19" i="210"/>
  <c r="E19" i="210"/>
  <c r="D19" i="210"/>
  <c r="C19" i="210"/>
  <c r="B19" i="210"/>
  <c r="L18" i="210"/>
  <c r="K18" i="210"/>
  <c r="J18" i="210"/>
  <c r="I18" i="210"/>
  <c r="H18" i="210"/>
  <c r="G18" i="210"/>
  <c r="F18" i="210"/>
  <c r="E18" i="210"/>
  <c r="D18" i="210"/>
  <c r="C18" i="210"/>
  <c r="B18" i="210"/>
  <c r="L17" i="210"/>
  <c r="K17" i="210"/>
  <c r="J17" i="210"/>
  <c r="I17" i="210"/>
  <c r="H17" i="210"/>
  <c r="G17" i="210"/>
  <c r="F17" i="210"/>
  <c r="E17" i="210"/>
  <c r="D17" i="210"/>
  <c r="C17" i="210"/>
  <c r="B17" i="210"/>
  <c r="L16" i="210"/>
  <c r="K16" i="210"/>
  <c r="J16" i="210"/>
  <c r="I16" i="210"/>
  <c r="H16" i="210"/>
  <c r="G16" i="210"/>
  <c r="F16" i="210"/>
  <c r="E16" i="210"/>
  <c r="D16" i="210"/>
  <c r="C16" i="210"/>
  <c r="B16" i="210"/>
  <c r="L15" i="210"/>
  <c r="K15" i="210"/>
  <c r="J15" i="210"/>
  <c r="I15" i="210"/>
  <c r="H15" i="210"/>
  <c r="G15" i="210"/>
  <c r="F15" i="210"/>
  <c r="E15" i="210"/>
  <c r="D15" i="210"/>
  <c r="C15" i="210"/>
  <c r="B15" i="210"/>
  <c r="A1" i="210"/>
  <c r="L267" i="209"/>
  <c r="K267" i="209"/>
  <c r="J267" i="209"/>
  <c r="I267" i="209"/>
  <c r="H267" i="209"/>
  <c r="G267" i="209"/>
  <c r="F267" i="209"/>
  <c r="E267" i="209"/>
  <c r="D267" i="209"/>
  <c r="C267" i="209"/>
  <c r="B267" i="209"/>
  <c r="L266" i="209"/>
  <c r="K266" i="209"/>
  <c r="J266" i="209"/>
  <c r="I266" i="209"/>
  <c r="H266" i="209"/>
  <c r="G266" i="209"/>
  <c r="F266" i="209"/>
  <c r="E266" i="209"/>
  <c r="D266" i="209"/>
  <c r="C266" i="209"/>
  <c r="B266" i="209"/>
  <c r="L265" i="209"/>
  <c r="K265" i="209"/>
  <c r="J265" i="209"/>
  <c r="I265" i="209"/>
  <c r="H265" i="209"/>
  <c r="G265" i="209"/>
  <c r="F265" i="209"/>
  <c r="E265" i="209"/>
  <c r="D265" i="209"/>
  <c r="C265" i="209"/>
  <c r="B265" i="209"/>
  <c r="L264" i="209"/>
  <c r="K264" i="209"/>
  <c r="J264" i="209"/>
  <c r="I264" i="209"/>
  <c r="H264" i="209"/>
  <c r="G264" i="209"/>
  <c r="F264" i="209"/>
  <c r="E264" i="209"/>
  <c r="D264" i="209"/>
  <c r="C264" i="209"/>
  <c r="B264" i="209"/>
  <c r="L263" i="209"/>
  <c r="K263" i="209"/>
  <c r="J263" i="209"/>
  <c r="I263" i="209"/>
  <c r="H263" i="209"/>
  <c r="G263" i="209"/>
  <c r="F263" i="209"/>
  <c r="E263" i="209"/>
  <c r="D263" i="209"/>
  <c r="C263" i="209"/>
  <c r="B263" i="209"/>
  <c r="L262" i="209"/>
  <c r="K262" i="209"/>
  <c r="J262" i="209"/>
  <c r="I262" i="209"/>
  <c r="H262" i="209"/>
  <c r="G262" i="209"/>
  <c r="F262" i="209"/>
  <c r="E262" i="209"/>
  <c r="D262" i="209"/>
  <c r="C262" i="209"/>
  <c r="B262" i="209"/>
  <c r="L261" i="209"/>
  <c r="K261" i="209"/>
  <c r="J261" i="209"/>
  <c r="I261" i="209"/>
  <c r="H261" i="209"/>
  <c r="G261" i="209"/>
  <c r="F261" i="209"/>
  <c r="E261" i="209"/>
  <c r="D261" i="209"/>
  <c r="C261" i="209"/>
  <c r="B261" i="209"/>
  <c r="L260" i="209"/>
  <c r="K260" i="209"/>
  <c r="J260" i="209"/>
  <c r="I260" i="209"/>
  <c r="H260" i="209"/>
  <c r="G260" i="209"/>
  <c r="F260" i="209"/>
  <c r="E260" i="209"/>
  <c r="D260" i="209"/>
  <c r="C260" i="209"/>
  <c r="B260" i="209"/>
  <c r="L259" i="209"/>
  <c r="K259" i="209"/>
  <c r="J259" i="209"/>
  <c r="I259" i="209"/>
  <c r="H259" i="209"/>
  <c r="G259" i="209"/>
  <c r="F259" i="209"/>
  <c r="E259" i="209"/>
  <c r="D259" i="209"/>
  <c r="C259" i="209"/>
  <c r="B259" i="209"/>
  <c r="L258" i="209"/>
  <c r="K258" i="209"/>
  <c r="J258" i="209"/>
  <c r="I258" i="209"/>
  <c r="H258" i="209"/>
  <c r="G258" i="209"/>
  <c r="F258" i="209"/>
  <c r="E258" i="209"/>
  <c r="D258" i="209"/>
  <c r="C258" i="209"/>
  <c r="B258" i="209"/>
  <c r="L257" i="209"/>
  <c r="K257" i="209"/>
  <c r="J257" i="209"/>
  <c r="I257" i="209"/>
  <c r="H257" i="209"/>
  <c r="G257" i="209"/>
  <c r="F257" i="209"/>
  <c r="E257" i="209"/>
  <c r="D257" i="209"/>
  <c r="C257" i="209"/>
  <c r="B257" i="209"/>
  <c r="L256" i="209"/>
  <c r="K256" i="209"/>
  <c r="J256" i="209"/>
  <c r="I256" i="209"/>
  <c r="H256" i="209"/>
  <c r="G256" i="209"/>
  <c r="F256" i="209"/>
  <c r="E256" i="209"/>
  <c r="D256" i="209"/>
  <c r="C256" i="209"/>
  <c r="B256" i="209"/>
  <c r="L255" i="209"/>
  <c r="K255" i="209"/>
  <c r="J255" i="209"/>
  <c r="I255" i="209"/>
  <c r="H255" i="209"/>
  <c r="G255" i="209"/>
  <c r="F255" i="209"/>
  <c r="E255" i="209"/>
  <c r="D255" i="209"/>
  <c r="C255" i="209"/>
  <c r="B255" i="209"/>
  <c r="L254" i="209"/>
  <c r="K254" i="209"/>
  <c r="J254" i="209"/>
  <c r="I254" i="209"/>
  <c r="H254" i="209"/>
  <c r="G254" i="209"/>
  <c r="F254" i="209"/>
  <c r="E254" i="209"/>
  <c r="D254" i="209"/>
  <c r="C254" i="209"/>
  <c r="B254" i="209"/>
  <c r="L253" i="209"/>
  <c r="K253" i="209"/>
  <c r="J253" i="209"/>
  <c r="I253" i="209"/>
  <c r="H253" i="209"/>
  <c r="G253" i="209"/>
  <c r="F253" i="209"/>
  <c r="E253" i="209"/>
  <c r="D253" i="209"/>
  <c r="C253" i="209"/>
  <c r="B253" i="209"/>
  <c r="L252" i="209"/>
  <c r="K252" i="209"/>
  <c r="J252" i="209"/>
  <c r="I252" i="209"/>
  <c r="H252" i="209"/>
  <c r="G252" i="209"/>
  <c r="F252" i="209"/>
  <c r="E252" i="209"/>
  <c r="D252" i="209"/>
  <c r="C252" i="209"/>
  <c r="B252" i="209"/>
  <c r="L251" i="209"/>
  <c r="K251" i="209"/>
  <c r="J251" i="209"/>
  <c r="I251" i="209"/>
  <c r="H251" i="209"/>
  <c r="G251" i="209"/>
  <c r="F251" i="209"/>
  <c r="E251" i="209"/>
  <c r="D251" i="209"/>
  <c r="C251" i="209"/>
  <c r="B251" i="209"/>
  <c r="L250" i="209"/>
  <c r="K250" i="209"/>
  <c r="J250" i="209"/>
  <c r="I250" i="209"/>
  <c r="H250" i="209"/>
  <c r="G250" i="209"/>
  <c r="F250" i="209"/>
  <c r="E250" i="209"/>
  <c r="D250" i="209"/>
  <c r="C250" i="209"/>
  <c r="B250" i="209"/>
  <c r="L249" i="209"/>
  <c r="K249" i="209"/>
  <c r="J249" i="209"/>
  <c r="I249" i="209"/>
  <c r="H249" i="209"/>
  <c r="G249" i="209"/>
  <c r="F249" i="209"/>
  <c r="E249" i="209"/>
  <c r="D249" i="209"/>
  <c r="C249" i="209"/>
  <c r="B249" i="209"/>
  <c r="L248" i="209"/>
  <c r="K248" i="209"/>
  <c r="J248" i="209"/>
  <c r="I248" i="209"/>
  <c r="H248" i="209"/>
  <c r="G248" i="209"/>
  <c r="F248" i="209"/>
  <c r="E248" i="209"/>
  <c r="D248" i="209"/>
  <c r="C248" i="209"/>
  <c r="B248" i="209"/>
  <c r="L247" i="209"/>
  <c r="K247" i="209"/>
  <c r="J247" i="209"/>
  <c r="I247" i="209"/>
  <c r="H247" i="209"/>
  <c r="G247" i="209"/>
  <c r="F247" i="209"/>
  <c r="E247" i="209"/>
  <c r="D247" i="209"/>
  <c r="C247" i="209"/>
  <c r="B247" i="209"/>
  <c r="L246" i="209"/>
  <c r="K246" i="209"/>
  <c r="J246" i="209"/>
  <c r="I246" i="209"/>
  <c r="H246" i="209"/>
  <c r="G246" i="209"/>
  <c r="F246" i="209"/>
  <c r="E246" i="209"/>
  <c r="D246" i="209"/>
  <c r="C246" i="209"/>
  <c r="L242" i="209"/>
  <c r="K242" i="209"/>
  <c r="J242" i="209"/>
  <c r="I242" i="209"/>
  <c r="H242" i="209"/>
  <c r="G242" i="209"/>
  <c r="F242" i="209"/>
  <c r="E242" i="209"/>
  <c r="D242" i="209"/>
  <c r="C242" i="209"/>
  <c r="A242" i="209"/>
  <c r="L241" i="209"/>
  <c r="K241" i="209"/>
  <c r="J241" i="209"/>
  <c r="I241" i="209"/>
  <c r="H241" i="209"/>
  <c r="G241" i="209"/>
  <c r="F241" i="209"/>
  <c r="E241" i="209"/>
  <c r="D241" i="209"/>
  <c r="C241" i="209"/>
  <c r="B241" i="209"/>
  <c r="L240" i="209"/>
  <c r="K240" i="209"/>
  <c r="J240" i="209"/>
  <c r="I240" i="209"/>
  <c r="H240" i="209"/>
  <c r="G240" i="209"/>
  <c r="F240" i="209"/>
  <c r="E240" i="209"/>
  <c r="D240" i="209"/>
  <c r="C240" i="209"/>
  <c r="B240" i="209"/>
  <c r="L239" i="209"/>
  <c r="K239" i="209"/>
  <c r="J239" i="209"/>
  <c r="I239" i="209"/>
  <c r="H239" i="209"/>
  <c r="G239" i="209"/>
  <c r="F239" i="209"/>
  <c r="E239" i="209"/>
  <c r="D239" i="209"/>
  <c r="C239" i="209"/>
  <c r="B239" i="209"/>
  <c r="L238" i="209"/>
  <c r="K238" i="209"/>
  <c r="J238" i="209"/>
  <c r="I238" i="209"/>
  <c r="H238" i="209"/>
  <c r="G238" i="209"/>
  <c r="F238" i="209"/>
  <c r="E238" i="209"/>
  <c r="D238" i="209"/>
  <c r="C238" i="209"/>
  <c r="B238" i="209"/>
  <c r="L237" i="209"/>
  <c r="K237" i="209"/>
  <c r="J237" i="209"/>
  <c r="I237" i="209"/>
  <c r="H237" i="209"/>
  <c r="G237" i="209"/>
  <c r="F237" i="209"/>
  <c r="E237" i="209"/>
  <c r="D237" i="209"/>
  <c r="C237" i="209"/>
  <c r="B237" i="209"/>
  <c r="L236" i="209"/>
  <c r="K236" i="209"/>
  <c r="J236" i="209"/>
  <c r="I236" i="209"/>
  <c r="H236" i="209"/>
  <c r="G236" i="209"/>
  <c r="F236" i="209"/>
  <c r="E236" i="209"/>
  <c r="D236" i="209"/>
  <c r="C236" i="209"/>
  <c r="B236" i="209"/>
  <c r="L235" i="209"/>
  <c r="K235" i="209"/>
  <c r="J235" i="209"/>
  <c r="I235" i="209"/>
  <c r="H235" i="209"/>
  <c r="G235" i="209"/>
  <c r="F235" i="209"/>
  <c r="E235" i="209"/>
  <c r="D235" i="209"/>
  <c r="C235" i="209"/>
  <c r="B235" i="209"/>
  <c r="L234" i="209"/>
  <c r="K234" i="209"/>
  <c r="J234" i="209"/>
  <c r="I234" i="209"/>
  <c r="H234" i="209"/>
  <c r="G234" i="209"/>
  <c r="F234" i="209"/>
  <c r="E234" i="209"/>
  <c r="D234" i="209"/>
  <c r="C234" i="209"/>
  <c r="B234" i="209"/>
  <c r="L233" i="209"/>
  <c r="K233" i="209"/>
  <c r="J233" i="209"/>
  <c r="I233" i="209"/>
  <c r="H233" i="209"/>
  <c r="G233" i="209"/>
  <c r="F233" i="209"/>
  <c r="E233" i="209"/>
  <c r="D233" i="209"/>
  <c r="C233" i="209"/>
  <c r="B233" i="209"/>
  <c r="L232" i="209"/>
  <c r="K232" i="209"/>
  <c r="J232" i="209"/>
  <c r="I232" i="209"/>
  <c r="H232" i="209"/>
  <c r="G232" i="209"/>
  <c r="F232" i="209"/>
  <c r="E232" i="209"/>
  <c r="D232" i="209"/>
  <c r="C232" i="209"/>
  <c r="B232" i="209"/>
  <c r="L231" i="209"/>
  <c r="K231" i="209"/>
  <c r="J231" i="209"/>
  <c r="I231" i="209"/>
  <c r="H231" i="209"/>
  <c r="G231" i="209"/>
  <c r="F231" i="209"/>
  <c r="E231" i="209"/>
  <c r="D231" i="209"/>
  <c r="C231" i="209"/>
  <c r="B231" i="209"/>
  <c r="L230" i="209"/>
  <c r="K230" i="209"/>
  <c r="J230" i="209"/>
  <c r="I230" i="209"/>
  <c r="H230" i="209"/>
  <c r="G230" i="209"/>
  <c r="F230" i="209"/>
  <c r="E230" i="209"/>
  <c r="D230" i="209"/>
  <c r="C230" i="209"/>
  <c r="B230" i="209"/>
  <c r="L229" i="209"/>
  <c r="K229" i="209"/>
  <c r="J229" i="209"/>
  <c r="I229" i="209"/>
  <c r="H229" i="209"/>
  <c r="G229" i="209"/>
  <c r="F229" i="209"/>
  <c r="E229" i="209"/>
  <c r="D229" i="209"/>
  <c r="C229" i="209"/>
  <c r="B229" i="209"/>
  <c r="L228" i="209"/>
  <c r="K228" i="209"/>
  <c r="J228" i="209"/>
  <c r="I228" i="209"/>
  <c r="H228" i="209"/>
  <c r="G228" i="209"/>
  <c r="F228" i="209"/>
  <c r="E228" i="209"/>
  <c r="D228" i="209"/>
  <c r="C228" i="209"/>
  <c r="B228" i="209"/>
  <c r="L227" i="209"/>
  <c r="K227" i="209"/>
  <c r="J227" i="209"/>
  <c r="I227" i="209"/>
  <c r="H227" i="209"/>
  <c r="G227" i="209"/>
  <c r="F227" i="209"/>
  <c r="E227" i="209"/>
  <c r="D227" i="209"/>
  <c r="C227" i="209"/>
  <c r="B227" i="209"/>
  <c r="L226" i="209"/>
  <c r="K226" i="209"/>
  <c r="J226" i="209"/>
  <c r="I226" i="209"/>
  <c r="H226" i="209"/>
  <c r="G226" i="209"/>
  <c r="F226" i="209"/>
  <c r="E226" i="209"/>
  <c r="D226" i="209"/>
  <c r="C226" i="209"/>
  <c r="B226" i="209"/>
  <c r="L225" i="209"/>
  <c r="K225" i="209"/>
  <c r="J225" i="209"/>
  <c r="I225" i="209"/>
  <c r="H225" i="209"/>
  <c r="G225" i="209"/>
  <c r="F225" i="209"/>
  <c r="E225" i="209"/>
  <c r="D225" i="209"/>
  <c r="C225" i="209"/>
  <c r="B225" i="209"/>
  <c r="L224" i="209"/>
  <c r="K224" i="209"/>
  <c r="J224" i="209"/>
  <c r="I224" i="209"/>
  <c r="H224" i="209"/>
  <c r="G224" i="209"/>
  <c r="F224" i="209"/>
  <c r="E224" i="209"/>
  <c r="D224" i="209"/>
  <c r="C224" i="209"/>
  <c r="B224" i="209"/>
  <c r="L223" i="209"/>
  <c r="K223" i="209"/>
  <c r="J223" i="209"/>
  <c r="I223" i="209"/>
  <c r="H223" i="209"/>
  <c r="G223" i="209"/>
  <c r="F223" i="209"/>
  <c r="E223" i="209"/>
  <c r="D223" i="209"/>
  <c r="C223" i="209"/>
  <c r="B223" i="209"/>
  <c r="L222" i="209"/>
  <c r="K222" i="209"/>
  <c r="J222" i="209"/>
  <c r="I222" i="209"/>
  <c r="H222" i="209"/>
  <c r="G222" i="209"/>
  <c r="F222" i="209"/>
  <c r="E222" i="209"/>
  <c r="D222" i="209"/>
  <c r="C222" i="209"/>
  <c r="B222" i="209"/>
  <c r="L221" i="209"/>
  <c r="K221" i="209"/>
  <c r="J221" i="209"/>
  <c r="I221" i="209"/>
  <c r="H221" i="209"/>
  <c r="G221" i="209"/>
  <c r="F221" i="209"/>
  <c r="E221" i="209"/>
  <c r="D221" i="209"/>
  <c r="C221" i="209"/>
  <c r="B221" i="209"/>
  <c r="L220" i="209"/>
  <c r="K220" i="209"/>
  <c r="J220" i="209"/>
  <c r="I220" i="209"/>
  <c r="H220" i="209"/>
  <c r="G220" i="209"/>
  <c r="F220" i="209"/>
  <c r="E220" i="209"/>
  <c r="D220" i="209"/>
  <c r="C220" i="209"/>
  <c r="L216" i="209"/>
  <c r="K216" i="209"/>
  <c r="J216" i="209"/>
  <c r="I216" i="209"/>
  <c r="H216" i="209"/>
  <c r="G216" i="209"/>
  <c r="F216" i="209"/>
  <c r="E216" i="209"/>
  <c r="D216" i="209"/>
  <c r="C216" i="209"/>
  <c r="B216" i="209"/>
  <c r="L215" i="209"/>
  <c r="K215" i="209"/>
  <c r="J215" i="209"/>
  <c r="I215" i="209"/>
  <c r="H215" i="209"/>
  <c r="G215" i="209"/>
  <c r="F215" i="209"/>
  <c r="E215" i="209"/>
  <c r="D215" i="209"/>
  <c r="C215" i="209"/>
  <c r="B215" i="209"/>
  <c r="L214" i="209"/>
  <c r="K214" i="209"/>
  <c r="J214" i="209"/>
  <c r="I214" i="209"/>
  <c r="H214" i="209"/>
  <c r="G214" i="209"/>
  <c r="F214" i="209"/>
  <c r="E214" i="209"/>
  <c r="D214" i="209"/>
  <c r="C214" i="209"/>
  <c r="B214" i="209"/>
  <c r="L213" i="209"/>
  <c r="K213" i="209"/>
  <c r="J213" i="209"/>
  <c r="I213" i="209"/>
  <c r="H213" i="209"/>
  <c r="G213" i="209"/>
  <c r="F213" i="209"/>
  <c r="E213" i="209"/>
  <c r="D213" i="209"/>
  <c r="C213" i="209"/>
  <c r="B213" i="209"/>
  <c r="L212" i="209"/>
  <c r="K212" i="209"/>
  <c r="J212" i="209"/>
  <c r="I212" i="209"/>
  <c r="H212" i="209"/>
  <c r="G212" i="209"/>
  <c r="F212" i="209"/>
  <c r="E212" i="209"/>
  <c r="D212" i="209"/>
  <c r="C212" i="209"/>
  <c r="B212" i="209"/>
  <c r="L211" i="209"/>
  <c r="K211" i="209"/>
  <c r="J211" i="209"/>
  <c r="I211" i="209"/>
  <c r="H211" i="209"/>
  <c r="G211" i="209"/>
  <c r="F211" i="209"/>
  <c r="E211" i="209"/>
  <c r="D211" i="209"/>
  <c r="C211" i="209"/>
  <c r="B211" i="209"/>
  <c r="L210" i="209"/>
  <c r="K210" i="209"/>
  <c r="J210" i="209"/>
  <c r="I210" i="209"/>
  <c r="H210" i="209"/>
  <c r="G210" i="209"/>
  <c r="F210" i="209"/>
  <c r="E210" i="209"/>
  <c r="D210" i="209"/>
  <c r="C210" i="209"/>
  <c r="B210" i="209"/>
  <c r="L209" i="209"/>
  <c r="K209" i="209"/>
  <c r="J209" i="209"/>
  <c r="I209" i="209"/>
  <c r="H209" i="209"/>
  <c r="G209" i="209"/>
  <c r="F209" i="209"/>
  <c r="E209" i="209"/>
  <c r="D209" i="209"/>
  <c r="C209" i="209"/>
  <c r="B209" i="209"/>
  <c r="L208" i="209"/>
  <c r="K208" i="209"/>
  <c r="J208" i="209"/>
  <c r="I208" i="209"/>
  <c r="H208" i="209"/>
  <c r="G208" i="209"/>
  <c r="F208" i="209"/>
  <c r="E208" i="209"/>
  <c r="D208" i="209"/>
  <c r="C208" i="209"/>
  <c r="B208" i="209"/>
  <c r="L207" i="209"/>
  <c r="K207" i="209"/>
  <c r="J207" i="209"/>
  <c r="I207" i="209"/>
  <c r="H207" i="209"/>
  <c r="G207" i="209"/>
  <c r="F207" i="209"/>
  <c r="E207" i="209"/>
  <c r="D207" i="209"/>
  <c r="C207" i="209"/>
  <c r="B207" i="209"/>
  <c r="L206" i="209"/>
  <c r="K206" i="209"/>
  <c r="J206" i="209"/>
  <c r="I206" i="209"/>
  <c r="H206" i="209"/>
  <c r="G206" i="209"/>
  <c r="F206" i="209"/>
  <c r="E206" i="209"/>
  <c r="D206" i="209"/>
  <c r="C206" i="209"/>
  <c r="B206" i="209"/>
  <c r="L205" i="209"/>
  <c r="K205" i="209"/>
  <c r="J205" i="209"/>
  <c r="I205" i="209"/>
  <c r="H205" i="209"/>
  <c r="G205" i="209"/>
  <c r="F205" i="209"/>
  <c r="E205" i="209"/>
  <c r="D205" i="209"/>
  <c r="C205" i="209"/>
  <c r="B205" i="209"/>
  <c r="L204" i="209"/>
  <c r="K204" i="209"/>
  <c r="J204" i="209"/>
  <c r="I204" i="209"/>
  <c r="H204" i="209"/>
  <c r="G204" i="209"/>
  <c r="F204" i="209"/>
  <c r="E204" i="209"/>
  <c r="D204" i="209"/>
  <c r="C204" i="209"/>
  <c r="B204" i="209"/>
  <c r="L203" i="209"/>
  <c r="K203" i="209"/>
  <c r="J203" i="209"/>
  <c r="I203" i="209"/>
  <c r="H203" i="209"/>
  <c r="G203" i="209"/>
  <c r="F203" i="209"/>
  <c r="E203" i="209"/>
  <c r="D203" i="209"/>
  <c r="C203" i="209"/>
  <c r="B203" i="209"/>
  <c r="L202" i="209"/>
  <c r="K202" i="209"/>
  <c r="J202" i="209"/>
  <c r="I202" i="209"/>
  <c r="H202" i="209"/>
  <c r="G202" i="209"/>
  <c r="F202" i="209"/>
  <c r="E202" i="209"/>
  <c r="D202" i="209"/>
  <c r="C202" i="209"/>
  <c r="B202" i="209"/>
  <c r="L201" i="209"/>
  <c r="K201" i="209"/>
  <c r="J201" i="209"/>
  <c r="I201" i="209"/>
  <c r="H201" i="209"/>
  <c r="G201" i="209"/>
  <c r="F201" i="209"/>
  <c r="E201" i="209"/>
  <c r="D201" i="209"/>
  <c r="C201" i="209"/>
  <c r="B201" i="209"/>
  <c r="L200" i="209"/>
  <c r="K200" i="209"/>
  <c r="J200" i="209"/>
  <c r="I200" i="209"/>
  <c r="H200" i="209"/>
  <c r="G200" i="209"/>
  <c r="F200" i="209"/>
  <c r="E200" i="209"/>
  <c r="D200" i="209"/>
  <c r="C200" i="209"/>
  <c r="B200" i="209"/>
  <c r="L199" i="209"/>
  <c r="K199" i="209"/>
  <c r="J199" i="209"/>
  <c r="I199" i="209"/>
  <c r="H199" i="209"/>
  <c r="G199" i="209"/>
  <c r="F199" i="209"/>
  <c r="E199" i="209"/>
  <c r="D199" i="209"/>
  <c r="C199" i="209"/>
  <c r="B199" i="209"/>
  <c r="L198" i="209"/>
  <c r="K198" i="209"/>
  <c r="J198" i="209"/>
  <c r="I198" i="209"/>
  <c r="H198" i="209"/>
  <c r="G198" i="209"/>
  <c r="F198" i="209"/>
  <c r="E198" i="209"/>
  <c r="D198" i="209"/>
  <c r="C198" i="209"/>
  <c r="B198" i="209"/>
  <c r="L197" i="209"/>
  <c r="K197" i="209"/>
  <c r="J197" i="209"/>
  <c r="I197" i="209"/>
  <c r="H197" i="209"/>
  <c r="G197" i="209"/>
  <c r="F197" i="209"/>
  <c r="E197" i="209"/>
  <c r="D197" i="209"/>
  <c r="C197" i="209"/>
  <c r="B197" i="209"/>
  <c r="L196" i="209"/>
  <c r="K196" i="209"/>
  <c r="J196" i="209"/>
  <c r="I196" i="209"/>
  <c r="H196" i="209"/>
  <c r="G196" i="209"/>
  <c r="F196" i="209"/>
  <c r="E196" i="209"/>
  <c r="D196" i="209"/>
  <c r="C196" i="209"/>
  <c r="B196" i="209"/>
  <c r="L195" i="209"/>
  <c r="K195" i="209"/>
  <c r="J195" i="209"/>
  <c r="I195" i="209"/>
  <c r="H195" i="209"/>
  <c r="G195" i="209"/>
  <c r="F195" i="209"/>
  <c r="E195" i="209"/>
  <c r="D195" i="209"/>
  <c r="C195" i="209"/>
  <c r="B195" i="209"/>
  <c r="L194" i="209"/>
  <c r="K194" i="209"/>
  <c r="J194" i="209"/>
  <c r="I194" i="209"/>
  <c r="H194" i="209"/>
  <c r="G194" i="209"/>
  <c r="F194" i="209"/>
  <c r="E194" i="209"/>
  <c r="D194" i="209"/>
  <c r="C194" i="209"/>
  <c r="L190" i="209"/>
  <c r="K190" i="209"/>
  <c r="J190" i="209"/>
  <c r="I190" i="209"/>
  <c r="H190" i="209"/>
  <c r="G190" i="209"/>
  <c r="F190" i="209"/>
  <c r="E190" i="209"/>
  <c r="D190" i="209"/>
  <c r="C190" i="209"/>
  <c r="A190" i="209"/>
  <c r="L189" i="209"/>
  <c r="K189" i="209"/>
  <c r="J189" i="209"/>
  <c r="I189" i="209"/>
  <c r="H189" i="209"/>
  <c r="G189" i="209"/>
  <c r="F189" i="209"/>
  <c r="E189" i="209"/>
  <c r="D189" i="209"/>
  <c r="C189" i="209"/>
  <c r="B189" i="209"/>
  <c r="L188" i="209"/>
  <c r="K188" i="209"/>
  <c r="J188" i="209"/>
  <c r="I188" i="209"/>
  <c r="H188" i="209"/>
  <c r="G188" i="209"/>
  <c r="F188" i="209"/>
  <c r="E188" i="209"/>
  <c r="D188" i="209"/>
  <c r="C188" i="209"/>
  <c r="B188" i="209"/>
  <c r="L187" i="209"/>
  <c r="K187" i="209"/>
  <c r="J187" i="209"/>
  <c r="I187" i="209"/>
  <c r="H187" i="209"/>
  <c r="G187" i="209"/>
  <c r="F187" i="209"/>
  <c r="E187" i="209"/>
  <c r="D187" i="209"/>
  <c r="C187" i="209"/>
  <c r="B187" i="209"/>
  <c r="L186" i="209"/>
  <c r="K186" i="209"/>
  <c r="J186" i="209"/>
  <c r="I186" i="209"/>
  <c r="H186" i="209"/>
  <c r="G186" i="209"/>
  <c r="F186" i="209"/>
  <c r="E186" i="209"/>
  <c r="D186" i="209"/>
  <c r="C186" i="209"/>
  <c r="B186" i="209"/>
  <c r="L185" i="209"/>
  <c r="K185" i="209"/>
  <c r="J185" i="209"/>
  <c r="I185" i="209"/>
  <c r="H185" i="209"/>
  <c r="G185" i="209"/>
  <c r="F185" i="209"/>
  <c r="E185" i="209"/>
  <c r="D185" i="209"/>
  <c r="C185" i="209"/>
  <c r="B185" i="209"/>
  <c r="L184" i="209"/>
  <c r="K184" i="209"/>
  <c r="J184" i="209"/>
  <c r="I184" i="209"/>
  <c r="H184" i="209"/>
  <c r="G184" i="209"/>
  <c r="F184" i="209"/>
  <c r="E184" i="209"/>
  <c r="D184" i="209"/>
  <c r="C184" i="209"/>
  <c r="B184" i="209"/>
  <c r="L183" i="209"/>
  <c r="K183" i="209"/>
  <c r="J183" i="209"/>
  <c r="I183" i="209"/>
  <c r="H183" i="209"/>
  <c r="G183" i="209"/>
  <c r="F183" i="209"/>
  <c r="E183" i="209"/>
  <c r="D183" i="209"/>
  <c r="C183" i="209"/>
  <c r="B183" i="209"/>
  <c r="L182" i="209"/>
  <c r="K182" i="209"/>
  <c r="J182" i="209"/>
  <c r="I182" i="209"/>
  <c r="H182" i="209"/>
  <c r="G182" i="209"/>
  <c r="F182" i="209"/>
  <c r="E182" i="209"/>
  <c r="D182" i="209"/>
  <c r="C182" i="209"/>
  <c r="B182" i="209"/>
  <c r="L181" i="209"/>
  <c r="K181" i="209"/>
  <c r="J181" i="209"/>
  <c r="I181" i="209"/>
  <c r="H181" i="209"/>
  <c r="G181" i="209"/>
  <c r="F181" i="209"/>
  <c r="E181" i="209"/>
  <c r="D181" i="209"/>
  <c r="C181" i="209"/>
  <c r="B181" i="209"/>
  <c r="L180" i="209"/>
  <c r="K180" i="209"/>
  <c r="J180" i="209"/>
  <c r="I180" i="209"/>
  <c r="H180" i="209"/>
  <c r="G180" i="209"/>
  <c r="F180" i="209"/>
  <c r="E180" i="209"/>
  <c r="D180" i="209"/>
  <c r="C180" i="209"/>
  <c r="B180" i="209"/>
  <c r="L179" i="209"/>
  <c r="K179" i="209"/>
  <c r="J179" i="209"/>
  <c r="I179" i="209"/>
  <c r="H179" i="209"/>
  <c r="G179" i="209"/>
  <c r="F179" i="209"/>
  <c r="E179" i="209"/>
  <c r="D179" i="209"/>
  <c r="C179" i="209"/>
  <c r="B179" i="209"/>
  <c r="L178" i="209"/>
  <c r="K178" i="209"/>
  <c r="J178" i="209"/>
  <c r="I178" i="209"/>
  <c r="H178" i="209"/>
  <c r="G178" i="209"/>
  <c r="F178" i="209"/>
  <c r="E178" i="209"/>
  <c r="D178" i="209"/>
  <c r="C178" i="209"/>
  <c r="B178" i="209"/>
  <c r="L177" i="209"/>
  <c r="K177" i="209"/>
  <c r="J177" i="209"/>
  <c r="I177" i="209"/>
  <c r="H177" i="209"/>
  <c r="G177" i="209"/>
  <c r="F177" i="209"/>
  <c r="E177" i="209"/>
  <c r="D177" i="209"/>
  <c r="C177" i="209"/>
  <c r="B177" i="209"/>
  <c r="L176" i="209"/>
  <c r="K176" i="209"/>
  <c r="J176" i="209"/>
  <c r="I176" i="209"/>
  <c r="H176" i="209"/>
  <c r="G176" i="209"/>
  <c r="F176" i="209"/>
  <c r="E176" i="209"/>
  <c r="D176" i="209"/>
  <c r="C176" i="209"/>
  <c r="B176" i="209"/>
  <c r="L175" i="209"/>
  <c r="K175" i="209"/>
  <c r="J175" i="209"/>
  <c r="I175" i="209"/>
  <c r="H175" i="209"/>
  <c r="G175" i="209"/>
  <c r="F175" i="209"/>
  <c r="E175" i="209"/>
  <c r="D175" i="209"/>
  <c r="C175" i="209"/>
  <c r="B175" i="209"/>
  <c r="L174" i="209"/>
  <c r="K174" i="209"/>
  <c r="J174" i="209"/>
  <c r="I174" i="209"/>
  <c r="H174" i="209"/>
  <c r="G174" i="209"/>
  <c r="F174" i="209"/>
  <c r="E174" i="209"/>
  <c r="D174" i="209"/>
  <c r="C174" i="209"/>
  <c r="B174" i="209"/>
  <c r="L173" i="209"/>
  <c r="K173" i="209"/>
  <c r="J173" i="209"/>
  <c r="I173" i="209"/>
  <c r="H173" i="209"/>
  <c r="G173" i="209"/>
  <c r="F173" i="209"/>
  <c r="E173" i="209"/>
  <c r="D173" i="209"/>
  <c r="C173" i="209"/>
  <c r="B173" i="209"/>
  <c r="L172" i="209"/>
  <c r="K172" i="209"/>
  <c r="J172" i="209"/>
  <c r="I172" i="209"/>
  <c r="H172" i="209"/>
  <c r="G172" i="209"/>
  <c r="F172" i="209"/>
  <c r="E172" i="209"/>
  <c r="D172" i="209"/>
  <c r="C172" i="209"/>
  <c r="B172" i="209"/>
  <c r="L171" i="209"/>
  <c r="K171" i="209"/>
  <c r="J171" i="209"/>
  <c r="I171" i="209"/>
  <c r="H171" i="209"/>
  <c r="G171" i="209"/>
  <c r="F171" i="209"/>
  <c r="E171" i="209"/>
  <c r="D171" i="209"/>
  <c r="C171" i="209"/>
  <c r="B171" i="209"/>
  <c r="L170" i="209"/>
  <c r="K170" i="209"/>
  <c r="J170" i="209"/>
  <c r="I170" i="209"/>
  <c r="H170" i="209"/>
  <c r="G170" i="209"/>
  <c r="F170" i="209"/>
  <c r="E170" i="209"/>
  <c r="D170" i="209"/>
  <c r="C170" i="209"/>
  <c r="B170" i="209"/>
  <c r="L169" i="209"/>
  <c r="K169" i="209"/>
  <c r="J169" i="209"/>
  <c r="I169" i="209"/>
  <c r="H169" i="209"/>
  <c r="G169" i="209"/>
  <c r="F169" i="209"/>
  <c r="E169" i="209"/>
  <c r="D169" i="209"/>
  <c r="C169" i="209"/>
  <c r="B169" i="209"/>
  <c r="L168" i="209"/>
  <c r="K168" i="209"/>
  <c r="J168" i="209"/>
  <c r="I168" i="209"/>
  <c r="H168" i="209"/>
  <c r="G168" i="209"/>
  <c r="F168" i="209"/>
  <c r="E168" i="209"/>
  <c r="D168" i="209"/>
  <c r="C168" i="209"/>
  <c r="L164" i="209"/>
  <c r="K164" i="209"/>
  <c r="J164" i="209"/>
  <c r="I164" i="209"/>
  <c r="H164" i="209"/>
  <c r="G164" i="209"/>
  <c r="F164" i="209"/>
  <c r="E164" i="209"/>
  <c r="D164" i="209"/>
  <c r="C164" i="209"/>
  <c r="B164" i="209"/>
  <c r="L163" i="209"/>
  <c r="K163" i="209"/>
  <c r="J163" i="209"/>
  <c r="I163" i="209"/>
  <c r="H163" i="209"/>
  <c r="G163" i="209"/>
  <c r="F163" i="209"/>
  <c r="E163" i="209"/>
  <c r="D163" i="209"/>
  <c r="C163" i="209"/>
  <c r="B163" i="209"/>
  <c r="L162" i="209"/>
  <c r="K162" i="209"/>
  <c r="J162" i="209"/>
  <c r="I162" i="209"/>
  <c r="H162" i="209"/>
  <c r="G162" i="209"/>
  <c r="F162" i="209"/>
  <c r="E162" i="209"/>
  <c r="D162" i="209"/>
  <c r="C162" i="209"/>
  <c r="B162" i="209"/>
  <c r="L161" i="209"/>
  <c r="K161" i="209"/>
  <c r="J161" i="209"/>
  <c r="I161" i="209"/>
  <c r="H161" i="209"/>
  <c r="G161" i="209"/>
  <c r="F161" i="209"/>
  <c r="E161" i="209"/>
  <c r="D161" i="209"/>
  <c r="C161" i="209"/>
  <c r="B161" i="209"/>
  <c r="L160" i="209"/>
  <c r="K160" i="209"/>
  <c r="J160" i="209"/>
  <c r="I160" i="209"/>
  <c r="H160" i="209"/>
  <c r="G160" i="209"/>
  <c r="F160" i="209"/>
  <c r="E160" i="209"/>
  <c r="D160" i="209"/>
  <c r="C160" i="209"/>
  <c r="B160" i="209"/>
  <c r="L159" i="209"/>
  <c r="K159" i="209"/>
  <c r="J159" i="209"/>
  <c r="I159" i="209"/>
  <c r="H159" i="209"/>
  <c r="G159" i="209"/>
  <c r="F159" i="209"/>
  <c r="E159" i="209"/>
  <c r="D159" i="209"/>
  <c r="C159" i="209"/>
  <c r="B159" i="209"/>
  <c r="L158" i="209"/>
  <c r="K158" i="209"/>
  <c r="J158" i="209"/>
  <c r="I158" i="209"/>
  <c r="H158" i="209"/>
  <c r="G158" i="209"/>
  <c r="F158" i="209"/>
  <c r="E158" i="209"/>
  <c r="D158" i="209"/>
  <c r="C158" i="209"/>
  <c r="B158" i="209"/>
  <c r="L157" i="209"/>
  <c r="K157" i="209"/>
  <c r="J157" i="209"/>
  <c r="I157" i="209"/>
  <c r="H157" i="209"/>
  <c r="G157" i="209"/>
  <c r="F157" i="209"/>
  <c r="E157" i="209"/>
  <c r="D157" i="209"/>
  <c r="C157" i="209"/>
  <c r="B157" i="209"/>
  <c r="L156" i="209"/>
  <c r="K156" i="209"/>
  <c r="J156" i="209"/>
  <c r="I156" i="209"/>
  <c r="H156" i="209"/>
  <c r="G156" i="209"/>
  <c r="F156" i="209"/>
  <c r="E156" i="209"/>
  <c r="D156" i="209"/>
  <c r="C156" i="209"/>
  <c r="B156" i="209"/>
  <c r="L155" i="209"/>
  <c r="K155" i="209"/>
  <c r="J155" i="209"/>
  <c r="I155" i="209"/>
  <c r="H155" i="209"/>
  <c r="G155" i="209"/>
  <c r="F155" i="209"/>
  <c r="E155" i="209"/>
  <c r="D155" i="209"/>
  <c r="C155" i="209"/>
  <c r="B155" i="209"/>
  <c r="L154" i="209"/>
  <c r="K154" i="209"/>
  <c r="J154" i="209"/>
  <c r="I154" i="209"/>
  <c r="H154" i="209"/>
  <c r="G154" i="209"/>
  <c r="F154" i="209"/>
  <c r="E154" i="209"/>
  <c r="D154" i="209"/>
  <c r="C154" i="209"/>
  <c r="B154" i="209"/>
  <c r="L153" i="209"/>
  <c r="K153" i="209"/>
  <c r="J153" i="209"/>
  <c r="I153" i="209"/>
  <c r="H153" i="209"/>
  <c r="G153" i="209"/>
  <c r="F153" i="209"/>
  <c r="E153" i="209"/>
  <c r="D153" i="209"/>
  <c r="C153" i="209"/>
  <c r="B153" i="209"/>
  <c r="L152" i="209"/>
  <c r="K152" i="209"/>
  <c r="J152" i="209"/>
  <c r="I152" i="209"/>
  <c r="H152" i="209"/>
  <c r="G152" i="209"/>
  <c r="F152" i="209"/>
  <c r="E152" i="209"/>
  <c r="D152" i="209"/>
  <c r="C152" i="209"/>
  <c r="B152" i="209"/>
  <c r="L151" i="209"/>
  <c r="K151" i="209"/>
  <c r="J151" i="209"/>
  <c r="I151" i="209"/>
  <c r="H151" i="209"/>
  <c r="G151" i="209"/>
  <c r="F151" i="209"/>
  <c r="E151" i="209"/>
  <c r="D151" i="209"/>
  <c r="C151" i="209"/>
  <c r="B151" i="209"/>
  <c r="L150" i="209"/>
  <c r="K150" i="209"/>
  <c r="J150" i="209"/>
  <c r="I150" i="209"/>
  <c r="H150" i="209"/>
  <c r="G150" i="209"/>
  <c r="F150" i="209"/>
  <c r="E150" i="209"/>
  <c r="D150" i="209"/>
  <c r="C150" i="209"/>
  <c r="B150" i="209"/>
  <c r="L149" i="209"/>
  <c r="K149" i="209"/>
  <c r="J149" i="209"/>
  <c r="I149" i="209"/>
  <c r="H149" i="209"/>
  <c r="G149" i="209"/>
  <c r="F149" i="209"/>
  <c r="E149" i="209"/>
  <c r="D149" i="209"/>
  <c r="C149" i="209"/>
  <c r="B149" i="209"/>
  <c r="L148" i="209"/>
  <c r="K148" i="209"/>
  <c r="J148" i="209"/>
  <c r="I148" i="209"/>
  <c r="H148" i="209"/>
  <c r="G148" i="209"/>
  <c r="F148" i="209"/>
  <c r="E148" i="209"/>
  <c r="D148" i="209"/>
  <c r="C148" i="209"/>
  <c r="B148" i="209"/>
  <c r="L147" i="209"/>
  <c r="K147" i="209"/>
  <c r="J147" i="209"/>
  <c r="I147" i="209"/>
  <c r="H147" i="209"/>
  <c r="G147" i="209"/>
  <c r="F147" i="209"/>
  <c r="E147" i="209"/>
  <c r="D147" i="209"/>
  <c r="C147" i="209"/>
  <c r="B147" i="209"/>
  <c r="L146" i="209"/>
  <c r="K146" i="209"/>
  <c r="J146" i="209"/>
  <c r="I146" i="209"/>
  <c r="H146" i="209"/>
  <c r="G146" i="209"/>
  <c r="F146" i="209"/>
  <c r="E146" i="209"/>
  <c r="D146" i="209"/>
  <c r="C146" i="209"/>
  <c r="B146" i="209"/>
  <c r="L145" i="209"/>
  <c r="K145" i="209"/>
  <c r="J145" i="209"/>
  <c r="I145" i="209"/>
  <c r="H145" i="209"/>
  <c r="G145" i="209"/>
  <c r="F145" i="209"/>
  <c r="E145" i="209"/>
  <c r="D145" i="209"/>
  <c r="C145" i="209"/>
  <c r="B145" i="209"/>
  <c r="L144" i="209"/>
  <c r="K144" i="209"/>
  <c r="J144" i="209"/>
  <c r="I144" i="209"/>
  <c r="H144" i="209"/>
  <c r="G144" i="209"/>
  <c r="F144" i="209"/>
  <c r="E144" i="209"/>
  <c r="D144" i="209"/>
  <c r="C144" i="209"/>
  <c r="B144" i="209"/>
  <c r="L143" i="209"/>
  <c r="K143" i="209"/>
  <c r="J143" i="209"/>
  <c r="I143" i="209"/>
  <c r="H143" i="209"/>
  <c r="G143" i="209"/>
  <c r="F143" i="209"/>
  <c r="E143" i="209"/>
  <c r="D143" i="209"/>
  <c r="C143" i="209"/>
  <c r="B143" i="209"/>
  <c r="L142" i="209"/>
  <c r="K142" i="209"/>
  <c r="J142" i="209"/>
  <c r="I142" i="209"/>
  <c r="H142" i="209"/>
  <c r="G142" i="209"/>
  <c r="F142" i="209"/>
  <c r="E142" i="209"/>
  <c r="D142" i="209"/>
  <c r="C142" i="209"/>
  <c r="L138" i="209"/>
  <c r="K138" i="209"/>
  <c r="J138" i="209"/>
  <c r="I138" i="209"/>
  <c r="H138" i="209"/>
  <c r="G138" i="209"/>
  <c r="F138" i="209"/>
  <c r="E138" i="209"/>
  <c r="D138" i="209"/>
  <c r="C138" i="209"/>
  <c r="B138" i="209"/>
  <c r="L137" i="209"/>
  <c r="K137" i="209"/>
  <c r="J137" i="209"/>
  <c r="I137" i="209"/>
  <c r="H137" i="209"/>
  <c r="G137" i="209"/>
  <c r="F137" i="209"/>
  <c r="E137" i="209"/>
  <c r="D137" i="209"/>
  <c r="C137" i="209"/>
  <c r="B137" i="209"/>
  <c r="L136" i="209"/>
  <c r="K136" i="209"/>
  <c r="J136" i="209"/>
  <c r="I136" i="209"/>
  <c r="H136" i="209"/>
  <c r="G136" i="209"/>
  <c r="F136" i="209"/>
  <c r="E136" i="209"/>
  <c r="D136" i="209"/>
  <c r="C136" i="209"/>
  <c r="B136" i="209"/>
  <c r="L135" i="209"/>
  <c r="K135" i="209"/>
  <c r="J135" i="209"/>
  <c r="I135" i="209"/>
  <c r="H135" i="209"/>
  <c r="G135" i="209"/>
  <c r="F135" i="209"/>
  <c r="E135" i="209"/>
  <c r="D135" i="209"/>
  <c r="C135" i="209"/>
  <c r="B135" i="209"/>
  <c r="L134" i="209"/>
  <c r="K134" i="209"/>
  <c r="J134" i="209"/>
  <c r="I134" i="209"/>
  <c r="H134" i="209"/>
  <c r="G134" i="209"/>
  <c r="F134" i="209"/>
  <c r="E134" i="209"/>
  <c r="D134" i="209"/>
  <c r="C134" i="209"/>
  <c r="B134" i="209"/>
  <c r="L133" i="209"/>
  <c r="K133" i="209"/>
  <c r="J133" i="209"/>
  <c r="I133" i="209"/>
  <c r="H133" i="209"/>
  <c r="G133" i="209"/>
  <c r="F133" i="209"/>
  <c r="E133" i="209"/>
  <c r="D133" i="209"/>
  <c r="C133" i="209"/>
  <c r="B133" i="209"/>
  <c r="L132" i="209"/>
  <c r="K132" i="209"/>
  <c r="J132" i="209"/>
  <c r="I132" i="209"/>
  <c r="H132" i="209"/>
  <c r="G132" i="209"/>
  <c r="F132" i="209"/>
  <c r="E132" i="209"/>
  <c r="D132" i="209"/>
  <c r="C132" i="209"/>
  <c r="B132" i="209"/>
  <c r="L131" i="209"/>
  <c r="K131" i="209"/>
  <c r="J131" i="209"/>
  <c r="I131" i="209"/>
  <c r="H131" i="209"/>
  <c r="G131" i="209"/>
  <c r="F131" i="209"/>
  <c r="E131" i="209"/>
  <c r="D131" i="209"/>
  <c r="C131" i="209"/>
  <c r="B131" i="209"/>
  <c r="L130" i="209"/>
  <c r="K130" i="209"/>
  <c r="J130" i="209"/>
  <c r="I130" i="209"/>
  <c r="H130" i="209"/>
  <c r="G130" i="209"/>
  <c r="F130" i="209"/>
  <c r="E130" i="209"/>
  <c r="D130" i="209"/>
  <c r="C130" i="209"/>
  <c r="B130" i="209"/>
  <c r="L129" i="209"/>
  <c r="K129" i="209"/>
  <c r="J129" i="209"/>
  <c r="I129" i="209"/>
  <c r="H129" i="209"/>
  <c r="G129" i="209"/>
  <c r="F129" i="209"/>
  <c r="E129" i="209"/>
  <c r="D129" i="209"/>
  <c r="C129" i="209"/>
  <c r="B129" i="209"/>
  <c r="L128" i="209"/>
  <c r="K128" i="209"/>
  <c r="J128" i="209"/>
  <c r="I128" i="209"/>
  <c r="H128" i="209"/>
  <c r="G128" i="209"/>
  <c r="F128" i="209"/>
  <c r="E128" i="209"/>
  <c r="D128" i="209"/>
  <c r="C128" i="209"/>
  <c r="B128" i="209"/>
  <c r="L127" i="209"/>
  <c r="K127" i="209"/>
  <c r="J127" i="209"/>
  <c r="I127" i="209"/>
  <c r="H127" i="209"/>
  <c r="G127" i="209"/>
  <c r="F127" i="209"/>
  <c r="E127" i="209"/>
  <c r="D127" i="209"/>
  <c r="C127" i="209"/>
  <c r="B127" i="209"/>
  <c r="L126" i="209"/>
  <c r="K126" i="209"/>
  <c r="J126" i="209"/>
  <c r="I126" i="209"/>
  <c r="H126" i="209"/>
  <c r="G126" i="209"/>
  <c r="F126" i="209"/>
  <c r="E126" i="209"/>
  <c r="D126" i="209"/>
  <c r="C126" i="209"/>
  <c r="B126" i="209"/>
  <c r="L125" i="209"/>
  <c r="K125" i="209"/>
  <c r="J125" i="209"/>
  <c r="I125" i="209"/>
  <c r="H125" i="209"/>
  <c r="G125" i="209"/>
  <c r="F125" i="209"/>
  <c r="E125" i="209"/>
  <c r="D125" i="209"/>
  <c r="C125" i="209"/>
  <c r="B125" i="209"/>
  <c r="L124" i="209"/>
  <c r="K124" i="209"/>
  <c r="J124" i="209"/>
  <c r="I124" i="209"/>
  <c r="H124" i="209"/>
  <c r="G124" i="209"/>
  <c r="F124" i="209"/>
  <c r="E124" i="209"/>
  <c r="D124" i="209"/>
  <c r="C124" i="209"/>
  <c r="B124" i="209"/>
  <c r="L123" i="209"/>
  <c r="K123" i="209"/>
  <c r="J123" i="209"/>
  <c r="I123" i="209"/>
  <c r="H123" i="209"/>
  <c r="G123" i="209"/>
  <c r="F123" i="209"/>
  <c r="E123" i="209"/>
  <c r="D123" i="209"/>
  <c r="C123" i="209"/>
  <c r="B123" i="209"/>
  <c r="L122" i="209"/>
  <c r="K122" i="209"/>
  <c r="J122" i="209"/>
  <c r="I122" i="209"/>
  <c r="H122" i="209"/>
  <c r="G122" i="209"/>
  <c r="F122" i="209"/>
  <c r="E122" i="209"/>
  <c r="D122" i="209"/>
  <c r="C122" i="209"/>
  <c r="B122" i="209"/>
  <c r="L121" i="209"/>
  <c r="K121" i="209"/>
  <c r="J121" i="209"/>
  <c r="I121" i="209"/>
  <c r="H121" i="209"/>
  <c r="G121" i="209"/>
  <c r="F121" i="209"/>
  <c r="E121" i="209"/>
  <c r="D121" i="209"/>
  <c r="C121" i="209"/>
  <c r="B121" i="209"/>
  <c r="L120" i="209"/>
  <c r="K120" i="209"/>
  <c r="J120" i="209"/>
  <c r="I120" i="209"/>
  <c r="H120" i="209"/>
  <c r="G120" i="209"/>
  <c r="F120" i="209"/>
  <c r="E120" i="209"/>
  <c r="D120" i="209"/>
  <c r="C120" i="209"/>
  <c r="B120" i="209"/>
  <c r="L119" i="209"/>
  <c r="K119" i="209"/>
  <c r="J119" i="209"/>
  <c r="I119" i="209"/>
  <c r="H119" i="209"/>
  <c r="G119" i="209"/>
  <c r="F119" i="209"/>
  <c r="E119" i="209"/>
  <c r="D119" i="209"/>
  <c r="C119" i="209"/>
  <c r="B119" i="209"/>
  <c r="L118" i="209"/>
  <c r="K118" i="209"/>
  <c r="J118" i="209"/>
  <c r="I118" i="209"/>
  <c r="H118" i="209"/>
  <c r="G118" i="209"/>
  <c r="F118" i="209"/>
  <c r="E118" i="209"/>
  <c r="D118" i="209"/>
  <c r="C118" i="209"/>
  <c r="L114" i="209"/>
  <c r="K114" i="209"/>
  <c r="J114" i="209"/>
  <c r="I114" i="209"/>
  <c r="H114" i="209"/>
  <c r="G114" i="209"/>
  <c r="F114" i="209"/>
  <c r="E114" i="209"/>
  <c r="D114" i="209"/>
  <c r="C114" i="209"/>
  <c r="B114" i="209"/>
  <c r="L113" i="209"/>
  <c r="K113" i="209"/>
  <c r="J113" i="209"/>
  <c r="I113" i="209"/>
  <c r="H113" i="209"/>
  <c r="G113" i="209"/>
  <c r="F113" i="209"/>
  <c r="E113" i="209"/>
  <c r="D113" i="209"/>
  <c r="C113" i="209"/>
  <c r="B113" i="209"/>
  <c r="L112" i="209"/>
  <c r="K112" i="209"/>
  <c r="J112" i="209"/>
  <c r="I112" i="209"/>
  <c r="H112" i="209"/>
  <c r="G112" i="209"/>
  <c r="F112" i="209"/>
  <c r="E112" i="209"/>
  <c r="D112" i="209"/>
  <c r="C112" i="209"/>
  <c r="B112" i="209"/>
  <c r="L111" i="209"/>
  <c r="K111" i="209"/>
  <c r="J111" i="209"/>
  <c r="I111" i="209"/>
  <c r="H111" i="209"/>
  <c r="G111" i="209"/>
  <c r="F111" i="209"/>
  <c r="E111" i="209"/>
  <c r="D111" i="209"/>
  <c r="C111" i="209"/>
  <c r="B111" i="209"/>
  <c r="L110" i="209"/>
  <c r="K110" i="209"/>
  <c r="J110" i="209"/>
  <c r="I110" i="209"/>
  <c r="H110" i="209"/>
  <c r="G110" i="209"/>
  <c r="F110" i="209"/>
  <c r="E110" i="209"/>
  <c r="D110" i="209"/>
  <c r="C110" i="209"/>
  <c r="B110" i="209"/>
  <c r="L109" i="209"/>
  <c r="K109" i="209"/>
  <c r="J109" i="209"/>
  <c r="I109" i="209"/>
  <c r="H109" i="209"/>
  <c r="G109" i="209"/>
  <c r="F109" i="209"/>
  <c r="E109" i="209"/>
  <c r="D109" i="209"/>
  <c r="C109" i="209"/>
  <c r="B109" i="209"/>
  <c r="L108" i="209"/>
  <c r="K108" i="209"/>
  <c r="J108" i="209"/>
  <c r="I108" i="209"/>
  <c r="H108" i="209"/>
  <c r="G108" i="209"/>
  <c r="F108" i="209"/>
  <c r="E108" i="209"/>
  <c r="D108" i="209"/>
  <c r="C108" i="209"/>
  <c r="B108" i="209"/>
  <c r="L107" i="209"/>
  <c r="K107" i="209"/>
  <c r="J107" i="209"/>
  <c r="I107" i="209"/>
  <c r="H107" i="209"/>
  <c r="G107" i="209"/>
  <c r="F107" i="209"/>
  <c r="E107" i="209"/>
  <c r="D107" i="209"/>
  <c r="C107" i="209"/>
  <c r="B107" i="209"/>
  <c r="L106" i="209"/>
  <c r="K106" i="209"/>
  <c r="J106" i="209"/>
  <c r="I106" i="209"/>
  <c r="H106" i="209"/>
  <c r="G106" i="209"/>
  <c r="F106" i="209"/>
  <c r="E106" i="209"/>
  <c r="D106" i="209"/>
  <c r="C106" i="209"/>
  <c r="B106" i="209"/>
  <c r="L105" i="209"/>
  <c r="K105" i="209"/>
  <c r="J105" i="209"/>
  <c r="I105" i="209"/>
  <c r="H105" i="209"/>
  <c r="G105" i="209"/>
  <c r="F105" i="209"/>
  <c r="E105" i="209"/>
  <c r="D105" i="209"/>
  <c r="C105" i="209"/>
  <c r="B105" i="209"/>
  <c r="L104" i="209"/>
  <c r="K104" i="209"/>
  <c r="J104" i="209"/>
  <c r="I104" i="209"/>
  <c r="H104" i="209"/>
  <c r="G104" i="209"/>
  <c r="F104" i="209"/>
  <c r="E104" i="209"/>
  <c r="D104" i="209"/>
  <c r="C104" i="209"/>
  <c r="B104" i="209"/>
  <c r="L103" i="209"/>
  <c r="K103" i="209"/>
  <c r="J103" i="209"/>
  <c r="I103" i="209"/>
  <c r="H103" i="209"/>
  <c r="G103" i="209"/>
  <c r="F103" i="209"/>
  <c r="E103" i="209"/>
  <c r="D103" i="209"/>
  <c r="C103" i="209"/>
  <c r="B103" i="209"/>
  <c r="L102" i="209"/>
  <c r="K102" i="209"/>
  <c r="J102" i="209"/>
  <c r="I102" i="209"/>
  <c r="H102" i="209"/>
  <c r="G102" i="209"/>
  <c r="F102" i="209"/>
  <c r="E102" i="209"/>
  <c r="D102" i="209"/>
  <c r="C102" i="209"/>
  <c r="B102" i="209"/>
  <c r="L101" i="209"/>
  <c r="K101" i="209"/>
  <c r="J101" i="209"/>
  <c r="I101" i="209"/>
  <c r="H101" i="209"/>
  <c r="G101" i="209"/>
  <c r="F101" i="209"/>
  <c r="E101" i="209"/>
  <c r="D101" i="209"/>
  <c r="C101" i="209"/>
  <c r="B101" i="209"/>
  <c r="L100" i="209"/>
  <c r="K100" i="209"/>
  <c r="J100" i="209"/>
  <c r="I100" i="209"/>
  <c r="H100" i="209"/>
  <c r="G100" i="209"/>
  <c r="F100" i="209"/>
  <c r="E100" i="209"/>
  <c r="D100" i="209"/>
  <c r="C100" i="209"/>
  <c r="B100" i="209"/>
  <c r="L99" i="209"/>
  <c r="K99" i="209"/>
  <c r="J99" i="209"/>
  <c r="I99" i="209"/>
  <c r="H99" i="209"/>
  <c r="G99" i="209"/>
  <c r="F99" i="209"/>
  <c r="E99" i="209"/>
  <c r="D99" i="209"/>
  <c r="C99" i="209"/>
  <c r="B99" i="209"/>
  <c r="L98" i="209"/>
  <c r="K98" i="209"/>
  <c r="J98" i="209"/>
  <c r="I98" i="209"/>
  <c r="H98" i="209"/>
  <c r="G98" i="209"/>
  <c r="F98" i="209"/>
  <c r="E98" i="209"/>
  <c r="D98" i="209"/>
  <c r="C98" i="209"/>
  <c r="B98" i="209"/>
  <c r="L97" i="209"/>
  <c r="K97" i="209"/>
  <c r="J97" i="209"/>
  <c r="I97" i="209"/>
  <c r="H97" i="209"/>
  <c r="G97" i="209"/>
  <c r="F97" i="209"/>
  <c r="E97" i="209"/>
  <c r="D97" i="209"/>
  <c r="C97" i="209"/>
  <c r="B97" i="209"/>
  <c r="L96" i="209"/>
  <c r="K96" i="209"/>
  <c r="J96" i="209"/>
  <c r="I96" i="209"/>
  <c r="H96" i="209"/>
  <c r="G96" i="209"/>
  <c r="F96" i="209"/>
  <c r="E96" i="209"/>
  <c r="D96" i="209"/>
  <c r="C96" i="209"/>
  <c r="B96" i="209"/>
  <c r="L95" i="209"/>
  <c r="K95" i="209"/>
  <c r="J95" i="209"/>
  <c r="I95" i="209"/>
  <c r="H95" i="209"/>
  <c r="G95" i="209"/>
  <c r="F95" i="209"/>
  <c r="E95" i="209"/>
  <c r="D95" i="209"/>
  <c r="C95" i="209"/>
  <c r="B95" i="209"/>
  <c r="L94" i="209"/>
  <c r="K94" i="209"/>
  <c r="J94" i="209"/>
  <c r="I94" i="209"/>
  <c r="H94" i="209"/>
  <c r="G94" i="209"/>
  <c r="F94" i="209"/>
  <c r="E94" i="209"/>
  <c r="D94" i="209"/>
  <c r="C94" i="209"/>
  <c r="L88" i="209"/>
  <c r="K88" i="209"/>
  <c r="J88" i="209"/>
  <c r="I88" i="209"/>
  <c r="H88" i="209"/>
  <c r="G88" i="209"/>
  <c r="F88" i="209"/>
  <c r="E88" i="209"/>
  <c r="D88" i="209"/>
  <c r="C88" i="209"/>
  <c r="A88" i="209"/>
  <c r="L87" i="209"/>
  <c r="K87" i="209"/>
  <c r="J87" i="209"/>
  <c r="I87" i="209"/>
  <c r="H87" i="209"/>
  <c r="G87" i="209"/>
  <c r="F87" i="209"/>
  <c r="E87" i="209"/>
  <c r="D87" i="209"/>
  <c r="C87" i="209"/>
  <c r="B87" i="209"/>
  <c r="L86" i="209"/>
  <c r="K86" i="209"/>
  <c r="J86" i="209"/>
  <c r="I86" i="209"/>
  <c r="H86" i="209"/>
  <c r="G86" i="209"/>
  <c r="F86" i="209"/>
  <c r="E86" i="209"/>
  <c r="D86" i="209"/>
  <c r="C86" i="209"/>
  <c r="B86" i="209"/>
  <c r="L85" i="209"/>
  <c r="K85" i="209"/>
  <c r="J85" i="209"/>
  <c r="I85" i="209"/>
  <c r="H85" i="209"/>
  <c r="G85" i="209"/>
  <c r="F85" i="209"/>
  <c r="E85" i="209"/>
  <c r="D85" i="209"/>
  <c r="C85" i="209"/>
  <c r="B85" i="209"/>
  <c r="L84" i="209"/>
  <c r="K84" i="209"/>
  <c r="J84" i="209"/>
  <c r="I84" i="209"/>
  <c r="H84" i="209"/>
  <c r="G84" i="209"/>
  <c r="F84" i="209"/>
  <c r="E84" i="209"/>
  <c r="D84" i="209"/>
  <c r="C84" i="209"/>
  <c r="B84" i="209"/>
  <c r="L83" i="209"/>
  <c r="K83" i="209"/>
  <c r="J83" i="209"/>
  <c r="I83" i="209"/>
  <c r="H83" i="209"/>
  <c r="G83" i="209"/>
  <c r="F83" i="209"/>
  <c r="E83" i="209"/>
  <c r="D83" i="209"/>
  <c r="C83" i="209"/>
  <c r="B83" i="209"/>
  <c r="L82" i="209"/>
  <c r="K82" i="209"/>
  <c r="J82" i="209"/>
  <c r="I82" i="209"/>
  <c r="H82" i="209"/>
  <c r="G82" i="209"/>
  <c r="F82" i="209"/>
  <c r="E82" i="209"/>
  <c r="D82" i="209"/>
  <c r="C82" i="209"/>
  <c r="B82" i="209"/>
  <c r="L81" i="209"/>
  <c r="K81" i="209"/>
  <c r="J81" i="209"/>
  <c r="I81" i="209"/>
  <c r="H81" i="209"/>
  <c r="G81" i="209"/>
  <c r="F81" i="209"/>
  <c r="E81" i="209"/>
  <c r="D81" i="209"/>
  <c r="C81" i="209"/>
  <c r="B81" i="209"/>
  <c r="L80" i="209"/>
  <c r="K80" i="209"/>
  <c r="J80" i="209"/>
  <c r="I80" i="209"/>
  <c r="H80" i="209"/>
  <c r="G80" i="209"/>
  <c r="F80" i="209"/>
  <c r="E80" i="209"/>
  <c r="D80" i="209"/>
  <c r="C80" i="209"/>
  <c r="B80" i="209"/>
  <c r="L79" i="209"/>
  <c r="K79" i="209"/>
  <c r="J79" i="209"/>
  <c r="I79" i="209"/>
  <c r="H79" i="209"/>
  <c r="G79" i="209"/>
  <c r="F79" i="209"/>
  <c r="E79" i="209"/>
  <c r="D79" i="209"/>
  <c r="C79" i="209"/>
  <c r="B79" i="209"/>
  <c r="L78" i="209"/>
  <c r="K78" i="209"/>
  <c r="J78" i="209"/>
  <c r="I78" i="209"/>
  <c r="H78" i="209"/>
  <c r="G78" i="209"/>
  <c r="F78" i="209"/>
  <c r="E78" i="209"/>
  <c r="D78" i="209"/>
  <c r="C78" i="209"/>
  <c r="B78" i="209"/>
  <c r="L77" i="209"/>
  <c r="K77" i="209"/>
  <c r="J77" i="209"/>
  <c r="I77" i="209"/>
  <c r="H77" i="209"/>
  <c r="G77" i="209"/>
  <c r="F77" i="209"/>
  <c r="E77" i="209"/>
  <c r="D77" i="209"/>
  <c r="C77" i="209"/>
  <c r="B77" i="209"/>
  <c r="L76" i="209"/>
  <c r="K76" i="209"/>
  <c r="J76" i="209"/>
  <c r="I76" i="209"/>
  <c r="H76" i="209"/>
  <c r="G76" i="209"/>
  <c r="F76" i="209"/>
  <c r="E76" i="209"/>
  <c r="D76" i="209"/>
  <c r="C76" i="209"/>
  <c r="B76" i="209"/>
  <c r="L75" i="209"/>
  <c r="K75" i="209"/>
  <c r="J75" i="209"/>
  <c r="I75" i="209"/>
  <c r="H75" i="209"/>
  <c r="G75" i="209"/>
  <c r="F75" i="209"/>
  <c r="E75" i="209"/>
  <c r="D75" i="209"/>
  <c r="C75" i="209"/>
  <c r="B75" i="209"/>
  <c r="L74" i="209"/>
  <c r="K74" i="209"/>
  <c r="J74" i="209"/>
  <c r="I74" i="209"/>
  <c r="H74" i="209"/>
  <c r="G74" i="209"/>
  <c r="F74" i="209"/>
  <c r="E74" i="209"/>
  <c r="D74" i="209"/>
  <c r="C74" i="209"/>
  <c r="B74" i="209"/>
  <c r="L73" i="209"/>
  <c r="K73" i="209"/>
  <c r="J73" i="209"/>
  <c r="I73" i="209"/>
  <c r="H73" i="209"/>
  <c r="G73" i="209"/>
  <c r="F73" i="209"/>
  <c r="E73" i="209"/>
  <c r="D73" i="209"/>
  <c r="C73" i="209"/>
  <c r="B73" i="209"/>
  <c r="L72" i="209"/>
  <c r="K72" i="209"/>
  <c r="J72" i="209"/>
  <c r="I72" i="209"/>
  <c r="H72" i="209"/>
  <c r="G72" i="209"/>
  <c r="F72" i="209"/>
  <c r="E72" i="209"/>
  <c r="D72" i="209"/>
  <c r="C72" i="209"/>
  <c r="B72" i="209"/>
  <c r="L71" i="209"/>
  <c r="K71" i="209"/>
  <c r="J71" i="209"/>
  <c r="I71" i="209"/>
  <c r="H71" i="209"/>
  <c r="G71" i="209"/>
  <c r="F71" i="209"/>
  <c r="E71" i="209"/>
  <c r="D71" i="209"/>
  <c r="C71" i="209"/>
  <c r="B71" i="209"/>
  <c r="L70" i="209"/>
  <c r="K70" i="209"/>
  <c r="J70" i="209"/>
  <c r="I70" i="209"/>
  <c r="H70" i="209"/>
  <c r="G70" i="209"/>
  <c r="F70" i="209"/>
  <c r="E70" i="209"/>
  <c r="D70" i="209"/>
  <c r="C70" i="209"/>
  <c r="B70" i="209"/>
  <c r="L69" i="209"/>
  <c r="K69" i="209"/>
  <c r="J69" i="209"/>
  <c r="I69" i="209"/>
  <c r="H69" i="209"/>
  <c r="G69" i="209"/>
  <c r="F69" i="209"/>
  <c r="E69" i="209"/>
  <c r="D69" i="209"/>
  <c r="C69" i="209"/>
  <c r="B69" i="209"/>
  <c r="L68" i="209"/>
  <c r="K68" i="209"/>
  <c r="J68" i="209"/>
  <c r="I68" i="209"/>
  <c r="H68" i="209"/>
  <c r="G68" i="209"/>
  <c r="F68" i="209"/>
  <c r="E68" i="209"/>
  <c r="D68" i="209"/>
  <c r="C68" i="209"/>
  <c r="B68" i="209"/>
  <c r="L67" i="209"/>
  <c r="K67" i="209"/>
  <c r="J67" i="209"/>
  <c r="I67" i="209"/>
  <c r="H67" i="209"/>
  <c r="G67" i="209"/>
  <c r="F67" i="209"/>
  <c r="E67" i="209"/>
  <c r="D67" i="209"/>
  <c r="C67" i="209"/>
  <c r="B67" i="209"/>
  <c r="L66" i="209"/>
  <c r="K66" i="209"/>
  <c r="J66" i="209"/>
  <c r="I66" i="209"/>
  <c r="H66" i="209"/>
  <c r="G66" i="209"/>
  <c r="F66" i="209"/>
  <c r="E66" i="209"/>
  <c r="D66" i="209"/>
  <c r="L62" i="209"/>
  <c r="K62" i="209"/>
  <c r="J62" i="209"/>
  <c r="I62" i="209"/>
  <c r="H62" i="209"/>
  <c r="G62" i="209"/>
  <c r="F62" i="209"/>
  <c r="E62" i="209"/>
  <c r="D62" i="209"/>
  <c r="C62" i="209"/>
  <c r="L61" i="209"/>
  <c r="K61" i="209"/>
  <c r="J61" i="209"/>
  <c r="I61" i="209"/>
  <c r="H61" i="209"/>
  <c r="G61" i="209"/>
  <c r="F61" i="209"/>
  <c r="E61" i="209"/>
  <c r="D61" i="209"/>
  <c r="C61" i="209"/>
  <c r="L60" i="209"/>
  <c r="K60" i="209"/>
  <c r="J60" i="209"/>
  <c r="I60" i="209"/>
  <c r="H60" i="209"/>
  <c r="G60" i="209"/>
  <c r="F60" i="209"/>
  <c r="E60" i="209"/>
  <c r="D60" i="209"/>
  <c r="C60" i="209"/>
  <c r="B60" i="209"/>
  <c r="L59" i="209"/>
  <c r="K59" i="209"/>
  <c r="J59" i="209"/>
  <c r="I59" i="209"/>
  <c r="H59" i="209"/>
  <c r="G59" i="209"/>
  <c r="F59" i="209"/>
  <c r="E59" i="209"/>
  <c r="D59" i="209"/>
  <c r="C59" i="209"/>
  <c r="B59" i="209"/>
  <c r="L58" i="209"/>
  <c r="K58" i="209"/>
  <c r="J58" i="209"/>
  <c r="I58" i="209"/>
  <c r="H58" i="209"/>
  <c r="G58" i="209"/>
  <c r="F58" i="209"/>
  <c r="E58" i="209"/>
  <c r="D58" i="209"/>
  <c r="C58" i="209"/>
  <c r="B58" i="209"/>
  <c r="L57" i="209"/>
  <c r="K57" i="209"/>
  <c r="J57" i="209"/>
  <c r="I57" i="209"/>
  <c r="H57" i="209"/>
  <c r="G57" i="209"/>
  <c r="F57" i="209"/>
  <c r="E57" i="209"/>
  <c r="D57" i="209"/>
  <c r="C57" i="209"/>
  <c r="B57" i="209"/>
  <c r="L56" i="209"/>
  <c r="K56" i="209"/>
  <c r="J56" i="209"/>
  <c r="I56" i="209"/>
  <c r="H56" i="209"/>
  <c r="G56" i="209"/>
  <c r="F56" i="209"/>
  <c r="E56" i="209"/>
  <c r="D56" i="209"/>
  <c r="C56" i="209"/>
  <c r="B56" i="209"/>
  <c r="L55" i="209"/>
  <c r="K55" i="209"/>
  <c r="J55" i="209"/>
  <c r="I55" i="209"/>
  <c r="H55" i="209"/>
  <c r="G55" i="209"/>
  <c r="F55" i="209"/>
  <c r="E55" i="209"/>
  <c r="D55" i="209"/>
  <c r="C55" i="209"/>
  <c r="B55" i="209"/>
  <c r="L54" i="209"/>
  <c r="K54" i="209"/>
  <c r="J54" i="209"/>
  <c r="I54" i="209"/>
  <c r="H54" i="209"/>
  <c r="G54" i="209"/>
  <c r="F54" i="209"/>
  <c r="E54" i="209"/>
  <c r="D54" i="209"/>
  <c r="C54" i="209"/>
  <c r="B54" i="209"/>
  <c r="L53" i="209"/>
  <c r="K53" i="209"/>
  <c r="J53" i="209"/>
  <c r="I53" i="209"/>
  <c r="H53" i="209"/>
  <c r="G53" i="209"/>
  <c r="F53" i="209"/>
  <c r="E53" i="209"/>
  <c r="D53" i="209"/>
  <c r="C53" i="209"/>
  <c r="B53" i="209"/>
  <c r="L52" i="209"/>
  <c r="K52" i="209"/>
  <c r="J52" i="209"/>
  <c r="I52" i="209"/>
  <c r="H52" i="209"/>
  <c r="G52" i="209"/>
  <c r="F52" i="209"/>
  <c r="E52" i="209"/>
  <c r="D52" i="209"/>
  <c r="C52" i="209"/>
  <c r="B52" i="209"/>
  <c r="L51" i="209"/>
  <c r="K51" i="209"/>
  <c r="J51" i="209"/>
  <c r="I51" i="209"/>
  <c r="H51" i="209"/>
  <c r="G51" i="209"/>
  <c r="F51" i="209"/>
  <c r="E51" i="209"/>
  <c r="D51" i="209"/>
  <c r="C51" i="209"/>
  <c r="B51" i="209"/>
  <c r="L50" i="209"/>
  <c r="K50" i="209"/>
  <c r="J50" i="209"/>
  <c r="I50" i="209"/>
  <c r="H50" i="209"/>
  <c r="G50" i="209"/>
  <c r="F50" i="209"/>
  <c r="E50" i="209"/>
  <c r="D50" i="209"/>
  <c r="C50" i="209"/>
  <c r="B50" i="209"/>
  <c r="L49" i="209"/>
  <c r="K49" i="209"/>
  <c r="J49" i="209"/>
  <c r="I49" i="209"/>
  <c r="H49" i="209"/>
  <c r="G49" i="209"/>
  <c r="F49" i="209"/>
  <c r="E49" i="209"/>
  <c r="D49" i="209"/>
  <c r="C49" i="209"/>
  <c r="B49" i="209"/>
  <c r="L48" i="209"/>
  <c r="K48" i="209"/>
  <c r="J48" i="209"/>
  <c r="I48" i="209"/>
  <c r="H48" i="209"/>
  <c r="G48" i="209"/>
  <c r="F48" i="209"/>
  <c r="E48" i="209"/>
  <c r="D48" i="209"/>
  <c r="C48" i="209"/>
  <c r="B48" i="209"/>
  <c r="L47" i="209"/>
  <c r="K47" i="209"/>
  <c r="J47" i="209"/>
  <c r="I47" i="209"/>
  <c r="H47" i="209"/>
  <c r="G47" i="209"/>
  <c r="F47" i="209"/>
  <c r="E47" i="209"/>
  <c r="D47" i="209"/>
  <c r="C47" i="209"/>
  <c r="B47" i="209"/>
  <c r="L46" i="209"/>
  <c r="K46" i="209"/>
  <c r="J46" i="209"/>
  <c r="I46" i="209"/>
  <c r="H46" i="209"/>
  <c r="G46" i="209"/>
  <c r="F46" i="209"/>
  <c r="E46" i="209"/>
  <c r="D46" i="209"/>
  <c r="C46" i="209"/>
  <c r="B46" i="209"/>
  <c r="L45" i="209"/>
  <c r="K45" i="209"/>
  <c r="J45" i="209"/>
  <c r="I45" i="209"/>
  <c r="H45" i="209"/>
  <c r="G45" i="209"/>
  <c r="F45" i="209"/>
  <c r="E45" i="209"/>
  <c r="D45" i="209"/>
  <c r="C45" i="209"/>
  <c r="B45" i="209"/>
  <c r="L44" i="209"/>
  <c r="K44" i="209"/>
  <c r="J44" i="209"/>
  <c r="I44" i="209"/>
  <c r="H44" i="209"/>
  <c r="G44" i="209"/>
  <c r="F44" i="209"/>
  <c r="E44" i="209"/>
  <c r="D44" i="209"/>
  <c r="C44" i="209"/>
  <c r="B44" i="209"/>
  <c r="L43" i="209"/>
  <c r="K43" i="209"/>
  <c r="J43" i="209"/>
  <c r="I43" i="209"/>
  <c r="H43" i="209"/>
  <c r="G43" i="209"/>
  <c r="F43" i="209"/>
  <c r="E43" i="209"/>
  <c r="D43" i="209"/>
  <c r="C43" i="209"/>
  <c r="B43" i="209"/>
  <c r="L42" i="209"/>
  <c r="K42" i="209"/>
  <c r="J42" i="209"/>
  <c r="I42" i="209"/>
  <c r="H42" i="209"/>
  <c r="G42" i="209"/>
  <c r="F42" i="209"/>
  <c r="E42" i="209"/>
  <c r="D42" i="209"/>
  <c r="C42" i="209"/>
  <c r="B42" i="209"/>
  <c r="L41" i="209"/>
  <c r="K41" i="209"/>
  <c r="J41" i="209"/>
  <c r="I41" i="209"/>
  <c r="H41" i="209"/>
  <c r="G41" i="209"/>
  <c r="F41" i="209"/>
  <c r="E41" i="209"/>
  <c r="D41" i="209"/>
  <c r="C41" i="209"/>
  <c r="B41" i="209"/>
  <c r="L40" i="209"/>
  <c r="K40" i="209"/>
  <c r="J40" i="209"/>
  <c r="I40" i="209"/>
  <c r="H40" i="209"/>
  <c r="G40" i="209"/>
  <c r="F40" i="209"/>
  <c r="E40" i="209"/>
  <c r="D40" i="209"/>
  <c r="C39" i="209"/>
  <c r="L34" i="209"/>
  <c r="K34" i="209"/>
  <c r="J34" i="209"/>
  <c r="I34" i="209"/>
  <c r="H34" i="209"/>
  <c r="G34" i="209"/>
  <c r="F34" i="209"/>
  <c r="E34" i="209"/>
  <c r="D34" i="209"/>
  <c r="C34" i="209"/>
  <c r="B34" i="209"/>
  <c r="L33" i="209"/>
  <c r="K33" i="209"/>
  <c r="J33" i="209"/>
  <c r="I33" i="209"/>
  <c r="H33" i="209"/>
  <c r="G33" i="209"/>
  <c r="F33" i="209"/>
  <c r="E33" i="209"/>
  <c r="D33" i="209"/>
  <c r="C33" i="209"/>
  <c r="B33" i="209"/>
  <c r="L32" i="209"/>
  <c r="K32" i="209"/>
  <c r="J32" i="209"/>
  <c r="I32" i="209"/>
  <c r="H32" i="209"/>
  <c r="G32" i="209"/>
  <c r="F32" i="209"/>
  <c r="E32" i="209"/>
  <c r="D32" i="209"/>
  <c r="C32" i="209"/>
  <c r="B32" i="209"/>
  <c r="L31" i="209"/>
  <c r="K31" i="209"/>
  <c r="J31" i="209"/>
  <c r="I31" i="209"/>
  <c r="H31" i="209"/>
  <c r="G31" i="209"/>
  <c r="F31" i="209"/>
  <c r="E31" i="209"/>
  <c r="D31" i="209"/>
  <c r="C31" i="209"/>
  <c r="B31" i="209"/>
  <c r="L30" i="209"/>
  <c r="K30" i="209"/>
  <c r="J30" i="209"/>
  <c r="I30" i="209"/>
  <c r="H30" i="209"/>
  <c r="G30" i="209"/>
  <c r="F30" i="209"/>
  <c r="E30" i="209"/>
  <c r="D30" i="209"/>
  <c r="C30" i="209"/>
  <c r="B30" i="209"/>
  <c r="L29" i="209"/>
  <c r="K29" i="209"/>
  <c r="J29" i="209"/>
  <c r="I29" i="209"/>
  <c r="H29" i="209"/>
  <c r="G29" i="209"/>
  <c r="F29" i="209"/>
  <c r="E29" i="209"/>
  <c r="D29" i="209"/>
  <c r="C29" i="209"/>
  <c r="B29" i="209"/>
  <c r="L28" i="209"/>
  <c r="K28" i="209"/>
  <c r="J28" i="209"/>
  <c r="I28" i="209"/>
  <c r="H28" i="209"/>
  <c r="G28" i="209"/>
  <c r="F28" i="209"/>
  <c r="E28" i="209"/>
  <c r="D28" i="209"/>
  <c r="C28" i="209"/>
  <c r="B28" i="209"/>
  <c r="L27" i="209"/>
  <c r="K27" i="209"/>
  <c r="J27" i="209"/>
  <c r="I27" i="209"/>
  <c r="H27" i="209"/>
  <c r="G27" i="209"/>
  <c r="F27" i="209"/>
  <c r="E27" i="209"/>
  <c r="D27" i="209"/>
  <c r="C27" i="209"/>
  <c r="B27" i="209"/>
  <c r="L26" i="209"/>
  <c r="K26" i="209"/>
  <c r="J26" i="209"/>
  <c r="I26" i="209"/>
  <c r="H26" i="209"/>
  <c r="G26" i="209"/>
  <c r="F26" i="209"/>
  <c r="E26" i="209"/>
  <c r="D26" i="209"/>
  <c r="C26" i="209"/>
  <c r="B26" i="209"/>
  <c r="L25" i="209"/>
  <c r="K25" i="209"/>
  <c r="J25" i="209"/>
  <c r="I25" i="209"/>
  <c r="H25" i="209"/>
  <c r="G25" i="209"/>
  <c r="F25" i="209"/>
  <c r="E25" i="209"/>
  <c r="D25" i="209"/>
  <c r="C25" i="209"/>
  <c r="B25" i="209"/>
  <c r="L24" i="209"/>
  <c r="K24" i="209"/>
  <c r="J24" i="209"/>
  <c r="I24" i="209"/>
  <c r="H24" i="209"/>
  <c r="G24" i="209"/>
  <c r="F24" i="209"/>
  <c r="E24" i="209"/>
  <c r="D24" i="209"/>
  <c r="C24" i="209"/>
  <c r="B24" i="209"/>
  <c r="L23" i="209"/>
  <c r="K23" i="209"/>
  <c r="J23" i="209"/>
  <c r="I23" i="209"/>
  <c r="H23" i="209"/>
  <c r="G23" i="209"/>
  <c r="F23" i="209"/>
  <c r="E23" i="209"/>
  <c r="D23" i="209"/>
  <c r="C23" i="209"/>
  <c r="B23" i="209"/>
  <c r="L22" i="209"/>
  <c r="K22" i="209"/>
  <c r="J22" i="209"/>
  <c r="I22" i="209"/>
  <c r="H22" i="209"/>
  <c r="G22" i="209"/>
  <c r="F22" i="209"/>
  <c r="E22" i="209"/>
  <c r="D22" i="209"/>
  <c r="C22" i="209"/>
  <c r="B22" i="209"/>
  <c r="L21" i="209"/>
  <c r="K21" i="209"/>
  <c r="J21" i="209"/>
  <c r="I21" i="209"/>
  <c r="H21" i="209"/>
  <c r="G21" i="209"/>
  <c r="F21" i="209"/>
  <c r="E21" i="209"/>
  <c r="D21" i="209"/>
  <c r="C21" i="209"/>
  <c r="B21" i="209"/>
  <c r="L20" i="209"/>
  <c r="K20" i="209"/>
  <c r="J20" i="209"/>
  <c r="I20" i="209"/>
  <c r="H20" i="209"/>
  <c r="G20" i="209"/>
  <c r="F20" i="209"/>
  <c r="E20" i="209"/>
  <c r="D20" i="209"/>
  <c r="C20" i="209"/>
  <c r="B20" i="209"/>
  <c r="L19" i="209"/>
  <c r="K19" i="209"/>
  <c r="J19" i="209"/>
  <c r="I19" i="209"/>
  <c r="H19" i="209"/>
  <c r="G19" i="209"/>
  <c r="F19" i="209"/>
  <c r="E19" i="209"/>
  <c r="D19" i="209"/>
  <c r="C19" i="209"/>
  <c r="B19" i="209"/>
  <c r="L18" i="209"/>
  <c r="K18" i="209"/>
  <c r="J18" i="209"/>
  <c r="I18" i="209"/>
  <c r="H18" i="209"/>
  <c r="G18" i="209"/>
  <c r="F18" i="209"/>
  <c r="E18" i="209"/>
  <c r="D18" i="209"/>
  <c r="C18" i="209"/>
  <c r="B18" i="209"/>
  <c r="L17" i="209"/>
  <c r="K17" i="209"/>
  <c r="J17" i="209"/>
  <c r="I17" i="209"/>
  <c r="H17" i="209"/>
  <c r="G17" i="209"/>
  <c r="F17" i="209"/>
  <c r="E17" i="209"/>
  <c r="D17" i="209"/>
  <c r="C17" i="209"/>
  <c r="B17" i="209"/>
  <c r="L16" i="209"/>
  <c r="K16" i="209"/>
  <c r="J16" i="209"/>
  <c r="I16" i="209"/>
  <c r="H16" i="209"/>
  <c r="G16" i="209"/>
  <c r="F16" i="209"/>
  <c r="E16" i="209"/>
  <c r="D16" i="209"/>
  <c r="C16" i="209"/>
  <c r="B16" i="209"/>
  <c r="L15" i="209"/>
  <c r="K15" i="209"/>
  <c r="J15" i="209"/>
  <c r="I15" i="209"/>
  <c r="H15" i="209"/>
  <c r="G15" i="209"/>
  <c r="F15" i="209"/>
  <c r="E15" i="209"/>
  <c r="D15" i="209"/>
  <c r="C15" i="209"/>
  <c r="B15" i="209"/>
  <c r="L14" i="209"/>
  <c r="K14" i="209"/>
  <c r="J14" i="209"/>
  <c r="I14" i="209"/>
  <c r="H14" i="209"/>
  <c r="G14" i="209"/>
  <c r="F14" i="209"/>
  <c r="E14" i="209"/>
  <c r="D14" i="209"/>
  <c r="C14" i="209"/>
  <c r="A10" i="209"/>
  <c r="A1" i="209"/>
  <c r="M93" i="208"/>
  <c r="L93" i="208"/>
  <c r="K93" i="208"/>
  <c r="J93" i="208"/>
  <c r="I93" i="208"/>
  <c r="H93" i="208"/>
  <c r="G93" i="208"/>
  <c r="F93" i="208"/>
  <c r="E93" i="208"/>
  <c r="D93" i="208"/>
  <c r="M92" i="208"/>
  <c r="L92" i="208"/>
  <c r="K92" i="208"/>
  <c r="J92" i="208"/>
  <c r="I92" i="208"/>
  <c r="H92" i="208"/>
  <c r="G92" i="208"/>
  <c r="F92" i="208"/>
  <c r="E92" i="208"/>
  <c r="D92" i="208"/>
  <c r="C92" i="208"/>
  <c r="M91" i="208"/>
  <c r="L91" i="208"/>
  <c r="K91" i="208"/>
  <c r="J91" i="208"/>
  <c r="I91" i="208"/>
  <c r="H91" i="208"/>
  <c r="G91" i="208"/>
  <c r="F91" i="208"/>
  <c r="E91" i="208"/>
  <c r="D91" i="208"/>
  <c r="C91" i="208"/>
  <c r="M90" i="208"/>
  <c r="L90" i="208"/>
  <c r="K90" i="208"/>
  <c r="J90" i="208"/>
  <c r="I90" i="208"/>
  <c r="H90" i="208"/>
  <c r="G90" i="208"/>
  <c r="F90" i="208"/>
  <c r="E90" i="208"/>
  <c r="D90" i="208"/>
  <c r="C90" i="208"/>
  <c r="M89" i="208"/>
  <c r="L89" i="208"/>
  <c r="K89" i="208"/>
  <c r="J89" i="208"/>
  <c r="I89" i="208"/>
  <c r="H89" i="208"/>
  <c r="G89" i="208"/>
  <c r="F89" i="208"/>
  <c r="E89" i="208"/>
  <c r="D89" i="208"/>
  <c r="C89" i="208"/>
  <c r="M88" i="208"/>
  <c r="L88" i="208"/>
  <c r="K88" i="208"/>
  <c r="J88" i="208"/>
  <c r="I88" i="208"/>
  <c r="H88" i="208"/>
  <c r="G88" i="208"/>
  <c r="F88" i="208"/>
  <c r="E88" i="208"/>
  <c r="D88" i="208"/>
  <c r="C88" i="208"/>
  <c r="M87" i="208"/>
  <c r="L87" i="208"/>
  <c r="K87" i="208"/>
  <c r="J87" i="208"/>
  <c r="I87" i="208"/>
  <c r="H87" i="208"/>
  <c r="G87" i="208"/>
  <c r="F87" i="208"/>
  <c r="E87" i="208"/>
  <c r="D87" i="208"/>
  <c r="C87" i="208"/>
  <c r="M86" i="208"/>
  <c r="L86" i="208"/>
  <c r="K86" i="208"/>
  <c r="J86" i="208"/>
  <c r="I86" i="208"/>
  <c r="H86" i="208"/>
  <c r="G86" i="208"/>
  <c r="F86" i="208"/>
  <c r="E86" i="208"/>
  <c r="D86" i="208"/>
  <c r="C86" i="208"/>
  <c r="M85" i="208"/>
  <c r="L85" i="208"/>
  <c r="K85" i="208"/>
  <c r="J85" i="208"/>
  <c r="I85" i="208"/>
  <c r="H85" i="208"/>
  <c r="G85" i="208"/>
  <c r="F85" i="208"/>
  <c r="E85" i="208"/>
  <c r="D85" i="208"/>
  <c r="C85" i="208"/>
  <c r="M84" i="208"/>
  <c r="L84" i="208"/>
  <c r="K84" i="208"/>
  <c r="J84" i="208"/>
  <c r="I84" i="208"/>
  <c r="H84" i="208"/>
  <c r="G84" i="208"/>
  <c r="F84" i="208"/>
  <c r="E84" i="208"/>
  <c r="D84" i="208"/>
  <c r="C84" i="208"/>
  <c r="M83" i="208"/>
  <c r="L83" i="208"/>
  <c r="K83" i="208"/>
  <c r="J83" i="208"/>
  <c r="I83" i="208"/>
  <c r="H83" i="208"/>
  <c r="G83" i="208"/>
  <c r="F83" i="208"/>
  <c r="E83" i="208"/>
  <c r="D83" i="208"/>
  <c r="C83" i="208"/>
  <c r="M82" i="208"/>
  <c r="L82" i="208"/>
  <c r="K82" i="208"/>
  <c r="J82" i="208"/>
  <c r="I82" i="208"/>
  <c r="H82" i="208"/>
  <c r="G82" i="208"/>
  <c r="F82" i="208"/>
  <c r="E82" i="208"/>
  <c r="D82" i="208"/>
  <c r="C82" i="208"/>
  <c r="M81" i="208"/>
  <c r="L81" i="208"/>
  <c r="K81" i="208"/>
  <c r="J81" i="208"/>
  <c r="I81" i="208"/>
  <c r="H81" i="208"/>
  <c r="G81" i="208"/>
  <c r="F81" i="208"/>
  <c r="E81" i="208"/>
  <c r="D81" i="208"/>
  <c r="C81" i="208"/>
  <c r="M80" i="208"/>
  <c r="L80" i="208"/>
  <c r="K80" i="208"/>
  <c r="J80" i="208"/>
  <c r="I80" i="208"/>
  <c r="H80" i="208"/>
  <c r="G80" i="208"/>
  <c r="F80" i="208"/>
  <c r="E80" i="208"/>
  <c r="D80" i="208"/>
  <c r="C80" i="208"/>
  <c r="M79" i="208"/>
  <c r="L79" i="208"/>
  <c r="K79" i="208"/>
  <c r="J79" i="208"/>
  <c r="I79" i="208"/>
  <c r="H79" i="208"/>
  <c r="G79" i="208"/>
  <c r="F79" i="208"/>
  <c r="E79" i="208"/>
  <c r="D79" i="208"/>
  <c r="C79" i="208"/>
  <c r="M78" i="208"/>
  <c r="L78" i="208"/>
  <c r="K78" i="208"/>
  <c r="J78" i="208"/>
  <c r="I78" i="208"/>
  <c r="H78" i="208"/>
  <c r="G78" i="208"/>
  <c r="F78" i="208"/>
  <c r="E78" i="208"/>
  <c r="D78" i="208"/>
  <c r="C78" i="208"/>
  <c r="M77" i="208"/>
  <c r="L77" i="208"/>
  <c r="K77" i="208"/>
  <c r="J77" i="208"/>
  <c r="I77" i="208"/>
  <c r="H77" i="208"/>
  <c r="G77" i="208"/>
  <c r="F77" i="208"/>
  <c r="E77" i="208"/>
  <c r="D77" i="208"/>
  <c r="C77" i="208"/>
  <c r="M76" i="208"/>
  <c r="L76" i="208"/>
  <c r="K76" i="208"/>
  <c r="J76" i="208"/>
  <c r="I76" i="208"/>
  <c r="H76" i="208"/>
  <c r="G76" i="208"/>
  <c r="F76" i="208"/>
  <c r="E76" i="208"/>
  <c r="D76" i="208"/>
  <c r="C76" i="208"/>
  <c r="M75" i="208"/>
  <c r="L75" i="208"/>
  <c r="K75" i="208"/>
  <c r="J75" i="208"/>
  <c r="I75" i="208"/>
  <c r="H75" i="208"/>
  <c r="G75" i="208"/>
  <c r="F75" i="208"/>
  <c r="E75" i="208"/>
  <c r="D75" i="208"/>
  <c r="C75" i="208"/>
  <c r="M74" i="208"/>
  <c r="L74" i="208"/>
  <c r="K74" i="208"/>
  <c r="J74" i="208"/>
  <c r="I74" i="208"/>
  <c r="H74" i="208"/>
  <c r="G74" i="208"/>
  <c r="F74" i="208"/>
  <c r="E74" i="208"/>
  <c r="D74" i="208"/>
  <c r="C74" i="208"/>
  <c r="M73" i="208"/>
  <c r="L73" i="208"/>
  <c r="K73" i="208"/>
  <c r="J73" i="208"/>
  <c r="I73" i="208"/>
  <c r="H73" i="208"/>
  <c r="G73" i="208"/>
  <c r="F73" i="208"/>
  <c r="E73" i="208"/>
  <c r="D73" i="208"/>
  <c r="C73" i="208"/>
  <c r="M72" i="208"/>
  <c r="L72" i="208"/>
  <c r="K72" i="208"/>
  <c r="J72" i="208"/>
  <c r="I72" i="208"/>
  <c r="H72" i="208"/>
  <c r="G72" i="208"/>
  <c r="F72" i="208"/>
  <c r="E72" i="208"/>
  <c r="D72" i="208"/>
  <c r="J40" i="208"/>
  <c r="A40" i="208"/>
  <c r="J39" i="208"/>
  <c r="I39" i="208"/>
  <c r="H39" i="208"/>
  <c r="G39" i="208"/>
  <c r="F39" i="208"/>
  <c r="E39" i="208"/>
  <c r="D39" i="208"/>
  <c r="L38" i="208"/>
  <c r="J38" i="208"/>
  <c r="I38" i="208"/>
  <c r="H38" i="208"/>
  <c r="G38" i="208"/>
  <c r="F38" i="208"/>
  <c r="E38" i="208"/>
  <c r="D38" i="208"/>
  <c r="C38" i="208"/>
  <c r="L37" i="208"/>
  <c r="J37" i="208"/>
  <c r="I37" i="208"/>
  <c r="H37" i="208"/>
  <c r="G37" i="208"/>
  <c r="F37" i="208"/>
  <c r="E37" i="208"/>
  <c r="D37" i="208"/>
  <c r="C37" i="208"/>
  <c r="L36" i="208"/>
  <c r="J36" i="208"/>
  <c r="I36" i="208"/>
  <c r="H36" i="208"/>
  <c r="G36" i="208"/>
  <c r="F36" i="208"/>
  <c r="E36" i="208"/>
  <c r="D36" i="208"/>
  <c r="C36" i="208"/>
  <c r="L35" i="208"/>
  <c r="J35" i="208"/>
  <c r="I35" i="208"/>
  <c r="H35" i="208"/>
  <c r="G35" i="208"/>
  <c r="F35" i="208"/>
  <c r="E35" i="208"/>
  <c r="D35" i="208"/>
  <c r="C35" i="208"/>
  <c r="L34" i="208"/>
  <c r="J34" i="208"/>
  <c r="I34" i="208"/>
  <c r="H34" i="208"/>
  <c r="G34" i="208"/>
  <c r="F34" i="208"/>
  <c r="E34" i="208"/>
  <c r="D34" i="208"/>
  <c r="C34" i="208"/>
  <c r="L33" i="208"/>
  <c r="K33" i="208"/>
  <c r="J33" i="208"/>
  <c r="I33" i="208"/>
  <c r="H33" i="208"/>
  <c r="G33" i="208"/>
  <c r="F33" i="208"/>
  <c r="E33" i="208"/>
  <c r="D33" i="208"/>
  <c r="C33" i="208"/>
  <c r="L32" i="208"/>
  <c r="J32" i="208"/>
  <c r="I32" i="208"/>
  <c r="H32" i="208"/>
  <c r="G32" i="208"/>
  <c r="F32" i="208"/>
  <c r="E32" i="208"/>
  <c r="D32" i="208"/>
  <c r="C32" i="208"/>
  <c r="L31" i="208"/>
  <c r="J31" i="208"/>
  <c r="I31" i="208"/>
  <c r="H31" i="208"/>
  <c r="G31" i="208"/>
  <c r="F31" i="208"/>
  <c r="E31" i="208"/>
  <c r="D31" i="208"/>
  <c r="C31" i="208"/>
  <c r="L30" i="208"/>
  <c r="J30" i="208"/>
  <c r="I30" i="208"/>
  <c r="H30" i="208"/>
  <c r="G30" i="208"/>
  <c r="F30" i="208"/>
  <c r="E30" i="208"/>
  <c r="D30" i="208"/>
  <c r="C30" i="208"/>
  <c r="L29" i="208"/>
  <c r="J29" i="208"/>
  <c r="I29" i="208"/>
  <c r="H29" i="208"/>
  <c r="G29" i="208"/>
  <c r="F29" i="208"/>
  <c r="E29" i="208"/>
  <c r="D29" i="208"/>
  <c r="C29" i="208"/>
  <c r="L28" i="208"/>
  <c r="J28" i="208"/>
  <c r="I28" i="208"/>
  <c r="H28" i="208"/>
  <c r="G28" i="208"/>
  <c r="F28" i="208"/>
  <c r="E28" i="208"/>
  <c r="D28" i="208"/>
  <c r="C28" i="208"/>
  <c r="L27" i="208"/>
  <c r="J27" i="208"/>
  <c r="I27" i="208"/>
  <c r="H27" i="208"/>
  <c r="G27" i="208"/>
  <c r="F27" i="208"/>
  <c r="E27" i="208"/>
  <c r="D27" i="208"/>
  <c r="C27" i="208"/>
  <c r="L26" i="208"/>
  <c r="J26" i="208"/>
  <c r="I26" i="208"/>
  <c r="H26" i="208"/>
  <c r="G26" i="208"/>
  <c r="F26" i="208"/>
  <c r="E26" i="208"/>
  <c r="D26" i="208"/>
  <c r="C26" i="208"/>
  <c r="L25" i="208"/>
  <c r="J25" i="208"/>
  <c r="I25" i="208"/>
  <c r="H25" i="208"/>
  <c r="G25" i="208"/>
  <c r="F25" i="208"/>
  <c r="E25" i="208"/>
  <c r="D25" i="208"/>
  <c r="C25" i="208"/>
  <c r="L24" i="208"/>
  <c r="J24" i="208"/>
  <c r="I24" i="208"/>
  <c r="H24" i="208"/>
  <c r="G24" i="208"/>
  <c r="F24" i="208"/>
  <c r="E24" i="208"/>
  <c r="D24" i="208"/>
  <c r="C24" i="208"/>
  <c r="L23" i="208"/>
  <c r="J23" i="208"/>
  <c r="I23" i="208"/>
  <c r="H23" i="208"/>
  <c r="G23" i="208"/>
  <c r="F23" i="208"/>
  <c r="E23" i="208"/>
  <c r="D23" i="208"/>
  <c r="C23" i="208"/>
  <c r="L22" i="208"/>
  <c r="J22" i="208"/>
  <c r="I22" i="208"/>
  <c r="H22" i="208"/>
  <c r="G22" i="208"/>
  <c r="F22" i="208"/>
  <c r="E22" i="208"/>
  <c r="D22" i="208"/>
  <c r="C22" i="208"/>
  <c r="L21" i="208"/>
  <c r="J21" i="208"/>
  <c r="I21" i="208"/>
  <c r="H21" i="208"/>
  <c r="G21" i="208"/>
  <c r="F21" i="208"/>
  <c r="E21" i="208"/>
  <c r="D21" i="208"/>
  <c r="C21" i="208"/>
  <c r="L20" i="208"/>
  <c r="J20" i="208"/>
  <c r="I20" i="208"/>
  <c r="H20" i="208"/>
  <c r="G20" i="208"/>
  <c r="F20" i="208"/>
  <c r="E20" i="208"/>
  <c r="D20" i="208"/>
  <c r="C20" i="208"/>
  <c r="L19" i="208"/>
  <c r="J19" i="208"/>
  <c r="I19" i="208"/>
  <c r="H19" i="208"/>
  <c r="G19" i="208"/>
  <c r="F19" i="208"/>
  <c r="E19" i="208"/>
  <c r="D19" i="208"/>
  <c r="C19" i="208"/>
  <c r="I16" i="208"/>
  <c r="H16" i="208"/>
  <c r="G16" i="208"/>
  <c r="F16" i="208"/>
  <c r="E16" i="208"/>
  <c r="I15" i="208"/>
  <c r="H15" i="208"/>
  <c r="G15" i="208"/>
  <c r="F15" i="208"/>
  <c r="E15" i="208"/>
  <c r="I14" i="208"/>
  <c r="H14" i="208"/>
  <c r="G14" i="208"/>
  <c r="F14" i="208"/>
  <c r="E14" i="208"/>
  <c r="I13" i="208"/>
  <c r="H13" i="208"/>
  <c r="G13" i="208"/>
  <c r="F13" i="208"/>
  <c r="E13" i="208"/>
  <c r="A9" i="208"/>
  <c r="A1" i="208"/>
  <c r="L37" i="303"/>
  <c r="K37" i="303"/>
  <c r="J37" i="303"/>
  <c r="I37" i="303"/>
  <c r="H37" i="303"/>
  <c r="G37" i="303"/>
  <c r="F37" i="303"/>
  <c r="E37" i="303"/>
  <c r="D37" i="303"/>
  <c r="C37" i="303"/>
  <c r="L36" i="303"/>
  <c r="K36" i="303"/>
  <c r="J36" i="303"/>
  <c r="I36" i="303"/>
  <c r="H36" i="303"/>
  <c r="G36" i="303"/>
  <c r="F36" i="303"/>
  <c r="E36" i="303"/>
  <c r="D36" i="303"/>
  <c r="C36" i="303"/>
  <c r="L35" i="303"/>
  <c r="K35" i="303"/>
  <c r="J35" i="303"/>
  <c r="I35" i="303"/>
  <c r="H35" i="303"/>
  <c r="G35" i="303"/>
  <c r="F35" i="303"/>
  <c r="E35" i="303"/>
  <c r="D35" i="303"/>
  <c r="C35" i="303"/>
  <c r="L28" i="303"/>
  <c r="K28" i="303"/>
  <c r="J28" i="303"/>
  <c r="I28" i="303"/>
  <c r="H28" i="303"/>
  <c r="G28" i="303"/>
  <c r="F28" i="303"/>
  <c r="E28" i="303"/>
  <c r="D28" i="303"/>
  <c r="C28" i="303"/>
  <c r="L13" i="303"/>
  <c r="K13" i="303"/>
  <c r="J13" i="303"/>
  <c r="I13" i="303"/>
  <c r="H13" i="303"/>
  <c r="G13" i="303"/>
  <c r="F13" i="303"/>
  <c r="E13" i="303"/>
  <c r="D13" i="303"/>
  <c r="C13" i="303"/>
  <c r="A1" i="303"/>
  <c r="L37" i="207"/>
  <c r="K37" i="207"/>
  <c r="J37" i="207"/>
  <c r="I37" i="207"/>
  <c r="H37" i="207"/>
  <c r="G37" i="207"/>
  <c r="F37" i="207"/>
  <c r="E37" i="207"/>
  <c r="D37" i="207"/>
  <c r="C37" i="207"/>
  <c r="L36" i="207"/>
  <c r="K36" i="207"/>
  <c r="J36" i="207"/>
  <c r="I36" i="207"/>
  <c r="H36" i="207"/>
  <c r="G36" i="207"/>
  <c r="F36" i="207"/>
  <c r="E36" i="207"/>
  <c r="D36" i="207"/>
  <c r="C36" i="207"/>
  <c r="L35" i="207"/>
  <c r="K35" i="207"/>
  <c r="J35" i="207"/>
  <c r="I35" i="207"/>
  <c r="H35" i="207"/>
  <c r="G35" i="207"/>
  <c r="F35" i="207"/>
  <c r="E35" i="207"/>
  <c r="D35" i="207"/>
  <c r="C35" i="207"/>
  <c r="L33" i="207"/>
  <c r="K33" i="207"/>
  <c r="J33" i="207"/>
  <c r="I33" i="207"/>
  <c r="H33" i="207"/>
  <c r="G33" i="207"/>
  <c r="F33" i="207"/>
  <c r="E33" i="207"/>
  <c r="D33" i="207"/>
  <c r="C33" i="207"/>
  <c r="B33" i="207"/>
  <c r="L32" i="207"/>
  <c r="K32" i="207"/>
  <c r="J32" i="207"/>
  <c r="I32" i="207"/>
  <c r="H32" i="207"/>
  <c r="G32" i="207"/>
  <c r="F32" i="207"/>
  <c r="E32" i="207"/>
  <c r="D32" i="207"/>
  <c r="C32" i="207"/>
  <c r="B32" i="207"/>
  <c r="L31" i="207"/>
  <c r="K31" i="207"/>
  <c r="J31" i="207"/>
  <c r="I31" i="207"/>
  <c r="H31" i="207"/>
  <c r="G31" i="207"/>
  <c r="F31" i="207"/>
  <c r="E31" i="207"/>
  <c r="D31" i="207"/>
  <c r="C31" i="207"/>
  <c r="B31" i="207"/>
  <c r="L30" i="207"/>
  <c r="K30" i="207"/>
  <c r="J30" i="207"/>
  <c r="I30" i="207"/>
  <c r="H30" i="207"/>
  <c r="G30" i="207"/>
  <c r="F30" i="207"/>
  <c r="E30" i="207"/>
  <c r="D30" i="207"/>
  <c r="C30" i="207"/>
  <c r="B30" i="207"/>
  <c r="L29" i="207"/>
  <c r="K29" i="207"/>
  <c r="J29" i="207"/>
  <c r="I29" i="207"/>
  <c r="H29" i="207"/>
  <c r="G29" i="207"/>
  <c r="F29" i="207"/>
  <c r="E29" i="207"/>
  <c r="D29" i="207"/>
  <c r="C29" i="207"/>
  <c r="B29" i="207"/>
  <c r="L28" i="207"/>
  <c r="K28" i="207"/>
  <c r="J28" i="207"/>
  <c r="I28" i="207"/>
  <c r="H28" i="207"/>
  <c r="G28" i="207"/>
  <c r="F28" i="207"/>
  <c r="E28" i="207"/>
  <c r="D28" i="207"/>
  <c r="C28" i="207"/>
  <c r="B28" i="207"/>
  <c r="L27" i="207"/>
  <c r="K27" i="207"/>
  <c r="J27" i="207"/>
  <c r="I27" i="207"/>
  <c r="H27" i="207"/>
  <c r="G27" i="207"/>
  <c r="F27" i="207"/>
  <c r="E27" i="207"/>
  <c r="D27" i="207"/>
  <c r="C27" i="207"/>
  <c r="B27" i="207"/>
  <c r="L26" i="207"/>
  <c r="K26" i="207"/>
  <c r="J26" i="207"/>
  <c r="I26" i="207"/>
  <c r="H26" i="207"/>
  <c r="G26" i="207"/>
  <c r="F26" i="207"/>
  <c r="E26" i="207"/>
  <c r="D26" i="207"/>
  <c r="C26" i="207"/>
  <c r="B26" i="207"/>
  <c r="L25" i="207"/>
  <c r="K25" i="207"/>
  <c r="J25" i="207"/>
  <c r="I25" i="207"/>
  <c r="H25" i="207"/>
  <c r="G25" i="207"/>
  <c r="F25" i="207"/>
  <c r="E25" i="207"/>
  <c r="D25" i="207"/>
  <c r="C25" i="207"/>
  <c r="B25" i="207"/>
  <c r="L24" i="207"/>
  <c r="K24" i="207"/>
  <c r="J24" i="207"/>
  <c r="I24" i="207"/>
  <c r="H24" i="207"/>
  <c r="G24" i="207"/>
  <c r="F24" i="207"/>
  <c r="E24" i="207"/>
  <c r="D24" i="207"/>
  <c r="C24" i="207"/>
  <c r="B24" i="207"/>
  <c r="L23" i="207"/>
  <c r="K23" i="207"/>
  <c r="J23" i="207"/>
  <c r="I23" i="207"/>
  <c r="H23" i="207"/>
  <c r="G23" i="207"/>
  <c r="F23" i="207"/>
  <c r="E23" i="207"/>
  <c r="D23" i="207"/>
  <c r="C23" i="207"/>
  <c r="B23" i="207"/>
  <c r="L22" i="207"/>
  <c r="K22" i="207"/>
  <c r="J22" i="207"/>
  <c r="I22" i="207"/>
  <c r="H22" i="207"/>
  <c r="G22" i="207"/>
  <c r="F22" i="207"/>
  <c r="E22" i="207"/>
  <c r="D22" i="207"/>
  <c r="C22" i="207"/>
  <c r="B22" i="207"/>
  <c r="L21" i="207"/>
  <c r="K21" i="207"/>
  <c r="J21" i="207"/>
  <c r="I21" i="207"/>
  <c r="H21" i="207"/>
  <c r="G21" i="207"/>
  <c r="F21" i="207"/>
  <c r="E21" i="207"/>
  <c r="D21" i="207"/>
  <c r="C21" i="207"/>
  <c r="B21" i="207"/>
  <c r="L20" i="207"/>
  <c r="K20" i="207"/>
  <c r="J20" i="207"/>
  <c r="I20" i="207"/>
  <c r="H20" i="207"/>
  <c r="G20" i="207"/>
  <c r="F20" i="207"/>
  <c r="E20" i="207"/>
  <c r="D20" i="207"/>
  <c r="C20" i="207"/>
  <c r="B20" i="207"/>
  <c r="L19" i="207"/>
  <c r="K19" i="207"/>
  <c r="J19" i="207"/>
  <c r="I19" i="207"/>
  <c r="H19" i="207"/>
  <c r="G19" i="207"/>
  <c r="F19" i="207"/>
  <c r="E19" i="207"/>
  <c r="D19" i="207"/>
  <c r="C19" i="207"/>
  <c r="B19" i="207"/>
  <c r="L18" i="207"/>
  <c r="K18" i="207"/>
  <c r="J18" i="207"/>
  <c r="I18" i="207"/>
  <c r="H18" i="207"/>
  <c r="G18" i="207"/>
  <c r="F18" i="207"/>
  <c r="E18" i="207"/>
  <c r="D18" i="207"/>
  <c r="C18" i="207"/>
  <c r="B18" i="207"/>
  <c r="L17" i="207"/>
  <c r="K17" i="207"/>
  <c r="J17" i="207"/>
  <c r="I17" i="207"/>
  <c r="H17" i="207"/>
  <c r="G17" i="207"/>
  <c r="F17" i="207"/>
  <c r="E17" i="207"/>
  <c r="D17" i="207"/>
  <c r="C17" i="207"/>
  <c r="B17" i="207"/>
  <c r="L16" i="207"/>
  <c r="K16" i="207"/>
  <c r="J16" i="207"/>
  <c r="I16" i="207"/>
  <c r="H16" i="207"/>
  <c r="G16" i="207"/>
  <c r="F16" i="207"/>
  <c r="E16" i="207"/>
  <c r="D16" i="207"/>
  <c r="C16" i="207"/>
  <c r="B16" i="207"/>
  <c r="L15" i="207"/>
  <c r="K15" i="207"/>
  <c r="J15" i="207"/>
  <c r="I15" i="207"/>
  <c r="H15" i="207"/>
  <c r="G15" i="207"/>
  <c r="F15" i="207"/>
  <c r="E15" i="207"/>
  <c r="D15" i="207"/>
  <c r="C15" i="207"/>
  <c r="B15" i="207"/>
  <c r="L14" i="207"/>
  <c r="K14" i="207"/>
  <c r="J14" i="207"/>
  <c r="I14" i="207"/>
  <c r="H14" i="207"/>
  <c r="G14" i="207"/>
  <c r="F14" i="207"/>
  <c r="E14" i="207"/>
  <c r="D14" i="207"/>
  <c r="C14" i="207"/>
  <c r="B14" i="207"/>
  <c r="L13" i="207"/>
  <c r="K13" i="207"/>
  <c r="J13" i="207"/>
  <c r="I13" i="207"/>
  <c r="H13" i="207"/>
  <c r="G13" i="207"/>
  <c r="F13" i="207"/>
  <c r="E13" i="207"/>
  <c r="D13" i="207"/>
  <c r="C13" i="207"/>
  <c r="A1" i="207"/>
  <c r="L37" i="206"/>
  <c r="K37" i="206"/>
  <c r="J37" i="206"/>
  <c r="I37" i="206"/>
  <c r="H37" i="206"/>
  <c r="G37" i="206"/>
  <c r="F37" i="206"/>
  <c r="E37" i="206"/>
  <c r="D37" i="206"/>
  <c r="C37" i="206"/>
  <c r="L36" i="206"/>
  <c r="K36" i="206"/>
  <c r="J36" i="206"/>
  <c r="I36" i="206"/>
  <c r="H36" i="206"/>
  <c r="G36" i="206"/>
  <c r="F36" i="206"/>
  <c r="E36" i="206"/>
  <c r="D36" i="206"/>
  <c r="C36" i="206"/>
  <c r="L35" i="206"/>
  <c r="K35" i="206"/>
  <c r="J35" i="206"/>
  <c r="I35" i="206"/>
  <c r="H35" i="206"/>
  <c r="G35" i="206"/>
  <c r="F35" i="206"/>
  <c r="E35" i="206"/>
  <c r="D35" i="206"/>
  <c r="C35" i="206"/>
  <c r="L33" i="206"/>
  <c r="K33" i="206"/>
  <c r="J33" i="206"/>
  <c r="I33" i="206"/>
  <c r="H33" i="206"/>
  <c r="G33" i="206"/>
  <c r="F33" i="206"/>
  <c r="E33" i="206"/>
  <c r="D33" i="206"/>
  <c r="C33" i="206"/>
  <c r="B33" i="206"/>
  <c r="L32" i="206"/>
  <c r="K32" i="206"/>
  <c r="J32" i="206"/>
  <c r="I32" i="206"/>
  <c r="H32" i="206"/>
  <c r="G32" i="206"/>
  <c r="F32" i="206"/>
  <c r="E32" i="206"/>
  <c r="D32" i="206"/>
  <c r="C32" i="206"/>
  <c r="B32" i="206"/>
  <c r="L31" i="206"/>
  <c r="K31" i="206"/>
  <c r="J31" i="206"/>
  <c r="I31" i="206"/>
  <c r="H31" i="206"/>
  <c r="G31" i="206"/>
  <c r="F31" i="206"/>
  <c r="E31" i="206"/>
  <c r="D31" i="206"/>
  <c r="C31" i="206"/>
  <c r="B31" i="206"/>
  <c r="L30" i="206"/>
  <c r="K30" i="206"/>
  <c r="J30" i="206"/>
  <c r="I30" i="206"/>
  <c r="H30" i="206"/>
  <c r="G30" i="206"/>
  <c r="F30" i="206"/>
  <c r="E30" i="206"/>
  <c r="D30" i="206"/>
  <c r="C30" i="206"/>
  <c r="B30" i="206"/>
  <c r="L29" i="206"/>
  <c r="K29" i="206"/>
  <c r="J29" i="206"/>
  <c r="I29" i="206"/>
  <c r="H29" i="206"/>
  <c r="G29" i="206"/>
  <c r="F29" i="206"/>
  <c r="E29" i="206"/>
  <c r="D29" i="206"/>
  <c r="C29" i="206"/>
  <c r="B29" i="206"/>
  <c r="L28" i="206"/>
  <c r="K28" i="206"/>
  <c r="J28" i="206"/>
  <c r="I28" i="206"/>
  <c r="H28" i="206"/>
  <c r="G28" i="206"/>
  <c r="F28" i="206"/>
  <c r="E28" i="206"/>
  <c r="D28" i="206"/>
  <c r="C28" i="206"/>
  <c r="B28" i="206"/>
  <c r="L27" i="206"/>
  <c r="K27" i="206"/>
  <c r="J27" i="206"/>
  <c r="I27" i="206"/>
  <c r="H27" i="206"/>
  <c r="G27" i="206"/>
  <c r="F27" i="206"/>
  <c r="E27" i="206"/>
  <c r="D27" i="206"/>
  <c r="C27" i="206"/>
  <c r="B27" i="206"/>
  <c r="L26" i="206"/>
  <c r="K26" i="206"/>
  <c r="J26" i="206"/>
  <c r="I26" i="206"/>
  <c r="H26" i="206"/>
  <c r="G26" i="206"/>
  <c r="F26" i="206"/>
  <c r="E26" i="206"/>
  <c r="D26" i="206"/>
  <c r="C26" i="206"/>
  <c r="B26" i="206"/>
  <c r="L25" i="206"/>
  <c r="K25" i="206"/>
  <c r="J25" i="206"/>
  <c r="I25" i="206"/>
  <c r="H25" i="206"/>
  <c r="G25" i="206"/>
  <c r="F25" i="206"/>
  <c r="E25" i="206"/>
  <c r="D25" i="206"/>
  <c r="C25" i="206"/>
  <c r="B25" i="206"/>
  <c r="L24" i="206"/>
  <c r="K24" i="206"/>
  <c r="J24" i="206"/>
  <c r="I24" i="206"/>
  <c r="H24" i="206"/>
  <c r="G24" i="206"/>
  <c r="F24" i="206"/>
  <c r="E24" i="206"/>
  <c r="D24" i="206"/>
  <c r="C24" i="206"/>
  <c r="B24" i="206"/>
  <c r="L23" i="206"/>
  <c r="K23" i="206"/>
  <c r="J23" i="206"/>
  <c r="I23" i="206"/>
  <c r="H23" i="206"/>
  <c r="G23" i="206"/>
  <c r="F23" i="206"/>
  <c r="E23" i="206"/>
  <c r="D23" i="206"/>
  <c r="C23" i="206"/>
  <c r="B23" i="206"/>
  <c r="L22" i="206"/>
  <c r="K22" i="206"/>
  <c r="J22" i="206"/>
  <c r="I22" i="206"/>
  <c r="H22" i="206"/>
  <c r="G22" i="206"/>
  <c r="F22" i="206"/>
  <c r="E22" i="206"/>
  <c r="D22" i="206"/>
  <c r="C22" i="206"/>
  <c r="B22" i="206"/>
  <c r="L21" i="206"/>
  <c r="K21" i="206"/>
  <c r="J21" i="206"/>
  <c r="I21" i="206"/>
  <c r="H21" i="206"/>
  <c r="G21" i="206"/>
  <c r="F21" i="206"/>
  <c r="E21" i="206"/>
  <c r="D21" i="206"/>
  <c r="C21" i="206"/>
  <c r="B21" i="206"/>
  <c r="L20" i="206"/>
  <c r="K20" i="206"/>
  <c r="J20" i="206"/>
  <c r="I20" i="206"/>
  <c r="H20" i="206"/>
  <c r="G20" i="206"/>
  <c r="F20" i="206"/>
  <c r="E20" i="206"/>
  <c r="D20" i="206"/>
  <c r="C20" i="206"/>
  <c r="B20" i="206"/>
  <c r="L19" i="206"/>
  <c r="K19" i="206"/>
  <c r="J19" i="206"/>
  <c r="I19" i="206"/>
  <c r="H19" i="206"/>
  <c r="G19" i="206"/>
  <c r="F19" i="206"/>
  <c r="E19" i="206"/>
  <c r="D19" i="206"/>
  <c r="C19" i="206"/>
  <c r="B19" i="206"/>
  <c r="L18" i="206"/>
  <c r="K18" i="206"/>
  <c r="J18" i="206"/>
  <c r="I18" i="206"/>
  <c r="H18" i="206"/>
  <c r="G18" i="206"/>
  <c r="F18" i="206"/>
  <c r="E18" i="206"/>
  <c r="D18" i="206"/>
  <c r="C18" i="206"/>
  <c r="B18" i="206"/>
  <c r="L17" i="206"/>
  <c r="K17" i="206"/>
  <c r="J17" i="206"/>
  <c r="I17" i="206"/>
  <c r="H17" i="206"/>
  <c r="G17" i="206"/>
  <c r="F17" i="206"/>
  <c r="E17" i="206"/>
  <c r="D17" i="206"/>
  <c r="C17" i="206"/>
  <c r="B17" i="206"/>
  <c r="L16" i="206"/>
  <c r="K16" i="206"/>
  <c r="J16" i="206"/>
  <c r="I16" i="206"/>
  <c r="H16" i="206"/>
  <c r="G16" i="206"/>
  <c r="F16" i="206"/>
  <c r="E16" i="206"/>
  <c r="D16" i="206"/>
  <c r="C16" i="206"/>
  <c r="B16" i="206"/>
  <c r="L15" i="206"/>
  <c r="K15" i="206"/>
  <c r="J15" i="206"/>
  <c r="I15" i="206"/>
  <c r="H15" i="206"/>
  <c r="G15" i="206"/>
  <c r="F15" i="206"/>
  <c r="E15" i="206"/>
  <c r="D15" i="206"/>
  <c r="C15" i="206"/>
  <c r="B15" i="206"/>
  <c r="L14" i="206"/>
  <c r="K14" i="206"/>
  <c r="J14" i="206"/>
  <c r="I14" i="206"/>
  <c r="H14" i="206"/>
  <c r="G14" i="206"/>
  <c r="F14" i="206"/>
  <c r="E14" i="206"/>
  <c r="D14" i="206"/>
  <c r="C14" i="206"/>
  <c r="B14" i="206"/>
  <c r="L13" i="206"/>
  <c r="K13" i="206"/>
  <c r="J13" i="206"/>
  <c r="I13" i="206"/>
  <c r="H13" i="206"/>
  <c r="G13" i="206"/>
  <c r="F13" i="206"/>
  <c r="E13" i="206"/>
  <c r="D13" i="206"/>
  <c r="C13" i="206"/>
  <c r="A1" i="206"/>
  <c r="L37" i="205"/>
  <c r="K37" i="205"/>
  <c r="J37" i="205"/>
  <c r="I37" i="205"/>
  <c r="H37" i="205"/>
  <c r="G37" i="205"/>
  <c r="F37" i="205"/>
  <c r="E37" i="205"/>
  <c r="D37" i="205"/>
  <c r="C37" i="205"/>
  <c r="L36" i="205"/>
  <c r="K36" i="205"/>
  <c r="J36" i="205"/>
  <c r="I36" i="205"/>
  <c r="H36" i="205"/>
  <c r="G36" i="205"/>
  <c r="F36" i="205"/>
  <c r="E36" i="205"/>
  <c r="D36" i="205"/>
  <c r="C36" i="205"/>
  <c r="L35" i="205"/>
  <c r="K35" i="205"/>
  <c r="J35" i="205"/>
  <c r="I35" i="205"/>
  <c r="H35" i="205"/>
  <c r="G35" i="205"/>
  <c r="F35" i="205"/>
  <c r="E35" i="205"/>
  <c r="D35" i="205"/>
  <c r="C35" i="205"/>
  <c r="L33" i="205"/>
  <c r="K33" i="205"/>
  <c r="J33" i="205"/>
  <c r="I33" i="205"/>
  <c r="H33" i="205"/>
  <c r="G33" i="205"/>
  <c r="F33" i="205"/>
  <c r="E33" i="205"/>
  <c r="D33" i="205"/>
  <c r="C33" i="205"/>
  <c r="B33" i="205"/>
  <c r="L32" i="205"/>
  <c r="K32" i="205"/>
  <c r="J32" i="205"/>
  <c r="I32" i="205"/>
  <c r="H32" i="205"/>
  <c r="G32" i="205"/>
  <c r="F32" i="205"/>
  <c r="E32" i="205"/>
  <c r="D32" i="205"/>
  <c r="C32" i="205"/>
  <c r="B32" i="205"/>
  <c r="L31" i="205"/>
  <c r="K31" i="205"/>
  <c r="J31" i="205"/>
  <c r="I31" i="205"/>
  <c r="H31" i="205"/>
  <c r="G31" i="205"/>
  <c r="F31" i="205"/>
  <c r="E31" i="205"/>
  <c r="D31" i="205"/>
  <c r="C31" i="205"/>
  <c r="B31" i="205"/>
  <c r="L30" i="205"/>
  <c r="K30" i="205"/>
  <c r="J30" i="205"/>
  <c r="I30" i="205"/>
  <c r="H30" i="205"/>
  <c r="G30" i="205"/>
  <c r="F30" i="205"/>
  <c r="E30" i="205"/>
  <c r="D30" i="205"/>
  <c r="C30" i="205"/>
  <c r="B30" i="205"/>
  <c r="L29" i="205"/>
  <c r="K29" i="205"/>
  <c r="J29" i="205"/>
  <c r="I29" i="205"/>
  <c r="H29" i="205"/>
  <c r="G29" i="205"/>
  <c r="F29" i="205"/>
  <c r="E29" i="205"/>
  <c r="D29" i="205"/>
  <c r="C29" i="205"/>
  <c r="B29" i="205"/>
  <c r="L28" i="205"/>
  <c r="K28" i="205"/>
  <c r="J28" i="205"/>
  <c r="I28" i="205"/>
  <c r="H28" i="205"/>
  <c r="G28" i="205"/>
  <c r="F28" i="205"/>
  <c r="E28" i="205"/>
  <c r="D28" i="205"/>
  <c r="C28" i="205"/>
  <c r="B28" i="205"/>
  <c r="L27" i="205"/>
  <c r="K27" i="205"/>
  <c r="J27" i="205"/>
  <c r="I27" i="205"/>
  <c r="H27" i="205"/>
  <c r="G27" i="205"/>
  <c r="F27" i="205"/>
  <c r="E27" i="205"/>
  <c r="D27" i="205"/>
  <c r="C27" i="205"/>
  <c r="B27" i="205"/>
  <c r="L26" i="205"/>
  <c r="K26" i="205"/>
  <c r="J26" i="205"/>
  <c r="I26" i="205"/>
  <c r="H26" i="205"/>
  <c r="G26" i="205"/>
  <c r="F26" i="205"/>
  <c r="E26" i="205"/>
  <c r="D26" i="205"/>
  <c r="C26" i="205"/>
  <c r="B26" i="205"/>
  <c r="L25" i="205"/>
  <c r="K25" i="205"/>
  <c r="J25" i="205"/>
  <c r="I25" i="205"/>
  <c r="H25" i="205"/>
  <c r="G25" i="205"/>
  <c r="F25" i="205"/>
  <c r="E25" i="205"/>
  <c r="D25" i="205"/>
  <c r="C25" i="205"/>
  <c r="B25" i="205"/>
  <c r="L24" i="205"/>
  <c r="K24" i="205"/>
  <c r="J24" i="205"/>
  <c r="I24" i="205"/>
  <c r="H24" i="205"/>
  <c r="G24" i="205"/>
  <c r="F24" i="205"/>
  <c r="E24" i="205"/>
  <c r="D24" i="205"/>
  <c r="C24" i="205"/>
  <c r="B24" i="205"/>
  <c r="L23" i="205"/>
  <c r="K23" i="205"/>
  <c r="J23" i="205"/>
  <c r="I23" i="205"/>
  <c r="H23" i="205"/>
  <c r="G23" i="205"/>
  <c r="F23" i="205"/>
  <c r="E23" i="205"/>
  <c r="D23" i="205"/>
  <c r="C23" i="205"/>
  <c r="B23" i="205"/>
  <c r="L22" i="205"/>
  <c r="K22" i="205"/>
  <c r="J22" i="205"/>
  <c r="I22" i="205"/>
  <c r="H22" i="205"/>
  <c r="G22" i="205"/>
  <c r="F22" i="205"/>
  <c r="E22" i="205"/>
  <c r="D22" i="205"/>
  <c r="C22" i="205"/>
  <c r="B22" i="205"/>
  <c r="L21" i="205"/>
  <c r="K21" i="205"/>
  <c r="J21" i="205"/>
  <c r="I21" i="205"/>
  <c r="H21" i="205"/>
  <c r="G21" i="205"/>
  <c r="F21" i="205"/>
  <c r="E21" i="205"/>
  <c r="D21" i="205"/>
  <c r="C21" i="205"/>
  <c r="B21" i="205"/>
  <c r="L20" i="205"/>
  <c r="K20" i="205"/>
  <c r="J20" i="205"/>
  <c r="I20" i="205"/>
  <c r="H20" i="205"/>
  <c r="G20" i="205"/>
  <c r="F20" i="205"/>
  <c r="E20" i="205"/>
  <c r="D20" i="205"/>
  <c r="C20" i="205"/>
  <c r="B20" i="205"/>
  <c r="L19" i="205"/>
  <c r="K19" i="205"/>
  <c r="J19" i="205"/>
  <c r="I19" i="205"/>
  <c r="H19" i="205"/>
  <c r="G19" i="205"/>
  <c r="F19" i="205"/>
  <c r="E19" i="205"/>
  <c r="D19" i="205"/>
  <c r="C19" i="205"/>
  <c r="B19" i="205"/>
  <c r="L18" i="205"/>
  <c r="K18" i="205"/>
  <c r="J18" i="205"/>
  <c r="I18" i="205"/>
  <c r="H18" i="205"/>
  <c r="G18" i="205"/>
  <c r="F18" i="205"/>
  <c r="E18" i="205"/>
  <c r="D18" i="205"/>
  <c r="C18" i="205"/>
  <c r="B18" i="205"/>
  <c r="L17" i="205"/>
  <c r="K17" i="205"/>
  <c r="J17" i="205"/>
  <c r="I17" i="205"/>
  <c r="H17" i="205"/>
  <c r="G17" i="205"/>
  <c r="F17" i="205"/>
  <c r="E17" i="205"/>
  <c r="D17" i="205"/>
  <c r="C17" i="205"/>
  <c r="B17" i="205"/>
  <c r="L16" i="205"/>
  <c r="K16" i="205"/>
  <c r="J16" i="205"/>
  <c r="I16" i="205"/>
  <c r="H16" i="205"/>
  <c r="G16" i="205"/>
  <c r="F16" i="205"/>
  <c r="E16" i="205"/>
  <c r="D16" i="205"/>
  <c r="C16" i="205"/>
  <c r="B16" i="205"/>
  <c r="L15" i="205"/>
  <c r="K15" i="205"/>
  <c r="J15" i="205"/>
  <c r="I15" i="205"/>
  <c r="H15" i="205"/>
  <c r="G15" i="205"/>
  <c r="F15" i="205"/>
  <c r="E15" i="205"/>
  <c r="D15" i="205"/>
  <c r="C15" i="205"/>
  <c r="B15" i="205"/>
  <c r="L14" i="205"/>
  <c r="K14" i="205"/>
  <c r="J14" i="205"/>
  <c r="I14" i="205"/>
  <c r="H14" i="205"/>
  <c r="G14" i="205"/>
  <c r="F14" i="205"/>
  <c r="E14" i="205"/>
  <c r="D14" i="205"/>
  <c r="C14" i="205"/>
  <c r="B14" i="205"/>
  <c r="L13" i="205"/>
  <c r="K13" i="205"/>
  <c r="J13" i="205"/>
  <c r="I13" i="205"/>
  <c r="H13" i="205"/>
  <c r="G13" i="205"/>
  <c r="F13" i="205"/>
  <c r="E13" i="205"/>
  <c r="D13" i="205"/>
  <c r="C13" i="205"/>
  <c r="A1" i="205"/>
  <c r="L119" i="204"/>
  <c r="K119" i="204"/>
  <c r="J119" i="204"/>
  <c r="I119" i="204"/>
  <c r="H119" i="204"/>
  <c r="G119" i="204"/>
  <c r="F119" i="204"/>
  <c r="E119" i="204"/>
  <c r="D119" i="204"/>
  <c r="C119" i="204"/>
  <c r="A119" i="204"/>
  <c r="L118" i="204"/>
  <c r="K118" i="204"/>
  <c r="J118" i="204"/>
  <c r="I118" i="204"/>
  <c r="H118" i="204"/>
  <c r="G118" i="204"/>
  <c r="F118" i="204"/>
  <c r="E118" i="204"/>
  <c r="D118" i="204"/>
  <c r="C118" i="204"/>
  <c r="L117" i="204"/>
  <c r="K117" i="204"/>
  <c r="J117" i="204"/>
  <c r="I117" i="204"/>
  <c r="H117" i="204"/>
  <c r="G117" i="204"/>
  <c r="F117" i="204"/>
  <c r="E117" i="204"/>
  <c r="D117" i="204"/>
  <c r="C117" i="204"/>
  <c r="L116" i="204"/>
  <c r="K116" i="204"/>
  <c r="J116" i="204"/>
  <c r="I116" i="204"/>
  <c r="H116" i="204"/>
  <c r="G116" i="204"/>
  <c r="F116" i="204"/>
  <c r="E116" i="204"/>
  <c r="D116" i="204"/>
  <c r="C116" i="204"/>
  <c r="L115" i="204"/>
  <c r="K115" i="204"/>
  <c r="J115" i="204"/>
  <c r="I115" i="204"/>
  <c r="H115" i="204"/>
  <c r="G115" i="204"/>
  <c r="F115" i="204"/>
  <c r="E115" i="204"/>
  <c r="D115" i="204"/>
  <c r="C115" i="204"/>
  <c r="L114" i="204"/>
  <c r="K114" i="204"/>
  <c r="J114" i="204"/>
  <c r="I114" i="204"/>
  <c r="H114" i="204"/>
  <c r="G114" i="204"/>
  <c r="F114" i="204"/>
  <c r="E114" i="204"/>
  <c r="D114" i="204"/>
  <c r="C114" i="204"/>
  <c r="L113" i="204"/>
  <c r="K113" i="204"/>
  <c r="J113" i="204"/>
  <c r="I113" i="204"/>
  <c r="H113" i="204"/>
  <c r="G113" i="204"/>
  <c r="F113" i="204"/>
  <c r="E113" i="204"/>
  <c r="D113" i="204"/>
  <c r="C113" i="204"/>
  <c r="L112" i="204"/>
  <c r="K112" i="204"/>
  <c r="J112" i="204"/>
  <c r="I112" i="204"/>
  <c r="H112" i="204"/>
  <c r="G112" i="204"/>
  <c r="F112" i="204"/>
  <c r="E112" i="204"/>
  <c r="D112" i="204"/>
  <c r="C112" i="204"/>
  <c r="L107" i="204"/>
  <c r="K107" i="204"/>
  <c r="J107" i="204"/>
  <c r="I107" i="204"/>
  <c r="H107" i="204"/>
  <c r="G107" i="204"/>
  <c r="F107" i="204"/>
  <c r="E107" i="204"/>
  <c r="D107" i="204"/>
  <c r="C107" i="204"/>
  <c r="L106" i="204"/>
  <c r="K106" i="204"/>
  <c r="J106" i="204"/>
  <c r="I106" i="204"/>
  <c r="H106" i="204"/>
  <c r="G106" i="204"/>
  <c r="F106" i="204"/>
  <c r="E106" i="204"/>
  <c r="D106" i="204"/>
  <c r="C106" i="204"/>
  <c r="L105" i="204"/>
  <c r="K105" i="204"/>
  <c r="J105" i="204"/>
  <c r="I105" i="204"/>
  <c r="H105" i="204"/>
  <c r="G105" i="204"/>
  <c r="F105" i="204"/>
  <c r="E105" i="204"/>
  <c r="D105" i="204"/>
  <c r="C105" i="204"/>
  <c r="L104" i="204"/>
  <c r="K104" i="204"/>
  <c r="J104" i="204"/>
  <c r="I104" i="204"/>
  <c r="H104" i="204"/>
  <c r="G104" i="204"/>
  <c r="F104" i="204"/>
  <c r="E104" i="204"/>
  <c r="D104" i="204"/>
  <c r="C104" i="204"/>
  <c r="L103" i="204"/>
  <c r="K103" i="204"/>
  <c r="J103" i="204"/>
  <c r="I103" i="204"/>
  <c r="H103" i="204"/>
  <c r="G103" i="204"/>
  <c r="F103" i="204"/>
  <c r="E103" i="204"/>
  <c r="D103" i="204"/>
  <c r="C103" i="204"/>
  <c r="L99" i="204"/>
  <c r="K99" i="204"/>
  <c r="J99" i="204"/>
  <c r="I99" i="204"/>
  <c r="H99" i="204"/>
  <c r="G99" i="204"/>
  <c r="F99" i="204"/>
  <c r="E99" i="204"/>
  <c r="D99" i="204"/>
  <c r="C99" i="204"/>
  <c r="L95" i="204"/>
  <c r="K95" i="204"/>
  <c r="J95" i="204"/>
  <c r="I95" i="204"/>
  <c r="H95" i="204"/>
  <c r="G95" i="204"/>
  <c r="F95" i="204"/>
  <c r="E95" i="204"/>
  <c r="D95" i="204"/>
  <c r="C95" i="204"/>
  <c r="L93" i="204"/>
  <c r="K93" i="204"/>
  <c r="J93" i="204"/>
  <c r="I93" i="204"/>
  <c r="H93" i="204"/>
  <c r="G93" i="204"/>
  <c r="F93" i="204"/>
  <c r="E93" i="204"/>
  <c r="D93" i="204"/>
  <c r="C93" i="204"/>
  <c r="L92" i="204"/>
  <c r="K92" i="204"/>
  <c r="J92" i="204"/>
  <c r="I92" i="204"/>
  <c r="H92" i="204"/>
  <c r="G92" i="204"/>
  <c r="F92" i="204"/>
  <c r="E92" i="204"/>
  <c r="D92" i="204"/>
  <c r="C92" i="204"/>
  <c r="L91" i="204"/>
  <c r="K91" i="204"/>
  <c r="J91" i="204"/>
  <c r="I91" i="204"/>
  <c r="H91" i="204"/>
  <c r="G91" i="204"/>
  <c r="F91" i="204"/>
  <c r="E91" i="204"/>
  <c r="D91" i="204"/>
  <c r="C91" i="204"/>
  <c r="L90" i="204"/>
  <c r="K90" i="204"/>
  <c r="J90" i="204"/>
  <c r="I90" i="204"/>
  <c r="H90" i="204"/>
  <c r="G90" i="204"/>
  <c r="F90" i="204"/>
  <c r="E90" i="204"/>
  <c r="D90" i="204"/>
  <c r="C90" i="204"/>
  <c r="L89" i="204"/>
  <c r="K89" i="204"/>
  <c r="J89" i="204"/>
  <c r="I89" i="204"/>
  <c r="H89" i="204"/>
  <c r="G89" i="204"/>
  <c r="F89" i="204"/>
  <c r="E89" i="204"/>
  <c r="D89" i="204"/>
  <c r="C89" i="204"/>
  <c r="L88" i="204"/>
  <c r="K88" i="204"/>
  <c r="J88" i="204"/>
  <c r="I88" i="204"/>
  <c r="H88" i="204"/>
  <c r="G88" i="204"/>
  <c r="F88" i="204"/>
  <c r="E88" i="204"/>
  <c r="D88" i="204"/>
  <c r="C88" i="204"/>
  <c r="L87" i="204"/>
  <c r="K87" i="204"/>
  <c r="J87" i="204"/>
  <c r="I87" i="204"/>
  <c r="H87" i="204"/>
  <c r="G87" i="204"/>
  <c r="F87" i="204"/>
  <c r="E87" i="204"/>
  <c r="D87" i="204"/>
  <c r="C87" i="204"/>
  <c r="L86" i="204"/>
  <c r="K86" i="204"/>
  <c r="J86" i="204"/>
  <c r="I86" i="204"/>
  <c r="H86" i="204"/>
  <c r="G86" i="204"/>
  <c r="F86" i="204"/>
  <c r="E86" i="204"/>
  <c r="D86" i="204"/>
  <c r="C86" i="204"/>
  <c r="L82" i="204"/>
  <c r="K82" i="204"/>
  <c r="J82" i="204"/>
  <c r="I82" i="204"/>
  <c r="H82" i="204"/>
  <c r="G82" i="204"/>
  <c r="F82" i="204"/>
  <c r="E82" i="204"/>
  <c r="D82" i="204"/>
  <c r="C82" i="204"/>
  <c r="L81" i="204"/>
  <c r="K81" i="204"/>
  <c r="J81" i="204"/>
  <c r="I81" i="204"/>
  <c r="H81" i="204"/>
  <c r="G81" i="204"/>
  <c r="F81" i="204"/>
  <c r="E81" i="204"/>
  <c r="D81" i="204"/>
  <c r="C81" i="204"/>
  <c r="L80" i="204"/>
  <c r="K80" i="204"/>
  <c r="J80" i="204"/>
  <c r="I80" i="204"/>
  <c r="H80" i="204"/>
  <c r="G80" i="204"/>
  <c r="F80" i="204"/>
  <c r="E80" i="204"/>
  <c r="D80" i="204"/>
  <c r="C80" i="204"/>
  <c r="L79" i="204"/>
  <c r="K79" i="204"/>
  <c r="J79" i="204"/>
  <c r="I79" i="204"/>
  <c r="H79" i="204"/>
  <c r="G79" i="204"/>
  <c r="F79" i="204"/>
  <c r="E79" i="204"/>
  <c r="D79" i="204"/>
  <c r="C79" i="204"/>
  <c r="L78" i="204"/>
  <c r="K78" i="204"/>
  <c r="J78" i="204"/>
  <c r="I78" i="204"/>
  <c r="H78" i="204"/>
  <c r="G78" i="204"/>
  <c r="F78" i="204"/>
  <c r="E78" i="204"/>
  <c r="D78" i="204"/>
  <c r="C78" i="204"/>
  <c r="L77" i="204"/>
  <c r="K77" i="204"/>
  <c r="J77" i="204"/>
  <c r="I77" i="204"/>
  <c r="H77" i="204"/>
  <c r="G77" i="204"/>
  <c r="F77" i="204"/>
  <c r="E77" i="204"/>
  <c r="D77" i="204"/>
  <c r="C77" i="204"/>
  <c r="L76" i="204"/>
  <c r="K76" i="204"/>
  <c r="J76" i="204"/>
  <c r="I76" i="204"/>
  <c r="H76" i="204"/>
  <c r="G76" i="204"/>
  <c r="F76" i="204"/>
  <c r="E76" i="204"/>
  <c r="D76" i="204"/>
  <c r="C76" i="204"/>
  <c r="L75" i="204"/>
  <c r="K75" i="204"/>
  <c r="J75" i="204"/>
  <c r="I75" i="204"/>
  <c r="H75" i="204"/>
  <c r="G75" i="204"/>
  <c r="F75" i="204"/>
  <c r="E75" i="204"/>
  <c r="D75" i="204"/>
  <c r="C75" i="204"/>
  <c r="L71" i="204"/>
  <c r="K71" i="204"/>
  <c r="J71" i="204"/>
  <c r="I71" i="204"/>
  <c r="H71" i="204"/>
  <c r="G71" i="204"/>
  <c r="F71" i="204"/>
  <c r="E71" i="204"/>
  <c r="D71" i="204"/>
  <c r="C71" i="204"/>
  <c r="L70" i="204"/>
  <c r="K70" i="204"/>
  <c r="J70" i="204"/>
  <c r="I70" i="204"/>
  <c r="H70" i="204"/>
  <c r="G70" i="204"/>
  <c r="F70" i="204"/>
  <c r="E70" i="204"/>
  <c r="D70" i="204"/>
  <c r="C70" i="204"/>
  <c r="L69" i="204"/>
  <c r="K69" i="204"/>
  <c r="J69" i="204"/>
  <c r="I69" i="204"/>
  <c r="H69" i="204"/>
  <c r="G69" i="204"/>
  <c r="F69" i="204"/>
  <c r="E69" i="204"/>
  <c r="D69" i="204"/>
  <c r="C69" i="204"/>
  <c r="L68" i="204"/>
  <c r="K68" i="204"/>
  <c r="J68" i="204"/>
  <c r="I68" i="204"/>
  <c r="H68" i="204"/>
  <c r="G68" i="204"/>
  <c r="F68" i="204"/>
  <c r="E68" i="204"/>
  <c r="D68" i="204"/>
  <c r="C68" i="204"/>
  <c r="L67" i="204"/>
  <c r="K67" i="204"/>
  <c r="J67" i="204"/>
  <c r="I67" i="204"/>
  <c r="H67" i="204"/>
  <c r="G67" i="204"/>
  <c r="F67" i="204"/>
  <c r="E67" i="204"/>
  <c r="D67" i="204"/>
  <c r="C67" i="204"/>
  <c r="L66" i="204"/>
  <c r="K66" i="204"/>
  <c r="J66" i="204"/>
  <c r="I66" i="204"/>
  <c r="H66" i="204"/>
  <c r="G66" i="204"/>
  <c r="F66" i="204"/>
  <c r="E66" i="204"/>
  <c r="D66" i="204"/>
  <c r="C66" i="204"/>
  <c r="L65" i="204"/>
  <c r="K65" i="204"/>
  <c r="J65" i="204"/>
  <c r="I65" i="204"/>
  <c r="H65" i="204"/>
  <c r="G65" i="204"/>
  <c r="F65" i="204"/>
  <c r="E65" i="204"/>
  <c r="D65" i="204"/>
  <c r="C65" i="204"/>
  <c r="L64" i="204"/>
  <c r="K64" i="204"/>
  <c r="J64" i="204"/>
  <c r="I64" i="204"/>
  <c r="H64" i="204"/>
  <c r="G64" i="204"/>
  <c r="F64" i="204"/>
  <c r="E64" i="204"/>
  <c r="D64" i="204"/>
  <c r="C64" i="204"/>
  <c r="L58" i="204"/>
  <c r="K58" i="204"/>
  <c r="J58" i="204"/>
  <c r="I58" i="204"/>
  <c r="H58" i="204"/>
  <c r="G58" i="204"/>
  <c r="F58" i="204"/>
  <c r="E58" i="204"/>
  <c r="D58" i="204"/>
  <c r="C58" i="204"/>
  <c r="L57" i="204"/>
  <c r="K57" i="204"/>
  <c r="J57" i="204"/>
  <c r="I57" i="204"/>
  <c r="H57" i="204"/>
  <c r="G57" i="204"/>
  <c r="F57" i="204"/>
  <c r="E57" i="204"/>
  <c r="D57" i="204"/>
  <c r="C57" i="204"/>
  <c r="I53" i="204"/>
  <c r="H53" i="204"/>
  <c r="G53" i="204"/>
  <c r="F53" i="204"/>
  <c r="E53" i="204"/>
  <c r="D53" i="204"/>
  <c r="C53" i="204"/>
  <c r="B53" i="204"/>
  <c r="I52" i="204"/>
  <c r="H52" i="204"/>
  <c r="G52" i="204"/>
  <c r="F52" i="204"/>
  <c r="E52" i="204"/>
  <c r="D52" i="204"/>
  <c r="C52" i="204"/>
  <c r="B52" i="204"/>
  <c r="J51" i="204"/>
  <c r="I51" i="204"/>
  <c r="H51" i="204"/>
  <c r="G51" i="204"/>
  <c r="F51" i="204"/>
  <c r="E51" i="204"/>
  <c r="D51" i="204"/>
  <c r="C51" i="204"/>
  <c r="B51" i="204"/>
  <c r="L44" i="204"/>
  <c r="K44" i="204"/>
  <c r="J44" i="204"/>
  <c r="I44" i="204"/>
  <c r="H44" i="204"/>
  <c r="G44" i="204"/>
  <c r="F44" i="204"/>
  <c r="E44" i="204"/>
  <c r="D44" i="204"/>
  <c r="C44" i="204"/>
  <c r="L43" i="204"/>
  <c r="K43" i="204"/>
  <c r="J43" i="204"/>
  <c r="I43" i="204"/>
  <c r="H43" i="204"/>
  <c r="G43" i="204"/>
  <c r="F43" i="204"/>
  <c r="E43" i="204"/>
  <c r="D43" i="204"/>
  <c r="C43" i="204"/>
  <c r="D41" i="204"/>
  <c r="C39" i="204"/>
  <c r="C35" i="204"/>
  <c r="B35" i="204"/>
  <c r="C34" i="204"/>
  <c r="B34" i="204"/>
  <c r="C33" i="204"/>
  <c r="B33" i="204"/>
  <c r="L29" i="204"/>
  <c r="K29" i="204"/>
  <c r="J29" i="204"/>
  <c r="I29" i="204"/>
  <c r="H29" i="204"/>
  <c r="G29" i="204"/>
  <c r="F29" i="204"/>
  <c r="E29" i="204"/>
  <c r="D29" i="204"/>
  <c r="C29" i="204"/>
  <c r="B29" i="204"/>
  <c r="L28" i="204"/>
  <c r="K28" i="204"/>
  <c r="J28" i="204"/>
  <c r="I28" i="204"/>
  <c r="H28" i="204"/>
  <c r="G28" i="204"/>
  <c r="F28" i="204"/>
  <c r="E28" i="204"/>
  <c r="D28" i="204"/>
  <c r="C28" i="204"/>
  <c r="B28" i="204"/>
  <c r="L27" i="204"/>
  <c r="K27" i="204"/>
  <c r="J27" i="204"/>
  <c r="I27" i="204"/>
  <c r="H27" i="204"/>
  <c r="G27" i="204"/>
  <c r="F27" i="204"/>
  <c r="E27" i="204"/>
  <c r="D27" i="204"/>
  <c r="C27" i="204"/>
  <c r="B27" i="204"/>
  <c r="L26" i="204"/>
  <c r="K26" i="204"/>
  <c r="J26" i="204"/>
  <c r="I26" i="204"/>
  <c r="H26" i="204"/>
  <c r="G26" i="204"/>
  <c r="F26" i="204"/>
  <c r="E26" i="204"/>
  <c r="D26" i="204"/>
  <c r="C26" i="204"/>
  <c r="C20" i="204"/>
  <c r="B20" i="204"/>
  <c r="L15" i="204"/>
  <c r="K15" i="204"/>
  <c r="J15" i="204"/>
  <c r="I15" i="204"/>
  <c r="H15" i="204"/>
  <c r="G15" i="204"/>
  <c r="F15" i="204"/>
  <c r="E15" i="204"/>
  <c r="D15" i="204"/>
  <c r="C15" i="204"/>
  <c r="B15" i="204"/>
  <c r="L14" i="204"/>
  <c r="K14" i="204"/>
  <c r="J14" i="204"/>
  <c r="I14" i="204"/>
  <c r="H14" i="204"/>
  <c r="G14" i="204"/>
  <c r="F14" i="204"/>
  <c r="E14" i="204"/>
  <c r="D14" i="204"/>
  <c r="C14" i="204"/>
  <c r="A10" i="204"/>
  <c r="A1" i="204"/>
  <c r="L119" i="203"/>
  <c r="K119" i="203"/>
  <c r="J119" i="203"/>
  <c r="I119" i="203"/>
  <c r="H119" i="203"/>
  <c r="G119" i="203"/>
  <c r="F119" i="203"/>
  <c r="E119" i="203"/>
  <c r="D119" i="203"/>
  <c r="C119" i="203"/>
  <c r="A119" i="203"/>
  <c r="L118" i="203"/>
  <c r="K118" i="203"/>
  <c r="J118" i="203"/>
  <c r="I118" i="203"/>
  <c r="H118" i="203"/>
  <c r="G118" i="203"/>
  <c r="F118" i="203"/>
  <c r="E118" i="203"/>
  <c r="D118" i="203"/>
  <c r="C118" i="203"/>
  <c r="L117" i="203"/>
  <c r="K117" i="203"/>
  <c r="J117" i="203"/>
  <c r="I117" i="203"/>
  <c r="H117" i="203"/>
  <c r="G117" i="203"/>
  <c r="F117" i="203"/>
  <c r="E117" i="203"/>
  <c r="D117" i="203"/>
  <c r="C117" i="203"/>
  <c r="L116" i="203"/>
  <c r="K116" i="203"/>
  <c r="J116" i="203"/>
  <c r="I116" i="203"/>
  <c r="H116" i="203"/>
  <c r="G116" i="203"/>
  <c r="F116" i="203"/>
  <c r="E116" i="203"/>
  <c r="D116" i="203"/>
  <c r="C116" i="203"/>
  <c r="L115" i="203"/>
  <c r="K115" i="203"/>
  <c r="J115" i="203"/>
  <c r="I115" i="203"/>
  <c r="H115" i="203"/>
  <c r="G115" i="203"/>
  <c r="F115" i="203"/>
  <c r="E115" i="203"/>
  <c r="D115" i="203"/>
  <c r="C115" i="203"/>
  <c r="L114" i="203"/>
  <c r="K114" i="203"/>
  <c r="J114" i="203"/>
  <c r="I114" i="203"/>
  <c r="H114" i="203"/>
  <c r="G114" i="203"/>
  <c r="F114" i="203"/>
  <c r="E114" i="203"/>
  <c r="D114" i="203"/>
  <c r="C114" i="203"/>
  <c r="L113" i="203"/>
  <c r="K113" i="203"/>
  <c r="J113" i="203"/>
  <c r="I113" i="203"/>
  <c r="H113" i="203"/>
  <c r="G113" i="203"/>
  <c r="F113" i="203"/>
  <c r="E113" i="203"/>
  <c r="D113" i="203"/>
  <c r="C113" i="203"/>
  <c r="L112" i="203"/>
  <c r="K112" i="203"/>
  <c r="J112" i="203"/>
  <c r="I112" i="203"/>
  <c r="H112" i="203"/>
  <c r="G112" i="203"/>
  <c r="F112" i="203"/>
  <c r="E112" i="203"/>
  <c r="D112" i="203"/>
  <c r="C112" i="203"/>
  <c r="L107" i="203"/>
  <c r="K107" i="203"/>
  <c r="J107" i="203"/>
  <c r="I107" i="203"/>
  <c r="H107" i="203"/>
  <c r="G107" i="203"/>
  <c r="F107" i="203"/>
  <c r="E107" i="203"/>
  <c r="D107" i="203"/>
  <c r="C107" i="203"/>
  <c r="L106" i="203"/>
  <c r="K106" i="203"/>
  <c r="J106" i="203"/>
  <c r="I106" i="203"/>
  <c r="H106" i="203"/>
  <c r="G106" i="203"/>
  <c r="F106" i="203"/>
  <c r="E106" i="203"/>
  <c r="D106" i="203"/>
  <c r="C106" i="203"/>
  <c r="L105" i="203"/>
  <c r="K105" i="203"/>
  <c r="J105" i="203"/>
  <c r="I105" i="203"/>
  <c r="H105" i="203"/>
  <c r="G105" i="203"/>
  <c r="F105" i="203"/>
  <c r="E105" i="203"/>
  <c r="D105" i="203"/>
  <c r="C105" i="203"/>
  <c r="L104" i="203"/>
  <c r="K104" i="203"/>
  <c r="J104" i="203"/>
  <c r="I104" i="203"/>
  <c r="H104" i="203"/>
  <c r="G104" i="203"/>
  <c r="F104" i="203"/>
  <c r="E104" i="203"/>
  <c r="D104" i="203"/>
  <c r="C104" i="203"/>
  <c r="L103" i="203"/>
  <c r="K103" i="203"/>
  <c r="J103" i="203"/>
  <c r="I103" i="203"/>
  <c r="H103" i="203"/>
  <c r="G103" i="203"/>
  <c r="F103" i="203"/>
  <c r="E103" i="203"/>
  <c r="D103" i="203"/>
  <c r="C103" i="203"/>
  <c r="L99" i="203"/>
  <c r="K99" i="203"/>
  <c r="J99" i="203"/>
  <c r="I99" i="203"/>
  <c r="H99" i="203"/>
  <c r="G99" i="203"/>
  <c r="F99" i="203"/>
  <c r="E99" i="203"/>
  <c r="D99" i="203"/>
  <c r="C99" i="203"/>
  <c r="L95" i="203"/>
  <c r="K95" i="203"/>
  <c r="J95" i="203"/>
  <c r="I95" i="203"/>
  <c r="H95" i="203"/>
  <c r="G95" i="203"/>
  <c r="F95" i="203"/>
  <c r="E95" i="203"/>
  <c r="D95" i="203"/>
  <c r="C95" i="203"/>
  <c r="L93" i="203"/>
  <c r="K93" i="203"/>
  <c r="J93" i="203"/>
  <c r="I93" i="203"/>
  <c r="H93" i="203"/>
  <c r="G93" i="203"/>
  <c r="F93" i="203"/>
  <c r="E93" i="203"/>
  <c r="D93" i="203"/>
  <c r="C93" i="203"/>
  <c r="L92" i="203"/>
  <c r="K92" i="203"/>
  <c r="J92" i="203"/>
  <c r="I92" i="203"/>
  <c r="H92" i="203"/>
  <c r="G92" i="203"/>
  <c r="F92" i="203"/>
  <c r="E92" i="203"/>
  <c r="D92" i="203"/>
  <c r="C92" i="203"/>
  <c r="L91" i="203"/>
  <c r="K91" i="203"/>
  <c r="J91" i="203"/>
  <c r="I91" i="203"/>
  <c r="H91" i="203"/>
  <c r="G91" i="203"/>
  <c r="F91" i="203"/>
  <c r="E91" i="203"/>
  <c r="D91" i="203"/>
  <c r="C91" i="203"/>
  <c r="L90" i="203"/>
  <c r="K90" i="203"/>
  <c r="J90" i="203"/>
  <c r="I90" i="203"/>
  <c r="H90" i="203"/>
  <c r="G90" i="203"/>
  <c r="F90" i="203"/>
  <c r="E90" i="203"/>
  <c r="D90" i="203"/>
  <c r="C90" i="203"/>
  <c r="L89" i="203"/>
  <c r="K89" i="203"/>
  <c r="J89" i="203"/>
  <c r="I89" i="203"/>
  <c r="H89" i="203"/>
  <c r="G89" i="203"/>
  <c r="F89" i="203"/>
  <c r="E89" i="203"/>
  <c r="D89" i="203"/>
  <c r="C89" i="203"/>
  <c r="L88" i="203"/>
  <c r="K88" i="203"/>
  <c r="J88" i="203"/>
  <c r="I88" i="203"/>
  <c r="H88" i="203"/>
  <c r="G88" i="203"/>
  <c r="F88" i="203"/>
  <c r="E88" i="203"/>
  <c r="D88" i="203"/>
  <c r="C88" i="203"/>
  <c r="L87" i="203"/>
  <c r="K87" i="203"/>
  <c r="J87" i="203"/>
  <c r="I87" i="203"/>
  <c r="H87" i="203"/>
  <c r="G87" i="203"/>
  <c r="F87" i="203"/>
  <c r="E87" i="203"/>
  <c r="D87" i="203"/>
  <c r="C87" i="203"/>
  <c r="L86" i="203"/>
  <c r="K86" i="203"/>
  <c r="J86" i="203"/>
  <c r="I86" i="203"/>
  <c r="H86" i="203"/>
  <c r="G86" i="203"/>
  <c r="F86" i="203"/>
  <c r="E86" i="203"/>
  <c r="D86" i="203"/>
  <c r="C86" i="203"/>
  <c r="L82" i="203"/>
  <c r="K82" i="203"/>
  <c r="J82" i="203"/>
  <c r="I82" i="203"/>
  <c r="H82" i="203"/>
  <c r="G82" i="203"/>
  <c r="F82" i="203"/>
  <c r="E82" i="203"/>
  <c r="D82" i="203"/>
  <c r="C82" i="203"/>
  <c r="L81" i="203"/>
  <c r="K81" i="203"/>
  <c r="J81" i="203"/>
  <c r="I81" i="203"/>
  <c r="H81" i="203"/>
  <c r="G81" i="203"/>
  <c r="F81" i="203"/>
  <c r="E81" i="203"/>
  <c r="D81" i="203"/>
  <c r="C81" i="203"/>
  <c r="L80" i="203"/>
  <c r="K80" i="203"/>
  <c r="J80" i="203"/>
  <c r="I80" i="203"/>
  <c r="H80" i="203"/>
  <c r="G80" i="203"/>
  <c r="F80" i="203"/>
  <c r="E80" i="203"/>
  <c r="D80" i="203"/>
  <c r="C80" i="203"/>
  <c r="L79" i="203"/>
  <c r="K79" i="203"/>
  <c r="J79" i="203"/>
  <c r="I79" i="203"/>
  <c r="H79" i="203"/>
  <c r="G79" i="203"/>
  <c r="F79" i="203"/>
  <c r="E79" i="203"/>
  <c r="D79" i="203"/>
  <c r="C79" i="203"/>
  <c r="L78" i="203"/>
  <c r="K78" i="203"/>
  <c r="J78" i="203"/>
  <c r="I78" i="203"/>
  <c r="H78" i="203"/>
  <c r="G78" i="203"/>
  <c r="F78" i="203"/>
  <c r="E78" i="203"/>
  <c r="D78" i="203"/>
  <c r="C78" i="203"/>
  <c r="L77" i="203"/>
  <c r="K77" i="203"/>
  <c r="J77" i="203"/>
  <c r="I77" i="203"/>
  <c r="H77" i="203"/>
  <c r="G77" i="203"/>
  <c r="F77" i="203"/>
  <c r="E77" i="203"/>
  <c r="D77" i="203"/>
  <c r="C77" i="203"/>
  <c r="L76" i="203"/>
  <c r="K76" i="203"/>
  <c r="J76" i="203"/>
  <c r="I76" i="203"/>
  <c r="H76" i="203"/>
  <c r="G76" i="203"/>
  <c r="F76" i="203"/>
  <c r="E76" i="203"/>
  <c r="D76" i="203"/>
  <c r="C76" i="203"/>
  <c r="L75" i="203"/>
  <c r="K75" i="203"/>
  <c r="J75" i="203"/>
  <c r="I75" i="203"/>
  <c r="H75" i="203"/>
  <c r="G75" i="203"/>
  <c r="F75" i="203"/>
  <c r="E75" i="203"/>
  <c r="D75" i="203"/>
  <c r="C75" i="203"/>
  <c r="L71" i="203"/>
  <c r="K71" i="203"/>
  <c r="J71" i="203"/>
  <c r="I71" i="203"/>
  <c r="H71" i="203"/>
  <c r="G71" i="203"/>
  <c r="F71" i="203"/>
  <c r="E71" i="203"/>
  <c r="D71" i="203"/>
  <c r="C71" i="203"/>
  <c r="L70" i="203"/>
  <c r="K70" i="203"/>
  <c r="J70" i="203"/>
  <c r="I70" i="203"/>
  <c r="H70" i="203"/>
  <c r="G70" i="203"/>
  <c r="F70" i="203"/>
  <c r="E70" i="203"/>
  <c r="D70" i="203"/>
  <c r="C70" i="203"/>
  <c r="L69" i="203"/>
  <c r="K69" i="203"/>
  <c r="J69" i="203"/>
  <c r="I69" i="203"/>
  <c r="H69" i="203"/>
  <c r="G69" i="203"/>
  <c r="F69" i="203"/>
  <c r="E69" i="203"/>
  <c r="D69" i="203"/>
  <c r="C69" i="203"/>
  <c r="L68" i="203"/>
  <c r="K68" i="203"/>
  <c r="J68" i="203"/>
  <c r="I68" i="203"/>
  <c r="H68" i="203"/>
  <c r="G68" i="203"/>
  <c r="F68" i="203"/>
  <c r="E68" i="203"/>
  <c r="D68" i="203"/>
  <c r="C68" i="203"/>
  <c r="L67" i="203"/>
  <c r="K67" i="203"/>
  <c r="J67" i="203"/>
  <c r="I67" i="203"/>
  <c r="H67" i="203"/>
  <c r="G67" i="203"/>
  <c r="F67" i="203"/>
  <c r="E67" i="203"/>
  <c r="D67" i="203"/>
  <c r="C67" i="203"/>
  <c r="L66" i="203"/>
  <c r="K66" i="203"/>
  <c r="J66" i="203"/>
  <c r="I66" i="203"/>
  <c r="H66" i="203"/>
  <c r="G66" i="203"/>
  <c r="F66" i="203"/>
  <c r="E66" i="203"/>
  <c r="D66" i="203"/>
  <c r="C66" i="203"/>
  <c r="L65" i="203"/>
  <c r="K65" i="203"/>
  <c r="J65" i="203"/>
  <c r="I65" i="203"/>
  <c r="H65" i="203"/>
  <c r="G65" i="203"/>
  <c r="F65" i="203"/>
  <c r="E65" i="203"/>
  <c r="D65" i="203"/>
  <c r="C65" i="203"/>
  <c r="L64" i="203"/>
  <c r="K64" i="203"/>
  <c r="J64" i="203"/>
  <c r="I64" i="203"/>
  <c r="H64" i="203"/>
  <c r="G64" i="203"/>
  <c r="F64" i="203"/>
  <c r="E64" i="203"/>
  <c r="D64" i="203"/>
  <c r="C64" i="203"/>
  <c r="L58" i="203"/>
  <c r="K58" i="203"/>
  <c r="J58" i="203"/>
  <c r="I58" i="203"/>
  <c r="H58" i="203"/>
  <c r="G58" i="203"/>
  <c r="F58" i="203"/>
  <c r="E58" i="203"/>
  <c r="D58" i="203"/>
  <c r="C58" i="203"/>
  <c r="L57" i="203"/>
  <c r="K57" i="203"/>
  <c r="J57" i="203"/>
  <c r="I57" i="203"/>
  <c r="H57" i="203"/>
  <c r="G57" i="203"/>
  <c r="F57" i="203"/>
  <c r="E57" i="203"/>
  <c r="D57" i="203"/>
  <c r="C57" i="203"/>
  <c r="I53" i="203"/>
  <c r="H53" i="203"/>
  <c r="G53" i="203"/>
  <c r="F53" i="203"/>
  <c r="E53" i="203"/>
  <c r="D53" i="203"/>
  <c r="C53" i="203"/>
  <c r="B53" i="203"/>
  <c r="I52" i="203"/>
  <c r="H52" i="203"/>
  <c r="G52" i="203"/>
  <c r="F52" i="203"/>
  <c r="E52" i="203"/>
  <c r="D52" i="203"/>
  <c r="C52" i="203"/>
  <c r="B52" i="203"/>
  <c r="J51" i="203"/>
  <c r="I51" i="203"/>
  <c r="H51" i="203"/>
  <c r="G51" i="203"/>
  <c r="F51" i="203"/>
  <c r="E51" i="203"/>
  <c r="D51" i="203"/>
  <c r="C51" i="203"/>
  <c r="B51" i="203"/>
  <c r="L44" i="203"/>
  <c r="K44" i="203"/>
  <c r="J44" i="203"/>
  <c r="I44" i="203"/>
  <c r="H44" i="203"/>
  <c r="G44" i="203"/>
  <c r="F44" i="203"/>
  <c r="E44" i="203"/>
  <c r="D44" i="203"/>
  <c r="C44" i="203"/>
  <c r="L43" i="203"/>
  <c r="K43" i="203"/>
  <c r="J43" i="203"/>
  <c r="I43" i="203"/>
  <c r="H43" i="203"/>
  <c r="G43" i="203"/>
  <c r="F43" i="203"/>
  <c r="E43" i="203"/>
  <c r="D43" i="203"/>
  <c r="C43" i="203"/>
  <c r="D41" i="203"/>
  <c r="C39" i="203"/>
  <c r="C35" i="203"/>
  <c r="B35" i="203"/>
  <c r="C34" i="203"/>
  <c r="B34" i="203"/>
  <c r="C33" i="203"/>
  <c r="B33" i="203"/>
  <c r="L29" i="203"/>
  <c r="K29" i="203"/>
  <c r="J29" i="203"/>
  <c r="I29" i="203"/>
  <c r="H29" i="203"/>
  <c r="G29" i="203"/>
  <c r="F29" i="203"/>
  <c r="E29" i="203"/>
  <c r="D29" i="203"/>
  <c r="C29" i="203"/>
  <c r="B29" i="203"/>
  <c r="L28" i="203"/>
  <c r="K28" i="203"/>
  <c r="J28" i="203"/>
  <c r="I28" i="203"/>
  <c r="H28" i="203"/>
  <c r="G28" i="203"/>
  <c r="F28" i="203"/>
  <c r="E28" i="203"/>
  <c r="D28" i="203"/>
  <c r="C28" i="203"/>
  <c r="B28" i="203"/>
  <c r="L27" i="203"/>
  <c r="K27" i="203"/>
  <c r="J27" i="203"/>
  <c r="I27" i="203"/>
  <c r="H27" i="203"/>
  <c r="G27" i="203"/>
  <c r="F27" i="203"/>
  <c r="E27" i="203"/>
  <c r="D27" i="203"/>
  <c r="C27" i="203"/>
  <c r="B27" i="203"/>
  <c r="L26" i="203"/>
  <c r="K26" i="203"/>
  <c r="J26" i="203"/>
  <c r="I26" i="203"/>
  <c r="H26" i="203"/>
  <c r="G26" i="203"/>
  <c r="F26" i="203"/>
  <c r="E26" i="203"/>
  <c r="D26" i="203"/>
  <c r="C26" i="203"/>
  <c r="C20" i="203"/>
  <c r="B20" i="203"/>
  <c r="L15" i="203"/>
  <c r="K15" i="203"/>
  <c r="J15" i="203"/>
  <c r="I15" i="203"/>
  <c r="H15" i="203"/>
  <c r="G15" i="203"/>
  <c r="F15" i="203"/>
  <c r="E15" i="203"/>
  <c r="D15" i="203"/>
  <c r="C15" i="203"/>
  <c r="B15" i="203"/>
  <c r="L14" i="203"/>
  <c r="K14" i="203"/>
  <c r="J14" i="203"/>
  <c r="I14" i="203"/>
  <c r="H14" i="203"/>
  <c r="G14" i="203"/>
  <c r="F14" i="203"/>
  <c r="E14" i="203"/>
  <c r="D14" i="203"/>
  <c r="C14" i="203"/>
  <c r="A10" i="203"/>
  <c r="A1" i="203"/>
  <c r="L119" i="202"/>
  <c r="K119" i="202"/>
  <c r="J119" i="202"/>
  <c r="I119" i="202"/>
  <c r="H119" i="202"/>
  <c r="G119" i="202"/>
  <c r="F119" i="202"/>
  <c r="E119" i="202"/>
  <c r="D119" i="202"/>
  <c r="C119" i="202"/>
  <c r="A119" i="202"/>
  <c r="L118" i="202"/>
  <c r="K118" i="202"/>
  <c r="J118" i="202"/>
  <c r="I118" i="202"/>
  <c r="H118" i="202"/>
  <c r="G118" i="202"/>
  <c r="F118" i="202"/>
  <c r="E118" i="202"/>
  <c r="D118" i="202"/>
  <c r="C118" i="202"/>
  <c r="L117" i="202"/>
  <c r="K117" i="202"/>
  <c r="J117" i="202"/>
  <c r="I117" i="202"/>
  <c r="H117" i="202"/>
  <c r="G117" i="202"/>
  <c r="F117" i="202"/>
  <c r="E117" i="202"/>
  <c r="D117" i="202"/>
  <c r="C117" i="202"/>
  <c r="L116" i="202"/>
  <c r="K116" i="202"/>
  <c r="J116" i="202"/>
  <c r="I116" i="202"/>
  <c r="H116" i="202"/>
  <c r="G116" i="202"/>
  <c r="F116" i="202"/>
  <c r="E116" i="202"/>
  <c r="D116" i="202"/>
  <c r="C116" i="202"/>
  <c r="L115" i="202"/>
  <c r="K115" i="202"/>
  <c r="J115" i="202"/>
  <c r="I115" i="202"/>
  <c r="H115" i="202"/>
  <c r="G115" i="202"/>
  <c r="F115" i="202"/>
  <c r="E115" i="202"/>
  <c r="D115" i="202"/>
  <c r="C115" i="202"/>
  <c r="L114" i="202"/>
  <c r="K114" i="202"/>
  <c r="J114" i="202"/>
  <c r="I114" i="202"/>
  <c r="H114" i="202"/>
  <c r="G114" i="202"/>
  <c r="F114" i="202"/>
  <c r="E114" i="202"/>
  <c r="D114" i="202"/>
  <c r="C114" i="202"/>
  <c r="L113" i="202"/>
  <c r="K113" i="202"/>
  <c r="J113" i="202"/>
  <c r="I113" i="202"/>
  <c r="H113" i="202"/>
  <c r="G113" i="202"/>
  <c r="F113" i="202"/>
  <c r="E113" i="202"/>
  <c r="D113" i="202"/>
  <c r="C113" i="202"/>
  <c r="L112" i="202"/>
  <c r="K112" i="202"/>
  <c r="J112" i="202"/>
  <c r="I112" i="202"/>
  <c r="H112" i="202"/>
  <c r="G112" i="202"/>
  <c r="F112" i="202"/>
  <c r="E112" i="202"/>
  <c r="D112" i="202"/>
  <c r="C112" i="202"/>
  <c r="L107" i="202"/>
  <c r="K107" i="202"/>
  <c r="J107" i="202"/>
  <c r="I107" i="202"/>
  <c r="H107" i="202"/>
  <c r="G107" i="202"/>
  <c r="F107" i="202"/>
  <c r="E107" i="202"/>
  <c r="D107" i="202"/>
  <c r="C107" i="202"/>
  <c r="L106" i="202"/>
  <c r="K106" i="202"/>
  <c r="J106" i="202"/>
  <c r="I106" i="202"/>
  <c r="H106" i="202"/>
  <c r="G106" i="202"/>
  <c r="F106" i="202"/>
  <c r="E106" i="202"/>
  <c r="D106" i="202"/>
  <c r="C106" i="202"/>
  <c r="L105" i="202"/>
  <c r="K105" i="202"/>
  <c r="J105" i="202"/>
  <c r="I105" i="202"/>
  <c r="H105" i="202"/>
  <c r="G105" i="202"/>
  <c r="F105" i="202"/>
  <c r="E105" i="202"/>
  <c r="D105" i="202"/>
  <c r="C105" i="202"/>
  <c r="L104" i="202"/>
  <c r="K104" i="202"/>
  <c r="J104" i="202"/>
  <c r="I104" i="202"/>
  <c r="H104" i="202"/>
  <c r="G104" i="202"/>
  <c r="F104" i="202"/>
  <c r="E104" i="202"/>
  <c r="D104" i="202"/>
  <c r="C104" i="202"/>
  <c r="L103" i="202"/>
  <c r="K103" i="202"/>
  <c r="J103" i="202"/>
  <c r="I103" i="202"/>
  <c r="H103" i="202"/>
  <c r="G103" i="202"/>
  <c r="F103" i="202"/>
  <c r="E103" i="202"/>
  <c r="D103" i="202"/>
  <c r="C103" i="202"/>
  <c r="L99" i="202"/>
  <c r="K99" i="202"/>
  <c r="J99" i="202"/>
  <c r="I99" i="202"/>
  <c r="H99" i="202"/>
  <c r="G99" i="202"/>
  <c r="F99" i="202"/>
  <c r="E99" i="202"/>
  <c r="D99" i="202"/>
  <c r="C99" i="202"/>
  <c r="L95" i="202"/>
  <c r="K95" i="202"/>
  <c r="J95" i="202"/>
  <c r="I95" i="202"/>
  <c r="H95" i="202"/>
  <c r="G95" i="202"/>
  <c r="F95" i="202"/>
  <c r="E95" i="202"/>
  <c r="D95" i="202"/>
  <c r="C95" i="202"/>
  <c r="L93" i="202"/>
  <c r="K93" i="202"/>
  <c r="J93" i="202"/>
  <c r="I93" i="202"/>
  <c r="H93" i="202"/>
  <c r="G93" i="202"/>
  <c r="F93" i="202"/>
  <c r="E93" i="202"/>
  <c r="D93" i="202"/>
  <c r="C93" i="202"/>
  <c r="L92" i="202"/>
  <c r="K92" i="202"/>
  <c r="J92" i="202"/>
  <c r="I92" i="202"/>
  <c r="H92" i="202"/>
  <c r="G92" i="202"/>
  <c r="F92" i="202"/>
  <c r="E92" i="202"/>
  <c r="D92" i="202"/>
  <c r="C92" i="202"/>
  <c r="L91" i="202"/>
  <c r="K91" i="202"/>
  <c r="J91" i="202"/>
  <c r="I91" i="202"/>
  <c r="H91" i="202"/>
  <c r="G91" i="202"/>
  <c r="F91" i="202"/>
  <c r="E91" i="202"/>
  <c r="D91" i="202"/>
  <c r="C91" i="202"/>
  <c r="L90" i="202"/>
  <c r="K90" i="202"/>
  <c r="J90" i="202"/>
  <c r="I90" i="202"/>
  <c r="H90" i="202"/>
  <c r="G90" i="202"/>
  <c r="F90" i="202"/>
  <c r="E90" i="202"/>
  <c r="D90" i="202"/>
  <c r="C90" i="202"/>
  <c r="L89" i="202"/>
  <c r="K89" i="202"/>
  <c r="J89" i="202"/>
  <c r="I89" i="202"/>
  <c r="H89" i="202"/>
  <c r="G89" i="202"/>
  <c r="F89" i="202"/>
  <c r="E89" i="202"/>
  <c r="D89" i="202"/>
  <c r="C89" i="202"/>
  <c r="L88" i="202"/>
  <c r="K88" i="202"/>
  <c r="J88" i="202"/>
  <c r="I88" i="202"/>
  <c r="H88" i="202"/>
  <c r="G88" i="202"/>
  <c r="F88" i="202"/>
  <c r="E88" i="202"/>
  <c r="D88" i="202"/>
  <c r="C88" i="202"/>
  <c r="L87" i="202"/>
  <c r="K87" i="202"/>
  <c r="J87" i="202"/>
  <c r="I87" i="202"/>
  <c r="H87" i="202"/>
  <c r="G87" i="202"/>
  <c r="F87" i="202"/>
  <c r="E87" i="202"/>
  <c r="D87" i="202"/>
  <c r="C87" i="202"/>
  <c r="L86" i="202"/>
  <c r="K86" i="202"/>
  <c r="J86" i="202"/>
  <c r="I86" i="202"/>
  <c r="H86" i="202"/>
  <c r="G86" i="202"/>
  <c r="F86" i="202"/>
  <c r="E86" i="202"/>
  <c r="D86" i="202"/>
  <c r="C86" i="202"/>
  <c r="L82" i="202"/>
  <c r="K82" i="202"/>
  <c r="J82" i="202"/>
  <c r="I82" i="202"/>
  <c r="H82" i="202"/>
  <c r="G82" i="202"/>
  <c r="F82" i="202"/>
  <c r="E82" i="202"/>
  <c r="D82" i="202"/>
  <c r="C82" i="202"/>
  <c r="L81" i="202"/>
  <c r="K81" i="202"/>
  <c r="J81" i="202"/>
  <c r="I81" i="202"/>
  <c r="H81" i="202"/>
  <c r="G81" i="202"/>
  <c r="F81" i="202"/>
  <c r="E81" i="202"/>
  <c r="D81" i="202"/>
  <c r="C81" i="202"/>
  <c r="L80" i="202"/>
  <c r="K80" i="202"/>
  <c r="J80" i="202"/>
  <c r="I80" i="202"/>
  <c r="H80" i="202"/>
  <c r="G80" i="202"/>
  <c r="F80" i="202"/>
  <c r="E80" i="202"/>
  <c r="D80" i="202"/>
  <c r="C80" i="202"/>
  <c r="L79" i="202"/>
  <c r="K79" i="202"/>
  <c r="J79" i="202"/>
  <c r="I79" i="202"/>
  <c r="H79" i="202"/>
  <c r="G79" i="202"/>
  <c r="F79" i="202"/>
  <c r="E79" i="202"/>
  <c r="D79" i="202"/>
  <c r="C79" i="202"/>
  <c r="L78" i="202"/>
  <c r="K78" i="202"/>
  <c r="J78" i="202"/>
  <c r="I78" i="202"/>
  <c r="H78" i="202"/>
  <c r="G78" i="202"/>
  <c r="F78" i="202"/>
  <c r="E78" i="202"/>
  <c r="D78" i="202"/>
  <c r="C78" i="202"/>
  <c r="L77" i="202"/>
  <c r="K77" i="202"/>
  <c r="J77" i="202"/>
  <c r="I77" i="202"/>
  <c r="H77" i="202"/>
  <c r="G77" i="202"/>
  <c r="F77" i="202"/>
  <c r="E77" i="202"/>
  <c r="D77" i="202"/>
  <c r="C77" i="202"/>
  <c r="L76" i="202"/>
  <c r="K76" i="202"/>
  <c r="J76" i="202"/>
  <c r="I76" i="202"/>
  <c r="H76" i="202"/>
  <c r="G76" i="202"/>
  <c r="F76" i="202"/>
  <c r="E76" i="202"/>
  <c r="D76" i="202"/>
  <c r="C76" i="202"/>
  <c r="L75" i="202"/>
  <c r="K75" i="202"/>
  <c r="J75" i="202"/>
  <c r="I75" i="202"/>
  <c r="H75" i="202"/>
  <c r="G75" i="202"/>
  <c r="F75" i="202"/>
  <c r="E75" i="202"/>
  <c r="D75" i="202"/>
  <c r="C75" i="202"/>
  <c r="L71" i="202"/>
  <c r="K71" i="202"/>
  <c r="J71" i="202"/>
  <c r="I71" i="202"/>
  <c r="H71" i="202"/>
  <c r="G71" i="202"/>
  <c r="F71" i="202"/>
  <c r="E71" i="202"/>
  <c r="D71" i="202"/>
  <c r="C71" i="202"/>
  <c r="L70" i="202"/>
  <c r="K70" i="202"/>
  <c r="J70" i="202"/>
  <c r="I70" i="202"/>
  <c r="H70" i="202"/>
  <c r="G70" i="202"/>
  <c r="F70" i="202"/>
  <c r="E70" i="202"/>
  <c r="D70" i="202"/>
  <c r="C70" i="202"/>
  <c r="L69" i="202"/>
  <c r="K69" i="202"/>
  <c r="J69" i="202"/>
  <c r="I69" i="202"/>
  <c r="H69" i="202"/>
  <c r="G69" i="202"/>
  <c r="F69" i="202"/>
  <c r="E69" i="202"/>
  <c r="D69" i="202"/>
  <c r="C69" i="202"/>
  <c r="L68" i="202"/>
  <c r="K68" i="202"/>
  <c r="J68" i="202"/>
  <c r="I68" i="202"/>
  <c r="H68" i="202"/>
  <c r="G68" i="202"/>
  <c r="F68" i="202"/>
  <c r="E68" i="202"/>
  <c r="D68" i="202"/>
  <c r="C68" i="202"/>
  <c r="L67" i="202"/>
  <c r="K67" i="202"/>
  <c r="J67" i="202"/>
  <c r="I67" i="202"/>
  <c r="H67" i="202"/>
  <c r="G67" i="202"/>
  <c r="F67" i="202"/>
  <c r="E67" i="202"/>
  <c r="D67" i="202"/>
  <c r="C67" i="202"/>
  <c r="L66" i="202"/>
  <c r="K66" i="202"/>
  <c r="J66" i="202"/>
  <c r="I66" i="202"/>
  <c r="H66" i="202"/>
  <c r="G66" i="202"/>
  <c r="F66" i="202"/>
  <c r="E66" i="202"/>
  <c r="D66" i="202"/>
  <c r="C66" i="202"/>
  <c r="L65" i="202"/>
  <c r="K65" i="202"/>
  <c r="J65" i="202"/>
  <c r="I65" i="202"/>
  <c r="H65" i="202"/>
  <c r="G65" i="202"/>
  <c r="F65" i="202"/>
  <c r="E65" i="202"/>
  <c r="D65" i="202"/>
  <c r="C65" i="202"/>
  <c r="L64" i="202"/>
  <c r="K64" i="202"/>
  <c r="J64" i="202"/>
  <c r="I64" i="202"/>
  <c r="H64" i="202"/>
  <c r="G64" i="202"/>
  <c r="F64" i="202"/>
  <c r="E64" i="202"/>
  <c r="D64" i="202"/>
  <c r="C64" i="202"/>
  <c r="L58" i="202"/>
  <c r="K58" i="202"/>
  <c r="J58" i="202"/>
  <c r="I58" i="202"/>
  <c r="H58" i="202"/>
  <c r="G58" i="202"/>
  <c r="F58" i="202"/>
  <c r="E58" i="202"/>
  <c r="D58" i="202"/>
  <c r="C58" i="202"/>
  <c r="L57" i="202"/>
  <c r="K57" i="202"/>
  <c r="J57" i="202"/>
  <c r="I57" i="202"/>
  <c r="H57" i="202"/>
  <c r="G57" i="202"/>
  <c r="F57" i="202"/>
  <c r="E57" i="202"/>
  <c r="D57" i="202"/>
  <c r="C57" i="202"/>
  <c r="I53" i="202"/>
  <c r="H53" i="202"/>
  <c r="G53" i="202"/>
  <c r="F53" i="202"/>
  <c r="E53" i="202"/>
  <c r="D53" i="202"/>
  <c r="C53" i="202"/>
  <c r="B53" i="202"/>
  <c r="I52" i="202"/>
  <c r="H52" i="202"/>
  <c r="G52" i="202"/>
  <c r="F52" i="202"/>
  <c r="E52" i="202"/>
  <c r="D52" i="202"/>
  <c r="C52" i="202"/>
  <c r="B52" i="202"/>
  <c r="J51" i="202"/>
  <c r="I51" i="202"/>
  <c r="H51" i="202"/>
  <c r="G51" i="202"/>
  <c r="F51" i="202"/>
  <c r="E51" i="202"/>
  <c r="D51" i="202"/>
  <c r="C51" i="202"/>
  <c r="B51" i="202"/>
  <c r="L44" i="202"/>
  <c r="K44" i="202"/>
  <c r="J44" i="202"/>
  <c r="I44" i="202"/>
  <c r="H44" i="202"/>
  <c r="G44" i="202"/>
  <c r="F44" i="202"/>
  <c r="E44" i="202"/>
  <c r="D44" i="202"/>
  <c r="C44" i="202"/>
  <c r="L43" i="202"/>
  <c r="K43" i="202"/>
  <c r="J43" i="202"/>
  <c r="I43" i="202"/>
  <c r="H43" i="202"/>
  <c r="G43" i="202"/>
  <c r="F43" i="202"/>
  <c r="E43" i="202"/>
  <c r="D43" i="202"/>
  <c r="C43" i="202"/>
  <c r="D41" i="202"/>
  <c r="C39" i="202"/>
  <c r="C35" i="202"/>
  <c r="B35" i="202"/>
  <c r="C34" i="202"/>
  <c r="B34" i="202"/>
  <c r="C33" i="202"/>
  <c r="B33" i="202"/>
  <c r="L29" i="202"/>
  <c r="K29" i="202"/>
  <c r="J29" i="202"/>
  <c r="I29" i="202"/>
  <c r="H29" i="202"/>
  <c r="G29" i="202"/>
  <c r="F29" i="202"/>
  <c r="E29" i="202"/>
  <c r="D29" i="202"/>
  <c r="C29" i="202"/>
  <c r="B29" i="202"/>
  <c r="L28" i="202"/>
  <c r="K28" i="202"/>
  <c r="J28" i="202"/>
  <c r="I28" i="202"/>
  <c r="H28" i="202"/>
  <c r="G28" i="202"/>
  <c r="F28" i="202"/>
  <c r="E28" i="202"/>
  <c r="D28" i="202"/>
  <c r="C28" i="202"/>
  <c r="B28" i="202"/>
  <c r="L27" i="202"/>
  <c r="K27" i="202"/>
  <c r="J27" i="202"/>
  <c r="I27" i="202"/>
  <c r="H27" i="202"/>
  <c r="G27" i="202"/>
  <c r="F27" i="202"/>
  <c r="E27" i="202"/>
  <c r="D27" i="202"/>
  <c r="C27" i="202"/>
  <c r="B27" i="202"/>
  <c r="L26" i="202"/>
  <c r="K26" i="202"/>
  <c r="J26" i="202"/>
  <c r="I26" i="202"/>
  <c r="H26" i="202"/>
  <c r="G26" i="202"/>
  <c r="F26" i="202"/>
  <c r="E26" i="202"/>
  <c r="D26" i="202"/>
  <c r="C26" i="202"/>
  <c r="C20" i="202"/>
  <c r="B20" i="202"/>
  <c r="L15" i="202"/>
  <c r="K15" i="202"/>
  <c r="J15" i="202"/>
  <c r="I15" i="202"/>
  <c r="H15" i="202"/>
  <c r="G15" i="202"/>
  <c r="F15" i="202"/>
  <c r="E15" i="202"/>
  <c r="D15" i="202"/>
  <c r="C15" i="202"/>
  <c r="B15" i="202"/>
  <c r="L14" i="202"/>
  <c r="K14" i="202"/>
  <c r="J14" i="202"/>
  <c r="I14" i="202"/>
  <c r="H14" i="202"/>
  <c r="G14" i="202"/>
  <c r="F14" i="202"/>
  <c r="E14" i="202"/>
  <c r="D14" i="202"/>
  <c r="C14" i="202"/>
  <c r="A10" i="202"/>
  <c r="A1" i="202"/>
  <c r="L119" i="201"/>
  <c r="K119" i="201"/>
  <c r="J119" i="201"/>
  <c r="I119" i="201"/>
  <c r="H119" i="201"/>
  <c r="G119" i="201"/>
  <c r="F119" i="201"/>
  <c r="E119" i="201"/>
  <c r="D119" i="201"/>
  <c r="C119" i="201"/>
  <c r="A119" i="201"/>
  <c r="L118" i="201"/>
  <c r="K118" i="201"/>
  <c r="J118" i="201"/>
  <c r="I118" i="201"/>
  <c r="H118" i="201"/>
  <c r="G118" i="201"/>
  <c r="F118" i="201"/>
  <c r="E118" i="201"/>
  <c r="D118" i="201"/>
  <c r="C118" i="201"/>
  <c r="L117" i="201"/>
  <c r="K117" i="201"/>
  <c r="J117" i="201"/>
  <c r="I117" i="201"/>
  <c r="H117" i="201"/>
  <c r="G117" i="201"/>
  <c r="F117" i="201"/>
  <c r="E117" i="201"/>
  <c r="D117" i="201"/>
  <c r="C117" i="201"/>
  <c r="L116" i="201"/>
  <c r="K116" i="201"/>
  <c r="J116" i="201"/>
  <c r="I116" i="201"/>
  <c r="H116" i="201"/>
  <c r="G116" i="201"/>
  <c r="F116" i="201"/>
  <c r="E116" i="201"/>
  <c r="D116" i="201"/>
  <c r="C116" i="201"/>
  <c r="L115" i="201"/>
  <c r="K115" i="201"/>
  <c r="J115" i="201"/>
  <c r="I115" i="201"/>
  <c r="H115" i="201"/>
  <c r="G115" i="201"/>
  <c r="F115" i="201"/>
  <c r="E115" i="201"/>
  <c r="D115" i="201"/>
  <c r="C115" i="201"/>
  <c r="L114" i="201"/>
  <c r="K114" i="201"/>
  <c r="J114" i="201"/>
  <c r="I114" i="201"/>
  <c r="H114" i="201"/>
  <c r="G114" i="201"/>
  <c r="F114" i="201"/>
  <c r="E114" i="201"/>
  <c r="D114" i="201"/>
  <c r="C114" i="201"/>
  <c r="L113" i="201"/>
  <c r="K113" i="201"/>
  <c r="J113" i="201"/>
  <c r="I113" i="201"/>
  <c r="H113" i="201"/>
  <c r="G113" i="201"/>
  <c r="F113" i="201"/>
  <c r="E113" i="201"/>
  <c r="D113" i="201"/>
  <c r="C113" i="201"/>
  <c r="L112" i="201"/>
  <c r="K112" i="201"/>
  <c r="J112" i="201"/>
  <c r="I112" i="201"/>
  <c r="H112" i="201"/>
  <c r="G112" i="201"/>
  <c r="F112" i="201"/>
  <c r="E112" i="201"/>
  <c r="D112" i="201"/>
  <c r="C112" i="201"/>
  <c r="L107" i="201"/>
  <c r="K107" i="201"/>
  <c r="J107" i="201"/>
  <c r="I107" i="201"/>
  <c r="H107" i="201"/>
  <c r="G107" i="201"/>
  <c r="F107" i="201"/>
  <c r="E107" i="201"/>
  <c r="D107" i="201"/>
  <c r="C107" i="201"/>
  <c r="L106" i="201"/>
  <c r="K106" i="201"/>
  <c r="J106" i="201"/>
  <c r="I106" i="201"/>
  <c r="H106" i="201"/>
  <c r="G106" i="201"/>
  <c r="F106" i="201"/>
  <c r="E106" i="201"/>
  <c r="D106" i="201"/>
  <c r="C106" i="201"/>
  <c r="L105" i="201"/>
  <c r="K105" i="201"/>
  <c r="J105" i="201"/>
  <c r="I105" i="201"/>
  <c r="H105" i="201"/>
  <c r="G105" i="201"/>
  <c r="F105" i="201"/>
  <c r="E105" i="201"/>
  <c r="D105" i="201"/>
  <c r="C105" i="201"/>
  <c r="L104" i="201"/>
  <c r="K104" i="201"/>
  <c r="J104" i="201"/>
  <c r="I104" i="201"/>
  <c r="H104" i="201"/>
  <c r="G104" i="201"/>
  <c r="F104" i="201"/>
  <c r="E104" i="201"/>
  <c r="D104" i="201"/>
  <c r="C104" i="201"/>
  <c r="L103" i="201"/>
  <c r="K103" i="201"/>
  <c r="J103" i="201"/>
  <c r="I103" i="201"/>
  <c r="H103" i="201"/>
  <c r="G103" i="201"/>
  <c r="F103" i="201"/>
  <c r="E103" i="201"/>
  <c r="D103" i="201"/>
  <c r="C103" i="201"/>
  <c r="L99" i="201"/>
  <c r="K99" i="201"/>
  <c r="J99" i="201"/>
  <c r="I99" i="201"/>
  <c r="H99" i="201"/>
  <c r="G99" i="201"/>
  <c r="F99" i="201"/>
  <c r="E99" i="201"/>
  <c r="D99" i="201"/>
  <c r="C99" i="201"/>
  <c r="L95" i="201"/>
  <c r="K95" i="201"/>
  <c r="J95" i="201"/>
  <c r="I95" i="201"/>
  <c r="H95" i="201"/>
  <c r="G95" i="201"/>
  <c r="F95" i="201"/>
  <c r="E95" i="201"/>
  <c r="D95" i="201"/>
  <c r="C95" i="201"/>
  <c r="L93" i="201"/>
  <c r="K93" i="201"/>
  <c r="J93" i="201"/>
  <c r="I93" i="201"/>
  <c r="H93" i="201"/>
  <c r="G93" i="201"/>
  <c r="F93" i="201"/>
  <c r="E93" i="201"/>
  <c r="D93" i="201"/>
  <c r="C93" i="201"/>
  <c r="L92" i="201"/>
  <c r="K92" i="201"/>
  <c r="J92" i="201"/>
  <c r="I92" i="201"/>
  <c r="H92" i="201"/>
  <c r="G92" i="201"/>
  <c r="F92" i="201"/>
  <c r="E92" i="201"/>
  <c r="D92" i="201"/>
  <c r="C92" i="201"/>
  <c r="L91" i="201"/>
  <c r="K91" i="201"/>
  <c r="J91" i="201"/>
  <c r="I91" i="201"/>
  <c r="H91" i="201"/>
  <c r="G91" i="201"/>
  <c r="F91" i="201"/>
  <c r="E91" i="201"/>
  <c r="D91" i="201"/>
  <c r="C91" i="201"/>
  <c r="L90" i="201"/>
  <c r="K90" i="201"/>
  <c r="J90" i="201"/>
  <c r="I90" i="201"/>
  <c r="H90" i="201"/>
  <c r="G90" i="201"/>
  <c r="F90" i="201"/>
  <c r="E90" i="201"/>
  <c r="D90" i="201"/>
  <c r="C90" i="201"/>
  <c r="L89" i="201"/>
  <c r="K89" i="201"/>
  <c r="J89" i="201"/>
  <c r="I89" i="201"/>
  <c r="H89" i="201"/>
  <c r="G89" i="201"/>
  <c r="F89" i="201"/>
  <c r="E89" i="201"/>
  <c r="D89" i="201"/>
  <c r="C89" i="201"/>
  <c r="L88" i="201"/>
  <c r="K88" i="201"/>
  <c r="J88" i="201"/>
  <c r="I88" i="201"/>
  <c r="H88" i="201"/>
  <c r="G88" i="201"/>
  <c r="F88" i="201"/>
  <c r="E88" i="201"/>
  <c r="D88" i="201"/>
  <c r="C88" i="201"/>
  <c r="L87" i="201"/>
  <c r="K87" i="201"/>
  <c r="J87" i="201"/>
  <c r="I87" i="201"/>
  <c r="H87" i="201"/>
  <c r="G87" i="201"/>
  <c r="F87" i="201"/>
  <c r="E87" i="201"/>
  <c r="D87" i="201"/>
  <c r="C87" i="201"/>
  <c r="L86" i="201"/>
  <c r="K86" i="201"/>
  <c r="J86" i="201"/>
  <c r="I86" i="201"/>
  <c r="H86" i="201"/>
  <c r="G86" i="201"/>
  <c r="F86" i="201"/>
  <c r="E86" i="201"/>
  <c r="D86" i="201"/>
  <c r="C86" i="201"/>
  <c r="L82" i="201"/>
  <c r="K82" i="201"/>
  <c r="J82" i="201"/>
  <c r="I82" i="201"/>
  <c r="H82" i="201"/>
  <c r="G82" i="201"/>
  <c r="F82" i="201"/>
  <c r="E82" i="201"/>
  <c r="D82" i="201"/>
  <c r="C82" i="201"/>
  <c r="L81" i="201"/>
  <c r="K81" i="201"/>
  <c r="J81" i="201"/>
  <c r="I81" i="201"/>
  <c r="H81" i="201"/>
  <c r="G81" i="201"/>
  <c r="F81" i="201"/>
  <c r="E81" i="201"/>
  <c r="D81" i="201"/>
  <c r="C81" i="201"/>
  <c r="L80" i="201"/>
  <c r="K80" i="201"/>
  <c r="J80" i="201"/>
  <c r="I80" i="201"/>
  <c r="H80" i="201"/>
  <c r="G80" i="201"/>
  <c r="F80" i="201"/>
  <c r="E80" i="201"/>
  <c r="D80" i="201"/>
  <c r="C80" i="201"/>
  <c r="L79" i="201"/>
  <c r="K79" i="201"/>
  <c r="J79" i="201"/>
  <c r="I79" i="201"/>
  <c r="H79" i="201"/>
  <c r="G79" i="201"/>
  <c r="F79" i="201"/>
  <c r="E79" i="201"/>
  <c r="D79" i="201"/>
  <c r="C79" i="201"/>
  <c r="L78" i="201"/>
  <c r="K78" i="201"/>
  <c r="J78" i="201"/>
  <c r="I78" i="201"/>
  <c r="H78" i="201"/>
  <c r="G78" i="201"/>
  <c r="F78" i="201"/>
  <c r="E78" i="201"/>
  <c r="D78" i="201"/>
  <c r="C78" i="201"/>
  <c r="L77" i="201"/>
  <c r="K77" i="201"/>
  <c r="J77" i="201"/>
  <c r="I77" i="201"/>
  <c r="H77" i="201"/>
  <c r="G77" i="201"/>
  <c r="F77" i="201"/>
  <c r="E77" i="201"/>
  <c r="D77" i="201"/>
  <c r="C77" i="201"/>
  <c r="L76" i="201"/>
  <c r="K76" i="201"/>
  <c r="J76" i="201"/>
  <c r="I76" i="201"/>
  <c r="H76" i="201"/>
  <c r="G76" i="201"/>
  <c r="F76" i="201"/>
  <c r="E76" i="201"/>
  <c r="D76" i="201"/>
  <c r="C76" i="201"/>
  <c r="L75" i="201"/>
  <c r="K75" i="201"/>
  <c r="J75" i="201"/>
  <c r="I75" i="201"/>
  <c r="H75" i="201"/>
  <c r="G75" i="201"/>
  <c r="F75" i="201"/>
  <c r="E75" i="201"/>
  <c r="D75" i="201"/>
  <c r="C75" i="201"/>
  <c r="L71" i="201"/>
  <c r="K71" i="201"/>
  <c r="J71" i="201"/>
  <c r="I71" i="201"/>
  <c r="H71" i="201"/>
  <c r="G71" i="201"/>
  <c r="F71" i="201"/>
  <c r="E71" i="201"/>
  <c r="D71" i="201"/>
  <c r="C71" i="201"/>
  <c r="L70" i="201"/>
  <c r="K70" i="201"/>
  <c r="J70" i="201"/>
  <c r="I70" i="201"/>
  <c r="H70" i="201"/>
  <c r="G70" i="201"/>
  <c r="F70" i="201"/>
  <c r="E70" i="201"/>
  <c r="D70" i="201"/>
  <c r="C70" i="201"/>
  <c r="L69" i="201"/>
  <c r="K69" i="201"/>
  <c r="J69" i="201"/>
  <c r="I69" i="201"/>
  <c r="H69" i="201"/>
  <c r="G69" i="201"/>
  <c r="F69" i="201"/>
  <c r="E69" i="201"/>
  <c r="D69" i="201"/>
  <c r="C69" i="201"/>
  <c r="L68" i="201"/>
  <c r="K68" i="201"/>
  <c r="J68" i="201"/>
  <c r="I68" i="201"/>
  <c r="H68" i="201"/>
  <c r="G68" i="201"/>
  <c r="F68" i="201"/>
  <c r="E68" i="201"/>
  <c r="D68" i="201"/>
  <c r="C68" i="201"/>
  <c r="L67" i="201"/>
  <c r="K67" i="201"/>
  <c r="J67" i="201"/>
  <c r="I67" i="201"/>
  <c r="H67" i="201"/>
  <c r="G67" i="201"/>
  <c r="F67" i="201"/>
  <c r="E67" i="201"/>
  <c r="D67" i="201"/>
  <c r="C67" i="201"/>
  <c r="L66" i="201"/>
  <c r="K66" i="201"/>
  <c r="J66" i="201"/>
  <c r="I66" i="201"/>
  <c r="H66" i="201"/>
  <c r="G66" i="201"/>
  <c r="F66" i="201"/>
  <c r="E66" i="201"/>
  <c r="D66" i="201"/>
  <c r="C66" i="201"/>
  <c r="L65" i="201"/>
  <c r="K65" i="201"/>
  <c r="J65" i="201"/>
  <c r="I65" i="201"/>
  <c r="H65" i="201"/>
  <c r="G65" i="201"/>
  <c r="F65" i="201"/>
  <c r="E65" i="201"/>
  <c r="D65" i="201"/>
  <c r="C65" i="201"/>
  <c r="L64" i="201"/>
  <c r="K64" i="201"/>
  <c r="J64" i="201"/>
  <c r="I64" i="201"/>
  <c r="H64" i="201"/>
  <c r="G64" i="201"/>
  <c r="F64" i="201"/>
  <c r="E64" i="201"/>
  <c r="D64" i="201"/>
  <c r="C64" i="201"/>
  <c r="L58" i="201"/>
  <c r="K58" i="201"/>
  <c r="J58" i="201"/>
  <c r="I58" i="201"/>
  <c r="H58" i="201"/>
  <c r="G58" i="201"/>
  <c r="F58" i="201"/>
  <c r="E58" i="201"/>
  <c r="D58" i="201"/>
  <c r="C58" i="201"/>
  <c r="L57" i="201"/>
  <c r="K57" i="201"/>
  <c r="J57" i="201"/>
  <c r="I57" i="201"/>
  <c r="H57" i="201"/>
  <c r="G57" i="201"/>
  <c r="F57" i="201"/>
  <c r="E57" i="201"/>
  <c r="D57" i="201"/>
  <c r="C57" i="201"/>
  <c r="I53" i="201"/>
  <c r="H53" i="201"/>
  <c r="G53" i="201"/>
  <c r="F53" i="201"/>
  <c r="E53" i="201"/>
  <c r="D53" i="201"/>
  <c r="C53" i="201"/>
  <c r="B53" i="201"/>
  <c r="I52" i="201"/>
  <c r="H52" i="201"/>
  <c r="G52" i="201"/>
  <c r="F52" i="201"/>
  <c r="E52" i="201"/>
  <c r="D52" i="201"/>
  <c r="C52" i="201"/>
  <c r="B52" i="201"/>
  <c r="J51" i="201"/>
  <c r="I51" i="201"/>
  <c r="H51" i="201"/>
  <c r="G51" i="201"/>
  <c r="F51" i="201"/>
  <c r="E51" i="201"/>
  <c r="D51" i="201"/>
  <c r="C51" i="201"/>
  <c r="B51" i="201"/>
  <c r="L44" i="201"/>
  <c r="K44" i="201"/>
  <c r="J44" i="201"/>
  <c r="I44" i="201"/>
  <c r="H44" i="201"/>
  <c r="G44" i="201"/>
  <c r="F44" i="201"/>
  <c r="E44" i="201"/>
  <c r="D44" i="201"/>
  <c r="C44" i="201"/>
  <c r="L43" i="201"/>
  <c r="K43" i="201"/>
  <c r="J43" i="201"/>
  <c r="I43" i="201"/>
  <c r="H43" i="201"/>
  <c r="G43" i="201"/>
  <c r="F43" i="201"/>
  <c r="E43" i="201"/>
  <c r="D43" i="201"/>
  <c r="C43" i="201"/>
  <c r="D41" i="201"/>
  <c r="C39" i="201"/>
  <c r="C35" i="201"/>
  <c r="B35" i="201"/>
  <c r="C34" i="201"/>
  <c r="B34" i="201"/>
  <c r="C33" i="201"/>
  <c r="B33" i="201"/>
  <c r="L29" i="201"/>
  <c r="K29" i="201"/>
  <c r="J29" i="201"/>
  <c r="I29" i="201"/>
  <c r="H29" i="201"/>
  <c r="G29" i="201"/>
  <c r="F29" i="201"/>
  <c r="E29" i="201"/>
  <c r="D29" i="201"/>
  <c r="C29" i="201"/>
  <c r="B29" i="201"/>
  <c r="L28" i="201"/>
  <c r="K28" i="201"/>
  <c r="J28" i="201"/>
  <c r="I28" i="201"/>
  <c r="H28" i="201"/>
  <c r="G28" i="201"/>
  <c r="F28" i="201"/>
  <c r="E28" i="201"/>
  <c r="D28" i="201"/>
  <c r="C28" i="201"/>
  <c r="B28" i="201"/>
  <c r="L27" i="201"/>
  <c r="K27" i="201"/>
  <c r="J27" i="201"/>
  <c r="I27" i="201"/>
  <c r="H27" i="201"/>
  <c r="G27" i="201"/>
  <c r="F27" i="201"/>
  <c r="E27" i="201"/>
  <c r="D27" i="201"/>
  <c r="C27" i="201"/>
  <c r="B27" i="201"/>
  <c r="L26" i="201"/>
  <c r="K26" i="201"/>
  <c r="J26" i="201"/>
  <c r="I26" i="201"/>
  <c r="H26" i="201"/>
  <c r="G26" i="201"/>
  <c r="F26" i="201"/>
  <c r="E26" i="201"/>
  <c r="D26" i="201"/>
  <c r="C26" i="201"/>
  <c r="C20" i="201"/>
  <c r="B20" i="201"/>
  <c r="L15" i="201"/>
  <c r="K15" i="201"/>
  <c r="J15" i="201"/>
  <c r="I15" i="201"/>
  <c r="H15" i="201"/>
  <c r="G15" i="201"/>
  <c r="F15" i="201"/>
  <c r="E15" i="201"/>
  <c r="D15" i="201"/>
  <c r="C15" i="201"/>
  <c r="B15" i="201"/>
  <c r="L14" i="201"/>
  <c r="K14" i="201"/>
  <c r="J14" i="201"/>
  <c r="I14" i="201"/>
  <c r="H14" i="201"/>
  <c r="G14" i="201"/>
  <c r="F14" i="201"/>
  <c r="E14" i="201"/>
  <c r="D14" i="201"/>
  <c r="C14" i="201"/>
  <c r="A10" i="201"/>
  <c r="A1" i="201"/>
  <c r="L119" i="200"/>
  <c r="K119" i="200"/>
  <c r="J119" i="200"/>
  <c r="I119" i="200"/>
  <c r="H119" i="200"/>
  <c r="G119" i="200"/>
  <c r="F119" i="200"/>
  <c r="E119" i="200"/>
  <c r="D119" i="200"/>
  <c r="C119" i="200"/>
  <c r="A119" i="200"/>
  <c r="L118" i="200"/>
  <c r="K118" i="200"/>
  <c r="J118" i="200"/>
  <c r="I118" i="200"/>
  <c r="H118" i="200"/>
  <c r="G118" i="200"/>
  <c r="F118" i="200"/>
  <c r="E118" i="200"/>
  <c r="D118" i="200"/>
  <c r="C118" i="200"/>
  <c r="L117" i="200"/>
  <c r="K117" i="200"/>
  <c r="J117" i="200"/>
  <c r="I117" i="200"/>
  <c r="H117" i="200"/>
  <c r="G117" i="200"/>
  <c r="F117" i="200"/>
  <c r="E117" i="200"/>
  <c r="D117" i="200"/>
  <c r="C117" i="200"/>
  <c r="L116" i="200"/>
  <c r="K116" i="200"/>
  <c r="J116" i="200"/>
  <c r="I116" i="200"/>
  <c r="H116" i="200"/>
  <c r="G116" i="200"/>
  <c r="F116" i="200"/>
  <c r="E116" i="200"/>
  <c r="D116" i="200"/>
  <c r="C116" i="200"/>
  <c r="L115" i="200"/>
  <c r="K115" i="200"/>
  <c r="J115" i="200"/>
  <c r="I115" i="200"/>
  <c r="H115" i="200"/>
  <c r="G115" i="200"/>
  <c r="F115" i="200"/>
  <c r="E115" i="200"/>
  <c r="D115" i="200"/>
  <c r="C115" i="200"/>
  <c r="L114" i="200"/>
  <c r="K114" i="200"/>
  <c r="J114" i="200"/>
  <c r="I114" i="200"/>
  <c r="H114" i="200"/>
  <c r="G114" i="200"/>
  <c r="F114" i="200"/>
  <c r="E114" i="200"/>
  <c r="D114" i="200"/>
  <c r="C114" i="200"/>
  <c r="L113" i="200"/>
  <c r="K113" i="200"/>
  <c r="J113" i="200"/>
  <c r="I113" i="200"/>
  <c r="H113" i="200"/>
  <c r="G113" i="200"/>
  <c r="F113" i="200"/>
  <c r="E113" i="200"/>
  <c r="D113" i="200"/>
  <c r="C113" i="200"/>
  <c r="L112" i="200"/>
  <c r="K112" i="200"/>
  <c r="J112" i="200"/>
  <c r="I112" i="200"/>
  <c r="H112" i="200"/>
  <c r="G112" i="200"/>
  <c r="F112" i="200"/>
  <c r="E112" i="200"/>
  <c r="D112" i="200"/>
  <c r="C112" i="200"/>
  <c r="L107" i="200"/>
  <c r="K107" i="200"/>
  <c r="J107" i="200"/>
  <c r="I107" i="200"/>
  <c r="H107" i="200"/>
  <c r="G107" i="200"/>
  <c r="F107" i="200"/>
  <c r="E107" i="200"/>
  <c r="D107" i="200"/>
  <c r="C107" i="200"/>
  <c r="L106" i="200"/>
  <c r="K106" i="200"/>
  <c r="J106" i="200"/>
  <c r="I106" i="200"/>
  <c r="H106" i="200"/>
  <c r="G106" i="200"/>
  <c r="F106" i="200"/>
  <c r="E106" i="200"/>
  <c r="D106" i="200"/>
  <c r="C106" i="200"/>
  <c r="L105" i="200"/>
  <c r="K105" i="200"/>
  <c r="J105" i="200"/>
  <c r="I105" i="200"/>
  <c r="H105" i="200"/>
  <c r="G105" i="200"/>
  <c r="F105" i="200"/>
  <c r="E105" i="200"/>
  <c r="D105" i="200"/>
  <c r="C105" i="200"/>
  <c r="L104" i="200"/>
  <c r="K104" i="200"/>
  <c r="J104" i="200"/>
  <c r="I104" i="200"/>
  <c r="H104" i="200"/>
  <c r="G104" i="200"/>
  <c r="F104" i="200"/>
  <c r="E104" i="200"/>
  <c r="D104" i="200"/>
  <c r="C104" i="200"/>
  <c r="L103" i="200"/>
  <c r="K103" i="200"/>
  <c r="J103" i="200"/>
  <c r="I103" i="200"/>
  <c r="H103" i="200"/>
  <c r="G103" i="200"/>
  <c r="F103" i="200"/>
  <c r="E103" i="200"/>
  <c r="D103" i="200"/>
  <c r="C103" i="200"/>
  <c r="L99" i="200"/>
  <c r="K99" i="200"/>
  <c r="J99" i="200"/>
  <c r="I99" i="200"/>
  <c r="H99" i="200"/>
  <c r="G99" i="200"/>
  <c r="F99" i="200"/>
  <c r="E99" i="200"/>
  <c r="D99" i="200"/>
  <c r="C99" i="200"/>
  <c r="L95" i="200"/>
  <c r="K95" i="200"/>
  <c r="J95" i="200"/>
  <c r="I95" i="200"/>
  <c r="H95" i="200"/>
  <c r="G95" i="200"/>
  <c r="F95" i="200"/>
  <c r="E95" i="200"/>
  <c r="D95" i="200"/>
  <c r="C95" i="200"/>
  <c r="L93" i="200"/>
  <c r="K93" i="200"/>
  <c r="J93" i="200"/>
  <c r="I93" i="200"/>
  <c r="H93" i="200"/>
  <c r="G93" i="200"/>
  <c r="F93" i="200"/>
  <c r="E93" i="200"/>
  <c r="D93" i="200"/>
  <c r="C93" i="200"/>
  <c r="L92" i="200"/>
  <c r="K92" i="200"/>
  <c r="J92" i="200"/>
  <c r="I92" i="200"/>
  <c r="H92" i="200"/>
  <c r="G92" i="200"/>
  <c r="F92" i="200"/>
  <c r="E92" i="200"/>
  <c r="D92" i="200"/>
  <c r="C92" i="200"/>
  <c r="L91" i="200"/>
  <c r="K91" i="200"/>
  <c r="J91" i="200"/>
  <c r="I91" i="200"/>
  <c r="H91" i="200"/>
  <c r="G91" i="200"/>
  <c r="F91" i="200"/>
  <c r="E91" i="200"/>
  <c r="D91" i="200"/>
  <c r="C91" i="200"/>
  <c r="L90" i="200"/>
  <c r="K90" i="200"/>
  <c r="J90" i="200"/>
  <c r="I90" i="200"/>
  <c r="H90" i="200"/>
  <c r="G90" i="200"/>
  <c r="F90" i="200"/>
  <c r="E90" i="200"/>
  <c r="D90" i="200"/>
  <c r="C90" i="200"/>
  <c r="L89" i="200"/>
  <c r="K89" i="200"/>
  <c r="J89" i="200"/>
  <c r="I89" i="200"/>
  <c r="H89" i="200"/>
  <c r="G89" i="200"/>
  <c r="F89" i="200"/>
  <c r="E89" i="200"/>
  <c r="D89" i="200"/>
  <c r="C89" i="200"/>
  <c r="L88" i="200"/>
  <c r="K88" i="200"/>
  <c r="J88" i="200"/>
  <c r="I88" i="200"/>
  <c r="H88" i="200"/>
  <c r="G88" i="200"/>
  <c r="F88" i="200"/>
  <c r="E88" i="200"/>
  <c r="D88" i="200"/>
  <c r="C88" i="200"/>
  <c r="L87" i="200"/>
  <c r="K87" i="200"/>
  <c r="J87" i="200"/>
  <c r="I87" i="200"/>
  <c r="H87" i="200"/>
  <c r="G87" i="200"/>
  <c r="F87" i="200"/>
  <c r="E87" i="200"/>
  <c r="D87" i="200"/>
  <c r="C87" i="200"/>
  <c r="L86" i="200"/>
  <c r="K86" i="200"/>
  <c r="J86" i="200"/>
  <c r="I86" i="200"/>
  <c r="H86" i="200"/>
  <c r="G86" i="200"/>
  <c r="F86" i="200"/>
  <c r="E86" i="200"/>
  <c r="D86" i="200"/>
  <c r="C86" i="200"/>
  <c r="L82" i="200"/>
  <c r="K82" i="200"/>
  <c r="J82" i="200"/>
  <c r="I82" i="200"/>
  <c r="H82" i="200"/>
  <c r="G82" i="200"/>
  <c r="F82" i="200"/>
  <c r="E82" i="200"/>
  <c r="D82" i="200"/>
  <c r="C82" i="200"/>
  <c r="L81" i="200"/>
  <c r="K81" i="200"/>
  <c r="J81" i="200"/>
  <c r="I81" i="200"/>
  <c r="H81" i="200"/>
  <c r="G81" i="200"/>
  <c r="F81" i="200"/>
  <c r="E81" i="200"/>
  <c r="D81" i="200"/>
  <c r="C81" i="200"/>
  <c r="L80" i="200"/>
  <c r="K80" i="200"/>
  <c r="J80" i="200"/>
  <c r="I80" i="200"/>
  <c r="H80" i="200"/>
  <c r="G80" i="200"/>
  <c r="F80" i="200"/>
  <c r="E80" i="200"/>
  <c r="D80" i="200"/>
  <c r="C80" i="200"/>
  <c r="L79" i="200"/>
  <c r="K79" i="200"/>
  <c r="J79" i="200"/>
  <c r="I79" i="200"/>
  <c r="H79" i="200"/>
  <c r="G79" i="200"/>
  <c r="F79" i="200"/>
  <c r="E79" i="200"/>
  <c r="D79" i="200"/>
  <c r="C79" i="200"/>
  <c r="L78" i="200"/>
  <c r="K78" i="200"/>
  <c r="J78" i="200"/>
  <c r="I78" i="200"/>
  <c r="H78" i="200"/>
  <c r="G78" i="200"/>
  <c r="F78" i="200"/>
  <c r="E78" i="200"/>
  <c r="D78" i="200"/>
  <c r="C78" i="200"/>
  <c r="L77" i="200"/>
  <c r="K77" i="200"/>
  <c r="J77" i="200"/>
  <c r="I77" i="200"/>
  <c r="H77" i="200"/>
  <c r="G77" i="200"/>
  <c r="F77" i="200"/>
  <c r="E77" i="200"/>
  <c r="D77" i="200"/>
  <c r="C77" i="200"/>
  <c r="L76" i="200"/>
  <c r="K76" i="200"/>
  <c r="J76" i="200"/>
  <c r="I76" i="200"/>
  <c r="H76" i="200"/>
  <c r="G76" i="200"/>
  <c r="F76" i="200"/>
  <c r="E76" i="200"/>
  <c r="D76" i="200"/>
  <c r="C76" i="200"/>
  <c r="L75" i="200"/>
  <c r="K75" i="200"/>
  <c r="J75" i="200"/>
  <c r="I75" i="200"/>
  <c r="H75" i="200"/>
  <c r="G75" i="200"/>
  <c r="F75" i="200"/>
  <c r="E75" i="200"/>
  <c r="D75" i="200"/>
  <c r="C75" i="200"/>
  <c r="L71" i="200"/>
  <c r="K71" i="200"/>
  <c r="J71" i="200"/>
  <c r="I71" i="200"/>
  <c r="H71" i="200"/>
  <c r="G71" i="200"/>
  <c r="F71" i="200"/>
  <c r="E71" i="200"/>
  <c r="D71" i="200"/>
  <c r="C71" i="200"/>
  <c r="L70" i="200"/>
  <c r="K70" i="200"/>
  <c r="J70" i="200"/>
  <c r="I70" i="200"/>
  <c r="H70" i="200"/>
  <c r="G70" i="200"/>
  <c r="F70" i="200"/>
  <c r="E70" i="200"/>
  <c r="D70" i="200"/>
  <c r="C70" i="200"/>
  <c r="L69" i="200"/>
  <c r="K69" i="200"/>
  <c r="J69" i="200"/>
  <c r="I69" i="200"/>
  <c r="H69" i="200"/>
  <c r="G69" i="200"/>
  <c r="F69" i="200"/>
  <c r="E69" i="200"/>
  <c r="D69" i="200"/>
  <c r="C69" i="200"/>
  <c r="L68" i="200"/>
  <c r="K68" i="200"/>
  <c r="J68" i="200"/>
  <c r="I68" i="200"/>
  <c r="H68" i="200"/>
  <c r="G68" i="200"/>
  <c r="F68" i="200"/>
  <c r="E68" i="200"/>
  <c r="D68" i="200"/>
  <c r="C68" i="200"/>
  <c r="L67" i="200"/>
  <c r="K67" i="200"/>
  <c r="J67" i="200"/>
  <c r="I67" i="200"/>
  <c r="H67" i="200"/>
  <c r="G67" i="200"/>
  <c r="F67" i="200"/>
  <c r="E67" i="200"/>
  <c r="D67" i="200"/>
  <c r="C67" i="200"/>
  <c r="L66" i="200"/>
  <c r="K66" i="200"/>
  <c r="J66" i="200"/>
  <c r="I66" i="200"/>
  <c r="H66" i="200"/>
  <c r="G66" i="200"/>
  <c r="F66" i="200"/>
  <c r="E66" i="200"/>
  <c r="D66" i="200"/>
  <c r="C66" i="200"/>
  <c r="L65" i="200"/>
  <c r="K65" i="200"/>
  <c r="J65" i="200"/>
  <c r="I65" i="200"/>
  <c r="H65" i="200"/>
  <c r="G65" i="200"/>
  <c r="F65" i="200"/>
  <c r="E65" i="200"/>
  <c r="D65" i="200"/>
  <c r="C65" i="200"/>
  <c r="L64" i="200"/>
  <c r="K64" i="200"/>
  <c r="J64" i="200"/>
  <c r="I64" i="200"/>
  <c r="H64" i="200"/>
  <c r="G64" i="200"/>
  <c r="F64" i="200"/>
  <c r="E64" i="200"/>
  <c r="D64" i="200"/>
  <c r="C64" i="200"/>
  <c r="L58" i="200"/>
  <c r="K58" i="200"/>
  <c r="J58" i="200"/>
  <c r="I58" i="200"/>
  <c r="H58" i="200"/>
  <c r="G58" i="200"/>
  <c r="F58" i="200"/>
  <c r="E58" i="200"/>
  <c r="D58" i="200"/>
  <c r="C58" i="200"/>
  <c r="L57" i="200"/>
  <c r="K57" i="200"/>
  <c r="J57" i="200"/>
  <c r="I57" i="200"/>
  <c r="H57" i="200"/>
  <c r="G57" i="200"/>
  <c r="F57" i="200"/>
  <c r="E57" i="200"/>
  <c r="D57" i="200"/>
  <c r="C57" i="200"/>
  <c r="I53" i="200"/>
  <c r="H53" i="200"/>
  <c r="G53" i="200"/>
  <c r="F53" i="200"/>
  <c r="E53" i="200"/>
  <c r="D53" i="200"/>
  <c r="C53" i="200"/>
  <c r="B53" i="200"/>
  <c r="I52" i="200"/>
  <c r="H52" i="200"/>
  <c r="G52" i="200"/>
  <c r="F52" i="200"/>
  <c r="E52" i="200"/>
  <c r="D52" i="200"/>
  <c r="C52" i="200"/>
  <c r="B52" i="200"/>
  <c r="J51" i="200"/>
  <c r="I51" i="200"/>
  <c r="H51" i="200"/>
  <c r="G51" i="200"/>
  <c r="F51" i="200"/>
  <c r="E51" i="200"/>
  <c r="D51" i="200"/>
  <c r="C51" i="200"/>
  <c r="B51" i="200"/>
  <c r="L44" i="200"/>
  <c r="K44" i="200"/>
  <c r="J44" i="200"/>
  <c r="I44" i="200"/>
  <c r="H44" i="200"/>
  <c r="G44" i="200"/>
  <c r="F44" i="200"/>
  <c r="E44" i="200"/>
  <c r="D44" i="200"/>
  <c r="C44" i="200"/>
  <c r="L43" i="200"/>
  <c r="K43" i="200"/>
  <c r="J43" i="200"/>
  <c r="I43" i="200"/>
  <c r="H43" i="200"/>
  <c r="G43" i="200"/>
  <c r="F43" i="200"/>
  <c r="E43" i="200"/>
  <c r="D43" i="200"/>
  <c r="C43" i="200"/>
  <c r="D41" i="200"/>
  <c r="C39" i="200"/>
  <c r="C35" i="200"/>
  <c r="B35" i="200"/>
  <c r="C34" i="200"/>
  <c r="B34" i="200"/>
  <c r="C33" i="200"/>
  <c r="B33" i="200"/>
  <c r="L29" i="200"/>
  <c r="K29" i="200"/>
  <c r="J29" i="200"/>
  <c r="I29" i="200"/>
  <c r="H29" i="200"/>
  <c r="G29" i="200"/>
  <c r="F29" i="200"/>
  <c r="E29" i="200"/>
  <c r="D29" i="200"/>
  <c r="C29" i="200"/>
  <c r="B29" i="200"/>
  <c r="L28" i="200"/>
  <c r="K28" i="200"/>
  <c r="J28" i="200"/>
  <c r="I28" i="200"/>
  <c r="H28" i="200"/>
  <c r="G28" i="200"/>
  <c r="F28" i="200"/>
  <c r="E28" i="200"/>
  <c r="D28" i="200"/>
  <c r="C28" i="200"/>
  <c r="B28" i="200"/>
  <c r="L27" i="200"/>
  <c r="K27" i="200"/>
  <c r="J27" i="200"/>
  <c r="I27" i="200"/>
  <c r="H27" i="200"/>
  <c r="G27" i="200"/>
  <c r="F27" i="200"/>
  <c r="E27" i="200"/>
  <c r="D27" i="200"/>
  <c r="C27" i="200"/>
  <c r="B27" i="200"/>
  <c r="L26" i="200"/>
  <c r="K26" i="200"/>
  <c r="J26" i="200"/>
  <c r="I26" i="200"/>
  <c r="H26" i="200"/>
  <c r="G26" i="200"/>
  <c r="F26" i="200"/>
  <c r="E26" i="200"/>
  <c r="D26" i="200"/>
  <c r="C26" i="200"/>
  <c r="C20" i="200"/>
  <c r="B20" i="200"/>
  <c r="L15" i="200"/>
  <c r="K15" i="200"/>
  <c r="J15" i="200"/>
  <c r="I15" i="200"/>
  <c r="H15" i="200"/>
  <c r="G15" i="200"/>
  <c r="F15" i="200"/>
  <c r="E15" i="200"/>
  <c r="D15" i="200"/>
  <c r="C15" i="200"/>
  <c r="B15" i="200"/>
  <c r="L14" i="200"/>
  <c r="K14" i="200"/>
  <c r="J14" i="200"/>
  <c r="I14" i="200"/>
  <c r="H14" i="200"/>
  <c r="G14" i="200"/>
  <c r="F14" i="200"/>
  <c r="E14" i="200"/>
  <c r="D14" i="200"/>
  <c r="C14" i="200"/>
  <c r="A10" i="200"/>
  <c r="A1" i="200"/>
  <c r="L172" i="199"/>
  <c r="K172" i="199"/>
  <c r="J172" i="199"/>
  <c r="I172" i="199"/>
  <c r="H172" i="199"/>
  <c r="G172" i="199"/>
  <c r="F172" i="199"/>
  <c r="E172" i="199"/>
  <c r="D172" i="199"/>
  <c r="C172" i="199"/>
  <c r="L169" i="199"/>
  <c r="K169" i="199"/>
  <c r="J169" i="199"/>
  <c r="I169" i="199"/>
  <c r="H169" i="199"/>
  <c r="G169" i="199"/>
  <c r="F169" i="199"/>
  <c r="E169" i="199"/>
  <c r="D169" i="199"/>
  <c r="C169" i="199"/>
  <c r="L159" i="199"/>
  <c r="K159" i="199"/>
  <c r="J159" i="199"/>
  <c r="I159" i="199"/>
  <c r="H159" i="199"/>
  <c r="G159" i="199"/>
  <c r="F159" i="199"/>
  <c r="E159" i="199"/>
  <c r="D159" i="199"/>
  <c r="C159" i="199"/>
  <c r="L157" i="199"/>
  <c r="K157" i="199"/>
  <c r="J157" i="199"/>
  <c r="I157" i="199"/>
  <c r="H157" i="199"/>
  <c r="G157" i="199"/>
  <c r="F157" i="199"/>
  <c r="E157" i="199"/>
  <c r="D157" i="199"/>
  <c r="C157" i="199"/>
  <c r="A157" i="199"/>
  <c r="L156" i="199"/>
  <c r="K156" i="199"/>
  <c r="J156" i="199"/>
  <c r="I156" i="199"/>
  <c r="H156" i="199"/>
  <c r="G156" i="199"/>
  <c r="F156" i="199"/>
  <c r="E156" i="199"/>
  <c r="D156" i="199"/>
  <c r="C156" i="199"/>
  <c r="B156" i="199"/>
  <c r="L155" i="199"/>
  <c r="K155" i="199"/>
  <c r="J155" i="199"/>
  <c r="I155" i="199"/>
  <c r="H155" i="199"/>
  <c r="G155" i="199"/>
  <c r="F155" i="199"/>
  <c r="E155" i="199"/>
  <c r="D155" i="199"/>
  <c r="C155" i="199"/>
  <c r="B155" i="199"/>
  <c r="L154" i="199"/>
  <c r="K154" i="199"/>
  <c r="J154" i="199"/>
  <c r="I154" i="199"/>
  <c r="H154" i="199"/>
  <c r="G154" i="199"/>
  <c r="F154" i="199"/>
  <c r="E154" i="199"/>
  <c r="D154" i="199"/>
  <c r="C154" i="199"/>
  <c r="B154" i="199"/>
  <c r="L153" i="199"/>
  <c r="K153" i="199"/>
  <c r="J153" i="199"/>
  <c r="I153" i="199"/>
  <c r="H153" i="199"/>
  <c r="G153" i="199"/>
  <c r="F153" i="199"/>
  <c r="E153" i="199"/>
  <c r="D153" i="199"/>
  <c r="C153" i="199"/>
  <c r="B153" i="199"/>
  <c r="L151" i="199"/>
  <c r="K151" i="199"/>
  <c r="J151" i="199"/>
  <c r="I151" i="199"/>
  <c r="H151" i="199"/>
  <c r="G151" i="199"/>
  <c r="F151" i="199"/>
  <c r="E151" i="199"/>
  <c r="D151" i="199"/>
  <c r="C151" i="199"/>
  <c r="B151" i="199"/>
  <c r="L150" i="199"/>
  <c r="K150" i="199"/>
  <c r="J150" i="199"/>
  <c r="I150" i="199"/>
  <c r="H150" i="199"/>
  <c r="G150" i="199"/>
  <c r="F150" i="199"/>
  <c r="E150" i="199"/>
  <c r="D150" i="199"/>
  <c r="C150" i="199"/>
  <c r="B150" i="199"/>
  <c r="L149" i="199"/>
  <c r="K149" i="199"/>
  <c r="J149" i="199"/>
  <c r="I149" i="199"/>
  <c r="H149" i="199"/>
  <c r="G149" i="199"/>
  <c r="F149" i="199"/>
  <c r="E149" i="199"/>
  <c r="D149" i="199"/>
  <c r="C149" i="199"/>
  <c r="B149" i="199"/>
  <c r="L148" i="199"/>
  <c r="K148" i="199"/>
  <c r="J148" i="199"/>
  <c r="I148" i="199"/>
  <c r="H148" i="199"/>
  <c r="G148" i="199"/>
  <c r="F148" i="199"/>
  <c r="E148" i="199"/>
  <c r="D148" i="199"/>
  <c r="C148" i="199"/>
  <c r="B148" i="199"/>
  <c r="L146" i="199"/>
  <c r="K146" i="199"/>
  <c r="J146" i="199"/>
  <c r="I146" i="199"/>
  <c r="H146" i="199"/>
  <c r="G146" i="199"/>
  <c r="F146" i="199"/>
  <c r="E146" i="199"/>
  <c r="D146" i="199"/>
  <c r="C146" i="199"/>
  <c r="L142" i="199"/>
  <c r="K142" i="199"/>
  <c r="J142" i="199"/>
  <c r="I142" i="199"/>
  <c r="H142" i="199"/>
  <c r="G142" i="199"/>
  <c r="F142" i="199"/>
  <c r="E142" i="199"/>
  <c r="D142" i="199"/>
  <c r="C142" i="199"/>
  <c r="B142" i="199"/>
  <c r="L141" i="199"/>
  <c r="K141" i="199"/>
  <c r="J141" i="199"/>
  <c r="I141" i="199"/>
  <c r="H141" i="199"/>
  <c r="G141" i="199"/>
  <c r="F141" i="199"/>
  <c r="E141" i="199"/>
  <c r="D141" i="199"/>
  <c r="C141" i="199"/>
  <c r="B141" i="199"/>
  <c r="L140" i="199"/>
  <c r="K140" i="199"/>
  <c r="J140" i="199"/>
  <c r="I140" i="199"/>
  <c r="H140" i="199"/>
  <c r="G140" i="199"/>
  <c r="F140" i="199"/>
  <c r="E140" i="199"/>
  <c r="D140" i="199"/>
  <c r="C140" i="199"/>
  <c r="F138" i="199"/>
  <c r="F137" i="199"/>
  <c r="L119" i="199"/>
  <c r="K119" i="199"/>
  <c r="J119" i="199"/>
  <c r="I119" i="199"/>
  <c r="H119" i="199"/>
  <c r="G119" i="199"/>
  <c r="F119" i="199"/>
  <c r="E119" i="199"/>
  <c r="D119" i="199"/>
  <c r="C119" i="199"/>
  <c r="A119" i="199"/>
  <c r="L118" i="199"/>
  <c r="K118" i="199"/>
  <c r="J118" i="199"/>
  <c r="I118" i="199"/>
  <c r="H118" i="199"/>
  <c r="G118" i="199"/>
  <c r="F118" i="199"/>
  <c r="E118" i="199"/>
  <c r="D118" i="199"/>
  <c r="C118" i="199"/>
  <c r="L117" i="199"/>
  <c r="K117" i="199"/>
  <c r="J117" i="199"/>
  <c r="I117" i="199"/>
  <c r="H117" i="199"/>
  <c r="G117" i="199"/>
  <c r="F117" i="199"/>
  <c r="E117" i="199"/>
  <c r="D117" i="199"/>
  <c r="C117" i="199"/>
  <c r="L116" i="199"/>
  <c r="K116" i="199"/>
  <c r="J116" i="199"/>
  <c r="I116" i="199"/>
  <c r="H116" i="199"/>
  <c r="G116" i="199"/>
  <c r="F116" i="199"/>
  <c r="E116" i="199"/>
  <c r="D116" i="199"/>
  <c r="C116" i="199"/>
  <c r="L115" i="199"/>
  <c r="K115" i="199"/>
  <c r="J115" i="199"/>
  <c r="I115" i="199"/>
  <c r="H115" i="199"/>
  <c r="G115" i="199"/>
  <c r="F115" i="199"/>
  <c r="E115" i="199"/>
  <c r="D115" i="199"/>
  <c r="C115" i="199"/>
  <c r="L114" i="199"/>
  <c r="K114" i="199"/>
  <c r="J114" i="199"/>
  <c r="I114" i="199"/>
  <c r="H114" i="199"/>
  <c r="G114" i="199"/>
  <c r="F114" i="199"/>
  <c r="E114" i="199"/>
  <c r="D114" i="199"/>
  <c r="C114" i="199"/>
  <c r="L113" i="199"/>
  <c r="K113" i="199"/>
  <c r="J113" i="199"/>
  <c r="I113" i="199"/>
  <c r="H113" i="199"/>
  <c r="G113" i="199"/>
  <c r="F113" i="199"/>
  <c r="E113" i="199"/>
  <c r="D113" i="199"/>
  <c r="C113" i="199"/>
  <c r="L112" i="199"/>
  <c r="K112" i="199"/>
  <c r="J112" i="199"/>
  <c r="I112" i="199"/>
  <c r="H112" i="199"/>
  <c r="G112" i="199"/>
  <c r="F112" i="199"/>
  <c r="E112" i="199"/>
  <c r="D112" i="199"/>
  <c r="C112" i="199"/>
  <c r="L107" i="199"/>
  <c r="K107" i="199"/>
  <c r="J107" i="199"/>
  <c r="I107" i="199"/>
  <c r="H107" i="199"/>
  <c r="G107" i="199"/>
  <c r="F107" i="199"/>
  <c r="E107" i="199"/>
  <c r="D107" i="199"/>
  <c r="C107" i="199"/>
  <c r="L106" i="199"/>
  <c r="K106" i="199"/>
  <c r="J106" i="199"/>
  <c r="I106" i="199"/>
  <c r="H106" i="199"/>
  <c r="G106" i="199"/>
  <c r="F106" i="199"/>
  <c r="E106" i="199"/>
  <c r="D106" i="199"/>
  <c r="C106" i="199"/>
  <c r="L105" i="199"/>
  <c r="K105" i="199"/>
  <c r="J105" i="199"/>
  <c r="I105" i="199"/>
  <c r="H105" i="199"/>
  <c r="G105" i="199"/>
  <c r="F105" i="199"/>
  <c r="E105" i="199"/>
  <c r="D105" i="199"/>
  <c r="C105" i="199"/>
  <c r="L104" i="199"/>
  <c r="K104" i="199"/>
  <c r="J104" i="199"/>
  <c r="I104" i="199"/>
  <c r="H104" i="199"/>
  <c r="G104" i="199"/>
  <c r="F104" i="199"/>
  <c r="E104" i="199"/>
  <c r="D104" i="199"/>
  <c r="C104" i="199"/>
  <c r="L103" i="199"/>
  <c r="K103" i="199"/>
  <c r="J103" i="199"/>
  <c r="I103" i="199"/>
  <c r="H103" i="199"/>
  <c r="G103" i="199"/>
  <c r="F103" i="199"/>
  <c r="E103" i="199"/>
  <c r="D103" i="199"/>
  <c r="C103" i="199"/>
  <c r="L99" i="199"/>
  <c r="K99" i="199"/>
  <c r="J99" i="199"/>
  <c r="I99" i="199"/>
  <c r="H99" i="199"/>
  <c r="G99" i="199"/>
  <c r="F99" i="199"/>
  <c r="E99" i="199"/>
  <c r="D99" i="199"/>
  <c r="C99" i="199"/>
  <c r="L95" i="199"/>
  <c r="K95" i="199"/>
  <c r="J95" i="199"/>
  <c r="I95" i="199"/>
  <c r="H95" i="199"/>
  <c r="G95" i="199"/>
  <c r="F95" i="199"/>
  <c r="E95" i="199"/>
  <c r="D95" i="199"/>
  <c r="C95" i="199"/>
  <c r="L93" i="199"/>
  <c r="K93" i="199"/>
  <c r="J93" i="199"/>
  <c r="I93" i="199"/>
  <c r="H93" i="199"/>
  <c r="G93" i="199"/>
  <c r="F93" i="199"/>
  <c r="E93" i="199"/>
  <c r="D93" i="199"/>
  <c r="C93" i="199"/>
  <c r="L92" i="199"/>
  <c r="K92" i="199"/>
  <c r="J92" i="199"/>
  <c r="I92" i="199"/>
  <c r="H92" i="199"/>
  <c r="G92" i="199"/>
  <c r="F92" i="199"/>
  <c r="E92" i="199"/>
  <c r="D92" i="199"/>
  <c r="C92" i="199"/>
  <c r="L91" i="199"/>
  <c r="K91" i="199"/>
  <c r="J91" i="199"/>
  <c r="I91" i="199"/>
  <c r="H91" i="199"/>
  <c r="G91" i="199"/>
  <c r="F91" i="199"/>
  <c r="E91" i="199"/>
  <c r="D91" i="199"/>
  <c r="C91" i="199"/>
  <c r="L90" i="199"/>
  <c r="K90" i="199"/>
  <c r="J90" i="199"/>
  <c r="I90" i="199"/>
  <c r="H90" i="199"/>
  <c r="G90" i="199"/>
  <c r="F90" i="199"/>
  <c r="E90" i="199"/>
  <c r="D90" i="199"/>
  <c r="C90" i="199"/>
  <c r="L89" i="199"/>
  <c r="K89" i="199"/>
  <c r="J89" i="199"/>
  <c r="I89" i="199"/>
  <c r="H89" i="199"/>
  <c r="G89" i="199"/>
  <c r="F89" i="199"/>
  <c r="E89" i="199"/>
  <c r="D89" i="199"/>
  <c r="C89" i="199"/>
  <c r="L88" i="199"/>
  <c r="K88" i="199"/>
  <c r="J88" i="199"/>
  <c r="I88" i="199"/>
  <c r="H88" i="199"/>
  <c r="G88" i="199"/>
  <c r="F88" i="199"/>
  <c r="E88" i="199"/>
  <c r="D88" i="199"/>
  <c r="C88" i="199"/>
  <c r="L87" i="199"/>
  <c r="K87" i="199"/>
  <c r="J87" i="199"/>
  <c r="I87" i="199"/>
  <c r="H87" i="199"/>
  <c r="G87" i="199"/>
  <c r="F87" i="199"/>
  <c r="E87" i="199"/>
  <c r="D87" i="199"/>
  <c r="C87" i="199"/>
  <c r="L86" i="199"/>
  <c r="K86" i="199"/>
  <c r="J86" i="199"/>
  <c r="I86" i="199"/>
  <c r="H86" i="199"/>
  <c r="G86" i="199"/>
  <c r="F86" i="199"/>
  <c r="E86" i="199"/>
  <c r="D86" i="199"/>
  <c r="C86" i="199"/>
  <c r="L82" i="199"/>
  <c r="K82" i="199"/>
  <c r="J82" i="199"/>
  <c r="I82" i="199"/>
  <c r="H82" i="199"/>
  <c r="G82" i="199"/>
  <c r="F82" i="199"/>
  <c r="E82" i="199"/>
  <c r="D82" i="199"/>
  <c r="C82" i="199"/>
  <c r="L81" i="199"/>
  <c r="K81" i="199"/>
  <c r="J81" i="199"/>
  <c r="I81" i="199"/>
  <c r="H81" i="199"/>
  <c r="G81" i="199"/>
  <c r="F81" i="199"/>
  <c r="E81" i="199"/>
  <c r="D81" i="199"/>
  <c r="C81" i="199"/>
  <c r="L80" i="199"/>
  <c r="K80" i="199"/>
  <c r="J80" i="199"/>
  <c r="I80" i="199"/>
  <c r="H80" i="199"/>
  <c r="G80" i="199"/>
  <c r="F80" i="199"/>
  <c r="E80" i="199"/>
  <c r="D80" i="199"/>
  <c r="C80" i="199"/>
  <c r="L79" i="199"/>
  <c r="K79" i="199"/>
  <c r="J79" i="199"/>
  <c r="I79" i="199"/>
  <c r="H79" i="199"/>
  <c r="G79" i="199"/>
  <c r="F79" i="199"/>
  <c r="E79" i="199"/>
  <c r="D79" i="199"/>
  <c r="C79" i="199"/>
  <c r="L78" i="199"/>
  <c r="K78" i="199"/>
  <c r="J78" i="199"/>
  <c r="I78" i="199"/>
  <c r="H78" i="199"/>
  <c r="G78" i="199"/>
  <c r="F78" i="199"/>
  <c r="E78" i="199"/>
  <c r="D78" i="199"/>
  <c r="C78" i="199"/>
  <c r="L77" i="199"/>
  <c r="K77" i="199"/>
  <c r="J77" i="199"/>
  <c r="I77" i="199"/>
  <c r="H77" i="199"/>
  <c r="G77" i="199"/>
  <c r="F77" i="199"/>
  <c r="E77" i="199"/>
  <c r="D77" i="199"/>
  <c r="C77" i="199"/>
  <c r="L76" i="199"/>
  <c r="K76" i="199"/>
  <c r="J76" i="199"/>
  <c r="I76" i="199"/>
  <c r="H76" i="199"/>
  <c r="G76" i="199"/>
  <c r="F76" i="199"/>
  <c r="E76" i="199"/>
  <c r="D76" i="199"/>
  <c r="C76" i="199"/>
  <c r="L75" i="199"/>
  <c r="K75" i="199"/>
  <c r="J75" i="199"/>
  <c r="I75" i="199"/>
  <c r="H75" i="199"/>
  <c r="G75" i="199"/>
  <c r="F75" i="199"/>
  <c r="E75" i="199"/>
  <c r="D75" i="199"/>
  <c r="C75" i="199"/>
  <c r="L71" i="199"/>
  <c r="K71" i="199"/>
  <c r="J71" i="199"/>
  <c r="I71" i="199"/>
  <c r="H71" i="199"/>
  <c r="G71" i="199"/>
  <c r="F71" i="199"/>
  <c r="E71" i="199"/>
  <c r="D71" i="199"/>
  <c r="C71" i="199"/>
  <c r="L70" i="199"/>
  <c r="K70" i="199"/>
  <c r="J70" i="199"/>
  <c r="I70" i="199"/>
  <c r="H70" i="199"/>
  <c r="G70" i="199"/>
  <c r="F70" i="199"/>
  <c r="E70" i="199"/>
  <c r="D70" i="199"/>
  <c r="C70" i="199"/>
  <c r="L69" i="199"/>
  <c r="K69" i="199"/>
  <c r="J69" i="199"/>
  <c r="I69" i="199"/>
  <c r="H69" i="199"/>
  <c r="G69" i="199"/>
  <c r="F69" i="199"/>
  <c r="E69" i="199"/>
  <c r="D69" i="199"/>
  <c r="C69" i="199"/>
  <c r="L68" i="199"/>
  <c r="K68" i="199"/>
  <c r="J68" i="199"/>
  <c r="I68" i="199"/>
  <c r="H68" i="199"/>
  <c r="G68" i="199"/>
  <c r="F68" i="199"/>
  <c r="E68" i="199"/>
  <c r="D68" i="199"/>
  <c r="C68" i="199"/>
  <c r="L67" i="199"/>
  <c r="K67" i="199"/>
  <c r="J67" i="199"/>
  <c r="I67" i="199"/>
  <c r="H67" i="199"/>
  <c r="G67" i="199"/>
  <c r="F67" i="199"/>
  <c r="E67" i="199"/>
  <c r="D67" i="199"/>
  <c r="C67" i="199"/>
  <c r="L66" i="199"/>
  <c r="K66" i="199"/>
  <c r="J66" i="199"/>
  <c r="I66" i="199"/>
  <c r="H66" i="199"/>
  <c r="G66" i="199"/>
  <c r="F66" i="199"/>
  <c r="E66" i="199"/>
  <c r="D66" i="199"/>
  <c r="C66" i="199"/>
  <c r="L65" i="199"/>
  <c r="K65" i="199"/>
  <c r="J65" i="199"/>
  <c r="I65" i="199"/>
  <c r="H65" i="199"/>
  <c r="G65" i="199"/>
  <c r="F65" i="199"/>
  <c r="E65" i="199"/>
  <c r="D65" i="199"/>
  <c r="C65" i="199"/>
  <c r="L64" i="199"/>
  <c r="K64" i="199"/>
  <c r="J64" i="199"/>
  <c r="I64" i="199"/>
  <c r="H64" i="199"/>
  <c r="G64" i="199"/>
  <c r="F64" i="199"/>
  <c r="E64" i="199"/>
  <c r="D64" i="199"/>
  <c r="C64" i="199"/>
  <c r="L58" i="199"/>
  <c r="K58" i="199"/>
  <c r="J58" i="199"/>
  <c r="I58" i="199"/>
  <c r="H58" i="199"/>
  <c r="G58" i="199"/>
  <c r="F58" i="199"/>
  <c r="E58" i="199"/>
  <c r="D58" i="199"/>
  <c r="C58" i="199"/>
  <c r="L57" i="199"/>
  <c r="K57" i="199"/>
  <c r="J57" i="199"/>
  <c r="I57" i="199"/>
  <c r="H57" i="199"/>
  <c r="G57" i="199"/>
  <c r="F57" i="199"/>
  <c r="E57" i="199"/>
  <c r="D57" i="199"/>
  <c r="C57" i="199"/>
  <c r="I53" i="199"/>
  <c r="H53" i="199"/>
  <c r="G53" i="199"/>
  <c r="F53" i="199"/>
  <c r="E53" i="199"/>
  <c r="D53" i="199"/>
  <c r="C53" i="199"/>
  <c r="B53" i="199"/>
  <c r="I52" i="199"/>
  <c r="H52" i="199"/>
  <c r="G52" i="199"/>
  <c r="F52" i="199"/>
  <c r="E52" i="199"/>
  <c r="D52" i="199"/>
  <c r="C52" i="199"/>
  <c r="B52" i="199"/>
  <c r="J51" i="199"/>
  <c r="I51" i="199"/>
  <c r="H51" i="199"/>
  <c r="G51" i="199"/>
  <c r="F51" i="199"/>
  <c r="E51" i="199"/>
  <c r="D51" i="199"/>
  <c r="C51" i="199"/>
  <c r="B51" i="199"/>
  <c r="L44" i="199"/>
  <c r="K44" i="199"/>
  <c r="J44" i="199"/>
  <c r="I44" i="199"/>
  <c r="H44" i="199"/>
  <c r="G44" i="199"/>
  <c r="F44" i="199"/>
  <c r="E44" i="199"/>
  <c r="D44" i="199"/>
  <c r="C44" i="199"/>
  <c r="L43" i="199"/>
  <c r="K43" i="199"/>
  <c r="J43" i="199"/>
  <c r="I43" i="199"/>
  <c r="H43" i="199"/>
  <c r="G43" i="199"/>
  <c r="F43" i="199"/>
  <c r="E43" i="199"/>
  <c r="D43" i="199"/>
  <c r="C43" i="199"/>
  <c r="D41" i="199"/>
  <c r="C39" i="199"/>
  <c r="C35" i="199"/>
  <c r="B35" i="199"/>
  <c r="C34" i="199"/>
  <c r="B34" i="199"/>
  <c r="C33" i="199"/>
  <c r="B33" i="199"/>
  <c r="L29" i="199"/>
  <c r="K29" i="199"/>
  <c r="J29" i="199"/>
  <c r="I29" i="199"/>
  <c r="H29" i="199"/>
  <c r="G29" i="199"/>
  <c r="F29" i="199"/>
  <c r="E29" i="199"/>
  <c r="D29" i="199"/>
  <c r="C29" i="199"/>
  <c r="L28" i="199"/>
  <c r="K28" i="199"/>
  <c r="J28" i="199"/>
  <c r="I28" i="199"/>
  <c r="H28" i="199"/>
  <c r="G28" i="199"/>
  <c r="F28" i="199"/>
  <c r="E28" i="199"/>
  <c r="D28" i="199"/>
  <c r="C28" i="199"/>
  <c r="B28" i="199"/>
  <c r="L27" i="199"/>
  <c r="K27" i="199"/>
  <c r="J27" i="199"/>
  <c r="I27" i="199"/>
  <c r="H27" i="199"/>
  <c r="G27" i="199"/>
  <c r="F27" i="199"/>
  <c r="E27" i="199"/>
  <c r="D27" i="199"/>
  <c r="C27" i="199"/>
  <c r="B27" i="199"/>
  <c r="L26" i="199"/>
  <c r="K26" i="199"/>
  <c r="J26" i="199"/>
  <c r="I26" i="199"/>
  <c r="H26" i="199"/>
  <c r="G26" i="199"/>
  <c r="F26" i="199"/>
  <c r="E26" i="199"/>
  <c r="D26" i="199"/>
  <c r="C26" i="199"/>
  <c r="C20" i="199"/>
  <c r="B20" i="199"/>
  <c r="L15" i="199"/>
  <c r="K15" i="199"/>
  <c r="J15" i="199"/>
  <c r="I15" i="199"/>
  <c r="H15" i="199"/>
  <c r="G15" i="199"/>
  <c r="F15" i="199"/>
  <c r="E15" i="199"/>
  <c r="D15" i="199"/>
  <c r="C15" i="199"/>
  <c r="B15" i="199"/>
  <c r="L14" i="199"/>
  <c r="K14" i="199"/>
  <c r="J14" i="199"/>
  <c r="I14" i="199"/>
  <c r="H14" i="199"/>
  <c r="G14" i="199"/>
  <c r="F14" i="199"/>
  <c r="E14" i="199"/>
  <c r="D14" i="199"/>
  <c r="C14" i="199"/>
  <c r="A10" i="199"/>
  <c r="A1" i="199"/>
  <c r="L119" i="198"/>
  <c r="K119" i="198"/>
  <c r="J119" i="198"/>
  <c r="I119" i="198"/>
  <c r="H119" i="198"/>
  <c r="G119" i="198"/>
  <c r="F119" i="198"/>
  <c r="E119" i="198"/>
  <c r="D119" i="198"/>
  <c r="C119" i="198"/>
  <c r="A119" i="198"/>
  <c r="L118" i="198"/>
  <c r="K118" i="198"/>
  <c r="J118" i="198"/>
  <c r="I118" i="198"/>
  <c r="H118" i="198"/>
  <c r="G118" i="198"/>
  <c r="F118" i="198"/>
  <c r="E118" i="198"/>
  <c r="D118" i="198"/>
  <c r="C118" i="198"/>
  <c r="L117" i="198"/>
  <c r="K117" i="198"/>
  <c r="J117" i="198"/>
  <c r="I117" i="198"/>
  <c r="H117" i="198"/>
  <c r="G117" i="198"/>
  <c r="F117" i="198"/>
  <c r="E117" i="198"/>
  <c r="D117" i="198"/>
  <c r="C117" i="198"/>
  <c r="L116" i="198"/>
  <c r="K116" i="198"/>
  <c r="J116" i="198"/>
  <c r="I116" i="198"/>
  <c r="H116" i="198"/>
  <c r="G116" i="198"/>
  <c r="F116" i="198"/>
  <c r="E116" i="198"/>
  <c r="D116" i="198"/>
  <c r="C116" i="198"/>
  <c r="L115" i="198"/>
  <c r="K115" i="198"/>
  <c r="J115" i="198"/>
  <c r="I115" i="198"/>
  <c r="H115" i="198"/>
  <c r="G115" i="198"/>
  <c r="F115" i="198"/>
  <c r="E115" i="198"/>
  <c r="D115" i="198"/>
  <c r="C115" i="198"/>
  <c r="L114" i="198"/>
  <c r="K114" i="198"/>
  <c r="J114" i="198"/>
  <c r="I114" i="198"/>
  <c r="H114" i="198"/>
  <c r="G114" i="198"/>
  <c r="F114" i="198"/>
  <c r="E114" i="198"/>
  <c r="D114" i="198"/>
  <c r="C114" i="198"/>
  <c r="L113" i="198"/>
  <c r="K113" i="198"/>
  <c r="J113" i="198"/>
  <c r="I113" i="198"/>
  <c r="H113" i="198"/>
  <c r="G113" i="198"/>
  <c r="F113" i="198"/>
  <c r="E113" i="198"/>
  <c r="D113" i="198"/>
  <c r="C113" i="198"/>
  <c r="L112" i="198"/>
  <c r="K112" i="198"/>
  <c r="J112" i="198"/>
  <c r="I112" i="198"/>
  <c r="H112" i="198"/>
  <c r="G112" i="198"/>
  <c r="F112" i="198"/>
  <c r="E112" i="198"/>
  <c r="D112" i="198"/>
  <c r="C112" i="198"/>
  <c r="L107" i="198"/>
  <c r="K107" i="198"/>
  <c r="J107" i="198"/>
  <c r="I107" i="198"/>
  <c r="H107" i="198"/>
  <c r="G107" i="198"/>
  <c r="F107" i="198"/>
  <c r="E107" i="198"/>
  <c r="D107" i="198"/>
  <c r="C107" i="198"/>
  <c r="L106" i="198"/>
  <c r="K106" i="198"/>
  <c r="J106" i="198"/>
  <c r="I106" i="198"/>
  <c r="H106" i="198"/>
  <c r="G106" i="198"/>
  <c r="F106" i="198"/>
  <c r="E106" i="198"/>
  <c r="D106" i="198"/>
  <c r="C106" i="198"/>
  <c r="L105" i="198"/>
  <c r="K105" i="198"/>
  <c r="J105" i="198"/>
  <c r="I105" i="198"/>
  <c r="H105" i="198"/>
  <c r="G105" i="198"/>
  <c r="F105" i="198"/>
  <c r="E105" i="198"/>
  <c r="D105" i="198"/>
  <c r="C105" i="198"/>
  <c r="L104" i="198"/>
  <c r="K104" i="198"/>
  <c r="J104" i="198"/>
  <c r="I104" i="198"/>
  <c r="H104" i="198"/>
  <c r="G104" i="198"/>
  <c r="F104" i="198"/>
  <c r="E104" i="198"/>
  <c r="D104" i="198"/>
  <c r="C104" i="198"/>
  <c r="L103" i="198"/>
  <c r="K103" i="198"/>
  <c r="J103" i="198"/>
  <c r="I103" i="198"/>
  <c r="H103" i="198"/>
  <c r="G103" i="198"/>
  <c r="F103" i="198"/>
  <c r="E103" i="198"/>
  <c r="D103" i="198"/>
  <c r="C103" i="198"/>
  <c r="L99" i="198"/>
  <c r="K99" i="198"/>
  <c r="J99" i="198"/>
  <c r="I99" i="198"/>
  <c r="H99" i="198"/>
  <c r="G99" i="198"/>
  <c r="F99" i="198"/>
  <c r="E99" i="198"/>
  <c r="D99" i="198"/>
  <c r="C99" i="198"/>
  <c r="L95" i="198"/>
  <c r="K95" i="198"/>
  <c r="J95" i="198"/>
  <c r="I95" i="198"/>
  <c r="H95" i="198"/>
  <c r="G95" i="198"/>
  <c r="F95" i="198"/>
  <c r="E95" i="198"/>
  <c r="D95" i="198"/>
  <c r="C95" i="198"/>
  <c r="L93" i="198"/>
  <c r="K93" i="198"/>
  <c r="J93" i="198"/>
  <c r="I93" i="198"/>
  <c r="H93" i="198"/>
  <c r="G93" i="198"/>
  <c r="F93" i="198"/>
  <c r="E93" i="198"/>
  <c r="D93" i="198"/>
  <c r="C93" i="198"/>
  <c r="L92" i="198"/>
  <c r="K92" i="198"/>
  <c r="J92" i="198"/>
  <c r="I92" i="198"/>
  <c r="H92" i="198"/>
  <c r="G92" i="198"/>
  <c r="F92" i="198"/>
  <c r="E92" i="198"/>
  <c r="D92" i="198"/>
  <c r="C92" i="198"/>
  <c r="L91" i="198"/>
  <c r="K91" i="198"/>
  <c r="J91" i="198"/>
  <c r="I91" i="198"/>
  <c r="H91" i="198"/>
  <c r="G91" i="198"/>
  <c r="F91" i="198"/>
  <c r="E91" i="198"/>
  <c r="D91" i="198"/>
  <c r="C91" i="198"/>
  <c r="L90" i="198"/>
  <c r="K90" i="198"/>
  <c r="J90" i="198"/>
  <c r="I90" i="198"/>
  <c r="H90" i="198"/>
  <c r="G90" i="198"/>
  <c r="F90" i="198"/>
  <c r="E90" i="198"/>
  <c r="D90" i="198"/>
  <c r="C90" i="198"/>
  <c r="L89" i="198"/>
  <c r="K89" i="198"/>
  <c r="J89" i="198"/>
  <c r="I89" i="198"/>
  <c r="H89" i="198"/>
  <c r="G89" i="198"/>
  <c r="F89" i="198"/>
  <c r="E89" i="198"/>
  <c r="D89" i="198"/>
  <c r="C89" i="198"/>
  <c r="L88" i="198"/>
  <c r="K88" i="198"/>
  <c r="J88" i="198"/>
  <c r="I88" i="198"/>
  <c r="H88" i="198"/>
  <c r="G88" i="198"/>
  <c r="F88" i="198"/>
  <c r="E88" i="198"/>
  <c r="D88" i="198"/>
  <c r="C88" i="198"/>
  <c r="L87" i="198"/>
  <c r="K87" i="198"/>
  <c r="J87" i="198"/>
  <c r="I87" i="198"/>
  <c r="H87" i="198"/>
  <c r="G87" i="198"/>
  <c r="F87" i="198"/>
  <c r="E87" i="198"/>
  <c r="D87" i="198"/>
  <c r="C87" i="198"/>
  <c r="L86" i="198"/>
  <c r="K86" i="198"/>
  <c r="J86" i="198"/>
  <c r="I86" i="198"/>
  <c r="H86" i="198"/>
  <c r="G86" i="198"/>
  <c r="F86" i="198"/>
  <c r="E86" i="198"/>
  <c r="D86" i="198"/>
  <c r="C86" i="198"/>
  <c r="L82" i="198"/>
  <c r="K82" i="198"/>
  <c r="J82" i="198"/>
  <c r="I82" i="198"/>
  <c r="H82" i="198"/>
  <c r="G82" i="198"/>
  <c r="F82" i="198"/>
  <c r="E82" i="198"/>
  <c r="D82" i="198"/>
  <c r="C82" i="198"/>
  <c r="L81" i="198"/>
  <c r="K81" i="198"/>
  <c r="J81" i="198"/>
  <c r="I81" i="198"/>
  <c r="H81" i="198"/>
  <c r="G81" i="198"/>
  <c r="F81" i="198"/>
  <c r="E81" i="198"/>
  <c r="D81" i="198"/>
  <c r="C81" i="198"/>
  <c r="L80" i="198"/>
  <c r="K80" i="198"/>
  <c r="J80" i="198"/>
  <c r="I80" i="198"/>
  <c r="H80" i="198"/>
  <c r="G80" i="198"/>
  <c r="F80" i="198"/>
  <c r="E80" i="198"/>
  <c r="D80" i="198"/>
  <c r="C80" i="198"/>
  <c r="L79" i="198"/>
  <c r="K79" i="198"/>
  <c r="J79" i="198"/>
  <c r="I79" i="198"/>
  <c r="H79" i="198"/>
  <c r="G79" i="198"/>
  <c r="F79" i="198"/>
  <c r="E79" i="198"/>
  <c r="D79" i="198"/>
  <c r="C79" i="198"/>
  <c r="L78" i="198"/>
  <c r="K78" i="198"/>
  <c r="J78" i="198"/>
  <c r="I78" i="198"/>
  <c r="H78" i="198"/>
  <c r="G78" i="198"/>
  <c r="F78" i="198"/>
  <c r="E78" i="198"/>
  <c r="D78" i="198"/>
  <c r="C78" i="198"/>
  <c r="L77" i="198"/>
  <c r="K77" i="198"/>
  <c r="J77" i="198"/>
  <c r="I77" i="198"/>
  <c r="H77" i="198"/>
  <c r="G77" i="198"/>
  <c r="F77" i="198"/>
  <c r="E77" i="198"/>
  <c r="D77" i="198"/>
  <c r="C77" i="198"/>
  <c r="L76" i="198"/>
  <c r="K76" i="198"/>
  <c r="J76" i="198"/>
  <c r="I76" i="198"/>
  <c r="H76" i="198"/>
  <c r="G76" i="198"/>
  <c r="F76" i="198"/>
  <c r="E76" i="198"/>
  <c r="D76" i="198"/>
  <c r="C76" i="198"/>
  <c r="L75" i="198"/>
  <c r="K75" i="198"/>
  <c r="J75" i="198"/>
  <c r="I75" i="198"/>
  <c r="H75" i="198"/>
  <c r="G75" i="198"/>
  <c r="F75" i="198"/>
  <c r="E75" i="198"/>
  <c r="D75" i="198"/>
  <c r="C75" i="198"/>
  <c r="L71" i="198"/>
  <c r="K71" i="198"/>
  <c r="J71" i="198"/>
  <c r="I71" i="198"/>
  <c r="H71" i="198"/>
  <c r="G71" i="198"/>
  <c r="F71" i="198"/>
  <c r="E71" i="198"/>
  <c r="D71" i="198"/>
  <c r="C71" i="198"/>
  <c r="L70" i="198"/>
  <c r="K70" i="198"/>
  <c r="J70" i="198"/>
  <c r="I70" i="198"/>
  <c r="H70" i="198"/>
  <c r="G70" i="198"/>
  <c r="F70" i="198"/>
  <c r="E70" i="198"/>
  <c r="D70" i="198"/>
  <c r="C70" i="198"/>
  <c r="L69" i="198"/>
  <c r="K69" i="198"/>
  <c r="J69" i="198"/>
  <c r="I69" i="198"/>
  <c r="H69" i="198"/>
  <c r="G69" i="198"/>
  <c r="F69" i="198"/>
  <c r="E69" i="198"/>
  <c r="D69" i="198"/>
  <c r="C69" i="198"/>
  <c r="L68" i="198"/>
  <c r="K68" i="198"/>
  <c r="J68" i="198"/>
  <c r="I68" i="198"/>
  <c r="H68" i="198"/>
  <c r="G68" i="198"/>
  <c r="F68" i="198"/>
  <c r="E68" i="198"/>
  <c r="D68" i="198"/>
  <c r="C68" i="198"/>
  <c r="L67" i="198"/>
  <c r="K67" i="198"/>
  <c r="J67" i="198"/>
  <c r="I67" i="198"/>
  <c r="H67" i="198"/>
  <c r="G67" i="198"/>
  <c r="F67" i="198"/>
  <c r="E67" i="198"/>
  <c r="D67" i="198"/>
  <c r="C67" i="198"/>
  <c r="L66" i="198"/>
  <c r="K66" i="198"/>
  <c r="J66" i="198"/>
  <c r="I66" i="198"/>
  <c r="H66" i="198"/>
  <c r="G66" i="198"/>
  <c r="F66" i="198"/>
  <c r="E66" i="198"/>
  <c r="D66" i="198"/>
  <c r="C66" i="198"/>
  <c r="L65" i="198"/>
  <c r="K65" i="198"/>
  <c r="J65" i="198"/>
  <c r="I65" i="198"/>
  <c r="H65" i="198"/>
  <c r="G65" i="198"/>
  <c r="F65" i="198"/>
  <c r="E65" i="198"/>
  <c r="D65" i="198"/>
  <c r="C65" i="198"/>
  <c r="L64" i="198"/>
  <c r="K64" i="198"/>
  <c r="J64" i="198"/>
  <c r="I64" i="198"/>
  <c r="H64" i="198"/>
  <c r="G64" i="198"/>
  <c r="F64" i="198"/>
  <c r="E64" i="198"/>
  <c r="D64" i="198"/>
  <c r="C64" i="198"/>
  <c r="L58" i="198"/>
  <c r="K58" i="198"/>
  <c r="J58" i="198"/>
  <c r="I58" i="198"/>
  <c r="H58" i="198"/>
  <c r="G58" i="198"/>
  <c r="F58" i="198"/>
  <c r="E58" i="198"/>
  <c r="D58" i="198"/>
  <c r="C58" i="198"/>
  <c r="L57" i="198"/>
  <c r="K57" i="198"/>
  <c r="J57" i="198"/>
  <c r="I57" i="198"/>
  <c r="H57" i="198"/>
  <c r="G57" i="198"/>
  <c r="F57" i="198"/>
  <c r="E57" i="198"/>
  <c r="D57" i="198"/>
  <c r="C57" i="198"/>
  <c r="I53" i="198"/>
  <c r="H53" i="198"/>
  <c r="G53" i="198"/>
  <c r="F53" i="198"/>
  <c r="E53" i="198"/>
  <c r="D53" i="198"/>
  <c r="C53" i="198"/>
  <c r="B53" i="198"/>
  <c r="I52" i="198"/>
  <c r="H52" i="198"/>
  <c r="G52" i="198"/>
  <c r="F52" i="198"/>
  <c r="E52" i="198"/>
  <c r="D52" i="198"/>
  <c r="C52" i="198"/>
  <c r="B52" i="198"/>
  <c r="J51" i="198"/>
  <c r="I51" i="198"/>
  <c r="H51" i="198"/>
  <c r="G51" i="198"/>
  <c r="F51" i="198"/>
  <c r="E51" i="198"/>
  <c r="D51" i="198"/>
  <c r="C51" i="198"/>
  <c r="B51" i="198"/>
  <c r="L44" i="198"/>
  <c r="K44" i="198"/>
  <c r="J44" i="198"/>
  <c r="I44" i="198"/>
  <c r="H44" i="198"/>
  <c r="G44" i="198"/>
  <c r="F44" i="198"/>
  <c r="E44" i="198"/>
  <c r="D44" i="198"/>
  <c r="C44" i="198"/>
  <c r="L43" i="198"/>
  <c r="K43" i="198"/>
  <c r="J43" i="198"/>
  <c r="I43" i="198"/>
  <c r="H43" i="198"/>
  <c r="G43" i="198"/>
  <c r="F43" i="198"/>
  <c r="E43" i="198"/>
  <c r="D43" i="198"/>
  <c r="C43" i="198"/>
  <c r="D41" i="198"/>
  <c r="C39" i="198"/>
  <c r="C35" i="198"/>
  <c r="B35" i="198"/>
  <c r="C34" i="198"/>
  <c r="B34" i="198"/>
  <c r="C33" i="198"/>
  <c r="B33" i="198"/>
  <c r="L29" i="198"/>
  <c r="K29" i="198"/>
  <c r="J29" i="198"/>
  <c r="I29" i="198"/>
  <c r="H29" i="198"/>
  <c r="G29" i="198"/>
  <c r="F29" i="198"/>
  <c r="E29" i="198"/>
  <c r="D29" i="198"/>
  <c r="C29" i="198"/>
  <c r="B29" i="198"/>
  <c r="L28" i="198"/>
  <c r="K28" i="198"/>
  <c r="J28" i="198"/>
  <c r="I28" i="198"/>
  <c r="H28" i="198"/>
  <c r="G28" i="198"/>
  <c r="F28" i="198"/>
  <c r="E28" i="198"/>
  <c r="D28" i="198"/>
  <c r="C28" i="198"/>
  <c r="B28" i="198"/>
  <c r="L27" i="198"/>
  <c r="K27" i="198"/>
  <c r="J27" i="198"/>
  <c r="I27" i="198"/>
  <c r="H27" i="198"/>
  <c r="G27" i="198"/>
  <c r="F27" i="198"/>
  <c r="E27" i="198"/>
  <c r="D27" i="198"/>
  <c r="C27" i="198"/>
  <c r="B27" i="198"/>
  <c r="L26" i="198"/>
  <c r="K26" i="198"/>
  <c r="J26" i="198"/>
  <c r="I26" i="198"/>
  <c r="H26" i="198"/>
  <c r="G26" i="198"/>
  <c r="F26" i="198"/>
  <c r="E26" i="198"/>
  <c r="D26" i="198"/>
  <c r="C26" i="198"/>
  <c r="C20" i="198"/>
  <c r="B20" i="198"/>
  <c r="L15" i="198"/>
  <c r="K15" i="198"/>
  <c r="J15" i="198"/>
  <c r="I15" i="198"/>
  <c r="H15" i="198"/>
  <c r="G15" i="198"/>
  <c r="F15" i="198"/>
  <c r="E15" i="198"/>
  <c r="D15" i="198"/>
  <c r="C15" i="198"/>
  <c r="B15" i="198"/>
  <c r="L14" i="198"/>
  <c r="K14" i="198"/>
  <c r="J14" i="198"/>
  <c r="I14" i="198"/>
  <c r="H14" i="198"/>
  <c r="G14" i="198"/>
  <c r="F14" i="198"/>
  <c r="E14" i="198"/>
  <c r="D14" i="198"/>
  <c r="C14" i="198"/>
  <c r="A10" i="198"/>
  <c r="A1" i="198"/>
  <c r="L159" i="197"/>
  <c r="K159" i="197"/>
  <c r="J159" i="197"/>
  <c r="I159" i="197"/>
  <c r="H159" i="197"/>
  <c r="G159" i="197"/>
  <c r="F159" i="197"/>
  <c r="E159" i="197"/>
  <c r="D159" i="197"/>
  <c r="C159" i="197"/>
  <c r="L157" i="197"/>
  <c r="K157" i="197"/>
  <c r="J157" i="197"/>
  <c r="I157" i="197"/>
  <c r="H157" i="197"/>
  <c r="G157" i="197"/>
  <c r="F157" i="197"/>
  <c r="E157" i="197"/>
  <c r="D157" i="197"/>
  <c r="C157" i="197"/>
  <c r="A157" i="197"/>
  <c r="L156" i="197"/>
  <c r="K156" i="197"/>
  <c r="J156" i="197"/>
  <c r="I156" i="197"/>
  <c r="H156" i="197"/>
  <c r="G156" i="197"/>
  <c r="F156" i="197"/>
  <c r="E156" i="197"/>
  <c r="D156" i="197"/>
  <c r="C156" i="197"/>
  <c r="B156" i="197"/>
  <c r="L155" i="197"/>
  <c r="K155" i="197"/>
  <c r="J155" i="197"/>
  <c r="I155" i="197"/>
  <c r="H155" i="197"/>
  <c r="G155" i="197"/>
  <c r="F155" i="197"/>
  <c r="E155" i="197"/>
  <c r="D155" i="197"/>
  <c r="C155" i="197"/>
  <c r="B155" i="197"/>
  <c r="L154" i="197"/>
  <c r="K154" i="197"/>
  <c r="J154" i="197"/>
  <c r="I154" i="197"/>
  <c r="H154" i="197"/>
  <c r="G154" i="197"/>
  <c r="F154" i="197"/>
  <c r="E154" i="197"/>
  <c r="D154" i="197"/>
  <c r="C154" i="197"/>
  <c r="B154" i="197"/>
  <c r="L153" i="197"/>
  <c r="K153" i="197"/>
  <c r="J153" i="197"/>
  <c r="I153" i="197"/>
  <c r="H153" i="197"/>
  <c r="G153" i="197"/>
  <c r="F153" i="197"/>
  <c r="E153" i="197"/>
  <c r="D153" i="197"/>
  <c r="C153" i="197"/>
  <c r="B153" i="197"/>
  <c r="L151" i="197"/>
  <c r="K151" i="197"/>
  <c r="J151" i="197"/>
  <c r="I151" i="197"/>
  <c r="H151" i="197"/>
  <c r="G151" i="197"/>
  <c r="F151" i="197"/>
  <c r="E151" i="197"/>
  <c r="D151" i="197"/>
  <c r="C151" i="197"/>
  <c r="B151" i="197"/>
  <c r="L150" i="197"/>
  <c r="K150" i="197"/>
  <c r="J150" i="197"/>
  <c r="I150" i="197"/>
  <c r="H150" i="197"/>
  <c r="G150" i="197"/>
  <c r="F150" i="197"/>
  <c r="E150" i="197"/>
  <c r="D150" i="197"/>
  <c r="C150" i="197"/>
  <c r="B150" i="197"/>
  <c r="L149" i="197"/>
  <c r="K149" i="197"/>
  <c r="J149" i="197"/>
  <c r="I149" i="197"/>
  <c r="H149" i="197"/>
  <c r="G149" i="197"/>
  <c r="F149" i="197"/>
  <c r="E149" i="197"/>
  <c r="D149" i="197"/>
  <c r="C149" i="197"/>
  <c r="B149" i="197"/>
  <c r="L148" i="197"/>
  <c r="K148" i="197"/>
  <c r="J148" i="197"/>
  <c r="I148" i="197"/>
  <c r="H148" i="197"/>
  <c r="G148" i="197"/>
  <c r="F148" i="197"/>
  <c r="E148" i="197"/>
  <c r="D148" i="197"/>
  <c r="C148" i="197"/>
  <c r="B148" i="197"/>
  <c r="L146" i="197"/>
  <c r="K146" i="197"/>
  <c r="J146" i="197"/>
  <c r="I146" i="197"/>
  <c r="H146" i="197"/>
  <c r="G146" i="197"/>
  <c r="F146" i="197"/>
  <c r="E146" i="197"/>
  <c r="D146" i="197"/>
  <c r="C146" i="197"/>
  <c r="L142" i="197"/>
  <c r="K142" i="197"/>
  <c r="J142" i="197"/>
  <c r="I142" i="197"/>
  <c r="H142" i="197"/>
  <c r="G142" i="197"/>
  <c r="F142" i="197"/>
  <c r="E142" i="197"/>
  <c r="D142" i="197"/>
  <c r="C142" i="197"/>
  <c r="B142" i="197"/>
  <c r="L141" i="197"/>
  <c r="K141" i="197"/>
  <c r="J141" i="197"/>
  <c r="I141" i="197"/>
  <c r="H141" i="197"/>
  <c r="G141" i="197"/>
  <c r="F141" i="197"/>
  <c r="E141" i="197"/>
  <c r="D141" i="197"/>
  <c r="C141" i="197"/>
  <c r="B141" i="197"/>
  <c r="L140" i="197"/>
  <c r="K140" i="197"/>
  <c r="J140" i="197"/>
  <c r="I140" i="197"/>
  <c r="H140" i="197"/>
  <c r="G140" i="197"/>
  <c r="F140" i="197"/>
  <c r="E140" i="197"/>
  <c r="D140" i="197"/>
  <c r="C140" i="197"/>
  <c r="F138" i="197"/>
  <c r="F137" i="197"/>
  <c r="L119" i="197"/>
  <c r="K119" i="197"/>
  <c r="J119" i="197"/>
  <c r="I119" i="197"/>
  <c r="H119" i="197"/>
  <c r="G119" i="197"/>
  <c r="F119" i="197"/>
  <c r="E119" i="197"/>
  <c r="D119" i="197"/>
  <c r="C119" i="197"/>
  <c r="A119" i="197"/>
  <c r="L118" i="197"/>
  <c r="K118" i="197"/>
  <c r="J118" i="197"/>
  <c r="I118" i="197"/>
  <c r="H118" i="197"/>
  <c r="G118" i="197"/>
  <c r="F118" i="197"/>
  <c r="E118" i="197"/>
  <c r="D118" i="197"/>
  <c r="C118" i="197"/>
  <c r="L117" i="197"/>
  <c r="K117" i="197"/>
  <c r="J117" i="197"/>
  <c r="I117" i="197"/>
  <c r="H117" i="197"/>
  <c r="G117" i="197"/>
  <c r="F117" i="197"/>
  <c r="E117" i="197"/>
  <c r="D117" i="197"/>
  <c r="C117" i="197"/>
  <c r="L116" i="197"/>
  <c r="K116" i="197"/>
  <c r="J116" i="197"/>
  <c r="I116" i="197"/>
  <c r="H116" i="197"/>
  <c r="G116" i="197"/>
  <c r="F116" i="197"/>
  <c r="E116" i="197"/>
  <c r="D116" i="197"/>
  <c r="C116" i="197"/>
  <c r="L115" i="197"/>
  <c r="K115" i="197"/>
  <c r="J115" i="197"/>
  <c r="I115" i="197"/>
  <c r="H115" i="197"/>
  <c r="G115" i="197"/>
  <c r="F115" i="197"/>
  <c r="E115" i="197"/>
  <c r="D115" i="197"/>
  <c r="C115" i="197"/>
  <c r="L114" i="197"/>
  <c r="K114" i="197"/>
  <c r="J114" i="197"/>
  <c r="I114" i="197"/>
  <c r="H114" i="197"/>
  <c r="G114" i="197"/>
  <c r="F114" i="197"/>
  <c r="E114" i="197"/>
  <c r="D114" i="197"/>
  <c r="C114" i="197"/>
  <c r="L113" i="197"/>
  <c r="K113" i="197"/>
  <c r="J113" i="197"/>
  <c r="I113" i="197"/>
  <c r="H113" i="197"/>
  <c r="G113" i="197"/>
  <c r="F113" i="197"/>
  <c r="E113" i="197"/>
  <c r="D113" i="197"/>
  <c r="C113" i="197"/>
  <c r="L112" i="197"/>
  <c r="K112" i="197"/>
  <c r="J112" i="197"/>
  <c r="I112" i="197"/>
  <c r="H112" i="197"/>
  <c r="G112" i="197"/>
  <c r="F112" i="197"/>
  <c r="E112" i="197"/>
  <c r="D112" i="197"/>
  <c r="C112" i="197"/>
  <c r="L107" i="197"/>
  <c r="K107" i="197"/>
  <c r="J107" i="197"/>
  <c r="I107" i="197"/>
  <c r="H107" i="197"/>
  <c r="G107" i="197"/>
  <c r="F107" i="197"/>
  <c r="E107" i="197"/>
  <c r="D107" i="197"/>
  <c r="C107" i="197"/>
  <c r="L106" i="197"/>
  <c r="K106" i="197"/>
  <c r="J106" i="197"/>
  <c r="I106" i="197"/>
  <c r="H106" i="197"/>
  <c r="G106" i="197"/>
  <c r="F106" i="197"/>
  <c r="E106" i="197"/>
  <c r="D106" i="197"/>
  <c r="C106" i="197"/>
  <c r="L105" i="197"/>
  <c r="K105" i="197"/>
  <c r="J105" i="197"/>
  <c r="I105" i="197"/>
  <c r="H105" i="197"/>
  <c r="G105" i="197"/>
  <c r="F105" i="197"/>
  <c r="E105" i="197"/>
  <c r="D105" i="197"/>
  <c r="C105" i="197"/>
  <c r="L104" i="197"/>
  <c r="K104" i="197"/>
  <c r="J104" i="197"/>
  <c r="I104" i="197"/>
  <c r="H104" i="197"/>
  <c r="G104" i="197"/>
  <c r="F104" i="197"/>
  <c r="E104" i="197"/>
  <c r="D104" i="197"/>
  <c r="C104" i="197"/>
  <c r="L103" i="197"/>
  <c r="K103" i="197"/>
  <c r="J103" i="197"/>
  <c r="I103" i="197"/>
  <c r="H103" i="197"/>
  <c r="G103" i="197"/>
  <c r="F103" i="197"/>
  <c r="E103" i="197"/>
  <c r="D103" i="197"/>
  <c r="C103" i="197"/>
  <c r="L99" i="197"/>
  <c r="K99" i="197"/>
  <c r="J99" i="197"/>
  <c r="I99" i="197"/>
  <c r="H99" i="197"/>
  <c r="G99" i="197"/>
  <c r="F99" i="197"/>
  <c r="E99" i="197"/>
  <c r="D99" i="197"/>
  <c r="C99" i="197"/>
  <c r="L95" i="197"/>
  <c r="K95" i="197"/>
  <c r="J95" i="197"/>
  <c r="I95" i="197"/>
  <c r="H95" i="197"/>
  <c r="G95" i="197"/>
  <c r="F95" i="197"/>
  <c r="E95" i="197"/>
  <c r="D95" i="197"/>
  <c r="C95" i="197"/>
  <c r="L93" i="197"/>
  <c r="K93" i="197"/>
  <c r="J93" i="197"/>
  <c r="I93" i="197"/>
  <c r="H93" i="197"/>
  <c r="G93" i="197"/>
  <c r="F93" i="197"/>
  <c r="E93" i="197"/>
  <c r="D93" i="197"/>
  <c r="C93" i="197"/>
  <c r="L92" i="197"/>
  <c r="K92" i="197"/>
  <c r="J92" i="197"/>
  <c r="I92" i="197"/>
  <c r="H92" i="197"/>
  <c r="G92" i="197"/>
  <c r="F92" i="197"/>
  <c r="E92" i="197"/>
  <c r="D92" i="197"/>
  <c r="C92" i="197"/>
  <c r="L91" i="197"/>
  <c r="K91" i="197"/>
  <c r="J91" i="197"/>
  <c r="I91" i="197"/>
  <c r="H91" i="197"/>
  <c r="G91" i="197"/>
  <c r="F91" i="197"/>
  <c r="E91" i="197"/>
  <c r="D91" i="197"/>
  <c r="C91" i="197"/>
  <c r="L90" i="197"/>
  <c r="K90" i="197"/>
  <c r="J90" i="197"/>
  <c r="I90" i="197"/>
  <c r="H90" i="197"/>
  <c r="G90" i="197"/>
  <c r="F90" i="197"/>
  <c r="E90" i="197"/>
  <c r="D90" i="197"/>
  <c r="C90" i="197"/>
  <c r="L89" i="197"/>
  <c r="K89" i="197"/>
  <c r="J89" i="197"/>
  <c r="I89" i="197"/>
  <c r="H89" i="197"/>
  <c r="G89" i="197"/>
  <c r="F89" i="197"/>
  <c r="E89" i="197"/>
  <c r="D89" i="197"/>
  <c r="C89" i="197"/>
  <c r="L88" i="197"/>
  <c r="K88" i="197"/>
  <c r="J88" i="197"/>
  <c r="I88" i="197"/>
  <c r="H88" i="197"/>
  <c r="G88" i="197"/>
  <c r="F88" i="197"/>
  <c r="E88" i="197"/>
  <c r="D88" i="197"/>
  <c r="C88" i="197"/>
  <c r="L87" i="197"/>
  <c r="K87" i="197"/>
  <c r="J87" i="197"/>
  <c r="I87" i="197"/>
  <c r="H87" i="197"/>
  <c r="G87" i="197"/>
  <c r="F87" i="197"/>
  <c r="E87" i="197"/>
  <c r="D87" i="197"/>
  <c r="C87" i="197"/>
  <c r="L86" i="197"/>
  <c r="K86" i="197"/>
  <c r="J86" i="197"/>
  <c r="I86" i="197"/>
  <c r="H86" i="197"/>
  <c r="G86" i="197"/>
  <c r="F86" i="197"/>
  <c r="E86" i="197"/>
  <c r="D86" i="197"/>
  <c r="C86" i="197"/>
  <c r="L82" i="197"/>
  <c r="K82" i="197"/>
  <c r="J82" i="197"/>
  <c r="I82" i="197"/>
  <c r="H82" i="197"/>
  <c r="G82" i="197"/>
  <c r="F82" i="197"/>
  <c r="E82" i="197"/>
  <c r="D82" i="197"/>
  <c r="C82" i="197"/>
  <c r="L81" i="197"/>
  <c r="K81" i="197"/>
  <c r="J81" i="197"/>
  <c r="I81" i="197"/>
  <c r="H81" i="197"/>
  <c r="G81" i="197"/>
  <c r="F81" i="197"/>
  <c r="E81" i="197"/>
  <c r="D81" i="197"/>
  <c r="C81" i="197"/>
  <c r="L80" i="197"/>
  <c r="K80" i="197"/>
  <c r="J80" i="197"/>
  <c r="I80" i="197"/>
  <c r="H80" i="197"/>
  <c r="G80" i="197"/>
  <c r="F80" i="197"/>
  <c r="E80" i="197"/>
  <c r="D80" i="197"/>
  <c r="C80" i="197"/>
  <c r="L79" i="197"/>
  <c r="K79" i="197"/>
  <c r="J79" i="197"/>
  <c r="I79" i="197"/>
  <c r="H79" i="197"/>
  <c r="G79" i="197"/>
  <c r="F79" i="197"/>
  <c r="E79" i="197"/>
  <c r="D79" i="197"/>
  <c r="C79" i="197"/>
  <c r="L78" i="197"/>
  <c r="K78" i="197"/>
  <c r="J78" i="197"/>
  <c r="I78" i="197"/>
  <c r="H78" i="197"/>
  <c r="G78" i="197"/>
  <c r="F78" i="197"/>
  <c r="E78" i="197"/>
  <c r="D78" i="197"/>
  <c r="C78" i="197"/>
  <c r="L77" i="197"/>
  <c r="K77" i="197"/>
  <c r="J77" i="197"/>
  <c r="I77" i="197"/>
  <c r="H77" i="197"/>
  <c r="G77" i="197"/>
  <c r="F77" i="197"/>
  <c r="E77" i="197"/>
  <c r="D77" i="197"/>
  <c r="C77" i="197"/>
  <c r="L76" i="197"/>
  <c r="K76" i="197"/>
  <c r="J76" i="197"/>
  <c r="I76" i="197"/>
  <c r="H76" i="197"/>
  <c r="G76" i="197"/>
  <c r="F76" i="197"/>
  <c r="E76" i="197"/>
  <c r="D76" i="197"/>
  <c r="C76" i="197"/>
  <c r="L75" i="197"/>
  <c r="K75" i="197"/>
  <c r="J75" i="197"/>
  <c r="I75" i="197"/>
  <c r="H75" i="197"/>
  <c r="G75" i="197"/>
  <c r="F75" i="197"/>
  <c r="E75" i="197"/>
  <c r="D75" i="197"/>
  <c r="C75" i="197"/>
  <c r="L71" i="197"/>
  <c r="K71" i="197"/>
  <c r="J71" i="197"/>
  <c r="I71" i="197"/>
  <c r="H71" i="197"/>
  <c r="G71" i="197"/>
  <c r="F71" i="197"/>
  <c r="E71" i="197"/>
  <c r="D71" i="197"/>
  <c r="C71" i="197"/>
  <c r="L70" i="197"/>
  <c r="K70" i="197"/>
  <c r="J70" i="197"/>
  <c r="I70" i="197"/>
  <c r="H70" i="197"/>
  <c r="G70" i="197"/>
  <c r="F70" i="197"/>
  <c r="E70" i="197"/>
  <c r="D70" i="197"/>
  <c r="C70" i="197"/>
  <c r="L69" i="197"/>
  <c r="K69" i="197"/>
  <c r="J69" i="197"/>
  <c r="I69" i="197"/>
  <c r="H69" i="197"/>
  <c r="G69" i="197"/>
  <c r="F69" i="197"/>
  <c r="E69" i="197"/>
  <c r="D69" i="197"/>
  <c r="C69" i="197"/>
  <c r="L68" i="197"/>
  <c r="K68" i="197"/>
  <c r="J68" i="197"/>
  <c r="I68" i="197"/>
  <c r="H68" i="197"/>
  <c r="G68" i="197"/>
  <c r="F68" i="197"/>
  <c r="E68" i="197"/>
  <c r="D68" i="197"/>
  <c r="C68" i="197"/>
  <c r="L67" i="197"/>
  <c r="K67" i="197"/>
  <c r="J67" i="197"/>
  <c r="I67" i="197"/>
  <c r="H67" i="197"/>
  <c r="G67" i="197"/>
  <c r="F67" i="197"/>
  <c r="E67" i="197"/>
  <c r="D67" i="197"/>
  <c r="C67" i="197"/>
  <c r="L66" i="197"/>
  <c r="K66" i="197"/>
  <c r="J66" i="197"/>
  <c r="I66" i="197"/>
  <c r="H66" i="197"/>
  <c r="G66" i="197"/>
  <c r="F66" i="197"/>
  <c r="E66" i="197"/>
  <c r="D66" i="197"/>
  <c r="C66" i="197"/>
  <c r="L65" i="197"/>
  <c r="K65" i="197"/>
  <c r="J65" i="197"/>
  <c r="I65" i="197"/>
  <c r="H65" i="197"/>
  <c r="G65" i="197"/>
  <c r="F65" i="197"/>
  <c r="E65" i="197"/>
  <c r="D65" i="197"/>
  <c r="C65" i="197"/>
  <c r="L64" i="197"/>
  <c r="K64" i="197"/>
  <c r="J64" i="197"/>
  <c r="I64" i="197"/>
  <c r="H64" i="197"/>
  <c r="G64" i="197"/>
  <c r="F64" i="197"/>
  <c r="E64" i="197"/>
  <c r="D64" i="197"/>
  <c r="C64" i="197"/>
  <c r="L58" i="197"/>
  <c r="K58" i="197"/>
  <c r="J58" i="197"/>
  <c r="I58" i="197"/>
  <c r="H58" i="197"/>
  <c r="G58" i="197"/>
  <c r="F58" i="197"/>
  <c r="E58" i="197"/>
  <c r="D58" i="197"/>
  <c r="C58" i="197"/>
  <c r="L57" i="197"/>
  <c r="K57" i="197"/>
  <c r="J57" i="197"/>
  <c r="I57" i="197"/>
  <c r="H57" i="197"/>
  <c r="G57" i="197"/>
  <c r="F57" i="197"/>
  <c r="E57" i="197"/>
  <c r="D57" i="197"/>
  <c r="C57" i="197"/>
  <c r="I53" i="197"/>
  <c r="H53" i="197"/>
  <c r="G53" i="197"/>
  <c r="F53" i="197"/>
  <c r="E53" i="197"/>
  <c r="D53" i="197"/>
  <c r="C53" i="197"/>
  <c r="B53" i="197"/>
  <c r="I52" i="197"/>
  <c r="H52" i="197"/>
  <c r="G52" i="197"/>
  <c r="F52" i="197"/>
  <c r="E52" i="197"/>
  <c r="D52" i="197"/>
  <c r="C52" i="197"/>
  <c r="B52" i="197"/>
  <c r="J51" i="197"/>
  <c r="I51" i="197"/>
  <c r="H51" i="197"/>
  <c r="G51" i="197"/>
  <c r="F51" i="197"/>
  <c r="E51" i="197"/>
  <c r="D51" i="197"/>
  <c r="C51" i="197"/>
  <c r="B51" i="197"/>
  <c r="L44" i="197"/>
  <c r="K44" i="197"/>
  <c r="J44" i="197"/>
  <c r="I44" i="197"/>
  <c r="H44" i="197"/>
  <c r="G44" i="197"/>
  <c r="F44" i="197"/>
  <c r="E44" i="197"/>
  <c r="D44" i="197"/>
  <c r="C44" i="197"/>
  <c r="L43" i="197"/>
  <c r="K43" i="197"/>
  <c r="J43" i="197"/>
  <c r="I43" i="197"/>
  <c r="H43" i="197"/>
  <c r="G43" i="197"/>
  <c r="F43" i="197"/>
  <c r="E43" i="197"/>
  <c r="D43" i="197"/>
  <c r="C43" i="197"/>
  <c r="D41" i="197"/>
  <c r="C39" i="197"/>
  <c r="C35" i="197"/>
  <c r="B35" i="197"/>
  <c r="C34" i="197"/>
  <c r="B34" i="197"/>
  <c r="C33" i="197"/>
  <c r="B33" i="197"/>
  <c r="L29" i="197"/>
  <c r="K29" i="197"/>
  <c r="J29" i="197"/>
  <c r="I29" i="197"/>
  <c r="H29" i="197"/>
  <c r="G29" i="197"/>
  <c r="F29" i="197"/>
  <c r="E29" i="197"/>
  <c r="D29" i="197"/>
  <c r="C29" i="197"/>
  <c r="B29" i="197"/>
  <c r="L28" i="197"/>
  <c r="K28" i="197"/>
  <c r="J28" i="197"/>
  <c r="I28" i="197"/>
  <c r="H28" i="197"/>
  <c r="G28" i="197"/>
  <c r="F28" i="197"/>
  <c r="E28" i="197"/>
  <c r="D28" i="197"/>
  <c r="C28" i="197"/>
  <c r="B28" i="197"/>
  <c r="L27" i="197"/>
  <c r="K27" i="197"/>
  <c r="J27" i="197"/>
  <c r="I27" i="197"/>
  <c r="H27" i="197"/>
  <c r="G27" i="197"/>
  <c r="F27" i="197"/>
  <c r="E27" i="197"/>
  <c r="D27" i="197"/>
  <c r="C27" i="197"/>
  <c r="B27" i="197"/>
  <c r="L26" i="197"/>
  <c r="K26" i="197"/>
  <c r="J26" i="197"/>
  <c r="I26" i="197"/>
  <c r="H26" i="197"/>
  <c r="G26" i="197"/>
  <c r="F26" i="197"/>
  <c r="E26" i="197"/>
  <c r="D26" i="197"/>
  <c r="C26" i="197"/>
  <c r="C20" i="197"/>
  <c r="B20" i="197"/>
  <c r="L15" i="197"/>
  <c r="K15" i="197"/>
  <c r="J15" i="197"/>
  <c r="I15" i="197"/>
  <c r="H15" i="197"/>
  <c r="G15" i="197"/>
  <c r="F15" i="197"/>
  <c r="E15" i="197"/>
  <c r="D15" i="197"/>
  <c r="C15" i="197"/>
  <c r="B15" i="197"/>
  <c r="L14" i="197"/>
  <c r="K14" i="197"/>
  <c r="J14" i="197"/>
  <c r="I14" i="197"/>
  <c r="H14" i="197"/>
  <c r="G14" i="197"/>
  <c r="F14" i="197"/>
  <c r="E14" i="197"/>
  <c r="D14" i="197"/>
  <c r="C14" i="197"/>
  <c r="A10" i="197"/>
  <c r="A1" i="197"/>
  <c r="L159" i="196"/>
  <c r="K159" i="196"/>
  <c r="J159" i="196"/>
  <c r="I159" i="196"/>
  <c r="H159" i="196"/>
  <c r="G159" i="196"/>
  <c r="F159" i="196"/>
  <c r="E159" i="196"/>
  <c r="D159" i="196"/>
  <c r="C159" i="196"/>
  <c r="L157" i="196"/>
  <c r="K157" i="196"/>
  <c r="J157" i="196"/>
  <c r="I157" i="196"/>
  <c r="H157" i="196"/>
  <c r="G157" i="196"/>
  <c r="F157" i="196"/>
  <c r="E157" i="196"/>
  <c r="D157" i="196"/>
  <c r="C157" i="196"/>
  <c r="A157" i="196"/>
  <c r="L156" i="196"/>
  <c r="K156" i="196"/>
  <c r="J156" i="196"/>
  <c r="I156" i="196"/>
  <c r="H156" i="196"/>
  <c r="G156" i="196"/>
  <c r="F156" i="196"/>
  <c r="E156" i="196"/>
  <c r="D156" i="196"/>
  <c r="C156" i="196"/>
  <c r="B156" i="196"/>
  <c r="L155" i="196"/>
  <c r="K155" i="196"/>
  <c r="J155" i="196"/>
  <c r="I155" i="196"/>
  <c r="H155" i="196"/>
  <c r="G155" i="196"/>
  <c r="F155" i="196"/>
  <c r="E155" i="196"/>
  <c r="D155" i="196"/>
  <c r="C155" i="196"/>
  <c r="B155" i="196"/>
  <c r="L154" i="196"/>
  <c r="K154" i="196"/>
  <c r="J154" i="196"/>
  <c r="I154" i="196"/>
  <c r="H154" i="196"/>
  <c r="G154" i="196"/>
  <c r="F154" i="196"/>
  <c r="E154" i="196"/>
  <c r="D154" i="196"/>
  <c r="C154" i="196"/>
  <c r="B154" i="196"/>
  <c r="L153" i="196"/>
  <c r="K153" i="196"/>
  <c r="J153" i="196"/>
  <c r="I153" i="196"/>
  <c r="H153" i="196"/>
  <c r="G153" i="196"/>
  <c r="F153" i="196"/>
  <c r="E153" i="196"/>
  <c r="D153" i="196"/>
  <c r="C153" i="196"/>
  <c r="B153" i="196"/>
  <c r="L151" i="196"/>
  <c r="K151" i="196"/>
  <c r="J151" i="196"/>
  <c r="I151" i="196"/>
  <c r="H151" i="196"/>
  <c r="G151" i="196"/>
  <c r="F151" i="196"/>
  <c r="E151" i="196"/>
  <c r="D151" i="196"/>
  <c r="C151" i="196"/>
  <c r="B151" i="196"/>
  <c r="L150" i="196"/>
  <c r="K150" i="196"/>
  <c r="J150" i="196"/>
  <c r="I150" i="196"/>
  <c r="H150" i="196"/>
  <c r="G150" i="196"/>
  <c r="F150" i="196"/>
  <c r="E150" i="196"/>
  <c r="D150" i="196"/>
  <c r="C150" i="196"/>
  <c r="B150" i="196"/>
  <c r="L149" i="196"/>
  <c r="K149" i="196"/>
  <c r="J149" i="196"/>
  <c r="I149" i="196"/>
  <c r="H149" i="196"/>
  <c r="G149" i="196"/>
  <c r="F149" i="196"/>
  <c r="E149" i="196"/>
  <c r="D149" i="196"/>
  <c r="C149" i="196"/>
  <c r="B149" i="196"/>
  <c r="L148" i="196"/>
  <c r="K148" i="196"/>
  <c r="J148" i="196"/>
  <c r="I148" i="196"/>
  <c r="H148" i="196"/>
  <c r="G148" i="196"/>
  <c r="F148" i="196"/>
  <c r="E148" i="196"/>
  <c r="D148" i="196"/>
  <c r="C148" i="196"/>
  <c r="B148" i="196"/>
  <c r="L146" i="196"/>
  <c r="K146" i="196"/>
  <c r="J146" i="196"/>
  <c r="I146" i="196"/>
  <c r="H146" i="196"/>
  <c r="G146" i="196"/>
  <c r="F146" i="196"/>
  <c r="E146" i="196"/>
  <c r="D146" i="196"/>
  <c r="C146" i="196"/>
  <c r="L142" i="196"/>
  <c r="K142" i="196"/>
  <c r="J142" i="196"/>
  <c r="I142" i="196"/>
  <c r="H142" i="196"/>
  <c r="G142" i="196"/>
  <c r="F142" i="196"/>
  <c r="E142" i="196"/>
  <c r="D142" i="196"/>
  <c r="C142" i="196"/>
  <c r="B142" i="196"/>
  <c r="L141" i="196"/>
  <c r="K141" i="196"/>
  <c r="J141" i="196"/>
  <c r="I141" i="196"/>
  <c r="H141" i="196"/>
  <c r="G141" i="196"/>
  <c r="F141" i="196"/>
  <c r="E141" i="196"/>
  <c r="D141" i="196"/>
  <c r="C141" i="196"/>
  <c r="B141" i="196"/>
  <c r="L140" i="196"/>
  <c r="K140" i="196"/>
  <c r="J140" i="196"/>
  <c r="I140" i="196"/>
  <c r="H140" i="196"/>
  <c r="G140" i="196"/>
  <c r="F140" i="196"/>
  <c r="E140" i="196"/>
  <c r="D140" i="196"/>
  <c r="C140" i="196"/>
  <c r="F138" i="196"/>
  <c r="F137" i="196"/>
  <c r="L119" i="196"/>
  <c r="K119" i="196"/>
  <c r="J119" i="196"/>
  <c r="I119" i="196"/>
  <c r="H119" i="196"/>
  <c r="G119" i="196"/>
  <c r="F119" i="196"/>
  <c r="E119" i="196"/>
  <c r="D119" i="196"/>
  <c r="C119" i="196"/>
  <c r="A119" i="196"/>
  <c r="L118" i="196"/>
  <c r="K118" i="196"/>
  <c r="J118" i="196"/>
  <c r="I118" i="196"/>
  <c r="H118" i="196"/>
  <c r="G118" i="196"/>
  <c r="F118" i="196"/>
  <c r="E118" i="196"/>
  <c r="D118" i="196"/>
  <c r="C118" i="196"/>
  <c r="L117" i="196"/>
  <c r="K117" i="196"/>
  <c r="J117" i="196"/>
  <c r="I117" i="196"/>
  <c r="H117" i="196"/>
  <c r="G117" i="196"/>
  <c r="F117" i="196"/>
  <c r="E117" i="196"/>
  <c r="D117" i="196"/>
  <c r="C117" i="196"/>
  <c r="L116" i="196"/>
  <c r="K116" i="196"/>
  <c r="J116" i="196"/>
  <c r="I116" i="196"/>
  <c r="H116" i="196"/>
  <c r="G116" i="196"/>
  <c r="F116" i="196"/>
  <c r="E116" i="196"/>
  <c r="D116" i="196"/>
  <c r="C116" i="196"/>
  <c r="L115" i="196"/>
  <c r="K115" i="196"/>
  <c r="J115" i="196"/>
  <c r="I115" i="196"/>
  <c r="H115" i="196"/>
  <c r="G115" i="196"/>
  <c r="F115" i="196"/>
  <c r="E115" i="196"/>
  <c r="D115" i="196"/>
  <c r="C115" i="196"/>
  <c r="L114" i="196"/>
  <c r="K114" i="196"/>
  <c r="J114" i="196"/>
  <c r="I114" i="196"/>
  <c r="H114" i="196"/>
  <c r="G114" i="196"/>
  <c r="F114" i="196"/>
  <c r="E114" i="196"/>
  <c r="D114" i="196"/>
  <c r="C114" i="196"/>
  <c r="L113" i="196"/>
  <c r="K113" i="196"/>
  <c r="J113" i="196"/>
  <c r="I113" i="196"/>
  <c r="H113" i="196"/>
  <c r="G113" i="196"/>
  <c r="F113" i="196"/>
  <c r="E113" i="196"/>
  <c r="D113" i="196"/>
  <c r="C113" i="196"/>
  <c r="L112" i="196"/>
  <c r="K112" i="196"/>
  <c r="J112" i="196"/>
  <c r="I112" i="196"/>
  <c r="H112" i="196"/>
  <c r="G112" i="196"/>
  <c r="F112" i="196"/>
  <c r="E112" i="196"/>
  <c r="D112" i="196"/>
  <c r="C112" i="196"/>
  <c r="L107" i="196"/>
  <c r="K107" i="196"/>
  <c r="J107" i="196"/>
  <c r="I107" i="196"/>
  <c r="H107" i="196"/>
  <c r="G107" i="196"/>
  <c r="F107" i="196"/>
  <c r="E107" i="196"/>
  <c r="D107" i="196"/>
  <c r="C107" i="196"/>
  <c r="L106" i="196"/>
  <c r="K106" i="196"/>
  <c r="J106" i="196"/>
  <c r="I106" i="196"/>
  <c r="H106" i="196"/>
  <c r="G106" i="196"/>
  <c r="F106" i="196"/>
  <c r="E106" i="196"/>
  <c r="D106" i="196"/>
  <c r="C106" i="196"/>
  <c r="L105" i="196"/>
  <c r="K105" i="196"/>
  <c r="J105" i="196"/>
  <c r="I105" i="196"/>
  <c r="H105" i="196"/>
  <c r="G105" i="196"/>
  <c r="F105" i="196"/>
  <c r="E105" i="196"/>
  <c r="D105" i="196"/>
  <c r="C105" i="196"/>
  <c r="L104" i="196"/>
  <c r="K104" i="196"/>
  <c r="J104" i="196"/>
  <c r="I104" i="196"/>
  <c r="H104" i="196"/>
  <c r="G104" i="196"/>
  <c r="F104" i="196"/>
  <c r="E104" i="196"/>
  <c r="D104" i="196"/>
  <c r="C104" i="196"/>
  <c r="L103" i="196"/>
  <c r="K103" i="196"/>
  <c r="J103" i="196"/>
  <c r="I103" i="196"/>
  <c r="H103" i="196"/>
  <c r="G103" i="196"/>
  <c r="F103" i="196"/>
  <c r="E103" i="196"/>
  <c r="D103" i="196"/>
  <c r="C103" i="196"/>
  <c r="L99" i="196"/>
  <c r="K99" i="196"/>
  <c r="J99" i="196"/>
  <c r="I99" i="196"/>
  <c r="H99" i="196"/>
  <c r="G99" i="196"/>
  <c r="F99" i="196"/>
  <c r="E99" i="196"/>
  <c r="D99" i="196"/>
  <c r="C99" i="196"/>
  <c r="L95" i="196"/>
  <c r="K95" i="196"/>
  <c r="J95" i="196"/>
  <c r="I95" i="196"/>
  <c r="H95" i="196"/>
  <c r="G95" i="196"/>
  <c r="F95" i="196"/>
  <c r="E95" i="196"/>
  <c r="D95" i="196"/>
  <c r="C95" i="196"/>
  <c r="L93" i="196"/>
  <c r="K93" i="196"/>
  <c r="J93" i="196"/>
  <c r="I93" i="196"/>
  <c r="H93" i="196"/>
  <c r="G93" i="196"/>
  <c r="F93" i="196"/>
  <c r="E93" i="196"/>
  <c r="D93" i="196"/>
  <c r="C93" i="196"/>
  <c r="L92" i="196"/>
  <c r="K92" i="196"/>
  <c r="J92" i="196"/>
  <c r="I92" i="196"/>
  <c r="H92" i="196"/>
  <c r="G92" i="196"/>
  <c r="F92" i="196"/>
  <c r="E92" i="196"/>
  <c r="D92" i="196"/>
  <c r="C92" i="196"/>
  <c r="L91" i="196"/>
  <c r="K91" i="196"/>
  <c r="J91" i="196"/>
  <c r="I91" i="196"/>
  <c r="H91" i="196"/>
  <c r="G91" i="196"/>
  <c r="F91" i="196"/>
  <c r="E91" i="196"/>
  <c r="D91" i="196"/>
  <c r="C91" i="196"/>
  <c r="L90" i="196"/>
  <c r="K90" i="196"/>
  <c r="J90" i="196"/>
  <c r="I90" i="196"/>
  <c r="H90" i="196"/>
  <c r="G90" i="196"/>
  <c r="F90" i="196"/>
  <c r="E90" i="196"/>
  <c r="D90" i="196"/>
  <c r="C90" i="196"/>
  <c r="L89" i="196"/>
  <c r="K89" i="196"/>
  <c r="J89" i="196"/>
  <c r="I89" i="196"/>
  <c r="H89" i="196"/>
  <c r="G89" i="196"/>
  <c r="F89" i="196"/>
  <c r="E89" i="196"/>
  <c r="D89" i="196"/>
  <c r="C89" i="196"/>
  <c r="L88" i="196"/>
  <c r="K88" i="196"/>
  <c r="J88" i="196"/>
  <c r="I88" i="196"/>
  <c r="H88" i="196"/>
  <c r="G88" i="196"/>
  <c r="F88" i="196"/>
  <c r="E88" i="196"/>
  <c r="D88" i="196"/>
  <c r="C88" i="196"/>
  <c r="L87" i="196"/>
  <c r="K87" i="196"/>
  <c r="J87" i="196"/>
  <c r="I87" i="196"/>
  <c r="H87" i="196"/>
  <c r="G87" i="196"/>
  <c r="F87" i="196"/>
  <c r="E87" i="196"/>
  <c r="D87" i="196"/>
  <c r="C87" i="196"/>
  <c r="L86" i="196"/>
  <c r="K86" i="196"/>
  <c r="J86" i="196"/>
  <c r="I86" i="196"/>
  <c r="H86" i="196"/>
  <c r="G86" i="196"/>
  <c r="F86" i="196"/>
  <c r="E86" i="196"/>
  <c r="D86" i="196"/>
  <c r="C86" i="196"/>
  <c r="L82" i="196"/>
  <c r="K82" i="196"/>
  <c r="J82" i="196"/>
  <c r="I82" i="196"/>
  <c r="H82" i="196"/>
  <c r="G82" i="196"/>
  <c r="F82" i="196"/>
  <c r="E82" i="196"/>
  <c r="D82" i="196"/>
  <c r="C82" i="196"/>
  <c r="L81" i="196"/>
  <c r="K81" i="196"/>
  <c r="J81" i="196"/>
  <c r="I81" i="196"/>
  <c r="H81" i="196"/>
  <c r="G81" i="196"/>
  <c r="F81" i="196"/>
  <c r="E81" i="196"/>
  <c r="D81" i="196"/>
  <c r="C81" i="196"/>
  <c r="L80" i="196"/>
  <c r="K80" i="196"/>
  <c r="J80" i="196"/>
  <c r="I80" i="196"/>
  <c r="H80" i="196"/>
  <c r="G80" i="196"/>
  <c r="F80" i="196"/>
  <c r="E80" i="196"/>
  <c r="D80" i="196"/>
  <c r="C80" i="196"/>
  <c r="L79" i="196"/>
  <c r="K79" i="196"/>
  <c r="J79" i="196"/>
  <c r="I79" i="196"/>
  <c r="H79" i="196"/>
  <c r="G79" i="196"/>
  <c r="F79" i="196"/>
  <c r="E79" i="196"/>
  <c r="D79" i="196"/>
  <c r="C79" i="196"/>
  <c r="L78" i="196"/>
  <c r="K78" i="196"/>
  <c r="J78" i="196"/>
  <c r="I78" i="196"/>
  <c r="H78" i="196"/>
  <c r="G78" i="196"/>
  <c r="F78" i="196"/>
  <c r="E78" i="196"/>
  <c r="D78" i="196"/>
  <c r="C78" i="196"/>
  <c r="L77" i="196"/>
  <c r="K77" i="196"/>
  <c r="J77" i="196"/>
  <c r="I77" i="196"/>
  <c r="H77" i="196"/>
  <c r="G77" i="196"/>
  <c r="F77" i="196"/>
  <c r="E77" i="196"/>
  <c r="D77" i="196"/>
  <c r="C77" i="196"/>
  <c r="L76" i="196"/>
  <c r="K76" i="196"/>
  <c r="J76" i="196"/>
  <c r="I76" i="196"/>
  <c r="H76" i="196"/>
  <c r="G76" i="196"/>
  <c r="F76" i="196"/>
  <c r="E76" i="196"/>
  <c r="D76" i="196"/>
  <c r="C76" i="196"/>
  <c r="L75" i="196"/>
  <c r="K75" i="196"/>
  <c r="J75" i="196"/>
  <c r="I75" i="196"/>
  <c r="H75" i="196"/>
  <c r="G75" i="196"/>
  <c r="F75" i="196"/>
  <c r="E75" i="196"/>
  <c r="D75" i="196"/>
  <c r="C75" i="196"/>
  <c r="L71" i="196"/>
  <c r="K71" i="196"/>
  <c r="J71" i="196"/>
  <c r="I71" i="196"/>
  <c r="H71" i="196"/>
  <c r="G71" i="196"/>
  <c r="F71" i="196"/>
  <c r="E71" i="196"/>
  <c r="D71" i="196"/>
  <c r="C71" i="196"/>
  <c r="L70" i="196"/>
  <c r="K70" i="196"/>
  <c r="J70" i="196"/>
  <c r="I70" i="196"/>
  <c r="H70" i="196"/>
  <c r="G70" i="196"/>
  <c r="F70" i="196"/>
  <c r="E70" i="196"/>
  <c r="D70" i="196"/>
  <c r="C70" i="196"/>
  <c r="L69" i="196"/>
  <c r="K69" i="196"/>
  <c r="J69" i="196"/>
  <c r="I69" i="196"/>
  <c r="H69" i="196"/>
  <c r="G69" i="196"/>
  <c r="F69" i="196"/>
  <c r="E69" i="196"/>
  <c r="D69" i="196"/>
  <c r="C69" i="196"/>
  <c r="L68" i="196"/>
  <c r="K68" i="196"/>
  <c r="J68" i="196"/>
  <c r="I68" i="196"/>
  <c r="H68" i="196"/>
  <c r="G68" i="196"/>
  <c r="F68" i="196"/>
  <c r="E68" i="196"/>
  <c r="D68" i="196"/>
  <c r="C68" i="196"/>
  <c r="L67" i="196"/>
  <c r="K67" i="196"/>
  <c r="J67" i="196"/>
  <c r="I67" i="196"/>
  <c r="H67" i="196"/>
  <c r="G67" i="196"/>
  <c r="F67" i="196"/>
  <c r="E67" i="196"/>
  <c r="D67" i="196"/>
  <c r="C67" i="196"/>
  <c r="L66" i="196"/>
  <c r="K66" i="196"/>
  <c r="J66" i="196"/>
  <c r="I66" i="196"/>
  <c r="H66" i="196"/>
  <c r="G66" i="196"/>
  <c r="F66" i="196"/>
  <c r="E66" i="196"/>
  <c r="D66" i="196"/>
  <c r="C66" i="196"/>
  <c r="L65" i="196"/>
  <c r="K65" i="196"/>
  <c r="J65" i="196"/>
  <c r="I65" i="196"/>
  <c r="H65" i="196"/>
  <c r="G65" i="196"/>
  <c r="F65" i="196"/>
  <c r="E65" i="196"/>
  <c r="D65" i="196"/>
  <c r="C65" i="196"/>
  <c r="L64" i="196"/>
  <c r="K64" i="196"/>
  <c r="J64" i="196"/>
  <c r="I64" i="196"/>
  <c r="H64" i="196"/>
  <c r="G64" i="196"/>
  <c r="F64" i="196"/>
  <c r="E64" i="196"/>
  <c r="D64" i="196"/>
  <c r="C64" i="196"/>
  <c r="L58" i="196"/>
  <c r="K58" i="196"/>
  <c r="J58" i="196"/>
  <c r="I58" i="196"/>
  <c r="H58" i="196"/>
  <c r="G58" i="196"/>
  <c r="F58" i="196"/>
  <c r="E58" i="196"/>
  <c r="D58" i="196"/>
  <c r="C58" i="196"/>
  <c r="L57" i="196"/>
  <c r="K57" i="196"/>
  <c r="J57" i="196"/>
  <c r="I57" i="196"/>
  <c r="H57" i="196"/>
  <c r="G57" i="196"/>
  <c r="F57" i="196"/>
  <c r="E57" i="196"/>
  <c r="D57" i="196"/>
  <c r="C57" i="196"/>
  <c r="I53" i="196"/>
  <c r="H53" i="196"/>
  <c r="G53" i="196"/>
  <c r="F53" i="196"/>
  <c r="E53" i="196"/>
  <c r="D53" i="196"/>
  <c r="C53" i="196"/>
  <c r="B53" i="196"/>
  <c r="I52" i="196"/>
  <c r="H52" i="196"/>
  <c r="G52" i="196"/>
  <c r="F52" i="196"/>
  <c r="E52" i="196"/>
  <c r="D52" i="196"/>
  <c r="C52" i="196"/>
  <c r="B52" i="196"/>
  <c r="J51" i="196"/>
  <c r="I51" i="196"/>
  <c r="H51" i="196"/>
  <c r="G51" i="196"/>
  <c r="F51" i="196"/>
  <c r="E51" i="196"/>
  <c r="D51" i="196"/>
  <c r="C51" i="196"/>
  <c r="B51" i="196"/>
  <c r="L44" i="196"/>
  <c r="K44" i="196"/>
  <c r="J44" i="196"/>
  <c r="I44" i="196"/>
  <c r="H44" i="196"/>
  <c r="G44" i="196"/>
  <c r="F44" i="196"/>
  <c r="E44" i="196"/>
  <c r="D44" i="196"/>
  <c r="C44" i="196"/>
  <c r="L43" i="196"/>
  <c r="K43" i="196"/>
  <c r="J43" i="196"/>
  <c r="I43" i="196"/>
  <c r="H43" i="196"/>
  <c r="G43" i="196"/>
  <c r="F43" i="196"/>
  <c r="E43" i="196"/>
  <c r="D43" i="196"/>
  <c r="C43" i="196"/>
  <c r="D41" i="196"/>
  <c r="C39" i="196"/>
  <c r="C35" i="196"/>
  <c r="B35" i="196"/>
  <c r="C34" i="196"/>
  <c r="B34" i="196"/>
  <c r="C33" i="196"/>
  <c r="B33" i="196"/>
  <c r="L29" i="196"/>
  <c r="K29" i="196"/>
  <c r="J29" i="196"/>
  <c r="I29" i="196"/>
  <c r="H29" i="196"/>
  <c r="G29" i="196"/>
  <c r="F29" i="196"/>
  <c r="E29" i="196"/>
  <c r="D29" i="196"/>
  <c r="C29" i="196"/>
  <c r="B29" i="196"/>
  <c r="L28" i="196"/>
  <c r="K28" i="196"/>
  <c r="J28" i="196"/>
  <c r="I28" i="196"/>
  <c r="H28" i="196"/>
  <c r="G28" i="196"/>
  <c r="F28" i="196"/>
  <c r="E28" i="196"/>
  <c r="D28" i="196"/>
  <c r="C28" i="196"/>
  <c r="B28" i="196"/>
  <c r="L27" i="196"/>
  <c r="K27" i="196"/>
  <c r="J27" i="196"/>
  <c r="I27" i="196"/>
  <c r="H27" i="196"/>
  <c r="G27" i="196"/>
  <c r="F27" i="196"/>
  <c r="E27" i="196"/>
  <c r="D27" i="196"/>
  <c r="C27" i="196"/>
  <c r="B27" i="196"/>
  <c r="L26" i="196"/>
  <c r="K26" i="196"/>
  <c r="J26" i="196"/>
  <c r="I26" i="196"/>
  <c r="H26" i="196"/>
  <c r="G26" i="196"/>
  <c r="F26" i="196"/>
  <c r="E26" i="196"/>
  <c r="D26" i="196"/>
  <c r="C26" i="196"/>
  <c r="C20" i="196"/>
  <c r="B20" i="196"/>
  <c r="L15" i="196"/>
  <c r="K15" i="196"/>
  <c r="J15" i="196"/>
  <c r="I15" i="196"/>
  <c r="H15" i="196"/>
  <c r="G15" i="196"/>
  <c r="F15" i="196"/>
  <c r="E15" i="196"/>
  <c r="D15" i="196"/>
  <c r="C15" i="196"/>
  <c r="B15" i="196"/>
  <c r="L14" i="196"/>
  <c r="K14" i="196"/>
  <c r="J14" i="196"/>
  <c r="I14" i="196"/>
  <c r="H14" i="196"/>
  <c r="G14" i="196"/>
  <c r="F14" i="196"/>
  <c r="E14" i="196"/>
  <c r="D14" i="196"/>
  <c r="C14" i="196"/>
  <c r="A10" i="196"/>
  <c r="A1" i="196"/>
  <c r="L119" i="195"/>
  <c r="K119" i="195"/>
  <c r="J119" i="195"/>
  <c r="I119" i="195"/>
  <c r="H119" i="195"/>
  <c r="G119" i="195"/>
  <c r="F119" i="195"/>
  <c r="E119" i="195"/>
  <c r="D119" i="195"/>
  <c r="C119" i="195"/>
  <c r="A119" i="195"/>
  <c r="L118" i="195"/>
  <c r="K118" i="195"/>
  <c r="J118" i="195"/>
  <c r="I118" i="195"/>
  <c r="H118" i="195"/>
  <c r="G118" i="195"/>
  <c r="F118" i="195"/>
  <c r="E118" i="195"/>
  <c r="D118" i="195"/>
  <c r="C118" i="195"/>
  <c r="L117" i="195"/>
  <c r="K117" i="195"/>
  <c r="J117" i="195"/>
  <c r="I117" i="195"/>
  <c r="H117" i="195"/>
  <c r="G117" i="195"/>
  <c r="F117" i="195"/>
  <c r="E117" i="195"/>
  <c r="D117" i="195"/>
  <c r="C117" i="195"/>
  <c r="L116" i="195"/>
  <c r="K116" i="195"/>
  <c r="J116" i="195"/>
  <c r="I116" i="195"/>
  <c r="H116" i="195"/>
  <c r="G116" i="195"/>
  <c r="F116" i="195"/>
  <c r="E116" i="195"/>
  <c r="D116" i="195"/>
  <c r="C116" i="195"/>
  <c r="L115" i="195"/>
  <c r="K115" i="195"/>
  <c r="J115" i="195"/>
  <c r="I115" i="195"/>
  <c r="H115" i="195"/>
  <c r="G115" i="195"/>
  <c r="F115" i="195"/>
  <c r="E115" i="195"/>
  <c r="D115" i="195"/>
  <c r="C115" i="195"/>
  <c r="L114" i="195"/>
  <c r="K114" i="195"/>
  <c r="J114" i="195"/>
  <c r="I114" i="195"/>
  <c r="H114" i="195"/>
  <c r="G114" i="195"/>
  <c r="F114" i="195"/>
  <c r="E114" i="195"/>
  <c r="D114" i="195"/>
  <c r="C114" i="195"/>
  <c r="L113" i="195"/>
  <c r="K113" i="195"/>
  <c r="J113" i="195"/>
  <c r="I113" i="195"/>
  <c r="H113" i="195"/>
  <c r="G113" i="195"/>
  <c r="F113" i="195"/>
  <c r="E113" i="195"/>
  <c r="D113" i="195"/>
  <c r="C113" i="195"/>
  <c r="L112" i="195"/>
  <c r="K112" i="195"/>
  <c r="J112" i="195"/>
  <c r="I112" i="195"/>
  <c r="H112" i="195"/>
  <c r="G112" i="195"/>
  <c r="F112" i="195"/>
  <c r="E112" i="195"/>
  <c r="D112" i="195"/>
  <c r="C112" i="195"/>
  <c r="L107" i="195"/>
  <c r="K107" i="195"/>
  <c r="J107" i="195"/>
  <c r="I107" i="195"/>
  <c r="H107" i="195"/>
  <c r="G107" i="195"/>
  <c r="F107" i="195"/>
  <c r="E107" i="195"/>
  <c r="D107" i="195"/>
  <c r="C107" i="195"/>
  <c r="L106" i="195"/>
  <c r="K106" i="195"/>
  <c r="J106" i="195"/>
  <c r="I106" i="195"/>
  <c r="H106" i="195"/>
  <c r="G106" i="195"/>
  <c r="F106" i="195"/>
  <c r="E106" i="195"/>
  <c r="D106" i="195"/>
  <c r="C106" i="195"/>
  <c r="L105" i="195"/>
  <c r="K105" i="195"/>
  <c r="J105" i="195"/>
  <c r="I105" i="195"/>
  <c r="H105" i="195"/>
  <c r="G105" i="195"/>
  <c r="F105" i="195"/>
  <c r="E105" i="195"/>
  <c r="D105" i="195"/>
  <c r="C105" i="195"/>
  <c r="L104" i="195"/>
  <c r="K104" i="195"/>
  <c r="J104" i="195"/>
  <c r="I104" i="195"/>
  <c r="H104" i="195"/>
  <c r="G104" i="195"/>
  <c r="F104" i="195"/>
  <c r="E104" i="195"/>
  <c r="D104" i="195"/>
  <c r="C104" i="195"/>
  <c r="L103" i="195"/>
  <c r="K103" i="195"/>
  <c r="J103" i="195"/>
  <c r="I103" i="195"/>
  <c r="H103" i="195"/>
  <c r="G103" i="195"/>
  <c r="F103" i="195"/>
  <c r="E103" i="195"/>
  <c r="D103" i="195"/>
  <c r="C103" i="195"/>
  <c r="L99" i="195"/>
  <c r="K99" i="195"/>
  <c r="J99" i="195"/>
  <c r="I99" i="195"/>
  <c r="H99" i="195"/>
  <c r="G99" i="195"/>
  <c r="F99" i="195"/>
  <c r="E99" i="195"/>
  <c r="D99" i="195"/>
  <c r="C99" i="195"/>
  <c r="L95" i="195"/>
  <c r="K95" i="195"/>
  <c r="J95" i="195"/>
  <c r="I95" i="195"/>
  <c r="H95" i="195"/>
  <c r="G95" i="195"/>
  <c r="F95" i="195"/>
  <c r="E95" i="195"/>
  <c r="D95" i="195"/>
  <c r="C95" i="195"/>
  <c r="L93" i="195"/>
  <c r="K93" i="195"/>
  <c r="J93" i="195"/>
  <c r="I93" i="195"/>
  <c r="H93" i="195"/>
  <c r="G93" i="195"/>
  <c r="F93" i="195"/>
  <c r="E93" i="195"/>
  <c r="D93" i="195"/>
  <c r="C93" i="195"/>
  <c r="L92" i="195"/>
  <c r="K92" i="195"/>
  <c r="J92" i="195"/>
  <c r="I92" i="195"/>
  <c r="H92" i="195"/>
  <c r="G92" i="195"/>
  <c r="F92" i="195"/>
  <c r="E92" i="195"/>
  <c r="D92" i="195"/>
  <c r="C92" i="195"/>
  <c r="L91" i="195"/>
  <c r="K91" i="195"/>
  <c r="J91" i="195"/>
  <c r="I91" i="195"/>
  <c r="H91" i="195"/>
  <c r="G91" i="195"/>
  <c r="F91" i="195"/>
  <c r="E91" i="195"/>
  <c r="D91" i="195"/>
  <c r="C91" i="195"/>
  <c r="L90" i="195"/>
  <c r="K90" i="195"/>
  <c r="J90" i="195"/>
  <c r="I90" i="195"/>
  <c r="H90" i="195"/>
  <c r="G90" i="195"/>
  <c r="F90" i="195"/>
  <c r="E90" i="195"/>
  <c r="D90" i="195"/>
  <c r="C90" i="195"/>
  <c r="L89" i="195"/>
  <c r="K89" i="195"/>
  <c r="J89" i="195"/>
  <c r="I89" i="195"/>
  <c r="H89" i="195"/>
  <c r="G89" i="195"/>
  <c r="F89" i="195"/>
  <c r="E89" i="195"/>
  <c r="D89" i="195"/>
  <c r="C89" i="195"/>
  <c r="L88" i="195"/>
  <c r="K88" i="195"/>
  <c r="J88" i="195"/>
  <c r="I88" i="195"/>
  <c r="H88" i="195"/>
  <c r="G88" i="195"/>
  <c r="F88" i="195"/>
  <c r="E88" i="195"/>
  <c r="D88" i="195"/>
  <c r="C88" i="195"/>
  <c r="L87" i="195"/>
  <c r="K87" i="195"/>
  <c r="J87" i="195"/>
  <c r="I87" i="195"/>
  <c r="H87" i="195"/>
  <c r="G87" i="195"/>
  <c r="F87" i="195"/>
  <c r="E87" i="195"/>
  <c r="D87" i="195"/>
  <c r="C87" i="195"/>
  <c r="L86" i="195"/>
  <c r="K86" i="195"/>
  <c r="J86" i="195"/>
  <c r="I86" i="195"/>
  <c r="H86" i="195"/>
  <c r="G86" i="195"/>
  <c r="F86" i="195"/>
  <c r="E86" i="195"/>
  <c r="D86" i="195"/>
  <c r="C86" i="195"/>
  <c r="L82" i="195"/>
  <c r="K82" i="195"/>
  <c r="J82" i="195"/>
  <c r="I82" i="195"/>
  <c r="H82" i="195"/>
  <c r="G82" i="195"/>
  <c r="F82" i="195"/>
  <c r="E82" i="195"/>
  <c r="D82" i="195"/>
  <c r="C82" i="195"/>
  <c r="L81" i="195"/>
  <c r="K81" i="195"/>
  <c r="J81" i="195"/>
  <c r="I81" i="195"/>
  <c r="H81" i="195"/>
  <c r="G81" i="195"/>
  <c r="F81" i="195"/>
  <c r="E81" i="195"/>
  <c r="D81" i="195"/>
  <c r="C81" i="195"/>
  <c r="L80" i="195"/>
  <c r="K80" i="195"/>
  <c r="J80" i="195"/>
  <c r="I80" i="195"/>
  <c r="H80" i="195"/>
  <c r="G80" i="195"/>
  <c r="F80" i="195"/>
  <c r="E80" i="195"/>
  <c r="D80" i="195"/>
  <c r="C80" i="195"/>
  <c r="L79" i="195"/>
  <c r="K79" i="195"/>
  <c r="J79" i="195"/>
  <c r="I79" i="195"/>
  <c r="H79" i="195"/>
  <c r="G79" i="195"/>
  <c r="F79" i="195"/>
  <c r="E79" i="195"/>
  <c r="D79" i="195"/>
  <c r="C79" i="195"/>
  <c r="L78" i="195"/>
  <c r="K78" i="195"/>
  <c r="J78" i="195"/>
  <c r="I78" i="195"/>
  <c r="H78" i="195"/>
  <c r="G78" i="195"/>
  <c r="F78" i="195"/>
  <c r="E78" i="195"/>
  <c r="D78" i="195"/>
  <c r="C78" i="195"/>
  <c r="L77" i="195"/>
  <c r="K77" i="195"/>
  <c r="J77" i="195"/>
  <c r="I77" i="195"/>
  <c r="H77" i="195"/>
  <c r="G77" i="195"/>
  <c r="F77" i="195"/>
  <c r="E77" i="195"/>
  <c r="D77" i="195"/>
  <c r="C77" i="195"/>
  <c r="L76" i="195"/>
  <c r="K76" i="195"/>
  <c r="J76" i="195"/>
  <c r="I76" i="195"/>
  <c r="H76" i="195"/>
  <c r="G76" i="195"/>
  <c r="F76" i="195"/>
  <c r="E76" i="195"/>
  <c r="D76" i="195"/>
  <c r="C76" i="195"/>
  <c r="L75" i="195"/>
  <c r="K75" i="195"/>
  <c r="J75" i="195"/>
  <c r="I75" i="195"/>
  <c r="H75" i="195"/>
  <c r="G75" i="195"/>
  <c r="F75" i="195"/>
  <c r="E75" i="195"/>
  <c r="D75" i="195"/>
  <c r="C75" i="195"/>
  <c r="L71" i="195"/>
  <c r="K71" i="195"/>
  <c r="J71" i="195"/>
  <c r="I71" i="195"/>
  <c r="H71" i="195"/>
  <c r="G71" i="195"/>
  <c r="F71" i="195"/>
  <c r="E71" i="195"/>
  <c r="D71" i="195"/>
  <c r="C71" i="195"/>
  <c r="L70" i="195"/>
  <c r="K70" i="195"/>
  <c r="J70" i="195"/>
  <c r="I70" i="195"/>
  <c r="H70" i="195"/>
  <c r="G70" i="195"/>
  <c r="F70" i="195"/>
  <c r="E70" i="195"/>
  <c r="D70" i="195"/>
  <c r="C70" i="195"/>
  <c r="L69" i="195"/>
  <c r="K69" i="195"/>
  <c r="J69" i="195"/>
  <c r="I69" i="195"/>
  <c r="H69" i="195"/>
  <c r="G69" i="195"/>
  <c r="F69" i="195"/>
  <c r="E69" i="195"/>
  <c r="D69" i="195"/>
  <c r="C69" i="195"/>
  <c r="L68" i="195"/>
  <c r="K68" i="195"/>
  <c r="J68" i="195"/>
  <c r="I68" i="195"/>
  <c r="H68" i="195"/>
  <c r="G68" i="195"/>
  <c r="F68" i="195"/>
  <c r="E68" i="195"/>
  <c r="D68" i="195"/>
  <c r="C68" i="195"/>
  <c r="L67" i="195"/>
  <c r="K67" i="195"/>
  <c r="J67" i="195"/>
  <c r="I67" i="195"/>
  <c r="H67" i="195"/>
  <c r="G67" i="195"/>
  <c r="F67" i="195"/>
  <c r="E67" i="195"/>
  <c r="D67" i="195"/>
  <c r="C67" i="195"/>
  <c r="L66" i="195"/>
  <c r="K66" i="195"/>
  <c r="J66" i="195"/>
  <c r="I66" i="195"/>
  <c r="H66" i="195"/>
  <c r="G66" i="195"/>
  <c r="F66" i="195"/>
  <c r="E66" i="195"/>
  <c r="D66" i="195"/>
  <c r="C66" i="195"/>
  <c r="L65" i="195"/>
  <c r="K65" i="195"/>
  <c r="J65" i="195"/>
  <c r="I65" i="195"/>
  <c r="H65" i="195"/>
  <c r="G65" i="195"/>
  <c r="F65" i="195"/>
  <c r="E65" i="195"/>
  <c r="D65" i="195"/>
  <c r="C65" i="195"/>
  <c r="L64" i="195"/>
  <c r="K64" i="195"/>
  <c r="J64" i="195"/>
  <c r="I64" i="195"/>
  <c r="H64" i="195"/>
  <c r="G64" i="195"/>
  <c r="F64" i="195"/>
  <c r="E64" i="195"/>
  <c r="D64" i="195"/>
  <c r="C64" i="195"/>
  <c r="L58" i="195"/>
  <c r="K58" i="195"/>
  <c r="J58" i="195"/>
  <c r="I58" i="195"/>
  <c r="H58" i="195"/>
  <c r="G58" i="195"/>
  <c r="F58" i="195"/>
  <c r="E58" i="195"/>
  <c r="D58" i="195"/>
  <c r="C58" i="195"/>
  <c r="L57" i="195"/>
  <c r="K57" i="195"/>
  <c r="J57" i="195"/>
  <c r="I57" i="195"/>
  <c r="H57" i="195"/>
  <c r="G57" i="195"/>
  <c r="F57" i="195"/>
  <c r="E57" i="195"/>
  <c r="D57" i="195"/>
  <c r="C57" i="195"/>
  <c r="I53" i="195"/>
  <c r="H53" i="195"/>
  <c r="G53" i="195"/>
  <c r="F53" i="195"/>
  <c r="E53" i="195"/>
  <c r="D53" i="195"/>
  <c r="C53" i="195"/>
  <c r="B53" i="195"/>
  <c r="I52" i="195"/>
  <c r="H52" i="195"/>
  <c r="G52" i="195"/>
  <c r="F52" i="195"/>
  <c r="E52" i="195"/>
  <c r="D52" i="195"/>
  <c r="C52" i="195"/>
  <c r="B52" i="195"/>
  <c r="J51" i="195"/>
  <c r="I51" i="195"/>
  <c r="H51" i="195"/>
  <c r="G51" i="195"/>
  <c r="F51" i="195"/>
  <c r="E51" i="195"/>
  <c r="D51" i="195"/>
  <c r="C51" i="195"/>
  <c r="B51" i="195"/>
  <c r="L44" i="195"/>
  <c r="K44" i="195"/>
  <c r="J44" i="195"/>
  <c r="I44" i="195"/>
  <c r="H44" i="195"/>
  <c r="G44" i="195"/>
  <c r="F44" i="195"/>
  <c r="E44" i="195"/>
  <c r="D44" i="195"/>
  <c r="C44" i="195"/>
  <c r="L43" i="195"/>
  <c r="K43" i="195"/>
  <c r="J43" i="195"/>
  <c r="I43" i="195"/>
  <c r="H43" i="195"/>
  <c r="G43" i="195"/>
  <c r="F43" i="195"/>
  <c r="E43" i="195"/>
  <c r="D43" i="195"/>
  <c r="C43" i="195"/>
  <c r="D41" i="195"/>
  <c r="C39" i="195"/>
  <c r="C35" i="195"/>
  <c r="B35" i="195"/>
  <c r="C34" i="195"/>
  <c r="B34" i="195"/>
  <c r="C33" i="195"/>
  <c r="B33" i="195"/>
  <c r="L29" i="195"/>
  <c r="K29" i="195"/>
  <c r="J29" i="195"/>
  <c r="I29" i="195"/>
  <c r="H29" i="195"/>
  <c r="G29" i="195"/>
  <c r="F29" i="195"/>
  <c r="E29" i="195"/>
  <c r="D29" i="195"/>
  <c r="C29" i="195"/>
  <c r="B29" i="195"/>
  <c r="L28" i="195"/>
  <c r="K28" i="195"/>
  <c r="J28" i="195"/>
  <c r="I28" i="195"/>
  <c r="H28" i="195"/>
  <c r="G28" i="195"/>
  <c r="F28" i="195"/>
  <c r="E28" i="195"/>
  <c r="D28" i="195"/>
  <c r="C28" i="195"/>
  <c r="B28" i="195"/>
  <c r="L27" i="195"/>
  <c r="K27" i="195"/>
  <c r="J27" i="195"/>
  <c r="I27" i="195"/>
  <c r="H27" i="195"/>
  <c r="G27" i="195"/>
  <c r="F27" i="195"/>
  <c r="E27" i="195"/>
  <c r="D27" i="195"/>
  <c r="C27" i="195"/>
  <c r="B27" i="195"/>
  <c r="L26" i="195"/>
  <c r="K26" i="195"/>
  <c r="J26" i="195"/>
  <c r="I26" i="195"/>
  <c r="H26" i="195"/>
  <c r="G26" i="195"/>
  <c r="F26" i="195"/>
  <c r="E26" i="195"/>
  <c r="D26" i="195"/>
  <c r="C26" i="195"/>
  <c r="C20" i="195"/>
  <c r="B20" i="195"/>
  <c r="L15" i="195"/>
  <c r="K15" i="195"/>
  <c r="J15" i="195"/>
  <c r="I15" i="195"/>
  <c r="H15" i="195"/>
  <c r="G15" i="195"/>
  <c r="F15" i="195"/>
  <c r="E15" i="195"/>
  <c r="D15" i="195"/>
  <c r="C15" i="195"/>
  <c r="B15" i="195"/>
  <c r="L14" i="195"/>
  <c r="K14" i="195"/>
  <c r="J14" i="195"/>
  <c r="I14" i="195"/>
  <c r="H14" i="195"/>
  <c r="G14" i="195"/>
  <c r="F14" i="195"/>
  <c r="E14" i="195"/>
  <c r="D14" i="195"/>
  <c r="C14" i="195"/>
  <c r="A10" i="195"/>
  <c r="A1" i="195"/>
  <c r="L119" i="194"/>
  <c r="K119" i="194"/>
  <c r="J119" i="194"/>
  <c r="I119" i="194"/>
  <c r="H119" i="194"/>
  <c r="G119" i="194"/>
  <c r="F119" i="194"/>
  <c r="E119" i="194"/>
  <c r="D119" i="194"/>
  <c r="C119" i="194"/>
  <c r="A119" i="194"/>
  <c r="L118" i="194"/>
  <c r="K118" i="194"/>
  <c r="J118" i="194"/>
  <c r="I118" i="194"/>
  <c r="H118" i="194"/>
  <c r="G118" i="194"/>
  <c r="F118" i="194"/>
  <c r="E118" i="194"/>
  <c r="D118" i="194"/>
  <c r="C118" i="194"/>
  <c r="L117" i="194"/>
  <c r="K117" i="194"/>
  <c r="J117" i="194"/>
  <c r="I117" i="194"/>
  <c r="H117" i="194"/>
  <c r="G117" i="194"/>
  <c r="F117" i="194"/>
  <c r="E117" i="194"/>
  <c r="D117" i="194"/>
  <c r="C117" i="194"/>
  <c r="L116" i="194"/>
  <c r="K116" i="194"/>
  <c r="J116" i="194"/>
  <c r="I116" i="194"/>
  <c r="H116" i="194"/>
  <c r="G116" i="194"/>
  <c r="F116" i="194"/>
  <c r="E116" i="194"/>
  <c r="D116" i="194"/>
  <c r="C116" i="194"/>
  <c r="L115" i="194"/>
  <c r="K115" i="194"/>
  <c r="J115" i="194"/>
  <c r="I115" i="194"/>
  <c r="H115" i="194"/>
  <c r="G115" i="194"/>
  <c r="F115" i="194"/>
  <c r="E115" i="194"/>
  <c r="D115" i="194"/>
  <c r="C115" i="194"/>
  <c r="L114" i="194"/>
  <c r="K114" i="194"/>
  <c r="J114" i="194"/>
  <c r="I114" i="194"/>
  <c r="H114" i="194"/>
  <c r="G114" i="194"/>
  <c r="F114" i="194"/>
  <c r="E114" i="194"/>
  <c r="D114" i="194"/>
  <c r="C114" i="194"/>
  <c r="L113" i="194"/>
  <c r="K113" i="194"/>
  <c r="J113" i="194"/>
  <c r="I113" i="194"/>
  <c r="H113" i="194"/>
  <c r="G113" i="194"/>
  <c r="F113" i="194"/>
  <c r="E113" i="194"/>
  <c r="D113" i="194"/>
  <c r="C113" i="194"/>
  <c r="L112" i="194"/>
  <c r="K112" i="194"/>
  <c r="J112" i="194"/>
  <c r="I112" i="194"/>
  <c r="H112" i="194"/>
  <c r="G112" i="194"/>
  <c r="F112" i="194"/>
  <c r="E112" i="194"/>
  <c r="D112" i="194"/>
  <c r="C112" i="194"/>
  <c r="L107" i="194"/>
  <c r="K107" i="194"/>
  <c r="J107" i="194"/>
  <c r="I107" i="194"/>
  <c r="H107" i="194"/>
  <c r="G107" i="194"/>
  <c r="F107" i="194"/>
  <c r="E107" i="194"/>
  <c r="D107" i="194"/>
  <c r="C107" i="194"/>
  <c r="L106" i="194"/>
  <c r="K106" i="194"/>
  <c r="J106" i="194"/>
  <c r="I106" i="194"/>
  <c r="H106" i="194"/>
  <c r="G106" i="194"/>
  <c r="F106" i="194"/>
  <c r="E106" i="194"/>
  <c r="D106" i="194"/>
  <c r="C106" i="194"/>
  <c r="L105" i="194"/>
  <c r="K105" i="194"/>
  <c r="J105" i="194"/>
  <c r="I105" i="194"/>
  <c r="H105" i="194"/>
  <c r="G105" i="194"/>
  <c r="F105" i="194"/>
  <c r="E105" i="194"/>
  <c r="D105" i="194"/>
  <c r="C105" i="194"/>
  <c r="L104" i="194"/>
  <c r="K104" i="194"/>
  <c r="J104" i="194"/>
  <c r="I104" i="194"/>
  <c r="H104" i="194"/>
  <c r="G104" i="194"/>
  <c r="F104" i="194"/>
  <c r="E104" i="194"/>
  <c r="D104" i="194"/>
  <c r="C104" i="194"/>
  <c r="L103" i="194"/>
  <c r="K103" i="194"/>
  <c r="J103" i="194"/>
  <c r="I103" i="194"/>
  <c r="H103" i="194"/>
  <c r="G103" i="194"/>
  <c r="F103" i="194"/>
  <c r="E103" i="194"/>
  <c r="D103" i="194"/>
  <c r="C103" i="194"/>
  <c r="L99" i="194"/>
  <c r="K99" i="194"/>
  <c r="J99" i="194"/>
  <c r="I99" i="194"/>
  <c r="H99" i="194"/>
  <c r="G99" i="194"/>
  <c r="F99" i="194"/>
  <c r="E99" i="194"/>
  <c r="D99" i="194"/>
  <c r="C99" i="194"/>
  <c r="L95" i="194"/>
  <c r="K95" i="194"/>
  <c r="J95" i="194"/>
  <c r="I95" i="194"/>
  <c r="H95" i="194"/>
  <c r="G95" i="194"/>
  <c r="F95" i="194"/>
  <c r="E95" i="194"/>
  <c r="D95" i="194"/>
  <c r="C95" i="194"/>
  <c r="L93" i="194"/>
  <c r="K93" i="194"/>
  <c r="J93" i="194"/>
  <c r="I93" i="194"/>
  <c r="H93" i="194"/>
  <c r="G93" i="194"/>
  <c r="F93" i="194"/>
  <c r="E93" i="194"/>
  <c r="D93" i="194"/>
  <c r="C93" i="194"/>
  <c r="L92" i="194"/>
  <c r="K92" i="194"/>
  <c r="J92" i="194"/>
  <c r="I92" i="194"/>
  <c r="H92" i="194"/>
  <c r="G92" i="194"/>
  <c r="F92" i="194"/>
  <c r="E92" i="194"/>
  <c r="D92" i="194"/>
  <c r="C92" i="194"/>
  <c r="L91" i="194"/>
  <c r="K91" i="194"/>
  <c r="J91" i="194"/>
  <c r="I91" i="194"/>
  <c r="H91" i="194"/>
  <c r="G91" i="194"/>
  <c r="F91" i="194"/>
  <c r="E91" i="194"/>
  <c r="D91" i="194"/>
  <c r="C91" i="194"/>
  <c r="L90" i="194"/>
  <c r="K90" i="194"/>
  <c r="J90" i="194"/>
  <c r="I90" i="194"/>
  <c r="H90" i="194"/>
  <c r="G90" i="194"/>
  <c r="F90" i="194"/>
  <c r="E90" i="194"/>
  <c r="D90" i="194"/>
  <c r="C90" i="194"/>
  <c r="L89" i="194"/>
  <c r="K89" i="194"/>
  <c r="J89" i="194"/>
  <c r="I89" i="194"/>
  <c r="H89" i="194"/>
  <c r="G89" i="194"/>
  <c r="F89" i="194"/>
  <c r="E89" i="194"/>
  <c r="D89" i="194"/>
  <c r="C89" i="194"/>
  <c r="L88" i="194"/>
  <c r="K88" i="194"/>
  <c r="J88" i="194"/>
  <c r="I88" i="194"/>
  <c r="H88" i="194"/>
  <c r="G88" i="194"/>
  <c r="F88" i="194"/>
  <c r="E88" i="194"/>
  <c r="D88" i="194"/>
  <c r="C88" i="194"/>
  <c r="L87" i="194"/>
  <c r="K87" i="194"/>
  <c r="J87" i="194"/>
  <c r="I87" i="194"/>
  <c r="H87" i="194"/>
  <c r="G87" i="194"/>
  <c r="F87" i="194"/>
  <c r="E87" i="194"/>
  <c r="D87" i="194"/>
  <c r="C87" i="194"/>
  <c r="L86" i="194"/>
  <c r="K86" i="194"/>
  <c r="J86" i="194"/>
  <c r="I86" i="194"/>
  <c r="H86" i="194"/>
  <c r="G86" i="194"/>
  <c r="F86" i="194"/>
  <c r="E86" i="194"/>
  <c r="D86" i="194"/>
  <c r="C86" i="194"/>
  <c r="L82" i="194"/>
  <c r="K82" i="194"/>
  <c r="J82" i="194"/>
  <c r="I82" i="194"/>
  <c r="H82" i="194"/>
  <c r="G82" i="194"/>
  <c r="F82" i="194"/>
  <c r="E82" i="194"/>
  <c r="D82" i="194"/>
  <c r="C82" i="194"/>
  <c r="L81" i="194"/>
  <c r="K81" i="194"/>
  <c r="J81" i="194"/>
  <c r="I81" i="194"/>
  <c r="H81" i="194"/>
  <c r="G81" i="194"/>
  <c r="F81" i="194"/>
  <c r="E81" i="194"/>
  <c r="D81" i="194"/>
  <c r="C81" i="194"/>
  <c r="L80" i="194"/>
  <c r="K80" i="194"/>
  <c r="J80" i="194"/>
  <c r="I80" i="194"/>
  <c r="H80" i="194"/>
  <c r="G80" i="194"/>
  <c r="F80" i="194"/>
  <c r="E80" i="194"/>
  <c r="D80" i="194"/>
  <c r="C80" i="194"/>
  <c r="L79" i="194"/>
  <c r="K79" i="194"/>
  <c r="J79" i="194"/>
  <c r="I79" i="194"/>
  <c r="H79" i="194"/>
  <c r="G79" i="194"/>
  <c r="F79" i="194"/>
  <c r="E79" i="194"/>
  <c r="D79" i="194"/>
  <c r="C79" i="194"/>
  <c r="L78" i="194"/>
  <c r="K78" i="194"/>
  <c r="J78" i="194"/>
  <c r="I78" i="194"/>
  <c r="H78" i="194"/>
  <c r="G78" i="194"/>
  <c r="F78" i="194"/>
  <c r="E78" i="194"/>
  <c r="D78" i="194"/>
  <c r="C78" i="194"/>
  <c r="L77" i="194"/>
  <c r="K77" i="194"/>
  <c r="J77" i="194"/>
  <c r="I77" i="194"/>
  <c r="H77" i="194"/>
  <c r="G77" i="194"/>
  <c r="F77" i="194"/>
  <c r="E77" i="194"/>
  <c r="D77" i="194"/>
  <c r="C77" i="194"/>
  <c r="L76" i="194"/>
  <c r="K76" i="194"/>
  <c r="J76" i="194"/>
  <c r="I76" i="194"/>
  <c r="H76" i="194"/>
  <c r="G76" i="194"/>
  <c r="F76" i="194"/>
  <c r="E76" i="194"/>
  <c r="D76" i="194"/>
  <c r="C76" i="194"/>
  <c r="L75" i="194"/>
  <c r="K75" i="194"/>
  <c r="J75" i="194"/>
  <c r="I75" i="194"/>
  <c r="H75" i="194"/>
  <c r="G75" i="194"/>
  <c r="F75" i="194"/>
  <c r="E75" i="194"/>
  <c r="D75" i="194"/>
  <c r="C75" i="194"/>
  <c r="L71" i="194"/>
  <c r="K71" i="194"/>
  <c r="J71" i="194"/>
  <c r="I71" i="194"/>
  <c r="H71" i="194"/>
  <c r="G71" i="194"/>
  <c r="F71" i="194"/>
  <c r="E71" i="194"/>
  <c r="D71" i="194"/>
  <c r="C71" i="194"/>
  <c r="L70" i="194"/>
  <c r="K70" i="194"/>
  <c r="J70" i="194"/>
  <c r="I70" i="194"/>
  <c r="H70" i="194"/>
  <c r="G70" i="194"/>
  <c r="F70" i="194"/>
  <c r="E70" i="194"/>
  <c r="D70" i="194"/>
  <c r="C70" i="194"/>
  <c r="L69" i="194"/>
  <c r="K69" i="194"/>
  <c r="J69" i="194"/>
  <c r="I69" i="194"/>
  <c r="H69" i="194"/>
  <c r="G69" i="194"/>
  <c r="F69" i="194"/>
  <c r="E69" i="194"/>
  <c r="D69" i="194"/>
  <c r="C69" i="194"/>
  <c r="L68" i="194"/>
  <c r="K68" i="194"/>
  <c r="J68" i="194"/>
  <c r="I68" i="194"/>
  <c r="H68" i="194"/>
  <c r="G68" i="194"/>
  <c r="F68" i="194"/>
  <c r="E68" i="194"/>
  <c r="D68" i="194"/>
  <c r="C68" i="194"/>
  <c r="L67" i="194"/>
  <c r="K67" i="194"/>
  <c r="J67" i="194"/>
  <c r="I67" i="194"/>
  <c r="H67" i="194"/>
  <c r="G67" i="194"/>
  <c r="F67" i="194"/>
  <c r="E67" i="194"/>
  <c r="D67" i="194"/>
  <c r="C67" i="194"/>
  <c r="L66" i="194"/>
  <c r="K66" i="194"/>
  <c r="J66" i="194"/>
  <c r="I66" i="194"/>
  <c r="H66" i="194"/>
  <c r="G66" i="194"/>
  <c r="F66" i="194"/>
  <c r="E66" i="194"/>
  <c r="D66" i="194"/>
  <c r="C66" i="194"/>
  <c r="L65" i="194"/>
  <c r="K65" i="194"/>
  <c r="J65" i="194"/>
  <c r="I65" i="194"/>
  <c r="H65" i="194"/>
  <c r="G65" i="194"/>
  <c r="F65" i="194"/>
  <c r="E65" i="194"/>
  <c r="D65" i="194"/>
  <c r="C65" i="194"/>
  <c r="L64" i="194"/>
  <c r="K64" i="194"/>
  <c r="J64" i="194"/>
  <c r="I64" i="194"/>
  <c r="H64" i="194"/>
  <c r="G64" i="194"/>
  <c r="F64" i="194"/>
  <c r="E64" i="194"/>
  <c r="D64" i="194"/>
  <c r="C64" i="194"/>
  <c r="L58" i="194"/>
  <c r="K58" i="194"/>
  <c r="J58" i="194"/>
  <c r="I58" i="194"/>
  <c r="H58" i="194"/>
  <c r="G58" i="194"/>
  <c r="F58" i="194"/>
  <c r="E58" i="194"/>
  <c r="D58" i="194"/>
  <c r="C58" i="194"/>
  <c r="L57" i="194"/>
  <c r="K57" i="194"/>
  <c r="J57" i="194"/>
  <c r="I57" i="194"/>
  <c r="H57" i="194"/>
  <c r="G57" i="194"/>
  <c r="F57" i="194"/>
  <c r="E57" i="194"/>
  <c r="D57" i="194"/>
  <c r="C57" i="194"/>
  <c r="I53" i="194"/>
  <c r="H53" i="194"/>
  <c r="G53" i="194"/>
  <c r="F53" i="194"/>
  <c r="E53" i="194"/>
  <c r="D53" i="194"/>
  <c r="C53" i="194"/>
  <c r="B53" i="194"/>
  <c r="I52" i="194"/>
  <c r="H52" i="194"/>
  <c r="G52" i="194"/>
  <c r="F52" i="194"/>
  <c r="E52" i="194"/>
  <c r="D52" i="194"/>
  <c r="C52" i="194"/>
  <c r="B52" i="194"/>
  <c r="J51" i="194"/>
  <c r="I51" i="194"/>
  <c r="H51" i="194"/>
  <c r="G51" i="194"/>
  <c r="F51" i="194"/>
  <c r="E51" i="194"/>
  <c r="D51" i="194"/>
  <c r="C51" i="194"/>
  <c r="B51" i="194"/>
  <c r="L44" i="194"/>
  <c r="K44" i="194"/>
  <c r="J44" i="194"/>
  <c r="I44" i="194"/>
  <c r="H44" i="194"/>
  <c r="G44" i="194"/>
  <c r="F44" i="194"/>
  <c r="E44" i="194"/>
  <c r="D44" i="194"/>
  <c r="C44" i="194"/>
  <c r="L43" i="194"/>
  <c r="K43" i="194"/>
  <c r="J43" i="194"/>
  <c r="I43" i="194"/>
  <c r="H43" i="194"/>
  <c r="G43" i="194"/>
  <c r="F43" i="194"/>
  <c r="E43" i="194"/>
  <c r="D43" i="194"/>
  <c r="C43" i="194"/>
  <c r="D41" i="194"/>
  <c r="C39" i="194"/>
  <c r="C35" i="194"/>
  <c r="B35" i="194"/>
  <c r="C34" i="194"/>
  <c r="B34" i="194"/>
  <c r="C33" i="194"/>
  <c r="B33" i="194"/>
  <c r="L29" i="194"/>
  <c r="K29" i="194"/>
  <c r="J29" i="194"/>
  <c r="I29" i="194"/>
  <c r="H29" i="194"/>
  <c r="G29" i="194"/>
  <c r="F29" i="194"/>
  <c r="E29" i="194"/>
  <c r="D29" i="194"/>
  <c r="C29" i="194"/>
  <c r="B29" i="194"/>
  <c r="L28" i="194"/>
  <c r="K28" i="194"/>
  <c r="J28" i="194"/>
  <c r="I28" i="194"/>
  <c r="H28" i="194"/>
  <c r="G28" i="194"/>
  <c r="F28" i="194"/>
  <c r="E28" i="194"/>
  <c r="D28" i="194"/>
  <c r="C28" i="194"/>
  <c r="B28" i="194"/>
  <c r="L27" i="194"/>
  <c r="K27" i="194"/>
  <c r="J27" i="194"/>
  <c r="I27" i="194"/>
  <c r="H27" i="194"/>
  <c r="G27" i="194"/>
  <c r="F27" i="194"/>
  <c r="E27" i="194"/>
  <c r="D27" i="194"/>
  <c r="C27" i="194"/>
  <c r="B27" i="194"/>
  <c r="L26" i="194"/>
  <c r="K26" i="194"/>
  <c r="J26" i="194"/>
  <c r="I26" i="194"/>
  <c r="H26" i="194"/>
  <c r="G26" i="194"/>
  <c r="F26" i="194"/>
  <c r="E26" i="194"/>
  <c r="D26" i="194"/>
  <c r="C26" i="194"/>
  <c r="C20" i="194"/>
  <c r="B20" i="194"/>
  <c r="L15" i="194"/>
  <c r="K15" i="194"/>
  <c r="J15" i="194"/>
  <c r="I15" i="194"/>
  <c r="H15" i="194"/>
  <c r="G15" i="194"/>
  <c r="F15" i="194"/>
  <c r="E15" i="194"/>
  <c r="D15" i="194"/>
  <c r="C15" i="194"/>
  <c r="B15" i="194"/>
  <c r="L14" i="194"/>
  <c r="K14" i="194"/>
  <c r="J14" i="194"/>
  <c r="I14" i="194"/>
  <c r="H14" i="194"/>
  <c r="G14" i="194"/>
  <c r="F14" i="194"/>
  <c r="E14" i="194"/>
  <c r="D14" i="194"/>
  <c r="C14" i="194"/>
  <c r="A10" i="194"/>
  <c r="A1" i="194"/>
  <c r="L119" i="193"/>
  <c r="K119" i="193"/>
  <c r="J119" i="193"/>
  <c r="I119" i="193"/>
  <c r="H119" i="193"/>
  <c r="G119" i="193"/>
  <c r="F119" i="193"/>
  <c r="E119" i="193"/>
  <c r="D119" i="193"/>
  <c r="C119" i="193"/>
  <c r="A119" i="193"/>
  <c r="L118" i="193"/>
  <c r="K118" i="193"/>
  <c r="J118" i="193"/>
  <c r="I118" i="193"/>
  <c r="H118" i="193"/>
  <c r="G118" i="193"/>
  <c r="F118" i="193"/>
  <c r="E118" i="193"/>
  <c r="D118" i="193"/>
  <c r="C118" i="193"/>
  <c r="L117" i="193"/>
  <c r="K117" i="193"/>
  <c r="J117" i="193"/>
  <c r="I117" i="193"/>
  <c r="H117" i="193"/>
  <c r="G117" i="193"/>
  <c r="F117" i="193"/>
  <c r="E117" i="193"/>
  <c r="D117" i="193"/>
  <c r="C117" i="193"/>
  <c r="L116" i="193"/>
  <c r="K116" i="193"/>
  <c r="J116" i="193"/>
  <c r="I116" i="193"/>
  <c r="H116" i="193"/>
  <c r="G116" i="193"/>
  <c r="F116" i="193"/>
  <c r="E116" i="193"/>
  <c r="D116" i="193"/>
  <c r="C116" i="193"/>
  <c r="L115" i="193"/>
  <c r="K115" i="193"/>
  <c r="J115" i="193"/>
  <c r="I115" i="193"/>
  <c r="H115" i="193"/>
  <c r="G115" i="193"/>
  <c r="F115" i="193"/>
  <c r="E115" i="193"/>
  <c r="D115" i="193"/>
  <c r="C115" i="193"/>
  <c r="L114" i="193"/>
  <c r="K114" i="193"/>
  <c r="J114" i="193"/>
  <c r="I114" i="193"/>
  <c r="H114" i="193"/>
  <c r="G114" i="193"/>
  <c r="F114" i="193"/>
  <c r="E114" i="193"/>
  <c r="D114" i="193"/>
  <c r="C114" i="193"/>
  <c r="L113" i="193"/>
  <c r="K113" i="193"/>
  <c r="J113" i="193"/>
  <c r="I113" i="193"/>
  <c r="H113" i="193"/>
  <c r="G113" i="193"/>
  <c r="F113" i="193"/>
  <c r="E113" i="193"/>
  <c r="D113" i="193"/>
  <c r="C113" i="193"/>
  <c r="L112" i="193"/>
  <c r="K112" i="193"/>
  <c r="J112" i="193"/>
  <c r="I112" i="193"/>
  <c r="H112" i="193"/>
  <c r="G112" i="193"/>
  <c r="F112" i="193"/>
  <c r="E112" i="193"/>
  <c r="D112" i="193"/>
  <c r="C112" i="193"/>
  <c r="L107" i="193"/>
  <c r="K107" i="193"/>
  <c r="J107" i="193"/>
  <c r="I107" i="193"/>
  <c r="H107" i="193"/>
  <c r="G107" i="193"/>
  <c r="F107" i="193"/>
  <c r="E107" i="193"/>
  <c r="D107" i="193"/>
  <c r="C107" i="193"/>
  <c r="L106" i="193"/>
  <c r="K106" i="193"/>
  <c r="J106" i="193"/>
  <c r="I106" i="193"/>
  <c r="H106" i="193"/>
  <c r="G106" i="193"/>
  <c r="F106" i="193"/>
  <c r="E106" i="193"/>
  <c r="D106" i="193"/>
  <c r="C106" i="193"/>
  <c r="L105" i="193"/>
  <c r="K105" i="193"/>
  <c r="J105" i="193"/>
  <c r="I105" i="193"/>
  <c r="H105" i="193"/>
  <c r="G105" i="193"/>
  <c r="F105" i="193"/>
  <c r="E105" i="193"/>
  <c r="D105" i="193"/>
  <c r="C105" i="193"/>
  <c r="L104" i="193"/>
  <c r="K104" i="193"/>
  <c r="J104" i="193"/>
  <c r="I104" i="193"/>
  <c r="H104" i="193"/>
  <c r="G104" i="193"/>
  <c r="F104" i="193"/>
  <c r="E104" i="193"/>
  <c r="D104" i="193"/>
  <c r="C104" i="193"/>
  <c r="L103" i="193"/>
  <c r="K103" i="193"/>
  <c r="J103" i="193"/>
  <c r="I103" i="193"/>
  <c r="H103" i="193"/>
  <c r="G103" i="193"/>
  <c r="F103" i="193"/>
  <c r="E103" i="193"/>
  <c r="D103" i="193"/>
  <c r="C103" i="193"/>
  <c r="L99" i="193"/>
  <c r="K99" i="193"/>
  <c r="J99" i="193"/>
  <c r="I99" i="193"/>
  <c r="H99" i="193"/>
  <c r="G99" i="193"/>
  <c r="F99" i="193"/>
  <c r="E99" i="193"/>
  <c r="D99" i="193"/>
  <c r="C99" i="193"/>
  <c r="L95" i="193"/>
  <c r="K95" i="193"/>
  <c r="J95" i="193"/>
  <c r="I95" i="193"/>
  <c r="H95" i="193"/>
  <c r="G95" i="193"/>
  <c r="F95" i="193"/>
  <c r="E95" i="193"/>
  <c r="D95" i="193"/>
  <c r="C95" i="193"/>
  <c r="L93" i="193"/>
  <c r="K93" i="193"/>
  <c r="J93" i="193"/>
  <c r="I93" i="193"/>
  <c r="H93" i="193"/>
  <c r="G93" i="193"/>
  <c r="F93" i="193"/>
  <c r="E93" i="193"/>
  <c r="D93" i="193"/>
  <c r="C93" i="193"/>
  <c r="L92" i="193"/>
  <c r="K92" i="193"/>
  <c r="J92" i="193"/>
  <c r="I92" i="193"/>
  <c r="H92" i="193"/>
  <c r="G92" i="193"/>
  <c r="F92" i="193"/>
  <c r="E92" i="193"/>
  <c r="D92" i="193"/>
  <c r="C92" i="193"/>
  <c r="L91" i="193"/>
  <c r="K91" i="193"/>
  <c r="J91" i="193"/>
  <c r="I91" i="193"/>
  <c r="H91" i="193"/>
  <c r="G91" i="193"/>
  <c r="F91" i="193"/>
  <c r="E91" i="193"/>
  <c r="D91" i="193"/>
  <c r="C91" i="193"/>
  <c r="L90" i="193"/>
  <c r="K90" i="193"/>
  <c r="J90" i="193"/>
  <c r="I90" i="193"/>
  <c r="H90" i="193"/>
  <c r="G90" i="193"/>
  <c r="F90" i="193"/>
  <c r="E90" i="193"/>
  <c r="D90" i="193"/>
  <c r="C90" i="193"/>
  <c r="L89" i="193"/>
  <c r="K89" i="193"/>
  <c r="J89" i="193"/>
  <c r="I89" i="193"/>
  <c r="H89" i="193"/>
  <c r="G89" i="193"/>
  <c r="F89" i="193"/>
  <c r="E89" i="193"/>
  <c r="D89" i="193"/>
  <c r="C89" i="193"/>
  <c r="L88" i="193"/>
  <c r="K88" i="193"/>
  <c r="J88" i="193"/>
  <c r="I88" i="193"/>
  <c r="H88" i="193"/>
  <c r="G88" i="193"/>
  <c r="F88" i="193"/>
  <c r="E88" i="193"/>
  <c r="D88" i="193"/>
  <c r="C88" i="193"/>
  <c r="L87" i="193"/>
  <c r="K87" i="193"/>
  <c r="J87" i="193"/>
  <c r="I87" i="193"/>
  <c r="H87" i="193"/>
  <c r="G87" i="193"/>
  <c r="F87" i="193"/>
  <c r="E87" i="193"/>
  <c r="D87" i="193"/>
  <c r="C87" i="193"/>
  <c r="L86" i="193"/>
  <c r="K86" i="193"/>
  <c r="J86" i="193"/>
  <c r="I86" i="193"/>
  <c r="H86" i="193"/>
  <c r="G86" i="193"/>
  <c r="F86" i="193"/>
  <c r="E86" i="193"/>
  <c r="D86" i="193"/>
  <c r="C86" i="193"/>
  <c r="L82" i="193"/>
  <c r="K82" i="193"/>
  <c r="J82" i="193"/>
  <c r="I82" i="193"/>
  <c r="H82" i="193"/>
  <c r="G82" i="193"/>
  <c r="F82" i="193"/>
  <c r="E82" i="193"/>
  <c r="D82" i="193"/>
  <c r="C82" i="193"/>
  <c r="L81" i="193"/>
  <c r="K81" i="193"/>
  <c r="J81" i="193"/>
  <c r="I81" i="193"/>
  <c r="H81" i="193"/>
  <c r="G81" i="193"/>
  <c r="F81" i="193"/>
  <c r="E81" i="193"/>
  <c r="D81" i="193"/>
  <c r="C81" i="193"/>
  <c r="L80" i="193"/>
  <c r="K80" i="193"/>
  <c r="J80" i="193"/>
  <c r="I80" i="193"/>
  <c r="H80" i="193"/>
  <c r="G80" i="193"/>
  <c r="F80" i="193"/>
  <c r="E80" i="193"/>
  <c r="D80" i="193"/>
  <c r="C80" i="193"/>
  <c r="L79" i="193"/>
  <c r="K79" i="193"/>
  <c r="J79" i="193"/>
  <c r="I79" i="193"/>
  <c r="H79" i="193"/>
  <c r="G79" i="193"/>
  <c r="F79" i="193"/>
  <c r="E79" i="193"/>
  <c r="D79" i="193"/>
  <c r="C79" i="193"/>
  <c r="L78" i="193"/>
  <c r="K78" i="193"/>
  <c r="J78" i="193"/>
  <c r="I78" i="193"/>
  <c r="H78" i="193"/>
  <c r="G78" i="193"/>
  <c r="F78" i="193"/>
  <c r="E78" i="193"/>
  <c r="D78" i="193"/>
  <c r="C78" i="193"/>
  <c r="L77" i="193"/>
  <c r="K77" i="193"/>
  <c r="J77" i="193"/>
  <c r="I77" i="193"/>
  <c r="H77" i="193"/>
  <c r="G77" i="193"/>
  <c r="F77" i="193"/>
  <c r="E77" i="193"/>
  <c r="D77" i="193"/>
  <c r="C77" i="193"/>
  <c r="L76" i="193"/>
  <c r="K76" i="193"/>
  <c r="J76" i="193"/>
  <c r="I76" i="193"/>
  <c r="H76" i="193"/>
  <c r="G76" i="193"/>
  <c r="F76" i="193"/>
  <c r="E76" i="193"/>
  <c r="D76" i="193"/>
  <c r="C76" i="193"/>
  <c r="L75" i="193"/>
  <c r="K75" i="193"/>
  <c r="J75" i="193"/>
  <c r="I75" i="193"/>
  <c r="H75" i="193"/>
  <c r="G75" i="193"/>
  <c r="F75" i="193"/>
  <c r="E75" i="193"/>
  <c r="D75" i="193"/>
  <c r="C75" i="193"/>
  <c r="L71" i="193"/>
  <c r="K71" i="193"/>
  <c r="J71" i="193"/>
  <c r="I71" i="193"/>
  <c r="H71" i="193"/>
  <c r="G71" i="193"/>
  <c r="F71" i="193"/>
  <c r="E71" i="193"/>
  <c r="D71" i="193"/>
  <c r="C71" i="193"/>
  <c r="L70" i="193"/>
  <c r="K70" i="193"/>
  <c r="J70" i="193"/>
  <c r="I70" i="193"/>
  <c r="H70" i="193"/>
  <c r="G70" i="193"/>
  <c r="F70" i="193"/>
  <c r="E70" i="193"/>
  <c r="D70" i="193"/>
  <c r="C70" i="193"/>
  <c r="L69" i="193"/>
  <c r="K69" i="193"/>
  <c r="J69" i="193"/>
  <c r="I69" i="193"/>
  <c r="H69" i="193"/>
  <c r="G69" i="193"/>
  <c r="F69" i="193"/>
  <c r="E69" i="193"/>
  <c r="D69" i="193"/>
  <c r="C69" i="193"/>
  <c r="L68" i="193"/>
  <c r="K68" i="193"/>
  <c r="J68" i="193"/>
  <c r="I68" i="193"/>
  <c r="H68" i="193"/>
  <c r="G68" i="193"/>
  <c r="F68" i="193"/>
  <c r="E68" i="193"/>
  <c r="D68" i="193"/>
  <c r="C68" i="193"/>
  <c r="L67" i="193"/>
  <c r="K67" i="193"/>
  <c r="J67" i="193"/>
  <c r="I67" i="193"/>
  <c r="H67" i="193"/>
  <c r="G67" i="193"/>
  <c r="F67" i="193"/>
  <c r="E67" i="193"/>
  <c r="D67" i="193"/>
  <c r="C67" i="193"/>
  <c r="L66" i="193"/>
  <c r="K66" i="193"/>
  <c r="J66" i="193"/>
  <c r="I66" i="193"/>
  <c r="H66" i="193"/>
  <c r="G66" i="193"/>
  <c r="F66" i="193"/>
  <c r="E66" i="193"/>
  <c r="D66" i="193"/>
  <c r="C66" i="193"/>
  <c r="L65" i="193"/>
  <c r="K65" i="193"/>
  <c r="J65" i="193"/>
  <c r="I65" i="193"/>
  <c r="H65" i="193"/>
  <c r="G65" i="193"/>
  <c r="F65" i="193"/>
  <c r="E65" i="193"/>
  <c r="D65" i="193"/>
  <c r="C65" i="193"/>
  <c r="L64" i="193"/>
  <c r="K64" i="193"/>
  <c r="J64" i="193"/>
  <c r="I64" i="193"/>
  <c r="H64" i="193"/>
  <c r="G64" i="193"/>
  <c r="F64" i="193"/>
  <c r="E64" i="193"/>
  <c r="D64" i="193"/>
  <c r="C64" i="193"/>
  <c r="L58" i="193"/>
  <c r="K58" i="193"/>
  <c r="J58" i="193"/>
  <c r="I58" i="193"/>
  <c r="H58" i="193"/>
  <c r="G58" i="193"/>
  <c r="F58" i="193"/>
  <c r="E58" i="193"/>
  <c r="D58" i="193"/>
  <c r="C58" i="193"/>
  <c r="L57" i="193"/>
  <c r="K57" i="193"/>
  <c r="J57" i="193"/>
  <c r="I57" i="193"/>
  <c r="H57" i="193"/>
  <c r="G57" i="193"/>
  <c r="F57" i="193"/>
  <c r="E57" i="193"/>
  <c r="D57" i="193"/>
  <c r="C57" i="193"/>
  <c r="I53" i="193"/>
  <c r="H53" i="193"/>
  <c r="G53" i="193"/>
  <c r="F53" i="193"/>
  <c r="E53" i="193"/>
  <c r="D53" i="193"/>
  <c r="C53" i="193"/>
  <c r="B53" i="193"/>
  <c r="I52" i="193"/>
  <c r="H52" i="193"/>
  <c r="G52" i="193"/>
  <c r="F52" i="193"/>
  <c r="E52" i="193"/>
  <c r="D52" i="193"/>
  <c r="C52" i="193"/>
  <c r="B52" i="193"/>
  <c r="J51" i="193"/>
  <c r="I51" i="193"/>
  <c r="H51" i="193"/>
  <c r="G51" i="193"/>
  <c r="F51" i="193"/>
  <c r="E51" i="193"/>
  <c r="D51" i="193"/>
  <c r="C51" i="193"/>
  <c r="B51" i="193"/>
  <c r="L44" i="193"/>
  <c r="K44" i="193"/>
  <c r="J44" i="193"/>
  <c r="I44" i="193"/>
  <c r="H44" i="193"/>
  <c r="G44" i="193"/>
  <c r="F44" i="193"/>
  <c r="E44" i="193"/>
  <c r="D44" i="193"/>
  <c r="C44" i="193"/>
  <c r="L43" i="193"/>
  <c r="K43" i="193"/>
  <c r="J43" i="193"/>
  <c r="I43" i="193"/>
  <c r="H43" i="193"/>
  <c r="G43" i="193"/>
  <c r="F43" i="193"/>
  <c r="E43" i="193"/>
  <c r="D43" i="193"/>
  <c r="C43" i="193"/>
  <c r="D41" i="193"/>
  <c r="C39" i="193"/>
  <c r="C35" i="193"/>
  <c r="B35" i="193"/>
  <c r="C34" i="193"/>
  <c r="B34" i="193"/>
  <c r="C33" i="193"/>
  <c r="B33" i="193"/>
  <c r="L29" i="193"/>
  <c r="K29" i="193"/>
  <c r="J29" i="193"/>
  <c r="I29" i="193"/>
  <c r="H29" i="193"/>
  <c r="G29" i="193"/>
  <c r="F29" i="193"/>
  <c r="E29" i="193"/>
  <c r="D29" i="193"/>
  <c r="C29" i="193"/>
  <c r="B29" i="193"/>
  <c r="L28" i="193"/>
  <c r="K28" i="193"/>
  <c r="J28" i="193"/>
  <c r="I28" i="193"/>
  <c r="H28" i="193"/>
  <c r="G28" i="193"/>
  <c r="F28" i="193"/>
  <c r="E28" i="193"/>
  <c r="D28" i="193"/>
  <c r="C28" i="193"/>
  <c r="B28" i="193"/>
  <c r="L27" i="193"/>
  <c r="K27" i="193"/>
  <c r="J27" i="193"/>
  <c r="I27" i="193"/>
  <c r="H27" i="193"/>
  <c r="G27" i="193"/>
  <c r="F27" i="193"/>
  <c r="E27" i="193"/>
  <c r="D27" i="193"/>
  <c r="C27" i="193"/>
  <c r="B27" i="193"/>
  <c r="L26" i="193"/>
  <c r="K26" i="193"/>
  <c r="J26" i="193"/>
  <c r="I26" i="193"/>
  <c r="H26" i="193"/>
  <c r="G26" i="193"/>
  <c r="F26" i="193"/>
  <c r="E26" i="193"/>
  <c r="D26" i="193"/>
  <c r="C26" i="193"/>
  <c r="C20" i="193"/>
  <c r="B20" i="193"/>
  <c r="L15" i="193"/>
  <c r="K15" i="193"/>
  <c r="J15" i="193"/>
  <c r="I15" i="193"/>
  <c r="H15" i="193"/>
  <c r="G15" i="193"/>
  <c r="F15" i="193"/>
  <c r="E15" i="193"/>
  <c r="D15" i="193"/>
  <c r="C15" i="193"/>
  <c r="B15" i="193"/>
  <c r="L14" i="193"/>
  <c r="K14" i="193"/>
  <c r="J14" i="193"/>
  <c r="I14" i="193"/>
  <c r="H14" i="193"/>
  <c r="G14" i="193"/>
  <c r="F14" i="193"/>
  <c r="E14" i="193"/>
  <c r="D14" i="193"/>
  <c r="C14" i="193"/>
  <c r="A10" i="193"/>
  <c r="A1" i="193"/>
  <c r="L119" i="192"/>
  <c r="K119" i="192"/>
  <c r="J119" i="192"/>
  <c r="I119" i="192"/>
  <c r="H119" i="192"/>
  <c r="G119" i="192"/>
  <c r="F119" i="192"/>
  <c r="E119" i="192"/>
  <c r="D119" i="192"/>
  <c r="C119" i="192"/>
  <c r="A119" i="192"/>
  <c r="L118" i="192"/>
  <c r="K118" i="192"/>
  <c r="J118" i="192"/>
  <c r="I118" i="192"/>
  <c r="H118" i="192"/>
  <c r="G118" i="192"/>
  <c r="F118" i="192"/>
  <c r="E118" i="192"/>
  <c r="D118" i="192"/>
  <c r="C118" i="192"/>
  <c r="L117" i="192"/>
  <c r="K117" i="192"/>
  <c r="J117" i="192"/>
  <c r="I117" i="192"/>
  <c r="H117" i="192"/>
  <c r="G117" i="192"/>
  <c r="F117" i="192"/>
  <c r="E117" i="192"/>
  <c r="D117" i="192"/>
  <c r="C117" i="192"/>
  <c r="L116" i="192"/>
  <c r="K116" i="192"/>
  <c r="J116" i="192"/>
  <c r="I116" i="192"/>
  <c r="H116" i="192"/>
  <c r="G116" i="192"/>
  <c r="F116" i="192"/>
  <c r="E116" i="192"/>
  <c r="D116" i="192"/>
  <c r="C116" i="192"/>
  <c r="L115" i="192"/>
  <c r="K115" i="192"/>
  <c r="J115" i="192"/>
  <c r="I115" i="192"/>
  <c r="H115" i="192"/>
  <c r="G115" i="192"/>
  <c r="F115" i="192"/>
  <c r="E115" i="192"/>
  <c r="D115" i="192"/>
  <c r="C115" i="192"/>
  <c r="L114" i="192"/>
  <c r="K114" i="192"/>
  <c r="J114" i="192"/>
  <c r="I114" i="192"/>
  <c r="H114" i="192"/>
  <c r="G114" i="192"/>
  <c r="F114" i="192"/>
  <c r="E114" i="192"/>
  <c r="D114" i="192"/>
  <c r="C114" i="192"/>
  <c r="L113" i="192"/>
  <c r="K113" i="192"/>
  <c r="J113" i="192"/>
  <c r="I113" i="192"/>
  <c r="H113" i="192"/>
  <c r="G113" i="192"/>
  <c r="F113" i="192"/>
  <c r="E113" i="192"/>
  <c r="D113" i="192"/>
  <c r="C113" i="192"/>
  <c r="L112" i="192"/>
  <c r="K112" i="192"/>
  <c r="J112" i="192"/>
  <c r="I112" i="192"/>
  <c r="H112" i="192"/>
  <c r="G112" i="192"/>
  <c r="F112" i="192"/>
  <c r="E112" i="192"/>
  <c r="D112" i="192"/>
  <c r="C112" i="192"/>
  <c r="L107" i="192"/>
  <c r="K107" i="192"/>
  <c r="J107" i="192"/>
  <c r="I107" i="192"/>
  <c r="H107" i="192"/>
  <c r="G107" i="192"/>
  <c r="F107" i="192"/>
  <c r="E107" i="192"/>
  <c r="D107" i="192"/>
  <c r="C107" i="192"/>
  <c r="L106" i="192"/>
  <c r="K106" i="192"/>
  <c r="J106" i="192"/>
  <c r="I106" i="192"/>
  <c r="H106" i="192"/>
  <c r="G106" i="192"/>
  <c r="F106" i="192"/>
  <c r="E106" i="192"/>
  <c r="D106" i="192"/>
  <c r="C106" i="192"/>
  <c r="L105" i="192"/>
  <c r="K105" i="192"/>
  <c r="J105" i="192"/>
  <c r="I105" i="192"/>
  <c r="H105" i="192"/>
  <c r="G105" i="192"/>
  <c r="F105" i="192"/>
  <c r="E105" i="192"/>
  <c r="D105" i="192"/>
  <c r="C105" i="192"/>
  <c r="L104" i="192"/>
  <c r="K104" i="192"/>
  <c r="J104" i="192"/>
  <c r="I104" i="192"/>
  <c r="H104" i="192"/>
  <c r="G104" i="192"/>
  <c r="F104" i="192"/>
  <c r="E104" i="192"/>
  <c r="D104" i="192"/>
  <c r="C104" i="192"/>
  <c r="L103" i="192"/>
  <c r="K103" i="192"/>
  <c r="J103" i="192"/>
  <c r="I103" i="192"/>
  <c r="H103" i="192"/>
  <c r="G103" i="192"/>
  <c r="F103" i="192"/>
  <c r="E103" i="192"/>
  <c r="D103" i="192"/>
  <c r="C103" i="192"/>
  <c r="L99" i="192"/>
  <c r="K99" i="192"/>
  <c r="J99" i="192"/>
  <c r="I99" i="192"/>
  <c r="H99" i="192"/>
  <c r="G99" i="192"/>
  <c r="F99" i="192"/>
  <c r="E99" i="192"/>
  <c r="D99" i="192"/>
  <c r="C99" i="192"/>
  <c r="L95" i="192"/>
  <c r="K95" i="192"/>
  <c r="J95" i="192"/>
  <c r="I95" i="192"/>
  <c r="H95" i="192"/>
  <c r="G95" i="192"/>
  <c r="F95" i="192"/>
  <c r="E95" i="192"/>
  <c r="D95" i="192"/>
  <c r="C95" i="192"/>
  <c r="L93" i="192"/>
  <c r="K93" i="192"/>
  <c r="J93" i="192"/>
  <c r="I93" i="192"/>
  <c r="H93" i="192"/>
  <c r="G93" i="192"/>
  <c r="F93" i="192"/>
  <c r="E93" i="192"/>
  <c r="D93" i="192"/>
  <c r="C93" i="192"/>
  <c r="L92" i="192"/>
  <c r="K92" i="192"/>
  <c r="J92" i="192"/>
  <c r="I92" i="192"/>
  <c r="H92" i="192"/>
  <c r="G92" i="192"/>
  <c r="F92" i="192"/>
  <c r="E92" i="192"/>
  <c r="D92" i="192"/>
  <c r="C92" i="192"/>
  <c r="L91" i="192"/>
  <c r="K91" i="192"/>
  <c r="J91" i="192"/>
  <c r="I91" i="192"/>
  <c r="H91" i="192"/>
  <c r="G91" i="192"/>
  <c r="F91" i="192"/>
  <c r="E91" i="192"/>
  <c r="D91" i="192"/>
  <c r="C91" i="192"/>
  <c r="L90" i="192"/>
  <c r="K90" i="192"/>
  <c r="J90" i="192"/>
  <c r="I90" i="192"/>
  <c r="H90" i="192"/>
  <c r="G90" i="192"/>
  <c r="F90" i="192"/>
  <c r="E90" i="192"/>
  <c r="D90" i="192"/>
  <c r="C90" i="192"/>
  <c r="L89" i="192"/>
  <c r="K89" i="192"/>
  <c r="J89" i="192"/>
  <c r="I89" i="192"/>
  <c r="H89" i="192"/>
  <c r="G89" i="192"/>
  <c r="F89" i="192"/>
  <c r="E89" i="192"/>
  <c r="D89" i="192"/>
  <c r="C89" i="192"/>
  <c r="L88" i="192"/>
  <c r="K88" i="192"/>
  <c r="J88" i="192"/>
  <c r="I88" i="192"/>
  <c r="H88" i="192"/>
  <c r="G88" i="192"/>
  <c r="F88" i="192"/>
  <c r="E88" i="192"/>
  <c r="D88" i="192"/>
  <c r="C88" i="192"/>
  <c r="L87" i="192"/>
  <c r="K87" i="192"/>
  <c r="J87" i="192"/>
  <c r="I87" i="192"/>
  <c r="H87" i="192"/>
  <c r="G87" i="192"/>
  <c r="F87" i="192"/>
  <c r="E87" i="192"/>
  <c r="D87" i="192"/>
  <c r="C87" i="192"/>
  <c r="L86" i="192"/>
  <c r="K86" i="192"/>
  <c r="J86" i="192"/>
  <c r="I86" i="192"/>
  <c r="H86" i="192"/>
  <c r="G86" i="192"/>
  <c r="F86" i="192"/>
  <c r="E86" i="192"/>
  <c r="D86" i="192"/>
  <c r="C86" i="192"/>
  <c r="L82" i="192"/>
  <c r="K82" i="192"/>
  <c r="J82" i="192"/>
  <c r="I82" i="192"/>
  <c r="H82" i="192"/>
  <c r="G82" i="192"/>
  <c r="F82" i="192"/>
  <c r="E82" i="192"/>
  <c r="D82" i="192"/>
  <c r="C82" i="192"/>
  <c r="L81" i="192"/>
  <c r="K81" i="192"/>
  <c r="J81" i="192"/>
  <c r="I81" i="192"/>
  <c r="H81" i="192"/>
  <c r="G81" i="192"/>
  <c r="F81" i="192"/>
  <c r="E81" i="192"/>
  <c r="D81" i="192"/>
  <c r="C81" i="192"/>
  <c r="L80" i="192"/>
  <c r="K80" i="192"/>
  <c r="J80" i="192"/>
  <c r="I80" i="192"/>
  <c r="H80" i="192"/>
  <c r="G80" i="192"/>
  <c r="F80" i="192"/>
  <c r="E80" i="192"/>
  <c r="D80" i="192"/>
  <c r="C80" i="192"/>
  <c r="L79" i="192"/>
  <c r="K79" i="192"/>
  <c r="J79" i="192"/>
  <c r="I79" i="192"/>
  <c r="H79" i="192"/>
  <c r="G79" i="192"/>
  <c r="F79" i="192"/>
  <c r="E79" i="192"/>
  <c r="D79" i="192"/>
  <c r="C79" i="192"/>
  <c r="L78" i="192"/>
  <c r="K78" i="192"/>
  <c r="J78" i="192"/>
  <c r="I78" i="192"/>
  <c r="H78" i="192"/>
  <c r="G78" i="192"/>
  <c r="F78" i="192"/>
  <c r="E78" i="192"/>
  <c r="D78" i="192"/>
  <c r="C78" i="192"/>
  <c r="L77" i="192"/>
  <c r="K77" i="192"/>
  <c r="J77" i="192"/>
  <c r="I77" i="192"/>
  <c r="H77" i="192"/>
  <c r="G77" i="192"/>
  <c r="F77" i="192"/>
  <c r="E77" i="192"/>
  <c r="D77" i="192"/>
  <c r="C77" i="192"/>
  <c r="L76" i="192"/>
  <c r="K76" i="192"/>
  <c r="J76" i="192"/>
  <c r="I76" i="192"/>
  <c r="H76" i="192"/>
  <c r="G76" i="192"/>
  <c r="F76" i="192"/>
  <c r="E76" i="192"/>
  <c r="D76" i="192"/>
  <c r="C76" i="192"/>
  <c r="L75" i="192"/>
  <c r="K75" i="192"/>
  <c r="J75" i="192"/>
  <c r="I75" i="192"/>
  <c r="H75" i="192"/>
  <c r="G75" i="192"/>
  <c r="F75" i="192"/>
  <c r="E75" i="192"/>
  <c r="D75" i="192"/>
  <c r="C75" i="192"/>
  <c r="L71" i="192"/>
  <c r="K71" i="192"/>
  <c r="J71" i="192"/>
  <c r="I71" i="192"/>
  <c r="H71" i="192"/>
  <c r="G71" i="192"/>
  <c r="F71" i="192"/>
  <c r="E71" i="192"/>
  <c r="D71" i="192"/>
  <c r="C71" i="192"/>
  <c r="L70" i="192"/>
  <c r="K70" i="192"/>
  <c r="J70" i="192"/>
  <c r="I70" i="192"/>
  <c r="H70" i="192"/>
  <c r="G70" i="192"/>
  <c r="F70" i="192"/>
  <c r="E70" i="192"/>
  <c r="D70" i="192"/>
  <c r="C70" i="192"/>
  <c r="L69" i="192"/>
  <c r="K69" i="192"/>
  <c r="J69" i="192"/>
  <c r="I69" i="192"/>
  <c r="H69" i="192"/>
  <c r="G69" i="192"/>
  <c r="F69" i="192"/>
  <c r="E69" i="192"/>
  <c r="D69" i="192"/>
  <c r="C69" i="192"/>
  <c r="L68" i="192"/>
  <c r="K68" i="192"/>
  <c r="J68" i="192"/>
  <c r="I68" i="192"/>
  <c r="H68" i="192"/>
  <c r="G68" i="192"/>
  <c r="F68" i="192"/>
  <c r="E68" i="192"/>
  <c r="D68" i="192"/>
  <c r="C68" i="192"/>
  <c r="L67" i="192"/>
  <c r="K67" i="192"/>
  <c r="J67" i="192"/>
  <c r="I67" i="192"/>
  <c r="H67" i="192"/>
  <c r="G67" i="192"/>
  <c r="F67" i="192"/>
  <c r="E67" i="192"/>
  <c r="D67" i="192"/>
  <c r="C67" i="192"/>
  <c r="L66" i="192"/>
  <c r="K66" i="192"/>
  <c r="J66" i="192"/>
  <c r="I66" i="192"/>
  <c r="H66" i="192"/>
  <c r="G66" i="192"/>
  <c r="F66" i="192"/>
  <c r="E66" i="192"/>
  <c r="D66" i="192"/>
  <c r="C66" i="192"/>
  <c r="L65" i="192"/>
  <c r="K65" i="192"/>
  <c r="J65" i="192"/>
  <c r="I65" i="192"/>
  <c r="H65" i="192"/>
  <c r="G65" i="192"/>
  <c r="F65" i="192"/>
  <c r="E65" i="192"/>
  <c r="D65" i="192"/>
  <c r="C65" i="192"/>
  <c r="L64" i="192"/>
  <c r="K64" i="192"/>
  <c r="J64" i="192"/>
  <c r="I64" i="192"/>
  <c r="H64" i="192"/>
  <c r="G64" i="192"/>
  <c r="F64" i="192"/>
  <c r="E64" i="192"/>
  <c r="D64" i="192"/>
  <c r="C64" i="192"/>
  <c r="L58" i="192"/>
  <c r="K58" i="192"/>
  <c r="J58" i="192"/>
  <c r="I58" i="192"/>
  <c r="H58" i="192"/>
  <c r="G58" i="192"/>
  <c r="F58" i="192"/>
  <c r="E58" i="192"/>
  <c r="D58" i="192"/>
  <c r="C58" i="192"/>
  <c r="L57" i="192"/>
  <c r="K57" i="192"/>
  <c r="J57" i="192"/>
  <c r="I57" i="192"/>
  <c r="H57" i="192"/>
  <c r="G57" i="192"/>
  <c r="F57" i="192"/>
  <c r="E57" i="192"/>
  <c r="D57" i="192"/>
  <c r="C57" i="192"/>
  <c r="I53" i="192"/>
  <c r="H53" i="192"/>
  <c r="G53" i="192"/>
  <c r="F53" i="192"/>
  <c r="E53" i="192"/>
  <c r="D53" i="192"/>
  <c r="C53" i="192"/>
  <c r="B53" i="192"/>
  <c r="I52" i="192"/>
  <c r="H52" i="192"/>
  <c r="G52" i="192"/>
  <c r="F52" i="192"/>
  <c r="E52" i="192"/>
  <c r="D52" i="192"/>
  <c r="C52" i="192"/>
  <c r="B52" i="192"/>
  <c r="J51" i="192"/>
  <c r="I51" i="192"/>
  <c r="H51" i="192"/>
  <c r="G51" i="192"/>
  <c r="F51" i="192"/>
  <c r="E51" i="192"/>
  <c r="D51" i="192"/>
  <c r="C51" i="192"/>
  <c r="B51" i="192"/>
  <c r="L44" i="192"/>
  <c r="K44" i="192"/>
  <c r="J44" i="192"/>
  <c r="I44" i="192"/>
  <c r="H44" i="192"/>
  <c r="G44" i="192"/>
  <c r="F44" i="192"/>
  <c r="E44" i="192"/>
  <c r="D44" i="192"/>
  <c r="C44" i="192"/>
  <c r="L43" i="192"/>
  <c r="K43" i="192"/>
  <c r="J43" i="192"/>
  <c r="I43" i="192"/>
  <c r="H43" i="192"/>
  <c r="G43" i="192"/>
  <c r="F43" i="192"/>
  <c r="E43" i="192"/>
  <c r="D43" i="192"/>
  <c r="C43" i="192"/>
  <c r="D41" i="192"/>
  <c r="C39" i="192"/>
  <c r="C35" i="192"/>
  <c r="B35" i="192"/>
  <c r="C34" i="192"/>
  <c r="B34" i="192"/>
  <c r="C33" i="192"/>
  <c r="B33" i="192"/>
  <c r="L29" i="192"/>
  <c r="K29" i="192"/>
  <c r="J29" i="192"/>
  <c r="I29" i="192"/>
  <c r="H29" i="192"/>
  <c r="G29" i="192"/>
  <c r="F29" i="192"/>
  <c r="E29" i="192"/>
  <c r="D29" i="192"/>
  <c r="C29" i="192"/>
  <c r="B29" i="192"/>
  <c r="L28" i="192"/>
  <c r="K28" i="192"/>
  <c r="J28" i="192"/>
  <c r="I28" i="192"/>
  <c r="H28" i="192"/>
  <c r="G28" i="192"/>
  <c r="F28" i="192"/>
  <c r="E28" i="192"/>
  <c r="D28" i="192"/>
  <c r="C28" i="192"/>
  <c r="B28" i="192"/>
  <c r="L27" i="192"/>
  <c r="K27" i="192"/>
  <c r="J27" i="192"/>
  <c r="I27" i="192"/>
  <c r="H27" i="192"/>
  <c r="G27" i="192"/>
  <c r="F27" i="192"/>
  <c r="E27" i="192"/>
  <c r="D27" i="192"/>
  <c r="C27" i="192"/>
  <c r="B27" i="192"/>
  <c r="L26" i="192"/>
  <c r="K26" i="192"/>
  <c r="J26" i="192"/>
  <c r="I26" i="192"/>
  <c r="H26" i="192"/>
  <c r="G26" i="192"/>
  <c r="F26" i="192"/>
  <c r="E26" i="192"/>
  <c r="D26" i="192"/>
  <c r="C26" i="192"/>
  <c r="C20" i="192"/>
  <c r="B20" i="192"/>
  <c r="L15" i="192"/>
  <c r="K15" i="192"/>
  <c r="J15" i="192"/>
  <c r="I15" i="192"/>
  <c r="H15" i="192"/>
  <c r="G15" i="192"/>
  <c r="F15" i="192"/>
  <c r="E15" i="192"/>
  <c r="D15" i="192"/>
  <c r="C15" i="192"/>
  <c r="B15" i="192"/>
  <c r="L14" i="192"/>
  <c r="K14" i="192"/>
  <c r="J14" i="192"/>
  <c r="I14" i="192"/>
  <c r="H14" i="192"/>
  <c r="G14" i="192"/>
  <c r="F14" i="192"/>
  <c r="E14" i="192"/>
  <c r="D14" i="192"/>
  <c r="C14" i="192"/>
  <c r="A10" i="192"/>
  <c r="A1" i="192"/>
  <c r="L119" i="191"/>
  <c r="K119" i="191"/>
  <c r="J119" i="191"/>
  <c r="I119" i="191"/>
  <c r="H119" i="191"/>
  <c r="G119" i="191"/>
  <c r="F119" i="191"/>
  <c r="E119" i="191"/>
  <c r="D119" i="191"/>
  <c r="C119" i="191"/>
  <c r="A119" i="191"/>
  <c r="L118" i="191"/>
  <c r="K118" i="191"/>
  <c r="J118" i="191"/>
  <c r="I118" i="191"/>
  <c r="H118" i="191"/>
  <c r="G118" i="191"/>
  <c r="F118" i="191"/>
  <c r="E118" i="191"/>
  <c r="D118" i="191"/>
  <c r="C118" i="191"/>
  <c r="L117" i="191"/>
  <c r="K117" i="191"/>
  <c r="J117" i="191"/>
  <c r="I117" i="191"/>
  <c r="H117" i="191"/>
  <c r="G117" i="191"/>
  <c r="F117" i="191"/>
  <c r="E117" i="191"/>
  <c r="D117" i="191"/>
  <c r="C117" i="191"/>
  <c r="L116" i="191"/>
  <c r="K116" i="191"/>
  <c r="J116" i="191"/>
  <c r="I116" i="191"/>
  <c r="H116" i="191"/>
  <c r="G116" i="191"/>
  <c r="F116" i="191"/>
  <c r="E116" i="191"/>
  <c r="D116" i="191"/>
  <c r="C116" i="191"/>
  <c r="L115" i="191"/>
  <c r="K115" i="191"/>
  <c r="J115" i="191"/>
  <c r="I115" i="191"/>
  <c r="H115" i="191"/>
  <c r="G115" i="191"/>
  <c r="F115" i="191"/>
  <c r="E115" i="191"/>
  <c r="D115" i="191"/>
  <c r="C115" i="191"/>
  <c r="L114" i="191"/>
  <c r="K114" i="191"/>
  <c r="J114" i="191"/>
  <c r="I114" i="191"/>
  <c r="H114" i="191"/>
  <c r="G114" i="191"/>
  <c r="F114" i="191"/>
  <c r="E114" i="191"/>
  <c r="D114" i="191"/>
  <c r="C114" i="191"/>
  <c r="L113" i="191"/>
  <c r="K113" i="191"/>
  <c r="J113" i="191"/>
  <c r="I113" i="191"/>
  <c r="H113" i="191"/>
  <c r="G113" i="191"/>
  <c r="F113" i="191"/>
  <c r="E113" i="191"/>
  <c r="D113" i="191"/>
  <c r="C113" i="191"/>
  <c r="L112" i="191"/>
  <c r="K112" i="191"/>
  <c r="J112" i="191"/>
  <c r="I112" i="191"/>
  <c r="H112" i="191"/>
  <c r="G112" i="191"/>
  <c r="F112" i="191"/>
  <c r="E112" i="191"/>
  <c r="D112" i="191"/>
  <c r="C112" i="191"/>
  <c r="L107" i="191"/>
  <c r="K107" i="191"/>
  <c r="J107" i="191"/>
  <c r="I107" i="191"/>
  <c r="H107" i="191"/>
  <c r="G107" i="191"/>
  <c r="F107" i="191"/>
  <c r="E107" i="191"/>
  <c r="D107" i="191"/>
  <c r="C107" i="191"/>
  <c r="L106" i="191"/>
  <c r="K106" i="191"/>
  <c r="J106" i="191"/>
  <c r="I106" i="191"/>
  <c r="H106" i="191"/>
  <c r="G106" i="191"/>
  <c r="F106" i="191"/>
  <c r="E106" i="191"/>
  <c r="D106" i="191"/>
  <c r="C106" i="191"/>
  <c r="L105" i="191"/>
  <c r="K105" i="191"/>
  <c r="J105" i="191"/>
  <c r="I105" i="191"/>
  <c r="H105" i="191"/>
  <c r="G105" i="191"/>
  <c r="F105" i="191"/>
  <c r="E105" i="191"/>
  <c r="D105" i="191"/>
  <c r="C105" i="191"/>
  <c r="L104" i="191"/>
  <c r="K104" i="191"/>
  <c r="J104" i="191"/>
  <c r="I104" i="191"/>
  <c r="H104" i="191"/>
  <c r="G104" i="191"/>
  <c r="F104" i="191"/>
  <c r="E104" i="191"/>
  <c r="D104" i="191"/>
  <c r="C104" i="191"/>
  <c r="L103" i="191"/>
  <c r="K103" i="191"/>
  <c r="J103" i="191"/>
  <c r="I103" i="191"/>
  <c r="H103" i="191"/>
  <c r="G103" i="191"/>
  <c r="F103" i="191"/>
  <c r="E103" i="191"/>
  <c r="D103" i="191"/>
  <c r="C103" i="191"/>
  <c r="L99" i="191"/>
  <c r="K99" i="191"/>
  <c r="J99" i="191"/>
  <c r="I99" i="191"/>
  <c r="H99" i="191"/>
  <c r="G99" i="191"/>
  <c r="F99" i="191"/>
  <c r="E99" i="191"/>
  <c r="D99" i="191"/>
  <c r="C99" i="191"/>
  <c r="L95" i="191"/>
  <c r="K95" i="191"/>
  <c r="J95" i="191"/>
  <c r="I95" i="191"/>
  <c r="H95" i="191"/>
  <c r="G95" i="191"/>
  <c r="F95" i="191"/>
  <c r="E95" i="191"/>
  <c r="D95" i="191"/>
  <c r="C95" i="191"/>
  <c r="L93" i="191"/>
  <c r="K93" i="191"/>
  <c r="J93" i="191"/>
  <c r="I93" i="191"/>
  <c r="H93" i="191"/>
  <c r="G93" i="191"/>
  <c r="F93" i="191"/>
  <c r="E93" i="191"/>
  <c r="D93" i="191"/>
  <c r="C93" i="191"/>
  <c r="L92" i="191"/>
  <c r="K92" i="191"/>
  <c r="J92" i="191"/>
  <c r="I92" i="191"/>
  <c r="H92" i="191"/>
  <c r="G92" i="191"/>
  <c r="F92" i="191"/>
  <c r="E92" i="191"/>
  <c r="D92" i="191"/>
  <c r="C92" i="191"/>
  <c r="L91" i="191"/>
  <c r="K91" i="191"/>
  <c r="J91" i="191"/>
  <c r="I91" i="191"/>
  <c r="H91" i="191"/>
  <c r="G91" i="191"/>
  <c r="F91" i="191"/>
  <c r="E91" i="191"/>
  <c r="D91" i="191"/>
  <c r="C91" i="191"/>
  <c r="L90" i="191"/>
  <c r="K90" i="191"/>
  <c r="J90" i="191"/>
  <c r="I90" i="191"/>
  <c r="H90" i="191"/>
  <c r="G90" i="191"/>
  <c r="F90" i="191"/>
  <c r="E90" i="191"/>
  <c r="D90" i="191"/>
  <c r="C90" i="191"/>
  <c r="L89" i="191"/>
  <c r="K89" i="191"/>
  <c r="J89" i="191"/>
  <c r="I89" i="191"/>
  <c r="H89" i="191"/>
  <c r="G89" i="191"/>
  <c r="F89" i="191"/>
  <c r="E89" i="191"/>
  <c r="D89" i="191"/>
  <c r="C89" i="191"/>
  <c r="L88" i="191"/>
  <c r="K88" i="191"/>
  <c r="J88" i="191"/>
  <c r="I88" i="191"/>
  <c r="H88" i="191"/>
  <c r="G88" i="191"/>
  <c r="F88" i="191"/>
  <c r="E88" i="191"/>
  <c r="D88" i="191"/>
  <c r="C88" i="191"/>
  <c r="L87" i="191"/>
  <c r="K87" i="191"/>
  <c r="J87" i="191"/>
  <c r="I87" i="191"/>
  <c r="H87" i="191"/>
  <c r="G87" i="191"/>
  <c r="F87" i="191"/>
  <c r="E87" i="191"/>
  <c r="D87" i="191"/>
  <c r="C87" i="191"/>
  <c r="L86" i="191"/>
  <c r="K86" i="191"/>
  <c r="J86" i="191"/>
  <c r="I86" i="191"/>
  <c r="H86" i="191"/>
  <c r="G86" i="191"/>
  <c r="F86" i="191"/>
  <c r="E86" i="191"/>
  <c r="D86" i="191"/>
  <c r="C86" i="191"/>
  <c r="L82" i="191"/>
  <c r="K82" i="191"/>
  <c r="J82" i="191"/>
  <c r="I82" i="191"/>
  <c r="H82" i="191"/>
  <c r="G82" i="191"/>
  <c r="F82" i="191"/>
  <c r="E82" i="191"/>
  <c r="D82" i="191"/>
  <c r="C82" i="191"/>
  <c r="L81" i="191"/>
  <c r="K81" i="191"/>
  <c r="J81" i="191"/>
  <c r="I81" i="191"/>
  <c r="H81" i="191"/>
  <c r="G81" i="191"/>
  <c r="F81" i="191"/>
  <c r="E81" i="191"/>
  <c r="D81" i="191"/>
  <c r="C81" i="191"/>
  <c r="L80" i="191"/>
  <c r="K80" i="191"/>
  <c r="J80" i="191"/>
  <c r="I80" i="191"/>
  <c r="H80" i="191"/>
  <c r="G80" i="191"/>
  <c r="F80" i="191"/>
  <c r="E80" i="191"/>
  <c r="D80" i="191"/>
  <c r="C80" i="191"/>
  <c r="L79" i="191"/>
  <c r="K79" i="191"/>
  <c r="J79" i="191"/>
  <c r="I79" i="191"/>
  <c r="H79" i="191"/>
  <c r="G79" i="191"/>
  <c r="F79" i="191"/>
  <c r="E79" i="191"/>
  <c r="D79" i="191"/>
  <c r="C79" i="191"/>
  <c r="L78" i="191"/>
  <c r="K78" i="191"/>
  <c r="J78" i="191"/>
  <c r="I78" i="191"/>
  <c r="H78" i="191"/>
  <c r="G78" i="191"/>
  <c r="F78" i="191"/>
  <c r="E78" i="191"/>
  <c r="D78" i="191"/>
  <c r="C78" i="191"/>
  <c r="L77" i="191"/>
  <c r="K77" i="191"/>
  <c r="J77" i="191"/>
  <c r="I77" i="191"/>
  <c r="H77" i="191"/>
  <c r="G77" i="191"/>
  <c r="F77" i="191"/>
  <c r="E77" i="191"/>
  <c r="D77" i="191"/>
  <c r="C77" i="191"/>
  <c r="L76" i="191"/>
  <c r="K76" i="191"/>
  <c r="J76" i="191"/>
  <c r="I76" i="191"/>
  <c r="H76" i="191"/>
  <c r="G76" i="191"/>
  <c r="F76" i="191"/>
  <c r="E76" i="191"/>
  <c r="D76" i="191"/>
  <c r="C76" i="191"/>
  <c r="L75" i="191"/>
  <c r="K75" i="191"/>
  <c r="J75" i="191"/>
  <c r="I75" i="191"/>
  <c r="H75" i="191"/>
  <c r="G75" i="191"/>
  <c r="F75" i="191"/>
  <c r="E75" i="191"/>
  <c r="D75" i="191"/>
  <c r="C75" i="191"/>
  <c r="L71" i="191"/>
  <c r="K71" i="191"/>
  <c r="J71" i="191"/>
  <c r="I71" i="191"/>
  <c r="H71" i="191"/>
  <c r="G71" i="191"/>
  <c r="F71" i="191"/>
  <c r="E71" i="191"/>
  <c r="D71" i="191"/>
  <c r="C71" i="191"/>
  <c r="L70" i="191"/>
  <c r="K70" i="191"/>
  <c r="J70" i="191"/>
  <c r="I70" i="191"/>
  <c r="H70" i="191"/>
  <c r="G70" i="191"/>
  <c r="F70" i="191"/>
  <c r="E70" i="191"/>
  <c r="D70" i="191"/>
  <c r="C70" i="191"/>
  <c r="L69" i="191"/>
  <c r="K69" i="191"/>
  <c r="J69" i="191"/>
  <c r="I69" i="191"/>
  <c r="H69" i="191"/>
  <c r="G69" i="191"/>
  <c r="F69" i="191"/>
  <c r="E69" i="191"/>
  <c r="D69" i="191"/>
  <c r="C69" i="191"/>
  <c r="L68" i="191"/>
  <c r="K68" i="191"/>
  <c r="J68" i="191"/>
  <c r="I68" i="191"/>
  <c r="H68" i="191"/>
  <c r="G68" i="191"/>
  <c r="F68" i="191"/>
  <c r="E68" i="191"/>
  <c r="D68" i="191"/>
  <c r="C68" i="191"/>
  <c r="L67" i="191"/>
  <c r="K67" i="191"/>
  <c r="J67" i="191"/>
  <c r="I67" i="191"/>
  <c r="H67" i="191"/>
  <c r="G67" i="191"/>
  <c r="F67" i="191"/>
  <c r="E67" i="191"/>
  <c r="D67" i="191"/>
  <c r="C67" i="191"/>
  <c r="L66" i="191"/>
  <c r="K66" i="191"/>
  <c r="J66" i="191"/>
  <c r="I66" i="191"/>
  <c r="H66" i="191"/>
  <c r="G66" i="191"/>
  <c r="F66" i="191"/>
  <c r="E66" i="191"/>
  <c r="D66" i="191"/>
  <c r="C66" i="191"/>
  <c r="L65" i="191"/>
  <c r="K65" i="191"/>
  <c r="J65" i="191"/>
  <c r="I65" i="191"/>
  <c r="H65" i="191"/>
  <c r="G65" i="191"/>
  <c r="F65" i="191"/>
  <c r="E65" i="191"/>
  <c r="D65" i="191"/>
  <c r="C65" i="191"/>
  <c r="L64" i="191"/>
  <c r="K64" i="191"/>
  <c r="J64" i="191"/>
  <c r="I64" i="191"/>
  <c r="H64" i="191"/>
  <c r="G64" i="191"/>
  <c r="F64" i="191"/>
  <c r="E64" i="191"/>
  <c r="D64" i="191"/>
  <c r="C64" i="191"/>
  <c r="L58" i="191"/>
  <c r="K58" i="191"/>
  <c r="J58" i="191"/>
  <c r="I58" i="191"/>
  <c r="H58" i="191"/>
  <c r="G58" i="191"/>
  <c r="F58" i="191"/>
  <c r="E58" i="191"/>
  <c r="D58" i="191"/>
  <c r="C58" i="191"/>
  <c r="L57" i="191"/>
  <c r="K57" i="191"/>
  <c r="J57" i="191"/>
  <c r="I57" i="191"/>
  <c r="H57" i="191"/>
  <c r="G57" i="191"/>
  <c r="F57" i="191"/>
  <c r="E57" i="191"/>
  <c r="D57" i="191"/>
  <c r="C57" i="191"/>
  <c r="I53" i="191"/>
  <c r="H53" i="191"/>
  <c r="G53" i="191"/>
  <c r="F53" i="191"/>
  <c r="E53" i="191"/>
  <c r="D53" i="191"/>
  <c r="C53" i="191"/>
  <c r="B53" i="191"/>
  <c r="I52" i="191"/>
  <c r="H52" i="191"/>
  <c r="G52" i="191"/>
  <c r="F52" i="191"/>
  <c r="E52" i="191"/>
  <c r="D52" i="191"/>
  <c r="C52" i="191"/>
  <c r="B52" i="191"/>
  <c r="J51" i="191"/>
  <c r="I51" i="191"/>
  <c r="H51" i="191"/>
  <c r="G51" i="191"/>
  <c r="F51" i="191"/>
  <c r="E51" i="191"/>
  <c r="D51" i="191"/>
  <c r="C51" i="191"/>
  <c r="B51" i="191"/>
  <c r="L44" i="191"/>
  <c r="K44" i="191"/>
  <c r="J44" i="191"/>
  <c r="I44" i="191"/>
  <c r="H44" i="191"/>
  <c r="G44" i="191"/>
  <c r="F44" i="191"/>
  <c r="E44" i="191"/>
  <c r="D44" i="191"/>
  <c r="C44" i="191"/>
  <c r="L43" i="191"/>
  <c r="K43" i="191"/>
  <c r="J43" i="191"/>
  <c r="I43" i="191"/>
  <c r="H43" i="191"/>
  <c r="G43" i="191"/>
  <c r="F43" i="191"/>
  <c r="E43" i="191"/>
  <c r="D43" i="191"/>
  <c r="C43" i="191"/>
  <c r="D41" i="191"/>
  <c r="C39" i="191"/>
  <c r="C35" i="191"/>
  <c r="B35" i="191"/>
  <c r="C34" i="191"/>
  <c r="B34" i="191"/>
  <c r="C33" i="191"/>
  <c r="B33" i="191"/>
  <c r="L29" i="191"/>
  <c r="K29" i="191"/>
  <c r="J29" i="191"/>
  <c r="I29" i="191"/>
  <c r="H29" i="191"/>
  <c r="G29" i="191"/>
  <c r="F29" i="191"/>
  <c r="E29" i="191"/>
  <c r="D29" i="191"/>
  <c r="C29" i="191"/>
  <c r="B29" i="191"/>
  <c r="L28" i="191"/>
  <c r="K28" i="191"/>
  <c r="J28" i="191"/>
  <c r="I28" i="191"/>
  <c r="H28" i="191"/>
  <c r="G28" i="191"/>
  <c r="F28" i="191"/>
  <c r="E28" i="191"/>
  <c r="D28" i="191"/>
  <c r="C28" i="191"/>
  <c r="B28" i="191"/>
  <c r="L27" i="191"/>
  <c r="K27" i="191"/>
  <c r="J27" i="191"/>
  <c r="I27" i="191"/>
  <c r="H27" i="191"/>
  <c r="G27" i="191"/>
  <c r="F27" i="191"/>
  <c r="E27" i="191"/>
  <c r="D27" i="191"/>
  <c r="C27" i="191"/>
  <c r="B27" i="191"/>
  <c r="L26" i="191"/>
  <c r="K26" i="191"/>
  <c r="J26" i="191"/>
  <c r="I26" i="191"/>
  <c r="H26" i="191"/>
  <c r="G26" i="191"/>
  <c r="F26" i="191"/>
  <c r="E26" i="191"/>
  <c r="D26" i="191"/>
  <c r="C26" i="191"/>
  <c r="C20" i="191"/>
  <c r="B20" i="191"/>
  <c r="L15" i="191"/>
  <c r="K15" i="191"/>
  <c r="J15" i="191"/>
  <c r="I15" i="191"/>
  <c r="H15" i="191"/>
  <c r="G15" i="191"/>
  <c r="F15" i="191"/>
  <c r="E15" i="191"/>
  <c r="D15" i="191"/>
  <c r="C15" i="191"/>
  <c r="B15" i="191"/>
  <c r="L14" i="191"/>
  <c r="K14" i="191"/>
  <c r="J14" i="191"/>
  <c r="I14" i="191"/>
  <c r="H14" i="191"/>
  <c r="G14" i="191"/>
  <c r="F14" i="191"/>
  <c r="E14" i="191"/>
  <c r="D14" i="191"/>
  <c r="C14" i="191"/>
  <c r="A10" i="191"/>
  <c r="A1" i="191"/>
  <c r="L119" i="190"/>
  <c r="K119" i="190"/>
  <c r="J119" i="190"/>
  <c r="I119" i="190"/>
  <c r="H119" i="190"/>
  <c r="G119" i="190"/>
  <c r="F119" i="190"/>
  <c r="E119" i="190"/>
  <c r="D119" i="190"/>
  <c r="C119" i="190"/>
  <c r="A119" i="190"/>
  <c r="L118" i="190"/>
  <c r="K118" i="190"/>
  <c r="J118" i="190"/>
  <c r="I118" i="190"/>
  <c r="H118" i="190"/>
  <c r="G118" i="190"/>
  <c r="F118" i="190"/>
  <c r="E118" i="190"/>
  <c r="D118" i="190"/>
  <c r="C118" i="190"/>
  <c r="L117" i="190"/>
  <c r="K117" i="190"/>
  <c r="J117" i="190"/>
  <c r="I117" i="190"/>
  <c r="H117" i="190"/>
  <c r="G117" i="190"/>
  <c r="F117" i="190"/>
  <c r="E117" i="190"/>
  <c r="D117" i="190"/>
  <c r="C117" i="190"/>
  <c r="L116" i="190"/>
  <c r="K116" i="190"/>
  <c r="J116" i="190"/>
  <c r="I116" i="190"/>
  <c r="H116" i="190"/>
  <c r="G116" i="190"/>
  <c r="F116" i="190"/>
  <c r="E116" i="190"/>
  <c r="D116" i="190"/>
  <c r="C116" i="190"/>
  <c r="L115" i="190"/>
  <c r="K115" i="190"/>
  <c r="J115" i="190"/>
  <c r="I115" i="190"/>
  <c r="H115" i="190"/>
  <c r="G115" i="190"/>
  <c r="F115" i="190"/>
  <c r="E115" i="190"/>
  <c r="D115" i="190"/>
  <c r="C115" i="190"/>
  <c r="L114" i="190"/>
  <c r="K114" i="190"/>
  <c r="J114" i="190"/>
  <c r="I114" i="190"/>
  <c r="H114" i="190"/>
  <c r="G114" i="190"/>
  <c r="F114" i="190"/>
  <c r="E114" i="190"/>
  <c r="D114" i="190"/>
  <c r="C114" i="190"/>
  <c r="L113" i="190"/>
  <c r="K113" i="190"/>
  <c r="J113" i="190"/>
  <c r="I113" i="190"/>
  <c r="H113" i="190"/>
  <c r="G113" i="190"/>
  <c r="F113" i="190"/>
  <c r="E113" i="190"/>
  <c r="D113" i="190"/>
  <c r="C113" i="190"/>
  <c r="L112" i="190"/>
  <c r="K112" i="190"/>
  <c r="J112" i="190"/>
  <c r="I112" i="190"/>
  <c r="H112" i="190"/>
  <c r="G112" i="190"/>
  <c r="F112" i="190"/>
  <c r="E112" i="190"/>
  <c r="D112" i="190"/>
  <c r="C112" i="190"/>
  <c r="L107" i="190"/>
  <c r="K107" i="190"/>
  <c r="J107" i="190"/>
  <c r="I107" i="190"/>
  <c r="H107" i="190"/>
  <c r="G107" i="190"/>
  <c r="F107" i="190"/>
  <c r="E107" i="190"/>
  <c r="D107" i="190"/>
  <c r="C107" i="190"/>
  <c r="L106" i="190"/>
  <c r="K106" i="190"/>
  <c r="J106" i="190"/>
  <c r="I106" i="190"/>
  <c r="H106" i="190"/>
  <c r="G106" i="190"/>
  <c r="F106" i="190"/>
  <c r="E106" i="190"/>
  <c r="D106" i="190"/>
  <c r="C106" i="190"/>
  <c r="L105" i="190"/>
  <c r="K105" i="190"/>
  <c r="J105" i="190"/>
  <c r="I105" i="190"/>
  <c r="H105" i="190"/>
  <c r="G105" i="190"/>
  <c r="F105" i="190"/>
  <c r="E105" i="190"/>
  <c r="D105" i="190"/>
  <c r="C105" i="190"/>
  <c r="L104" i="190"/>
  <c r="K104" i="190"/>
  <c r="J104" i="190"/>
  <c r="I104" i="190"/>
  <c r="H104" i="190"/>
  <c r="G104" i="190"/>
  <c r="F104" i="190"/>
  <c r="E104" i="190"/>
  <c r="D104" i="190"/>
  <c r="C104" i="190"/>
  <c r="L103" i="190"/>
  <c r="K103" i="190"/>
  <c r="J103" i="190"/>
  <c r="I103" i="190"/>
  <c r="H103" i="190"/>
  <c r="G103" i="190"/>
  <c r="F103" i="190"/>
  <c r="E103" i="190"/>
  <c r="D103" i="190"/>
  <c r="C103" i="190"/>
  <c r="L99" i="190"/>
  <c r="K99" i="190"/>
  <c r="J99" i="190"/>
  <c r="I99" i="190"/>
  <c r="H99" i="190"/>
  <c r="G99" i="190"/>
  <c r="F99" i="190"/>
  <c r="E99" i="190"/>
  <c r="D99" i="190"/>
  <c r="C99" i="190"/>
  <c r="L95" i="190"/>
  <c r="K95" i="190"/>
  <c r="J95" i="190"/>
  <c r="I95" i="190"/>
  <c r="H95" i="190"/>
  <c r="G95" i="190"/>
  <c r="F95" i="190"/>
  <c r="E95" i="190"/>
  <c r="D95" i="190"/>
  <c r="C95" i="190"/>
  <c r="L93" i="190"/>
  <c r="K93" i="190"/>
  <c r="J93" i="190"/>
  <c r="I93" i="190"/>
  <c r="H93" i="190"/>
  <c r="G93" i="190"/>
  <c r="F93" i="190"/>
  <c r="E93" i="190"/>
  <c r="D93" i="190"/>
  <c r="C93" i="190"/>
  <c r="L92" i="190"/>
  <c r="K92" i="190"/>
  <c r="J92" i="190"/>
  <c r="I92" i="190"/>
  <c r="H92" i="190"/>
  <c r="G92" i="190"/>
  <c r="F92" i="190"/>
  <c r="E92" i="190"/>
  <c r="D92" i="190"/>
  <c r="C92" i="190"/>
  <c r="L91" i="190"/>
  <c r="K91" i="190"/>
  <c r="J91" i="190"/>
  <c r="I91" i="190"/>
  <c r="H91" i="190"/>
  <c r="G91" i="190"/>
  <c r="F91" i="190"/>
  <c r="E91" i="190"/>
  <c r="D91" i="190"/>
  <c r="C91" i="190"/>
  <c r="L90" i="190"/>
  <c r="K90" i="190"/>
  <c r="J90" i="190"/>
  <c r="I90" i="190"/>
  <c r="H90" i="190"/>
  <c r="G90" i="190"/>
  <c r="F90" i="190"/>
  <c r="E90" i="190"/>
  <c r="D90" i="190"/>
  <c r="C90" i="190"/>
  <c r="L89" i="190"/>
  <c r="K89" i="190"/>
  <c r="J89" i="190"/>
  <c r="I89" i="190"/>
  <c r="H89" i="190"/>
  <c r="G89" i="190"/>
  <c r="F89" i="190"/>
  <c r="E89" i="190"/>
  <c r="D89" i="190"/>
  <c r="C89" i="190"/>
  <c r="L88" i="190"/>
  <c r="K88" i="190"/>
  <c r="J88" i="190"/>
  <c r="I88" i="190"/>
  <c r="H88" i="190"/>
  <c r="G88" i="190"/>
  <c r="F88" i="190"/>
  <c r="E88" i="190"/>
  <c r="D88" i="190"/>
  <c r="C88" i="190"/>
  <c r="L87" i="190"/>
  <c r="K87" i="190"/>
  <c r="J87" i="190"/>
  <c r="I87" i="190"/>
  <c r="H87" i="190"/>
  <c r="G87" i="190"/>
  <c r="F87" i="190"/>
  <c r="E87" i="190"/>
  <c r="D87" i="190"/>
  <c r="C87" i="190"/>
  <c r="L86" i="190"/>
  <c r="K86" i="190"/>
  <c r="J86" i="190"/>
  <c r="I86" i="190"/>
  <c r="H86" i="190"/>
  <c r="G86" i="190"/>
  <c r="F86" i="190"/>
  <c r="E86" i="190"/>
  <c r="D86" i="190"/>
  <c r="C86" i="190"/>
  <c r="L82" i="190"/>
  <c r="K82" i="190"/>
  <c r="J82" i="190"/>
  <c r="I82" i="190"/>
  <c r="H82" i="190"/>
  <c r="G82" i="190"/>
  <c r="F82" i="190"/>
  <c r="E82" i="190"/>
  <c r="D82" i="190"/>
  <c r="C82" i="190"/>
  <c r="L81" i="190"/>
  <c r="K81" i="190"/>
  <c r="J81" i="190"/>
  <c r="I81" i="190"/>
  <c r="H81" i="190"/>
  <c r="G81" i="190"/>
  <c r="F81" i="190"/>
  <c r="E81" i="190"/>
  <c r="D81" i="190"/>
  <c r="C81" i="190"/>
  <c r="L80" i="190"/>
  <c r="K80" i="190"/>
  <c r="J80" i="190"/>
  <c r="I80" i="190"/>
  <c r="H80" i="190"/>
  <c r="G80" i="190"/>
  <c r="F80" i="190"/>
  <c r="E80" i="190"/>
  <c r="D80" i="190"/>
  <c r="C80" i="190"/>
  <c r="L79" i="190"/>
  <c r="K79" i="190"/>
  <c r="J79" i="190"/>
  <c r="I79" i="190"/>
  <c r="H79" i="190"/>
  <c r="G79" i="190"/>
  <c r="F79" i="190"/>
  <c r="E79" i="190"/>
  <c r="D79" i="190"/>
  <c r="C79" i="190"/>
  <c r="L78" i="190"/>
  <c r="K78" i="190"/>
  <c r="J78" i="190"/>
  <c r="I78" i="190"/>
  <c r="H78" i="190"/>
  <c r="G78" i="190"/>
  <c r="F78" i="190"/>
  <c r="E78" i="190"/>
  <c r="D78" i="190"/>
  <c r="C78" i="190"/>
  <c r="L77" i="190"/>
  <c r="K77" i="190"/>
  <c r="J77" i="190"/>
  <c r="I77" i="190"/>
  <c r="H77" i="190"/>
  <c r="G77" i="190"/>
  <c r="F77" i="190"/>
  <c r="E77" i="190"/>
  <c r="D77" i="190"/>
  <c r="C77" i="190"/>
  <c r="L76" i="190"/>
  <c r="K76" i="190"/>
  <c r="J76" i="190"/>
  <c r="I76" i="190"/>
  <c r="H76" i="190"/>
  <c r="G76" i="190"/>
  <c r="F76" i="190"/>
  <c r="E76" i="190"/>
  <c r="D76" i="190"/>
  <c r="C76" i="190"/>
  <c r="L75" i="190"/>
  <c r="K75" i="190"/>
  <c r="J75" i="190"/>
  <c r="I75" i="190"/>
  <c r="H75" i="190"/>
  <c r="G75" i="190"/>
  <c r="F75" i="190"/>
  <c r="E75" i="190"/>
  <c r="D75" i="190"/>
  <c r="C75" i="190"/>
  <c r="L71" i="190"/>
  <c r="K71" i="190"/>
  <c r="J71" i="190"/>
  <c r="I71" i="190"/>
  <c r="H71" i="190"/>
  <c r="G71" i="190"/>
  <c r="F71" i="190"/>
  <c r="E71" i="190"/>
  <c r="D71" i="190"/>
  <c r="C71" i="190"/>
  <c r="L70" i="190"/>
  <c r="K70" i="190"/>
  <c r="J70" i="190"/>
  <c r="I70" i="190"/>
  <c r="H70" i="190"/>
  <c r="G70" i="190"/>
  <c r="F70" i="190"/>
  <c r="E70" i="190"/>
  <c r="D70" i="190"/>
  <c r="C70" i="190"/>
  <c r="L69" i="190"/>
  <c r="K69" i="190"/>
  <c r="J69" i="190"/>
  <c r="I69" i="190"/>
  <c r="H69" i="190"/>
  <c r="G69" i="190"/>
  <c r="F69" i="190"/>
  <c r="E69" i="190"/>
  <c r="D69" i="190"/>
  <c r="C69" i="190"/>
  <c r="L68" i="190"/>
  <c r="K68" i="190"/>
  <c r="J68" i="190"/>
  <c r="I68" i="190"/>
  <c r="H68" i="190"/>
  <c r="G68" i="190"/>
  <c r="F68" i="190"/>
  <c r="E68" i="190"/>
  <c r="D68" i="190"/>
  <c r="C68" i="190"/>
  <c r="L67" i="190"/>
  <c r="K67" i="190"/>
  <c r="J67" i="190"/>
  <c r="I67" i="190"/>
  <c r="H67" i="190"/>
  <c r="G67" i="190"/>
  <c r="F67" i="190"/>
  <c r="E67" i="190"/>
  <c r="D67" i="190"/>
  <c r="C67" i="190"/>
  <c r="L66" i="190"/>
  <c r="K66" i="190"/>
  <c r="J66" i="190"/>
  <c r="I66" i="190"/>
  <c r="H66" i="190"/>
  <c r="G66" i="190"/>
  <c r="F66" i="190"/>
  <c r="E66" i="190"/>
  <c r="D66" i="190"/>
  <c r="C66" i="190"/>
  <c r="L65" i="190"/>
  <c r="K65" i="190"/>
  <c r="J65" i="190"/>
  <c r="I65" i="190"/>
  <c r="H65" i="190"/>
  <c r="G65" i="190"/>
  <c r="F65" i="190"/>
  <c r="E65" i="190"/>
  <c r="D65" i="190"/>
  <c r="C65" i="190"/>
  <c r="L64" i="190"/>
  <c r="K64" i="190"/>
  <c r="J64" i="190"/>
  <c r="I64" i="190"/>
  <c r="H64" i="190"/>
  <c r="G64" i="190"/>
  <c r="F64" i="190"/>
  <c r="E64" i="190"/>
  <c r="D64" i="190"/>
  <c r="C64" i="190"/>
  <c r="L58" i="190"/>
  <c r="K58" i="190"/>
  <c r="J58" i="190"/>
  <c r="I58" i="190"/>
  <c r="H58" i="190"/>
  <c r="G58" i="190"/>
  <c r="F58" i="190"/>
  <c r="E58" i="190"/>
  <c r="D58" i="190"/>
  <c r="C58" i="190"/>
  <c r="L57" i="190"/>
  <c r="K57" i="190"/>
  <c r="J57" i="190"/>
  <c r="I57" i="190"/>
  <c r="H57" i="190"/>
  <c r="G57" i="190"/>
  <c r="F57" i="190"/>
  <c r="E57" i="190"/>
  <c r="D57" i="190"/>
  <c r="C57" i="190"/>
  <c r="I53" i="190"/>
  <c r="H53" i="190"/>
  <c r="G53" i="190"/>
  <c r="F53" i="190"/>
  <c r="E53" i="190"/>
  <c r="D53" i="190"/>
  <c r="C53" i="190"/>
  <c r="B53" i="190"/>
  <c r="I52" i="190"/>
  <c r="H52" i="190"/>
  <c r="G52" i="190"/>
  <c r="F52" i="190"/>
  <c r="E52" i="190"/>
  <c r="D52" i="190"/>
  <c r="C52" i="190"/>
  <c r="B52" i="190"/>
  <c r="J51" i="190"/>
  <c r="I51" i="190"/>
  <c r="H51" i="190"/>
  <c r="G51" i="190"/>
  <c r="F51" i="190"/>
  <c r="E51" i="190"/>
  <c r="D51" i="190"/>
  <c r="C51" i="190"/>
  <c r="B51" i="190"/>
  <c r="L44" i="190"/>
  <c r="K44" i="190"/>
  <c r="J44" i="190"/>
  <c r="I44" i="190"/>
  <c r="H44" i="190"/>
  <c r="G44" i="190"/>
  <c r="F44" i="190"/>
  <c r="E44" i="190"/>
  <c r="D44" i="190"/>
  <c r="C44" i="190"/>
  <c r="L43" i="190"/>
  <c r="K43" i="190"/>
  <c r="J43" i="190"/>
  <c r="I43" i="190"/>
  <c r="H43" i="190"/>
  <c r="G43" i="190"/>
  <c r="F43" i="190"/>
  <c r="E43" i="190"/>
  <c r="D43" i="190"/>
  <c r="C43" i="190"/>
  <c r="D41" i="190"/>
  <c r="C39" i="190"/>
  <c r="C35" i="190"/>
  <c r="B35" i="190"/>
  <c r="C34" i="190"/>
  <c r="B34" i="190"/>
  <c r="C33" i="190"/>
  <c r="B33" i="190"/>
  <c r="L29" i="190"/>
  <c r="K29" i="190"/>
  <c r="J29" i="190"/>
  <c r="I29" i="190"/>
  <c r="H29" i="190"/>
  <c r="G29" i="190"/>
  <c r="F29" i="190"/>
  <c r="E29" i="190"/>
  <c r="D29" i="190"/>
  <c r="C29" i="190"/>
  <c r="B29" i="190"/>
  <c r="L28" i="190"/>
  <c r="K28" i="190"/>
  <c r="J28" i="190"/>
  <c r="I28" i="190"/>
  <c r="H28" i="190"/>
  <c r="G28" i="190"/>
  <c r="F28" i="190"/>
  <c r="E28" i="190"/>
  <c r="D28" i="190"/>
  <c r="C28" i="190"/>
  <c r="B28" i="190"/>
  <c r="L27" i="190"/>
  <c r="K27" i="190"/>
  <c r="J27" i="190"/>
  <c r="I27" i="190"/>
  <c r="H27" i="190"/>
  <c r="G27" i="190"/>
  <c r="F27" i="190"/>
  <c r="E27" i="190"/>
  <c r="D27" i="190"/>
  <c r="C27" i="190"/>
  <c r="B27" i="190"/>
  <c r="L26" i="190"/>
  <c r="K26" i="190"/>
  <c r="J26" i="190"/>
  <c r="I26" i="190"/>
  <c r="H26" i="190"/>
  <c r="G26" i="190"/>
  <c r="F26" i="190"/>
  <c r="E26" i="190"/>
  <c r="D26" i="190"/>
  <c r="C26" i="190"/>
  <c r="C20" i="190"/>
  <c r="B20" i="190"/>
  <c r="L15" i="190"/>
  <c r="K15" i="190"/>
  <c r="J15" i="190"/>
  <c r="I15" i="190"/>
  <c r="H15" i="190"/>
  <c r="G15" i="190"/>
  <c r="F15" i="190"/>
  <c r="E15" i="190"/>
  <c r="D15" i="190"/>
  <c r="C15" i="190"/>
  <c r="B15" i="190"/>
  <c r="L14" i="190"/>
  <c r="K14" i="190"/>
  <c r="J14" i="190"/>
  <c r="I14" i="190"/>
  <c r="H14" i="190"/>
  <c r="G14" i="190"/>
  <c r="F14" i="190"/>
  <c r="E14" i="190"/>
  <c r="D14" i="190"/>
  <c r="C14" i="190"/>
  <c r="A10" i="190"/>
  <c r="A1" i="190"/>
  <c r="L119" i="189"/>
  <c r="K119" i="189"/>
  <c r="J119" i="189"/>
  <c r="I119" i="189"/>
  <c r="H119" i="189"/>
  <c r="G119" i="189"/>
  <c r="F119" i="189"/>
  <c r="E119" i="189"/>
  <c r="D119" i="189"/>
  <c r="C119" i="189"/>
  <c r="A119" i="189"/>
  <c r="L118" i="189"/>
  <c r="K118" i="189"/>
  <c r="J118" i="189"/>
  <c r="I118" i="189"/>
  <c r="H118" i="189"/>
  <c r="G118" i="189"/>
  <c r="F118" i="189"/>
  <c r="E118" i="189"/>
  <c r="D118" i="189"/>
  <c r="C118" i="189"/>
  <c r="L117" i="189"/>
  <c r="K117" i="189"/>
  <c r="J117" i="189"/>
  <c r="I117" i="189"/>
  <c r="H117" i="189"/>
  <c r="G117" i="189"/>
  <c r="F117" i="189"/>
  <c r="E117" i="189"/>
  <c r="D117" i="189"/>
  <c r="C117" i="189"/>
  <c r="L116" i="189"/>
  <c r="K116" i="189"/>
  <c r="J116" i="189"/>
  <c r="I116" i="189"/>
  <c r="H116" i="189"/>
  <c r="G116" i="189"/>
  <c r="F116" i="189"/>
  <c r="E116" i="189"/>
  <c r="D116" i="189"/>
  <c r="C116" i="189"/>
  <c r="L115" i="189"/>
  <c r="K115" i="189"/>
  <c r="J115" i="189"/>
  <c r="I115" i="189"/>
  <c r="H115" i="189"/>
  <c r="G115" i="189"/>
  <c r="F115" i="189"/>
  <c r="E115" i="189"/>
  <c r="D115" i="189"/>
  <c r="C115" i="189"/>
  <c r="L114" i="189"/>
  <c r="K114" i="189"/>
  <c r="J114" i="189"/>
  <c r="I114" i="189"/>
  <c r="H114" i="189"/>
  <c r="G114" i="189"/>
  <c r="F114" i="189"/>
  <c r="E114" i="189"/>
  <c r="D114" i="189"/>
  <c r="C114" i="189"/>
  <c r="L113" i="189"/>
  <c r="K113" i="189"/>
  <c r="J113" i="189"/>
  <c r="I113" i="189"/>
  <c r="H113" i="189"/>
  <c r="G113" i="189"/>
  <c r="F113" i="189"/>
  <c r="E113" i="189"/>
  <c r="D113" i="189"/>
  <c r="C113" i="189"/>
  <c r="L112" i="189"/>
  <c r="K112" i="189"/>
  <c r="J112" i="189"/>
  <c r="I112" i="189"/>
  <c r="H112" i="189"/>
  <c r="G112" i="189"/>
  <c r="F112" i="189"/>
  <c r="E112" i="189"/>
  <c r="D112" i="189"/>
  <c r="C112" i="189"/>
  <c r="L107" i="189"/>
  <c r="K107" i="189"/>
  <c r="J107" i="189"/>
  <c r="I107" i="189"/>
  <c r="H107" i="189"/>
  <c r="G107" i="189"/>
  <c r="F107" i="189"/>
  <c r="E107" i="189"/>
  <c r="D107" i="189"/>
  <c r="C107" i="189"/>
  <c r="L106" i="189"/>
  <c r="K106" i="189"/>
  <c r="J106" i="189"/>
  <c r="I106" i="189"/>
  <c r="H106" i="189"/>
  <c r="G106" i="189"/>
  <c r="F106" i="189"/>
  <c r="E106" i="189"/>
  <c r="D106" i="189"/>
  <c r="C106" i="189"/>
  <c r="L105" i="189"/>
  <c r="K105" i="189"/>
  <c r="J105" i="189"/>
  <c r="I105" i="189"/>
  <c r="H105" i="189"/>
  <c r="G105" i="189"/>
  <c r="F105" i="189"/>
  <c r="E105" i="189"/>
  <c r="D105" i="189"/>
  <c r="C105" i="189"/>
  <c r="L104" i="189"/>
  <c r="K104" i="189"/>
  <c r="J104" i="189"/>
  <c r="I104" i="189"/>
  <c r="H104" i="189"/>
  <c r="G104" i="189"/>
  <c r="F104" i="189"/>
  <c r="E104" i="189"/>
  <c r="D104" i="189"/>
  <c r="C104" i="189"/>
  <c r="L103" i="189"/>
  <c r="K103" i="189"/>
  <c r="J103" i="189"/>
  <c r="I103" i="189"/>
  <c r="H103" i="189"/>
  <c r="G103" i="189"/>
  <c r="F103" i="189"/>
  <c r="E103" i="189"/>
  <c r="D103" i="189"/>
  <c r="C103" i="189"/>
  <c r="L99" i="189"/>
  <c r="K99" i="189"/>
  <c r="J99" i="189"/>
  <c r="I99" i="189"/>
  <c r="H99" i="189"/>
  <c r="G99" i="189"/>
  <c r="F99" i="189"/>
  <c r="E99" i="189"/>
  <c r="D99" i="189"/>
  <c r="C99" i="189"/>
  <c r="L95" i="189"/>
  <c r="K95" i="189"/>
  <c r="J95" i="189"/>
  <c r="I95" i="189"/>
  <c r="H95" i="189"/>
  <c r="G95" i="189"/>
  <c r="F95" i="189"/>
  <c r="E95" i="189"/>
  <c r="D95" i="189"/>
  <c r="C95" i="189"/>
  <c r="L93" i="189"/>
  <c r="K93" i="189"/>
  <c r="J93" i="189"/>
  <c r="I93" i="189"/>
  <c r="H93" i="189"/>
  <c r="G93" i="189"/>
  <c r="F93" i="189"/>
  <c r="E93" i="189"/>
  <c r="D93" i="189"/>
  <c r="C93" i="189"/>
  <c r="L92" i="189"/>
  <c r="K92" i="189"/>
  <c r="J92" i="189"/>
  <c r="I92" i="189"/>
  <c r="H92" i="189"/>
  <c r="G92" i="189"/>
  <c r="F92" i="189"/>
  <c r="E92" i="189"/>
  <c r="D92" i="189"/>
  <c r="C92" i="189"/>
  <c r="L91" i="189"/>
  <c r="K91" i="189"/>
  <c r="J91" i="189"/>
  <c r="I91" i="189"/>
  <c r="H91" i="189"/>
  <c r="G91" i="189"/>
  <c r="F91" i="189"/>
  <c r="E91" i="189"/>
  <c r="D91" i="189"/>
  <c r="C91" i="189"/>
  <c r="L90" i="189"/>
  <c r="K90" i="189"/>
  <c r="J90" i="189"/>
  <c r="I90" i="189"/>
  <c r="H90" i="189"/>
  <c r="G90" i="189"/>
  <c r="F90" i="189"/>
  <c r="E90" i="189"/>
  <c r="D90" i="189"/>
  <c r="C90" i="189"/>
  <c r="L89" i="189"/>
  <c r="K89" i="189"/>
  <c r="J89" i="189"/>
  <c r="I89" i="189"/>
  <c r="H89" i="189"/>
  <c r="G89" i="189"/>
  <c r="F89" i="189"/>
  <c r="E89" i="189"/>
  <c r="D89" i="189"/>
  <c r="C89" i="189"/>
  <c r="L88" i="189"/>
  <c r="K88" i="189"/>
  <c r="J88" i="189"/>
  <c r="I88" i="189"/>
  <c r="H88" i="189"/>
  <c r="G88" i="189"/>
  <c r="F88" i="189"/>
  <c r="E88" i="189"/>
  <c r="D88" i="189"/>
  <c r="C88" i="189"/>
  <c r="L87" i="189"/>
  <c r="K87" i="189"/>
  <c r="J87" i="189"/>
  <c r="I87" i="189"/>
  <c r="H87" i="189"/>
  <c r="G87" i="189"/>
  <c r="F87" i="189"/>
  <c r="E87" i="189"/>
  <c r="D87" i="189"/>
  <c r="C87" i="189"/>
  <c r="L86" i="189"/>
  <c r="K86" i="189"/>
  <c r="J86" i="189"/>
  <c r="I86" i="189"/>
  <c r="H86" i="189"/>
  <c r="G86" i="189"/>
  <c r="F86" i="189"/>
  <c r="E86" i="189"/>
  <c r="D86" i="189"/>
  <c r="C86" i="189"/>
  <c r="L82" i="189"/>
  <c r="K82" i="189"/>
  <c r="J82" i="189"/>
  <c r="I82" i="189"/>
  <c r="H82" i="189"/>
  <c r="G82" i="189"/>
  <c r="F82" i="189"/>
  <c r="E82" i="189"/>
  <c r="D82" i="189"/>
  <c r="C82" i="189"/>
  <c r="L81" i="189"/>
  <c r="K81" i="189"/>
  <c r="J81" i="189"/>
  <c r="I81" i="189"/>
  <c r="H81" i="189"/>
  <c r="G81" i="189"/>
  <c r="F81" i="189"/>
  <c r="E81" i="189"/>
  <c r="D81" i="189"/>
  <c r="C81" i="189"/>
  <c r="L80" i="189"/>
  <c r="K80" i="189"/>
  <c r="J80" i="189"/>
  <c r="I80" i="189"/>
  <c r="H80" i="189"/>
  <c r="G80" i="189"/>
  <c r="F80" i="189"/>
  <c r="E80" i="189"/>
  <c r="D80" i="189"/>
  <c r="C80" i="189"/>
  <c r="L79" i="189"/>
  <c r="K79" i="189"/>
  <c r="J79" i="189"/>
  <c r="I79" i="189"/>
  <c r="H79" i="189"/>
  <c r="G79" i="189"/>
  <c r="F79" i="189"/>
  <c r="E79" i="189"/>
  <c r="D79" i="189"/>
  <c r="C79" i="189"/>
  <c r="L78" i="189"/>
  <c r="K78" i="189"/>
  <c r="J78" i="189"/>
  <c r="I78" i="189"/>
  <c r="H78" i="189"/>
  <c r="G78" i="189"/>
  <c r="F78" i="189"/>
  <c r="E78" i="189"/>
  <c r="D78" i="189"/>
  <c r="C78" i="189"/>
  <c r="L77" i="189"/>
  <c r="K77" i="189"/>
  <c r="J77" i="189"/>
  <c r="I77" i="189"/>
  <c r="H77" i="189"/>
  <c r="G77" i="189"/>
  <c r="F77" i="189"/>
  <c r="E77" i="189"/>
  <c r="D77" i="189"/>
  <c r="C77" i="189"/>
  <c r="L76" i="189"/>
  <c r="K76" i="189"/>
  <c r="J76" i="189"/>
  <c r="I76" i="189"/>
  <c r="H76" i="189"/>
  <c r="G76" i="189"/>
  <c r="F76" i="189"/>
  <c r="E76" i="189"/>
  <c r="D76" i="189"/>
  <c r="C76" i="189"/>
  <c r="L75" i="189"/>
  <c r="K75" i="189"/>
  <c r="J75" i="189"/>
  <c r="I75" i="189"/>
  <c r="H75" i="189"/>
  <c r="G75" i="189"/>
  <c r="F75" i="189"/>
  <c r="E75" i="189"/>
  <c r="D75" i="189"/>
  <c r="C75" i="189"/>
  <c r="L71" i="189"/>
  <c r="K71" i="189"/>
  <c r="J71" i="189"/>
  <c r="I71" i="189"/>
  <c r="H71" i="189"/>
  <c r="G71" i="189"/>
  <c r="F71" i="189"/>
  <c r="E71" i="189"/>
  <c r="D71" i="189"/>
  <c r="C71" i="189"/>
  <c r="L70" i="189"/>
  <c r="K70" i="189"/>
  <c r="J70" i="189"/>
  <c r="I70" i="189"/>
  <c r="H70" i="189"/>
  <c r="G70" i="189"/>
  <c r="F70" i="189"/>
  <c r="E70" i="189"/>
  <c r="D70" i="189"/>
  <c r="C70" i="189"/>
  <c r="L69" i="189"/>
  <c r="K69" i="189"/>
  <c r="J69" i="189"/>
  <c r="I69" i="189"/>
  <c r="H69" i="189"/>
  <c r="G69" i="189"/>
  <c r="F69" i="189"/>
  <c r="E69" i="189"/>
  <c r="D69" i="189"/>
  <c r="C69" i="189"/>
  <c r="L68" i="189"/>
  <c r="K68" i="189"/>
  <c r="J68" i="189"/>
  <c r="I68" i="189"/>
  <c r="H68" i="189"/>
  <c r="G68" i="189"/>
  <c r="F68" i="189"/>
  <c r="E68" i="189"/>
  <c r="D68" i="189"/>
  <c r="C68" i="189"/>
  <c r="L67" i="189"/>
  <c r="K67" i="189"/>
  <c r="J67" i="189"/>
  <c r="I67" i="189"/>
  <c r="H67" i="189"/>
  <c r="G67" i="189"/>
  <c r="F67" i="189"/>
  <c r="E67" i="189"/>
  <c r="D67" i="189"/>
  <c r="C67" i="189"/>
  <c r="L66" i="189"/>
  <c r="K66" i="189"/>
  <c r="J66" i="189"/>
  <c r="I66" i="189"/>
  <c r="H66" i="189"/>
  <c r="G66" i="189"/>
  <c r="F66" i="189"/>
  <c r="E66" i="189"/>
  <c r="D66" i="189"/>
  <c r="C66" i="189"/>
  <c r="L65" i="189"/>
  <c r="K65" i="189"/>
  <c r="J65" i="189"/>
  <c r="I65" i="189"/>
  <c r="H65" i="189"/>
  <c r="G65" i="189"/>
  <c r="F65" i="189"/>
  <c r="E65" i="189"/>
  <c r="D65" i="189"/>
  <c r="C65" i="189"/>
  <c r="L64" i="189"/>
  <c r="K64" i="189"/>
  <c r="J64" i="189"/>
  <c r="I64" i="189"/>
  <c r="H64" i="189"/>
  <c r="G64" i="189"/>
  <c r="F64" i="189"/>
  <c r="E64" i="189"/>
  <c r="D64" i="189"/>
  <c r="C64" i="189"/>
  <c r="L58" i="189"/>
  <c r="K58" i="189"/>
  <c r="J58" i="189"/>
  <c r="I58" i="189"/>
  <c r="H58" i="189"/>
  <c r="G58" i="189"/>
  <c r="F58" i="189"/>
  <c r="E58" i="189"/>
  <c r="D58" i="189"/>
  <c r="C58" i="189"/>
  <c r="L57" i="189"/>
  <c r="K57" i="189"/>
  <c r="J57" i="189"/>
  <c r="I57" i="189"/>
  <c r="H57" i="189"/>
  <c r="G57" i="189"/>
  <c r="F57" i="189"/>
  <c r="E57" i="189"/>
  <c r="D57" i="189"/>
  <c r="C57" i="189"/>
  <c r="I53" i="189"/>
  <c r="H53" i="189"/>
  <c r="G53" i="189"/>
  <c r="F53" i="189"/>
  <c r="E53" i="189"/>
  <c r="D53" i="189"/>
  <c r="C53" i="189"/>
  <c r="B53" i="189"/>
  <c r="I52" i="189"/>
  <c r="H52" i="189"/>
  <c r="G52" i="189"/>
  <c r="F52" i="189"/>
  <c r="E52" i="189"/>
  <c r="D52" i="189"/>
  <c r="C52" i="189"/>
  <c r="B52" i="189"/>
  <c r="J51" i="189"/>
  <c r="I51" i="189"/>
  <c r="H51" i="189"/>
  <c r="G51" i="189"/>
  <c r="F51" i="189"/>
  <c r="E51" i="189"/>
  <c r="D51" i="189"/>
  <c r="C51" i="189"/>
  <c r="B51" i="189"/>
  <c r="L44" i="189"/>
  <c r="K44" i="189"/>
  <c r="J44" i="189"/>
  <c r="I44" i="189"/>
  <c r="H44" i="189"/>
  <c r="G44" i="189"/>
  <c r="F44" i="189"/>
  <c r="E44" i="189"/>
  <c r="D44" i="189"/>
  <c r="C44" i="189"/>
  <c r="L43" i="189"/>
  <c r="K43" i="189"/>
  <c r="J43" i="189"/>
  <c r="I43" i="189"/>
  <c r="H43" i="189"/>
  <c r="G43" i="189"/>
  <c r="F43" i="189"/>
  <c r="E43" i="189"/>
  <c r="D43" i="189"/>
  <c r="C43" i="189"/>
  <c r="D41" i="189"/>
  <c r="C39" i="189"/>
  <c r="C35" i="189"/>
  <c r="B35" i="189"/>
  <c r="C34" i="189"/>
  <c r="B34" i="189"/>
  <c r="C33" i="189"/>
  <c r="B33" i="189"/>
  <c r="L29" i="189"/>
  <c r="K29" i="189"/>
  <c r="J29" i="189"/>
  <c r="I29" i="189"/>
  <c r="H29" i="189"/>
  <c r="G29" i="189"/>
  <c r="F29" i="189"/>
  <c r="E29" i="189"/>
  <c r="D29" i="189"/>
  <c r="C29" i="189"/>
  <c r="B29" i="189"/>
  <c r="L28" i="189"/>
  <c r="K28" i="189"/>
  <c r="J28" i="189"/>
  <c r="I28" i="189"/>
  <c r="H28" i="189"/>
  <c r="G28" i="189"/>
  <c r="F28" i="189"/>
  <c r="E28" i="189"/>
  <c r="D28" i="189"/>
  <c r="C28" i="189"/>
  <c r="B28" i="189"/>
  <c r="L27" i="189"/>
  <c r="K27" i="189"/>
  <c r="J27" i="189"/>
  <c r="I27" i="189"/>
  <c r="H27" i="189"/>
  <c r="G27" i="189"/>
  <c r="F27" i="189"/>
  <c r="E27" i="189"/>
  <c r="D27" i="189"/>
  <c r="C27" i="189"/>
  <c r="B27" i="189"/>
  <c r="L26" i="189"/>
  <c r="K26" i="189"/>
  <c r="J26" i="189"/>
  <c r="I26" i="189"/>
  <c r="H26" i="189"/>
  <c r="G26" i="189"/>
  <c r="F26" i="189"/>
  <c r="E26" i="189"/>
  <c r="D26" i="189"/>
  <c r="C26" i="189"/>
  <c r="C20" i="189"/>
  <c r="B20" i="189"/>
  <c r="L15" i="189"/>
  <c r="K15" i="189"/>
  <c r="J15" i="189"/>
  <c r="I15" i="189"/>
  <c r="H15" i="189"/>
  <c r="G15" i="189"/>
  <c r="F15" i="189"/>
  <c r="E15" i="189"/>
  <c r="D15" i="189"/>
  <c r="C15" i="189"/>
  <c r="B15" i="189"/>
  <c r="L14" i="189"/>
  <c r="K14" i="189"/>
  <c r="J14" i="189"/>
  <c r="I14" i="189"/>
  <c r="H14" i="189"/>
  <c r="G14" i="189"/>
  <c r="F14" i="189"/>
  <c r="E14" i="189"/>
  <c r="D14" i="189"/>
  <c r="C14" i="189"/>
  <c r="A10" i="189"/>
  <c r="A1" i="189"/>
  <c r="L119" i="188"/>
  <c r="K119" i="188"/>
  <c r="J119" i="188"/>
  <c r="I119" i="188"/>
  <c r="H119" i="188"/>
  <c r="G119" i="188"/>
  <c r="F119" i="188"/>
  <c r="E119" i="188"/>
  <c r="D119" i="188"/>
  <c r="C119" i="188"/>
  <c r="A119" i="188"/>
  <c r="L118" i="188"/>
  <c r="K118" i="188"/>
  <c r="J118" i="188"/>
  <c r="I118" i="188"/>
  <c r="H118" i="188"/>
  <c r="G118" i="188"/>
  <c r="F118" i="188"/>
  <c r="E118" i="188"/>
  <c r="D118" i="188"/>
  <c r="C118" i="188"/>
  <c r="L117" i="188"/>
  <c r="K117" i="188"/>
  <c r="J117" i="188"/>
  <c r="I117" i="188"/>
  <c r="H117" i="188"/>
  <c r="G117" i="188"/>
  <c r="F117" i="188"/>
  <c r="E117" i="188"/>
  <c r="D117" i="188"/>
  <c r="C117" i="188"/>
  <c r="L116" i="188"/>
  <c r="K116" i="188"/>
  <c r="J116" i="188"/>
  <c r="I116" i="188"/>
  <c r="H116" i="188"/>
  <c r="G116" i="188"/>
  <c r="F116" i="188"/>
  <c r="E116" i="188"/>
  <c r="D116" i="188"/>
  <c r="C116" i="188"/>
  <c r="L115" i="188"/>
  <c r="K115" i="188"/>
  <c r="J115" i="188"/>
  <c r="I115" i="188"/>
  <c r="H115" i="188"/>
  <c r="G115" i="188"/>
  <c r="F115" i="188"/>
  <c r="E115" i="188"/>
  <c r="D115" i="188"/>
  <c r="C115" i="188"/>
  <c r="L114" i="188"/>
  <c r="K114" i="188"/>
  <c r="J114" i="188"/>
  <c r="I114" i="188"/>
  <c r="H114" i="188"/>
  <c r="G114" i="188"/>
  <c r="F114" i="188"/>
  <c r="E114" i="188"/>
  <c r="D114" i="188"/>
  <c r="C114" i="188"/>
  <c r="L113" i="188"/>
  <c r="K113" i="188"/>
  <c r="J113" i="188"/>
  <c r="I113" i="188"/>
  <c r="H113" i="188"/>
  <c r="G113" i="188"/>
  <c r="F113" i="188"/>
  <c r="E113" i="188"/>
  <c r="D113" i="188"/>
  <c r="C113" i="188"/>
  <c r="L112" i="188"/>
  <c r="K112" i="188"/>
  <c r="J112" i="188"/>
  <c r="I112" i="188"/>
  <c r="H112" i="188"/>
  <c r="G112" i="188"/>
  <c r="F112" i="188"/>
  <c r="E112" i="188"/>
  <c r="D112" i="188"/>
  <c r="C112" i="188"/>
  <c r="L107" i="188"/>
  <c r="K107" i="188"/>
  <c r="J107" i="188"/>
  <c r="I107" i="188"/>
  <c r="H107" i="188"/>
  <c r="G107" i="188"/>
  <c r="F107" i="188"/>
  <c r="E107" i="188"/>
  <c r="D107" i="188"/>
  <c r="C107" i="188"/>
  <c r="L106" i="188"/>
  <c r="K106" i="188"/>
  <c r="J106" i="188"/>
  <c r="I106" i="188"/>
  <c r="H106" i="188"/>
  <c r="G106" i="188"/>
  <c r="F106" i="188"/>
  <c r="E106" i="188"/>
  <c r="D106" i="188"/>
  <c r="C106" i="188"/>
  <c r="L105" i="188"/>
  <c r="K105" i="188"/>
  <c r="J105" i="188"/>
  <c r="I105" i="188"/>
  <c r="H105" i="188"/>
  <c r="G105" i="188"/>
  <c r="F105" i="188"/>
  <c r="E105" i="188"/>
  <c r="D105" i="188"/>
  <c r="C105" i="188"/>
  <c r="L104" i="188"/>
  <c r="K104" i="188"/>
  <c r="J104" i="188"/>
  <c r="I104" i="188"/>
  <c r="H104" i="188"/>
  <c r="G104" i="188"/>
  <c r="F104" i="188"/>
  <c r="E104" i="188"/>
  <c r="D104" i="188"/>
  <c r="C104" i="188"/>
  <c r="L103" i="188"/>
  <c r="K103" i="188"/>
  <c r="J103" i="188"/>
  <c r="I103" i="188"/>
  <c r="H103" i="188"/>
  <c r="G103" i="188"/>
  <c r="F103" i="188"/>
  <c r="E103" i="188"/>
  <c r="D103" i="188"/>
  <c r="C103" i="188"/>
  <c r="L99" i="188"/>
  <c r="K99" i="188"/>
  <c r="J99" i="188"/>
  <c r="I99" i="188"/>
  <c r="H99" i="188"/>
  <c r="G99" i="188"/>
  <c r="F99" i="188"/>
  <c r="E99" i="188"/>
  <c r="D99" i="188"/>
  <c r="C99" i="188"/>
  <c r="L95" i="188"/>
  <c r="K95" i="188"/>
  <c r="J95" i="188"/>
  <c r="I95" i="188"/>
  <c r="H95" i="188"/>
  <c r="G95" i="188"/>
  <c r="F95" i="188"/>
  <c r="E95" i="188"/>
  <c r="D95" i="188"/>
  <c r="C95" i="188"/>
  <c r="L93" i="188"/>
  <c r="K93" i="188"/>
  <c r="J93" i="188"/>
  <c r="I93" i="188"/>
  <c r="H93" i="188"/>
  <c r="G93" i="188"/>
  <c r="F93" i="188"/>
  <c r="E93" i="188"/>
  <c r="D93" i="188"/>
  <c r="C93" i="188"/>
  <c r="L92" i="188"/>
  <c r="K92" i="188"/>
  <c r="J92" i="188"/>
  <c r="I92" i="188"/>
  <c r="H92" i="188"/>
  <c r="G92" i="188"/>
  <c r="F92" i="188"/>
  <c r="E92" i="188"/>
  <c r="D92" i="188"/>
  <c r="C92" i="188"/>
  <c r="L91" i="188"/>
  <c r="K91" i="188"/>
  <c r="J91" i="188"/>
  <c r="I91" i="188"/>
  <c r="H91" i="188"/>
  <c r="G91" i="188"/>
  <c r="F91" i="188"/>
  <c r="E91" i="188"/>
  <c r="D91" i="188"/>
  <c r="C91" i="188"/>
  <c r="L90" i="188"/>
  <c r="K90" i="188"/>
  <c r="J90" i="188"/>
  <c r="I90" i="188"/>
  <c r="H90" i="188"/>
  <c r="G90" i="188"/>
  <c r="F90" i="188"/>
  <c r="E90" i="188"/>
  <c r="D90" i="188"/>
  <c r="C90" i="188"/>
  <c r="L89" i="188"/>
  <c r="K89" i="188"/>
  <c r="J89" i="188"/>
  <c r="I89" i="188"/>
  <c r="H89" i="188"/>
  <c r="G89" i="188"/>
  <c r="F89" i="188"/>
  <c r="E89" i="188"/>
  <c r="D89" i="188"/>
  <c r="C89" i="188"/>
  <c r="L88" i="188"/>
  <c r="K88" i="188"/>
  <c r="J88" i="188"/>
  <c r="I88" i="188"/>
  <c r="H88" i="188"/>
  <c r="G88" i="188"/>
  <c r="F88" i="188"/>
  <c r="E88" i="188"/>
  <c r="D88" i="188"/>
  <c r="C88" i="188"/>
  <c r="L87" i="188"/>
  <c r="K87" i="188"/>
  <c r="J87" i="188"/>
  <c r="I87" i="188"/>
  <c r="H87" i="188"/>
  <c r="G87" i="188"/>
  <c r="F87" i="188"/>
  <c r="E87" i="188"/>
  <c r="D87" i="188"/>
  <c r="C87" i="188"/>
  <c r="L86" i="188"/>
  <c r="K86" i="188"/>
  <c r="J86" i="188"/>
  <c r="I86" i="188"/>
  <c r="H86" i="188"/>
  <c r="G86" i="188"/>
  <c r="F86" i="188"/>
  <c r="E86" i="188"/>
  <c r="D86" i="188"/>
  <c r="C86" i="188"/>
  <c r="L82" i="188"/>
  <c r="K82" i="188"/>
  <c r="J82" i="188"/>
  <c r="I82" i="188"/>
  <c r="H82" i="188"/>
  <c r="G82" i="188"/>
  <c r="F82" i="188"/>
  <c r="E82" i="188"/>
  <c r="D82" i="188"/>
  <c r="C82" i="188"/>
  <c r="L81" i="188"/>
  <c r="K81" i="188"/>
  <c r="J81" i="188"/>
  <c r="I81" i="188"/>
  <c r="H81" i="188"/>
  <c r="G81" i="188"/>
  <c r="F81" i="188"/>
  <c r="E81" i="188"/>
  <c r="D81" i="188"/>
  <c r="C81" i="188"/>
  <c r="L80" i="188"/>
  <c r="K80" i="188"/>
  <c r="J80" i="188"/>
  <c r="I80" i="188"/>
  <c r="H80" i="188"/>
  <c r="G80" i="188"/>
  <c r="F80" i="188"/>
  <c r="E80" i="188"/>
  <c r="D80" i="188"/>
  <c r="C80" i="188"/>
  <c r="L79" i="188"/>
  <c r="K79" i="188"/>
  <c r="J79" i="188"/>
  <c r="I79" i="188"/>
  <c r="H79" i="188"/>
  <c r="G79" i="188"/>
  <c r="F79" i="188"/>
  <c r="E79" i="188"/>
  <c r="D79" i="188"/>
  <c r="C79" i="188"/>
  <c r="L78" i="188"/>
  <c r="K78" i="188"/>
  <c r="J78" i="188"/>
  <c r="I78" i="188"/>
  <c r="H78" i="188"/>
  <c r="G78" i="188"/>
  <c r="F78" i="188"/>
  <c r="E78" i="188"/>
  <c r="D78" i="188"/>
  <c r="C78" i="188"/>
  <c r="L77" i="188"/>
  <c r="K77" i="188"/>
  <c r="J77" i="188"/>
  <c r="I77" i="188"/>
  <c r="H77" i="188"/>
  <c r="G77" i="188"/>
  <c r="F77" i="188"/>
  <c r="E77" i="188"/>
  <c r="D77" i="188"/>
  <c r="C77" i="188"/>
  <c r="L76" i="188"/>
  <c r="K76" i="188"/>
  <c r="J76" i="188"/>
  <c r="I76" i="188"/>
  <c r="H76" i="188"/>
  <c r="G76" i="188"/>
  <c r="F76" i="188"/>
  <c r="E76" i="188"/>
  <c r="D76" i="188"/>
  <c r="C76" i="188"/>
  <c r="L75" i="188"/>
  <c r="K75" i="188"/>
  <c r="J75" i="188"/>
  <c r="I75" i="188"/>
  <c r="H75" i="188"/>
  <c r="G75" i="188"/>
  <c r="F75" i="188"/>
  <c r="E75" i="188"/>
  <c r="D75" i="188"/>
  <c r="C75" i="188"/>
  <c r="L71" i="188"/>
  <c r="K71" i="188"/>
  <c r="J71" i="188"/>
  <c r="I71" i="188"/>
  <c r="H71" i="188"/>
  <c r="G71" i="188"/>
  <c r="F71" i="188"/>
  <c r="E71" i="188"/>
  <c r="D71" i="188"/>
  <c r="C71" i="188"/>
  <c r="L70" i="188"/>
  <c r="K70" i="188"/>
  <c r="J70" i="188"/>
  <c r="I70" i="188"/>
  <c r="H70" i="188"/>
  <c r="G70" i="188"/>
  <c r="F70" i="188"/>
  <c r="E70" i="188"/>
  <c r="D70" i="188"/>
  <c r="C70" i="188"/>
  <c r="L69" i="188"/>
  <c r="K69" i="188"/>
  <c r="J69" i="188"/>
  <c r="I69" i="188"/>
  <c r="H69" i="188"/>
  <c r="G69" i="188"/>
  <c r="F69" i="188"/>
  <c r="E69" i="188"/>
  <c r="D69" i="188"/>
  <c r="C69" i="188"/>
  <c r="L68" i="188"/>
  <c r="K68" i="188"/>
  <c r="J68" i="188"/>
  <c r="I68" i="188"/>
  <c r="H68" i="188"/>
  <c r="G68" i="188"/>
  <c r="F68" i="188"/>
  <c r="E68" i="188"/>
  <c r="D68" i="188"/>
  <c r="C68" i="188"/>
  <c r="L67" i="188"/>
  <c r="K67" i="188"/>
  <c r="J67" i="188"/>
  <c r="I67" i="188"/>
  <c r="H67" i="188"/>
  <c r="G67" i="188"/>
  <c r="F67" i="188"/>
  <c r="E67" i="188"/>
  <c r="D67" i="188"/>
  <c r="C67" i="188"/>
  <c r="L66" i="188"/>
  <c r="K66" i="188"/>
  <c r="J66" i="188"/>
  <c r="I66" i="188"/>
  <c r="H66" i="188"/>
  <c r="G66" i="188"/>
  <c r="F66" i="188"/>
  <c r="E66" i="188"/>
  <c r="D66" i="188"/>
  <c r="C66" i="188"/>
  <c r="L65" i="188"/>
  <c r="K65" i="188"/>
  <c r="J65" i="188"/>
  <c r="I65" i="188"/>
  <c r="H65" i="188"/>
  <c r="G65" i="188"/>
  <c r="F65" i="188"/>
  <c r="E65" i="188"/>
  <c r="D65" i="188"/>
  <c r="C65" i="188"/>
  <c r="L64" i="188"/>
  <c r="K64" i="188"/>
  <c r="J64" i="188"/>
  <c r="I64" i="188"/>
  <c r="H64" i="188"/>
  <c r="G64" i="188"/>
  <c r="F64" i="188"/>
  <c r="E64" i="188"/>
  <c r="D64" i="188"/>
  <c r="C64" i="188"/>
  <c r="L58" i="188"/>
  <c r="K58" i="188"/>
  <c r="J58" i="188"/>
  <c r="I58" i="188"/>
  <c r="H58" i="188"/>
  <c r="G58" i="188"/>
  <c r="F58" i="188"/>
  <c r="E58" i="188"/>
  <c r="D58" i="188"/>
  <c r="C58" i="188"/>
  <c r="L57" i="188"/>
  <c r="K57" i="188"/>
  <c r="J57" i="188"/>
  <c r="I57" i="188"/>
  <c r="H57" i="188"/>
  <c r="G57" i="188"/>
  <c r="F57" i="188"/>
  <c r="E57" i="188"/>
  <c r="D57" i="188"/>
  <c r="C57" i="188"/>
  <c r="I53" i="188"/>
  <c r="H53" i="188"/>
  <c r="G53" i="188"/>
  <c r="F53" i="188"/>
  <c r="E53" i="188"/>
  <c r="D53" i="188"/>
  <c r="C53" i="188"/>
  <c r="B53" i="188"/>
  <c r="I52" i="188"/>
  <c r="H52" i="188"/>
  <c r="G52" i="188"/>
  <c r="F52" i="188"/>
  <c r="E52" i="188"/>
  <c r="D52" i="188"/>
  <c r="C52" i="188"/>
  <c r="B52" i="188"/>
  <c r="J51" i="188"/>
  <c r="I51" i="188"/>
  <c r="H51" i="188"/>
  <c r="G51" i="188"/>
  <c r="F51" i="188"/>
  <c r="E51" i="188"/>
  <c r="D51" i="188"/>
  <c r="C51" i="188"/>
  <c r="B51" i="188"/>
  <c r="L44" i="188"/>
  <c r="K44" i="188"/>
  <c r="J44" i="188"/>
  <c r="I44" i="188"/>
  <c r="H44" i="188"/>
  <c r="G44" i="188"/>
  <c r="F44" i="188"/>
  <c r="E44" i="188"/>
  <c r="D44" i="188"/>
  <c r="C44" i="188"/>
  <c r="L43" i="188"/>
  <c r="K43" i="188"/>
  <c r="J43" i="188"/>
  <c r="I43" i="188"/>
  <c r="H43" i="188"/>
  <c r="G43" i="188"/>
  <c r="F43" i="188"/>
  <c r="E43" i="188"/>
  <c r="D43" i="188"/>
  <c r="C43" i="188"/>
  <c r="D41" i="188"/>
  <c r="C39" i="188"/>
  <c r="C35" i="188"/>
  <c r="B35" i="188"/>
  <c r="C34" i="188"/>
  <c r="B34" i="188"/>
  <c r="C33" i="188"/>
  <c r="B33" i="188"/>
  <c r="L29" i="188"/>
  <c r="K29" i="188"/>
  <c r="J29" i="188"/>
  <c r="I29" i="188"/>
  <c r="H29" i="188"/>
  <c r="G29" i="188"/>
  <c r="F29" i="188"/>
  <c r="E29" i="188"/>
  <c r="D29" i="188"/>
  <c r="C29" i="188"/>
  <c r="B29" i="188"/>
  <c r="L28" i="188"/>
  <c r="K28" i="188"/>
  <c r="J28" i="188"/>
  <c r="I28" i="188"/>
  <c r="H28" i="188"/>
  <c r="G28" i="188"/>
  <c r="F28" i="188"/>
  <c r="E28" i="188"/>
  <c r="D28" i="188"/>
  <c r="C28" i="188"/>
  <c r="B28" i="188"/>
  <c r="L27" i="188"/>
  <c r="K27" i="188"/>
  <c r="J27" i="188"/>
  <c r="I27" i="188"/>
  <c r="H27" i="188"/>
  <c r="G27" i="188"/>
  <c r="F27" i="188"/>
  <c r="E27" i="188"/>
  <c r="D27" i="188"/>
  <c r="C27" i="188"/>
  <c r="B27" i="188"/>
  <c r="L26" i="188"/>
  <c r="K26" i="188"/>
  <c r="J26" i="188"/>
  <c r="I26" i="188"/>
  <c r="H26" i="188"/>
  <c r="G26" i="188"/>
  <c r="F26" i="188"/>
  <c r="E26" i="188"/>
  <c r="D26" i="188"/>
  <c r="C26" i="188"/>
  <c r="C20" i="188"/>
  <c r="B20" i="188"/>
  <c r="L15" i="188"/>
  <c r="K15" i="188"/>
  <c r="J15" i="188"/>
  <c r="I15" i="188"/>
  <c r="H15" i="188"/>
  <c r="G15" i="188"/>
  <c r="F15" i="188"/>
  <c r="E15" i="188"/>
  <c r="D15" i="188"/>
  <c r="C15" i="188"/>
  <c r="B15" i="188"/>
  <c r="L14" i="188"/>
  <c r="K14" i="188"/>
  <c r="J14" i="188"/>
  <c r="I14" i="188"/>
  <c r="H14" i="188"/>
  <c r="G14" i="188"/>
  <c r="F14" i="188"/>
  <c r="E14" i="188"/>
  <c r="D14" i="188"/>
  <c r="C14" i="188"/>
  <c r="A10" i="188"/>
  <c r="A1" i="188"/>
  <c r="L119" i="187"/>
  <c r="K119" i="187"/>
  <c r="J119" i="187"/>
  <c r="I119" i="187"/>
  <c r="H119" i="187"/>
  <c r="G119" i="187"/>
  <c r="F119" i="187"/>
  <c r="E119" i="187"/>
  <c r="D119" i="187"/>
  <c r="C119" i="187"/>
  <c r="A119" i="187"/>
  <c r="L118" i="187"/>
  <c r="K118" i="187"/>
  <c r="J118" i="187"/>
  <c r="I118" i="187"/>
  <c r="H118" i="187"/>
  <c r="G118" i="187"/>
  <c r="F118" i="187"/>
  <c r="E118" i="187"/>
  <c r="D118" i="187"/>
  <c r="C118" i="187"/>
  <c r="L117" i="187"/>
  <c r="K117" i="187"/>
  <c r="J117" i="187"/>
  <c r="I117" i="187"/>
  <c r="H117" i="187"/>
  <c r="G117" i="187"/>
  <c r="F117" i="187"/>
  <c r="E117" i="187"/>
  <c r="D117" i="187"/>
  <c r="C117" i="187"/>
  <c r="L116" i="187"/>
  <c r="K116" i="187"/>
  <c r="J116" i="187"/>
  <c r="I116" i="187"/>
  <c r="H116" i="187"/>
  <c r="G116" i="187"/>
  <c r="F116" i="187"/>
  <c r="E116" i="187"/>
  <c r="D116" i="187"/>
  <c r="C116" i="187"/>
  <c r="L115" i="187"/>
  <c r="K115" i="187"/>
  <c r="J115" i="187"/>
  <c r="I115" i="187"/>
  <c r="H115" i="187"/>
  <c r="G115" i="187"/>
  <c r="F115" i="187"/>
  <c r="E115" i="187"/>
  <c r="D115" i="187"/>
  <c r="C115" i="187"/>
  <c r="L114" i="187"/>
  <c r="K114" i="187"/>
  <c r="J114" i="187"/>
  <c r="I114" i="187"/>
  <c r="H114" i="187"/>
  <c r="G114" i="187"/>
  <c r="F114" i="187"/>
  <c r="E114" i="187"/>
  <c r="D114" i="187"/>
  <c r="C114" i="187"/>
  <c r="L113" i="187"/>
  <c r="K113" i="187"/>
  <c r="J113" i="187"/>
  <c r="I113" i="187"/>
  <c r="H113" i="187"/>
  <c r="G113" i="187"/>
  <c r="F113" i="187"/>
  <c r="E113" i="187"/>
  <c r="D113" i="187"/>
  <c r="C113" i="187"/>
  <c r="L112" i="187"/>
  <c r="K112" i="187"/>
  <c r="J112" i="187"/>
  <c r="I112" i="187"/>
  <c r="H112" i="187"/>
  <c r="G112" i="187"/>
  <c r="F112" i="187"/>
  <c r="E112" i="187"/>
  <c r="D112" i="187"/>
  <c r="C112" i="187"/>
  <c r="L107" i="187"/>
  <c r="K107" i="187"/>
  <c r="J107" i="187"/>
  <c r="I107" i="187"/>
  <c r="H107" i="187"/>
  <c r="G107" i="187"/>
  <c r="F107" i="187"/>
  <c r="E107" i="187"/>
  <c r="D107" i="187"/>
  <c r="C107" i="187"/>
  <c r="L106" i="187"/>
  <c r="K106" i="187"/>
  <c r="J106" i="187"/>
  <c r="I106" i="187"/>
  <c r="H106" i="187"/>
  <c r="G106" i="187"/>
  <c r="F106" i="187"/>
  <c r="E106" i="187"/>
  <c r="D106" i="187"/>
  <c r="C106" i="187"/>
  <c r="L105" i="187"/>
  <c r="K105" i="187"/>
  <c r="J105" i="187"/>
  <c r="I105" i="187"/>
  <c r="H105" i="187"/>
  <c r="G105" i="187"/>
  <c r="F105" i="187"/>
  <c r="E105" i="187"/>
  <c r="D105" i="187"/>
  <c r="C105" i="187"/>
  <c r="L104" i="187"/>
  <c r="K104" i="187"/>
  <c r="J104" i="187"/>
  <c r="I104" i="187"/>
  <c r="H104" i="187"/>
  <c r="G104" i="187"/>
  <c r="F104" i="187"/>
  <c r="E104" i="187"/>
  <c r="D104" i="187"/>
  <c r="C104" i="187"/>
  <c r="L103" i="187"/>
  <c r="K103" i="187"/>
  <c r="J103" i="187"/>
  <c r="I103" i="187"/>
  <c r="H103" i="187"/>
  <c r="G103" i="187"/>
  <c r="F103" i="187"/>
  <c r="E103" i="187"/>
  <c r="D103" i="187"/>
  <c r="C103" i="187"/>
  <c r="L99" i="187"/>
  <c r="K99" i="187"/>
  <c r="J99" i="187"/>
  <c r="I99" i="187"/>
  <c r="H99" i="187"/>
  <c r="G99" i="187"/>
  <c r="F99" i="187"/>
  <c r="E99" i="187"/>
  <c r="D99" i="187"/>
  <c r="C99" i="187"/>
  <c r="L95" i="187"/>
  <c r="K95" i="187"/>
  <c r="J95" i="187"/>
  <c r="I95" i="187"/>
  <c r="H95" i="187"/>
  <c r="G95" i="187"/>
  <c r="F95" i="187"/>
  <c r="E95" i="187"/>
  <c r="D95" i="187"/>
  <c r="C95" i="187"/>
  <c r="L93" i="187"/>
  <c r="K93" i="187"/>
  <c r="J93" i="187"/>
  <c r="I93" i="187"/>
  <c r="H93" i="187"/>
  <c r="G93" i="187"/>
  <c r="F93" i="187"/>
  <c r="E93" i="187"/>
  <c r="D93" i="187"/>
  <c r="C93" i="187"/>
  <c r="L92" i="187"/>
  <c r="K92" i="187"/>
  <c r="J92" i="187"/>
  <c r="I92" i="187"/>
  <c r="H92" i="187"/>
  <c r="G92" i="187"/>
  <c r="F92" i="187"/>
  <c r="E92" i="187"/>
  <c r="D92" i="187"/>
  <c r="C92" i="187"/>
  <c r="L91" i="187"/>
  <c r="K91" i="187"/>
  <c r="J91" i="187"/>
  <c r="I91" i="187"/>
  <c r="H91" i="187"/>
  <c r="G91" i="187"/>
  <c r="F91" i="187"/>
  <c r="E91" i="187"/>
  <c r="D91" i="187"/>
  <c r="C91" i="187"/>
  <c r="L90" i="187"/>
  <c r="K90" i="187"/>
  <c r="J90" i="187"/>
  <c r="I90" i="187"/>
  <c r="H90" i="187"/>
  <c r="G90" i="187"/>
  <c r="F90" i="187"/>
  <c r="E90" i="187"/>
  <c r="D90" i="187"/>
  <c r="C90" i="187"/>
  <c r="L89" i="187"/>
  <c r="K89" i="187"/>
  <c r="J89" i="187"/>
  <c r="I89" i="187"/>
  <c r="H89" i="187"/>
  <c r="G89" i="187"/>
  <c r="F89" i="187"/>
  <c r="E89" i="187"/>
  <c r="D89" i="187"/>
  <c r="C89" i="187"/>
  <c r="L88" i="187"/>
  <c r="K88" i="187"/>
  <c r="J88" i="187"/>
  <c r="I88" i="187"/>
  <c r="H88" i="187"/>
  <c r="G88" i="187"/>
  <c r="F88" i="187"/>
  <c r="E88" i="187"/>
  <c r="D88" i="187"/>
  <c r="C88" i="187"/>
  <c r="L87" i="187"/>
  <c r="K87" i="187"/>
  <c r="J87" i="187"/>
  <c r="I87" i="187"/>
  <c r="H87" i="187"/>
  <c r="G87" i="187"/>
  <c r="F87" i="187"/>
  <c r="E87" i="187"/>
  <c r="D87" i="187"/>
  <c r="C87" i="187"/>
  <c r="L86" i="187"/>
  <c r="K86" i="187"/>
  <c r="J86" i="187"/>
  <c r="I86" i="187"/>
  <c r="H86" i="187"/>
  <c r="G86" i="187"/>
  <c r="F86" i="187"/>
  <c r="E86" i="187"/>
  <c r="D86" i="187"/>
  <c r="C86" i="187"/>
  <c r="L82" i="187"/>
  <c r="K82" i="187"/>
  <c r="J82" i="187"/>
  <c r="I82" i="187"/>
  <c r="H82" i="187"/>
  <c r="G82" i="187"/>
  <c r="F82" i="187"/>
  <c r="E82" i="187"/>
  <c r="D82" i="187"/>
  <c r="C82" i="187"/>
  <c r="L81" i="187"/>
  <c r="K81" i="187"/>
  <c r="J81" i="187"/>
  <c r="I81" i="187"/>
  <c r="H81" i="187"/>
  <c r="G81" i="187"/>
  <c r="F81" i="187"/>
  <c r="E81" i="187"/>
  <c r="D81" i="187"/>
  <c r="C81" i="187"/>
  <c r="L80" i="187"/>
  <c r="K80" i="187"/>
  <c r="J80" i="187"/>
  <c r="I80" i="187"/>
  <c r="H80" i="187"/>
  <c r="G80" i="187"/>
  <c r="F80" i="187"/>
  <c r="E80" i="187"/>
  <c r="D80" i="187"/>
  <c r="C80" i="187"/>
  <c r="L79" i="187"/>
  <c r="K79" i="187"/>
  <c r="J79" i="187"/>
  <c r="I79" i="187"/>
  <c r="H79" i="187"/>
  <c r="G79" i="187"/>
  <c r="F79" i="187"/>
  <c r="E79" i="187"/>
  <c r="D79" i="187"/>
  <c r="C79" i="187"/>
  <c r="L78" i="187"/>
  <c r="K78" i="187"/>
  <c r="J78" i="187"/>
  <c r="I78" i="187"/>
  <c r="H78" i="187"/>
  <c r="G78" i="187"/>
  <c r="F78" i="187"/>
  <c r="E78" i="187"/>
  <c r="D78" i="187"/>
  <c r="C78" i="187"/>
  <c r="L77" i="187"/>
  <c r="K77" i="187"/>
  <c r="J77" i="187"/>
  <c r="I77" i="187"/>
  <c r="H77" i="187"/>
  <c r="G77" i="187"/>
  <c r="F77" i="187"/>
  <c r="E77" i="187"/>
  <c r="D77" i="187"/>
  <c r="C77" i="187"/>
  <c r="L76" i="187"/>
  <c r="K76" i="187"/>
  <c r="J76" i="187"/>
  <c r="I76" i="187"/>
  <c r="H76" i="187"/>
  <c r="G76" i="187"/>
  <c r="F76" i="187"/>
  <c r="E76" i="187"/>
  <c r="D76" i="187"/>
  <c r="C76" i="187"/>
  <c r="L75" i="187"/>
  <c r="K75" i="187"/>
  <c r="J75" i="187"/>
  <c r="I75" i="187"/>
  <c r="H75" i="187"/>
  <c r="G75" i="187"/>
  <c r="F75" i="187"/>
  <c r="E75" i="187"/>
  <c r="D75" i="187"/>
  <c r="C75" i="187"/>
  <c r="L71" i="187"/>
  <c r="K71" i="187"/>
  <c r="J71" i="187"/>
  <c r="I71" i="187"/>
  <c r="H71" i="187"/>
  <c r="G71" i="187"/>
  <c r="F71" i="187"/>
  <c r="E71" i="187"/>
  <c r="D71" i="187"/>
  <c r="C71" i="187"/>
  <c r="L70" i="187"/>
  <c r="K70" i="187"/>
  <c r="J70" i="187"/>
  <c r="I70" i="187"/>
  <c r="H70" i="187"/>
  <c r="G70" i="187"/>
  <c r="F70" i="187"/>
  <c r="E70" i="187"/>
  <c r="D70" i="187"/>
  <c r="C70" i="187"/>
  <c r="L69" i="187"/>
  <c r="K69" i="187"/>
  <c r="J69" i="187"/>
  <c r="I69" i="187"/>
  <c r="H69" i="187"/>
  <c r="G69" i="187"/>
  <c r="F69" i="187"/>
  <c r="E69" i="187"/>
  <c r="D69" i="187"/>
  <c r="C69" i="187"/>
  <c r="L68" i="187"/>
  <c r="K68" i="187"/>
  <c r="J68" i="187"/>
  <c r="I68" i="187"/>
  <c r="H68" i="187"/>
  <c r="G68" i="187"/>
  <c r="F68" i="187"/>
  <c r="E68" i="187"/>
  <c r="D68" i="187"/>
  <c r="C68" i="187"/>
  <c r="L67" i="187"/>
  <c r="K67" i="187"/>
  <c r="J67" i="187"/>
  <c r="I67" i="187"/>
  <c r="H67" i="187"/>
  <c r="G67" i="187"/>
  <c r="F67" i="187"/>
  <c r="E67" i="187"/>
  <c r="D67" i="187"/>
  <c r="C67" i="187"/>
  <c r="L66" i="187"/>
  <c r="K66" i="187"/>
  <c r="J66" i="187"/>
  <c r="I66" i="187"/>
  <c r="H66" i="187"/>
  <c r="G66" i="187"/>
  <c r="F66" i="187"/>
  <c r="E66" i="187"/>
  <c r="D66" i="187"/>
  <c r="C66" i="187"/>
  <c r="L65" i="187"/>
  <c r="K65" i="187"/>
  <c r="J65" i="187"/>
  <c r="I65" i="187"/>
  <c r="H65" i="187"/>
  <c r="G65" i="187"/>
  <c r="F65" i="187"/>
  <c r="E65" i="187"/>
  <c r="D65" i="187"/>
  <c r="C65" i="187"/>
  <c r="L64" i="187"/>
  <c r="K64" i="187"/>
  <c r="J64" i="187"/>
  <c r="I64" i="187"/>
  <c r="H64" i="187"/>
  <c r="G64" i="187"/>
  <c r="F64" i="187"/>
  <c r="E64" i="187"/>
  <c r="D64" i="187"/>
  <c r="C64" i="187"/>
  <c r="L58" i="187"/>
  <c r="K58" i="187"/>
  <c r="J58" i="187"/>
  <c r="I58" i="187"/>
  <c r="H58" i="187"/>
  <c r="G58" i="187"/>
  <c r="F58" i="187"/>
  <c r="E58" i="187"/>
  <c r="D58" i="187"/>
  <c r="C58" i="187"/>
  <c r="L57" i="187"/>
  <c r="K57" i="187"/>
  <c r="J57" i="187"/>
  <c r="I57" i="187"/>
  <c r="H57" i="187"/>
  <c r="G57" i="187"/>
  <c r="F57" i="187"/>
  <c r="E57" i="187"/>
  <c r="D57" i="187"/>
  <c r="C57" i="187"/>
  <c r="I53" i="187"/>
  <c r="H53" i="187"/>
  <c r="G53" i="187"/>
  <c r="F53" i="187"/>
  <c r="E53" i="187"/>
  <c r="D53" i="187"/>
  <c r="C53" i="187"/>
  <c r="B53" i="187"/>
  <c r="I52" i="187"/>
  <c r="H52" i="187"/>
  <c r="G52" i="187"/>
  <c r="F52" i="187"/>
  <c r="E52" i="187"/>
  <c r="D52" i="187"/>
  <c r="C52" i="187"/>
  <c r="B52" i="187"/>
  <c r="J51" i="187"/>
  <c r="I51" i="187"/>
  <c r="H51" i="187"/>
  <c r="G51" i="187"/>
  <c r="F51" i="187"/>
  <c r="E51" i="187"/>
  <c r="D51" i="187"/>
  <c r="C51" i="187"/>
  <c r="B51" i="187"/>
  <c r="L44" i="187"/>
  <c r="K44" i="187"/>
  <c r="J44" i="187"/>
  <c r="I44" i="187"/>
  <c r="H44" i="187"/>
  <c r="G44" i="187"/>
  <c r="F44" i="187"/>
  <c r="E44" i="187"/>
  <c r="D44" i="187"/>
  <c r="C44" i="187"/>
  <c r="L43" i="187"/>
  <c r="K43" i="187"/>
  <c r="J43" i="187"/>
  <c r="I43" i="187"/>
  <c r="H43" i="187"/>
  <c r="G43" i="187"/>
  <c r="F43" i="187"/>
  <c r="E43" i="187"/>
  <c r="D43" i="187"/>
  <c r="C43" i="187"/>
  <c r="D41" i="187"/>
  <c r="C39" i="187"/>
  <c r="C35" i="187"/>
  <c r="B35" i="187"/>
  <c r="C34" i="187"/>
  <c r="B34" i="187"/>
  <c r="C33" i="187"/>
  <c r="B33" i="187"/>
  <c r="L29" i="187"/>
  <c r="K29" i="187"/>
  <c r="J29" i="187"/>
  <c r="I29" i="187"/>
  <c r="H29" i="187"/>
  <c r="G29" i="187"/>
  <c r="F29" i="187"/>
  <c r="E29" i="187"/>
  <c r="D29" i="187"/>
  <c r="C29" i="187"/>
  <c r="B29" i="187"/>
  <c r="L28" i="187"/>
  <c r="K28" i="187"/>
  <c r="J28" i="187"/>
  <c r="I28" i="187"/>
  <c r="H28" i="187"/>
  <c r="G28" i="187"/>
  <c r="F28" i="187"/>
  <c r="E28" i="187"/>
  <c r="D28" i="187"/>
  <c r="C28" i="187"/>
  <c r="B28" i="187"/>
  <c r="L27" i="187"/>
  <c r="K27" i="187"/>
  <c r="J27" i="187"/>
  <c r="I27" i="187"/>
  <c r="H27" i="187"/>
  <c r="G27" i="187"/>
  <c r="F27" i="187"/>
  <c r="E27" i="187"/>
  <c r="D27" i="187"/>
  <c r="C27" i="187"/>
  <c r="B27" i="187"/>
  <c r="L26" i="187"/>
  <c r="K26" i="187"/>
  <c r="J26" i="187"/>
  <c r="I26" i="187"/>
  <c r="H26" i="187"/>
  <c r="G26" i="187"/>
  <c r="F26" i="187"/>
  <c r="E26" i="187"/>
  <c r="D26" i="187"/>
  <c r="C26" i="187"/>
  <c r="C20" i="187"/>
  <c r="B20" i="187"/>
  <c r="L15" i="187"/>
  <c r="K15" i="187"/>
  <c r="J15" i="187"/>
  <c r="I15" i="187"/>
  <c r="H15" i="187"/>
  <c r="G15" i="187"/>
  <c r="F15" i="187"/>
  <c r="E15" i="187"/>
  <c r="D15" i="187"/>
  <c r="C15" i="187"/>
  <c r="B15" i="187"/>
  <c r="L14" i="187"/>
  <c r="K14" i="187"/>
  <c r="J14" i="187"/>
  <c r="I14" i="187"/>
  <c r="H14" i="187"/>
  <c r="G14" i="187"/>
  <c r="F14" i="187"/>
  <c r="E14" i="187"/>
  <c r="D14" i="187"/>
  <c r="C14" i="187"/>
  <c r="A10" i="187"/>
  <c r="A1" i="187"/>
  <c r="L119" i="186"/>
  <c r="K119" i="186"/>
  <c r="J119" i="186"/>
  <c r="I119" i="186"/>
  <c r="H119" i="186"/>
  <c r="G119" i="186"/>
  <c r="F119" i="186"/>
  <c r="E119" i="186"/>
  <c r="D119" i="186"/>
  <c r="C119" i="186"/>
  <c r="A119" i="186"/>
  <c r="L118" i="186"/>
  <c r="K118" i="186"/>
  <c r="J118" i="186"/>
  <c r="I118" i="186"/>
  <c r="H118" i="186"/>
  <c r="G118" i="186"/>
  <c r="F118" i="186"/>
  <c r="E118" i="186"/>
  <c r="D118" i="186"/>
  <c r="C118" i="186"/>
  <c r="L117" i="186"/>
  <c r="K117" i="186"/>
  <c r="J117" i="186"/>
  <c r="I117" i="186"/>
  <c r="H117" i="186"/>
  <c r="G117" i="186"/>
  <c r="F117" i="186"/>
  <c r="E117" i="186"/>
  <c r="D117" i="186"/>
  <c r="C117" i="186"/>
  <c r="L116" i="186"/>
  <c r="K116" i="186"/>
  <c r="J116" i="186"/>
  <c r="I116" i="186"/>
  <c r="H116" i="186"/>
  <c r="G116" i="186"/>
  <c r="F116" i="186"/>
  <c r="E116" i="186"/>
  <c r="D116" i="186"/>
  <c r="C116" i="186"/>
  <c r="L115" i="186"/>
  <c r="K115" i="186"/>
  <c r="J115" i="186"/>
  <c r="I115" i="186"/>
  <c r="H115" i="186"/>
  <c r="G115" i="186"/>
  <c r="F115" i="186"/>
  <c r="E115" i="186"/>
  <c r="D115" i="186"/>
  <c r="C115" i="186"/>
  <c r="L114" i="186"/>
  <c r="K114" i="186"/>
  <c r="J114" i="186"/>
  <c r="I114" i="186"/>
  <c r="H114" i="186"/>
  <c r="G114" i="186"/>
  <c r="F114" i="186"/>
  <c r="E114" i="186"/>
  <c r="D114" i="186"/>
  <c r="C114" i="186"/>
  <c r="L113" i="186"/>
  <c r="K113" i="186"/>
  <c r="J113" i="186"/>
  <c r="I113" i="186"/>
  <c r="H113" i="186"/>
  <c r="G113" i="186"/>
  <c r="F113" i="186"/>
  <c r="E113" i="186"/>
  <c r="D113" i="186"/>
  <c r="C113" i="186"/>
  <c r="L112" i="186"/>
  <c r="K112" i="186"/>
  <c r="J112" i="186"/>
  <c r="I112" i="186"/>
  <c r="H112" i="186"/>
  <c r="G112" i="186"/>
  <c r="F112" i="186"/>
  <c r="E112" i="186"/>
  <c r="D112" i="186"/>
  <c r="C112" i="186"/>
  <c r="L107" i="186"/>
  <c r="K107" i="186"/>
  <c r="J107" i="186"/>
  <c r="I107" i="186"/>
  <c r="H107" i="186"/>
  <c r="G107" i="186"/>
  <c r="F107" i="186"/>
  <c r="E107" i="186"/>
  <c r="D107" i="186"/>
  <c r="C107" i="186"/>
  <c r="L106" i="186"/>
  <c r="K106" i="186"/>
  <c r="J106" i="186"/>
  <c r="I106" i="186"/>
  <c r="H106" i="186"/>
  <c r="G106" i="186"/>
  <c r="F106" i="186"/>
  <c r="E106" i="186"/>
  <c r="D106" i="186"/>
  <c r="C106" i="186"/>
  <c r="L105" i="186"/>
  <c r="K105" i="186"/>
  <c r="J105" i="186"/>
  <c r="I105" i="186"/>
  <c r="H105" i="186"/>
  <c r="G105" i="186"/>
  <c r="F105" i="186"/>
  <c r="E105" i="186"/>
  <c r="D105" i="186"/>
  <c r="C105" i="186"/>
  <c r="L104" i="186"/>
  <c r="K104" i="186"/>
  <c r="J104" i="186"/>
  <c r="I104" i="186"/>
  <c r="H104" i="186"/>
  <c r="G104" i="186"/>
  <c r="F104" i="186"/>
  <c r="E104" i="186"/>
  <c r="D104" i="186"/>
  <c r="C104" i="186"/>
  <c r="L103" i="186"/>
  <c r="K103" i="186"/>
  <c r="J103" i="186"/>
  <c r="I103" i="186"/>
  <c r="H103" i="186"/>
  <c r="G103" i="186"/>
  <c r="F103" i="186"/>
  <c r="E103" i="186"/>
  <c r="D103" i="186"/>
  <c r="C103" i="186"/>
  <c r="L99" i="186"/>
  <c r="K99" i="186"/>
  <c r="J99" i="186"/>
  <c r="I99" i="186"/>
  <c r="H99" i="186"/>
  <c r="G99" i="186"/>
  <c r="F99" i="186"/>
  <c r="E99" i="186"/>
  <c r="D99" i="186"/>
  <c r="C99" i="186"/>
  <c r="L95" i="186"/>
  <c r="K95" i="186"/>
  <c r="J95" i="186"/>
  <c r="I95" i="186"/>
  <c r="H95" i="186"/>
  <c r="G95" i="186"/>
  <c r="F95" i="186"/>
  <c r="E95" i="186"/>
  <c r="D95" i="186"/>
  <c r="C95" i="186"/>
  <c r="L93" i="186"/>
  <c r="K93" i="186"/>
  <c r="J93" i="186"/>
  <c r="I93" i="186"/>
  <c r="H93" i="186"/>
  <c r="G93" i="186"/>
  <c r="F93" i="186"/>
  <c r="E93" i="186"/>
  <c r="D93" i="186"/>
  <c r="C93" i="186"/>
  <c r="L92" i="186"/>
  <c r="K92" i="186"/>
  <c r="J92" i="186"/>
  <c r="I92" i="186"/>
  <c r="H92" i="186"/>
  <c r="G92" i="186"/>
  <c r="F92" i="186"/>
  <c r="E92" i="186"/>
  <c r="D92" i="186"/>
  <c r="C92" i="186"/>
  <c r="L91" i="186"/>
  <c r="K91" i="186"/>
  <c r="J91" i="186"/>
  <c r="I91" i="186"/>
  <c r="H91" i="186"/>
  <c r="G91" i="186"/>
  <c r="F91" i="186"/>
  <c r="E91" i="186"/>
  <c r="D91" i="186"/>
  <c r="C91" i="186"/>
  <c r="L90" i="186"/>
  <c r="K90" i="186"/>
  <c r="J90" i="186"/>
  <c r="I90" i="186"/>
  <c r="H90" i="186"/>
  <c r="G90" i="186"/>
  <c r="F90" i="186"/>
  <c r="E90" i="186"/>
  <c r="D90" i="186"/>
  <c r="C90" i="186"/>
  <c r="L89" i="186"/>
  <c r="K89" i="186"/>
  <c r="J89" i="186"/>
  <c r="I89" i="186"/>
  <c r="H89" i="186"/>
  <c r="G89" i="186"/>
  <c r="F89" i="186"/>
  <c r="E89" i="186"/>
  <c r="D89" i="186"/>
  <c r="C89" i="186"/>
  <c r="L88" i="186"/>
  <c r="K88" i="186"/>
  <c r="J88" i="186"/>
  <c r="I88" i="186"/>
  <c r="H88" i="186"/>
  <c r="G88" i="186"/>
  <c r="F88" i="186"/>
  <c r="E88" i="186"/>
  <c r="D88" i="186"/>
  <c r="C88" i="186"/>
  <c r="L87" i="186"/>
  <c r="K87" i="186"/>
  <c r="J87" i="186"/>
  <c r="I87" i="186"/>
  <c r="H87" i="186"/>
  <c r="G87" i="186"/>
  <c r="F87" i="186"/>
  <c r="E87" i="186"/>
  <c r="D87" i="186"/>
  <c r="C87" i="186"/>
  <c r="L86" i="186"/>
  <c r="K86" i="186"/>
  <c r="J86" i="186"/>
  <c r="I86" i="186"/>
  <c r="H86" i="186"/>
  <c r="G86" i="186"/>
  <c r="F86" i="186"/>
  <c r="E86" i="186"/>
  <c r="D86" i="186"/>
  <c r="C86" i="186"/>
  <c r="L82" i="186"/>
  <c r="K82" i="186"/>
  <c r="J82" i="186"/>
  <c r="I82" i="186"/>
  <c r="H82" i="186"/>
  <c r="G82" i="186"/>
  <c r="F82" i="186"/>
  <c r="E82" i="186"/>
  <c r="D82" i="186"/>
  <c r="C82" i="186"/>
  <c r="L81" i="186"/>
  <c r="K81" i="186"/>
  <c r="J81" i="186"/>
  <c r="I81" i="186"/>
  <c r="H81" i="186"/>
  <c r="G81" i="186"/>
  <c r="F81" i="186"/>
  <c r="E81" i="186"/>
  <c r="D81" i="186"/>
  <c r="C81" i="186"/>
  <c r="L80" i="186"/>
  <c r="K80" i="186"/>
  <c r="J80" i="186"/>
  <c r="I80" i="186"/>
  <c r="H80" i="186"/>
  <c r="G80" i="186"/>
  <c r="F80" i="186"/>
  <c r="E80" i="186"/>
  <c r="D80" i="186"/>
  <c r="C80" i="186"/>
  <c r="L79" i="186"/>
  <c r="K79" i="186"/>
  <c r="J79" i="186"/>
  <c r="I79" i="186"/>
  <c r="H79" i="186"/>
  <c r="G79" i="186"/>
  <c r="F79" i="186"/>
  <c r="E79" i="186"/>
  <c r="D79" i="186"/>
  <c r="C79" i="186"/>
  <c r="L78" i="186"/>
  <c r="K78" i="186"/>
  <c r="J78" i="186"/>
  <c r="I78" i="186"/>
  <c r="H78" i="186"/>
  <c r="G78" i="186"/>
  <c r="F78" i="186"/>
  <c r="E78" i="186"/>
  <c r="D78" i="186"/>
  <c r="C78" i="186"/>
  <c r="L77" i="186"/>
  <c r="K77" i="186"/>
  <c r="J77" i="186"/>
  <c r="I77" i="186"/>
  <c r="H77" i="186"/>
  <c r="G77" i="186"/>
  <c r="F77" i="186"/>
  <c r="E77" i="186"/>
  <c r="D77" i="186"/>
  <c r="C77" i="186"/>
  <c r="L76" i="186"/>
  <c r="K76" i="186"/>
  <c r="J76" i="186"/>
  <c r="I76" i="186"/>
  <c r="H76" i="186"/>
  <c r="G76" i="186"/>
  <c r="F76" i="186"/>
  <c r="E76" i="186"/>
  <c r="D76" i="186"/>
  <c r="C76" i="186"/>
  <c r="L75" i="186"/>
  <c r="K75" i="186"/>
  <c r="J75" i="186"/>
  <c r="I75" i="186"/>
  <c r="H75" i="186"/>
  <c r="G75" i="186"/>
  <c r="F75" i="186"/>
  <c r="E75" i="186"/>
  <c r="D75" i="186"/>
  <c r="C75" i="186"/>
  <c r="L71" i="186"/>
  <c r="K71" i="186"/>
  <c r="J71" i="186"/>
  <c r="I71" i="186"/>
  <c r="H71" i="186"/>
  <c r="G71" i="186"/>
  <c r="F71" i="186"/>
  <c r="E71" i="186"/>
  <c r="D71" i="186"/>
  <c r="C71" i="186"/>
  <c r="L70" i="186"/>
  <c r="K70" i="186"/>
  <c r="J70" i="186"/>
  <c r="I70" i="186"/>
  <c r="H70" i="186"/>
  <c r="G70" i="186"/>
  <c r="F70" i="186"/>
  <c r="E70" i="186"/>
  <c r="D70" i="186"/>
  <c r="C70" i="186"/>
  <c r="L69" i="186"/>
  <c r="K69" i="186"/>
  <c r="J69" i="186"/>
  <c r="I69" i="186"/>
  <c r="H69" i="186"/>
  <c r="G69" i="186"/>
  <c r="F69" i="186"/>
  <c r="E69" i="186"/>
  <c r="D69" i="186"/>
  <c r="C69" i="186"/>
  <c r="L68" i="186"/>
  <c r="K68" i="186"/>
  <c r="J68" i="186"/>
  <c r="I68" i="186"/>
  <c r="H68" i="186"/>
  <c r="G68" i="186"/>
  <c r="F68" i="186"/>
  <c r="E68" i="186"/>
  <c r="D68" i="186"/>
  <c r="C68" i="186"/>
  <c r="L67" i="186"/>
  <c r="K67" i="186"/>
  <c r="J67" i="186"/>
  <c r="I67" i="186"/>
  <c r="H67" i="186"/>
  <c r="G67" i="186"/>
  <c r="F67" i="186"/>
  <c r="E67" i="186"/>
  <c r="D67" i="186"/>
  <c r="C67" i="186"/>
  <c r="L66" i="186"/>
  <c r="K66" i="186"/>
  <c r="J66" i="186"/>
  <c r="I66" i="186"/>
  <c r="H66" i="186"/>
  <c r="G66" i="186"/>
  <c r="F66" i="186"/>
  <c r="E66" i="186"/>
  <c r="D66" i="186"/>
  <c r="C66" i="186"/>
  <c r="L65" i="186"/>
  <c r="K65" i="186"/>
  <c r="J65" i="186"/>
  <c r="I65" i="186"/>
  <c r="H65" i="186"/>
  <c r="G65" i="186"/>
  <c r="F65" i="186"/>
  <c r="E65" i="186"/>
  <c r="D65" i="186"/>
  <c r="C65" i="186"/>
  <c r="L64" i="186"/>
  <c r="K64" i="186"/>
  <c r="J64" i="186"/>
  <c r="I64" i="186"/>
  <c r="H64" i="186"/>
  <c r="G64" i="186"/>
  <c r="F64" i="186"/>
  <c r="E64" i="186"/>
  <c r="D64" i="186"/>
  <c r="C64" i="186"/>
  <c r="L58" i="186"/>
  <c r="K58" i="186"/>
  <c r="J58" i="186"/>
  <c r="I58" i="186"/>
  <c r="H58" i="186"/>
  <c r="G58" i="186"/>
  <c r="F58" i="186"/>
  <c r="E58" i="186"/>
  <c r="D58" i="186"/>
  <c r="C58" i="186"/>
  <c r="L57" i="186"/>
  <c r="K57" i="186"/>
  <c r="J57" i="186"/>
  <c r="I57" i="186"/>
  <c r="H57" i="186"/>
  <c r="G57" i="186"/>
  <c r="F57" i="186"/>
  <c r="E57" i="186"/>
  <c r="D57" i="186"/>
  <c r="C57" i="186"/>
  <c r="I53" i="186"/>
  <c r="H53" i="186"/>
  <c r="G53" i="186"/>
  <c r="F53" i="186"/>
  <c r="E53" i="186"/>
  <c r="D53" i="186"/>
  <c r="C53" i="186"/>
  <c r="B53" i="186"/>
  <c r="I52" i="186"/>
  <c r="H52" i="186"/>
  <c r="G52" i="186"/>
  <c r="F52" i="186"/>
  <c r="E52" i="186"/>
  <c r="D52" i="186"/>
  <c r="C52" i="186"/>
  <c r="B52" i="186"/>
  <c r="J51" i="186"/>
  <c r="I51" i="186"/>
  <c r="H51" i="186"/>
  <c r="G51" i="186"/>
  <c r="F51" i="186"/>
  <c r="E51" i="186"/>
  <c r="D51" i="186"/>
  <c r="C51" i="186"/>
  <c r="B51" i="186"/>
  <c r="L44" i="186"/>
  <c r="K44" i="186"/>
  <c r="J44" i="186"/>
  <c r="I44" i="186"/>
  <c r="H44" i="186"/>
  <c r="G44" i="186"/>
  <c r="F44" i="186"/>
  <c r="E44" i="186"/>
  <c r="D44" i="186"/>
  <c r="C44" i="186"/>
  <c r="L43" i="186"/>
  <c r="K43" i="186"/>
  <c r="J43" i="186"/>
  <c r="I43" i="186"/>
  <c r="H43" i="186"/>
  <c r="G43" i="186"/>
  <c r="F43" i="186"/>
  <c r="E43" i="186"/>
  <c r="D43" i="186"/>
  <c r="C43" i="186"/>
  <c r="D41" i="186"/>
  <c r="C39" i="186"/>
  <c r="C35" i="186"/>
  <c r="B35" i="186"/>
  <c r="C34" i="186"/>
  <c r="B34" i="186"/>
  <c r="C33" i="186"/>
  <c r="B33" i="186"/>
  <c r="L29" i="186"/>
  <c r="K29" i="186"/>
  <c r="J29" i="186"/>
  <c r="I29" i="186"/>
  <c r="H29" i="186"/>
  <c r="G29" i="186"/>
  <c r="F29" i="186"/>
  <c r="E29" i="186"/>
  <c r="D29" i="186"/>
  <c r="C29" i="186"/>
  <c r="B29" i="186"/>
  <c r="L28" i="186"/>
  <c r="K28" i="186"/>
  <c r="J28" i="186"/>
  <c r="I28" i="186"/>
  <c r="H28" i="186"/>
  <c r="G28" i="186"/>
  <c r="F28" i="186"/>
  <c r="E28" i="186"/>
  <c r="D28" i="186"/>
  <c r="C28" i="186"/>
  <c r="B28" i="186"/>
  <c r="L27" i="186"/>
  <c r="K27" i="186"/>
  <c r="J27" i="186"/>
  <c r="I27" i="186"/>
  <c r="H27" i="186"/>
  <c r="G27" i="186"/>
  <c r="F27" i="186"/>
  <c r="E27" i="186"/>
  <c r="D27" i="186"/>
  <c r="C27" i="186"/>
  <c r="B27" i="186"/>
  <c r="L26" i="186"/>
  <c r="K26" i="186"/>
  <c r="J26" i="186"/>
  <c r="I26" i="186"/>
  <c r="H26" i="186"/>
  <c r="G26" i="186"/>
  <c r="F26" i="186"/>
  <c r="E26" i="186"/>
  <c r="D26" i="186"/>
  <c r="C26" i="186"/>
  <c r="C20" i="186"/>
  <c r="B20" i="186"/>
  <c r="L15" i="186"/>
  <c r="K15" i="186"/>
  <c r="J15" i="186"/>
  <c r="I15" i="186"/>
  <c r="H15" i="186"/>
  <c r="G15" i="186"/>
  <c r="F15" i="186"/>
  <c r="E15" i="186"/>
  <c r="D15" i="186"/>
  <c r="C15" i="186"/>
  <c r="B15" i="186"/>
  <c r="L14" i="186"/>
  <c r="K14" i="186"/>
  <c r="J14" i="186"/>
  <c r="I14" i="186"/>
  <c r="H14" i="186"/>
  <c r="G14" i="186"/>
  <c r="F14" i="186"/>
  <c r="E14" i="186"/>
  <c r="D14" i="186"/>
  <c r="C14" i="186"/>
  <c r="A10" i="186"/>
  <c r="A1" i="186"/>
  <c r="L118" i="185"/>
  <c r="K118" i="185"/>
  <c r="J118" i="185"/>
  <c r="I118" i="185"/>
  <c r="H118" i="185"/>
  <c r="G118" i="185"/>
  <c r="F118" i="185"/>
  <c r="E118" i="185"/>
  <c r="D118" i="185"/>
  <c r="C118" i="185"/>
  <c r="A118" i="185"/>
  <c r="L117" i="185"/>
  <c r="K117" i="185"/>
  <c r="J117" i="185"/>
  <c r="I117" i="185"/>
  <c r="H117" i="185"/>
  <c r="G117" i="185"/>
  <c r="F117" i="185"/>
  <c r="E117" i="185"/>
  <c r="D117" i="185"/>
  <c r="C117" i="185"/>
  <c r="L116" i="185"/>
  <c r="K116" i="185"/>
  <c r="J116" i="185"/>
  <c r="I116" i="185"/>
  <c r="H116" i="185"/>
  <c r="G116" i="185"/>
  <c r="F116" i="185"/>
  <c r="E116" i="185"/>
  <c r="D116" i="185"/>
  <c r="C116" i="185"/>
  <c r="L115" i="185"/>
  <c r="K115" i="185"/>
  <c r="J115" i="185"/>
  <c r="I115" i="185"/>
  <c r="H115" i="185"/>
  <c r="G115" i="185"/>
  <c r="F115" i="185"/>
  <c r="E115" i="185"/>
  <c r="D115" i="185"/>
  <c r="C115" i="185"/>
  <c r="L114" i="185"/>
  <c r="K114" i="185"/>
  <c r="J114" i="185"/>
  <c r="I114" i="185"/>
  <c r="H114" i="185"/>
  <c r="G114" i="185"/>
  <c r="F114" i="185"/>
  <c r="E114" i="185"/>
  <c r="D114" i="185"/>
  <c r="C114" i="185"/>
  <c r="L113" i="185"/>
  <c r="K113" i="185"/>
  <c r="J113" i="185"/>
  <c r="I113" i="185"/>
  <c r="H113" i="185"/>
  <c r="G113" i="185"/>
  <c r="F113" i="185"/>
  <c r="E113" i="185"/>
  <c r="D113" i="185"/>
  <c r="C113" i="185"/>
  <c r="L112" i="185"/>
  <c r="K112" i="185"/>
  <c r="J112" i="185"/>
  <c r="I112" i="185"/>
  <c r="H112" i="185"/>
  <c r="G112" i="185"/>
  <c r="F112" i="185"/>
  <c r="E112" i="185"/>
  <c r="D112" i="185"/>
  <c r="C112" i="185"/>
  <c r="L111" i="185"/>
  <c r="K111" i="185"/>
  <c r="J111" i="185"/>
  <c r="I111" i="185"/>
  <c r="H111" i="185"/>
  <c r="G111" i="185"/>
  <c r="F111" i="185"/>
  <c r="E111" i="185"/>
  <c r="D111" i="185"/>
  <c r="C111" i="185"/>
  <c r="L106" i="185"/>
  <c r="K106" i="185"/>
  <c r="J106" i="185"/>
  <c r="I106" i="185"/>
  <c r="H106" i="185"/>
  <c r="G106" i="185"/>
  <c r="F106" i="185"/>
  <c r="E106" i="185"/>
  <c r="D106" i="185"/>
  <c r="C106" i="185"/>
  <c r="L105" i="185"/>
  <c r="K105" i="185"/>
  <c r="J105" i="185"/>
  <c r="I105" i="185"/>
  <c r="H105" i="185"/>
  <c r="G105" i="185"/>
  <c r="F105" i="185"/>
  <c r="E105" i="185"/>
  <c r="D105" i="185"/>
  <c r="C105" i="185"/>
  <c r="L104" i="185"/>
  <c r="K104" i="185"/>
  <c r="J104" i="185"/>
  <c r="I104" i="185"/>
  <c r="H104" i="185"/>
  <c r="G104" i="185"/>
  <c r="F104" i="185"/>
  <c r="E104" i="185"/>
  <c r="D104" i="185"/>
  <c r="C104" i="185"/>
  <c r="L103" i="185"/>
  <c r="K103" i="185"/>
  <c r="J103" i="185"/>
  <c r="I103" i="185"/>
  <c r="H103" i="185"/>
  <c r="G103" i="185"/>
  <c r="F103" i="185"/>
  <c r="E103" i="185"/>
  <c r="D103" i="185"/>
  <c r="C103" i="185"/>
  <c r="L102" i="185"/>
  <c r="K102" i="185"/>
  <c r="J102" i="185"/>
  <c r="I102" i="185"/>
  <c r="H102" i="185"/>
  <c r="G102" i="185"/>
  <c r="F102" i="185"/>
  <c r="E102" i="185"/>
  <c r="D102" i="185"/>
  <c r="C102" i="185"/>
  <c r="L98" i="185"/>
  <c r="K98" i="185"/>
  <c r="J98" i="185"/>
  <c r="I98" i="185"/>
  <c r="H98" i="185"/>
  <c r="G98" i="185"/>
  <c r="F98" i="185"/>
  <c r="E98" i="185"/>
  <c r="D98" i="185"/>
  <c r="C98" i="185"/>
  <c r="L94" i="185"/>
  <c r="K94" i="185"/>
  <c r="J94" i="185"/>
  <c r="I94" i="185"/>
  <c r="H94" i="185"/>
  <c r="G94" i="185"/>
  <c r="F94" i="185"/>
  <c r="E94" i="185"/>
  <c r="D94" i="185"/>
  <c r="C94" i="185"/>
  <c r="L92" i="185"/>
  <c r="K92" i="185"/>
  <c r="J92" i="185"/>
  <c r="I92" i="185"/>
  <c r="H92" i="185"/>
  <c r="G92" i="185"/>
  <c r="F92" i="185"/>
  <c r="E92" i="185"/>
  <c r="D92" i="185"/>
  <c r="C92" i="185"/>
  <c r="L91" i="185"/>
  <c r="K91" i="185"/>
  <c r="J91" i="185"/>
  <c r="I91" i="185"/>
  <c r="H91" i="185"/>
  <c r="G91" i="185"/>
  <c r="F91" i="185"/>
  <c r="E91" i="185"/>
  <c r="D91" i="185"/>
  <c r="C91" i="185"/>
  <c r="L90" i="185"/>
  <c r="K90" i="185"/>
  <c r="J90" i="185"/>
  <c r="I90" i="185"/>
  <c r="H90" i="185"/>
  <c r="G90" i="185"/>
  <c r="F90" i="185"/>
  <c r="E90" i="185"/>
  <c r="D90" i="185"/>
  <c r="C90" i="185"/>
  <c r="L89" i="185"/>
  <c r="K89" i="185"/>
  <c r="J89" i="185"/>
  <c r="I89" i="185"/>
  <c r="H89" i="185"/>
  <c r="G89" i="185"/>
  <c r="F89" i="185"/>
  <c r="E89" i="185"/>
  <c r="D89" i="185"/>
  <c r="C89" i="185"/>
  <c r="L88" i="185"/>
  <c r="K88" i="185"/>
  <c r="J88" i="185"/>
  <c r="I88" i="185"/>
  <c r="H88" i="185"/>
  <c r="G88" i="185"/>
  <c r="F88" i="185"/>
  <c r="E88" i="185"/>
  <c r="D88" i="185"/>
  <c r="C88" i="185"/>
  <c r="L87" i="185"/>
  <c r="K87" i="185"/>
  <c r="J87" i="185"/>
  <c r="I87" i="185"/>
  <c r="H87" i="185"/>
  <c r="G87" i="185"/>
  <c r="F87" i="185"/>
  <c r="E87" i="185"/>
  <c r="D87" i="185"/>
  <c r="C87" i="185"/>
  <c r="L86" i="185"/>
  <c r="K86" i="185"/>
  <c r="J86" i="185"/>
  <c r="I86" i="185"/>
  <c r="H86" i="185"/>
  <c r="G86" i="185"/>
  <c r="F86" i="185"/>
  <c r="E86" i="185"/>
  <c r="D86" i="185"/>
  <c r="C86" i="185"/>
  <c r="L85" i="185"/>
  <c r="K85" i="185"/>
  <c r="J85" i="185"/>
  <c r="I85" i="185"/>
  <c r="H85" i="185"/>
  <c r="G85" i="185"/>
  <c r="F85" i="185"/>
  <c r="E85" i="185"/>
  <c r="D85" i="185"/>
  <c r="C85" i="185"/>
  <c r="L81" i="185"/>
  <c r="K81" i="185"/>
  <c r="J81" i="185"/>
  <c r="I81" i="185"/>
  <c r="H81" i="185"/>
  <c r="G81" i="185"/>
  <c r="F81" i="185"/>
  <c r="E81" i="185"/>
  <c r="D81" i="185"/>
  <c r="C81" i="185"/>
  <c r="L80" i="185"/>
  <c r="K80" i="185"/>
  <c r="J80" i="185"/>
  <c r="I80" i="185"/>
  <c r="H80" i="185"/>
  <c r="G80" i="185"/>
  <c r="F80" i="185"/>
  <c r="E80" i="185"/>
  <c r="D80" i="185"/>
  <c r="C80" i="185"/>
  <c r="L79" i="185"/>
  <c r="K79" i="185"/>
  <c r="J79" i="185"/>
  <c r="I79" i="185"/>
  <c r="H79" i="185"/>
  <c r="G79" i="185"/>
  <c r="F79" i="185"/>
  <c r="E79" i="185"/>
  <c r="D79" i="185"/>
  <c r="C79" i="185"/>
  <c r="L78" i="185"/>
  <c r="K78" i="185"/>
  <c r="J78" i="185"/>
  <c r="I78" i="185"/>
  <c r="H78" i="185"/>
  <c r="G78" i="185"/>
  <c r="F78" i="185"/>
  <c r="E78" i="185"/>
  <c r="D78" i="185"/>
  <c r="C78" i="185"/>
  <c r="L77" i="185"/>
  <c r="K77" i="185"/>
  <c r="J77" i="185"/>
  <c r="I77" i="185"/>
  <c r="H77" i="185"/>
  <c r="G77" i="185"/>
  <c r="F77" i="185"/>
  <c r="E77" i="185"/>
  <c r="D77" i="185"/>
  <c r="C77" i="185"/>
  <c r="L76" i="185"/>
  <c r="K76" i="185"/>
  <c r="J76" i="185"/>
  <c r="I76" i="185"/>
  <c r="H76" i="185"/>
  <c r="G76" i="185"/>
  <c r="F76" i="185"/>
  <c r="E76" i="185"/>
  <c r="D76" i="185"/>
  <c r="C76" i="185"/>
  <c r="L75" i="185"/>
  <c r="K75" i="185"/>
  <c r="J75" i="185"/>
  <c r="I75" i="185"/>
  <c r="H75" i="185"/>
  <c r="G75" i="185"/>
  <c r="F75" i="185"/>
  <c r="E75" i="185"/>
  <c r="D75" i="185"/>
  <c r="C75" i="185"/>
  <c r="L74" i="185"/>
  <c r="K74" i="185"/>
  <c r="J74" i="185"/>
  <c r="I74" i="185"/>
  <c r="H74" i="185"/>
  <c r="G74" i="185"/>
  <c r="F74" i="185"/>
  <c r="E74" i="185"/>
  <c r="D74" i="185"/>
  <c r="C74" i="185"/>
  <c r="L70" i="185"/>
  <c r="K70" i="185"/>
  <c r="J70" i="185"/>
  <c r="I70" i="185"/>
  <c r="H70" i="185"/>
  <c r="G70" i="185"/>
  <c r="F70" i="185"/>
  <c r="E70" i="185"/>
  <c r="D70" i="185"/>
  <c r="C70" i="185"/>
  <c r="L69" i="185"/>
  <c r="K69" i="185"/>
  <c r="J69" i="185"/>
  <c r="I69" i="185"/>
  <c r="H69" i="185"/>
  <c r="G69" i="185"/>
  <c r="F69" i="185"/>
  <c r="E69" i="185"/>
  <c r="D69" i="185"/>
  <c r="C69" i="185"/>
  <c r="L68" i="185"/>
  <c r="K68" i="185"/>
  <c r="J68" i="185"/>
  <c r="I68" i="185"/>
  <c r="H68" i="185"/>
  <c r="G68" i="185"/>
  <c r="F68" i="185"/>
  <c r="E68" i="185"/>
  <c r="D68" i="185"/>
  <c r="C68" i="185"/>
  <c r="L67" i="185"/>
  <c r="K67" i="185"/>
  <c r="J67" i="185"/>
  <c r="I67" i="185"/>
  <c r="H67" i="185"/>
  <c r="G67" i="185"/>
  <c r="F67" i="185"/>
  <c r="E67" i="185"/>
  <c r="D67" i="185"/>
  <c r="C67" i="185"/>
  <c r="L66" i="185"/>
  <c r="K66" i="185"/>
  <c r="J66" i="185"/>
  <c r="I66" i="185"/>
  <c r="H66" i="185"/>
  <c r="G66" i="185"/>
  <c r="F66" i="185"/>
  <c r="E66" i="185"/>
  <c r="D66" i="185"/>
  <c r="C66" i="185"/>
  <c r="L65" i="185"/>
  <c r="K65" i="185"/>
  <c r="J65" i="185"/>
  <c r="I65" i="185"/>
  <c r="H65" i="185"/>
  <c r="G65" i="185"/>
  <c r="F65" i="185"/>
  <c r="E65" i="185"/>
  <c r="D65" i="185"/>
  <c r="C65" i="185"/>
  <c r="L64" i="185"/>
  <c r="K64" i="185"/>
  <c r="J64" i="185"/>
  <c r="I64" i="185"/>
  <c r="H64" i="185"/>
  <c r="G64" i="185"/>
  <c r="F64" i="185"/>
  <c r="E64" i="185"/>
  <c r="D64" i="185"/>
  <c r="C64" i="185"/>
  <c r="L63" i="185"/>
  <c r="K63" i="185"/>
  <c r="J63" i="185"/>
  <c r="I63" i="185"/>
  <c r="H63" i="185"/>
  <c r="G63" i="185"/>
  <c r="F63" i="185"/>
  <c r="E63" i="185"/>
  <c r="D63" i="185"/>
  <c r="C63" i="185"/>
  <c r="L57" i="185"/>
  <c r="K57" i="185"/>
  <c r="J57" i="185"/>
  <c r="I57" i="185"/>
  <c r="H57" i="185"/>
  <c r="G57" i="185"/>
  <c r="F57" i="185"/>
  <c r="E57" i="185"/>
  <c r="D57" i="185"/>
  <c r="C57" i="185"/>
  <c r="L56" i="185"/>
  <c r="K56" i="185"/>
  <c r="J56" i="185"/>
  <c r="I56" i="185"/>
  <c r="H56" i="185"/>
  <c r="G56" i="185"/>
  <c r="F56" i="185"/>
  <c r="E56" i="185"/>
  <c r="D56" i="185"/>
  <c r="C56" i="185"/>
  <c r="I52" i="185"/>
  <c r="H52" i="185"/>
  <c r="G52" i="185"/>
  <c r="F52" i="185"/>
  <c r="E52" i="185"/>
  <c r="D52" i="185"/>
  <c r="C52" i="185"/>
  <c r="B52" i="185"/>
  <c r="I51" i="185"/>
  <c r="H51" i="185"/>
  <c r="G51" i="185"/>
  <c r="F51" i="185"/>
  <c r="E51" i="185"/>
  <c r="D51" i="185"/>
  <c r="C51" i="185"/>
  <c r="B51" i="185"/>
  <c r="J50" i="185"/>
  <c r="I50" i="185"/>
  <c r="H50" i="185"/>
  <c r="G50" i="185"/>
  <c r="F50" i="185"/>
  <c r="E50" i="185"/>
  <c r="D50" i="185"/>
  <c r="C50" i="185"/>
  <c r="B50" i="185"/>
  <c r="L44" i="185"/>
  <c r="K44" i="185"/>
  <c r="J44" i="185"/>
  <c r="I44" i="185"/>
  <c r="H44" i="185"/>
  <c r="G44" i="185"/>
  <c r="F44" i="185"/>
  <c r="E44" i="185"/>
  <c r="D44" i="185"/>
  <c r="C44" i="185"/>
  <c r="L43" i="185"/>
  <c r="K43" i="185"/>
  <c r="J43" i="185"/>
  <c r="I43" i="185"/>
  <c r="H43" i="185"/>
  <c r="G43" i="185"/>
  <c r="F43" i="185"/>
  <c r="E43" i="185"/>
  <c r="D43" i="185"/>
  <c r="C43" i="185"/>
  <c r="D41" i="185"/>
  <c r="C39" i="185"/>
  <c r="C35" i="185"/>
  <c r="B35" i="185"/>
  <c r="C34" i="185"/>
  <c r="B34" i="185"/>
  <c r="C33" i="185"/>
  <c r="B33" i="185"/>
  <c r="L29" i="185"/>
  <c r="K29" i="185"/>
  <c r="J29" i="185"/>
  <c r="I29" i="185"/>
  <c r="H29" i="185"/>
  <c r="G29" i="185"/>
  <c r="F29" i="185"/>
  <c r="E29" i="185"/>
  <c r="D29" i="185"/>
  <c r="C29" i="185"/>
  <c r="B29" i="185"/>
  <c r="L28" i="185"/>
  <c r="K28" i="185"/>
  <c r="J28" i="185"/>
  <c r="I28" i="185"/>
  <c r="H28" i="185"/>
  <c r="G28" i="185"/>
  <c r="F28" i="185"/>
  <c r="E28" i="185"/>
  <c r="D28" i="185"/>
  <c r="C28" i="185"/>
  <c r="B28" i="185"/>
  <c r="L27" i="185"/>
  <c r="K27" i="185"/>
  <c r="J27" i="185"/>
  <c r="I27" i="185"/>
  <c r="H27" i="185"/>
  <c r="G27" i="185"/>
  <c r="F27" i="185"/>
  <c r="E27" i="185"/>
  <c r="D27" i="185"/>
  <c r="C27" i="185"/>
  <c r="B27" i="185"/>
  <c r="L26" i="185"/>
  <c r="K26" i="185"/>
  <c r="J26" i="185"/>
  <c r="I26" i="185"/>
  <c r="H26" i="185"/>
  <c r="G26" i="185"/>
  <c r="F26" i="185"/>
  <c r="E26" i="185"/>
  <c r="D26" i="185"/>
  <c r="C26" i="185"/>
  <c r="C20" i="185"/>
  <c r="B20" i="185"/>
  <c r="L15" i="185"/>
  <c r="K15" i="185"/>
  <c r="J15" i="185"/>
  <c r="I15" i="185"/>
  <c r="H15" i="185"/>
  <c r="G15" i="185"/>
  <c r="F15" i="185"/>
  <c r="E15" i="185"/>
  <c r="D15" i="185"/>
  <c r="C15" i="185"/>
  <c r="B15" i="185"/>
  <c r="L14" i="185"/>
  <c r="K14" i="185"/>
  <c r="J14" i="185"/>
  <c r="I14" i="185"/>
  <c r="H14" i="185"/>
  <c r="G14" i="185"/>
  <c r="F14" i="185"/>
  <c r="E14" i="185"/>
  <c r="D14" i="185"/>
  <c r="C14" i="185"/>
  <c r="A10" i="185"/>
  <c r="A1" i="185"/>
  <c r="G49" i="184"/>
  <c r="F49" i="184"/>
  <c r="E49" i="184"/>
  <c r="D49" i="184"/>
  <c r="C49" i="184"/>
  <c r="B49" i="184"/>
  <c r="G48" i="184"/>
  <c r="F48" i="184"/>
  <c r="E48" i="184"/>
  <c r="D48" i="184"/>
  <c r="C48" i="184"/>
  <c r="B48" i="184"/>
  <c r="G47" i="184"/>
  <c r="F47" i="184"/>
  <c r="E47" i="184"/>
  <c r="D47" i="184"/>
  <c r="C47" i="184"/>
  <c r="B47" i="184"/>
  <c r="F46" i="184"/>
  <c r="E46" i="184"/>
  <c r="D46" i="184"/>
  <c r="C46" i="184"/>
  <c r="B46" i="184"/>
  <c r="F42" i="184"/>
  <c r="E42" i="184"/>
  <c r="D42" i="184"/>
  <c r="C42" i="184"/>
  <c r="B42" i="184"/>
  <c r="F41" i="184"/>
  <c r="E41" i="184"/>
  <c r="D41" i="184"/>
  <c r="C41" i="184"/>
  <c r="B41" i="184"/>
  <c r="F40" i="184"/>
  <c r="E40" i="184"/>
  <c r="D40" i="184"/>
  <c r="C40" i="184"/>
  <c r="B40" i="184"/>
  <c r="F39" i="184"/>
  <c r="E39" i="184"/>
  <c r="D39" i="184"/>
  <c r="C39" i="184"/>
  <c r="C38" i="184"/>
  <c r="B38" i="184"/>
  <c r="F34" i="184"/>
  <c r="E34" i="184"/>
  <c r="D34" i="184"/>
  <c r="C34" i="184"/>
  <c r="A34" i="184"/>
  <c r="F33" i="184"/>
  <c r="E33" i="184"/>
  <c r="D33" i="184"/>
  <c r="C33" i="184"/>
  <c r="B33" i="184"/>
  <c r="F32" i="184"/>
  <c r="E32" i="184"/>
  <c r="D32" i="184"/>
  <c r="C32" i="184"/>
  <c r="B32" i="184"/>
  <c r="F31" i="184"/>
  <c r="E31" i="184"/>
  <c r="D31" i="184"/>
  <c r="C31" i="184"/>
  <c r="B31" i="184"/>
  <c r="F30" i="184"/>
  <c r="E30" i="184"/>
  <c r="D30" i="184"/>
  <c r="C30" i="184"/>
  <c r="B30" i="184"/>
  <c r="F29" i="184"/>
  <c r="E29" i="184"/>
  <c r="D29" i="184"/>
  <c r="C29" i="184"/>
  <c r="B28" i="184"/>
  <c r="F24" i="184"/>
  <c r="E24" i="184"/>
  <c r="D24" i="184"/>
  <c r="C24" i="184"/>
  <c r="A24" i="184"/>
  <c r="F23" i="184"/>
  <c r="E23" i="184"/>
  <c r="D23" i="184"/>
  <c r="C23" i="184"/>
  <c r="B23" i="184"/>
  <c r="F22" i="184"/>
  <c r="E22" i="184"/>
  <c r="D22" i="184"/>
  <c r="C22" i="184"/>
  <c r="B22" i="184"/>
  <c r="F21" i="184"/>
  <c r="E21" i="184"/>
  <c r="D21" i="184"/>
  <c r="C21" i="184"/>
  <c r="B21" i="184"/>
  <c r="F20" i="184"/>
  <c r="E20" i="184"/>
  <c r="D20" i="184"/>
  <c r="C20" i="184"/>
  <c r="B20" i="184"/>
  <c r="F19" i="184"/>
  <c r="E19" i="184"/>
  <c r="D19" i="184"/>
  <c r="C19" i="184"/>
  <c r="B18" i="184"/>
  <c r="A10" i="184"/>
  <c r="A1" i="184"/>
  <c r="G49" i="183"/>
  <c r="F49" i="183"/>
  <c r="E49" i="183"/>
  <c r="D49" i="183"/>
  <c r="C49" i="183"/>
  <c r="B49" i="183"/>
  <c r="G48" i="183"/>
  <c r="F48" i="183"/>
  <c r="E48" i="183"/>
  <c r="D48" i="183"/>
  <c r="C48" i="183"/>
  <c r="B48" i="183"/>
  <c r="G47" i="183"/>
  <c r="F47" i="183"/>
  <c r="E47" i="183"/>
  <c r="D47" i="183"/>
  <c r="C47" i="183"/>
  <c r="B47" i="183"/>
  <c r="F46" i="183"/>
  <c r="E46" i="183"/>
  <c r="D46" i="183"/>
  <c r="C46" i="183"/>
  <c r="B46" i="183"/>
  <c r="F42" i="183"/>
  <c r="E42" i="183"/>
  <c r="D42" i="183"/>
  <c r="C42" i="183"/>
  <c r="B42" i="183"/>
  <c r="F41" i="183"/>
  <c r="E41" i="183"/>
  <c r="D41" i="183"/>
  <c r="C41" i="183"/>
  <c r="B41" i="183"/>
  <c r="F40" i="183"/>
  <c r="E40" i="183"/>
  <c r="D40" i="183"/>
  <c r="C40" i="183"/>
  <c r="B40" i="183"/>
  <c r="F39" i="183"/>
  <c r="E39" i="183"/>
  <c r="D39" i="183"/>
  <c r="C39" i="183"/>
  <c r="C38" i="183"/>
  <c r="B38" i="183"/>
  <c r="F34" i="183"/>
  <c r="E34" i="183"/>
  <c r="D34" i="183"/>
  <c r="C34" i="183"/>
  <c r="A34" i="183"/>
  <c r="F33" i="183"/>
  <c r="E33" i="183"/>
  <c r="D33" i="183"/>
  <c r="C33" i="183"/>
  <c r="B33" i="183"/>
  <c r="F32" i="183"/>
  <c r="E32" i="183"/>
  <c r="D32" i="183"/>
  <c r="C32" i="183"/>
  <c r="B32" i="183"/>
  <c r="F31" i="183"/>
  <c r="E31" i="183"/>
  <c r="D31" i="183"/>
  <c r="C31" i="183"/>
  <c r="B31" i="183"/>
  <c r="F30" i="183"/>
  <c r="E30" i="183"/>
  <c r="D30" i="183"/>
  <c r="C30" i="183"/>
  <c r="B30" i="183"/>
  <c r="F29" i="183"/>
  <c r="E29" i="183"/>
  <c r="D29" i="183"/>
  <c r="C29" i="183"/>
  <c r="B28" i="183"/>
  <c r="F24" i="183"/>
  <c r="E24" i="183"/>
  <c r="D24" i="183"/>
  <c r="C24" i="183"/>
  <c r="A24" i="183"/>
  <c r="F23" i="183"/>
  <c r="E23" i="183"/>
  <c r="D23" i="183"/>
  <c r="C23" i="183"/>
  <c r="B23" i="183"/>
  <c r="F22" i="183"/>
  <c r="E22" i="183"/>
  <c r="D22" i="183"/>
  <c r="C22" i="183"/>
  <c r="B22" i="183"/>
  <c r="F21" i="183"/>
  <c r="E21" i="183"/>
  <c r="D21" i="183"/>
  <c r="C21" i="183"/>
  <c r="B21" i="183"/>
  <c r="F20" i="183"/>
  <c r="E20" i="183"/>
  <c r="D20" i="183"/>
  <c r="C20" i="183"/>
  <c r="B20" i="183"/>
  <c r="F19" i="183"/>
  <c r="E19" i="183"/>
  <c r="D19" i="183"/>
  <c r="C19" i="183"/>
  <c r="B18" i="183"/>
  <c r="A10" i="183"/>
  <c r="A1" i="183"/>
  <c r="G52" i="182"/>
  <c r="F52" i="182"/>
  <c r="E52" i="182"/>
  <c r="D52" i="182"/>
  <c r="C52" i="182"/>
  <c r="B52" i="182"/>
  <c r="G51" i="182"/>
  <c r="F51" i="182"/>
  <c r="E51" i="182"/>
  <c r="D51" i="182"/>
  <c r="C51" i="182"/>
  <c r="B51" i="182"/>
  <c r="G50" i="182"/>
  <c r="F50" i="182"/>
  <c r="E50" i="182"/>
  <c r="D50" i="182"/>
  <c r="C50" i="182"/>
  <c r="B50" i="182"/>
  <c r="G49" i="182"/>
  <c r="F49" i="182"/>
  <c r="E49" i="182"/>
  <c r="D49" i="182"/>
  <c r="C49" i="182"/>
  <c r="B49" i="182"/>
  <c r="F47" i="182"/>
  <c r="E47" i="182"/>
  <c r="D47" i="182"/>
  <c r="C47" i="182"/>
  <c r="B47" i="182"/>
  <c r="F43" i="182"/>
  <c r="E43" i="182"/>
  <c r="D43" i="182"/>
  <c r="C43" i="182"/>
  <c r="F42" i="182"/>
  <c r="E42" i="182"/>
  <c r="D42" i="182"/>
  <c r="C42" i="182"/>
  <c r="B42" i="182"/>
  <c r="F41" i="182"/>
  <c r="E41" i="182"/>
  <c r="D41" i="182"/>
  <c r="C41" i="182"/>
  <c r="B41" i="182"/>
  <c r="F40" i="182"/>
  <c r="E40" i="182"/>
  <c r="D40" i="182"/>
  <c r="C40" i="182"/>
  <c r="B40" i="182"/>
  <c r="F39" i="182"/>
  <c r="E39" i="182"/>
  <c r="D39" i="182"/>
  <c r="C39" i="182"/>
  <c r="C38" i="182"/>
  <c r="B38" i="182"/>
  <c r="F34" i="182"/>
  <c r="E34" i="182"/>
  <c r="D34" i="182"/>
  <c r="C34" i="182"/>
  <c r="A34" i="182"/>
  <c r="F33" i="182"/>
  <c r="E33" i="182"/>
  <c r="D33" i="182"/>
  <c r="C33" i="182"/>
  <c r="F32" i="182"/>
  <c r="E32" i="182"/>
  <c r="D32" i="182"/>
  <c r="C32" i="182"/>
  <c r="B32" i="182"/>
  <c r="F31" i="182"/>
  <c r="E31" i="182"/>
  <c r="D31" i="182"/>
  <c r="C31" i="182"/>
  <c r="B31" i="182"/>
  <c r="F30" i="182"/>
  <c r="E30" i="182"/>
  <c r="D30" i="182"/>
  <c r="C30" i="182"/>
  <c r="B30" i="182"/>
  <c r="F29" i="182"/>
  <c r="E29" i="182"/>
  <c r="D29" i="182"/>
  <c r="C29" i="182"/>
  <c r="B28" i="182"/>
  <c r="F24" i="182"/>
  <c r="E24" i="182"/>
  <c r="D24" i="182"/>
  <c r="C24" i="182"/>
  <c r="B24" i="182"/>
  <c r="F23" i="182"/>
  <c r="E23" i="182"/>
  <c r="D23" i="182"/>
  <c r="C23" i="182"/>
  <c r="B23" i="182"/>
  <c r="F22" i="182"/>
  <c r="E22" i="182"/>
  <c r="D22" i="182"/>
  <c r="C22" i="182"/>
  <c r="B22" i="182"/>
  <c r="F21" i="182"/>
  <c r="E21" i="182"/>
  <c r="D21" i="182"/>
  <c r="C21" i="182"/>
  <c r="B20" i="182"/>
  <c r="A10" i="182"/>
  <c r="A1" i="182"/>
  <c r="G51" i="181"/>
  <c r="F51" i="181"/>
  <c r="E51" i="181"/>
  <c r="D51" i="181"/>
  <c r="C51" i="181"/>
  <c r="B51" i="181"/>
  <c r="G50" i="181"/>
  <c r="F50" i="181"/>
  <c r="E50" i="181"/>
  <c r="D50" i="181"/>
  <c r="C50" i="181"/>
  <c r="B50" i="181"/>
  <c r="G49" i="181"/>
  <c r="F49" i="181"/>
  <c r="E49" i="181"/>
  <c r="D49" i="181"/>
  <c r="C49" i="181"/>
  <c r="B49" i="181"/>
  <c r="G48" i="181"/>
  <c r="F48" i="181"/>
  <c r="E48" i="181"/>
  <c r="D48" i="181"/>
  <c r="C48" i="181"/>
  <c r="B48" i="181"/>
  <c r="F47" i="181"/>
  <c r="E47" i="181"/>
  <c r="D47" i="181"/>
  <c r="C47" i="181"/>
  <c r="B47" i="181"/>
  <c r="F43" i="181"/>
  <c r="E43" i="181"/>
  <c r="D43" i="181"/>
  <c r="C43" i="181"/>
  <c r="F42" i="181"/>
  <c r="E42" i="181"/>
  <c r="D42" i="181"/>
  <c r="C42" i="181"/>
  <c r="B42" i="181"/>
  <c r="F41" i="181"/>
  <c r="E41" i="181"/>
  <c r="D41" i="181"/>
  <c r="C41" i="181"/>
  <c r="B41" i="181"/>
  <c r="F40" i="181"/>
  <c r="E40" i="181"/>
  <c r="D40" i="181"/>
  <c r="C40" i="181"/>
  <c r="B40" i="181"/>
  <c r="F39" i="181"/>
  <c r="E39" i="181"/>
  <c r="D39" i="181"/>
  <c r="C39" i="181"/>
  <c r="C38" i="181"/>
  <c r="B38" i="181"/>
  <c r="F34" i="181"/>
  <c r="E34" i="181"/>
  <c r="D34" i="181"/>
  <c r="C34" i="181"/>
  <c r="A34" i="181"/>
  <c r="F33" i="181"/>
  <c r="E33" i="181"/>
  <c r="D33" i="181"/>
  <c r="C33" i="181"/>
  <c r="F32" i="181"/>
  <c r="E32" i="181"/>
  <c r="D32" i="181"/>
  <c r="C32" i="181"/>
  <c r="B32" i="181"/>
  <c r="F31" i="181"/>
  <c r="E31" i="181"/>
  <c r="D31" i="181"/>
  <c r="C31" i="181"/>
  <c r="B31" i="181"/>
  <c r="F30" i="181"/>
  <c r="E30" i="181"/>
  <c r="D30" i="181"/>
  <c r="C30" i="181"/>
  <c r="B30" i="181"/>
  <c r="F29" i="181"/>
  <c r="E29" i="181"/>
  <c r="D29" i="181"/>
  <c r="C29" i="181"/>
  <c r="B28" i="181"/>
  <c r="F24" i="181"/>
  <c r="E24" i="181"/>
  <c r="D24" i="181"/>
  <c r="C24" i="181"/>
  <c r="B24" i="181"/>
  <c r="F23" i="181"/>
  <c r="E23" i="181"/>
  <c r="D23" i="181"/>
  <c r="C23" i="181"/>
  <c r="B23" i="181"/>
  <c r="F22" i="181"/>
  <c r="E22" i="181"/>
  <c r="D22" i="181"/>
  <c r="C22" i="181"/>
  <c r="B22" i="181"/>
  <c r="F21" i="181"/>
  <c r="E21" i="181"/>
  <c r="D21" i="181"/>
  <c r="C21" i="181"/>
  <c r="B20" i="181"/>
  <c r="A10" i="181"/>
  <c r="A1" i="181"/>
  <c r="N85" i="128"/>
  <c r="M85" i="128"/>
  <c r="L85" i="128"/>
  <c r="K85" i="128"/>
  <c r="J85" i="128"/>
  <c r="I85" i="128"/>
  <c r="H85" i="128"/>
  <c r="G85" i="128"/>
  <c r="F85" i="128"/>
  <c r="E85" i="128"/>
  <c r="D85" i="128"/>
  <c r="C85" i="128"/>
  <c r="N84" i="128"/>
  <c r="M84" i="128"/>
  <c r="L84" i="128"/>
  <c r="K84" i="128"/>
  <c r="J84" i="128"/>
  <c r="I84" i="128"/>
  <c r="H84" i="128"/>
  <c r="G84" i="128"/>
  <c r="F84" i="128"/>
  <c r="E84" i="128"/>
  <c r="D84" i="128"/>
  <c r="C84" i="128"/>
  <c r="B84" i="128"/>
  <c r="N83" i="128"/>
  <c r="M83" i="128"/>
  <c r="L83" i="128"/>
  <c r="K83" i="128"/>
  <c r="J83" i="128"/>
  <c r="I83" i="128"/>
  <c r="H83" i="128"/>
  <c r="G83" i="128"/>
  <c r="F83" i="128"/>
  <c r="E83" i="128"/>
  <c r="D83" i="128"/>
  <c r="C83" i="128"/>
  <c r="B83" i="128"/>
  <c r="N82" i="128"/>
  <c r="M82" i="128"/>
  <c r="L82" i="128"/>
  <c r="K82" i="128"/>
  <c r="J82" i="128"/>
  <c r="I82" i="128"/>
  <c r="H82" i="128"/>
  <c r="G82" i="128"/>
  <c r="F82" i="128"/>
  <c r="E82" i="128"/>
  <c r="D82" i="128"/>
  <c r="C82" i="128"/>
  <c r="B82" i="128"/>
  <c r="N81" i="128"/>
  <c r="M81" i="128"/>
  <c r="L81" i="128"/>
  <c r="K81" i="128"/>
  <c r="J81" i="128"/>
  <c r="I81" i="128"/>
  <c r="H81" i="128"/>
  <c r="G81" i="128"/>
  <c r="F81" i="128"/>
  <c r="E81" i="128"/>
  <c r="D81" i="128"/>
  <c r="C81" i="128"/>
  <c r="B81" i="128"/>
  <c r="N80" i="128"/>
  <c r="M80" i="128"/>
  <c r="L80" i="128"/>
  <c r="K80" i="128"/>
  <c r="J80" i="128"/>
  <c r="I80" i="128"/>
  <c r="H80" i="128"/>
  <c r="G80" i="128"/>
  <c r="F80" i="128"/>
  <c r="E80" i="128"/>
  <c r="D80" i="128"/>
  <c r="C80" i="128"/>
  <c r="B80" i="128"/>
  <c r="N79" i="128"/>
  <c r="M79" i="128"/>
  <c r="L79" i="128"/>
  <c r="K79" i="128"/>
  <c r="J79" i="128"/>
  <c r="I79" i="128"/>
  <c r="H79" i="128"/>
  <c r="G79" i="128"/>
  <c r="F79" i="128"/>
  <c r="E79" i="128"/>
  <c r="D79" i="128"/>
  <c r="C79" i="128"/>
  <c r="B79" i="128"/>
  <c r="N78" i="128"/>
  <c r="M78" i="128"/>
  <c r="L78" i="128"/>
  <c r="K78" i="128"/>
  <c r="J78" i="128"/>
  <c r="I78" i="128"/>
  <c r="H78" i="128"/>
  <c r="G78" i="128"/>
  <c r="F78" i="128"/>
  <c r="E78" i="128"/>
  <c r="D78" i="128"/>
  <c r="C78" i="128"/>
  <c r="B78" i="128"/>
  <c r="N77" i="128"/>
  <c r="M77" i="128"/>
  <c r="L77" i="128"/>
  <c r="K77" i="128"/>
  <c r="J77" i="128"/>
  <c r="I77" i="128"/>
  <c r="H77" i="128"/>
  <c r="G77" i="128"/>
  <c r="F77" i="128"/>
  <c r="E77" i="128"/>
  <c r="D77" i="128"/>
  <c r="C77" i="128"/>
  <c r="B77" i="128"/>
  <c r="N76" i="128"/>
  <c r="M76" i="128"/>
  <c r="L76" i="128"/>
  <c r="K76" i="128"/>
  <c r="J76" i="128"/>
  <c r="I76" i="128"/>
  <c r="H76" i="128"/>
  <c r="G76" i="128"/>
  <c r="F76" i="128"/>
  <c r="E76" i="128"/>
  <c r="D76" i="128"/>
  <c r="C76" i="128"/>
  <c r="B76" i="128"/>
  <c r="N75" i="128"/>
  <c r="M75" i="128"/>
  <c r="L75" i="128"/>
  <c r="K75" i="128"/>
  <c r="J75" i="128"/>
  <c r="I75" i="128"/>
  <c r="H75" i="128"/>
  <c r="G75" i="128"/>
  <c r="F75" i="128"/>
  <c r="E75" i="128"/>
  <c r="D75" i="128"/>
  <c r="C75" i="128"/>
  <c r="B75" i="128"/>
  <c r="N74" i="128"/>
  <c r="M74" i="128"/>
  <c r="L74" i="128"/>
  <c r="K74" i="128"/>
  <c r="J74" i="128"/>
  <c r="I74" i="128"/>
  <c r="H74" i="128"/>
  <c r="G74" i="128"/>
  <c r="F74" i="128"/>
  <c r="E74" i="128"/>
  <c r="D74" i="128"/>
  <c r="C74" i="128"/>
  <c r="B74" i="128"/>
  <c r="N73" i="128"/>
  <c r="M73" i="128"/>
  <c r="L73" i="128"/>
  <c r="K73" i="128"/>
  <c r="J73" i="128"/>
  <c r="I73" i="128"/>
  <c r="H73" i="128"/>
  <c r="G73" i="128"/>
  <c r="F73" i="128"/>
  <c r="E73" i="128"/>
  <c r="D73" i="128"/>
  <c r="C73" i="128"/>
  <c r="B73" i="128"/>
  <c r="N72" i="128"/>
  <c r="M72" i="128"/>
  <c r="L72" i="128"/>
  <c r="K72" i="128"/>
  <c r="J72" i="128"/>
  <c r="I72" i="128"/>
  <c r="H72" i="128"/>
  <c r="G72" i="128"/>
  <c r="F72" i="128"/>
  <c r="E72" i="128"/>
  <c r="D72" i="128"/>
  <c r="C72" i="128"/>
  <c r="B72" i="128"/>
  <c r="N71" i="128"/>
  <c r="M71" i="128"/>
  <c r="L71" i="128"/>
  <c r="K71" i="128"/>
  <c r="J71" i="128"/>
  <c r="I71" i="128"/>
  <c r="H71" i="128"/>
  <c r="G71" i="128"/>
  <c r="F71" i="128"/>
  <c r="E71" i="128"/>
  <c r="D71" i="128"/>
  <c r="C71" i="128"/>
  <c r="B71" i="128"/>
  <c r="N70" i="128"/>
  <c r="M70" i="128"/>
  <c r="L70" i="128"/>
  <c r="K70" i="128"/>
  <c r="J70" i="128"/>
  <c r="I70" i="128"/>
  <c r="H70" i="128"/>
  <c r="G70" i="128"/>
  <c r="F70" i="128"/>
  <c r="E70" i="128"/>
  <c r="D70" i="128"/>
  <c r="C70" i="128"/>
  <c r="B70" i="128"/>
  <c r="N69" i="128"/>
  <c r="M69" i="128"/>
  <c r="L69" i="128"/>
  <c r="K69" i="128"/>
  <c r="J69" i="128"/>
  <c r="I69" i="128"/>
  <c r="H69" i="128"/>
  <c r="G69" i="128"/>
  <c r="F69" i="128"/>
  <c r="E69" i="128"/>
  <c r="D69" i="128"/>
  <c r="C69" i="128"/>
  <c r="B69" i="128"/>
  <c r="N68" i="128"/>
  <c r="M68" i="128"/>
  <c r="L68" i="128"/>
  <c r="K68" i="128"/>
  <c r="J68" i="128"/>
  <c r="I68" i="128"/>
  <c r="H68" i="128"/>
  <c r="G68" i="128"/>
  <c r="F68" i="128"/>
  <c r="E68" i="128"/>
  <c r="D68" i="128"/>
  <c r="C68" i="128"/>
  <c r="B68" i="128"/>
  <c r="N67" i="128"/>
  <c r="M67" i="128"/>
  <c r="L67" i="128"/>
  <c r="K67" i="128"/>
  <c r="J67" i="128"/>
  <c r="I67" i="128"/>
  <c r="H67" i="128"/>
  <c r="G67" i="128"/>
  <c r="F67" i="128"/>
  <c r="E67" i="128"/>
  <c r="D67" i="128"/>
  <c r="C67" i="128"/>
  <c r="B67" i="128"/>
  <c r="N66" i="128"/>
  <c r="M66" i="128"/>
  <c r="L66" i="128"/>
  <c r="K66" i="128"/>
  <c r="J66" i="128"/>
  <c r="I66" i="128"/>
  <c r="H66" i="128"/>
  <c r="G66" i="128"/>
  <c r="F66" i="128"/>
  <c r="E66" i="128"/>
  <c r="D66" i="128"/>
  <c r="C66" i="128"/>
  <c r="B66" i="128"/>
  <c r="N65" i="128"/>
  <c r="M65" i="128"/>
  <c r="L65" i="128"/>
  <c r="K65" i="128"/>
  <c r="J65" i="128"/>
  <c r="I65" i="128"/>
  <c r="H65" i="128"/>
  <c r="G65" i="128"/>
  <c r="F65" i="128"/>
  <c r="E65" i="128"/>
  <c r="D65" i="128"/>
  <c r="C65" i="128"/>
  <c r="B65" i="128"/>
  <c r="N64" i="128"/>
  <c r="M64" i="128"/>
  <c r="L64" i="128"/>
  <c r="K64" i="128"/>
  <c r="J64" i="128"/>
  <c r="I64" i="128"/>
  <c r="H64" i="128"/>
  <c r="G64" i="128"/>
  <c r="F64" i="128"/>
  <c r="E64" i="128"/>
  <c r="D64" i="128"/>
  <c r="C64" i="128"/>
  <c r="D60" i="128"/>
  <c r="C60" i="128"/>
  <c r="D59" i="128"/>
  <c r="C59" i="128"/>
  <c r="B59" i="128"/>
  <c r="D58" i="128"/>
  <c r="C58" i="128"/>
  <c r="B58" i="128"/>
  <c r="D57" i="128"/>
  <c r="C57" i="128"/>
  <c r="B57" i="128"/>
  <c r="D56" i="128"/>
  <c r="C56" i="128"/>
  <c r="B56" i="128"/>
  <c r="D55" i="128"/>
  <c r="C55" i="128"/>
  <c r="B55" i="128"/>
  <c r="D54" i="128"/>
  <c r="C54" i="128"/>
  <c r="B54" i="128"/>
  <c r="D53" i="128"/>
  <c r="C53" i="128"/>
  <c r="B53" i="128"/>
  <c r="D52" i="128"/>
  <c r="C52" i="128"/>
  <c r="B52" i="128"/>
  <c r="D51" i="128"/>
  <c r="C51" i="128"/>
  <c r="B51" i="128"/>
  <c r="D50" i="128"/>
  <c r="C50" i="128"/>
  <c r="B50" i="128"/>
  <c r="D49" i="128"/>
  <c r="C49" i="128"/>
  <c r="B49" i="128"/>
  <c r="D48" i="128"/>
  <c r="C48" i="128"/>
  <c r="B48" i="128"/>
  <c r="D47" i="128"/>
  <c r="C47" i="128"/>
  <c r="B47" i="128"/>
  <c r="D46" i="128"/>
  <c r="C46" i="128"/>
  <c r="B46" i="128"/>
  <c r="D45" i="128"/>
  <c r="C45" i="128"/>
  <c r="B45" i="128"/>
  <c r="D44" i="128"/>
  <c r="C44" i="128"/>
  <c r="B44" i="128"/>
  <c r="D43" i="128"/>
  <c r="C43" i="128"/>
  <c r="B43" i="128"/>
  <c r="D42" i="128"/>
  <c r="C42" i="128"/>
  <c r="B42" i="128"/>
  <c r="D41" i="128"/>
  <c r="C41" i="128"/>
  <c r="B41" i="128"/>
  <c r="D40" i="128"/>
  <c r="C40" i="128"/>
  <c r="B40" i="128"/>
  <c r="N35" i="128"/>
  <c r="M35" i="128"/>
  <c r="L35" i="128"/>
  <c r="K35" i="128"/>
  <c r="J35" i="128"/>
  <c r="I35" i="128"/>
  <c r="H35" i="128"/>
  <c r="G35" i="128"/>
  <c r="F35" i="128"/>
  <c r="E35" i="128"/>
  <c r="D35" i="128"/>
  <c r="C35" i="128"/>
  <c r="B35" i="128"/>
  <c r="N34" i="128"/>
  <c r="M34" i="128"/>
  <c r="L34" i="128"/>
  <c r="K34" i="128"/>
  <c r="J34" i="128"/>
  <c r="I34" i="128"/>
  <c r="H34" i="128"/>
  <c r="G34" i="128"/>
  <c r="F34" i="128"/>
  <c r="E34" i="128"/>
  <c r="D34" i="128"/>
  <c r="C34" i="128"/>
  <c r="B34" i="128"/>
  <c r="N33" i="128"/>
  <c r="M33" i="128"/>
  <c r="L33" i="128"/>
  <c r="K33" i="128"/>
  <c r="J33" i="128"/>
  <c r="I33" i="128"/>
  <c r="H33" i="128"/>
  <c r="G33" i="128"/>
  <c r="F33" i="128"/>
  <c r="E33" i="128"/>
  <c r="D33" i="128"/>
  <c r="C33" i="128"/>
  <c r="B33" i="128"/>
  <c r="N32" i="128"/>
  <c r="M32" i="128"/>
  <c r="L32" i="128"/>
  <c r="K32" i="128"/>
  <c r="J32" i="128"/>
  <c r="I32" i="128"/>
  <c r="H32" i="128"/>
  <c r="G32" i="128"/>
  <c r="F32" i="128"/>
  <c r="E32" i="128"/>
  <c r="D32" i="128"/>
  <c r="C32" i="128"/>
  <c r="B32" i="128"/>
  <c r="N31" i="128"/>
  <c r="M31" i="128"/>
  <c r="L31" i="128"/>
  <c r="K31" i="128"/>
  <c r="J31" i="128"/>
  <c r="I31" i="128"/>
  <c r="H31" i="128"/>
  <c r="G31" i="128"/>
  <c r="F31" i="128"/>
  <c r="E31" i="128"/>
  <c r="D31" i="128"/>
  <c r="C31" i="128"/>
  <c r="B31" i="128"/>
  <c r="N30" i="128"/>
  <c r="M30" i="128"/>
  <c r="L30" i="128"/>
  <c r="K30" i="128"/>
  <c r="J30" i="128"/>
  <c r="I30" i="128"/>
  <c r="H30" i="128"/>
  <c r="G30" i="128"/>
  <c r="F30" i="128"/>
  <c r="E30" i="128"/>
  <c r="D30" i="128"/>
  <c r="C30" i="128"/>
  <c r="B30" i="128"/>
  <c r="N29" i="128"/>
  <c r="M29" i="128"/>
  <c r="L29" i="128"/>
  <c r="K29" i="128"/>
  <c r="J29" i="128"/>
  <c r="I29" i="128"/>
  <c r="H29" i="128"/>
  <c r="G29" i="128"/>
  <c r="F29" i="128"/>
  <c r="E29" i="128"/>
  <c r="D29" i="128"/>
  <c r="C29" i="128"/>
  <c r="B29" i="128"/>
  <c r="N28" i="128"/>
  <c r="M28" i="128"/>
  <c r="L28" i="128"/>
  <c r="K28" i="128"/>
  <c r="J28" i="128"/>
  <c r="I28" i="128"/>
  <c r="H28" i="128"/>
  <c r="G28" i="128"/>
  <c r="F28" i="128"/>
  <c r="E28" i="128"/>
  <c r="D28" i="128"/>
  <c r="C28" i="128"/>
  <c r="B28" i="128"/>
  <c r="N27" i="128"/>
  <c r="M27" i="128"/>
  <c r="L27" i="128"/>
  <c r="K27" i="128"/>
  <c r="J27" i="128"/>
  <c r="I27" i="128"/>
  <c r="H27" i="128"/>
  <c r="G27" i="128"/>
  <c r="F27" i="128"/>
  <c r="E27" i="128"/>
  <c r="D27" i="128"/>
  <c r="C27" i="128"/>
  <c r="B27" i="128"/>
  <c r="N26" i="128"/>
  <c r="M26" i="128"/>
  <c r="L26" i="128"/>
  <c r="K26" i="128"/>
  <c r="J26" i="128"/>
  <c r="I26" i="128"/>
  <c r="H26" i="128"/>
  <c r="G26" i="128"/>
  <c r="F26" i="128"/>
  <c r="E26" i="128"/>
  <c r="D26" i="128"/>
  <c r="C26" i="128"/>
  <c r="B26" i="128"/>
  <c r="N25" i="128"/>
  <c r="M25" i="128"/>
  <c r="L25" i="128"/>
  <c r="K25" i="128"/>
  <c r="J25" i="128"/>
  <c r="I25" i="128"/>
  <c r="H25" i="128"/>
  <c r="G25" i="128"/>
  <c r="F25" i="128"/>
  <c r="E25" i="128"/>
  <c r="D25" i="128"/>
  <c r="C25" i="128"/>
  <c r="B25" i="128"/>
  <c r="N24" i="128"/>
  <c r="M24" i="128"/>
  <c r="L24" i="128"/>
  <c r="K24" i="128"/>
  <c r="J24" i="128"/>
  <c r="I24" i="128"/>
  <c r="H24" i="128"/>
  <c r="G24" i="128"/>
  <c r="F24" i="128"/>
  <c r="E24" i="128"/>
  <c r="D24" i="128"/>
  <c r="C24" i="128"/>
  <c r="B24" i="128"/>
  <c r="N23" i="128"/>
  <c r="M23" i="128"/>
  <c r="L23" i="128"/>
  <c r="K23" i="128"/>
  <c r="J23" i="128"/>
  <c r="I23" i="128"/>
  <c r="H23" i="128"/>
  <c r="G23" i="128"/>
  <c r="F23" i="128"/>
  <c r="E23" i="128"/>
  <c r="D23" i="128"/>
  <c r="C23" i="128"/>
  <c r="B23" i="128"/>
  <c r="N22" i="128"/>
  <c r="M22" i="128"/>
  <c r="L22" i="128"/>
  <c r="K22" i="128"/>
  <c r="J22" i="128"/>
  <c r="I22" i="128"/>
  <c r="H22" i="128"/>
  <c r="G22" i="128"/>
  <c r="F22" i="128"/>
  <c r="E22" i="128"/>
  <c r="D22" i="128"/>
  <c r="C22" i="128"/>
  <c r="B22" i="128"/>
  <c r="N21" i="128"/>
  <c r="M21" i="128"/>
  <c r="L21" i="128"/>
  <c r="K21" i="128"/>
  <c r="J21" i="128"/>
  <c r="I21" i="128"/>
  <c r="H21" i="128"/>
  <c r="G21" i="128"/>
  <c r="F21" i="128"/>
  <c r="E21" i="128"/>
  <c r="D21" i="128"/>
  <c r="C21" i="128"/>
  <c r="B21" i="128"/>
  <c r="N20" i="128"/>
  <c r="M20" i="128"/>
  <c r="L20" i="128"/>
  <c r="K20" i="128"/>
  <c r="J20" i="128"/>
  <c r="I20" i="128"/>
  <c r="H20" i="128"/>
  <c r="G20" i="128"/>
  <c r="F20" i="128"/>
  <c r="E20" i="128"/>
  <c r="D20" i="128"/>
  <c r="C20" i="128"/>
  <c r="B20" i="128"/>
  <c r="N19" i="128"/>
  <c r="M19" i="128"/>
  <c r="L19" i="128"/>
  <c r="K19" i="128"/>
  <c r="J19" i="128"/>
  <c r="I19" i="128"/>
  <c r="H19" i="128"/>
  <c r="G19" i="128"/>
  <c r="F19" i="128"/>
  <c r="E19" i="128"/>
  <c r="D19" i="128"/>
  <c r="C19" i="128"/>
  <c r="B19" i="128"/>
  <c r="N18" i="128"/>
  <c r="M18" i="128"/>
  <c r="L18" i="128"/>
  <c r="K18" i="128"/>
  <c r="J18" i="128"/>
  <c r="I18" i="128"/>
  <c r="H18" i="128"/>
  <c r="G18" i="128"/>
  <c r="F18" i="128"/>
  <c r="E18" i="128"/>
  <c r="D18" i="128"/>
  <c r="C18" i="128"/>
  <c r="B18" i="128"/>
  <c r="N17" i="128"/>
  <c r="M17" i="128"/>
  <c r="L17" i="128"/>
  <c r="K17" i="128"/>
  <c r="J17" i="128"/>
  <c r="I17" i="128"/>
  <c r="H17" i="128"/>
  <c r="G17" i="128"/>
  <c r="F17" i="128"/>
  <c r="E17" i="128"/>
  <c r="D17" i="128"/>
  <c r="C17" i="128"/>
  <c r="B17" i="128"/>
  <c r="N16" i="128"/>
  <c r="M16" i="128"/>
  <c r="L16" i="128"/>
  <c r="K16" i="128"/>
  <c r="J16" i="128"/>
  <c r="I16" i="128"/>
  <c r="H16" i="128"/>
  <c r="G16" i="128"/>
  <c r="F16" i="128"/>
  <c r="E16" i="128"/>
  <c r="D16" i="128"/>
  <c r="C16" i="128"/>
  <c r="B16" i="128"/>
  <c r="N15" i="128"/>
  <c r="M15" i="128"/>
  <c r="L15" i="128"/>
  <c r="K15" i="128"/>
  <c r="J15" i="128"/>
  <c r="I15" i="128"/>
  <c r="H15" i="128"/>
  <c r="G15" i="128"/>
  <c r="F15" i="128"/>
  <c r="E15" i="128"/>
  <c r="D15" i="128"/>
  <c r="C15" i="128"/>
  <c r="B15" i="128"/>
  <c r="N14" i="128"/>
  <c r="M14" i="128"/>
  <c r="L14" i="128"/>
  <c r="K14" i="128"/>
  <c r="J14" i="128"/>
  <c r="I14" i="128"/>
  <c r="H14" i="128"/>
  <c r="G14" i="128"/>
  <c r="F14" i="128"/>
  <c r="E14" i="128"/>
  <c r="D14" i="128"/>
  <c r="C14" i="128"/>
  <c r="A10" i="128"/>
  <c r="A1" i="128"/>
  <c r="N371" i="151"/>
  <c r="M371" i="151"/>
  <c r="L371" i="151"/>
  <c r="K371" i="151"/>
  <c r="J371" i="151"/>
  <c r="I371" i="151"/>
  <c r="H371" i="151"/>
  <c r="G371" i="151"/>
  <c r="F371" i="151"/>
  <c r="E371" i="151"/>
  <c r="D371" i="151"/>
  <c r="C371" i="151"/>
  <c r="A371" i="151"/>
  <c r="N370" i="151"/>
  <c r="M370" i="151"/>
  <c r="L370" i="151"/>
  <c r="K370" i="151"/>
  <c r="J370" i="151"/>
  <c r="I370" i="151"/>
  <c r="H370" i="151"/>
  <c r="G370" i="151"/>
  <c r="F370" i="151"/>
  <c r="E370" i="151"/>
  <c r="D370" i="151"/>
  <c r="C370" i="151"/>
  <c r="A370" i="151"/>
  <c r="N369" i="151"/>
  <c r="M369" i="151"/>
  <c r="L369" i="151"/>
  <c r="K369" i="151"/>
  <c r="J369" i="151"/>
  <c r="I369" i="151"/>
  <c r="H369" i="151"/>
  <c r="G369" i="151"/>
  <c r="F369" i="151"/>
  <c r="E369" i="151"/>
  <c r="D369" i="151"/>
  <c r="C369" i="151"/>
  <c r="N368" i="151"/>
  <c r="M368" i="151"/>
  <c r="L368" i="151"/>
  <c r="K368" i="151"/>
  <c r="J368" i="151"/>
  <c r="I368" i="151"/>
  <c r="H368" i="151"/>
  <c r="G368" i="151"/>
  <c r="F368" i="151"/>
  <c r="E368" i="151"/>
  <c r="D368" i="151"/>
  <c r="C368" i="151"/>
  <c r="N367" i="151"/>
  <c r="M367" i="151"/>
  <c r="L367" i="151"/>
  <c r="K367" i="151"/>
  <c r="J367" i="151"/>
  <c r="I367" i="151"/>
  <c r="H367" i="151"/>
  <c r="G367" i="151"/>
  <c r="F367" i="151"/>
  <c r="E367" i="151"/>
  <c r="D367" i="151"/>
  <c r="C367" i="151"/>
  <c r="A367" i="151"/>
  <c r="N366" i="151"/>
  <c r="M366" i="151"/>
  <c r="L366" i="151"/>
  <c r="K366" i="151"/>
  <c r="J366" i="151"/>
  <c r="I366" i="151"/>
  <c r="H366" i="151"/>
  <c r="G366" i="151"/>
  <c r="F366" i="151"/>
  <c r="E366" i="151"/>
  <c r="D366" i="151"/>
  <c r="C366" i="151"/>
  <c r="B366" i="151"/>
  <c r="N365" i="151"/>
  <c r="M365" i="151"/>
  <c r="L365" i="151"/>
  <c r="K365" i="151"/>
  <c r="J365" i="151"/>
  <c r="I365" i="151"/>
  <c r="H365" i="151"/>
  <c r="G365" i="151"/>
  <c r="F365" i="151"/>
  <c r="E365" i="151"/>
  <c r="D365" i="151"/>
  <c r="C365" i="151"/>
  <c r="B365" i="151"/>
  <c r="N364" i="151"/>
  <c r="M364" i="151"/>
  <c r="L364" i="151"/>
  <c r="K364" i="151"/>
  <c r="J364" i="151"/>
  <c r="I364" i="151"/>
  <c r="H364" i="151"/>
  <c r="G364" i="151"/>
  <c r="F364" i="151"/>
  <c r="E364" i="151"/>
  <c r="D364" i="151"/>
  <c r="C364" i="151"/>
  <c r="B364" i="151"/>
  <c r="N363" i="151"/>
  <c r="M363" i="151"/>
  <c r="L363" i="151"/>
  <c r="K363" i="151"/>
  <c r="J363" i="151"/>
  <c r="I363" i="151"/>
  <c r="H363" i="151"/>
  <c r="G363" i="151"/>
  <c r="F363" i="151"/>
  <c r="E363" i="151"/>
  <c r="D363" i="151"/>
  <c r="C363" i="151"/>
  <c r="B363" i="151"/>
  <c r="N362" i="151"/>
  <c r="M362" i="151"/>
  <c r="L362" i="151"/>
  <c r="K362" i="151"/>
  <c r="J362" i="151"/>
  <c r="I362" i="151"/>
  <c r="H362" i="151"/>
  <c r="G362" i="151"/>
  <c r="F362" i="151"/>
  <c r="E362" i="151"/>
  <c r="D362" i="151"/>
  <c r="C362" i="151"/>
  <c r="B362" i="151"/>
  <c r="N361" i="151"/>
  <c r="M361" i="151"/>
  <c r="L361" i="151"/>
  <c r="K361" i="151"/>
  <c r="J361" i="151"/>
  <c r="I361" i="151"/>
  <c r="H361" i="151"/>
  <c r="G361" i="151"/>
  <c r="F361" i="151"/>
  <c r="E361" i="151"/>
  <c r="D361" i="151"/>
  <c r="C361" i="151"/>
  <c r="B361" i="151"/>
  <c r="N360" i="151"/>
  <c r="M360" i="151"/>
  <c r="L360" i="151"/>
  <c r="K360" i="151"/>
  <c r="J360" i="151"/>
  <c r="I360" i="151"/>
  <c r="H360" i="151"/>
  <c r="G360" i="151"/>
  <c r="F360" i="151"/>
  <c r="E360" i="151"/>
  <c r="D360" i="151"/>
  <c r="C360" i="151"/>
  <c r="B360" i="151"/>
  <c r="N359" i="151"/>
  <c r="M359" i="151"/>
  <c r="L359" i="151"/>
  <c r="K359" i="151"/>
  <c r="J359" i="151"/>
  <c r="I359" i="151"/>
  <c r="H359" i="151"/>
  <c r="G359" i="151"/>
  <c r="F359" i="151"/>
  <c r="E359" i="151"/>
  <c r="D359" i="151"/>
  <c r="C359" i="151"/>
  <c r="B359" i="151"/>
  <c r="N358" i="151"/>
  <c r="M358" i="151"/>
  <c r="L358" i="151"/>
  <c r="K358" i="151"/>
  <c r="J358" i="151"/>
  <c r="I358" i="151"/>
  <c r="H358" i="151"/>
  <c r="G358" i="151"/>
  <c r="F358" i="151"/>
  <c r="E358" i="151"/>
  <c r="D358" i="151"/>
  <c r="C358" i="151"/>
  <c r="B358" i="151"/>
  <c r="N357" i="151"/>
  <c r="M357" i="151"/>
  <c r="L357" i="151"/>
  <c r="K357" i="151"/>
  <c r="J357" i="151"/>
  <c r="I357" i="151"/>
  <c r="H357" i="151"/>
  <c r="G357" i="151"/>
  <c r="F357" i="151"/>
  <c r="E357" i="151"/>
  <c r="D357" i="151"/>
  <c r="C357" i="151"/>
  <c r="B357" i="151"/>
  <c r="N356" i="151"/>
  <c r="M356" i="151"/>
  <c r="L356" i="151"/>
  <c r="K356" i="151"/>
  <c r="J356" i="151"/>
  <c r="I356" i="151"/>
  <c r="H356" i="151"/>
  <c r="G356" i="151"/>
  <c r="F356" i="151"/>
  <c r="E356" i="151"/>
  <c r="D356" i="151"/>
  <c r="C356" i="151"/>
  <c r="B356" i="151"/>
  <c r="N355" i="151"/>
  <c r="M355" i="151"/>
  <c r="L355" i="151"/>
  <c r="K355" i="151"/>
  <c r="J355" i="151"/>
  <c r="I355" i="151"/>
  <c r="H355" i="151"/>
  <c r="G355" i="151"/>
  <c r="F355" i="151"/>
  <c r="E355" i="151"/>
  <c r="D355" i="151"/>
  <c r="C355" i="151"/>
  <c r="B355" i="151"/>
  <c r="N351" i="151"/>
  <c r="M351" i="151"/>
  <c r="L351" i="151"/>
  <c r="K351" i="151"/>
  <c r="J351" i="151"/>
  <c r="I351" i="151"/>
  <c r="H351" i="151"/>
  <c r="G351" i="151"/>
  <c r="F351" i="151"/>
  <c r="E351" i="151"/>
  <c r="D351" i="151"/>
  <c r="C351" i="151"/>
  <c r="A351" i="151"/>
  <c r="N350" i="151"/>
  <c r="M350" i="151"/>
  <c r="L350" i="151"/>
  <c r="K350" i="151"/>
  <c r="J350" i="151"/>
  <c r="I350" i="151"/>
  <c r="H350" i="151"/>
  <c r="G350" i="151"/>
  <c r="F350" i="151"/>
  <c r="E350" i="151"/>
  <c r="D350" i="151"/>
  <c r="C350" i="151"/>
  <c r="B350" i="151"/>
  <c r="N349" i="151"/>
  <c r="M349" i="151"/>
  <c r="L349" i="151"/>
  <c r="K349" i="151"/>
  <c r="J349" i="151"/>
  <c r="I349" i="151"/>
  <c r="H349" i="151"/>
  <c r="G349" i="151"/>
  <c r="F349" i="151"/>
  <c r="E349" i="151"/>
  <c r="D349" i="151"/>
  <c r="C349" i="151"/>
  <c r="B349" i="151"/>
  <c r="N348" i="151"/>
  <c r="M348" i="151"/>
  <c r="L348" i="151"/>
  <c r="K348" i="151"/>
  <c r="J348" i="151"/>
  <c r="I348" i="151"/>
  <c r="H348" i="151"/>
  <c r="G348" i="151"/>
  <c r="F348" i="151"/>
  <c r="E348" i="151"/>
  <c r="D348" i="151"/>
  <c r="C348" i="151"/>
  <c r="B348" i="151"/>
  <c r="N347" i="151"/>
  <c r="M347" i="151"/>
  <c r="L347" i="151"/>
  <c r="K347" i="151"/>
  <c r="J347" i="151"/>
  <c r="I347" i="151"/>
  <c r="H347" i="151"/>
  <c r="G347" i="151"/>
  <c r="F347" i="151"/>
  <c r="E347" i="151"/>
  <c r="D347" i="151"/>
  <c r="C347" i="151"/>
  <c r="B347" i="151"/>
  <c r="N346" i="151"/>
  <c r="M346" i="151"/>
  <c r="L346" i="151"/>
  <c r="K346" i="151"/>
  <c r="J346" i="151"/>
  <c r="I346" i="151"/>
  <c r="H346" i="151"/>
  <c r="G346" i="151"/>
  <c r="F346" i="151"/>
  <c r="E346" i="151"/>
  <c r="D346" i="151"/>
  <c r="C346" i="151"/>
  <c r="B346" i="151"/>
  <c r="N345" i="151"/>
  <c r="M345" i="151"/>
  <c r="L345" i="151"/>
  <c r="K345" i="151"/>
  <c r="J345" i="151"/>
  <c r="I345" i="151"/>
  <c r="H345" i="151"/>
  <c r="G345" i="151"/>
  <c r="F345" i="151"/>
  <c r="E345" i="151"/>
  <c r="D345" i="151"/>
  <c r="C345" i="151"/>
  <c r="B345" i="151"/>
  <c r="N344" i="151"/>
  <c r="M344" i="151"/>
  <c r="L344" i="151"/>
  <c r="K344" i="151"/>
  <c r="J344" i="151"/>
  <c r="I344" i="151"/>
  <c r="H344" i="151"/>
  <c r="G344" i="151"/>
  <c r="F344" i="151"/>
  <c r="E344" i="151"/>
  <c r="D344" i="151"/>
  <c r="C344" i="151"/>
  <c r="B344" i="151"/>
  <c r="N343" i="151"/>
  <c r="M343" i="151"/>
  <c r="L343" i="151"/>
  <c r="K343" i="151"/>
  <c r="J343" i="151"/>
  <c r="I343" i="151"/>
  <c r="H343" i="151"/>
  <c r="G343" i="151"/>
  <c r="F343" i="151"/>
  <c r="E343" i="151"/>
  <c r="D343" i="151"/>
  <c r="C343" i="151"/>
  <c r="B343" i="151"/>
  <c r="N342" i="151"/>
  <c r="M342" i="151"/>
  <c r="L342" i="151"/>
  <c r="K342" i="151"/>
  <c r="J342" i="151"/>
  <c r="I342" i="151"/>
  <c r="H342" i="151"/>
  <c r="G342" i="151"/>
  <c r="F342" i="151"/>
  <c r="E342" i="151"/>
  <c r="D342" i="151"/>
  <c r="C342" i="151"/>
  <c r="B342" i="151"/>
  <c r="N341" i="151"/>
  <c r="M341" i="151"/>
  <c r="L341" i="151"/>
  <c r="K341" i="151"/>
  <c r="J341" i="151"/>
  <c r="I341" i="151"/>
  <c r="H341" i="151"/>
  <c r="G341" i="151"/>
  <c r="F341" i="151"/>
  <c r="E341" i="151"/>
  <c r="D341" i="151"/>
  <c r="C341" i="151"/>
  <c r="B341" i="151"/>
  <c r="N340" i="151"/>
  <c r="M340" i="151"/>
  <c r="L340" i="151"/>
  <c r="K340" i="151"/>
  <c r="J340" i="151"/>
  <c r="I340" i="151"/>
  <c r="H340" i="151"/>
  <c r="G340" i="151"/>
  <c r="F340" i="151"/>
  <c r="E340" i="151"/>
  <c r="D340" i="151"/>
  <c r="C340" i="151"/>
  <c r="B340" i="151"/>
  <c r="N339" i="151"/>
  <c r="M339" i="151"/>
  <c r="L339" i="151"/>
  <c r="K339" i="151"/>
  <c r="J339" i="151"/>
  <c r="I339" i="151"/>
  <c r="H339" i="151"/>
  <c r="G339" i="151"/>
  <c r="F339" i="151"/>
  <c r="E339" i="151"/>
  <c r="D339" i="151"/>
  <c r="C339" i="151"/>
  <c r="B339" i="151"/>
  <c r="N333" i="151"/>
  <c r="M333" i="151"/>
  <c r="L333" i="151"/>
  <c r="K333" i="151"/>
  <c r="J333" i="151"/>
  <c r="I333" i="151"/>
  <c r="H333" i="151"/>
  <c r="G333" i="151"/>
  <c r="F333" i="151"/>
  <c r="E333" i="151"/>
  <c r="D333" i="151"/>
  <c r="C333" i="151"/>
  <c r="A333" i="151"/>
  <c r="N332" i="151"/>
  <c r="M332" i="151"/>
  <c r="L332" i="151"/>
  <c r="K332" i="151"/>
  <c r="J332" i="151"/>
  <c r="I332" i="151"/>
  <c r="H332" i="151"/>
  <c r="G332" i="151"/>
  <c r="F332" i="151"/>
  <c r="E332" i="151"/>
  <c r="D332" i="151"/>
  <c r="C332" i="151"/>
  <c r="N331" i="151"/>
  <c r="M331" i="151"/>
  <c r="L331" i="151"/>
  <c r="K331" i="151"/>
  <c r="J331" i="151"/>
  <c r="I331" i="151"/>
  <c r="H331" i="151"/>
  <c r="G331" i="151"/>
  <c r="F331" i="151"/>
  <c r="E331" i="151"/>
  <c r="D331" i="151"/>
  <c r="C331" i="151"/>
  <c r="N330" i="151"/>
  <c r="M330" i="151"/>
  <c r="L330" i="151"/>
  <c r="K330" i="151"/>
  <c r="J330" i="151"/>
  <c r="I330" i="151"/>
  <c r="H330" i="151"/>
  <c r="G330" i="151"/>
  <c r="F330" i="151"/>
  <c r="E330" i="151"/>
  <c r="D330" i="151"/>
  <c r="C330" i="151"/>
  <c r="A330" i="151"/>
  <c r="N329" i="151"/>
  <c r="M329" i="151"/>
  <c r="L329" i="151"/>
  <c r="K329" i="151"/>
  <c r="J329" i="151"/>
  <c r="I329" i="151"/>
  <c r="H329" i="151"/>
  <c r="G329" i="151"/>
  <c r="F329" i="151"/>
  <c r="E329" i="151"/>
  <c r="D329" i="151"/>
  <c r="C329" i="151"/>
  <c r="B329" i="151"/>
  <c r="N328" i="151"/>
  <c r="M328" i="151"/>
  <c r="L328" i="151"/>
  <c r="K328" i="151"/>
  <c r="J328" i="151"/>
  <c r="I328" i="151"/>
  <c r="H328" i="151"/>
  <c r="G328" i="151"/>
  <c r="F328" i="151"/>
  <c r="E328" i="151"/>
  <c r="D328" i="151"/>
  <c r="C328" i="151"/>
  <c r="B328" i="151"/>
  <c r="N327" i="151"/>
  <c r="M327" i="151"/>
  <c r="L327" i="151"/>
  <c r="K327" i="151"/>
  <c r="J327" i="151"/>
  <c r="I327" i="151"/>
  <c r="H327" i="151"/>
  <c r="G327" i="151"/>
  <c r="F327" i="151"/>
  <c r="E327" i="151"/>
  <c r="D327" i="151"/>
  <c r="C327" i="151"/>
  <c r="B327" i="151"/>
  <c r="N326" i="151"/>
  <c r="M326" i="151"/>
  <c r="L326" i="151"/>
  <c r="K326" i="151"/>
  <c r="J326" i="151"/>
  <c r="I326" i="151"/>
  <c r="H326" i="151"/>
  <c r="G326" i="151"/>
  <c r="F326" i="151"/>
  <c r="E326" i="151"/>
  <c r="D326" i="151"/>
  <c r="C326" i="151"/>
  <c r="B326" i="151"/>
  <c r="N325" i="151"/>
  <c r="M325" i="151"/>
  <c r="L325" i="151"/>
  <c r="K325" i="151"/>
  <c r="J325" i="151"/>
  <c r="I325" i="151"/>
  <c r="H325" i="151"/>
  <c r="G325" i="151"/>
  <c r="F325" i="151"/>
  <c r="E325" i="151"/>
  <c r="D325" i="151"/>
  <c r="C325" i="151"/>
  <c r="B325" i="151"/>
  <c r="N324" i="151"/>
  <c r="M324" i="151"/>
  <c r="L324" i="151"/>
  <c r="K324" i="151"/>
  <c r="J324" i="151"/>
  <c r="I324" i="151"/>
  <c r="H324" i="151"/>
  <c r="G324" i="151"/>
  <c r="F324" i="151"/>
  <c r="E324" i="151"/>
  <c r="D324" i="151"/>
  <c r="C324" i="151"/>
  <c r="B324" i="151"/>
  <c r="N323" i="151"/>
  <c r="M323" i="151"/>
  <c r="L323" i="151"/>
  <c r="K323" i="151"/>
  <c r="J323" i="151"/>
  <c r="I323" i="151"/>
  <c r="H323" i="151"/>
  <c r="G323" i="151"/>
  <c r="F323" i="151"/>
  <c r="E323" i="151"/>
  <c r="D323" i="151"/>
  <c r="C323" i="151"/>
  <c r="B323" i="151"/>
  <c r="N322" i="151"/>
  <c r="M322" i="151"/>
  <c r="L322" i="151"/>
  <c r="K322" i="151"/>
  <c r="J322" i="151"/>
  <c r="I322" i="151"/>
  <c r="H322" i="151"/>
  <c r="G322" i="151"/>
  <c r="F322" i="151"/>
  <c r="E322" i="151"/>
  <c r="D322" i="151"/>
  <c r="C322" i="151"/>
  <c r="B322" i="151"/>
  <c r="N321" i="151"/>
  <c r="M321" i="151"/>
  <c r="L321" i="151"/>
  <c r="K321" i="151"/>
  <c r="J321" i="151"/>
  <c r="I321" i="151"/>
  <c r="H321" i="151"/>
  <c r="G321" i="151"/>
  <c r="F321" i="151"/>
  <c r="E321" i="151"/>
  <c r="D321" i="151"/>
  <c r="C321" i="151"/>
  <c r="B321" i="151"/>
  <c r="N320" i="151"/>
  <c r="M320" i="151"/>
  <c r="L320" i="151"/>
  <c r="K320" i="151"/>
  <c r="J320" i="151"/>
  <c r="I320" i="151"/>
  <c r="H320" i="151"/>
  <c r="G320" i="151"/>
  <c r="F320" i="151"/>
  <c r="E320" i="151"/>
  <c r="D320" i="151"/>
  <c r="C320" i="151"/>
  <c r="B320" i="151"/>
  <c r="N319" i="151"/>
  <c r="M319" i="151"/>
  <c r="L319" i="151"/>
  <c r="K319" i="151"/>
  <c r="J319" i="151"/>
  <c r="I319" i="151"/>
  <c r="H319" i="151"/>
  <c r="G319" i="151"/>
  <c r="F319" i="151"/>
  <c r="E319" i="151"/>
  <c r="D319" i="151"/>
  <c r="C319" i="151"/>
  <c r="B319" i="151"/>
  <c r="N318" i="151"/>
  <c r="M318" i="151"/>
  <c r="L318" i="151"/>
  <c r="K318" i="151"/>
  <c r="J318" i="151"/>
  <c r="I318" i="151"/>
  <c r="H318" i="151"/>
  <c r="G318" i="151"/>
  <c r="F318" i="151"/>
  <c r="E318" i="151"/>
  <c r="D318" i="151"/>
  <c r="C318" i="151"/>
  <c r="B318" i="151"/>
  <c r="N314" i="151"/>
  <c r="M314" i="151"/>
  <c r="L314" i="151"/>
  <c r="K314" i="151"/>
  <c r="J314" i="151"/>
  <c r="I314" i="151"/>
  <c r="H314" i="151"/>
  <c r="G314" i="151"/>
  <c r="F314" i="151"/>
  <c r="E314" i="151"/>
  <c r="D314" i="151"/>
  <c r="C314" i="151"/>
  <c r="A314" i="151"/>
  <c r="N313" i="151"/>
  <c r="M313" i="151"/>
  <c r="L313" i="151"/>
  <c r="K313" i="151"/>
  <c r="J313" i="151"/>
  <c r="I313" i="151"/>
  <c r="H313" i="151"/>
  <c r="G313" i="151"/>
  <c r="F313" i="151"/>
  <c r="E313" i="151"/>
  <c r="D313" i="151"/>
  <c r="C313" i="151"/>
  <c r="B313" i="151"/>
  <c r="N312" i="151"/>
  <c r="M312" i="151"/>
  <c r="L312" i="151"/>
  <c r="K312" i="151"/>
  <c r="J312" i="151"/>
  <c r="I312" i="151"/>
  <c r="H312" i="151"/>
  <c r="G312" i="151"/>
  <c r="F312" i="151"/>
  <c r="E312" i="151"/>
  <c r="D312" i="151"/>
  <c r="C312" i="151"/>
  <c r="B312" i="151"/>
  <c r="N311" i="151"/>
  <c r="M311" i="151"/>
  <c r="L311" i="151"/>
  <c r="K311" i="151"/>
  <c r="J311" i="151"/>
  <c r="I311" i="151"/>
  <c r="H311" i="151"/>
  <c r="G311" i="151"/>
  <c r="F311" i="151"/>
  <c r="E311" i="151"/>
  <c r="D311" i="151"/>
  <c r="C311" i="151"/>
  <c r="B311" i="151"/>
  <c r="N310" i="151"/>
  <c r="M310" i="151"/>
  <c r="L310" i="151"/>
  <c r="K310" i="151"/>
  <c r="J310" i="151"/>
  <c r="I310" i="151"/>
  <c r="H310" i="151"/>
  <c r="G310" i="151"/>
  <c r="F310" i="151"/>
  <c r="E310" i="151"/>
  <c r="D310" i="151"/>
  <c r="C310" i="151"/>
  <c r="B310" i="151"/>
  <c r="N309" i="151"/>
  <c r="M309" i="151"/>
  <c r="L309" i="151"/>
  <c r="K309" i="151"/>
  <c r="J309" i="151"/>
  <c r="I309" i="151"/>
  <c r="H309" i="151"/>
  <c r="G309" i="151"/>
  <c r="F309" i="151"/>
  <c r="E309" i="151"/>
  <c r="D309" i="151"/>
  <c r="C309" i="151"/>
  <c r="B309" i="151"/>
  <c r="N308" i="151"/>
  <c r="M308" i="151"/>
  <c r="L308" i="151"/>
  <c r="K308" i="151"/>
  <c r="J308" i="151"/>
  <c r="I308" i="151"/>
  <c r="H308" i="151"/>
  <c r="G308" i="151"/>
  <c r="F308" i="151"/>
  <c r="E308" i="151"/>
  <c r="D308" i="151"/>
  <c r="C308" i="151"/>
  <c r="B308" i="151"/>
  <c r="N307" i="151"/>
  <c r="M307" i="151"/>
  <c r="L307" i="151"/>
  <c r="K307" i="151"/>
  <c r="J307" i="151"/>
  <c r="I307" i="151"/>
  <c r="H307" i="151"/>
  <c r="G307" i="151"/>
  <c r="F307" i="151"/>
  <c r="E307" i="151"/>
  <c r="D307" i="151"/>
  <c r="C307" i="151"/>
  <c r="B307" i="151"/>
  <c r="N306" i="151"/>
  <c r="M306" i="151"/>
  <c r="L306" i="151"/>
  <c r="K306" i="151"/>
  <c r="J306" i="151"/>
  <c r="I306" i="151"/>
  <c r="H306" i="151"/>
  <c r="G306" i="151"/>
  <c r="F306" i="151"/>
  <c r="E306" i="151"/>
  <c r="D306" i="151"/>
  <c r="C306" i="151"/>
  <c r="B306" i="151"/>
  <c r="N305" i="151"/>
  <c r="M305" i="151"/>
  <c r="L305" i="151"/>
  <c r="K305" i="151"/>
  <c r="J305" i="151"/>
  <c r="I305" i="151"/>
  <c r="H305" i="151"/>
  <c r="G305" i="151"/>
  <c r="F305" i="151"/>
  <c r="E305" i="151"/>
  <c r="D305" i="151"/>
  <c r="C305" i="151"/>
  <c r="B305" i="151"/>
  <c r="N304" i="151"/>
  <c r="M304" i="151"/>
  <c r="L304" i="151"/>
  <c r="K304" i="151"/>
  <c r="J304" i="151"/>
  <c r="I304" i="151"/>
  <c r="H304" i="151"/>
  <c r="G304" i="151"/>
  <c r="F304" i="151"/>
  <c r="E304" i="151"/>
  <c r="D304" i="151"/>
  <c r="C304" i="151"/>
  <c r="B304" i="151"/>
  <c r="N303" i="151"/>
  <c r="M303" i="151"/>
  <c r="L303" i="151"/>
  <c r="K303" i="151"/>
  <c r="J303" i="151"/>
  <c r="I303" i="151"/>
  <c r="H303" i="151"/>
  <c r="G303" i="151"/>
  <c r="F303" i="151"/>
  <c r="E303" i="151"/>
  <c r="D303" i="151"/>
  <c r="C303" i="151"/>
  <c r="B303" i="151"/>
  <c r="N302" i="151"/>
  <c r="M302" i="151"/>
  <c r="L302" i="151"/>
  <c r="K302" i="151"/>
  <c r="J302" i="151"/>
  <c r="I302" i="151"/>
  <c r="H302" i="151"/>
  <c r="G302" i="151"/>
  <c r="F302" i="151"/>
  <c r="E302" i="151"/>
  <c r="D302" i="151"/>
  <c r="C302" i="151"/>
  <c r="B302" i="151"/>
  <c r="N296" i="151"/>
  <c r="M296" i="151"/>
  <c r="L296" i="151"/>
  <c r="K296" i="151"/>
  <c r="J296" i="151"/>
  <c r="I296" i="151"/>
  <c r="H296" i="151"/>
  <c r="G296" i="151"/>
  <c r="F296" i="151"/>
  <c r="E296" i="151"/>
  <c r="D296" i="151"/>
  <c r="C296" i="151"/>
  <c r="N294" i="151"/>
  <c r="M294" i="151"/>
  <c r="L294" i="151"/>
  <c r="K294" i="151"/>
  <c r="J294" i="151"/>
  <c r="I294" i="151"/>
  <c r="H294" i="151"/>
  <c r="G294" i="151"/>
  <c r="F294" i="151"/>
  <c r="E294" i="151"/>
  <c r="D294" i="151"/>
  <c r="C294" i="151"/>
  <c r="N293" i="151"/>
  <c r="M293" i="151"/>
  <c r="L293" i="151"/>
  <c r="K293" i="151"/>
  <c r="J293" i="151"/>
  <c r="I293" i="151"/>
  <c r="H293" i="151"/>
  <c r="G293" i="151"/>
  <c r="F293" i="151"/>
  <c r="E293" i="151"/>
  <c r="D293" i="151"/>
  <c r="C293" i="151"/>
  <c r="N290" i="151"/>
  <c r="M290" i="151"/>
  <c r="L290" i="151"/>
  <c r="K290" i="151"/>
  <c r="J290" i="151"/>
  <c r="I290" i="151"/>
  <c r="H290" i="151"/>
  <c r="G290" i="151"/>
  <c r="F290" i="151"/>
  <c r="E290" i="151"/>
  <c r="D290" i="151"/>
  <c r="C290" i="151"/>
  <c r="N289" i="151"/>
  <c r="M289" i="151"/>
  <c r="L289" i="151"/>
  <c r="K289" i="151"/>
  <c r="J289" i="151"/>
  <c r="I289" i="151"/>
  <c r="H289" i="151"/>
  <c r="G289" i="151"/>
  <c r="F289" i="151"/>
  <c r="E289" i="151"/>
  <c r="D289" i="151"/>
  <c r="C289" i="151"/>
  <c r="N283" i="151"/>
  <c r="M283" i="151"/>
  <c r="L283" i="151"/>
  <c r="K283" i="151"/>
  <c r="J283" i="151"/>
  <c r="I283" i="151"/>
  <c r="H283" i="151"/>
  <c r="G283" i="151"/>
  <c r="F283" i="151"/>
  <c r="E283" i="151"/>
  <c r="D283" i="151"/>
  <c r="C283" i="151"/>
  <c r="A283" i="151"/>
  <c r="N282" i="151"/>
  <c r="M282" i="151"/>
  <c r="L282" i="151"/>
  <c r="K282" i="151"/>
  <c r="J282" i="151"/>
  <c r="I282" i="151"/>
  <c r="H282" i="151"/>
  <c r="G282" i="151"/>
  <c r="F282" i="151"/>
  <c r="E282" i="151"/>
  <c r="D282" i="151"/>
  <c r="C282" i="151"/>
  <c r="N281" i="151"/>
  <c r="M281" i="151"/>
  <c r="L281" i="151"/>
  <c r="K281" i="151"/>
  <c r="J281" i="151"/>
  <c r="I281" i="151"/>
  <c r="H281" i="151"/>
  <c r="G281" i="151"/>
  <c r="F281" i="151"/>
  <c r="E281" i="151"/>
  <c r="D281" i="151"/>
  <c r="C281" i="151"/>
  <c r="N280" i="151"/>
  <c r="M280" i="151"/>
  <c r="L280" i="151"/>
  <c r="K280" i="151"/>
  <c r="J280" i="151"/>
  <c r="I280" i="151"/>
  <c r="H280" i="151"/>
  <c r="G280" i="151"/>
  <c r="F280" i="151"/>
  <c r="E280" i="151"/>
  <c r="D280" i="151"/>
  <c r="C280" i="151"/>
  <c r="N279" i="151"/>
  <c r="M279" i="151"/>
  <c r="L279" i="151"/>
  <c r="K279" i="151"/>
  <c r="J279" i="151"/>
  <c r="I279" i="151"/>
  <c r="H279" i="151"/>
  <c r="G279" i="151"/>
  <c r="F279" i="151"/>
  <c r="E279" i="151"/>
  <c r="D279" i="151"/>
  <c r="C279" i="151"/>
  <c r="N278" i="151"/>
  <c r="M278" i="151"/>
  <c r="L278" i="151"/>
  <c r="K278" i="151"/>
  <c r="J278" i="151"/>
  <c r="I278" i="151"/>
  <c r="H278" i="151"/>
  <c r="G278" i="151"/>
  <c r="F278" i="151"/>
  <c r="E278" i="151"/>
  <c r="D278" i="151"/>
  <c r="C278" i="151"/>
  <c r="N274" i="151"/>
  <c r="M274" i="151"/>
  <c r="L274" i="151"/>
  <c r="K274" i="151"/>
  <c r="J274" i="151"/>
  <c r="I274" i="151"/>
  <c r="H274" i="151"/>
  <c r="G274" i="151"/>
  <c r="F274" i="151"/>
  <c r="E274" i="151"/>
  <c r="D274" i="151"/>
  <c r="C274" i="151"/>
  <c r="A274" i="151"/>
  <c r="N273" i="151"/>
  <c r="M273" i="151"/>
  <c r="L273" i="151"/>
  <c r="K273" i="151"/>
  <c r="J273" i="151"/>
  <c r="I273" i="151"/>
  <c r="H273" i="151"/>
  <c r="G273" i="151"/>
  <c r="F273" i="151"/>
  <c r="E273" i="151"/>
  <c r="D273" i="151"/>
  <c r="C273" i="151"/>
  <c r="B273" i="151"/>
  <c r="N272" i="151"/>
  <c r="M272" i="151"/>
  <c r="L272" i="151"/>
  <c r="K272" i="151"/>
  <c r="J272" i="151"/>
  <c r="I272" i="151"/>
  <c r="H272" i="151"/>
  <c r="G272" i="151"/>
  <c r="F272" i="151"/>
  <c r="E272" i="151"/>
  <c r="D272" i="151"/>
  <c r="C272" i="151"/>
  <c r="B272" i="151"/>
  <c r="N271" i="151"/>
  <c r="M271" i="151"/>
  <c r="L271" i="151"/>
  <c r="K271" i="151"/>
  <c r="J271" i="151"/>
  <c r="I271" i="151"/>
  <c r="H271" i="151"/>
  <c r="G271" i="151"/>
  <c r="F271" i="151"/>
  <c r="E271" i="151"/>
  <c r="D271" i="151"/>
  <c r="C271" i="151"/>
  <c r="B271" i="151"/>
  <c r="N270" i="151"/>
  <c r="M270" i="151"/>
  <c r="L270" i="151"/>
  <c r="K270" i="151"/>
  <c r="J270" i="151"/>
  <c r="I270" i="151"/>
  <c r="H270" i="151"/>
  <c r="G270" i="151"/>
  <c r="F270" i="151"/>
  <c r="E270" i="151"/>
  <c r="D270" i="151"/>
  <c r="C270" i="151"/>
  <c r="B270" i="151"/>
  <c r="N269" i="151"/>
  <c r="M269" i="151"/>
  <c r="L269" i="151"/>
  <c r="K269" i="151"/>
  <c r="J269" i="151"/>
  <c r="I269" i="151"/>
  <c r="H269" i="151"/>
  <c r="G269" i="151"/>
  <c r="F269" i="151"/>
  <c r="E269" i="151"/>
  <c r="D269" i="151"/>
  <c r="C269" i="151"/>
  <c r="B269" i="151"/>
  <c r="N268" i="151"/>
  <c r="M268" i="151"/>
  <c r="L268" i="151"/>
  <c r="K268" i="151"/>
  <c r="J268" i="151"/>
  <c r="I268" i="151"/>
  <c r="H268" i="151"/>
  <c r="G268" i="151"/>
  <c r="F268" i="151"/>
  <c r="E268" i="151"/>
  <c r="D268" i="151"/>
  <c r="C268" i="151"/>
  <c r="B268" i="151"/>
  <c r="N267" i="151"/>
  <c r="M267" i="151"/>
  <c r="L267" i="151"/>
  <c r="K267" i="151"/>
  <c r="J267" i="151"/>
  <c r="I267" i="151"/>
  <c r="H267" i="151"/>
  <c r="G267" i="151"/>
  <c r="F267" i="151"/>
  <c r="E267" i="151"/>
  <c r="D267" i="151"/>
  <c r="C267" i="151"/>
  <c r="B267" i="151"/>
  <c r="N266" i="151"/>
  <c r="M266" i="151"/>
  <c r="L266" i="151"/>
  <c r="K266" i="151"/>
  <c r="J266" i="151"/>
  <c r="I266" i="151"/>
  <c r="H266" i="151"/>
  <c r="G266" i="151"/>
  <c r="F266" i="151"/>
  <c r="E266" i="151"/>
  <c r="D266" i="151"/>
  <c r="C266" i="151"/>
  <c r="B266" i="151"/>
  <c r="N265" i="151"/>
  <c r="M265" i="151"/>
  <c r="L265" i="151"/>
  <c r="K265" i="151"/>
  <c r="J265" i="151"/>
  <c r="I265" i="151"/>
  <c r="H265" i="151"/>
  <c r="G265" i="151"/>
  <c r="F265" i="151"/>
  <c r="E265" i="151"/>
  <c r="D265" i="151"/>
  <c r="C265" i="151"/>
  <c r="B265" i="151"/>
  <c r="N264" i="151"/>
  <c r="M264" i="151"/>
  <c r="L264" i="151"/>
  <c r="K264" i="151"/>
  <c r="J264" i="151"/>
  <c r="I264" i="151"/>
  <c r="H264" i="151"/>
  <c r="G264" i="151"/>
  <c r="F264" i="151"/>
  <c r="E264" i="151"/>
  <c r="D264" i="151"/>
  <c r="C264" i="151"/>
  <c r="B264" i="151"/>
  <c r="N263" i="151"/>
  <c r="M263" i="151"/>
  <c r="L263" i="151"/>
  <c r="K263" i="151"/>
  <c r="J263" i="151"/>
  <c r="I263" i="151"/>
  <c r="H263" i="151"/>
  <c r="G263" i="151"/>
  <c r="F263" i="151"/>
  <c r="E263" i="151"/>
  <c r="D263" i="151"/>
  <c r="C263" i="151"/>
  <c r="B263" i="151"/>
  <c r="N262" i="151"/>
  <c r="M262" i="151"/>
  <c r="L262" i="151"/>
  <c r="K262" i="151"/>
  <c r="J262" i="151"/>
  <c r="I262" i="151"/>
  <c r="H262" i="151"/>
  <c r="G262" i="151"/>
  <c r="F262" i="151"/>
  <c r="E262" i="151"/>
  <c r="D262" i="151"/>
  <c r="C262" i="151"/>
  <c r="B262" i="151"/>
  <c r="N258" i="151"/>
  <c r="M258" i="151"/>
  <c r="L258" i="151"/>
  <c r="K258" i="151"/>
  <c r="J258" i="151"/>
  <c r="I258" i="151"/>
  <c r="H258" i="151"/>
  <c r="G258" i="151"/>
  <c r="F258" i="151"/>
  <c r="E258" i="151"/>
  <c r="D258" i="151"/>
  <c r="C258" i="151"/>
  <c r="A258" i="151"/>
  <c r="N257" i="151"/>
  <c r="M257" i="151"/>
  <c r="L257" i="151"/>
  <c r="K257" i="151"/>
  <c r="J257" i="151"/>
  <c r="I257" i="151"/>
  <c r="H257" i="151"/>
  <c r="G257" i="151"/>
  <c r="F257" i="151"/>
  <c r="E257" i="151"/>
  <c r="D257" i="151"/>
  <c r="C257" i="151"/>
  <c r="B257" i="151"/>
  <c r="N256" i="151"/>
  <c r="M256" i="151"/>
  <c r="L256" i="151"/>
  <c r="K256" i="151"/>
  <c r="J256" i="151"/>
  <c r="I256" i="151"/>
  <c r="H256" i="151"/>
  <c r="G256" i="151"/>
  <c r="F256" i="151"/>
  <c r="E256" i="151"/>
  <c r="D256" i="151"/>
  <c r="C256" i="151"/>
  <c r="B256" i="151"/>
  <c r="N255" i="151"/>
  <c r="M255" i="151"/>
  <c r="L255" i="151"/>
  <c r="K255" i="151"/>
  <c r="J255" i="151"/>
  <c r="I255" i="151"/>
  <c r="H255" i="151"/>
  <c r="G255" i="151"/>
  <c r="F255" i="151"/>
  <c r="E255" i="151"/>
  <c r="D255" i="151"/>
  <c r="C255" i="151"/>
  <c r="B255" i="151"/>
  <c r="N254" i="151"/>
  <c r="M254" i="151"/>
  <c r="L254" i="151"/>
  <c r="K254" i="151"/>
  <c r="J254" i="151"/>
  <c r="I254" i="151"/>
  <c r="H254" i="151"/>
  <c r="G254" i="151"/>
  <c r="F254" i="151"/>
  <c r="E254" i="151"/>
  <c r="D254" i="151"/>
  <c r="C254" i="151"/>
  <c r="B254" i="151"/>
  <c r="N253" i="151"/>
  <c r="M253" i="151"/>
  <c r="L253" i="151"/>
  <c r="K253" i="151"/>
  <c r="J253" i="151"/>
  <c r="I253" i="151"/>
  <c r="H253" i="151"/>
  <c r="G253" i="151"/>
  <c r="F253" i="151"/>
  <c r="E253" i="151"/>
  <c r="D253" i="151"/>
  <c r="C253" i="151"/>
  <c r="B253" i="151"/>
  <c r="N252" i="151"/>
  <c r="M252" i="151"/>
  <c r="L252" i="151"/>
  <c r="K252" i="151"/>
  <c r="J252" i="151"/>
  <c r="I252" i="151"/>
  <c r="H252" i="151"/>
  <c r="G252" i="151"/>
  <c r="F252" i="151"/>
  <c r="E252" i="151"/>
  <c r="D252" i="151"/>
  <c r="C252" i="151"/>
  <c r="B252" i="151"/>
  <c r="N251" i="151"/>
  <c r="M251" i="151"/>
  <c r="L251" i="151"/>
  <c r="K251" i="151"/>
  <c r="J251" i="151"/>
  <c r="I251" i="151"/>
  <c r="H251" i="151"/>
  <c r="G251" i="151"/>
  <c r="F251" i="151"/>
  <c r="E251" i="151"/>
  <c r="D251" i="151"/>
  <c r="C251" i="151"/>
  <c r="B251" i="151"/>
  <c r="N250" i="151"/>
  <c r="M250" i="151"/>
  <c r="L250" i="151"/>
  <c r="K250" i="151"/>
  <c r="J250" i="151"/>
  <c r="I250" i="151"/>
  <c r="H250" i="151"/>
  <c r="G250" i="151"/>
  <c r="F250" i="151"/>
  <c r="E250" i="151"/>
  <c r="D250" i="151"/>
  <c r="C250" i="151"/>
  <c r="B250" i="151"/>
  <c r="N249" i="151"/>
  <c r="M249" i="151"/>
  <c r="L249" i="151"/>
  <c r="K249" i="151"/>
  <c r="J249" i="151"/>
  <c r="I249" i="151"/>
  <c r="H249" i="151"/>
  <c r="G249" i="151"/>
  <c r="F249" i="151"/>
  <c r="E249" i="151"/>
  <c r="D249" i="151"/>
  <c r="C249" i="151"/>
  <c r="B249" i="151"/>
  <c r="N248" i="151"/>
  <c r="M248" i="151"/>
  <c r="L248" i="151"/>
  <c r="K248" i="151"/>
  <c r="J248" i="151"/>
  <c r="I248" i="151"/>
  <c r="H248" i="151"/>
  <c r="G248" i="151"/>
  <c r="F248" i="151"/>
  <c r="E248" i="151"/>
  <c r="D248" i="151"/>
  <c r="C248" i="151"/>
  <c r="B248" i="151"/>
  <c r="N247" i="151"/>
  <c r="M247" i="151"/>
  <c r="L247" i="151"/>
  <c r="K247" i="151"/>
  <c r="J247" i="151"/>
  <c r="I247" i="151"/>
  <c r="H247" i="151"/>
  <c r="G247" i="151"/>
  <c r="F247" i="151"/>
  <c r="E247" i="151"/>
  <c r="D247" i="151"/>
  <c r="C247" i="151"/>
  <c r="B247" i="151"/>
  <c r="N246" i="151"/>
  <c r="M246" i="151"/>
  <c r="L246" i="151"/>
  <c r="K246" i="151"/>
  <c r="J246" i="151"/>
  <c r="I246" i="151"/>
  <c r="H246" i="151"/>
  <c r="G246" i="151"/>
  <c r="F246" i="151"/>
  <c r="E246" i="151"/>
  <c r="D246" i="151"/>
  <c r="C246" i="151"/>
  <c r="B246" i="151"/>
  <c r="N240" i="151"/>
  <c r="M240" i="151"/>
  <c r="L240" i="151"/>
  <c r="K240" i="151"/>
  <c r="J240" i="151"/>
  <c r="I240" i="151"/>
  <c r="H240" i="151"/>
  <c r="G240" i="151"/>
  <c r="F240" i="151"/>
  <c r="E240" i="151"/>
  <c r="D240" i="151"/>
  <c r="C240" i="151"/>
  <c r="A240" i="151"/>
  <c r="N239" i="151"/>
  <c r="M239" i="151"/>
  <c r="L239" i="151"/>
  <c r="K239" i="151"/>
  <c r="J239" i="151"/>
  <c r="I239" i="151"/>
  <c r="H239" i="151"/>
  <c r="G239" i="151"/>
  <c r="F239" i="151"/>
  <c r="E239" i="151"/>
  <c r="D239" i="151"/>
  <c r="C239" i="151"/>
  <c r="B239" i="151"/>
  <c r="N238" i="151"/>
  <c r="M238" i="151"/>
  <c r="L238" i="151"/>
  <c r="K238" i="151"/>
  <c r="J238" i="151"/>
  <c r="I238" i="151"/>
  <c r="H238" i="151"/>
  <c r="G238" i="151"/>
  <c r="F238" i="151"/>
  <c r="E238" i="151"/>
  <c r="D238" i="151"/>
  <c r="C238" i="151"/>
  <c r="B238" i="151"/>
  <c r="N237" i="151"/>
  <c r="M237" i="151"/>
  <c r="L237" i="151"/>
  <c r="K237" i="151"/>
  <c r="J237" i="151"/>
  <c r="I237" i="151"/>
  <c r="H237" i="151"/>
  <c r="G237" i="151"/>
  <c r="F237" i="151"/>
  <c r="E237" i="151"/>
  <c r="D237" i="151"/>
  <c r="C237" i="151"/>
  <c r="B237" i="151"/>
  <c r="N236" i="151"/>
  <c r="M236" i="151"/>
  <c r="L236" i="151"/>
  <c r="K236" i="151"/>
  <c r="J236" i="151"/>
  <c r="I236" i="151"/>
  <c r="H236" i="151"/>
  <c r="G236" i="151"/>
  <c r="F236" i="151"/>
  <c r="E236" i="151"/>
  <c r="D236" i="151"/>
  <c r="C236" i="151"/>
  <c r="B236" i="151"/>
  <c r="N235" i="151"/>
  <c r="M235" i="151"/>
  <c r="L235" i="151"/>
  <c r="K235" i="151"/>
  <c r="J235" i="151"/>
  <c r="I235" i="151"/>
  <c r="H235" i="151"/>
  <c r="G235" i="151"/>
  <c r="F235" i="151"/>
  <c r="E235" i="151"/>
  <c r="D235" i="151"/>
  <c r="C235" i="151"/>
  <c r="B235" i="151"/>
  <c r="N234" i="151"/>
  <c r="M234" i="151"/>
  <c r="L234" i="151"/>
  <c r="K234" i="151"/>
  <c r="J234" i="151"/>
  <c r="I234" i="151"/>
  <c r="H234" i="151"/>
  <c r="G234" i="151"/>
  <c r="F234" i="151"/>
  <c r="E234" i="151"/>
  <c r="D234" i="151"/>
  <c r="C234" i="151"/>
  <c r="B234" i="151"/>
  <c r="N233" i="151"/>
  <c r="M233" i="151"/>
  <c r="L233" i="151"/>
  <c r="K233" i="151"/>
  <c r="J233" i="151"/>
  <c r="I233" i="151"/>
  <c r="H233" i="151"/>
  <c r="G233" i="151"/>
  <c r="F233" i="151"/>
  <c r="E233" i="151"/>
  <c r="D233" i="151"/>
  <c r="C233" i="151"/>
  <c r="B233" i="151"/>
  <c r="N232" i="151"/>
  <c r="M232" i="151"/>
  <c r="L232" i="151"/>
  <c r="K232" i="151"/>
  <c r="J232" i="151"/>
  <c r="I232" i="151"/>
  <c r="H232" i="151"/>
  <c r="G232" i="151"/>
  <c r="F232" i="151"/>
  <c r="E232" i="151"/>
  <c r="D232" i="151"/>
  <c r="C232" i="151"/>
  <c r="B232" i="151"/>
  <c r="N231" i="151"/>
  <c r="M231" i="151"/>
  <c r="L231" i="151"/>
  <c r="K231" i="151"/>
  <c r="J231" i="151"/>
  <c r="I231" i="151"/>
  <c r="H231" i="151"/>
  <c r="G231" i="151"/>
  <c r="F231" i="151"/>
  <c r="E231" i="151"/>
  <c r="D231" i="151"/>
  <c r="C231" i="151"/>
  <c r="B231" i="151"/>
  <c r="N230" i="151"/>
  <c r="M230" i="151"/>
  <c r="L230" i="151"/>
  <c r="K230" i="151"/>
  <c r="J230" i="151"/>
  <c r="I230" i="151"/>
  <c r="H230" i="151"/>
  <c r="G230" i="151"/>
  <c r="F230" i="151"/>
  <c r="E230" i="151"/>
  <c r="D230" i="151"/>
  <c r="C230" i="151"/>
  <c r="B230" i="151"/>
  <c r="N229" i="151"/>
  <c r="M229" i="151"/>
  <c r="L229" i="151"/>
  <c r="K229" i="151"/>
  <c r="J229" i="151"/>
  <c r="I229" i="151"/>
  <c r="H229" i="151"/>
  <c r="G229" i="151"/>
  <c r="F229" i="151"/>
  <c r="E229" i="151"/>
  <c r="D229" i="151"/>
  <c r="C229" i="151"/>
  <c r="B229" i="151"/>
  <c r="N228" i="151"/>
  <c r="M228" i="151"/>
  <c r="L228" i="151"/>
  <c r="K228" i="151"/>
  <c r="J228" i="151"/>
  <c r="I228" i="151"/>
  <c r="H228" i="151"/>
  <c r="G228" i="151"/>
  <c r="F228" i="151"/>
  <c r="E228" i="151"/>
  <c r="D228" i="151"/>
  <c r="C228" i="151"/>
  <c r="B228" i="151"/>
  <c r="N224" i="151"/>
  <c r="M224" i="151"/>
  <c r="L224" i="151"/>
  <c r="K224" i="151"/>
  <c r="J224" i="151"/>
  <c r="I224" i="151"/>
  <c r="H224" i="151"/>
  <c r="G224" i="151"/>
  <c r="F224" i="151"/>
  <c r="E224" i="151"/>
  <c r="D224" i="151"/>
  <c r="C224" i="151"/>
  <c r="A224" i="151"/>
  <c r="N223" i="151"/>
  <c r="M223" i="151"/>
  <c r="L223" i="151"/>
  <c r="K223" i="151"/>
  <c r="J223" i="151"/>
  <c r="I223" i="151"/>
  <c r="H223" i="151"/>
  <c r="G223" i="151"/>
  <c r="F223" i="151"/>
  <c r="E223" i="151"/>
  <c r="D223" i="151"/>
  <c r="C223" i="151"/>
  <c r="B223" i="151"/>
  <c r="N222" i="151"/>
  <c r="M222" i="151"/>
  <c r="L222" i="151"/>
  <c r="K222" i="151"/>
  <c r="J222" i="151"/>
  <c r="I222" i="151"/>
  <c r="H222" i="151"/>
  <c r="G222" i="151"/>
  <c r="F222" i="151"/>
  <c r="E222" i="151"/>
  <c r="D222" i="151"/>
  <c r="C222" i="151"/>
  <c r="B222" i="151"/>
  <c r="N221" i="151"/>
  <c r="M221" i="151"/>
  <c r="L221" i="151"/>
  <c r="K221" i="151"/>
  <c r="J221" i="151"/>
  <c r="I221" i="151"/>
  <c r="H221" i="151"/>
  <c r="G221" i="151"/>
  <c r="F221" i="151"/>
  <c r="E221" i="151"/>
  <c r="D221" i="151"/>
  <c r="C221" i="151"/>
  <c r="B221" i="151"/>
  <c r="N220" i="151"/>
  <c r="M220" i="151"/>
  <c r="L220" i="151"/>
  <c r="K220" i="151"/>
  <c r="J220" i="151"/>
  <c r="I220" i="151"/>
  <c r="H220" i="151"/>
  <c r="G220" i="151"/>
  <c r="F220" i="151"/>
  <c r="E220" i="151"/>
  <c r="D220" i="151"/>
  <c r="C220" i="151"/>
  <c r="B220" i="151"/>
  <c r="N219" i="151"/>
  <c r="M219" i="151"/>
  <c r="L219" i="151"/>
  <c r="K219" i="151"/>
  <c r="J219" i="151"/>
  <c r="I219" i="151"/>
  <c r="H219" i="151"/>
  <c r="G219" i="151"/>
  <c r="F219" i="151"/>
  <c r="E219" i="151"/>
  <c r="D219" i="151"/>
  <c r="C219" i="151"/>
  <c r="B219" i="151"/>
  <c r="N218" i="151"/>
  <c r="M218" i="151"/>
  <c r="L218" i="151"/>
  <c r="K218" i="151"/>
  <c r="J218" i="151"/>
  <c r="I218" i="151"/>
  <c r="H218" i="151"/>
  <c r="G218" i="151"/>
  <c r="F218" i="151"/>
  <c r="E218" i="151"/>
  <c r="D218" i="151"/>
  <c r="C218" i="151"/>
  <c r="B218" i="151"/>
  <c r="N217" i="151"/>
  <c r="M217" i="151"/>
  <c r="L217" i="151"/>
  <c r="K217" i="151"/>
  <c r="J217" i="151"/>
  <c r="I217" i="151"/>
  <c r="H217" i="151"/>
  <c r="G217" i="151"/>
  <c r="F217" i="151"/>
  <c r="E217" i="151"/>
  <c r="D217" i="151"/>
  <c r="C217" i="151"/>
  <c r="B217" i="151"/>
  <c r="N216" i="151"/>
  <c r="M216" i="151"/>
  <c r="L216" i="151"/>
  <c r="K216" i="151"/>
  <c r="J216" i="151"/>
  <c r="I216" i="151"/>
  <c r="H216" i="151"/>
  <c r="G216" i="151"/>
  <c r="F216" i="151"/>
  <c r="E216" i="151"/>
  <c r="D216" i="151"/>
  <c r="C216" i="151"/>
  <c r="B216" i="151"/>
  <c r="N215" i="151"/>
  <c r="M215" i="151"/>
  <c r="L215" i="151"/>
  <c r="K215" i="151"/>
  <c r="J215" i="151"/>
  <c r="I215" i="151"/>
  <c r="H215" i="151"/>
  <c r="G215" i="151"/>
  <c r="F215" i="151"/>
  <c r="E215" i="151"/>
  <c r="D215" i="151"/>
  <c r="C215" i="151"/>
  <c r="B215" i="151"/>
  <c r="N214" i="151"/>
  <c r="M214" i="151"/>
  <c r="L214" i="151"/>
  <c r="K214" i="151"/>
  <c r="J214" i="151"/>
  <c r="I214" i="151"/>
  <c r="H214" i="151"/>
  <c r="G214" i="151"/>
  <c r="F214" i="151"/>
  <c r="E214" i="151"/>
  <c r="D214" i="151"/>
  <c r="C214" i="151"/>
  <c r="B214" i="151"/>
  <c r="N213" i="151"/>
  <c r="M213" i="151"/>
  <c r="L213" i="151"/>
  <c r="K213" i="151"/>
  <c r="J213" i="151"/>
  <c r="I213" i="151"/>
  <c r="H213" i="151"/>
  <c r="G213" i="151"/>
  <c r="F213" i="151"/>
  <c r="E213" i="151"/>
  <c r="D213" i="151"/>
  <c r="C213" i="151"/>
  <c r="B213" i="151"/>
  <c r="N212" i="151"/>
  <c r="M212" i="151"/>
  <c r="L212" i="151"/>
  <c r="K212" i="151"/>
  <c r="J212" i="151"/>
  <c r="I212" i="151"/>
  <c r="H212" i="151"/>
  <c r="G212" i="151"/>
  <c r="F212" i="151"/>
  <c r="E212" i="151"/>
  <c r="D212" i="151"/>
  <c r="C212" i="151"/>
  <c r="B212" i="151"/>
  <c r="N206" i="151"/>
  <c r="M206" i="151"/>
  <c r="L206" i="151"/>
  <c r="K206" i="151"/>
  <c r="J206" i="151"/>
  <c r="I206" i="151"/>
  <c r="H206" i="151"/>
  <c r="G206" i="151"/>
  <c r="F206" i="151"/>
  <c r="E206" i="151"/>
  <c r="D206" i="151"/>
  <c r="C206" i="151"/>
  <c r="A206" i="151"/>
  <c r="N205" i="151"/>
  <c r="M205" i="151"/>
  <c r="L205" i="151"/>
  <c r="K205" i="151"/>
  <c r="J205" i="151"/>
  <c r="I205" i="151"/>
  <c r="H205" i="151"/>
  <c r="G205" i="151"/>
  <c r="F205" i="151"/>
  <c r="E205" i="151"/>
  <c r="D205" i="151"/>
  <c r="C205" i="151"/>
  <c r="B205" i="151"/>
  <c r="N204" i="151"/>
  <c r="M204" i="151"/>
  <c r="L204" i="151"/>
  <c r="K204" i="151"/>
  <c r="J204" i="151"/>
  <c r="I204" i="151"/>
  <c r="H204" i="151"/>
  <c r="G204" i="151"/>
  <c r="F204" i="151"/>
  <c r="E204" i="151"/>
  <c r="D204" i="151"/>
  <c r="C204" i="151"/>
  <c r="B204" i="151"/>
  <c r="N203" i="151"/>
  <c r="M203" i="151"/>
  <c r="L203" i="151"/>
  <c r="K203" i="151"/>
  <c r="J203" i="151"/>
  <c r="I203" i="151"/>
  <c r="H203" i="151"/>
  <c r="G203" i="151"/>
  <c r="F203" i="151"/>
  <c r="E203" i="151"/>
  <c r="D203" i="151"/>
  <c r="C203" i="151"/>
  <c r="B203" i="151"/>
  <c r="N202" i="151"/>
  <c r="M202" i="151"/>
  <c r="L202" i="151"/>
  <c r="K202" i="151"/>
  <c r="J202" i="151"/>
  <c r="I202" i="151"/>
  <c r="H202" i="151"/>
  <c r="G202" i="151"/>
  <c r="F202" i="151"/>
  <c r="E202" i="151"/>
  <c r="D202" i="151"/>
  <c r="C202" i="151"/>
  <c r="B202" i="151"/>
  <c r="N201" i="151"/>
  <c r="M201" i="151"/>
  <c r="L201" i="151"/>
  <c r="K201" i="151"/>
  <c r="J201" i="151"/>
  <c r="I201" i="151"/>
  <c r="H201" i="151"/>
  <c r="G201" i="151"/>
  <c r="F201" i="151"/>
  <c r="E201" i="151"/>
  <c r="D201" i="151"/>
  <c r="C201" i="151"/>
  <c r="B201" i="151"/>
  <c r="N200" i="151"/>
  <c r="M200" i="151"/>
  <c r="L200" i="151"/>
  <c r="K200" i="151"/>
  <c r="J200" i="151"/>
  <c r="I200" i="151"/>
  <c r="H200" i="151"/>
  <c r="G200" i="151"/>
  <c r="F200" i="151"/>
  <c r="E200" i="151"/>
  <c r="D200" i="151"/>
  <c r="C200" i="151"/>
  <c r="B200" i="151"/>
  <c r="N199" i="151"/>
  <c r="M199" i="151"/>
  <c r="L199" i="151"/>
  <c r="K199" i="151"/>
  <c r="J199" i="151"/>
  <c r="I199" i="151"/>
  <c r="H199" i="151"/>
  <c r="G199" i="151"/>
  <c r="F199" i="151"/>
  <c r="E199" i="151"/>
  <c r="D199" i="151"/>
  <c r="C199" i="151"/>
  <c r="B199" i="151"/>
  <c r="N198" i="151"/>
  <c r="M198" i="151"/>
  <c r="L198" i="151"/>
  <c r="K198" i="151"/>
  <c r="J198" i="151"/>
  <c r="I198" i="151"/>
  <c r="H198" i="151"/>
  <c r="G198" i="151"/>
  <c r="F198" i="151"/>
  <c r="E198" i="151"/>
  <c r="D198" i="151"/>
  <c r="C198" i="151"/>
  <c r="B198" i="151"/>
  <c r="N197" i="151"/>
  <c r="M197" i="151"/>
  <c r="L197" i="151"/>
  <c r="K197" i="151"/>
  <c r="J197" i="151"/>
  <c r="I197" i="151"/>
  <c r="H197" i="151"/>
  <c r="G197" i="151"/>
  <c r="F197" i="151"/>
  <c r="E197" i="151"/>
  <c r="D197" i="151"/>
  <c r="C197" i="151"/>
  <c r="B197" i="151"/>
  <c r="N196" i="151"/>
  <c r="M196" i="151"/>
  <c r="L196" i="151"/>
  <c r="K196" i="151"/>
  <c r="J196" i="151"/>
  <c r="I196" i="151"/>
  <c r="H196" i="151"/>
  <c r="G196" i="151"/>
  <c r="F196" i="151"/>
  <c r="E196" i="151"/>
  <c r="D196" i="151"/>
  <c r="C196" i="151"/>
  <c r="B196" i="151"/>
  <c r="N195" i="151"/>
  <c r="M195" i="151"/>
  <c r="L195" i="151"/>
  <c r="K195" i="151"/>
  <c r="J195" i="151"/>
  <c r="I195" i="151"/>
  <c r="H195" i="151"/>
  <c r="G195" i="151"/>
  <c r="F195" i="151"/>
  <c r="E195" i="151"/>
  <c r="D195" i="151"/>
  <c r="C195" i="151"/>
  <c r="B195" i="151"/>
  <c r="N194" i="151"/>
  <c r="M194" i="151"/>
  <c r="L194" i="151"/>
  <c r="K194" i="151"/>
  <c r="J194" i="151"/>
  <c r="I194" i="151"/>
  <c r="H194" i="151"/>
  <c r="G194" i="151"/>
  <c r="F194" i="151"/>
  <c r="E194" i="151"/>
  <c r="D194" i="151"/>
  <c r="C194" i="151"/>
  <c r="B194" i="151"/>
  <c r="N190" i="151"/>
  <c r="M190" i="151"/>
  <c r="L190" i="151"/>
  <c r="K190" i="151"/>
  <c r="J190" i="151"/>
  <c r="I190" i="151"/>
  <c r="H190" i="151"/>
  <c r="G190" i="151"/>
  <c r="F190" i="151"/>
  <c r="E190" i="151"/>
  <c r="D190" i="151"/>
  <c r="C190" i="151"/>
  <c r="A190" i="151"/>
  <c r="N189" i="151"/>
  <c r="M189" i="151"/>
  <c r="L189" i="151"/>
  <c r="K189" i="151"/>
  <c r="J189" i="151"/>
  <c r="I189" i="151"/>
  <c r="H189" i="151"/>
  <c r="G189" i="151"/>
  <c r="F189" i="151"/>
  <c r="E189" i="151"/>
  <c r="D189" i="151"/>
  <c r="C189" i="151"/>
  <c r="B189" i="151"/>
  <c r="N188" i="151"/>
  <c r="M188" i="151"/>
  <c r="L188" i="151"/>
  <c r="K188" i="151"/>
  <c r="J188" i="151"/>
  <c r="I188" i="151"/>
  <c r="H188" i="151"/>
  <c r="G188" i="151"/>
  <c r="F188" i="151"/>
  <c r="E188" i="151"/>
  <c r="D188" i="151"/>
  <c r="C188" i="151"/>
  <c r="B188" i="151"/>
  <c r="N187" i="151"/>
  <c r="M187" i="151"/>
  <c r="L187" i="151"/>
  <c r="K187" i="151"/>
  <c r="J187" i="151"/>
  <c r="I187" i="151"/>
  <c r="H187" i="151"/>
  <c r="G187" i="151"/>
  <c r="F187" i="151"/>
  <c r="E187" i="151"/>
  <c r="D187" i="151"/>
  <c r="C187" i="151"/>
  <c r="B187" i="151"/>
  <c r="N186" i="151"/>
  <c r="M186" i="151"/>
  <c r="L186" i="151"/>
  <c r="K186" i="151"/>
  <c r="J186" i="151"/>
  <c r="I186" i="151"/>
  <c r="H186" i="151"/>
  <c r="G186" i="151"/>
  <c r="F186" i="151"/>
  <c r="E186" i="151"/>
  <c r="D186" i="151"/>
  <c r="C186" i="151"/>
  <c r="B186" i="151"/>
  <c r="N185" i="151"/>
  <c r="M185" i="151"/>
  <c r="L185" i="151"/>
  <c r="K185" i="151"/>
  <c r="J185" i="151"/>
  <c r="I185" i="151"/>
  <c r="H185" i="151"/>
  <c r="G185" i="151"/>
  <c r="F185" i="151"/>
  <c r="E185" i="151"/>
  <c r="D185" i="151"/>
  <c r="C185" i="151"/>
  <c r="B185" i="151"/>
  <c r="N184" i="151"/>
  <c r="M184" i="151"/>
  <c r="L184" i="151"/>
  <c r="K184" i="151"/>
  <c r="J184" i="151"/>
  <c r="I184" i="151"/>
  <c r="H184" i="151"/>
  <c r="G184" i="151"/>
  <c r="F184" i="151"/>
  <c r="E184" i="151"/>
  <c r="D184" i="151"/>
  <c r="C184" i="151"/>
  <c r="B184" i="151"/>
  <c r="N183" i="151"/>
  <c r="M183" i="151"/>
  <c r="L183" i="151"/>
  <c r="K183" i="151"/>
  <c r="J183" i="151"/>
  <c r="I183" i="151"/>
  <c r="H183" i="151"/>
  <c r="G183" i="151"/>
  <c r="F183" i="151"/>
  <c r="E183" i="151"/>
  <c r="D183" i="151"/>
  <c r="C183" i="151"/>
  <c r="B183" i="151"/>
  <c r="N182" i="151"/>
  <c r="M182" i="151"/>
  <c r="L182" i="151"/>
  <c r="K182" i="151"/>
  <c r="J182" i="151"/>
  <c r="I182" i="151"/>
  <c r="H182" i="151"/>
  <c r="G182" i="151"/>
  <c r="F182" i="151"/>
  <c r="E182" i="151"/>
  <c r="D182" i="151"/>
  <c r="C182" i="151"/>
  <c r="B182" i="151"/>
  <c r="N181" i="151"/>
  <c r="M181" i="151"/>
  <c r="L181" i="151"/>
  <c r="K181" i="151"/>
  <c r="J181" i="151"/>
  <c r="I181" i="151"/>
  <c r="H181" i="151"/>
  <c r="G181" i="151"/>
  <c r="F181" i="151"/>
  <c r="E181" i="151"/>
  <c r="D181" i="151"/>
  <c r="C181" i="151"/>
  <c r="B181" i="151"/>
  <c r="N180" i="151"/>
  <c r="M180" i="151"/>
  <c r="L180" i="151"/>
  <c r="K180" i="151"/>
  <c r="J180" i="151"/>
  <c r="I180" i="151"/>
  <c r="H180" i="151"/>
  <c r="G180" i="151"/>
  <c r="F180" i="151"/>
  <c r="E180" i="151"/>
  <c r="D180" i="151"/>
  <c r="C180" i="151"/>
  <c r="B180" i="151"/>
  <c r="N179" i="151"/>
  <c r="M179" i="151"/>
  <c r="L179" i="151"/>
  <c r="K179" i="151"/>
  <c r="J179" i="151"/>
  <c r="I179" i="151"/>
  <c r="H179" i="151"/>
  <c r="G179" i="151"/>
  <c r="F179" i="151"/>
  <c r="E179" i="151"/>
  <c r="D179" i="151"/>
  <c r="C179" i="151"/>
  <c r="B179" i="151"/>
  <c r="N178" i="151"/>
  <c r="M178" i="151"/>
  <c r="L178" i="151"/>
  <c r="K178" i="151"/>
  <c r="J178" i="151"/>
  <c r="I178" i="151"/>
  <c r="H178" i="151"/>
  <c r="G178" i="151"/>
  <c r="F178" i="151"/>
  <c r="E178" i="151"/>
  <c r="D178" i="151"/>
  <c r="C178" i="151"/>
  <c r="B178" i="151"/>
  <c r="N172" i="151"/>
  <c r="M172" i="151"/>
  <c r="L172" i="151"/>
  <c r="K172" i="151"/>
  <c r="J172" i="151"/>
  <c r="I172" i="151"/>
  <c r="H172" i="151"/>
  <c r="G172" i="151"/>
  <c r="F172" i="151"/>
  <c r="E172" i="151"/>
  <c r="D172" i="151"/>
  <c r="C172" i="151"/>
  <c r="A172" i="151"/>
  <c r="N171" i="151"/>
  <c r="M171" i="151"/>
  <c r="L171" i="151"/>
  <c r="K171" i="151"/>
  <c r="J171" i="151"/>
  <c r="I171" i="151"/>
  <c r="H171" i="151"/>
  <c r="G171" i="151"/>
  <c r="F171" i="151"/>
  <c r="E171" i="151"/>
  <c r="D171" i="151"/>
  <c r="C171" i="151"/>
  <c r="B171" i="151"/>
  <c r="N170" i="151"/>
  <c r="M170" i="151"/>
  <c r="L170" i="151"/>
  <c r="K170" i="151"/>
  <c r="J170" i="151"/>
  <c r="I170" i="151"/>
  <c r="H170" i="151"/>
  <c r="G170" i="151"/>
  <c r="F170" i="151"/>
  <c r="E170" i="151"/>
  <c r="D170" i="151"/>
  <c r="C170" i="151"/>
  <c r="B170" i="151"/>
  <c r="N169" i="151"/>
  <c r="M169" i="151"/>
  <c r="L169" i="151"/>
  <c r="K169" i="151"/>
  <c r="J169" i="151"/>
  <c r="I169" i="151"/>
  <c r="H169" i="151"/>
  <c r="G169" i="151"/>
  <c r="F169" i="151"/>
  <c r="E169" i="151"/>
  <c r="D169" i="151"/>
  <c r="C169" i="151"/>
  <c r="B169" i="151"/>
  <c r="N168" i="151"/>
  <c r="M168" i="151"/>
  <c r="L168" i="151"/>
  <c r="K168" i="151"/>
  <c r="J168" i="151"/>
  <c r="I168" i="151"/>
  <c r="H168" i="151"/>
  <c r="G168" i="151"/>
  <c r="F168" i="151"/>
  <c r="E168" i="151"/>
  <c r="D168" i="151"/>
  <c r="C168" i="151"/>
  <c r="B168" i="151"/>
  <c r="N167" i="151"/>
  <c r="M167" i="151"/>
  <c r="L167" i="151"/>
  <c r="K167" i="151"/>
  <c r="J167" i="151"/>
  <c r="I167" i="151"/>
  <c r="H167" i="151"/>
  <c r="G167" i="151"/>
  <c r="F167" i="151"/>
  <c r="E167" i="151"/>
  <c r="D167" i="151"/>
  <c r="C167" i="151"/>
  <c r="B167" i="151"/>
  <c r="N166" i="151"/>
  <c r="M166" i="151"/>
  <c r="L166" i="151"/>
  <c r="K166" i="151"/>
  <c r="J166" i="151"/>
  <c r="I166" i="151"/>
  <c r="H166" i="151"/>
  <c r="G166" i="151"/>
  <c r="F166" i="151"/>
  <c r="E166" i="151"/>
  <c r="D166" i="151"/>
  <c r="C166" i="151"/>
  <c r="B166" i="151"/>
  <c r="N165" i="151"/>
  <c r="M165" i="151"/>
  <c r="L165" i="151"/>
  <c r="K165" i="151"/>
  <c r="J165" i="151"/>
  <c r="I165" i="151"/>
  <c r="H165" i="151"/>
  <c r="G165" i="151"/>
  <c r="F165" i="151"/>
  <c r="E165" i="151"/>
  <c r="D165" i="151"/>
  <c r="C165" i="151"/>
  <c r="B165" i="151"/>
  <c r="N164" i="151"/>
  <c r="M164" i="151"/>
  <c r="L164" i="151"/>
  <c r="K164" i="151"/>
  <c r="J164" i="151"/>
  <c r="I164" i="151"/>
  <c r="H164" i="151"/>
  <c r="G164" i="151"/>
  <c r="F164" i="151"/>
  <c r="E164" i="151"/>
  <c r="D164" i="151"/>
  <c r="C164" i="151"/>
  <c r="B164" i="151"/>
  <c r="N163" i="151"/>
  <c r="M163" i="151"/>
  <c r="L163" i="151"/>
  <c r="K163" i="151"/>
  <c r="J163" i="151"/>
  <c r="I163" i="151"/>
  <c r="H163" i="151"/>
  <c r="G163" i="151"/>
  <c r="F163" i="151"/>
  <c r="E163" i="151"/>
  <c r="D163" i="151"/>
  <c r="C163" i="151"/>
  <c r="B163" i="151"/>
  <c r="N162" i="151"/>
  <c r="M162" i="151"/>
  <c r="L162" i="151"/>
  <c r="K162" i="151"/>
  <c r="J162" i="151"/>
  <c r="I162" i="151"/>
  <c r="H162" i="151"/>
  <c r="G162" i="151"/>
  <c r="F162" i="151"/>
  <c r="E162" i="151"/>
  <c r="D162" i="151"/>
  <c r="C162" i="151"/>
  <c r="B162" i="151"/>
  <c r="N161" i="151"/>
  <c r="M161" i="151"/>
  <c r="L161" i="151"/>
  <c r="K161" i="151"/>
  <c r="J161" i="151"/>
  <c r="I161" i="151"/>
  <c r="H161" i="151"/>
  <c r="G161" i="151"/>
  <c r="F161" i="151"/>
  <c r="E161" i="151"/>
  <c r="D161" i="151"/>
  <c r="C161" i="151"/>
  <c r="B161" i="151"/>
  <c r="N160" i="151"/>
  <c r="M160" i="151"/>
  <c r="L160" i="151"/>
  <c r="K160" i="151"/>
  <c r="J160" i="151"/>
  <c r="I160" i="151"/>
  <c r="H160" i="151"/>
  <c r="G160" i="151"/>
  <c r="F160" i="151"/>
  <c r="E160" i="151"/>
  <c r="D160" i="151"/>
  <c r="C160" i="151"/>
  <c r="B160" i="151"/>
  <c r="N156" i="151"/>
  <c r="M156" i="151"/>
  <c r="L156" i="151"/>
  <c r="K156" i="151"/>
  <c r="J156" i="151"/>
  <c r="I156" i="151"/>
  <c r="H156" i="151"/>
  <c r="G156" i="151"/>
  <c r="F156" i="151"/>
  <c r="E156" i="151"/>
  <c r="D156" i="151"/>
  <c r="C156" i="151"/>
  <c r="A156" i="151"/>
  <c r="N155" i="151"/>
  <c r="M155" i="151"/>
  <c r="L155" i="151"/>
  <c r="K155" i="151"/>
  <c r="J155" i="151"/>
  <c r="I155" i="151"/>
  <c r="H155" i="151"/>
  <c r="G155" i="151"/>
  <c r="F155" i="151"/>
  <c r="E155" i="151"/>
  <c r="D155" i="151"/>
  <c r="C155" i="151"/>
  <c r="B155" i="151"/>
  <c r="N154" i="151"/>
  <c r="M154" i="151"/>
  <c r="L154" i="151"/>
  <c r="K154" i="151"/>
  <c r="J154" i="151"/>
  <c r="I154" i="151"/>
  <c r="H154" i="151"/>
  <c r="G154" i="151"/>
  <c r="F154" i="151"/>
  <c r="E154" i="151"/>
  <c r="D154" i="151"/>
  <c r="C154" i="151"/>
  <c r="B154" i="151"/>
  <c r="N153" i="151"/>
  <c r="M153" i="151"/>
  <c r="L153" i="151"/>
  <c r="K153" i="151"/>
  <c r="J153" i="151"/>
  <c r="I153" i="151"/>
  <c r="H153" i="151"/>
  <c r="G153" i="151"/>
  <c r="F153" i="151"/>
  <c r="E153" i="151"/>
  <c r="D153" i="151"/>
  <c r="C153" i="151"/>
  <c r="B153" i="151"/>
  <c r="N152" i="151"/>
  <c r="M152" i="151"/>
  <c r="L152" i="151"/>
  <c r="K152" i="151"/>
  <c r="J152" i="151"/>
  <c r="I152" i="151"/>
  <c r="H152" i="151"/>
  <c r="G152" i="151"/>
  <c r="F152" i="151"/>
  <c r="E152" i="151"/>
  <c r="D152" i="151"/>
  <c r="C152" i="151"/>
  <c r="B152" i="151"/>
  <c r="N151" i="151"/>
  <c r="M151" i="151"/>
  <c r="L151" i="151"/>
  <c r="K151" i="151"/>
  <c r="J151" i="151"/>
  <c r="I151" i="151"/>
  <c r="H151" i="151"/>
  <c r="G151" i="151"/>
  <c r="F151" i="151"/>
  <c r="E151" i="151"/>
  <c r="D151" i="151"/>
  <c r="C151" i="151"/>
  <c r="B151" i="151"/>
  <c r="N150" i="151"/>
  <c r="M150" i="151"/>
  <c r="L150" i="151"/>
  <c r="K150" i="151"/>
  <c r="J150" i="151"/>
  <c r="I150" i="151"/>
  <c r="H150" i="151"/>
  <c r="G150" i="151"/>
  <c r="F150" i="151"/>
  <c r="E150" i="151"/>
  <c r="D150" i="151"/>
  <c r="C150" i="151"/>
  <c r="B150" i="151"/>
  <c r="N149" i="151"/>
  <c r="M149" i="151"/>
  <c r="L149" i="151"/>
  <c r="K149" i="151"/>
  <c r="J149" i="151"/>
  <c r="I149" i="151"/>
  <c r="H149" i="151"/>
  <c r="G149" i="151"/>
  <c r="F149" i="151"/>
  <c r="E149" i="151"/>
  <c r="D149" i="151"/>
  <c r="C149" i="151"/>
  <c r="B149" i="151"/>
  <c r="N148" i="151"/>
  <c r="M148" i="151"/>
  <c r="L148" i="151"/>
  <c r="K148" i="151"/>
  <c r="J148" i="151"/>
  <c r="I148" i="151"/>
  <c r="H148" i="151"/>
  <c r="G148" i="151"/>
  <c r="F148" i="151"/>
  <c r="E148" i="151"/>
  <c r="D148" i="151"/>
  <c r="C148" i="151"/>
  <c r="B148" i="151"/>
  <c r="N147" i="151"/>
  <c r="M147" i="151"/>
  <c r="L147" i="151"/>
  <c r="K147" i="151"/>
  <c r="J147" i="151"/>
  <c r="I147" i="151"/>
  <c r="H147" i="151"/>
  <c r="G147" i="151"/>
  <c r="F147" i="151"/>
  <c r="E147" i="151"/>
  <c r="D147" i="151"/>
  <c r="C147" i="151"/>
  <c r="B147" i="151"/>
  <c r="N146" i="151"/>
  <c r="M146" i="151"/>
  <c r="L146" i="151"/>
  <c r="K146" i="151"/>
  <c r="J146" i="151"/>
  <c r="I146" i="151"/>
  <c r="H146" i="151"/>
  <c r="G146" i="151"/>
  <c r="F146" i="151"/>
  <c r="E146" i="151"/>
  <c r="D146" i="151"/>
  <c r="C146" i="151"/>
  <c r="B146" i="151"/>
  <c r="N145" i="151"/>
  <c r="M145" i="151"/>
  <c r="L145" i="151"/>
  <c r="K145" i="151"/>
  <c r="J145" i="151"/>
  <c r="I145" i="151"/>
  <c r="H145" i="151"/>
  <c r="G145" i="151"/>
  <c r="F145" i="151"/>
  <c r="E145" i="151"/>
  <c r="D145" i="151"/>
  <c r="C145" i="151"/>
  <c r="B145" i="151"/>
  <c r="N144" i="151"/>
  <c r="M144" i="151"/>
  <c r="L144" i="151"/>
  <c r="K144" i="151"/>
  <c r="J144" i="151"/>
  <c r="I144" i="151"/>
  <c r="H144" i="151"/>
  <c r="G144" i="151"/>
  <c r="F144" i="151"/>
  <c r="E144" i="151"/>
  <c r="D144" i="151"/>
  <c r="C144" i="151"/>
  <c r="B144" i="151"/>
  <c r="N138" i="151"/>
  <c r="M138" i="151"/>
  <c r="L138" i="151"/>
  <c r="K138" i="151"/>
  <c r="J138" i="151"/>
  <c r="I138" i="151"/>
  <c r="H138" i="151"/>
  <c r="G138" i="151"/>
  <c r="F138" i="151"/>
  <c r="E138" i="151"/>
  <c r="D138" i="151"/>
  <c r="C138" i="151"/>
  <c r="A138" i="151"/>
  <c r="N137" i="151"/>
  <c r="M137" i="151"/>
  <c r="L137" i="151"/>
  <c r="K137" i="151"/>
  <c r="J137" i="151"/>
  <c r="I137" i="151"/>
  <c r="H137" i="151"/>
  <c r="G137" i="151"/>
  <c r="F137" i="151"/>
  <c r="E137" i="151"/>
  <c r="D137" i="151"/>
  <c r="C137" i="151"/>
  <c r="B137" i="151"/>
  <c r="N136" i="151"/>
  <c r="M136" i="151"/>
  <c r="L136" i="151"/>
  <c r="K136" i="151"/>
  <c r="J136" i="151"/>
  <c r="I136" i="151"/>
  <c r="H136" i="151"/>
  <c r="G136" i="151"/>
  <c r="F136" i="151"/>
  <c r="E136" i="151"/>
  <c r="D136" i="151"/>
  <c r="C136" i="151"/>
  <c r="B136" i="151"/>
  <c r="N135" i="151"/>
  <c r="M135" i="151"/>
  <c r="L135" i="151"/>
  <c r="K135" i="151"/>
  <c r="J135" i="151"/>
  <c r="I135" i="151"/>
  <c r="H135" i="151"/>
  <c r="G135" i="151"/>
  <c r="F135" i="151"/>
  <c r="E135" i="151"/>
  <c r="D135" i="151"/>
  <c r="C135" i="151"/>
  <c r="B135" i="151"/>
  <c r="N134" i="151"/>
  <c r="M134" i="151"/>
  <c r="L134" i="151"/>
  <c r="K134" i="151"/>
  <c r="J134" i="151"/>
  <c r="I134" i="151"/>
  <c r="H134" i="151"/>
  <c r="G134" i="151"/>
  <c r="F134" i="151"/>
  <c r="E134" i="151"/>
  <c r="D134" i="151"/>
  <c r="C134" i="151"/>
  <c r="B134" i="151"/>
  <c r="N133" i="151"/>
  <c r="M133" i="151"/>
  <c r="L133" i="151"/>
  <c r="K133" i="151"/>
  <c r="J133" i="151"/>
  <c r="I133" i="151"/>
  <c r="H133" i="151"/>
  <c r="G133" i="151"/>
  <c r="F133" i="151"/>
  <c r="E133" i="151"/>
  <c r="D133" i="151"/>
  <c r="C133" i="151"/>
  <c r="B133" i="151"/>
  <c r="N132" i="151"/>
  <c r="M132" i="151"/>
  <c r="L132" i="151"/>
  <c r="K132" i="151"/>
  <c r="J132" i="151"/>
  <c r="I132" i="151"/>
  <c r="H132" i="151"/>
  <c r="G132" i="151"/>
  <c r="F132" i="151"/>
  <c r="E132" i="151"/>
  <c r="D132" i="151"/>
  <c r="C132" i="151"/>
  <c r="B132" i="151"/>
  <c r="N131" i="151"/>
  <c r="M131" i="151"/>
  <c r="L131" i="151"/>
  <c r="K131" i="151"/>
  <c r="J131" i="151"/>
  <c r="I131" i="151"/>
  <c r="H131" i="151"/>
  <c r="G131" i="151"/>
  <c r="F131" i="151"/>
  <c r="E131" i="151"/>
  <c r="D131" i="151"/>
  <c r="C131" i="151"/>
  <c r="B131" i="151"/>
  <c r="N130" i="151"/>
  <c r="M130" i="151"/>
  <c r="L130" i="151"/>
  <c r="K130" i="151"/>
  <c r="J130" i="151"/>
  <c r="I130" i="151"/>
  <c r="H130" i="151"/>
  <c r="G130" i="151"/>
  <c r="F130" i="151"/>
  <c r="E130" i="151"/>
  <c r="D130" i="151"/>
  <c r="C130" i="151"/>
  <c r="B130" i="151"/>
  <c r="N129" i="151"/>
  <c r="M129" i="151"/>
  <c r="L129" i="151"/>
  <c r="K129" i="151"/>
  <c r="J129" i="151"/>
  <c r="I129" i="151"/>
  <c r="H129" i="151"/>
  <c r="G129" i="151"/>
  <c r="F129" i="151"/>
  <c r="E129" i="151"/>
  <c r="D129" i="151"/>
  <c r="C129" i="151"/>
  <c r="B129" i="151"/>
  <c r="N128" i="151"/>
  <c r="M128" i="151"/>
  <c r="L128" i="151"/>
  <c r="K128" i="151"/>
  <c r="J128" i="151"/>
  <c r="I128" i="151"/>
  <c r="H128" i="151"/>
  <c r="G128" i="151"/>
  <c r="F128" i="151"/>
  <c r="E128" i="151"/>
  <c r="D128" i="151"/>
  <c r="C128" i="151"/>
  <c r="B128" i="151"/>
  <c r="N127" i="151"/>
  <c r="M127" i="151"/>
  <c r="L127" i="151"/>
  <c r="K127" i="151"/>
  <c r="J127" i="151"/>
  <c r="I127" i="151"/>
  <c r="H127" i="151"/>
  <c r="G127" i="151"/>
  <c r="F127" i="151"/>
  <c r="E127" i="151"/>
  <c r="D127" i="151"/>
  <c r="C127" i="151"/>
  <c r="B127" i="151"/>
  <c r="N126" i="151"/>
  <c r="M126" i="151"/>
  <c r="L126" i="151"/>
  <c r="K126" i="151"/>
  <c r="J126" i="151"/>
  <c r="I126" i="151"/>
  <c r="H126" i="151"/>
  <c r="G126" i="151"/>
  <c r="F126" i="151"/>
  <c r="E126" i="151"/>
  <c r="D126" i="151"/>
  <c r="C126" i="151"/>
  <c r="B126" i="151"/>
  <c r="N122" i="151"/>
  <c r="M122" i="151"/>
  <c r="L122" i="151"/>
  <c r="K122" i="151"/>
  <c r="J122" i="151"/>
  <c r="I122" i="151"/>
  <c r="H122" i="151"/>
  <c r="G122" i="151"/>
  <c r="F122" i="151"/>
  <c r="E122" i="151"/>
  <c r="D122" i="151"/>
  <c r="C122" i="151"/>
  <c r="A122" i="151"/>
  <c r="N121" i="151"/>
  <c r="M121" i="151"/>
  <c r="L121" i="151"/>
  <c r="K121" i="151"/>
  <c r="J121" i="151"/>
  <c r="I121" i="151"/>
  <c r="H121" i="151"/>
  <c r="G121" i="151"/>
  <c r="F121" i="151"/>
  <c r="E121" i="151"/>
  <c r="D121" i="151"/>
  <c r="C121" i="151"/>
  <c r="B121" i="151"/>
  <c r="N120" i="151"/>
  <c r="M120" i="151"/>
  <c r="L120" i="151"/>
  <c r="K120" i="151"/>
  <c r="J120" i="151"/>
  <c r="I120" i="151"/>
  <c r="H120" i="151"/>
  <c r="G120" i="151"/>
  <c r="F120" i="151"/>
  <c r="E120" i="151"/>
  <c r="D120" i="151"/>
  <c r="C120" i="151"/>
  <c r="B120" i="151"/>
  <c r="N119" i="151"/>
  <c r="M119" i="151"/>
  <c r="L119" i="151"/>
  <c r="K119" i="151"/>
  <c r="J119" i="151"/>
  <c r="I119" i="151"/>
  <c r="H119" i="151"/>
  <c r="G119" i="151"/>
  <c r="F119" i="151"/>
  <c r="E119" i="151"/>
  <c r="D119" i="151"/>
  <c r="C119" i="151"/>
  <c r="B119" i="151"/>
  <c r="N118" i="151"/>
  <c r="M118" i="151"/>
  <c r="L118" i="151"/>
  <c r="K118" i="151"/>
  <c r="J118" i="151"/>
  <c r="I118" i="151"/>
  <c r="H118" i="151"/>
  <c r="G118" i="151"/>
  <c r="F118" i="151"/>
  <c r="E118" i="151"/>
  <c r="D118" i="151"/>
  <c r="C118" i="151"/>
  <c r="B118" i="151"/>
  <c r="N117" i="151"/>
  <c r="M117" i="151"/>
  <c r="L117" i="151"/>
  <c r="K117" i="151"/>
  <c r="J117" i="151"/>
  <c r="I117" i="151"/>
  <c r="H117" i="151"/>
  <c r="G117" i="151"/>
  <c r="F117" i="151"/>
  <c r="E117" i="151"/>
  <c r="D117" i="151"/>
  <c r="C117" i="151"/>
  <c r="B117" i="151"/>
  <c r="N116" i="151"/>
  <c r="M116" i="151"/>
  <c r="L116" i="151"/>
  <c r="K116" i="151"/>
  <c r="J116" i="151"/>
  <c r="I116" i="151"/>
  <c r="H116" i="151"/>
  <c r="G116" i="151"/>
  <c r="F116" i="151"/>
  <c r="E116" i="151"/>
  <c r="D116" i="151"/>
  <c r="C116" i="151"/>
  <c r="B116" i="151"/>
  <c r="N115" i="151"/>
  <c r="M115" i="151"/>
  <c r="L115" i="151"/>
  <c r="K115" i="151"/>
  <c r="J115" i="151"/>
  <c r="I115" i="151"/>
  <c r="H115" i="151"/>
  <c r="G115" i="151"/>
  <c r="F115" i="151"/>
  <c r="E115" i="151"/>
  <c r="D115" i="151"/>
  <c r="C115" i="151"/>
  <c r="B115" i="151"/>
  <c r="N114" i="151"/>
  <c r="M114" i="151"/>
  <c r="L114" i="151"/>
  <c r="K114" i="151"/>
  <c r="J114" i="151"/>
  <c r="I114" i="151"/>
  <c r="H114" i="151"/>
  <c r="G114" i="151"/>
  <c r="F114" i="151"/>
  <c r="E114" i="151"/>
  <c r="D114" i="151"/>
  <c r="C114" i="151"/>
  <c r="B114" i="151"/>
  <c r="N113" i="151"/>
  <c r="M113" i="151"/>
  <c r="L113" i="151"/>
  <c r="K113" i="151"/>
  <c r="J113" i="151"/>
  <c r="I113" i="151"/>
  <c r="H113" i="151"/>
  <c r="G113" i="151"/>
  <c r="F113" i="151"/>
  <c r="E113" i="151"/>
  <c r="D113" i="151"/>
  <c r="C113" i="151"/>
  <c r="B113" i="151"/>
  <c r="N112" i="151"/>
  <c r="M112" i="151"/>
  <c r="L112" i="151"/>
  <c r="K112" i="151"/>
  <c r="J112" i="151"/>
  <c r="I112" i="151"/>
  <c r="H112" i="151"/>
  <c r="G112" i="151"/>
  <c r="F112" i="151"/>
  <c r="E112" i="151"/>
  <c r="D112" i="151"/>
  <c r="C112" i="151"/>
  <c r="B112" i="151"/>
  <c r="N111" i="151"/>
  <c r="M111" i="151"/>
  <c r="L111" i="151"/>
  <c r="K111" i="151"/>
  <c r="J111" i="151"/>
  <c r="I111" i="151"/>
  <c r="H111" i="151"/>
  <c r="G111" i="151"/>
  <c r="F111" i="151"/>
  <c r="E111" i="151"/>
  <c r="D111" i="151"/>
  <c r="C111" i="151"/>
  <c r="B111" i="151"/>
  <c r="N110" i="151"/>
  <c r="M110" i="151"/>
  <c r="L110" i="151"/>
  <c r="K110" i="151"/>
  <c r="J110" i="151"/>
  <c r="I110" i="151"/>
  <c r="H110" i="151"/>
  <c r="G110" i="151"/>
  <c r="F110" i="151"/>
  <c r="E110" i="151"/>
  <c r="D110" i="151"/>
  <c r="C110" i="151"/>
  <c r="B110" i="151"/>
  <c r="N104" i="151"/>
  <c r="M104" i="151"/>
  <c r="L104" i="151"/>
  <c r="K104" i="151"/>
  <c r="J104" i="151"/>
  <c r="I104" i="151"/>
  <c r="H104" i="151"/>
  <c r="G104" i="151"/>
  <c r="F104" i="151"/>
  <c r="E104" i="151"/>
  <c r="D104" i="151"/>
  <c r="C104" i="151"/>
  <c r="A104" i="151"/>
  <c r="N103" i="151"/>
  <c r="M103" i="151"/>
  <c r="L103" i="151"/>
  <c r="K103" i="151"/>
  <c r="J103" i="151"/>
  <c r="I103" i="151"/>
  <c r="H103" i="151"/>
  <c r="G103" i="151"/>
  <c r="F103" i="151"/>
  <c r="E103" i="151"/>
  <c r="D103" i="151"/>
  <c r="C103" i="151"/>
  <c r="B103" i="151"/>
  <c r="N102" i="151"/>
  <c r="M102" i="151"/>
  <c r="L102" i="151"/>
  <c r="K102" i="151"/>
  <c r="J102" i="151"/>
  <c r="I102" i="151"/>
  <c r="H102" i="151"/>
  <c r="G102" i="151"/>
  <c r="F102" i="151"/>
  <c r="E102" i="151"/>
  <c r="D102" i="151"/>
  <c r="C102" i="151"/>
  <c r="B102" i="151"/>
  <c r="N101" i="151"/>
  <c r="M101" i="151"/>
  <c r="L101" i="151"/>
  <c r="K101" i="151"/>
  <c r="J101" i="151"/>
  <c r="I101" i="151"/>
  <c r="H101" i="151"/>
  <c r="G101" i="151"/>
  <c r="F101" i="151"/>
  <c r="E101" i="151"/>
  <c r="D101" i="151"/>
  <c r="C101" i="151"/>
  <c r="B101" i="151"/>
  <c r="N100" i="151"/>
  <c r="M100" i="151"/>
  <c r="L100" i="151"/>
  <c r="K100" i="151"/>
  <c r="J100" i="151"/>
  <c r="I100" i="151"/>
  <c r="H100" i="151"/>
  <c r="G100" i="151"/>
  <c r="F100" i="151"/>
  <c r="E100" i="151"/>
  <c r="D100" i="151"/>
  <c r="C100" i="151"/>
  <c r="B100" i="151"/>
  <c r="N99" i="151"/>
  <c r="M99" i="151"/>
  <c r="L99" i="151"/>
  <c r="K99" i="151"/>
  <c r="J99" i="151"/>
  <c r="I99" i="151"/>
  <c r="H99" i="151"/>
  <c r="G99" i="151"/>
  <c r="F99" i="151"/>
  <c r="E99" i="151"/>
  <c r="D99" i="151"/>
  <c r="C99" i="151"/>
  <c r="B99" i="151"/>
  <c r="N98" i="151"/>
  <c r="M98" i="151"/>
  <c r="L98" i="151"/>
  <c r="K98" i="151"/>
  <c r="J98" i="151"/>
  <c r="I98" i="151"/>
  <c r="H98" i="151"/>
  <c r="G98" i="151"/>
  <c r="F98" i="151"/>
  <c r="E98" i="151"/>
  <c r="D98" i="151"/>
  <c r="C98" i="151"/>
  <c r="B98" i="151"/>
  <c r="N97" i="151"/>
  <c r="M97" i="151"/>
  <c r="L97" i="151"/>
  <c r="K97" i="151"/>
  <c r="J97" i="151"/>
  <c r="I97" i="151"/>
  <c r="H97" i="151"/>
  <c r="G97" i="151"/>
  <c r="F97" i="151"/>
  <c r="E97" i="151"/>
  <c r="D97" i="151"/>
  <c r="C97" i="151"/>
  <c r="B97" i="151"/>
  <c r="N96" i="151"/>
  <c r="M96" i="151"/>
  <c r="L96" i="151"/>
  <c r="K96" i="151"/>
  <c r="J96" i="151"/>
  <c r="I96" i="151"/>
  <c r="H96" i="151"/>
  <c r="G96" i="151"/>
  <c r="F96" i="151"/>
  <c r="E96" i="151"/>
  <c r="D96" i="151"/>
  <c r="C96" i="151"/>
  <c r="B96" i="151"/>
  <c r="N95" i="151"/>
  <c r="M95" i="151"/>
  <c r="L95" i="151"/>
  <c r="K95" i="151"/>
  <c r="J95" i="151"/>
  <c r="I95" i="151"/>
  <c r="H95" i="151"/>
  <c r="G95" i="151"/>
  <c r="F95" i="151"/>
  <c r="E95" i="151"/>
  <c r="D95" i="151"/>
  <c r="C95" i="151"/>
  <c r="B95" i="151"/>
  <c r="N94" i="151"/>
  <c r="M94" i="151"/>
  <c r="L94" i="151"/>
  <c r="K94" i="151"/>
  <c r="J94" i="151"/>
  <c r="I94" i="151"/>
  <c r="H94" i="151"/>
  <c r="G94" i="151"/>
  <c r="F94" i="151"/>
  <c r="E94" i="151"/>
  <c r="D94" i="151"/>
  <c r="C94" i="151"/>
  <c r="B94" i="151"/>
  <c r="N93" i="151"/>
  <c r="M93" i="151"/>
  <c r="L93" i="151"/>
  <c r="K93" i="151"/>
  <c r="J93" i="151"/>
  <c r="I93" i="151"/>
  <c r="H93" i="151"/>
  <c r="G93" i="151"/>
  <c r="F93" i="151"/>
  <c r="E93" i="151"/>
  <c r="D93" i="151"/>
  <c r="C93" i="151"/>
  <c r="B93" i="151"/>
  <c r="N92" i="151"/>
  <c r="M92" i="151"/>
  <c r="L92" i="151"/>
  <c r="K92" i="151"/>
  <c r="J92" i="151"/>
  <c r="I92" i="151"/>
  <c r="H92" i="151"/>
  <c r="G92" i="151"/>
  <c r="F92" i="151"/>
  <c r="E92" i="151"/>
  <c r="D92" i="151"/>
  <c r="C92" i="151"/>
  <c r="B92" i="151"/>
  <c r="N88" i="151"/>
  <c r="M88" i="151"/>
  <c r="L88" i="151"/>
  <c r="K88" i="151"/>
  <c r="J88" i="151"/>
  <c r="I88" i="151"/>
  <c r="H88" i="151"/>
  <c r="G88" i="151"/>
  <c r="F88" i="151"/>
  <c r="E88" i="151"/>
  <c r="D88" i="151"/>
  <c r="C88" i="151"/>
  <c r="A88" i="151"/>
  <c r="N87" i="151"/>
  <c r="M87" i="151"/>
  <c r="L87" i="151"/>
  <c r="K87" i="151"/>
  <c r="J87" i="151"/>
  <c r="I87" i="151"/>
  <c r="H87" i="151"/>
  <c r="G87" i="151"/>
  <c r="F87" i="151"/>
  <c r="E87" i="151"/>
  <c r="D87" i="151"/>
  <c r="C87" i="151"/>
  <c r="B87" i="151"/>
  <c r="N86" i="151"/>
  <c r="M86" i="151"/>
  <c r="L86" i="151"/>
  <c r="K86" i="151"/>
  <c r="J86" i="151"/>
  <c r="I86" i="151"/>
  <c r="H86" i="151"/>
  <c r="G86" i="151"/>
  <c r="F86" i="151"/>
  <c r="E86" i="151"/>
  <c r="D86" i="151"/>
  <c r="C86" i="151"/>
  <c r="B86" i="151"/>
  <c r="N85" i="151"/>
  <c r="M85" i="151"/>
  <c r="L85" i="151"/>
  <c r="K85" i="151"/>
  <c r="J85" i="151"/>
  <c r="I85" i="151"/>
  <c r="H85" i="151"/>
  <c r="G85" i="151"/>
  <c r="F85" i="151"/>
  <c r="E85" i="151"/>
  <c r="D85" i="151"/>
  <c r="C85" i="151"/>
  <c r="B85" i="151"/>
  <c r="N84" i="151"/>
  <c r="M84" i="151"/>
  <c r="L84" i="151"/>
  <c r="K84" i="151"/>
  <c r="J84" i="151"/>
  <c r="I84" i="151"/>
  <c r="H84" i="151"/>
  <c r="G84" i="151"/>
  <c r="F84" i="151"/>
  <c r="E84" i="151"/>
  <c r="D84" i="151"/>
  <c r="C84" i="151"/>
  <c r="B84" i="151"/>
  <c r="N83" i="151"/>
  <c r="M83" i="151"/>
  <c r="L83" i="151"/>
  <c r="K83" i="151"/>
  <c r="J83" i="151"/>
  <c r="I83" i="151"/>
  <c r="H83" i="151"/>
  <c r="G83" i="151"/>
  <c r="F83" i="151"/>
  <c r="E83" i="151"/>
  <c r="D83" i="151"/>
  <c r="C83" i="151"/>
  <c r="B83" i="151"/>
  <c r="N82" i="151"/>
  <c r="M82" i="151"/>
  <c r="L82" i="151"/>
  <c r="K82" i="151"/>
  <c r="J82" i="151"/>
  <c r="I82" i="151"/>
  <c r="H82" i="151"/>
  <c r="G82" i="151"/>
  <c r="F82" i="151"/>
  <c r="E82" i="151"/>
  <c r="D82" i="151"/>
  <c r="C82" i="151"/>
  <c r="B82" i="151"/>
  <c r="N81" i="151"/>
  <c r="M81" i="151"/>
  <c r="L81" i="151"/>
  <c r="K81" i="151"/>
  <c r="J81" i="151"/>
  <c r="I81" i="151"/>
  <c r="H81" i="151"/>
  <c r="G81" i="151"/>
  <c r="F81" i="151"/>
  <c r="E81" i="151"/>
  <c r="D81" i="151"/>
  <c r="C81" i="151"/>
  <c r="B81" i="151"/>
  <c r="N80" i="151"/>
  <c r="M80" i="151"/>
  <c r="L80" i="151"/>
  <c r="K80" i="151"/>
  <c r="J80" i="151"/>
  <c r="I80" i="151"/>
  <c r="H80" i="151"/>
  <c r="G80" i="151"/>
  <c r="F80" i="151"/>
  <c r="E80" i="151"/>
  <c r="D80" i="151"/>
  <c r="C80" i="151"/>
  <c r="B80" i="151"/>
  <c r="N79" i="151"/>
  <c r="M79" i="151"/>
  <c r="L79" i="151"/>
  <c r="K79" i="151"/>
  <c r="J79" i="151"/>
  <c r="I79" i="151"/>
  <c r="H79" i="151"/>
  <c r="G79" i="151"/>
  <c r="F79" i="151"/>
  <c r="E79" i="151"/>
  <c r="D79" i="151"/>
  <c r="C79" i="151"/>
  <c r="B79" i="151"/>
  <c r="N78" i="151"/>
  <c r="M78" i="151"/>
  <c r="L78" i="151"/>
  <c r="K78" i="151"/>
  <c r="J78" i="151"/>
  <c r="I78" i="151"/>
  <c r="H78" i="151"/>
  <c r="G78" i="151"/>
  <c r="F78" i="151"/>
  <c r="E78" i="151"/>
  <c r="D78" i="151"/>
  <c r="C78" i="151"/>
  <c r="B78" i="151"/>
  <c r="N77" i="151"/>
  <c r="M77" i="151"/>
  <c r="L77" i="151"/>
  <c r="K77" i="151"/>
  <c r="J77" i="151"/>
  <c r="I77" i="151"/>
  <c r="H77" i="151"/>
  <c r="G77" i="151"/>
  <c r="F77" i="151"/>
  <c r="E77" i="151"/>
  <c r="D77" i="151"/>
  <c r="C77" i="151"/>
  <c r="B77" i="151"/>
  <c r="N76" i="151"/>
  <c r="M76" i="151"/>
  <c r="L76" i="151"/>
  <c r="K76" i="151"/>
  <c r="J76" i="151"/>
  <c r="I76" i="151"/>
  <c r="H76" i="151"/>
  <c r="G76" i="151"/>
  <c r="F76" i="151"/>
  <c r="E76" i="151"/>
  <c r="D76" i="151"/>
  <c r="C76" i="151"/>
  <c r="B76" i="151"/>
  <c r="N70" i="151"/>
  <c r="M70" i="151"/>
  <c r="L70" i="151"/>
  <c r="K70" i="151"/>
  <c r="J70" i="151"/>
  <c r="I70" i="151"/>
  <c r="H70" i="151"/>
  <c r="G70" i="151"/>
  <c r="F70" i="151"/>
  <c r="E70" i="151"/>
  <c r="D70" i="151"/>
  <c r="C70" i="151"/>
  <c r="A70" i="151"/>
  <c r="N69" i="151"/>
  <c r="M69" i="151"/>
  <c r="L69" i="151"/>
  <c r="K69" i="151"/>
  <c r="J69" i="151"/>
  <c r="I69" i="151"/>
  <c r="H69" i="151"/>
  <c r="G69" i="151"/>
  <c r="F69" i="151"/>
  <c r="E69" i="151"/>
  <c r="D69" i="151"/>
  <c r="C69" i="151"/>
  <c r="B69" i="151"/>
  <c r="N68" i="151"/>
  <c r="M68" i="151"/>
  <c r="L68" i="151"/>
  <c r="K68" i="151"/>
  <c r="J68" i="151"/>
  <c r="I68" i="151"/>
  <c r="H68" i="151"/>
  <c r="G68" i="151"/>
  <c r="F68" i="151"/>
  <c r="E68" i="151"/>
  <c r="D68" i="151"/>
  <c r="C68" i="151"/>
  <c r="B68" i="151"/>
  <c r="N67" i="151"/>
  <c r="M67" i="151"/>
  <c r="L67" i="151"/>
  <c r="K67" i="151"/>
  <c r="J67" i="151"/>
  <c r="I67" i="151"/>
  <c r="H67" i="151"/>
  <c r="G67" i="151"/>
  <c r="F67" i="151"/>
  <c r="E67" i="151"/>
  <c r="D67" i="151"/>
  <c r="C67" i="151"/>
  <c r="B67" i="151"/>
  <c r="N66" i="151"/>
  <c r="M66" i="151"/>
  <c r="L66" i="151"/>
  <c r="K66" i="151"/>
  <c r="J66" i="151"/>
  <c r="I66" i="151"/>
  <c r="H66" i="151"/>
  <c r="G66" i="151"/>
  <c r="F66" i="151"/>
  <c r="E66" i="151"/>
  <c r="D66" i="151"/>
  <c r="C66" i="151"/>
  <c r="B66" i="151"/>
  <c r="N65" i="151"/>
  <c r="M65" i="151"/>
  <c r="L65" i="151"/>
  <c r="K65" i="151"/>
  <c r="J65" i="151"/>
  <c r="I65" i="151"/>
  <c r="H65" i="151"/>
  <c r="G65" i="151"/>
  <c r="F65" i="151"/>
  <c r="E65" i="151"/>
  <c r="D65" i="151"/>
  <c r="C65" i="151"/>
  <c r="B65" i="151"/>
  <c r="N64" i="151"/>
  <c r="M64" i="151"/>
  <c r="L64" i="151"/>
  <c r="K64" i="151"/>
  <c r="J64" i="151"/>
  <c r="I64" i="151"/>
  <c r="H64" i="151"/>
  <c r="G64" i="151"/>
  <c r="F64" i="151"/>
  <c r="E64" i="151"/>
  <c r="D64" i="151"/>
  <c r="C64" i="151"/>
  <c r="B64" i="151"/>
  <c r="N63" i="151"/>
  <c r="M63" i="151"/>
  <c r="L63" i="151"/>
  <c r="K63" i="151"/>
  <c r="J63" i="151"/>
  <c r="I63" i="151"/>
  <c r="H63" i="151"/>
  <c r="G63" i="151"/>
  <c r="F63" i="151"/>
  <c r="E63" i="151"/>
  <c r="D63" i="151"/>
  <c r="C63" i="151"/>
  <c r="B63" i="151"/>
  <c r="N62" i="151"/>
  <c r="M62" i="151"/>
  <c r="L62" i="151"/>
  <c r="K62" i="151"/>
  <c r="J62" i="151"/>
  <c r="I62" i="151"/>
  <c r="H62" i="151"/>
  <c r="G62" i="151"/>
  <c r="F62" i="151"/>
  <c r="E62" i="151"/>
  <c r="D62" i="151"/>
  <c r="C62" i="151"/>
  <c r="B62" i="151"/>
  <c r="N61" i="151"/>
  <c r="M61" i="151"/>
  <c r="L61" i="151"/>
  <c r="K61" i="151"/>
  <c r="J61" i="151"/>
  <c r="I61" i="151"/>
  <c r="H61" i="151"/>
  <c r="G61" i="151"/>
  <c r="F61" i="151"/>
  <c r="E61" i="151"/>
  <c r="D61" i="151"/>
  <c r="C61" i="151"/>
  <c r="B61" i="151"/>
  <c r="N60" i="151"/>
  <c r="M60" i="151"/>
  <c r="L60" i="151"/>
  <c r="K60" i="151"/>
  <c r="J60" i="151"/>
  <c r="I60" i="151"/>
  <c r="H60" i="151"/>
  <c r="G60" i="151"/>
  <c r="F60" i="151"/>
  <c r="E60" i="151"/>
  <c r="D60" i="151"/>
  <c r="C60" i="151"/>
  <c r="B60" i="151"/>
  <c r="N59" i="151"/>
  <c r="M59" i="151"/>
  <c r="L59" i="151"/>
  <c r="K59" i="151"/>
  <c r="J59" i="151"/>
  <c r="I59" i="151"/>
  <c r="H59" i="151"/>
  <c r="G59" i="151"/>
  <c r="F59" i="151"/>
  <c r="E59" i="151"/>
  <c r="D59" i="151"/>
  <c r="C59" i="151"/>
  <c r="B59" i="151"/>
  <c r="N58" i="151"/>
  <c r="M58" i="151"/>
  <c r="L58" i="151"/>
  <c r="K58" i="151"/>
  <c r="J58" i="151"/>
  <c r="I58" i="151"/>
  <c r="H58" i="151"/>
  <c r="G58" i="151"/>
  <c r="F58" i="151"/>
  <c r="E58" i="151"/>
  <c r="D58" i="151"/>
  <c r="C58" i="151"/>
  <c r="B58" i="151"/>
  <c r="N54" i="151"/>
  <c r="M54" i="151"/>
  <c r="L54" i="151"/>
  <c r="K54" i="151"/>
  <c r="J54" i="151"/>
  <c r="I54" i="151"/>
  <c r="H54" i="151"/>
  <c r="G54" i="151"/>
  <c r="F54" i="151"/>
  <c r="E54" i="151"/>
  <c r="D54" i="151"/>
  <c r="C54" i="151"/>
  <c r="A54" i="151"/>
  <c r="N53" i="151"/>
  <c r="M53" i="151"/>
  <c r="L53" i="151"/>
  <c r="K53" i="151"/>
  <c r="J53" i="151"/>
  <c r="I53" i="151"/>
  <c r="H53" i="151"/>
  <c r="G53" i="151"/>
  <c r="F53" i="151"/>
  <c r="E53" i="151"/>
  <c r="D53" i="151"/>
  <c r="C53" i="151"/>
  <c r="B53" i="151"/>
  <c r="N52" i="151"/>
  <c r="M52" i="151"/>
  <c r="L52" i="151"/>
  <c r="K52" i="151"/>
  <c r="J52" i="151"/>
  <c r="I52" i="151"/>
  <c r="H52" i="151"/>
  <c r="G52" i="151"/>
  <c r="F52" i="151"/>
  <c r="E52" i="151"/>
  <c r="D52" i="151"/>
  <c r="C52" i="151"/>
  <c r="B52" i="151"/>
  <c r="N51" i="151"/>
  <c r="M51" i="151"/>
  <c r="L51" i="151"/>
  <c r="K51" i="151"/>
  <c r="J51" i="151"/>
  <c r="I51" i="151"/>
  <c r="H51" i="151"/>
  <c r="G51" i="151"/>
  <c r="F51" i="151"/>
  <c r="E51" i="151"/>
  <c r="D51" i="151"/>
  <c r="C51" i="151"/>
  <c r="B51" i="151"/>
  <c r="N50" i="151"/>
  <c r="M50" i="151"/>
  <c r="L50" i="151"/>
  <c r="K50" i="151"/>
  <c r="J50" i="151"/>
  <c r="I50" i="151"/>
  <c r="H50" i="151"/>
  <c r="G50" i="151"/>
  <c r="F50" i="151"/>
  <c r="E50" i="151"/>
  <c r="D50" i="151"/>
  <c r="C50" i="151"/>
  <c r="B50" i="151"/>
  <c r="N49" i="151"/>
  <c r="M49" i="151"/>
  <c r="L49" i="151"/>
  <c r="K49" i="151"/>
  <c r="J49" i="151"/>
  <c r="I49" i="151"/>
  <c r="H49" i="151"/>
  <c r="G49" i="151"/>
  <c r="F49" i="151"/>
  <c r="E49" i="151"/>
  <c r="D49" i="151"/>
  <c r="C49" i="151"/>
  <c r="B49" i="151"/>
  <c r="N48" i="151"/>
  <c r="M48" i="151"/>
  <c r="L48" i="151"/>
  <c r="K48" i="151"/>
  <c r="J48" i="151"/>
  <c r="I48" i="151"/>
  <c r="H48" i="151"/>
  <c r="G48" i="151"/>
  <c r="F48" i="151"/>
  <c r="E48" i="151"/>
  <c r="D48" i="151"/>
  <c r="C48" i="151"/>
  <c r="B48" i="151"/>
  <c r="N47" i="151"/>
  <c r="M47" i="151"/>
  <c r="L47" i="151"/>
  <c r="K47" i="151"/>
  <c r="J47" i="151"/>
  <c r="I47" i="151"/>
  <c r="H47" i="151"/>
  <c r="G47" i="151"/>
  <c r="F47" i="151"/>
  <c r="E47" i="151"/>
  <c r="D47" i="151"/>
  <c r="C47" i="151"/>
  <c r="B47" i="151"/>
  <c r="N46" i="151"/>
  <c r="M46" i="151"/>
  <c r="L46" i="151"/>
  <c r="K46" i="151"/>
  <c r="J46" i="151"/>
  <c r="I46" i="151"/>
  <c r="H46" i="151"/>
  <c r="G46" i="151"/>
  <c r="F46" i="151"/>
  <c r="E46" i="151"/>
  <c r="D46" i="151"/>
  <c r="C46" i="151"/>
  <c r="B46" i="151"/>
  <c r="N45" i="151"/>
  <c r="M45" i="151"/>
  <c r="L45" i="151"/>
  <c r="K45" i="151"/>
  <c r="J45" i="151"/>
  <c r="I45" i="151"/>
  <c r="H45" i="151"/>
  <c r="G45" i="151"/>
  <c r="F45" i="151"/>
  <c r="E45" i="151"/>
  <c r="D45" i="151"/>
  <c r="C45" i="151"/>
  <c r="B45" i="151"/>
  <c r="N44" i="151"/>
  <c r="M44" i="151"/>
  <c r="L44" i="151"/>
  <c r="K44" i="151"/>
  <c r="J44" i="151"/>
  <c r="I44" i="151"/>
  <c r="H44" i="151"/>
  <c r="G44" i="151"/>
  <c r="F44" i="151"/>
  <c r="E44" i="151"/>
  <c r="D44" i="151"/>
  <c r="C44" i="151"/>
  <c r="B44" i="151"/>
  <c r="N43" i="151"/>
  <c r="M43" i="151"/>
  <c r="L43" i="151"/>
  <c r="K43" i="151"/>
  <c r="J43" i="151"/>
  <c r="I43" i="151"/>
  <c r="H43" i="151"/>
  <c r="G43" i="151"/>
  <c r="F43" i="151"/>
  <c r="E43" i="151"/>
  <c r="D43" i="151"/>
  <c r="C43" i="151"/>
  <c r="B43" i="151"/>
  <c r="N42" i="151"/>
  <c r="M42" i="151"/>
  <c r="L42" i="151"/>
  <c r="K42" i="151"/>
  <c r="J42" i="151"/>
  <c r="I42" i="151"/>
  <c r="H42" i="151"/>
  <c r="G42" i="151"/>
  <c r="F42" i="151"/>
  <c r="E42" i="151"/>
  <c r="D42" i="151"/>
  <c r="C42" i="151"/>
  <c r="B42" i="151"/>
  <c r="N36" i="151"/>
  <c r="M36" i="151"/>
  <c r="L36" i="151"/>
  <c r="K36" i="151"/>
  <c r="J36" i="151"/>
  <c r="I36" i="151"/>
  <c r="H36" i="151"/>
  <c r="G36" i="151"/>
  <c r="F36" i="151"/>
  <c r="E36" i="151"/>
  <c r="D36" i="151"/>
  <c r="C36" i="151"/>
  <c r="B36" i="151"/>
  <c r="N35" i="151"/>
  <c r="M35" i="151"/>
  <c r="L35" i="151"/>
  <c r="K35" i="151"/>
  <c r="J35" i="151"/>
  <c r="I35" i="151"/>
  <c r="H35" i="151"/>
  <c r="G35" i="151"/>
  <c r="F35" i="151"/>
  <c r="E35" i="151"/>
  <c r="D35" i="151"/>
  <c r="C35" i="151"/>
  <c r="B35" i="151"/>
  <c r="I31" i="151"/>
  <c r="H31" i="151"/>
  <c r="G31" i="151"/>
  <c r="E31" i="151"/>
  <c r="D31" i="151"/>
  <c r="C31" i="151"/>
  <c r="B31" i="151"/>
  <c r="A31" i="151"/>
  <c r="D30" i="151"/>
  <c r="C30" i="151"/>
  <c r="B30" i="151"/>
  <c r="D29" i="151"/>
  <c r="C29" i="151"/>
  <c r="B29" i="151"/>
  <c r="D28" i="151"/>
  <c r="C28" i="151"/>
  <c r="B28" i="151"/>
  <c r="D27" i="151"/>
  <c r="C27" i="151"/>
  <c r="B27" i="151"/>
  <c r="D26" i="151"/>
  <c r="C26" i="151"/>
  <c r="B26" i="151"/>
  <c r="D25" i="151"/>
  <c r="C25" i="151"/>
  <c r="B25" i="151"/>
  <c r="D24" i="151"/>
  <c r="C24" i="151"/>
  <c r="B24" i="151"/>
  <c r="D23" i="151"/>
  <c r="C23" i="151"/>
  <c r="B23" i="151"/>
  <c r="D22" i="151"/>
  <c r="C22" i="151"/>
  <c r="B22" i="151"/>
  <c r="D21" i="151"/>
  <c r="C21" i="151"/>
  <c r="B21" i="151"/>
  <c r="D20" i="151"/>
  <c r="C20" i="151"/>
  <c r="C19" i="151"/>
  <c r="B19" i="151"/>
  <c r="N15" i="151"/>
  <c r="M15" i="151"/>
  <c r="L15" i="151"/>
  <c r="K15" i="151"/>
  <c r="J15" i="151"/>
  <c r="I15" i="151"/>
  <c r="H15" i="151"/>
  <c r="G15" i="151"/>
  <c r="F15" i="151"/>
  <c r="E15" i="151"/>
  <c r="D15" i="151"/>
  <c r="C15" i="151"/>
  <c r="B15" i="151"/>
  <c r="N14" i="151"/>
  <c r="M14" i="151"/>
  <c r="L14" i="151"/>
  <c r="K14" i="151"/>
  <c r="J14" i="151"/>
  <c r="I14" i="151"/>
  <c r="H14" i="151"/>
  <c r="G14" i="151"/>
  <c r="F14" i="151"/>
  <c r="E14" i="151"/>
  <c r="D14" i="151"/>
  <c r="C14" i="151"/>
  <c r="B14" i="151"/>
  <c r="A10" i="151"/>
  <c r="A1" i="151"/>
  <c r="N371" i="150"/>
  <c r="M371" i="150"/>
  <c r="L371" i="150"/>
  <c r="K371" i="150"/>
  <c r="J371" i="150"/>
  <c r="I371" i="150"/>
  <c r="H371" i="150"/>
  <c r="G371" i="150"/>
  <c r="F371" i="150"/>
  <c r="E371" i="150"/>
  <c r="D371" i="150"/>
  <c r="C371" i="150"/>
  <c r="A371" i="150"/>
  <c r="N370" i="150"/>
  <c r="M370" i="150"/>
  <c r="L370" i="150"/>
  <c r="K370" i="150"/>
  <c r="J370" i="150"/>
  <c r="I370" i="150"/>
  <c r="H370" i="150"/>
  <c r="G370" i="150"/>
  <c r="F370" i="150"/>
  <c r="E370" i="150"/>
  <c r="D370" i="150"/>
  <c r="C370" i="150"/>
  <c r="A370" i="150"/>
  <c r="N369" i="150"/>
  <c r="M369" i="150"/>
  <c r="L369" i="150"/>
  <c r="K369" i="150"/>
  <c r="J369" i="150"/>
  <c r="I369" i="150"/>
  <c r="H369" i="150"/>
  <c r="G369" i="150"/>
  <c r="F369" i="150"/>
  <c r="E369" i="150"/>
  <c r="D369" i="150"/>
  <c r="C369" i="150"/>
  <c r="N368" i="150"/>
  <c r="M368" i="150"/>
  <c r="L368" i="150"/>
  <c r="K368" i="150"/>
  <c r="J368" i="150"/>
  <c r="I368" i="150"/>
  <c r="H368" i="150"/>
  <c r="G368" i="150"/>
  <c r="F368" i="150"/>
  <c r="E368" i="150"/>
  <c r="D368" i="150"/>
  <c r="C368" i="150"/>
  <c r="N367" i="150"/>
  <c r="M367" i="150"/>
  <c r="L367" i="150"/>
  <c r="K367" i="150"/>
  <c r="J367" i="150"/>
  <c r="I367" i="150"/>
  <c r="H367" i="150"/>
  <c r="G367" i="150"/>
  <c r="F367" i="150"/>
  <c r="E367" i="150"/>
  <c r="D367" i="150"/>
  <c r="C367" i="150"/>
  <c r="A367" i="150"/>
  <c r="N366" i="150"/>
  <c r="M366" i="150"/>
  <c r="L366" i="150"/>
  <c r="K366" i="150"/>
  <c r="J366" i="150"/>
  <c r="I366" i="150"/>
  <c r="H366" i="150"/>
  <c r="G366" i="150"/>
  <c r="F366" i="150"/>
  <c r="E366" i="150"/>
  <c r="D366" i="150"/>
  <c r="C366" i="150"/>
  <c r="B366" i="150"/>
  <c r="N365" i="150"/>
  <c r="M365" i="150"/>
  <c r="L365" i="150"/>
  <c r="K365" i="150"/>
  <c r="J365" i="150"/>
  <c r="I365" i="150"/>
  <c r="H365" i="150"/>
  <c r="G365" i="150"/>
  <c r="F365" i="150"/>
  <c r="E365" i="150"/>
  <c r="D365" i="150"/>
  <c r="C365" i="150"/>
  <c r="B365" i="150"/>
  <c r="N364" i="150"/>
  <c r="M364" i="150"/>
  <c r="L364" i="150"/>
  <c r="K364" i="150"/>
  <c r="J364" i="150"/>
  <c r="I364" i="150"/>
  <c r="H364" i="150"/>
  <c r="G364" i="150"/>
  <c r="F364" i="150"/>
  <c r="E364" i="150"/>
  <c r="D364" i="150"/>
  <c r="C364" i="150"/>
  <c r="B364" i="150"/>
  <c r="N363" i="150"/>
  <c r="M363" i="150"/>
  <c r="L363" i="150"/>
  <c r="K363" i="150"/>
  <c r="J363" i="150"/>
  <c r="I363" i="150"/>
  <c r="H363" i="150"/>
  <c r="G363" i="150"/>
  <c r="F363" i="150"/>
  <c r="E363" i="150"/>
  <c r="D363" i="150"/>
  <c r="C363" i="150"/>
  <c r="B363" i="150"/>
  <c r="N362" i="150"/>
  <c r="M362" i="150"/>
  <c r="L362" i="150"/>
  <c r="K362" i="150"/>
  <c r="J362" i="150"/>
  <c r="I362" i="150"/>
  <c r="H362" i="150"/>
  <c r="G362" i="150"/>
  <c r="F362" i="150"/>
  <c r="E362" i="150"/>
  <c r="D362" i="150"/>
  <c r="C362" i="150"/>
  <c r="B362" i="150"/>
  <c r="N361" i="150"/>
  <c r="M361" i="150"/>
  <c r="L361" i="150"/>
  <c r="K361" i="150"/>
  <c r="J361" i="150"/>
  <c r="I361" i="150"/>
  <c r="H361" i="150"/>
  <c r="G361" i="150"/>
  <c r="F361" i="150"/>
  <c r="E361" i="150"/>
  <c r="D361" i="150"/>
  <c r="C361" i="150"/>
  <c r="B361" i="150"/>
  <c r="N360" i="150"/>
  <c r="M360" i="150"/>
  <c r="L360" i="150"/>
  <c r="K360" i="150"/>
  <c r="J360" i="150"/>
  <c r="I360" i="150"/>
  <c r="H360" i="150"/>
  <c r="G360" i="150"/>
  <c r="F360" i="150"/>
  <c r="E360" i="150"/>
  <c r="D360" i="150"/>
  <c r="C360" i="150"/>
  <c r="B360" i="150"/>
  <c r="N359" i="150"/>
  <c r="M359" i="150"/>
  <c r="L359" i="150"/>
  <c r="K359" i="150"/>
  <c r="J359" i="150"/>
  <c r="I359" i="150"/>
  <c r="H359" i="150"/>
  <c r="G359" i="150"/>
  <c r="F359" i="150"/>
  <c r="E359" i="150"/>
  <c r="D359" i="150"/>
  <c r="C359" i="150"/>
  <c r="B359" i="150"/>
  <c r="N358" i="150"/>
  <c r="M358" i="150"/>
  <c r="L358" i="150"/>
  <c r="K358" i="150"/>
  <c r="J358" i="150"/>
  <c r="I358" i="150"/>
  <c r="H358" i="150"/>
  <c r="G358" i="150"/>
  <c r="F358" i="150"/>
  <c r="E358" i="150"/>
  <c r="D358" i="150"/>
  <c r="C358" i="150"/>
  <c r="B358" i="150"/>
  <c r="N357" i="150"/>
  <c r="M357" i="150"/>
  <c r="L357" i="150"/>
  <c r="K357" i="150"/>
  <c r="J357" i="150"/>
  <c r="I357" i="150"/>
  <c r="H357" i="150"/>
  <c r="G357" i="150"/>
  <c r="F357" i="150"/>
  <c r="E357" i="150"/>
  <c r="D357" i="150"/>
  <c r="C357" i="150"/>
  <c r="B357" i="150"/>
  <c r="N356" i="150"/>
  <c r="M356" i="150"/>
  <c r="L356" i="150"/>
  <c r="K356" i="150"/>
  <c r="J356" i="150"/>
  <c r="I356" i="150"/>
  <c r="H356" i="150"/>
  <c r="G356" i="150"/>
  <c r="F356" i="150"/>
  <c r="E356" i="150"/>
  <c r="D356" i="150"/>
  <c r="C356" i="150"/>
  <c r="B356" i="150"/>
  <c r="N355" i="150"/>
  <c r="M355" i="150"/>
  <c r="L355" i="150"/>
  <c r="K355" i="150"/>
  <c r="J355" i="150"/>
  <c r="I355" i="150"/>
  <c r="H355" i="150"/>
  <c r="G355" i="150"/>
  <c r="F355" i="150"/>
  <c r="E355" i="150"/>
  <c r="D355" i="150"/>
  <c r="C355" i="150"/>
  <c r="B355" i="150"/>
  <c r="N351" i="150"/>
  <c r="M351" i="150"/>
  <c r="L351" i="150"/>
  <c r="K351" i="150"/>
  <c r="J351" i="150"/>
  <c r="I351" i="150"/>
  <c r="H351" i="150"/>
  <c r="G351" i="150"/>
  <c r="F351" i="150"/>
  <c r="E351" i="150"/>
  <c r="D351" i="150"/>
  <c r="C351" i="150"/>
  <c r="A351" i="150"/>
  <c r="N350" i="150"/>
  <c r="M350" i="150"/>
  <c r="L350" i="150"/>
  <c r="K350" i="150"/>
  <c r="J350" i="150"/>
  <c r="I350" i="150"/>
  <c r="H350" i="150"/>
  <c r="G350" i="150"/>
  <c r="F350" i="150"/>
  <c r="E350" i="150"/>
  <c r="D350" i="150"/>
  <c r="C350" i="150"/>
  <c r="B350" i="150"/>
  <c r="N349" i="150"/>
  <c r="M349" i="150"/>
  <c r="L349" i="150"/>
  <c r="K349" i="150"/>
  <c r="J349" i="150"/>
  <c r="I349" i="150"/>
  <c r="H349" i="150"/>
  <c r="G349" i="150"/>
  <c r="F349" i="150"/>
  <c r="E349" i="150"/>
  <c r="D349" i="150"/>
  <c r="C349" i="150"/>
  <c r="B349" i="150"/>
  <c r="N348" i="150"/>
  <c r="M348" i="150"/>
  <c r="L348" i="150"/>
  <c r="K348" i="150"/>
  <c r="J348" i="150"/>
  <c r="I348" i="150"/>
  <c r="H348" i="150"/>
  <c r="G348" i="150"/>
  <c r="F348" i="150"/>
  <c r="E348" i="150"/>
  <c r="D348" i="150"/>
  <c r="C348" i="150"/>
  <c r="B348" i="150"/>
  <c r="N347" i="150"/>
  <c r="M347" i="150"/>
  <c r="L347" i="150"/>
  <c r="K347" i="150"/>
  <c r="J347" i="150"/>
  <c r="I347" i="150"/>
  <c r="H347" i="150"/>
  <c r="G347" i="150"/>
  <c r="F347" i="150"/>
  <c r="E347" i="150"/>
  <c r="D347" i="150"/>
  <c r="C347" i="150"/>
  <c r="B347" i="150"/>
  <c r="N346" i="150"/>
  <c r="M346" i="150"/>
  <c r="L346" i="150"/>
  <c r="K346" i="150"/>
  <c r="J346" i="150"/>
  <c r="I346" i="150"/>
  <c r="H346" i="150"/>
  <c r="G346" i="150"/>
  <c r="F346" i="150"/>
  <c r="E346" i="150"/>
  <c r="D346" i="150"/>
  <c r="C346" i="150"/>
  <c r="B346" i="150"/>
  <c r="N345" i="150"/>
  <c r="M345" i="150"/>
  <c r="L345" i="150"/>
  <c r="K345" i="150"/>
  <c r="J345" i="150"/>
  <c r="I345" i="150"/>
  <c r="H345" i="150"/>
  <c r="G345" i="150"/>
  <c r="F345" i="150"/>
  <c r="E345" i="150"/>
  <c r="D345" i="150"/>
  <c r="C345" i="150"/>
  <c r="B345" i="150"/>
  <c r="N344" i="150"/>
  <c r="M344" i="150"/>
  <c r="L344" i="150"/>
  <c r="K344" i="150"/>
  <c r="J344" i="150"/>
  <c r="I344" i="150"/>
  <c r="H344" i="150"/>
  <c r="G344" i="150"/>
  <c r="F344" i="150"/>
  <c r="E344" i="150"/>
  <c r="D344" i="150"/>
  <c r="C344" i="150"/>
  <c r="B344" i="150"/>
  <c r="N343" i="150"/>
  <c r="M343" i="150"/>
  <c r="L343" i="150"/>
  <c r="K343" i="150"/>
  <c r="J343" i="150"/>
  <c r="I343" i="150"/>
  <c r="H343" i="150"/>
  <c r="G343" i="150"/>
  <c r="F343" i="150"/>
  <c r="E343" i="150"/>
  <c r="D343" i="150"/>
  <c r="C343" i="150"/>
  <c r="B343" i="150"/>
  <c r="N342" i="150"/>
  <c r="M342" i="150"/>
  <c r="L342" i="150"/>
  <c r="K342" i="150"/>
  <c r="J342" i="150"/>
  <c r="I342" i="150"/>
  <c r="H342" i="150"/>
  <c r="G342" i="150"/>
  <c r="F342" i="150"/>
  <c r="E342" i="150"/>
  <c r="D342" i="150"/>
  <c r="C342" i="150"/>
  <c r="B342" i="150"/>
  <c r="N341" i="150"/>
  <c r="M341" i="150"/>
  <c r="L341" i="150"/>
  <c r="K341" i="150"/>
  <c r="J341" i="150"/>
  <c r="I341" i="150"/>
  <c r="H341" i="150"/>
  <c r="G341" i="150"/>
  <c r="F341" i="150"/>
  <c r="E341" i="150"/>
  <c r="D341" i="150"/>
  <c r="C341" i="150"/>
  <c r="B341" i="150"/>
  <c r="N340" i="150"/>
  <c r="M340" i="150"/>
  <c r="L340" i="150"/>
  <c r="K340" i="150"/>
  <c r="J340" i="150"/>
  <c r="I340" i="150"/>
  <c r="H340" i="150"/>
  <c r="G340" i="150"/>
  <c r="F340" i="150"/>
  <c r="E340" i="150"/>
  <c r="D340" i="150"/>
  <c r="C340" i="150"/>
  <c r="B340" i="150"/>
  <c r="N339" i="150"/>
  <c r="M339" i="150"/>
  <c r="L339" i="150"/>
  <c r="K339" i="150"/>
  <c r="J339" i="150"/>
  <c r="I339" i="150"/>
  <c r="H339" i="150"/>
  <c r="G339" i="150"/>
  <c r="F339" i="150"/>
  <c r="E339" i="150"/>
  <c r="D339" i="150"/>
  <c r="C339" i="150"/>
  <c r="B339" i="150"/>
  <c r="N333" i="150"/>
  <c r="M333" i="150"/>
  <c r="L333" i="150"/>
  <c r="K333" i="150"/>
  <c r="J333" i="150"/>
  <c r="I333" i="150"/>
  <c r="H333" i="150"/>
  <c r="G333" i="150"/>
  <c r="F333" i="150"/>
  <c r="E333" i="150"/>
  <c r="D333" i="150"/>
  <c r="C333" i="150"/>
  <c r="A333" i="150"/>
  <c r="N332" i="150"/>
  <c r="M332" i="150"/>
  <c r="L332" i="150"/>
  <c r="K332" i="150"/>
  <c r="J332" i="150"/>
  <c r="I332" i="150"/>
  <c r="H332" i="150"/>
  <c r="G332" i="150"/>
  <c r="F332" i="150"/>
  <c r="E332" i="150"/>
  <c r="D332" i="150"/>
  <c r="C332" i="150"/>
  <c r="N331" i="150"/>
  <c r="M331" i="150"/>
  <c r="L331" i="150"/>
  <c r="K331" i="150"/>
  <c r="J331" i="150"/>
  <c r="I331" i="150"/>
  <c r="H331" i="150"/>
  <c r="G331" i="150"/>
  <c r="F331" i="150"/>
  <c r="E331" i="150"/>
  <c r="D331" i="150"/>
  <c r="C331" i="150"/>
  <c r="N330" i="150"/>
  <c r="M330" i="150"/>
  <c r="L330" i="150"/>
  <c r="K330" i="150"/>
  <c r="J330" i="150"/>
  <c r="I330" i="150"/>
  <c r="H330" i="150"/>
  <c r="G330" i="150"/>
  <c r="F330" i="150"/>
  <c r="E330" i="150"/>
  <c r="D330" i="150"/>
  <c r="C330" i="150"/>
  <c r="A330" i="150"/>
  <c r="N329" i="150"/>
  <c r="M329" i="150"/>
  <c r="L329" i="150"/>
  <c r="K329" i="150"/>
  <c r="J329" i="150"/>
  <c r="I329" i="150"/>
  <c r="H329" i="150"/>
  <c r="G329" i="150"/>
  <c r="F329" i="150"/>
  <c r="E329" i="150"/>
  <c r="D329" i="150"/>
  <c r="C329" i="150"/>
  <c r="B329" i="150"/>
  <c r="N328" i="150"/>
  <c r="M328" i="150"/>
  <c r="L328" i="150"/>
  <c r="K328" i="150"/>
  <c r="J328" i="150"/>
  <c r="I328" i="150"/>
  <c r="H328" i="150"/>
  <c r="G328" i="150"/>
  <c r="F328" i="150"/>
  <c r="E328" i="150"/>
  <c r="D328" i="150"/>
  <c r="C328" i="150"/>
  <c r="B328" i="150"/>
  <c r="N327" i="150"/>
  <c r="M327" i="150"/>
  <c r="L327" i="150"/>
  <c r="K327" i="150"/>
  <c r="J327" i="150"/>
  <c r="I327" i="150"/>
  <c r="H327" i="150"/>
  <c r="G327" i="150"/>
  <c r="F327" i="150"/>
  <c r="E327" i="150"/>
  <c r="D327" i="150"/>
  <c r="C327" i="150"/>
  <c r="B327" i="150"/>
  <c r="N326" i="150"/>
  <c r="M326" i="150"/>
  <c r="L326" i="150"/>
  <c r="K326" i="150"/>
  <c r="J326" i="150"/>
  <c r="I326" i="150"/>
  <c r="H326" i="150"/>
  <c r="G326" i="150"/>
  <c r="F326" i="150"/>
  <c r="E326" i="150"/>
  <c r="D326" i="150"/>
  <c r="C326" i="150"/>
  <c r="B326" i="150"/>
  <c r="N325" i="150"/>
  <c r="M325" i="150"/>
  <c r="L325" i="150"/>
  <c r="K325" i="150"/>
  <c r="J325" i="150"/>
  <c r="I325" i="150"/>
  <c r="H325" i="150"/>
  <c r="G325" i="150"/>
  <c r="F325" i="150"/>
  <c r="E325" i="150"/>
  <c r="D325" i="150"/>
  <c r="C325" i="150"/>
  <c r="B325" i="150"/>
  <c r="N324" i="150"/>
  <c r="M324" i="150"/>
  <c r="L324" i="150"/>
  <c r="K324" i="150"/>
  <c r="J324" i="150"/>
  <c r="I324" i="150"/>
  <c r="H324" i="150"/>
  <c r="G324" i="150"/>
  <c r="F324" i="150"/>
  <c r="E324" i="150"/>
  <c r="D324" i="150"/>
  <c r="C324" i="150"/>
  <c r="B324" i="150"/>
  <c r="N323" i="150"/>
  <c r="M323" i="150"/>
  <c r="L323" i="150"/>
  <c r="K323" i="150"/>
  <c r="J323" i="150"/>
  <c r="I323" i="150"/>
  <c r="H323" i="150"/>
  <c r="G323" i="150"/>
  <c r="F323" i="150"/>
  <c r="E323" i="150"/>
  <c r="D323" i="150"/>
  <c r="C323" i="150"/>
  <c r="B323" i="150"/>
  <c r="N322" i="150"/>
  <c r="M322" i="150"/>
  <c r="L322" i="150"/>
  <c r="K322" i="150"/>
  <c r="J322" i="150"/>
  <c r="I322" i="150"/>
  <c r="H322" i="150"/>
  <c r="G322" i="150"/>
  <c r="F322" i="150"/>
  <c r="E322" i="150"/>
  <c r="D322" i="150"/>
  <c r="C322" i="150"/>
  <c r="B322" i="150"/>
  <c r="N321" i="150"/>
  <c r="M321" i="150"/>
  <c r="L321" i="150"/>
  <c r="K321" i="150"/>
  <c r="J321" i="150"/>
  <c r="I321" i="150"/>
  <c r="H321" i="150"/>
  <c r="G321" i="150"/>
  <c r="F321" i="150"/>
  <c r="E321" i="150"/>
  <c r="D321" i="150"/>
  <c r="C321" i="150"/>
  <c r="B321" i="150"/>
  <c r="N320" i="150"/>
  <c r="M320" i="150"/>
  <c r="L320" i="150"/>
  <c r="K320" i="150"/>
  <c r="J320" i="150"/>
  <c r="I320" i="150"/>
  <c r="H320" i="150"/>
  <c r="G320" i="150"/>
  <c r="F320" i="150"/>
  <c r="E320" i="150"/>
  <c r="D320" i="150"/>
  <c r="C320" i="150"/>
  <c r="B320" i="150"/>
  <c r="N319" i="150"/>
  <c r="M319" i="150"/>
  <c r="L319" i="150"/>
  <c r="K319" i="150"/>
  <c r="J319" i="150"/>
  <c r="I319" i="150"/>
  <c r="H319" i="150"/>
  <c r="G319" i="150"/>
  <c r="F319" i="150"/>
  <c r="E319" i="150"/>
  <c r="D319" i="150"/>
  <c r="C319" i="150"/>
  <c r="B319" i="150"/>
  <c r="N318" i="150"/>
  <c r="M318" i="150"/>
  <c r="L318" i="150"/>
  <c r="K318" i="150"/>
  <c r="J318" i="150"/>
  <c r="I318" i="150"/>
  <c r="H318" i="150"/>
  <c r="G318" i="150"/>
  <c r="F318" i="150"/>
  <c r="E318" i="150"/>
  <c r="D318" i="150"/>
  <c r="C318" i="150"/>
  <c r="B318" i="150"/>
  <c r="N314" i="150"/>
  <c r="M314" i="150"/>
  <c r="L314" i="150"/>
  <c r="K314" i="150"/>
  <c r="J314" i="150"/>
  <c r="I314" i="150"/>
  <c r="H314" i="150"/>
  <c r="G314" i="150"/>
  <c r="F314" i="150"/>
  <c r="E314" i="150"/>
  <c r="D314" i="150"/>
  <c r="C314" i="150"/>
  <c r="A314" i="150"/>
  <c r="N313" i="150"/>
  <c r="M313" i="150"/>
  <c r="L313" i="150"/>
  <c r="K313" i="150"/>
  <c r="J313" i="150"/>
  <c r="I313" i="150"/>
  <c r="H313" i="150"/>
  <c r="G313" i="150"/>
  <c r="F313" i="150"/>
  <c r="E313" i="150"/>
  <c r="D313" i="150"/>
  <c r="C313" i="150"/>
  <c r="B313" i="150"/>
  <c r="N312" i="150"/>
  <c r="M312" i="150"/>
  <c r="L312" i="150"/>
  <c r="K312" i="150"/>
  <c r="J312" i="150"/>
  <c r="I312" i="150"/>
  <c r="H312" i="150"/>
  <c r="G312" i="150"/>
  <c r="F312" i="150"/>
  <c r="E312" i="150"/>
  <c r="D312" i="150"/>
  <c r="C312" i="150"/>
  <c r="B312" i="150"/>
  <c r="N311" i="150"/>
  <c r="M311" i="150"/>
  <c r="L311" i="150"/>
  <c r="K311" i="150"/>
  <c r="J311" i="150"/>
  <c r="I311" i="150"/>
  <c r="H311" i="150"/>
  <c r="G311" i="150"/>
  <c r="F311" i="150"/>
  <c r="E311" i="150"/>
  <c r="D311" i="150"/>
  <c r="C311" i="150"/>
  <c r="B311" i="150"/>
  <c r="N310" i="150"/>
  <c r="M310" i="150"/>
  <c r="L310" i="150"/>
  <c r="K310" i="150"/>
  <c r="J310" i="150"/>
  <c r="I310" i="150"/>
  <c r="H310" i="150"/>
  <c r="G310" i="150"/>
  <c r="F310" i="150"/>
  <c r="E310" i="150"/>
  <c r="D310" i="150"/>
  <c r="C310" i="150"/>
  <c r="B310" i="150"/>
  <c r="N309" i="150"/>
  <c r="M309" i="150"/>
  <c r="L309" i="150"/>
  <c r="K309" i="150"/>
  <c r="J309" i="150"/>
  <c r="I309" i="150"/>
  <c r="H309" i="150"/>
  <c r="G309" i="150"/>
  <c r="F309" i="150"/>
  <c r="E309" i="150"/>
  <c r="D309" i="150"/>
  <c r="C309" i="150"/>
  <c r="B309" i="150"/>
  <c r="N308" i="150"/>
  <c r="M308" i="150"/>
  <c r="L308" i="150"/>
  <c r="K308" i="150"/>
  <c r="J308" i="150"/>
  <c r="I308" i="150"/>
  <c r="H308" i="150"/>
  <c r="G308" i="150"/>
  <c r="F308" i="150"/>
  <c r="E308" i="150"/>
  <c r="D308" i="150"/>
  <c r="C308" i="150"/>
  <c r="B308" i="150"/>
  <c r="N307" i="150"/>
  <c r="M307" i="150"/>
  <c r="L307" i="150"/>
  <c r="K307" i="150"/>
  <c r="J307" i="150"/>
  <c r="I307" i="150"/>
  <c r="H307" i="150"/>
  <c r="G307" i="150"/>
  <c r="F307" i="150"/>
  <c r="E307" i="150"/>
  <c r="D307" i="150"/>
  <c r="C307" i="150"/>
  <c r="B307" i="150"/>
  <c r="N306" i="150"/>
  <c r="M306" i="150"/>
  <c r="L306" i="150"/>
  <c r="K306" i="150"/>
  <c r="J306" i="150"/>
  <c r="I306" i="150"/>
  <c r="H306" i="150"/>
  <c r="G306" i="150"/>
  <c r="F306" i="150"/>
  <c r="E306" i="150"/>
  <c r="D306" i="150"/>
  <c r="C306" i="150"/>
  <c r="B306" i="150"/>
  <c r="N305" i="150"/>
  <c r="M305" i="150"/>
  <c r="L305" i="150"/>
  <c r="K305" i="150"/>
  <c r="J305" i="150"/>
  <c r="I305" i="150"/>
  <c r="H305" i="150"/>
  <c r="G305" i="150"/>
  <c r="F305" i="150"/>
  <c r="E305" i="150"/>
  <c r="D305" i="150"/>
  <c r="C305" i="150"/>
  <c r="B305" i="150"/>
  <c r="N304" i="150"/>
  <c r="M304" i="150"/>
  <c r="L304" i="150"/>
  <c r="K304" i="150"/>
  <c r="J304" i="150"/>
  <c r="I304" i="150"/>
  <c r="H304" i="150"/>
  <c r="G304" i="150"/>
  <c r="F304" i="150"/>
  <c r="E304" i="150"/>
  <c r="D304" i="150"/>
  <c r="C304" i="150"/>
  <c r="B304" i="150"/>
  <c r="N303" i="150"/>
  <c r="M303" i="150"/>
  <c r="L303" i="150"/>
  <c r="K303" i="150"/>
  <c r="J303" i="150"/>
  <c r="I303" i="150"/>
  <c r="H303" i="150"/>
  <c r="G303" i="150"/>
  <c r="F303" i="150"/>
  <c r="E303" i="150"/>
  <c r="D303" i="150"/>
  <c r="C303" i="150"/>
  <c r="B303" i="150"/>
  <c r="N302" i="150"/>
  <c r="M302" i="150"/>
  <c r="L302" i="150"/>
  <c r="K302" i="150"/>
  <c r="J302" i="150"/>
  <c r="I302" i="150"/>
  <c r="H302" i="150"/>
  <c r="G302" i="150"/>
  <c r="F302" i="150"/>
  <c r="E302" i="150"/>
  <c r="D302" i="150"/>
  <c r="C302" i="150"/>
  <c r="B302" i="150"/>
  <c r="N296" i="150"/>
  <c r="M296" i="150"/>
  <c r="L296" i="150"/>
  <c r="K296" i="150"/>
  <c r="J296" i="150"/>
  <c r="I296" i="150"/>
  <c r="H296" i="150"/>
  <c r="G296" i="150"/>
  <c r="F296" i="150"/>
  <c r="E296" i="150"/>
  <c r="D296" i="150"/>
  <c r="C296" i="150"/>
  <c r="N294" i="150"/>
  <c r="M294" i="150"/>
  <c r="L294" i="150"/>
  <c r="K294" i="150"/>
  <c r="J294" i="150"/>
  <c r="I294" i="150"/>
  <c r="H294" i="150"/>
  <c r="G294" i="150"/>
  <c r="F294" i="150"/>
  <c r="E294" i="150"/>
  <c r="D294" i="150"/>
  <c r="C294" i="150"/>
  <c r="N293" i="150"/>
  <c r="M293" i="150"/>
  <c r="L293" i="150"/>
  <c r="K293" i="150"/>
  <c r="J293" i="150"/>
  <c r="I293" i="150"/>
  <c r="H293" i="150"/>
  <c r="G293" i="150"/>
  <c r="F293" i="150"/>
  <c r="E293" i="150"/>
  <c r="D293" i="150"/>
  <c r="C293" i="150"/>
  <c r="N290" i="150"/>
  <c r="M290" i="150"/>
  <c r="L290" i="150"/>
  <c r="K290" i="150"/>
  <c r="J290" i="150"/>
  <c r="I290" i="150"/>
  <c r="H290" i="150"/>
  <c r="G290" i="150"/>
  <c r="F290" i="150"/>
  <c r="E290" i="150"/>
  <c r="D290" i="150"/>
  <c r="C290" i="150"/>
  <c r="N289" i="150"/>
  <c r="M289" i="150"/>
  <c r="L289" i="150"/>
  <c r="K289" i="150"/>
  <c r="J289" i="150"/>
  <c r="I289" i="150"/>
  <c r="H289" i="150"/>
  <c r="G289" i="150"/>
  <c r="F289" i="150"/>
  <c r="E289" i="150"/>
  <c r="D289" i="150"/>
  <c r="C289" i="150"/>
  <c r="N283" i="150"/>
  <c r="M283" i="150"/>
  <c r="L283" i="150"/>
  <c r="K283" i="150"/>
  <c r="J283" i="150"/>
  <c r="I283" i="150"/>
  <c r="H283" i="150"/>
  <c r="G283" i="150"/>
  <c r="F283" i="150"/>
  <c r="E283" i="150"/>
  <c r="D283" i="150"/>
  <c r="C283" i="150"/>
  <c r="A283" i="150"/>
  <c r="N282" i="150"/>
  <c r="M282" i="150"/>
  <c r="L282" i="150"/>
  <c r="K282" i="150"/>
  <c r="J282" i="150"/>
  <c r="I282" i="150"/>
  <c r="H282" i="150"/>
  <c r="G282" i="150"/>
  <c r="F282" i="150"/>
  <c r="E282" i="150"/>
  <c r="D282" i="150"/>
  <c r="C282" i="150"/>
  <c r="N281" i="150"/>
  <c r="M281" i="150"/>
  <c r="L281" i="150"/>
  <c r="K281" i="150"/>
  <c r="J281" i="150"/>
  <c r="I281" i="150"/>
  <c r="H281" i="150"/>
  <c r="G281" i="150"/>
  <c r="F281" i="150"/>
  <c r="E281" i="150"/>
  <c r="D281" i="150"/>
  <c r="C281" i="150"/>
  <c r="N280" i="150"/>
  <c r="M280" i="150"/>
  <c r="L280" i="150"/>
  <c r="K280" i="150"/>
  <c r="J280" i="150"/>
  <c r="I280" i="150"/>
  <c r="H280" i="150"/>
  <c r="G280" i="150"/>
  <c r="F280" i="150"/>
  <c r="E280" i="150"/>
  <c r="D280" i="150"/>
  <c r="C280" i="150"/>
  <c r="N279" i="150"/>
  <c r="M279" i="150"/>
  <c r="L279" i="150"/>
  <c r="K279" i="150"/>
  <c r="J279" i="150"/>
  <c r="I279" i="150"/>
  <c r="H279" i="150"/>
  <c r="G279" i="150"/>
  <c r="F279" i="150"/>
  <c r="E279" i="150"/>
  <c r="D279" i="150"/>
  <c r="C279" i="150"/>
  <c r="N278" i="150"/>
  <c r="M278" i="150"/>
  <c r="L278" i="150"/>
  <c r="K278" i="150"/>
  <c r="J278" i="150"/>
  <c r="I278" i="150"/>
  <c r="H278" i="150"/>
  <c r="G278" i="150"/>
  <c r="F278" i="150"/>
  <c r="E278" i="150"/>
  <c r="D278" i="150"/>
  <c r="C278" i="150"/>
  <c r="N274" i="150"/>
  <c r="M274" i="150"/>
  <c r="L274" i="150"/>
  <c r="K274" i="150"/>
  <c r="J274" i="150"/>
  <c r="I274" i="150"/>
  <c r="H274" i="150"/>
  <c r="G274" i="150"/>
  <c r="F274" i="150"/>
  <c r="E274" i="150"/>
  <c r="D274" i="150"/>
  <c r="C274" i="150"/>
  <c r="A274" i="150"/>
  <c r="N273" i="150"/>
  <c r="M273" i="150"/>
  <c r="L273" i="150"/>
  <c r="K273" i="150"/>
  <c r="J273" i="150"/>
  <c r="I273" i="150"/>
  <c r="H273" i="150"/>
  <c r="G273" i="150"/>
  <c r="F273" i="150"/>
  <c r="E273" i="150"/>
  <c r="D273" i="150"/>
  <c r="C273" i="150"/>
  <c r="B273" i="150"/>
  <c r="N272" i="150"/>
  <c r="M272" i="150"/>
  <c r="L272" i="150"/>
  <c r="K272" i="150"/>
  <c r="J272" i="150"/>
  <c r="I272" i="150"/>
  <c r="H272" i="150"/>
  <c r="G272" i="150"/>
  <c r="F272" i="150"/>
  <c r="E272" i="150"/>
  <c r="D272" i="150"/>
  <c r="C272" i="150"/>
  <c r="B272" i="150"/>
  <c r="N271" i="150"/>
  <c r="M271" i="150"/>
  <c r="L271" i="150"/>
  <c r="K271" i="150"/>
  <c r="J271" i="150"/>
  <c r="I271" i="150"/>
  <c r="H271" i="150"/>
  <c r="G271" i="150"/>
  <c r="F271" i="150"/>
  <c r="E271" i="150"/>
  <c r="D271" i="150"/>
  <c r="C271" i="150"/>
  <c r="B271" i="150"/>
  <c r="N270" i="150"/>
  <c r="M270" i="150"/>
  <c r="L270" i="150"/>
  <c r="K270" i="150"/>
  <c r="J270" i="150"/>
  <c r="I270" i="150"/>
  <c r="H270" i="150"/>
  <c r="G270" i="150"/>
  <c r="F270" i="150"/>
  <c r="E270" i="150"/>
  <c r="D270" i="150"/>
  <c r="C270" i="150"/>
  <c r="B270" i="150"/>
  <c r="N269" i="150"/>
  <c r="M269" i="150"/>
  <c r="L269" i="150"/>
  <c r="K269" i="150"/>
  <c r="J269" i="150"/>
  <c r="I269" i="150"/>
  <c r="H269" i="150"/>
  <c r="G269" i="150"/>
  <c r="F269" i="150"/>
  <c r="E269" i="150"/>
  <c r="D269" i="150"/>
  <c r="C269" i="150"/>
  <c r="B269" i="150"/>
  <c r="N268" i="150"/>
  <c r="M268" i="150"/>
  <c r="L268" i="150"/>
  <c r="K268" i="150"/>
  <c r="J268" i="150"/>
  <c r="I268" i="150"/>
  <c r="H268" i="150"/>
  <c r="G268" i="150"/>
  <c r="F268" i="150"/>
  <c r="E268" i="150"/>
  <c r="D268" i="150"/>
  <c r="C268" i="150"/>
  <c r="B268" i="150"/>
  <c r="N267" i="150"/>
  <c r="M267" i="150"/>
  <c r="L267" i="150"/>
  <c r="K267" i="150"/>
  <c r="J267" i="150"/>
  <c r="I267" i="150"/>
  <c r="H267" i="150"/>
  <c r="G267" i="150"/>
  <c r="F267" i="150"/>
  <c r="E267" i="150"/>
  <c r="D267" i="150"/>
  <c r="C267" i="150"/>
  <c r="B267" i="150"/>
  <c r="N266" i="150"/>
  <c r="M266" i="150"/>
  <c r="L266" i="150"/>
  <c r="K266" i="150"/>
  <c r="J266" i="150"/>
  <c r="I266" i="150"/>
  <c r="H266" i="150"/>
  <c r="G266" i="150"/>
  <c r="F266" i="150"/>
  <c r="E266" i="150"/>
  <c r="D266" i="150"/>
  <c r="C266" i="150"/>
  <c r="B266" i="150"/>
  <c r="N265" i="150"/>
  <c r="M265" i="150"/>
  <c r="L265" i="150"/>
  <c r="K265" i="150"/>
  <c r="J265" i="150"/>
  <c r="I265" i="150"/>
  <c r="H265" i="150"/>
  <c r="G265" i="150"/>
  <c r="F265" i="150"/>
  <c r="E265" i="150"/>
  <c r="D265" i="150"/>
  <c r="C265" i="150"/>
  <c r="B265" i="150"/>
  <c r="N264" i="150"/>
  <c r="M264" i="150"/>
  <c r="L264" i="150"/>
  <c r="K264" i="150"/>
  <c r="J264" i="150"/>
  <c r="I264" i="150"/>
  <c r="H264" i="150"/>
  <c r="G264" i="150"/>
  <c r="F264" i="150"/>
  <c r="E264" i="150"/>
  <c r="D264" i="150"/>
  <c r="C264" i="150"/>
  <c r="B264" i="150"/>
  <c r="N263" i="150"/>
  <c r="M263" i="150"/>
  <c r="L263" i="150"/>
  <c r="K263" i="150"/>
  <c r="J263" i="150"/>
  <c r="I263" i="150"/>
  <c r="H263" i="150"/>
  <c r="G263" i="150"/>
  <c r="F263" i="150"/>
  <c r="E263" i="150"/>
  <c r="D263" i="150"/>
  <c r="C263" i="150"/>
  <c r="B263" i="150"/>
  <c r="N262" i="150"/>
  <c r="M262" i="150"/>
  <c r="L262" i="150"/>
  <c r="K262" i="150"/>
  <c r="J262" i="150"/>
  <c r="I262" i="150"/>
  <c r="H262" i="150"/>
  <c r="G262" i="150"/>
  <c r="F262" i="150"/>
  <c r="E262" i="150"/>
  <c r="D262" i="150"/>
  <c r="C262" i="150"/>
  <c r="B262" i="150"/>
  <c r="N258" i="150"/>
  <c r="M258" i="150"/>
  <c r="L258" i="150"/>
  <c r="K258" i="150"/>
  <c r="J258" i="150"/>
  <c r="I258" i="150"/>
  <c r="H258" i="150"/>
  <c r="G258" i="150"/>
  <c r="F258" i="150"/>
  <c r="E258" i="150"/>
  <c r="D258" i="150"/>
  <c r="C258" i="150"/>
  <c r="A258" i="150"/>
  <c r="N257" i="150"/>
  <c r="M257" i="150"/>
  <c r="L257" i="150"/>
  <c r="K257" i="150"/>
  <c r="J257" i="150"/>
  <c r="I257" i="150"/>
  <c r="H257" i="150"/>
  <c r="G257" i="150"/>
  <c r="F257" i="150"/>
  <c r="E257" i="150"/>
  <c r="D257" i="150"/>
  <c r="C257" i="150"/>
  <c r="B257" i="150"/>
  <c r="N256" i="150"/>
  <c r="M256" i="150"/>
  <c r="L256" i="150"/>
  <c r="K256" i="150"/>
  <c r="J256" i="150"/>
  <c r="I256" i="150"/>
  <c r="H256" i="150"/>
  <c r="G256" i="150"/>
  <c r="F256" i="150"/>
  <c r="E256" i="150"/>
  <c r="D256" i="150"/>
  <c r="C256" i="150"/>
  <c r="B256" i="150"/>
  <c r="N255" i="150"/>
  <c r="M255" i="150"/>
  <c r="L255" i="150"/>
  <c r="K255" i="150"/>
  <c r="J255" i="150"/>
  <c r="I255" i="150"/>
  <c r="H255" i="150"/>
  <c r="G255" i="150"/>
  <c r="F255" i="150"/>
  <c r="E255" i="150"/>
  <c r="D255" i="150"/>
  <c r="C255" i="150"/>
  <c r="B255" i="150"/>
  <c r="N254" i="150"/>
  <c r="M254" i="150"/>
  <c r="L254" i="150"/>
  <c r="K254" i="150"/>
  <c r="J254" i="150"/>
  <c r="I254" i="150"/>
  <c r="H254" i="150"/>
  <c r="G254" i="150"/>
  <c r="F254" i="150"/>
  <c r="E254" i="150"/>
  <c r="D254" i="150"/>
  <c r="C254" i="150"/>
  <c r="B254" i="150"/>
  <c r="N253" i="150"/>
  <c r="M253" i="150"/>
  <c r="L253" i="150"/>
  <c r="K253" i="150"/>
  <c r="J253" i="150"/>
  <c r="I253" i="150"/>
  <c r="H253" i="150"/>
  <c r="G253" i="150"/>
  <c r="F253" i="150"/>
  <c r="E253" i="150"/>
  <c r="D253" i="150"/>
  <c r="C253" i="150"/>
  <c r="B253" i="150"/>
  <c r="N252" i="150"/>
  <c r="M252" i="150"/>
  <c r="L252" i="150"/>
  <c r="K252" i="150"/>
  <c r="J252" i="150"/>
  <c r="I252" i="150"/>
  <c r="H252" i="150"/>
  <c r="G252" i="150"/>
  <c r="F252" i="150"/>
  <c r="E252" i="150"/>
  <c r="D252" i="150"/>
  <c r="C252" i="150"/>
  <c r="B252" i="150"/>
  <c r="N251" i="150"/>
  <c r="M251" i="150"/>
  <c r="L251" i="150"/>
  <c r="K251" i="150"/>
  <c r="J251" i="150"/>
  <c r="I251" i="150"/>
  <c r="H251" i="150"/>
  <c r="G251" i="150"/>
  <c r="F251" i="150"/>
  <c r="E251" i="150"/>
  <c r="D251" i="150"/>
  <c r="C251" i="150"/>
  <c r="B251" i="150"/>
  <c r="N250" i="150"/>
  <c r="M250" i="150"/>
  <c r="L250" i="150"/>
  <c r="K250" i="150"/>
  <c r="J250" i="150"/>
  <c r="I250" i="150"/>
  <c r="H250" i="150"/>
  <c r="G250" i="150"/>
  <c r="F250" i="150"/>
  <c r="E250" i="150"/>
  <c r="D250" i="150"/>
  <c r="C250" i="150"/>
  <c r="B250" i="150"/>
  <c r="N249" i="150"/>
  <c r="M249" i="150"/>
  <c r="L249" i="150"/>
  <c r="K249" i="150"/>
  <c r="J249" i="150"/>
  <c r="I249" i="150"/>
  <c r="H249" i="150"/>
  <c r="G249" i="150"/>
  <c r="F249" i="150"/>
  <c r="E249" i="150"/>
  <c r="D249" i="150"/>
  <c r="C249" i="150"/>
  <c r="B249" i="150"/>
  <c r="N248" i="150"/>
  <c r="M248" i="150"/>
  <c r="L248" i="150"/>
  <c r="K248" i="150"/>
  <c r="J248" i="150"/>
  <c r="I248" i="150"/>
  <c r="H248" i="150"/>
  <c r="G248" i="150"/>
  <c r="F248" i="150"/>
  <c r="E248" i="150"/>
  <c r="D248" i="150"/>
  <c r="C248" i="150"/>
  <c r="B248" i="150"/>
  <c r="N247" i="150"/>
  <c r="M247" i="150"/>
  <c r="L247" i="150"/>
  <c r="K247" i="150"/>
  <c r="J247" i="150"/>
  <c r="I247" i="150"/>
  <c r="H247" i="150"/>
  <c r="G247" i="150"/>
  <c r="F247" i="150"/>
  <c r="E247" i="150"/>
  <c r="D247" i="150"/>
  <c r="C247" i="150"/>
  <c r="B247" i="150"/>
  <c r="N246" i="150"/>
  <c r="M246" i="150"/>
  <c r="L246" i="150"/>
  <c r="K246" i="150"/>
  <c r="J246" i="150"/>
  <c r="I246" i="150"/>
  <c r="H246" i="150"/>
  <c r="G246" i="150"/>
  <c r="F246" i="150"/>
  <c r="E246" i="150"/>
  <c r="D246" i="150"/>
  <c r="C246" i="150"/>
  <c r="B246" i="150"/>
  <c r="N240" i="150"/>
  <c r="M240" i="150"/>
  <c r="L240" i="150"/>
  <c r="K240" i="150"/>
  <c r="J240" i="150"/>
  <c r="I240" i="150"/>
  <c r="H240" i="150"/>
  <c r="G240" i="150"/>
  <c r="F240" i="150"/>
  <c r="E240" i="150"/>
  <c r="D240" i="150"/>
  <c r="C240" i="150"/>
  <c r="A240" i="150"/>
  <c r="N239" i="150"/>
  <c r="M239" i="150"/>
  <c r="L239" i="150"/>
  <c r="K239" i="150"/>
  <c r="J239" i="150"/>
  <c r="I239" i="150"/>
  <c r="H239" i="150"/>
  <c r="G239" i="150"/>
  <c r="F239" i="150"/>
  <c r="E239" i="150"/>
  <c r="D239" i="150"/>
  <c r="C239" i="150"/>
  <c r="B239" i="150"/>
  <c r="N238" i="150"/>
  <c r="M238" i="150"/>
  <c r="L238" i="150"/>
  <c r="K238" i="150"/>
  <c r="J238" i="150"/>
  <c r="I238" i="150"/>
  <c r="H238" i="150"/>
  <c r="G238" i="150"/>
  <c r="F238" i="150"/>
  <c r="E238" i="150"/>
  <c r="D238" i="150"/>
  <c r="C238" i="150"/>
  <c r="B238" i="150"/>
  <c r="N237" i="150"/>
  <c r="M237" i="150"/>
  <c r="L237" i="150"/>
  <c r="K237" i="150"/>
  <c r="J237" i="150"/>
  <c r="I237" i="150"/>
  <c r="H237" i="150"/>
  <c r="G237" i="150"/>
  <c r="F237" i="150"/>
  <c r="E237" i="150"/>
  <c r="D237" i="150"/>
  <c r="C237" i="150"/>
  <c r="B237" i="150"/>
  <c r="N236" i="150"/>
  <c r="M236" i="150"/>
  <c r="L236" i="150"/>
  <c r="K236" i="150"/>
  <c r="J236" i="150"/>
  <c r="I236" i="150"/>
  <c r="H236" i="150"/>
  <c r="G236" i="150"/>
  <c r="F236" i="150"/>
  <c r="E236" i="150"/>
  <c r="D236" i="150"/>
  <c r="C236" i="150"/>
  <c r="B236" i="150"/>
  <c r="N235" i="150"/>
  <c r="M235" i="150"/>
  <c r="L235" i="150"/>
  <c r="K235" i="150"/>
  <c r="J235" i="150"/>
  <c r="I235" i="150"/>
  <c r="H235" i="150"/>
  <c r="G235" i="150"/>
  <c r="F235" i="150"/>
  <c r="E235" i="150"/>
  <c r="D235" i="150"/>
  <c r="C235" i="150"/>
  <c r="B235" i="150"/>
  <c r="N234" i="150"/>
  <c r="M234" i="150"/>
  <c r="L234" i="150"/>
  <c r="K234" i="150"/>
  <c r="J234" i="150"/>
  <c r="I234" i="150"/>
  <c r="H234" i="150"/>
  <c r="G234" i="150"/>
  <c r="F234" i="150"/>
  <c r="E234" i="150"/>
  <c r="D234" i="150"/>
  <c r="C234" i="150"/>
  <c r="B234" i="150"/>
  <c r="N233" i="150"/>
  <c r="M233" i="150"/>
  <c r="L233" i="150"/>
  <c r="K233" i="150"/>
  <c r="J233" i="150"/>
  <c r="I233" i="150"/>
  <c r="H233" i="150"/>
  <c r="G233" i="150"/>
  <c r="F233" i="150"/>
  <c r="E233" i="150"/>
  <c r="D233" i="150"/>
  <c r="C233" i="150"/>
  <c r="B233" i="150"/>
  <c r="N232" i="150"/>
  <c r="M232" i="150"/>
  <c r="L232" i="150"/>
  <c r="K232" i="150"/>
  <c r="J232" i="150"/>
  <c r="I232" i="150"/>
  <c r="H232" i="150"/>
  <c r="G232" i="150"/>
  <c r="F232" i="150"/>
  <c r="E232" i="150"/>
  <c r="D232" i="150"/>
  <c r="C232" i="150"/>
  <c r="B232" i="150"/>
  <c r="N231" i="150"/>
  <c r="M231" i="150"/>
  <c r="L231" i="150"/>
  <c r="K231" i="150"/>
  <c r="J231" i="150"/>
  <c r="I231" i="150"/>
  <c r="H231" i="150"/>
  <c r="G231" i="150"/>
  <c r="F231" i="150"/>
  <c r="E231" i="150"/>
  <c r="D231" i="150"/>
  <c r="C231" i="150"/>
  <c r="B231" i="150"/>
  <c r="N230" i="150"/>
  <c r="M230" i="150"/>
  <c r="L230" i="150"/>
  <c r="K230" i="150"/>
  <c r="J230" i="150"/>
  <c r="I230" i="150"/>
  <c r="H230" i="150"/>
  <c r="G230" i="150"/>
  <c r="F230" i="150"/>
  <c r="E230" i="150"/>
  <c r="D230" i="150"/>
  <c r="C230" i="150"/>
  <c r="B230" i="150"/>
  <c r="N229" i="150"/>
  <c r="M229" i="150"/>
  <c r="L229" i="150"/>
  <c r="K229" i="150"/>
  <c r="J229" i="150"/>
  <c r="I229" i="150"/>
  <c r="H229" i="150"/>
  <c r="G229" i="150"/>
  <c r="F229" i="150"/>
  <c r="E229" i="150"/>
  <c r="D229" i="150"/>
  <c r="C229" i="150"/>
  <c r="B229" i="150"/>
  <c r="N228" i="150"/>
  <c r="M228" i="150"/>
  <c r="L228" i="150"/>
  <c r="K228" i="150"/>
  <c r="J228" i="150"/>
  <c r="I228" i="150"/>
  <c r="H228" i="150"/>
  <c r="G228" i="150"/>
  <c r="F228" i="150"/>
  <c r="E228" i="150"/>
  <c r="D228" i="150"/>
  <c r="C228" i="150"/>
  <c r="B228" i="150"/>
  <c r="N224" i="150"/>
  <c r="M224" i="150"/>
  <c r="L224" i="150"/>
  <c r="K224" i="150"/>
  <c r="J224" i="150"/>
  <c r="I224" i="150"/>
  <c r="H224" i="150"/>
  <c r="G224" i="150"/>
  <c r="F224" i="150"/>
  <c r="E224" i="150"/>
  <c r="D224" i="150"/>
  <c r="C224" i="150"/>
  <c r="A224" i="150"/>
  <c r="N223" i="150"/>
  <c r="M223" i="150"/>
  <c r="L223" i="150"/>
  <c r="K223" i="150"/>
  <c r="J223" i="150"/>
  <c r="I223" i="150"/>
  <c r="H223" i="150"/>
  <c r="G223" i="150"/>
  <c r="F223" i="150"/>
  <c r="E223" i="150"/>
  <c r="D223" i="150"/>
  <c r="C223" i="150"/>
  <c r="B223" i="150"/>
  <c r="N222" i="150"/>
  <c r="M222" i="150"/>
  <c r="L222" i="150"/>
  <c r="K222" i="150"/>
  <c r="J222" i="150"/>
  <c r="I222" i="150"/>
  <c r="H222" i="150"/>
  <c r="G222" i="150"/>
  <c r="F222" i="150"/>
  <c r="E222" i="150"/>
  <c r="D222" i="150"/>
  <c r="C222" i="150"/>
  <c r="B222" i="150"/>
  <c r="N221" i="150"/>
  <c r="M221" i="150"/>
  <c r="L221" i="150"/>
  <c r="K221" i="150"/>
  <c r="J221" i="150"/>
  <c r="I221" i="150"/>
  <c r="H221" i="150"/>
  <c r="G221" i="150"/>
  <c r="F221" i="150"/>
  <c r="E221" i="150"/>
  <c r="D221" i="150"/>
  <c r="C221" i="150"/>
  <c r="B221" i="150"/>
  <c r="N220" i="150"/>
  <c r="M220" i="150"/>
  <c r="L220" i="150"/>
  <c r="K220" i="150"/>
  <c r="J220" i="150"/>
  <c r="I220" i="150"/>
  <c r="H220" i="150"/>
  <c r="G220" i="150"/>
  <c r="F220" i="150"/>
  <c r="E220" i="150"/>
  <c r="D220" i="150"/>
  <c r="C220" i="150"/>
  <c r="B220" i="150"/>
  <c r="N219" i="150"/>
  <c r="M219" i="150"/>
  <c r="L219" i="150"/>
  <c r="K219" i="150"/>
  <c r="J219" i="150"/>
  <c r="I219" i="150"/>
  <c r="H219" i="150"/>
  <c r="G219" i="150"/>
  <c r="F219" i="150"/>
  <c r="E219" i="150"/>
  <c r="D219" i="150"/>
  <c r="C219" i="150"/>
  <c r="B219" i="150"/>
  <c r="N218" i="150"/>
  <c r="M218" i="150"/>
  <c r="L218" i="150"/>
  <c r="K218" i="150"/>
  <c r="J218" i="150"/>
  <c r="I218" i="150"/>
  <c r="H218" i="150"/>
  <c r="G218" i="150"/>
  <c r="F218" i="150"/>
  <c r="E218" i="150"/>
  <c r="D218" i="150"/>
  <c r="C218" i="150"/>
  <c r="B218" i="150"/>
  <c r="N217" i="150"/>
  <c r="M217" i="150"/>
  <c r="L217" i="150"/>
  <c r="K217" i="150"/>
  <c r="J217" i="150"/>
  <c r="I217" i="150"/>
  <c r="H217" i="150"/>
  <c r="G217" i="150"/>
  <c r="F217" i="150"/>
  <c r="E217" i="150"/>
  <c r="D217" i="150"/>
  <c r="C217" i="150"/>
  <c r="B217" i="150"/>
  <c r="N216" i="150"/>
  <c r="M216" i="150"/>
  <c r="L216" i="150"/>
  <c r="K216" i="150"/>
  <c r="J216" i="150"/>
  <c r="I216" i="150"/>
  <c r="H216" i="150"/>
  <c r="G216" i="150"/>
  <c r="F216" i="150"/>
  <c r="E216" i="150"/>
  <c r="D216" i="150"/>
  <c r="C216" i="150"/>
  <c r="B216" i="150"/>
  <c r="N215" i="150"/>
  <c r="M215" i="150"/>
  <c r="L215" i="150"/>
  <c r="K215" i="150"/>
  <c r="J215" i="150"/>
  <c r="I215" i="150"/>
  <c r="H215" i="150"/>
  <c r="G215" i="150"/>
  <c r="F215" i="150"/>
  <c r="E215" i="150"/>
  <c r="D215" i="150"/>
  <c r="C215" i="150"/>
  <c r="B215" i="150"/>
  <c r="N214" i="150"/>
  <c r="M214" i="150"/>
  <c r="L214" i="150"/>
  <c r="K214" i="150"/>
  <c r="J214" i="150"/>
  <c r="I214" i="150"/>
  <c r="H214" i="150"/>
  <c r="G214" i="150"/>
  <c r="F214" i="150"/>
  <c r="E214" i="150"/>
  <c r="D214" i="150"/>
  <c r="C214" i="150"/>
  <c r="B214" i="150"/>
  <c r="N213" i="150"/>
  <c r="M213" i="150"/>
  <c r="L213" i="150"/>
  <c r="K213" i="150"/>
  <c r="J213" i="150"/>
  <c r="I213" i="150"/>
  <c r="H213" i="150"/>
  <c r="G213" i="150"/>
  <c r="F213" i="150"/>
  <c r="E213" i="150"/>
  <c r="D213" i="150"/>
  <c r="C213" i="150"/>
  <c r="B213" i="150"/>
  <c r="N212" i="150"/>
  <c r="M212" i="150"/>
  <c r="L212" i="150"/>
  <c r="K212" i="150"/>
  <c r="J212" i="150"/>
  <c r="I212" i="150"/>
  <c r="H212" i="150"/>
  <c r="G212" i="150"/>
  <c r="F212" i="150"/>
  <c r="E212" i="150"/>
  <c r="D212" i="150"/>
  <c r="C212" i="150"/>
  <c r="B212" i="150"/>
  <c r="N206" i="150"/>
  <c r="M206" i="150"/>
  <c r="L206" i="150"/>
  <c r="K206" i="150"/>
  <c r="J206" i="150"/>
  <c r="I206" i="150"/>
  <c r="H206" i="150"/>
  <c r="G206" i="150"/>
  <c r="F206" i="150"/>
  <c r="E206" i="150"/>
  <c r="D206" i="150"/>
  <c r="C206" i="150"/>
  <c r="A206" i="150"/>
  <c r="N205" i="150"/>
  <c r="M205" i="150"/>
  <c r="L205" i="150"/>
  <c r="K205" i="150"/>
  <c r="J205" i="150"/>
  <c r="I205" i="150"/>
  <c r="H205" i="150"/>
  <c r="G205" i="150"/>
  <c r="F205" i="150"/>
  <c r="E205" i="150"/>
  <c r="D205" i="150"/>
  <c r="C205" i="150"/>
  <c r="B205" i="150"/>
  <c r="N204" i="150"/>
  <c r="M204" i="150"/>
  <c r="L204" i="150"/>
  <c r="K204" i="150"/>
  <c r="J204" i="150"/>
  <c r="I204" i="150"/>
  <c r="H204" i="150"/>
  <c r="G204" i="150"/>
  <c r="F204" i="150"/>
  <c r="E204" i="150"/>
  <c r="D204" i="150"/>
  <c r="C204" i="150"/>
  <c r="B204" i="150"/>
  <c r="N203" i="150"/>
  <c r="M203" i="150"/>
  <c r="L203" i="150"/>
  <c r="K203" i="150"/>
  <c r="J203" i="150"/>
  <c r="I203" i="150"/>
  <c r="H203" i="150"/>
  <c r="G203" i="150"/>
  <c r="F203" i="150"/>
  <c r="E203" i="150"/>
  <c r="D203" i="150"/>
  <c r="C203" i="150"/>
  <c r="B203" i="150"/>
  <c r="N202" i="150"/>
  <c r="M202" i="150"/>
  <c r="L202" i="150"/>
  <c r="K202" i="150"/>
  <c r="J202" i="150"/>
  <c r="I202" i="150"/>
  <c r="H202" i="150"/>
  <c r="G202" i="150"/>
  <c r="F202" i="150"/>
  <c r="E202" i="150"/>
  <c r="D202" i="150"/>
  <c r="C202" i="150"/>
  <c r="B202" i="150"/>
  <c r="N201" i="150"/>
  <c r="M201" i="150"/>
  <c r="L201" i="150"/>
  <c r="K201" i="150"/>
  <c r="J201" i="150"/>
  <c r="I201" i="150"/>
  <c r="H201" i="150"/>
  <c r="G201" i="150"/>
  <c r="F201" i="150"/>
  <c r="E201" i="150"/>
  <c r="D201" i="150"/>
  <c r="C201" i="150"/>
  <c r="B201" i="150"/>
  <c r="N200" i="150"/>
  <c r="M200" i="150"/>
  <c r="L200" i="150"/>
  <c r="K200" i="150"/>
  <c r="J200" i="150"/>
  <c r="I200" i="150"/>
  <c r="H200" i="150"/>
  <c r="G200" i="150"/>
  <c r="F200" i="150"/>
  <c r="E200" i="150"/>
  <c r="D200" i="150"/>
  <c r="C200" i="150"/>
  <c r="B200" i="150"/>
  <c r="N199" i="150"/>
  <c r="M199" i="150"/>
  <c r="L199" i="150"/>
  <c r="K199" i="150"/>
  <c r="J199" i="150"/>
  <c r="I199" i="150"/>
  <c r="H199" i="150"/>
  <c r="G199" i="150"/>
  <c r="F199" i="150"/>
  <c r="E199" i="150"/>
  <c r="D199" i="150"/>
  <c r="C199" i="150"/>
  <c r="B199" i="150"/>
  <c r="N198" i="150"/>
  <c r="M198" i="150"/>
  <c r="L198" i="150"/>
  <c r="K198" i="150"/>
  <c r="J198" i="150"/>
  <c r="I198" i="150"/>
  <c r="H198" i="150"/>
  <c r="G198" i="150"/>
  <c r="F198" i="150"/>
  <c r="E198" i="150"/>
  <c r="D198" i="150"/>
  <c r="C198" i="150"/>
  <c r="B198" i="150"/>
  <c r="N197" i="150"/>
  <c r="M197" i="150"/>
  <c r="L197" i="150"/>
  <c r="K197" i="150"/>
  <c r="J197" i="150"/>
  <c r="I197" i="150"/>
  <c r="H197" i="150"/>
  <c r="G197" i="150"/>
  <c r="F197" i="150"/>
  <c r="E197" i="150"/>
  <c r="D197" i="150"/>
  <c r="C197" i="150"/>
  <c r="B197" i="150"/>
  <c r="N196" i="150"/>
  <c r="M196" i="150"/>
  <c r="L196" i="150"/>
  <c r="K196" i="150"/>
  <c r="J196" i="150"/>
  <c r="I196" i="150"/>
  <c r="H196" i="150"/>
  <c r="G196" i="150"/>
  <c r="F196" i="150"/>
  <c r="E196" i="150"/>
  <c r="D196" i="150"/>
  <c r="C196" i="150"/>
  <c r="B196" i="150"/>
  <c r="N195" i="150"/>
  <c r="M195" i="150"/>
  <c r="L195" i="150"/>
  <c r="K195" i="150"/>
  <c r="J195" i="150"/>
  <c r="I195" i="150"/>
  <c r="H195" i="150"/>
  <c r="G195" i="150"/>
  <c r="F195" i="150"/>
  <c r="E195" i="150"/>
  <c r="D195" i="150"/>
  <c r="C195" i="150"/>
  <c r="B195" i="150"/>
  <c r="N194" i="150"/>
  <c r="M194" i="150"/>
  <c r="L194" i="150"/>
  <c r="K194" i="150"/>
  <c r="J194" i="150"/>
  <c r="I194" i="150"/>
  <c r="H194" i="150"/>
  <c r="G194" i="150"/>
  <c r="F194" i="150"/>
  <c r="E194" i="150"/>
  <c r="D194" i="150"/>
  <c r="C194" i="150"/>
  <c r="B194" i="150"/>
  <c r="N190" i="150"/>
  <c r="M190" i="150"/>
  <c r="L190" i="150"/>
  <c r="K190" i="150"/>
  <c r="J190" i="150"/>
  <c r="I190" i="150"/>
  <c r="H190" i="150"/>
  <c r="G190" i="150"/>
  <c r="F190" i="150"/>
  <c r="E190" i="150"/>
  <c r="D190" i="150"/>
  <c r="C190" i="150"/>
  <c r="A190" i="150"/>
  <c r="N189" i="150"/>
  <c r="M189" i="150"/>
  <c r="L189" i="150"/>
  <c r="K189" i="150"/>
  <c r="J189" i="150"/>
  <c r="I189" i="150"/>
  <c r="H189" i="150"/>
  <c r="G189" i="150"/>
  <c r="F189" i="150"/>
  <c r="E189" i="150"/>
  <c r="D189" i="150"/>
  <c r="C189" i="150"/>
  <c r="B189" i="150"/>
  <c r="N188" i="150"/>
  <c r="M188" i="150"/>
  <c r="L188" i="150"/>
  <c r="K188" i="150"/>
  <c r="J188" i="150"/>
  <c r="I188" i="150"/>
  <c r="H188" i="150"/>
  <c r="G188" i="150"/>
  <c r="F188" i="150"/>
  <c r="E188" i="150"/>
  <c r="D188" i="150"/>
  <c r="C188" i="150"/>
  <c r="B188" i="150"/>
  <c r="N187" i="150"/>
  <c r="M187" i="150"/>
  <c r="L187" i="150"/>
  <c r="K187" i="150"/>
  <c r="J187" i="150"/>
  <c r="I187" i="150"/>
  <c r="H187" i="150"/>
  <c r="G187" i="150"/>
  <c r="F187" i="150"/>
  <c r="E187" i="150"/>
  <c r="D187" i="150"/>
  <c r="C187" i="150"/>
  <c r="B187" i="150"/>
  <c r="N186" i="150"/>
  <c r="M186" i="150"/>
  <c r="L186" i="150"/>
  <c r="K186" i="150"/>
  <c r="J186" i="150"/>
  <c r="I186" i="150"/>
  <c r="H186" i="150"/>
  <c r="G186" i="150"/>
  <c r="F186" i="150"/>
  <c r="E186" i="150"/>
  <c r="D186" i="150"/>
  <c r="C186" i="150"/>
  <c r="B186" i="150"/>
  <c r="N185" i="150"/>
  <c r="M185" i="150"/>
  <c r="L185" i="150"/>
  <c r="K185" i="150"/>
  <c r="J185" i="150"/>
  <c r="I185" i="150"/>
  <c r="H185" i="150"/>
  <c r="G185" i="150"/>
  <c r="F185" i="150"/>
  <c r="E185" i="150"/>
  <c r="D185" i="150"/>
  <c r="C185" i="150"/>
  <c r="B185" i="150"/>
  <c r="N184" i="150"/>
  <c r="M184" i="150"/>
  <c r="L184" i="150"/>
  <c r="K184" i="150"/>
  <c r="J184" i="150"/>
  <c r="I184" i="150"/>
  <c r="H184" i="150"/>
  <c r="G184" i="150"/>
  <c r="F184" i="150"/>
  <c r="E184" i="150"/>
  <c r="D184" i="150"/>
  <c r="C184" i="150"/>
  <c r="B184" i="150"/>
  <c r="N183" i="150"/>
  <c r="M183" i="150"/>
  <c r="L183" i="150"/>
  <c r="K183" i="150"/>
  <c r="J183" i="150"/>
  <c r="I183" i="150"/>
  <c r="H183" i="150"/>
  <c r="G183" i="150"/>
  <c r="F183" i="150"/>
  <c r="E183" i="150"/>
  <c r="D183" i="150"/>
  <c r="C183" i="150"/>
  <c r="B183" i="150"/>
  <c r="N182" i="150"/>
  <c r="M182" i="150"/>
  <c r="L182" i="150"/>
  <c r="K182" i="150"/>
  <c r="J182" i="150"/>
  <c r="I182" i="150"/>
  <c r="H182" i="150"/>
  <c r="G182" i="150"/>
  <c r="F182" i="150"/>
  <c r="E182" i="150"/>
  <c r="D182" i="150"/>
  <c r="C182" i="150"/>
  <c r="B182" i="150"/>
  <c r="N181" i="150"/>
  <c r="M181" i="150"/>
  <c r="L181" i="150"/>
  <c r="K181" i="150"/>
  <c r="J181" i="150"/>
  <c r="I181" i="150"/>
  <c r="H181" i="150"/>
  <c r="G181" i="150"/>
  <c r="F181" i="150"/>
  <c r="E181" i="150"/>
  <c r="D181" i="150"/>
  <c r="C181" i="150"/>
  <c r="B181" i="150"/>
  <c r="N180" i="150"/>
  <c r="M180" i="150"/>
  <c r="L180" i="150"/>
  <c r="K180" i="150"/>
  <c r="J180" i="150"/>
  <c r="I180" i="150"/>
  <c r="H180" i="150"/>
  <c r="G180" i="150"/>
  <c r="F180" i="150"/>
  <c r="E180" i="150"/>
  <c r="D180" i="150"/>
  <c r="C180" i="150"/>
  <c r="B180" i="150"/>
  <c r="N179" i="150"/>
  <c r="M179" i="150"/>
  <c r="L179" i="150"/>
  <c r="K179" i="150"/>
  <c r="J179" i="150"/>
  <c r="I179" i="150"/>
  <c r="H179" i="150"/>
  <c r="G179" i="150"/>
  <c r="F179" i="150"/>
  <c r="E179" i="150"/>
  <c r="D179" i="150"/>
  <c r="C179" i="150"/>
  <c r="B179" i="150"/>
  <c r="N178" i="150"/>
  <c r="M178" i="150"/>
  <c r="L178" i="150"/>
  <c r="K178" i="150"/>
  <c r="J178" i="150"/>
  <c r="I178" i="150"/>
  <c r="H178" i="150"/>
  <c r="G178" i="150"/>
  <c r="F178" i="150"/>
  <c r="E178" i="150"/>
  <c r="D178" i="150"/>
  <c r="C178" i="150"/>
  <c r="B178" i="150"/>
  <c r="N172" i="150"/>
  <c r="M172" i="150"/>
  <c r="L172" i="150"/>
  <c r="K172" i="150"/>
  <c r="J172" i="150"/>
  <c r="I172" i="150"/>
  <c r="H172" i="150"/>
  <c r="G172" i="150"/>
  <c r="F172" i="150"/>
  <c r="E172" i="150"/>
  <c r="D172" i="150"/>
  <c r="C172" i="150"/>
  <c r="A172" i="150"/>
  <c r="N171" i="150"/>
  <c r="M171" i="150"/>
  <c r="L171" i="150"/>
  <c r="K171" i="150"/>
  <c r="J171" i="150"/>
  <c r="I171" i="150"/>
  <c r="H171" i="150"/>
  <c r="G171" i="150"/>
  <c r="F171" i="150"/>
  <c r="E171" i="150"/>
  <c r="D171" i="150"/>
  <c r="C171" i="150"/>
  <c r="B171" i="150"/>
  <c r="N170" i="150"/>
  <c r="M170" i="150"/>
  <c r="L170" i="150"/>
  <c r="K170" i="150"/>
  <c r="J170" i="150"/>
  <c r="I170" i="150"/>
  <c r="H170" i="150"/>
  <c r="G170" i="150"/>
  <c r="F170" i="150"/>
  <c r="E170" i="150"/>
  <c r="D170" i="150"/>
  <c r="C170" i="150"/>
  <c r="B170" i="150"/>
  <c r="N169" i="150"/>
  <c r="M169" i="150"/>
  <c r="L169" i="150"/>
  <c r="K169" i="150"/>
  <c r="J169" i="150"/>
  <c r="I169" i="150"/>
  <c r="H169" i="150"/>
  <c r="G169" i="150"/>
  <c r="F169" i="150"/>
  <c r="E169" i="150"/>
  <c r="D169" i="150"/>
  <c r="C169" i="150"/>
  <c r="B169" i="150"/>
  <c r="N168" i="150"/>
  <c r="M168" i="150"/>
  <c r="L168" i="150"/>
  <c r="K168" i="150"/>
  <c r="J168" i="150"/>
  <c r="I168" i="150"/>
  <c r="H168" i="150"/>
  <c r="G168" i="150"/>
  <c r="F168" i="150"/>
  <c r="E168" i="150"/>
  <c r="D168" i="150"/>
  <c r="C168" i="150"/>
  <c r="B168" i="150"/>
  <c r="N167" i="150"/>
  <c r="M167" i="150"/>
  <c r="L167" i="150"/>
  <c r="K167" i="150"/>
  <c r="J167" i="150"/>
  <c r="I167" i="150"/>
  <c r="H167" i="150"/>
  <c r="G167" i="150"/>
  <c r="F167" i="150"/>
  <c r="E167" i="150"/>
  <c r="D167" i="150"/>
  <c r="C167" i="150"/>
  <c r="B167" i="150"/>
  <c r="N166" i="150"/>
  <c r="M166" i="150"/>
  <c r="L166" i="150"/>
  <c r="K166" i="150"/>
  <c r="J166" i="150"/>
  <c r="I166" i="150"/>
  <c r="H166" i="150"/>
  <c r="G166" i="150"/>
  <c r="F166" i="150"/>
  <c r="E166" i="150"/>
  <c r="D166" i="150"/>
  <c r="C166" i="150"/>
  <c r="B166" i="150"/>
  <c r="N165" i="150"/>
  <c r="M165" i="150"/>
  <c r="L165" i="150"/>
  <c r="K165" i="150"/>
  <c r="J165" i="150"/>
  <c r="I165" i="150"/>
  <c r="H165" i="150"/>
  <c r="G165" i="150"/>
  <c r="F165" i="150"/>
  <c r="E165" i="150"/>
  <c r="D165" i="150"/>
  <c r="C165" i="150"/>
  <c r="B165" i="150"/>
  <c r="N164" i="150"/>
  <c r="M164" i="150"/>
  <c r="L164" i="150"/>
  <c r="K164" i="150"/>
  <c r="J164" i="150"/>
  <c r="I164" i="150"/>
  <c r="H164" i="150"/>
  <c r="G164" i="150"/>
  <c r="F164" i="150"/>
  <c r="E164" i="150"/>
  <c r="D164" i="150"/>
  <c r="C164" i="150"/>
  <c r="B164" i="150"/>
  <c r="N163" i="150"/>
  <c r="M163" i="150"/>
  <c r="L163" i="150"/>
  <c r="K163" i="150"/>
  <c r="J163" i="150"/>
  <c r="I163" i="150"/>
  <c r="H163" i="150"/>
  <c r="G163" i="150"/>
  <c r="F163" i="150"/>
  <c r="E163" i="150"/>
  <c r="D163" i="150"/>
  <c r="C163" i="150"/>
  <c r="B163" i="150"/>
  <c r="N162" i="150"/>
  <c r="M162" i="150"/>
  <c r="L162" i="150"/>
  <c r="K162" i="150"/>
  <c r="J162" i="150"/>
  <c r="I162" i="150"/>
  <c r="H162" i="150"/>
  <c r="G162" i="150"/>
  <c r="F162" i="150"/>
  <c r="E162" i="150"/>
  <c r="D162" i="150"/>
  <c r="C162" i="150"/>
  <c r="B162" i="150"/>
  <c r="N161" i="150"/>
  <c r="M161" i="150"/>
  <c r="L161" i="150"/>
  <c r="K161" i="150"/>
  <c r="J161" i="150"/>
  <c r="I161" i="150"/>
  <c r="H161" i="150"/>
  <c r="G161" i="150"/>
  <c r="F161" i="150"/>
  <c r="E161" i="150"/>
  <c r="D161" i="150"/>
  <c r="C161" i="150"/>
  <c r="B161" i="150"/>
  <c r="N160" i="150"/>
  <c r="M160" i="150"/>
  <c r="L160" i="150"/>
  <c r="K160" i="150"/>
  <c r="J160" i="150"/>
  <c r="I160" i="150"/>
  <c r="H160" i="150"/>
  <c r="G160" i="150"/>
  <c r="F160" i="150"/>
  <c r="E160" i="150"/>
  <c r="D160" i="150"/>
  <c r="C160" i="150"/>
  <c r="B160" i="150"/>
  <c r="N156" i="150"/>
  <c r="M156" i="150"/>
  <c r="L156" i="150"/>
  <c r="K156" i="150"/>
  <c r="J156" i="150"/>
  <c r="I156" i="150"/>
  <c r="H156" i="150"/>
  <c r="G156" i="150"/>
  <c r="F156" i="150"/>
  <c r="E156" i="150"/>
  <c r="D156" i="150"/>
  <c r="C156" i="150"/>
  <c r="A156" i="150"/>
  <c r="N155" i="150"/>
  <c r="M155" i="150"/>
  <c r="L155" i="150"/>
  <c r="K155" i="150"/>
  <c r="J155" i="150"/>
  <c r="I155" i="150"/>
  <c r="H155" i="150"/>
  <c r="G155" i="150"/>
  <c r="F155" i="150"/>
  <c r="E155" i="150"/>
  <c r="D155" i="150"/>
  <c r="C155" i="150"/>
  <c r="B155" i="150"/>
  <c r="N154" i="150"/>
  <c r="M154" i="150"/>
  <c r="L154" i="150"/>
  <c r="K154" i="150"/>
  <c r="J154" i="150"/>
  <c r="I154" i="150"/>
  <c r="H154" i="150"/>
  <c r="G154" i="150"/>
  <c r="F154" i="150"/>
  <c r="E154" i="150"/>
  <c r="D154" i="150"/>
  <c r="C154" i="150"/>
  <c r="B154" i="150"/>
  <c r="N153" i="150"/>
  <c r="M153" i="150"/>
  <c r="L153" i="150"/>
  <c r="K153" i="150"/>
  <c r="J153" i="150"/>
  <c r="I153" i="150"/>
  <c r="H153" i="150"/>
  <c r="G153" i="150"/>
  <c r="F153" i="150"/>
  <c r="E153" i="150"/>
  <c r="D153" i="150"/>
  <c r="C153" i="150"/>
  <c r="B153" i="150"/>
  <c r="N152" i="150"/>
  <c r="M152" i="150"/>
  <c r="L152" i="150"/>
  <c r="K152" i="150"/>
  <c r="J152" i="150"/>
  <c r="I152" i="150"/>
  <c r="H152" i="150"/>
  <c r="G152" i="150"/>
  <c r="F152" i="150"/>
  <c r="E152" i="150"/>
  <c r="D152" i="150"/>
  <c r="C152" i="150"/>
  <c r="B152" i="150"/>
  <c r="N151" i="150"/>
  <c r="M151" i="150"/>
  <c r="L151" i="150"/>
  <c r="K151" i="150"/>
  <c r="J151" i="150"/>
  <c r="I151" i="150"/>
  <c r="H151" i="150"/>
  <c r="G151" i="150"/>
  <c r="F151" i="150"/>
  <c r="E151" i="150"/>
  <c r="D151" i="150"/>
  <c r="C151" i="150"/>
  <c r="B151" i="150"/>
  <c r="N150" i="150"/>
  <c r="M150" i="150"/>
  <c r="L150" i="150"/>
  <c r="K150" i="150"/>
  <c r="J150" i="150"/>
  <c r="I150" i="150"/>
  <c r="H150" i="150"/>
  <c r="G150" i="150"/>
  <c r="F150" i="150"/>
  <c r="E150" i="150"/>
  <c r="D150" i="150"/>
  <c r="C150" i="150"/>
  <c r="B150" i="150"/>
  <c r="N149" i="150"/>
  <c r="M149" i="150"/>
  <c r="L149" i="150"/>
  <c r="K149" i="150"/>
  <c r="J149" i="150"/>
  <c r="I149" i="150"/>
  <c r="H149" i="150"/>
  <c r="G149" i="150"/>
  <c r="F149" i="150"/>
  <c r="E149" i="150"/>
  <c r="D149" i="150"/>
  <c r="C149" i="150"/>
  <c r="B149" i="150"/>
  <c r="N148" i="150"/>
  <c r="M148" i="150"/>
  <c r="L148" i="150"/>
  <c r="K148" i="150"/>
  <c r="J148" i="150"/>
  <c r="I148" i="150"/>
  <c r="H148" i="150"/>
  <c r="G148" i="150"/>
  <c r="F148" i="150"/>
  <c r="E148" i="150"/>
  <c r="D148" i="150"/>
  <c r="C148" i="150"/>
  <c r="B148" i="150"/>
  <c r="N147" i="150"/>
  <c r="M147" i="150"/>
  <c r="L147" i="150"/>
  <c r="K147" i="150"/>
  <c r="J147" i="150"/>
  <c r="I147" i="150"/>
  <c r="H147" i="150"/>
  <c r="G147" i="150"/>
  <c r="F147" i="150"/>
  <c r="E147" i="150"/>
  <c r="D147" i="150"/>
  <c r="C147" i="150"/>
  <c r="B147" i="150"/>
  <c r="N146" i="150"/>
  <c r="M146" i="150"/>
  <c r="L146" i="150"/>
  <c r="K146" i="150"/>
  <c r="J146" i="150"/>
  <c r="I146" i="150"/>
  <c r="H146" i="150"/>
  <c r="G146" i="150"/>
  <c r="F146" i="150"/>
  <c r="E146" i="150"/>
  <c r="D146" i="150"/>
  <c r="C146" i="150"/>
  <c r="B146" i="150"/>
  <c r="N145" i="150"/>
  <c r="M145" i="150"/>
  <c r="L145" i="150"/>
  <c r="K145" i="150"/>
  <c r="J145" i="150"/>
  <c r="I145" i="150"/>
  <c r="H145" i="150"/>
  <c r="G145" i="150"/>
  <c r="F145" i="150"/>
  <c r="E145" i="150"/>
  <c r="D145" i="150"/>
  <c r="C145" i="150"/>
  <c r="B145" i="150"/>
  <c r="N144" i="150"/>
  <c r="M144" i="150"/>
  <c r="L144" i="150"/>
  <c r="K144" i="150"/>
  <c r="J144" i="150"/>
  <c r="I144" i="150"/>
  <c r="H144" i="150"/>
  <c r="G144" i="150"/>
  <c r="F144" i="150"/>
  <c r="E144" i="150"/>
  <c r="D144" i="150"/>
  <c r="C144" i="150"/>
  <c r="B144" i="150"/>
  <c r="N138" i="150"/>
  <c r="M138" i="150"/>
  <c r="L138" i="150"/>
  <c r="K138" i="150"/>
  <c r="J138" i="150"/>
  <c r="I138" i="150"/>
  <c r="H138" i="150"/>
  <c r="G138" i="150"/>
  <c r="F138" i="150"/>
  <c r="E138" i="150"/>
  <c r="D138" i="150"/>
  <c r="C138" i="150"/>
  <c r="A138" i="150"/>
  <c r="N137" i="150"/>
  <c r="M137" i="150"/>
  <c r="L137" i="150"/>
  <c r="K137" i="150"/>
  <c r="J137" i="150"/>
  <c r="I137" i="150"/>
  <c r="H137" i="150"/>
  <c r="G137" i="150"/>
  <c r="F137" i="150"/>
  <c r="E137" i="150"/>
  <c r="D137" i="150"/>
  <c r="C137" i="150"/>
  <c r="B137" i="150"/>
  <c r="N136" i="150"/>
  <c r="M136" i="150"/>
  <c r="L136" i="150"/>
  <c r="K136" i="150"/>
  <c r="J136" i="150"/>
  <c r="I136" i="150"/>
  <c r="H136" i="150"/>
  <c r="G136" i="150"/>
  <c r="F136" i="150"/>
  <c r="E136" i="150"/>
  <c r="D136" i="150"/>
  <c r="C136" i="150"/>
  <c r="B136" i="150"/>
  <c r="N135" i="150"/>
  <c r="M135" i="150"/>
  <c r="L135" i="150"/>
  <c r="K135" i="150"/>
  <c r="J135" i="150"/>
  <c r="I135" i="150"/>
  <c r="H135" i="150"/>
  <c r="G135" i="150"/>
  <c r="F135" i="150"/>
  <c r="E135" i="150"/>
  <c r="D135" i="150"/>
  <c r="C135" i="150"/>
  <c r="B135" i="150"/>
  <c r="N134" i="150"/>
  <c r="M134" i="150"/>
  <c r="L134" i="150"/>
  <c r="K134" i="150"/>
  <c r="J134" i="150"/>
  <c r="I134" i="150"/>
  <c r="H134" i="150"/>
  <c r="G134" i="150"/>
  <c r="F134" i="150"/>
  <c r="E134" i="150"/>
  <c r="D134" i="150"/>
  <c r="C134" i="150"/>
  <c r="B134" i="150"/>
  <c r="N133" i="150"/>
  <c r="M133" i="150"/>
  <c r="L133" i="150"/>
  <c r="K133" i="150"/>
  <c r="J133" i="150"/>
  <c r="I133" i="150"/>
  <c r="H133" i="150"/>
  <c r="G133" i="150"/>
  <c r="F133" i="150"/>
  <c r="E133" i="150"/>
  <c r="D133" i="150"/>
  <c r="C133" i="150"/>
  <c r="B133" i="150"/>
  <c r="N132" i="150"/>
  <c r="M132" i="150"/>
  <c r="L132" i="150"/>
  <c r="K132" i="150"/>
  <c r="J132" i="150"/>
  <c r="I132" i="150"/>
  <c r="H132" i="150"/>
  <c r="G132" i="150"/>
  <c r="F132" i="150"/>
  <c r="E132" i="150"/>
  <c r="D132" i="150"/>
  <c r="C132" i="150"/>
  <c r="B132" i="150"/>
  <c r="N131" i="150"/>
  <c r="M131" i="150"/>
  <c r="L131" i="150"/>
  <c r="K131" i="150"/>
  <c r="J131" i="150"/>
  <c r="I131" i="150"/>
  <c r="H131" i="150"/>
  <c r="G131" i="150"/>
  <c r="F131" i="150"/>
  <c r="E131" i="150"/>
  <c r="D131" i="150"/>
  <c r="C131" i="150"/>
  <c r="B131" i="150"/>
  <c r="N130" i="150"/>
  <c r="M130" i="150"/>
  <c r="L130" i="150"/>
  <c r="K130" i="150"/>
  <c r="J130" i="150"/>
  <c r="I130" i="150"/>
  <c r="H130" i="150"/>
  <c r="G130" i="150"/>
  <c r="F130" i="150"/>
  <c r="E130" i="150"/>
  <c r="D130" i="150"/>
  <c r="C130" i="150"/>
  <c r="B130" i="150"/>
  <c r="N129" i="150"/>
  <c r="M129" i="150"/>
  <c r="L129" i="150"/>
  <c r="K129" i="150"/>
  <c r="J129" i="150"/>
  <c r="I129" i="150"/>
  <c r="H129" i="150"/>
  <c r="G129" i="150"/>
  <c r="F129" i="150"/>
  <c r="E129" i="150"/>
  <c r="D129" i="150"/>
  <c r="C129" i="150"/>
  <c r="B129" i="150"/>
  <c r="N128" i="150"/>
  <c r="M128" i="150"/>
  <c r="L128" i="150"/>
  <c r="K128" i="150"/>
  <c r="J128" i="150"/>
  <c r="I128" i="150"/>
  <c r="H128" i="150"/>
  <c r="G128" i="150"/>
  <c r="F128" i="150"/>
  <c r="E128" i="150"/>
  <c r="D128" i="150"/>
  <c r="C128" i="150"/>
  <c r="B128" i="150"/>
  <c r="N127" i="150"/>
  <c r="M127" i="150"/>
  <c r="L127" i="150"/>
  <c r="K127" i="150"/>
  <c r="J127" i="150"/>
  <c r="I127" i="150"/>
  <c r="H127" i="150"/>
  <c r="G127" i="150"/>
  <c r="F127" i="150"/>
  <c r="E127" i="150"/>
  <c r="D127" i="150"/>
  <c r="C127" i="150"/>
  <c r="B127" i="150"/>
  <c r="N126" i="150"/>
  <c r="M126" i="150"/>
  <c r="L126" i="150"/>
  <c r="K126" i="150"/>
  <c r="J126" i="150"/>
  <c r="I126" i="150"/>
  <c r="H126" i="150"/>
  <c r="G126" i="150"/>
  <c r="F126" i="150"/>
  <c r="E126" i="150"/>
  <c r="D126" i="150"/>
  <c r="C126" i="150"/>
  <c r="B126" i="150"/>
  <c r="N122" i="150"/>
  <c r="M122" i="150"/>
  <c r="L122" i="150"/>
  <c r="K122" i="150"/>
  <c r="J122" i="150"/>
  <c r="I122" i="150"/>
  <c r="H122" i="150"/>
  <c r="G122" i="150"/>
  <c r="F122" i="150"/>
  <c r="E122" i="150"/>
  <c r="D122" i="150"/>
  <c r="C122" i="150"/>
  <c r="A122" i="150"/>
  <c r="N121" i="150"/>
  <c r="M121" i="150"/>
  <c r="L121" i="150"/>
  <c r="K121" i="150"/>
  <c r="J121" i="150"/>
  <c r="I121" i="150"/>
  <c r="H121" i="150"/>
  <c r="G121" i="150"/>
  <c r="F121" i="150"/>
  <c r="E121" i="150"/>
  <c r="D121" i="150"/>
  <c r="C121" i="150"/>
  <c r="B121" i="150"/>
  <c r="N120" i="150"/>
  <c r="M120" i="150"/>
  <c r="L120" i="150"/>
  <c r="K120" i="150"/>
  <c r="J120" i="150"/>
  <c r="I120" i="150"/>
  <c r="H120" i="150"/>
  <c r="G120" i="150"/>
  <c r="F120" i="150"/>
  <c r="E120" i="150"/>
  <c r="D120" i="150"/>
  <c r="C120" i="150"/>
  <c r="B120" i="150"/>
  <c r="N119" i="150"/>
  <c r="M119" i="150"/>
  <c r="L119" i="150"/>
  <c r="K119" i="150"/>
  <c r="J119" i="150"/>
  <c r="I119" i="150"/>
  <c r="H119" i="150"/>
  <c r="G119" i="150"/>
  <c r="F119" i="150"/>
  <c r="E119" i="150"/>
  <c r="D119" i="150"/>
  <c r="C119" i="150"/>
  <c r="B119" i="150"/>
  <c r="N118" i="150"/>
  <c r="M118" i="150"/>
  <c r="L118" i="150"/>
  <c r="K118" i="150"/>
  <c r="J118" i="150"/>
  <c r="I118" i="150"/>
  <c r="H118" i="150"/>
  <c r="G118" i="150"/>
  <c r="F118" i="150"/>
  <c r="E118" i="150"/>
  <c r="D118" i="150"/>
  <c r="C118" i="150"/>
  <c r="B118" i="150"/>
  <c r="N117" i="150"/>
  <c r="M117" i="150"/>
  <c r="L117" i="150"/>
  <c r="K117" i="150"/>
  <c r="J117" i="150"/>
  <c r="I117" i="150"/>
  <c r="H117" i="150"/>
  <c r="G117" i="150"/>
  <c r="F117" i="150"/>
  <c r="E117" i="150"/>
  <c r="D117" i="150"/>
  <c r="C117" i="150"/>
  <c r="B117" i="150"/>
  <c r="N116" i="150"/>
  <c r="M116" i="150"/>
  <c r="L116" i="150"/>
  <c r="K116" i="150"/>
  <c r="J116" i="150"/>
  <c r="I116" i="150"/>
  <c r="H116" i="150"/>
  <c r="G116" i="150"/>
  <c r="F116" i="150"/>
  <c r="E116" i="150"/>
  <c r="D116" i="150"/>
  <c r="C116" i="150"/>
  <c r="B116" i="150"/>
  <c r="N115" i="150"/>
  <c r="M115" i="150"/>
  <c r="L115" i="150"/>
  <c r="K115" i="150"/>
  <c r="J115" i="150"/>
  <c r="I115" i="150"/>
  <c r="H115" i="150"/>
  <c r="G115" i="150"/>
  <c r="F115" i="150"/>
  <c r="E115" i="150"/>
  <c r="D115" i="150"/>
  <c r="C115" i="150"/>
  <c r="B115" i="150"/>
  <c r="N114" i="150"/>
  <c r="M114" i="150"/>
  <c r="L114" i="150"/>
  <c r="K114" i="150"/>
  <c r="J114" i="150"/>
  <c r="I114" i="150"/>
  <c r="H114" i="150"/>
  <c r="G114" i="150"/>
  <c r="F114" i="150"/>
  <c r="E114" i="150"/>
  <c r="D114" i="150"/>
  <c r="C114" i="150"/>
  <c r="B114" i="150"/>
  <c r="N113" i="150"/>
  <c r="M113" i="150"/>
  <c r="L113" i="150"/>
  <c r="K113" i="150"/>
  <c r="J113" i="150"/>
  <c r="I113" i="150"/>
  <c r="H113" i="150"/>
  <c r="G113" i="150"/>
  <c r="F113" i="150"/>
  <c r="E113" i="150"/>
  <c r="D113" i="150"/>
  <c r="C113" i="150"/>
  <c r="B113" i="150"/>
  <c r="N112" i="150"/>
  <c r="M112" i="150"/>
  <c r="L112" i="150"/>
  <c r="K112" i="150"/>
  <c r="J112" i="150"/>
  <c r="I112" i="150"/>
  <c r="H112" i="150"/>
  <c r="G112" i="150"/>
  <c r="F112" i="150"/>
  <c r="E112" i="150"/>
  <c r="D112" i="150"/>
  <c r="C112" i="150"/>
  <c r="B112" i="150"/>
  <c r="N111" i="150"/>
  <c r="M111" i="150"/>
  <c r="L111" i="150"/>
  <c r="K111" i="150"/>
  <c r="J111" i="150"/>
  <c r="I111" i="150"/>
  <c r="H111" i="150"/>
  <c r="G111" i="150"/>
  <c r="F111" i="150"/>
  <c r="E111" i="150"/>
  <c r="D111" i="150"/>
  <c r="C111" i="150"/>
  <c r="B111" i="150"/>
  <c r="N110" i="150"/>
  <c r="M110" i="150"/>
  <c r="L110" i="150"/>
  <c r="K110" i="150"/>
  <c r="J110" i="150"/>
  <c r="I110" i="150"/>
  <c r="H110" i="150"/>
  <c r="G110" i="150"/>
  <c r="F110" i="150"/>
  <c r="E110" i="150"/>
  <c r="D110" i="150"/>
  <c r="C110" i="150"/>
  <c r="B110" i="150"/>
  <c r="N104" i="150"/>
  <c r="M104" i="150"/>
  <c r="L104" i="150"/>
  <c r="K104" i="150"/>
  <c r="J104" i="150"/>
  <c r="I104" i="150"/>
  <c r="H104" i="150"/>
  <c r="G104" i="150"/>
  <c r="F104" i="150"/>
  <c r="E104" i="150"/>
  <c r="D104" i="150"/>
  <c r="C104" i="150"/>
  <c r="A104" i="150"/>
  <c r="N103" i="150"/>
  <c r="M103" i="150"/>
  <c r="L103" i="150"/>
  <c r="K103" i="150"/>
  <c r="J103" i="150"/>
  <c r="I103" i="150"/>
  <c r="H103" i="150"/>
  <c r="G103" i="150"/>
  <c r="F103" i="150"/>
  <c r="E103" i="150"/>
  <c r="D103" i="150"/>
  <c r="C103" i="150"/>
  <c r="B103" i="150"/>
  <c r="N102" i="150"/>
  <c r="M102" i="150"/>
  <c r="L102" i="150"/>
  <c r="K102" i="150"/>
  <c r="J102" i="150"/>
  <c r="I102" i="150"/>
  <c r="H102" i="150"/>
  <c r="G102" i="150"/>
  <c r="F102" i="150"/>
  <c r="E102" i="150"/>
  <c r="D102" i="150"/>
  <c r="C102" i="150"/>
  <c r="B102" i="150"/>
  <c r="N101" i="150"/>
  <c r="M101" i="150"/>
  <c r="L101" i="150"/>
  <c r="K101" i="150"/>
  <c r="J101" i="150"/>
  <c r="I101" i="150"/>
  <c r="H101" i="150"/>
  <c r="G101" i="150"/>
  <c r="F101" i="150"/>
  <c r="E101" i="150"/>
  <c r="D101" i="150"/>
  <c r="C101" i="150"/>
  <c r="B101" i="150"/>
  <c r="N100" i="150"/>
  <c r="M100" i="150"/>
  <c r="L100" i="150"/>
  <c r="K100" i="150"/>
  <c r="J100" i="150"/>
  <c r="I100" i="150"/>
  <c r="H100" i="150"/>
  <c r="G100" i="150"/>
  <c r="F100" i="150"/>
  <c r="E100" i="150"/>
  <c r="D100" i="150"/>
  <c r="C100" i="150"/>
  <c r="B100" i="150"/>
  <c r="N99" i="150"/>
  <c r="M99" i="150"/>
  <c r="L99" i="150"/>
  <c r="K99" i="150"/>
  <c r="J99" i="150"/>
  <c r="I99" i="150"/>
  <c r="H99" i="150"/>
  <c r="G99" i="150"/>
  <c r="F99" i="150"/>
  <c r="E99" i="150"/>
  <c r="D99" i="150"/>
  <c r="C99" i="150"/>
  <c r="B99" i="150"/>
  <c r="N98" i="150"/>
  <c r="M98" i="150"/>
  <c r="L98" i="150"/>
  <c r="K98" i="150"/>
  <c r="J98" i="150"/>
  <c r="I98" i="150"/>
  <c r="H98" i="150"/>
  <c r="G98" i="150"/>
  <c r="F98" i="150"/>
  <c r="E98" i="150"/>
  <c r="D98" i="150"/>
  <c r="C98" i="150"/>
  <c r="B98" i="150"/>
  <c r="N97" i="150"/>
  <c r="M97" i="150"/>
  <c r="L97" i="150"/>
  <c r="K97" i="150"/>
  <c r="J97" i="150"/>
  <c r="I97" i="150"/>
  <c r="H97" i="150"/>
  <c r="G97" i="150"/>
  <c r="F97" i="150"/>
  <c r="E97" i="150"/>
  <c r="D97" i="150"/>
  <c r="C97" i="150"/>
  <c r="B97" i="150"/>
  <c r="N96" i="150"/>
  <c r="M96" i="150"/>
  <c r="L96" i="150"/>
  <c r="K96" i="150"/>
  <c r="J96" i="150"/>
  <c r="I96" i="150"/>
  <c r="H96" i="150"/>
  <c r="G96" i="150"/>
  <c r="F96" i="150"/>
  <c r="E96" i="150"/>
  <c r="D96" i="150"/>
  <c r="C96" i="150"/>
  <c r="B96" i="150"/>
  <c r="N95" i="150"/>
  <c r="M95" i="150"/>
  <c r="L95" i="150"/>
  <c r="K95" i="150"/>
  <c r="J95" i="150"/>
  <c r="I95" i="150"/>
  <c r="H95" i="150"/>
  <c r="G95" i="150"/>
  <c r="F95" i="150"/>
  <c r="E95" i="150"/>
  <c r="D95" i="150"/>
  <c r="C95" i="150"/>
  <c r="B95" i="150"/>
  <c r="N94" i="150"/>
  <c r="M94" i="150"/>
  <c r="L94" i="150"/>
  <c r="K94" i="150"/>
  <c r="J94" i="150"/>
  <c r="I94" i="150"/>
  <c r="H94" i="150"/>
  <c r="G94" i="150"/>
  <c r="F94" i="150"/>
  <c r="E94" i="150"/>
  <c r="D94" i="150"/>
  <c r="C94" i="150"/>
  <c r="B94" i="150"/>
  <c r="N93" i="150"/>
  <c r="M93" i="150"/>
  <c r="L93" i="150"/>
  <c r="K93" i="150"/>
  <c r="J93" i="150"/>
  <c r="I93" i="150"/>
  <c r="H93" i="150"/>
  <c r="G93" i="150"/>
  <c r="F93" i="150"/>
  <c r="E93" i="150"/>
  <c r="D93" i="150"/>
  <c r="C93" i="150"/>
  <c r="B93" i="150"/>
  <c r="N92" i="150"/>
  <c r="M92" i="150"/>
  <c r="L92" i="150"/>
  <c r="K92" i="150"/>
  <c r="J92" i="150"/>
  <c r="I92" i="150"/>
  <c r="H92" i="150"/>
  <c r="G92" i="150"/>
  <c r="F92" i="150"/>
  <c r="E92" i="150"/>
  <c r="D92" i="150"/>
  <c r="C92" i="150"/>
  <c r="B92" i="150"/>
  <c r="N88" i="150"/>
  <c r="M88" i="150"/>
  <c r="L88" i="150"/>
  <c r="K88" i="150"/>
  <c r="J88" i="150"/>
  <c r="I88" i="150"/>
  <c r="H88" i="150"/>
  <c r="G88" i="150"/>
  <c r="F88" i="150"/>
  <c r="E88" i="150"/>
  <c r="D88" i="150"/>
  <c r="C88" i="150"/>
  <c r="A88" i="150"/>
  <c r="N87" i="150"/>
  <c r="M87" i="150"/>
  <c r="L87" i="150"/>
  <c r="K87" i="150"/>
  <c r="J87" i="150"/>
  <c r="I87" i="150"/>
  <c r="H87" i="150"/>
  <c r="G87" i="150"/>
  <c r="F87" i="150"/>
  <c r="E87" i="150"/>
  <c r="D87" i="150"/>
  <c r="C87" i="150"/>
  <c r="B87" i="150"/>
  <c r="N86" i="150"/>
  <c r="M86" i="150"/>
  <c r="L86" i="150"/>
  <c r="K86" i="150"/>
  <c r="J86" i="150"/>
  <c r="I86" i="150"/>
  <c r="H86" i="150"/>
  <c r="G86" i="150"/>
  <c r="F86" i="150"/>
  <c r="E86" i="150"/>
  <c r="D86" i="150"/>
  <c r="C86" i="150"/>
  <c r="B86" i="150"/>
  <c r="N85" i="150"/>
  <c r="M85" i="150"/>
  <c r="L85" i="150"/>
  <c r="K85" i="150"/>
  <c r="J85" i="150"/>
  <c r="I85" i="150"/>
  <c r="H85" i="150"/>
  <c r="G85" i="150"/>
  <c r="F85" i="150"/>
  <c r="E85" i="150"/>
  <c r="D85" i="150"/>
  <c r="C85" i="150"/>
  <c r="B85" i="150"/>
  <c r="N84" i="150"/>
  <c r="M84" i="150"/>
  <c r="L84" i="150"/>
  <c r="K84" i="150"/>
  <c r="J84" i="150"/>
  <c r="I84" i="150"/>
  <c r="H84" i="150"/>
  <c r="G84" i="150"/>
  <c r="F84" i="150"/>
  <c r="E84" i="150"/>
  <c r="D84" i="150"/>
  <c r="C84" i="150"/>
  <c r="B84" i="150"/>
  <c r="N83" i="150"/>
  <c r="M83" i="150"/>
  <c r="L83" i="150"/>
  <c r="K83" i="150"/>
  <c r="J83" i="150"/>
  <c r="I83" i="150"/>
  <c r="H83" i="150"/>
  <c r="G83" i="150"/>
  <c r="F83" i="150"/>
  <c r="E83" i="150"/>
  <c r="D83" i="150"/>
  <c r="C83" i="150"/>
  <c r="B83" i="150"/>
  <c r="N82" i="150"/>
  <c r="M82" i="150"/>
  <c r="L82" i="150"/>
  <c r="K82" i="150"/>
  <c r="J82" i="150"/>
  <c r="I82" i="150"/>
  <c r="H82" i="150"/>
  <c r="G82" i="150"/>
  <c r="F82" i="150"/>
  <c r="E82" i="150"/>
  <c r="D82" i="150"/>
  <c r="C82" i="150"/>
  <c r="B82" i="150"/>
  <c r="N81" i="150"/>
  <c r="M81" i="150"/>
  <c r="L81" i="150"/>
  <c r="K81" i="150"/>
  <c r="J81" i="150"/>
  <c r="I81" i="150"/>
  <c r="H81" i="150"/>
  <c r="G81" i="150"/>
  <c r="F81" i="150"/>
  <c r="E81" i="150"/>
  <c r="D81" i="150"/>
  <c r="C81" i="150"/>
  <c r="B81" i="150"/>
  <c r="N80" i="150"/>
  <c r="M80" i="150"/>
  <c r="L80" i="150"/>
  <c r="K80" i="150"/>
  <c r="J80" i="150"/>
  <c r="I80" i="150"/>
  <c r="H80" i="150"/>
  <c r="G80" i="150"/>
  <c r="F80" i="150"/>
  <c r="E80" i="150"/>
  <c r="D80" i="150"/>
  <c r="C80" i="150"/>
  <c r="B80" i="150"/>
  <c r="N79" i="150"/>
  <c r="M79" i="150"/>
  <c r="L79" i="150"/>
  <c r="K79" i="150"/>
  <c r="J79" i="150"/>
  <c r="I79" i="150"/>
  <c r="H79" i="150"/>
  <c r="G79" i="150"/>
  <c r="F79" i="150"/>
  <c r="E79" i="150"/>
  <c r="D79" i="150"/>
  <c r="C79" i="150"/>
  <c r="B79" i="150"/>
  <c r="N78" i="150"/>
  <c r="M78" i="150"/>
  <c r="L78" i="150"/>
  <c r="K78" i="150"/>
  <c r="J78" i="150"/>
  <c r="I78" i="150"/>
  <c r="H78" i="150"/>
  <c r="G78" i="150"/>
  <c r="F78" i="150"/>
  <c r="E78" i="150"/>
  <c r="D78" i="150"/>
  <c r="C78" i="150"/>
  <c r="B78" i="150"/>
  <c r="N77" i="150"/>
  <c r="M77" i="150"/>
  <c r="L77" i="150"/>
  <c r="K77" i="150"/>
  <c r="J77" i="150"/>
  <c r="I77" i="150"/>
  <c r="H77" i="150"/>
  <c r="G77" i="150"/>
  <c r="F77" i="150"/>
  <c r="E77" i="150"/>
  <c r="D77" i="150"/>
  <c r="C77" i="150"/>
  <c r="B77" i="150"/>
  <c r="N76" i="150"/>
  <c r="M76" i="150"/>
  <c r="L76" i="150"/>
  <c r="K76" i="150"/>
  <c r="J76" i="150"/>
  <c r="I76" i="150"/>
  <c r="H76" i="150"/>
  <c r="G76" i="150"/>
  <c r="F76" i="150"/>
  <c r="E76" i="150"/>
  <c r="D76" i="150"/>
  <c r="C76" i="150"/>
  <c r="B76" i="150"/>
  <c r="N70" i="150"/>
  <c r="M70" i="150"/>
  <c r="L70" i="150"/>
  <c r="K70" i="150"/>
  <c r="J70" i="150"/>
  <c r="I70" i="150"/>
  <c r="H70" i="150"/>
  <c r="G70" i="150"/>
  <c r="F70" i="150"/>
  <c r="E70" i="150"/>
  <c r="D70" i="150"/>
  <c r="C70" i="150"/>
  <c r="A70" i="150"/>
  <c r="N69" i="150"/>
  <c r="M69" i="150"/>
  <c r="L69" i="150"/>
  <c r="K69" i="150"/>
  <c r="J69" i="150"/>
  <c r="I69" i="150"/>
  <c r="H69" i="150"/>
  <c r="G69" i="150"/>
  <c r="F69" i="150"/>
  <c r="E69" i="150"/>
  <c r="D69" i="150"/>
  <c r="C69" i="150"/>
  <c r="B69" i="150"/>
  <c r="N68" i="150"/>
  <c r="M68" i="150"/>
  <c r="L68" i="150"/>
  <c r="K68" i="150"/>
  <c r="J68" i="150"/>
  <c r="I68" i="150"/>
  <c r="H68" i="150"/>
  <c r="G68" i="150"/>
  <c r="F68" i="150"/>
  <c r="E68" i="150"/>
  <c r="D68" i="150"/>
  <c r="C68" i="150"/>
  <c r="B68" i="150"/>
  <c r="N67" i="150"/>
  <c r="M67" i="150"/>
  <c r="L67" i="150"/>
  <c r="K67" i="150"/>
  <c r="J67" i="150"/>
  <c r="I67" i="150"/>
  <c r="H67" i="150"/>
  <c r="G67" i="150"/>
  <c r="F67" i="150"/>
  <c r="E67" i="150"/>
  <c r="D67" i="150"/>
  <c r="C67" i="150"/>
  <c r="B67" i="150"/>
  <c r="N66" i="150"/>
  <c r="M66" i="150"/>
  <c r="L66" i="150"/>
  <c r="K66" i="150"/>
  <c r="J66" i="150"/>
  <c r="I66" i="150"/>
  <c r="H66" i="150"/>
  <c r="G66" i="150"/>
  <c r="F66" i="150"/>
  <c r="E66" i="150"/>
  <c r="D66" i="150"/>
  <c r="C66" i="150"/>
  <c r="B66" i="150"/>
  <c r="N65" i="150"/>
  <c r="M65" i="150"/>
  <c r="L65" i="150"/>
  <c r="K65" i="150"/>
  <c r="J65" i="150"/>
  <c r="I65" i="150"/>
  <c r="H65" i="150"/>
  <c r="G65" i="150"/>
  <c r="F65" i="150"/>
  <c r="E65" i="150"/>
  <c r="D65" i="150"/>
  <c r="C65" i="150"/>
  <c r="B65" i="150"/>
  <c r="N64" i="150"/>
  <c r="M64" i="150"/>
  <c r="L64" i="150"/>
  <c r="K64" i="150"/>
  <c r="J64" i="150"/>
  <c r="I64" i="150"/>
  <c r="H64" i="150"/>
  <c r="G64" i="150"/>
  <c r="F64" i="150"/>
  <c r="E64" i="150"/>
  <c r="D64" i="150"/>
  <c r="C64" i="150"/>
  <c r="B64" i="150"/>
  <c r="N63" i="150"/>
  <c r="M63" i="150"/>
  <c r="L63" i="150"/>
  <c r="K63" i="150"/>
  <c r="J63" i="150"/>
  <c r="I63" i="150"/>
  <c r="H63" i="150"/>
  <c r="G63" i="150"/>
  <c r="F63" i="150"/>
  <c r="E63" i="150"/>
  <c r="D63" i="150"/>
  <c r="C63" i="150"/>
  <c r="B63" i="150"/>
  <c r="N62" i="150"/>
  <c r="M62" i="150"/>
  <c r="L62" i="150"/>
  <c r="K62" i="150"/>
  <c r="J62" i="150"/>
  <c r="I62" i="150"/>
  <c r="H62" i="150"/>
  <c r="G62" i="150"/>
  <c r="F62" i="150"/>
  <c r="E62" i="150"/>
  <c r="D62" i="150"/>
  <c r="C62" i="150"/>
  <c r="B62" i="150"/>
  <c r="N61" i="150"/>
  <c r="M61" i="150"/>
  <c r="L61" i="150"/>
  <c r="K61" i="150"/>
  <c r="J61" i="150"/>
  <c r="I61" i="150"/>
  <c r="H61" i="150"/>
  <c r="G61" i="150"/>
  <c r="F61" i="150"/>
  <c r="E61" i="150"/>
  <c r="D61" i="150"/>
  <c r="C61" i="150"/>
  <c r="B61" i="150"/>
  <c r="N60" i="150"/>
  <c r="M60" i="150"/>
  <c r="L60" i="150"/>
  <c r="K60" i="150"/>
  <c r="J60" i="150"/>
  <c r="I60" i="150"/>
  <c r="H60" i="150"/>
  <c r="G60" i="150"/>
  <c r="F60" i="150"/>
  <c r="E60" i="150"/>
  <c r="D60" i="150"/>
  <c r="C60" i="150"/>
  <c r="B60" i="150"/>
  <c r="N59" i="150"/>
  <c r="M59" i="150"/>
  <c r="L59" i="150"/>
  <c r="K59" i="150"/>
  <c r="J59" i="150"/>
  <c r="I59" i="150"/>
  <c r="H59" i="150"/>
  <c r="G59" i="150"/>
  <c r="F59" i="150"/>
  <c r="E59" i="150"/>
  <c r="D59" i="150"/>
  <c r="C59" i="150"/>
  <c r="B59" i="150"/>
  <c r="N58" i="150"/>
  <c r="M58" i="150"/>
  <c r="L58" i="150"/>
  <c r="K58" i="150"/>
  <c r="J58" i="150"/>
  <c r="I58" i="150"/>
  <c r="H58" i="150"/>
  <c r="G58" i="150"/>
  <c r="F58" i="150"/>
  <c r="E58" i="150"/>
  <c r="D58" i="150"/>
  <c r="C58" i="150"/>
  <c r="B58" i="150"/>
  <c r="N54" i="150"/>
  <c r="M54" i="150"/>
  <c r="L54" i="150"/>
  <c r="K54" i="150"/>
  <c r="J54" i="150"/>
  <c r="I54" i="150"/>
  <c r="H54" i="150"/>
  <c r="G54" i="150"/>
  <c r="F54" i="150"/>
  <c r="E54" i="150"/>
  <c r="D54" i="150"/>
  <c r="C54" i="150"/>
  <c r="A54" i="150"/>
  <c r="N53" i="150"/>
  <c r="M53" i="150"/>
  <c r="L53" i="150"/>
  <c r="K53" i="150"/>
  <c r="J53" i="150"/>
  <c r="I53" i="150"/>
  <c r="H53" i="150"/>
  <c r="G53" i="150"/>
  <c r="F53" i="150"/>
  <c r="E53" i="150"/>
  <c r="D53" i="150"/>
  <c r="C53" i="150"/>
  <c r="B53" i="150"/>
  <c r="N52" i="150"/>
  <c r="M52" i="150"/>
  <c r="L52" i="150"/>
  <c r="K52" i="150"/>
  <c r="J52" i="150"/>
  <c r="I52" i="150"/>
  <c r="H52" i="150"/>
  <c r="G52" i="150"/>
  <c r="F52" i="150"/>
  <c r="E52" i="150"/>
  <c r="D52" i="150"/>
  <c r="C52" i="150"/>
  <c r="B52" i="150"/>
  <c r="N51" i="150"/>
  <c r="M51" i="150"/>
  <c r="L51" i="150"/>
  <c r="K51" i="150"/>
  <c r="J51" i="150"/>
  <c r="I51" i="150"/>
  <c r="H51" i="150"/>
  <c r="G51" i="150"/>
  <c r="F51" i="150"/>
  <c r="E51" i="150"/>
  <c r="D51" i="150"/>
  <c r="C51" i="150"/>
  <c r="B51" i="150"/>
  <c r="N50" i="150"/>
  <c r="M50" i="150"/>
  <c r="L50" i="150"/>
  <c r="K50" i="150"/>
  <c r="J50" i="150"/>
  <c r="I50" i="150"/>
  <c r="H50" i="150"/>
  <c r="G50" i="150"/>
  <c r="F50" i="150"/>
  <c r="E50" i="150"/>
  <c r="D50" i="150"/>
  <c r="C50" i="150"/>
  <c r="B50" i="150"/>
  <c r="N49" i="150"/>
  <c r="M49" i="150"/>
  <c r="L49" i="150"/>
  <c r="K49" i="150"/>
  <c r="J49" i="150"/>
  <c r="I49" i="150"/>
  <c r="H49" i="150"/>
  <c r="G49" i="150"/>
  <c r="F49" i="150"/>
  <c r="E49" i="150"/>
  <c r="D49" i="150"/>
  <c r="C49" i="150"/>
  <c r="B49" i="150"/>
  <c r="N48" i="150"/>
  <c r="M48" i="150"/>
  <c r="L48" i="150"/>
  <c r="K48" i="150"/>
  <c r="J48" i="150"/>
  <c r="I48" i="150"/>
  <c r="H48" i="150"/>
  <c r="G48" i="150"/>
  <c r="F48" i="150"/>
  <c r="E48" i="150"/>
  <c r="D48" i="150"/>
  <c r="C48" i="150"/>
  <c r="B48" i="150"/>
  <c r="N47" i="150"/>
  <c r="M47" i="150"/>
  <c r="L47" i="150"/>
  <c r="K47" i="150"/>
  <c r="J47" i="150"/>
  <c r="I47" i="150"/>
  <c r="H47" i="150"/>
  <c r="G47" i="150"/>
  <c r="F47" i="150"/>
  <c r="E47" i="150"/>
  <c r="D47" i="150"/>
  <c r="C47" i="150"/>
  <c r="B47" i="150"/>
  <c r="N46" i="150"/>
  <c r="M46" i="150"/>
  <c r="L46" i="150"/>
  <c r="K46" i="150"/>
  <c r="J46" i="150"/>
  <c r="I46" i="150"/>
  <c r="H46" i="150"/>
  <c r="G46" i="150"/>
  <c r="F46" i="150"/>
  <c r="E46" i="150"/>
  <c r="D46" i="150"/>
  <c r="C46" i="150"/>
  <c r="B46" i="150"/>
  <c r="N45" i="150"/>
  <c r="M45" i="150"/>
  <c r="L45" i="150"/>
  <c r="K45" i="150"/>
  <c r="J45" i="150"/>
  <c r="I45" i="150"/>
  <c r="H45" i="150"/>
  <c r="G45" i="150"/>
  <c r="F45" i="150"/>
  <c r="E45" i="150"/>
  <c r="D45" i="150"/>
  <c r="C45" i="150"/>
  <c r="B45" i="150"/>
  <c r="N44" i="150"/>
  <c r="M44" i="150"/>
  <c r="L44" i="150"/>
  <c r="K44" i="150"/>
  <c r="J44" i="150"/>
  <c r="I44" i="150"/>
  <c r="H44" i="150"/>
  <c r="G44" i="150"/>
  <c r="F44" i="150"/>
  <c r="E44" i="150"/>
  <c r="D44" i="150"/>
  <c r="C44" i="150"/>
  <c r="B44" i="150"/>
  <c r="N43" i="150"/>
  <c r="M43" i="150"/>
  <c r="L43" i="150"/>
  <c r="K43" i="150"/>
  <c r="J43" i="150"/>
  <c r="I43" i="150"/>
  <c r="H43" i="150"/>
  <c r="G43" i="150"/>
  <c r="F43" i="150"/>
  <c r="E43" i="150"/>
  <c r="D43" i="150"/>
  <c r="C43" i="150"/>
  <c r="B43" i="150"/>
  <c r="N42" i="150"/>
  <c r="M42" i="150"/>
  <c r="L42" i="150"/>
  <c r="K42" i="150"/>
  <c r="J42" i="150"/>
  <c r="I42" i="150"/>
  <c r="H42" i="150"/>
  <c r="G42" i="150"/>
  <c r="F42" i="150"/>
  <c r="E42" i="150"/>
  <c r="D42" i="150"/>
  <c r="C42" i="150"/>
  <c r="B42" i="150"/>
  <c r="N36" i="150"/>
  <c r="M36" i="150"/>
  <c r="L36" i="150"/>
  <c r="K36" i="150"/>
  <c r="J36" i="150"/>
  <c r="I36" i="150"/>
  <c r="H36" i="150"/>
  <c r="G36" i="150"/>
  <c r="F36" i="150"/>
  <c r="E36" i="150"/>
  <c r="D36" i="150"/>
  <c r="C36" i="150"/>
  <c r="B36" i="150"/>
  <c r="N35" i="150"/>
  <c r="M35" i="150"/>
  <c r="L35" i="150"/>
  <c r="K35" i="150"/>
  <c r="J35" i="150"/>
  <c r="I35" i="150"/>
  <c r="H35" i="150"/>
  <c r="G35" i="150"/>
  <c r="F35" i="150"/>
  <c r="E35" i="150"/>
  <c r="D35" i="150"/>
  <c r="C35" i="150"/>
  <c r="B35" i="150"/>
  <c r="I31" i="150"/>
  <c r="H31" i="150"/>
  <c r="G31" i="150"/>
  <c r="E31" i="150"/>
  <c r="D31" i="150"/>
  <c r="C31" i="150"/>
  <c r="B31" i="150"/>
  <c r="A31" i="150"/>
  <c r="D30" i="150"/>
  <c r="C30" i="150"/>
  <c r="B30" i="150"/>
  <c r="D29" i="150"/>
  <c r="C29" i="150"/>
  <c r="B29" i="150"/>
  <c r="D28" i="150"/>
  <c r="C28" i="150"/>
  <c r="B28" i="150"/>
  <c r="D27" i="150"/>
  <c r="C27" i="150"/>
  <c r="B27" i="150"/>
  <c r="D26" i="150"/>
  <c r="C26" i="150"/>
  <c r="B26" i="150"/>
  <c r="D25" i="150"/>
  <c r="C25" i="150"/>
  <c r="B25" i="150"/>
  <c r="D24" i="150"/>
  <c r="C24" i="150"/>
  <c r="B24" i="150"/>
  <c r="D23" i="150"/>
  <c r="C23" i="150"/>
  <c r="B23" i="150"/>
  <c r="D22" i="150"/>
  <c r="C22" i="150"/>
  <c r="B22" i="150"/>
  <c r="D21" i="150"/>
  <c r="C21" i="150"/>
  <c r="B21" i="150"/>
  <c r="D20" i="150"/>
  <c r="C20" i="150"/>
  <c r="C19" i="150"/>
  <c r="B19" i="150"/>
  <c r="N15" i="150"/>
  <c r="M15" i="150"/>
  <c r="L15" i="150"/>
  <c r="K15" i="150"/>
  <c r="J15" i="150"/>
  <c r="I15" i="150"/>
  <c r="H15" i="150"/>
  <c r="G15" i="150"/>
  <c r="F15" i="150"/>
  <c r="E15" i="150"/>
  <c r="D15" i="150"/>
  <c r="C15" i="150"/>
  <c r="B15" i="150"/>
  <c r="N14" i="150"/>
  <c r="M14" i="150"/>
  <c r="L14" i="150"/>
  <c r="K14" i="150"/>
  <c r="J14" i="150"/>
  <c r="I14" i="150"/>
  <c r="H14" i="150"/>
  <c r="G14" i="150"/>
  <c r="F14" i="150"/>
  <c r="E14" i="150"/>
  <c r="D14" i="150"/>
  <c r="C14" i="150"/>
  <c r="B14" i="150"/>
  <c r="A10" i="150"/>
  <c r="A1" i="150"/>
  <c r="N371" i="149"/>
  <c r="M371" i="149"/>
  <c r="L371" i="149"/>
  <c r="K371" i="149"/>
  <c r="J371" i="149"/>
  <c r="I371" i="149"/>
  <c r="H371" i="149"/>
  <c r="G371" i="149"/>
  <c r="F371" i="149"/>
  <c r="E371" i="149"/>
  <c r="D371" i="149"/>
  <c r="C371" i="149"/>
  <c r="A371" i="149"/>
  <c r="N370" i="149"/>
  <c r="M370" i="149"/>
  <c r="L370" i="149"/>
  <c r="K370" i="149"/>
  <c r="J370" i="149"/>
  <c r="I370" i="149"/>
  <c r="H370" i="149"/>
  <c r="G370" i="149"/>
  <c r="F370" i="149"/>
  <c r="E370" i="149"/>
  <c r="D370" i="149"/>
  <c r="C370" i="149"/>
  <c r="A370" i="149"/>
  <c r="N369" i="149"/>
  <c r="M369" i="149"/>
  <c r="L369" i="149"/>
  <c r="K369" i="149"/>
  <c r="J369" i="149"/>
  <c r="I369" i="149"/>
  <c r="H369" i="149"/>
  <c r="G369" i="149"/>
  <c r="F369" i="149"/>
  <c r="E369" i="149"/>
  <c r="D369" i="149"/>
  <c r="C369" i="149"/>
  <c r="N368" i="149"/>
  <c r="M368" i="149"/>
  <c r="L368" i="149"/>
  <c r="K368" i="149"/>
  <c r="J368" i="149"/>
  <c r="I368" i="149"/>
  <c r="H368" i="149"/>
  <c r="G368" i="149"/>
  <c r="F368" i="149"/>
  <c r="E368" i="149"/>
  <c r="D368" i="149"/>
  <c r="C368" i="149"/>
  <c r="N367" i="149"/>
  <c r="M367" i="149"/>
  <c r="L367" i="149"/>
  <c r="K367" i="149"/>
  <c r="J367" i="149"/>
  <c r="I367" i="149"/>
  <c r="H367" i="149"/>
  <c r="G367" i="149"/>
  <c r="F367" i="149"/>
  <c r="E367" i="149"/>
  <c r="D367" i="149"/>
  <c r="C367" i="149"/>
  <c r="A367" i="149"/>
  <c r="N366" i="149"/>
  <c r="M366" i="149"/>
  <c r="L366" i="149"/>
  <c r="K366" i="149"/>
  <c r="J366" i="149"/>
  <c r="I366" i="149"/>
  <c r="H366" i="149"/>
  <c r="G366" i="149"/>
  <c r="F366" i="149"/>
  <c r="E366" i="149"/>
  <c r="D366" i="149"/>
  <c r="C366" i="149"/>
  <c r="B366" i="149"/>
  <c r="N365" i="149"/>
  <c r="M365" i="149"/>
  <c r="L365" i="149"/>
  <c r="K365" i="149"/>
  <c r="J365" i="149"/>
  <c r="I365" i="149"/>
  <c r="H365" i="149"/>
  <c r="G365" i="149"/>
  <c r="F365" i="149"/>
  <c r="E365" i="149"/>
  <c r="D365" i="149"/>
  <c r="C365" i="149"/>
  <c r="B365" i="149"/>
  <c r="N364" i="149"/>
  <c r="M364" i="149"/>
  <c r="L364" i="149"/>
  <c r="K364" i="149"/>
  <c r="J364" i="149"/>
  <c r="I364" i="149"/>
  <c r="H364" i="149"/>
  <c r="G364" i="149"/>
  <c r="F364" i="149"/>
  <c r="E364" i="149"/>
  <c r="D364" i="149"/>
  <c r="C364" i="149"/>
  <c r="B364" i="149"/>
  <c r="N363" i="149"/>
  <c r="M363" i="149"/>
  <c r="L363" i="149"/>
  <c r="K363" i="149"/>
  <c r="J363" i="149"/>
  <c r="I363" i="149"/>
  <c r="H363" i="149"/>
  <c r="G363" i="149"/>
  <c r="F363" i="149"/>
  <c r="E363" i="149"/>
  <c r="D363" i="149"/>
  <c r="C363" i="149"/>
  <c r="B363" i="149"/>
  <c r="N362" i="149"/>
  <c r="M362" i="149"/>
  <c r="L362" i="149"/>
  <c r="K362" i="149"/>
  <c r="J362" i="149"/>
  <c r="I362" i="149"/>
  <c r="H362" i="149"/>
  <c r="G362" i="149"/>
  <c r="F362" i="149"/>
  <c r="E362" i="149"/>
  <c r="D362" i="149"/>
  <c r="C362" i="149"/>
  <c r="B362" i="149"/>
  <c r="N361" i="149"/>
  <c r="M361" i="149"/>
  <c r="L361" i="149"/>
  <c r="K361" i="149"/>
  <c r="J361" i="149"/>
  <c r="I361" i="149"/>
  <c r="H361" i="149"/>
  <c r="G361" i="149"/>
  <c r="F361" i="149"/>
  <c r="E361" i="149"/>
  <c r="D361" i="149"/>
  <c r="C361" i="149"/>
  <c r="B361" i="149"/>
  <c r="N360" i="149"/>
  <c r="M360" i="149"/>
  <c r="L360" i="149"/>
  <c r="K360" i="149"/>
  <c r="J360" i="149"/>
  <c r="I360" i="149"/>
  <c r="H360" i="149"/>
  <c r="G360" i="149"/>
  <c r="F360" i="149"/>
  <c r="E360" i="149"/>
  <c r="D360" i="149"/>
  <c r="C360" i="149"/>
  <c r="B360" i="149"/>
  <c r="N359" i="149"/>
  <c r="M359" i="149"/>
  <c r="L359" i="149"/>
  <c r="K359" i="149"/>
  <c r="J359" i="149"/>
  <c r="I359" i="149"/>
  <c r="H359" i="149"/>
  <c r="G359" i="149"/>
  <c r="F359" i="149"/>
  <c r="E359" i="149"/>
  <c r="D359" i="149"/>
  <c r="C359" i="149"/>
  <c r="B359" i="149"/>
  <c r="N358" i="149"/>
  <c r="M358" i="149"/>
  <c r="L358" i="149"/>
  <c r="K358" i="149"/>
  <c r="J358" i="149"/>
  <c r="I358" i="149"/>
  <c r="H358" i="149"/>
  <c r="G358" i="149"/>
  <c r="F358" i="149"/>
  <c r="E358" i="149"/>
  <c r="D358" i="149"/>
  <c r="C358" i="149"/>
  <c r="B358" i="149"/>
  <c r="N357" i="149"/>
  <c r="M357" i="149"/>
  <c r="L357" i="149"/>
  <c r="K357" i="149"/>
  <c r="J357" i="149"/>
  <c r="I357" i="149"/>
  <c r="H357" i="149"/>
  <c r="G357" i="149"/>
  <c r="F357" i="149"/>
  <c r="E357" i="149"/>
  <c r="D357" i="149"/>
  <c r="C357" i="149"/>
  <c r="B357" i="149"/>
  <c r="N356" i="149"/>
  <c r="M356" i="149"/>
  <c r="L356" i="149"/>
  <c r="K356" i="149"/>
  <c r="J356" i="149"/>
  <c r="I356" i="149"/>
  <c r="H356" i="149"/>
  <c r="G356" i="149"/>
  <c r="F356" i="149"/>
  <c r="E356" i="149"/>
  <c r="D356" i="149"/>
  <c r="C356" i="149"/>
  <c r="B356" i="149"/>
  <c r="N355" i="149"/>
  <c r="M355" i="149"/>
  <c r="L355" i="149"/>
  <c r="K355" i="149"/>
  <c r="J355" i="149"/>
  <c r="I355" i="149"/>
  <c r="H355" i="149"/>
  <c r="G355" i="149"/>
  <c r="F355" i="149"/>
  <c r="E355" i="149"/>
  <c r="D355" i="149"/>
  <c r="C355" i="149"/>
  <c r="B355" i="149"/>
  <c r="N351" i="149"/>
  <c r="M351" i="149"/>
  <c r="L351" i="149"/>
  <c r="K351" i="149"/>
  <c r="J351" i="149"/>
  <c r="I351" i="149"/>
  <c r="H351" i="149"/>
  <c r="G351" i="149"/>
  <c r="F351" i="149"/>
  <c r="E351" i="149"/>
  <c r="D351" i="149"/>
  <c r="C351" i="149"/>
  <c r="A351" i="149"/>
  <c r="N350" i="149"/>
  <c r="M350" i="149"/>
  <c r="L350" i="149"/>
  <c r="K350" i="149"/>
  <c r="J350" i="149"/>
  <c r="I350" i="149"/>
  <c r="H350" i="149"/>
  <c r="G350" i="149"/>
  <c r="F350" i="149"/>
  <c r="E350" i="149"/>
  <c r="D350" i="149"/>
  <c r="C350" i="149"/>
  <c r="B350" i="149"/>
  <c r="N349" i="149"/>
  <c r="M349" i="149"/>
  <c r="L349" i="149"/>
  <c r="K349" i="149"/>
  <c r="J349" i="149"/>
  <c r="I349" i="149"/>
  <c r="H349" i="149"/>
  <c r="G349" i="149"/>
  <c r="F349" i="149"/>
  <c r="E349" i="149"/>
  <c r="D349" i="149"/>
  <c r="C349" i="149"/>
  <c r="B349" i="149"/>
  <c r="N348" i="149"/>
  <c r="M348" i="149"/>
  <c r="L348" i="149"/>
  <c r="K348" i="149"/>
  <c r="J348" i="149"/>
  <c r="I348" i="149"/>
  <c r="H348" i="149"/>
  <c r="G348" i="149"/>
  <c r="F348" i="149"/>
  <c r="E348" i="149"/>
  <c r="D348" i="149"/>
  <c r="C348" i="149"/>
  <c r="B348" i="149"/>
  <c r="N347" i="149"/>
  <c r="M347" i="149"/>
  <c r="L347" i="149"/>
  <c r="K347" i="149"/>
  <c r="J347" i="149"/>
  <c r="I347" i="149"/>
  <c r="H347" i="149"/>
  <c r="G347" i="149"/>
  <c r="F347" i="149"/>
  <c r="E347" i="149"/>
  <c r="D347" i="149"/>
  <c r="C347" i="149"/>
  <c r="B347" i="149"/>
  <c r="N346" i="149"/>
  <c r="M346" i="149"/>
  <c r="L346" i="149"/>
  <c r="K346" i="149"/>
  <c r="J346" i="149"/>
  <c r="I346" i="149"/>
  <c r="H346" i="149"/>
  <c r="G346" i="149"/>
  <c r="F346" i="149"/>
  <c r="E346" i="149"/>
  <c r="D346" i="149"/>
  <c r="C346" i="149"/>
  <c r="B346" i="149"/>
  <c r="N345" i="149"/>
  <c r="M345" i="149"/>
  <c r="L345" i="149"/>
  <c r="K345" i="149"/>
  <c r="J345" i="149"/>
  <c r="I345" i="149"/>
  <c r="H345" i="149"/>
  <c r="G345" i="149"/>
  <c r="F345" i="149"/>
  <c r="E345" i="149"/>
  <c r="D345" i="149"/>
  <c r="C345" i="149"/>
  <c r="B345" i="149"/>
  <c r="N344" i="149"/>
  <c r="M344" i="149"/>
  <c r="L344" i="149"/>
  <c r="K344" i="149"/>
  <c r="J344" i="149"/>
  <c r="I344" i="149"/>
  <c r="H344" i="149"/>
  <c r="G344" i="149"/>
  <c r="F344" i="149"/>
  <c r="E344" i="149"/>
  <c r="D344" i="149"/>
  <c r="C344" i="149"/>
  <c r="B344" i="149"/>
  <c r="N343" i="149"/>
  <c r="M343" i="149"/>
  <c r="L343" i="149"/>
  <c r="K343" i="149"/>
  <c r="J343" i="149"/>
  <c r="I343" i="149"/>
  <c r="H343" i="149"/>
  <c r="G343" i="149"/>
  <c r="F343" i="149"/>
  <c r="E343" i="149"/>
  <c r="D343" i="149"/>
  <c r="C343" i="149"/>
  <c r="B343" i="149"/>
  <c r="N342" i="149"/>
  <c r="M342" i="149"/>
  <c r="L342" i="149"/>
  <c r="K342" i="149"/>
  <c r="J342" i="149"/>
  <c r="I342" i="149"/>
  <c r="H342" i="149"/>
  <c r="G342" i="149"/>
  <c r="F342" i="149"/>
  <c r="E342" i="149"/>
  <c r="D342" i="149"/>
  <c r="C342" i="149"/>
  <c r="B342" i="149"/>
  <c r="N341" i="149"/>
  <c r="M341" i="149"/>
  <c r="L341" i="149"/>
  <c r="K341" i="149"/>
  <c r="J341" i="149"/>
  <c r="I341" i="149"/>
  <c r="H341" i="149"/>
  <c r="G341" i="149"/>
  <c r="F341" i="149"/>
  <c r="E341" i="149"/>
  <c r="D341" i="149"/>
  <c r="C341" i="149"/>
  <c r="B341" i="149"/>
  <c r="N340" i="149"/>
  <c r="M340" i="149"/>
  <c r="L340" i="149"/>
  <c r="K340" i="149"/>
  <c r="J340" i="149"/>
  <c r="I340" i="149"/>
  <c r="H340" i="149"/>
  <c r="G340" i="149"/>
  <c r="F340" i="149"/>
  <c r="E340" i="149"/>
  <c r="D340" i="149"/>
  <c r="C340" i="149"/>
  <c r="B340" i="149"/>
  <c r="N339" i="149"/>
  <c r="M339" i="149"/>
  <c r="L339" i="149"/>
  <c r="K339" i="149"/>
  <c r="J339" i="149"/>
  <c r="I339" i="149"/>
  <c r="H339" i="149"/>
  <c r="G339" i="149"/>
  <c r="F339" i="149"/>
  <c r="E339" i="149"/>
  <c r="D339" i="149"/>
  <c r="C339" i="149"/>
  <c r="B339" i="149"/>
  <c r="N333" i="149"/>
  <c r="M333" i="149"/>
  <c r="L333" i="149"/>
  <c r="K333" i="149"/>
  <c r="J333" i="149"/>
  <c r="I333" i="149"/>
  <c r="H333" i="149"/>
  <c r="G333" i="149"/>
  <c r="F333" i="149"/>
  <c r="E333" i="149"/>
  <c r="D333" i="149"/>
  <c r="C333" i="149"/>
  <c r="A333" i="149"/>
  <c r="N332" i="149"/>
  <c r="M332" i="149"/>
  <c r="L332" i="149"/>
  <c r="K332" i="149"/>
  <c r="J332" i="149"/>
  <c r="I332" i="149"/>
  <c r="H332" i="149"/>
  <c r="G332" i="149"/>
  <c r="F332" i="149"/>
  <c r="E332" i="149"/>
  <c r="D332" i="149"/>
  <c r="C332" i="149"/>
  <c r="N331" i="149"/>
  <c r="M331" i="149"/>
  <c r="L331" i="149"/>
  <c r="K331" i="149"/>
  <c r="J331" i="149"/>
  <c r="I331" i="149"/>
  <c r="H331" i="149"/>
  <c r="G331" i="149"/>
  <c r="F331" i="149"/>
  <c r="E331" i="149"/>
  <c r="D331" i="149"/>
  <c r="C331" i="149"/>
  <c r="N330" i="149"/>
  <c r="M330" i="149"/>
  <c r="L330" i="149"/>
  <c r="K330" i="149"/>
  <c r="J330" i="149"/>
  <c r="I330" i="149"/>
  <c r="H330" i="149"/>
  <c r="G330" i="149"/>
  <c r="F330" i="149"/>
  <c r="E330" i="149"/>
  <c r="D330" i="149"/>
  <c r="C330" i="149"/>
  <c r="A330" i="149"/>
  <c r="N329" i="149"/>
  <c r="M329" i="149"/>
  <c r="L329" i="149"/>
  <c r="K329" i="149"/>
  <c r="J329" i="149"/>
  <c r="I329" i="149"/>
  <c r="H329" i="149"/>
  <c r="G329" i="149"/>
  <c r="F329" i="149"/>
  <c r="E329" i="149"/>
  <c r="D329" i="149"/>
  <c r="C329" i="149"/>
  <c r="B329" i="149"/>
  <c r="N328" i="149"/>
  <c r="M328" i="149"/>
  <c r="L328" i="149"/>
  <c r="K328" i="149"/>
  <c r="J328" i="149"/>
  <c r="I328" i="149"/>
  <c r="H328" i="149"/>
  <c r="G328" i="149"/>
  <c r="F328" i="149"/>
  <c r="E328" i="149"/>
  <c r="D328" i="149"/>
  <c r="C328" i="149"/>
  <c r="B328" i="149"/>
  <c r="N327" i="149"/>
  <c r="M327" i="149"/>
  <c r="L327" i="149"/>
  <c r="K327" i="149"/>
  <c r="J327" i="149"/>
  <c r="I327" i="149"/>
  <c r="H327" i="149"/>
  <c r="G327" i="149"/>
  <c r="F327" i="149"/>
  <c r="E327" i="149"/>
  <c r="D327" i="149"/>
  <c r="C327" i="149"/>
  <c r="B327" i="149"/>
  <c r="N326" i="149"/>
  <c r="M326" i="149"/>
  <c r="L326" i="149"/>
  <c r="K326" i="149"/>
  <c r="J326" i="149"/>
  <c r="I326" i="149"/>
  <c r="H326" i="149"/>
  <c r="G326" i="149"/>
  <c r="F326" i="149"/>
  <c r="E326" i="149"/>
  <c r="D326" i="149"/>
  <c r="C326" i="149"/>
  <c r="B326" i="149"/>
  <c r="N325" i="149"/>
  <c r="M325" i="149"/>
  <c r="L325" i="149"/>
  <c r="K325" i="149"/>
  <c r="J325" i="149"/>
  <c r="I325" i="149"/>
  <c r="H325" i="149"/>
  <c r="G325" i="149"/>
  <c r="F325" i="149"/>
  <c r="E325" i="149"/>
  <c r="D325" i="149"/>
  <c r="C325" i="149"/>
  <c r="B325" i="149"/>
  <c r="N324" i="149"/>
  <c r="M324" i="149"/>
  <c r="L324" i="149"/>
  <c r="K324" i="149"/>
  <c r="J324" i="149"/>
  <c r="I324" i="149"/>
  <c r="H324" i="149"/>
  <c r="G324" i="149"/>
  <c r="F324" i="149"/>
  <c r="E324" i="149"/>
  <c r="D324" i="149"/>
  <c r="C324" i="149"/>
  <c r="B324" i="149"/>
  <c r="N323" i="149"/>
  <c r="M323" i="149"/>
  <c r="L323" i="149"/>
  <c r="K323" i="149"/>
  <c r="J323" i="149"/>
  <c r="I323" i="149"/>
  <c r="H323" i="149"/>
  <c r="G323" i="149"/>
  <c r="F323" i="149"/>
  <c r="E323" i="149"/>
  <c r="D323" i="149"/>
  <c r="C323" i="149"/>
  <c r="B323" i="149"/>
  <c r="N322" i="149"/>
  <c r="M322" i="149"/>
  <c r="L322" i="149"/>
  <c r="K322" i="149"/>
  <c r="J322" i="149"/>
  <c r="I322" i="149"/>
  <c r="H322" i="149"/>
  <c r="G322" i="149"/>
  <c r="F322" i="149"/>
  <c r="E322" i="149"/>
  <c r="D322" i="149"/>
  <c r="C322" i="149"/>
  <c r="B322" i="149"/>
  <c r="N321" i="149"/>
  <c r="M321" i="149"/>
  <c r="L321" i="149"/>
  <c r="K321" i="149"/>
  <c r="J321" i="149"/>
  <c r="I321" i="149"/>
  <c r="H321" i="149"/>
  <c r="G321" i="149"/>
  <c r="F321" i="149"/>
  <c r="E321" i="149"/>
  <c r="D321" i="149"/>
  <c r="C321" i="149"/>
  <c r="B321" i="149"/>
  <c r="N320" i="149"/>
  <c r="M320" i="149"/>
  <c r="L320" i="149"/>
  <c r="K320" i="149"/>
  <c r="J320" i="149"/>
  <c r="I320" i="149"/>
  <c r="H320" i="149"/>
  <c r="G320" i="149"/>
  <c r="F320" i="149"/>
  <c r="E320" i="149"/>
  <c r="D320" i="149"/>
  <c r="C320" i="149"/>
  <c r="B320" i="149"/>
  <c r="N319" i="149"/>
  <c r="M319" i="149"/>
  <c r="L319" i="149"/>
  <c r="K319" i="149"/>
  <c r="J319" i="149"/>
  <c r="I319" i="149"/>
  <c r="H319" i="149"/>
  <c r="G319" i="149"/>
  <c r="F319" i="149"/>
  <c r="E319" i="149"/>
  <c r="D319" i="149"/>
  <c r="C319" i="149"/>
  <c r="B319" i="149"/>
  <c r="N318" i="149"/>
  <c r="M318" i="149"/>
  <c r="L318" i="149"/>
  <c r="K318" i="149"/>
  <c r="J318" i="149"/>
  <c r="I318" i="149"/>
  <c r="H318" i="149"/>
  <c r="G318" i="149"/>
  <c r="F318" i="149"/>
  <c r="E318" i="149"/>
  <c r="D318" i="149"/>
  <c r="C318" i="149"/>
  <c r="B318" i="149"/>
  <c r="N314" i="149"/>
  <c r="M314" i="149"/>
  <c r="L314" i="149"/>
  <c r="K314" i="149"/>
  <c r="J314" i="149"/>
  <c r="I314" i="149"/>
  <c r="H314" i="149"/>
  <c r="G314" i="149"/>
  <c r="F314" i="149"/>
  <c r="E314" i="149"/>
  <c r="D314" i="149"/>
  <c r="C314" i="149"/>
  <c r="A314" i="149"/>
  <c r="N313" i="149"/>
  <c r="M313" i="149"/>
  <c r="L313" i="149"/>
  <c r="K313" i="149"/>
  <c r="J313" i="149"/>
  <c r="I313" i="149"/>
  <c r="H313" i="149"/>
  <c r="G313" i="149"/>
  <c r="F313" i="149"/>
  <c r="E313" i="149"/>
  <c r="D313" i="149"/>
  <c r="C313" i="149"/>
  <c r="B313" i="149"/>
  <c r="N312" i="149"/>
  <c r="M312" i="149"/>
  <c r="L312" i="149"/>
  <c r="K312" i="149"/>
  <c r="J312" i="149"/>
  <c r="I312" i="149"/>
  <c r="H312" i="149"/>
  <c r="G312" i="149"/>
  <c r="F312" i="149"/>
  <c r="E312" i="149"/>
  <c r="D312" i="149"/>
  <c r="C312" i="149"/>
  <c r="B312" i="149"/>
  <c r="N311" i="149"/>
  <c r="M311" i="149"/>
  <c r="L311" i="149"/>
  <c r="K311" i="149"/>
  <c r="J311" i="149"/>
  <c r="I311" i="149"/>
  <c r="H311" i="149"/>
  <c r="G311" i="149"/>
  <c r="F311" i="149"/>
  <c r="E311" i="149"/>
  <c r="D311" i="149"/>
  <c r="C311" i="149"/>
  <c r="B311" i="149"/>
  <c r="N310" i="149"/>
  <c r="M310" i="149"/>
  <c r="L310" i="149"/>
  <c r="K310" i="149"/>
  <c r="J310" i="149"/>
  <c r="I310" i="149"/>
  <c r="H310" i="149"/>
  <c r="G310" i="149"/>
  <c r="F310" i="149"/>
  <c r="E310" i="149"/>
  <c r="D310" i="149"/>
  <c r="C310" i="149"/>
  <c r="B310" i="149"/>
  <c r="N309" i="149"/>
  <c r="M309" i="149"/>
  <c r="L309" i="149"/>
  <c r="K309" i="149"/>
  <c r="J309" i="149"/>
  <c r="I309" i="149"/>
  <c r="H309" i="149"/>
  <c r="G309" i="149"/>
  <c r="F309" i="149"/>
  <c r="E309" i="149"/>
  <c r="D309" i="149"/>
  <c r="C309" i="149"/>
  <c r="B309" i="149"/>
  <c r="N308" i="149"/>
  <c r="M308" i="149"/>
  <c r="L308" i="149"/>
  <c r="K308" i="149"/>
  <c r="J308" i="149"/>
  <c r="I308" i="149"/>
  <c r="H308" i="149"/>
  <c r="G308" i="149"/>
  <c r="F308" i="149"/>
  <c r="E308" i="149"/>
  <c r="D308" i="149"/>
  <c r="C308" i="149"/>
  <c r="B308" i="149"/>
  <c r="N307" i="149"/>
  <c r="M307" i="149"/>
  <c r="L307" i="149"/>
  <c r="K307" i="149"/>
  <c r="J307" i="149"/>
  <c r="I307" i="149"/>
  <c r="H307" i="149"/>
  <c r="G307" i="149"/>
  <c r="F307" i="149"/>
  <c r="E307" i="149"/>
  <c r="D307" i="149"/>
  <c r="C307" i="149"/>
  <c r="B307" i="149"/>
  <c r="N306" i="149"/>
  <c r="M306" i="149"/>
  <c r="L306" i="149"/>
  <c r="K306" i="149"/>
  <c r="J306" i="149"/>
  <c r="I306" i="149"/>
  <c r="H306" i="149"/>
  <c r="G306" i="149"/>
  <c r="F306" i="149"/>
  <c r="E306" i="149"/>
  <c r="D306" i="149"/>
  <c r="C306" i="149"/>
  <c r="B306" i="149"/>
  <c r="N305" i="149"/>
  <c r="M305" i="149"/>
  <c r="L305" i="149"/>
  <c r="K305" i="149"/>
  <c r="J305" i="149"/>
  <c r="I305" i="149"/>
  <c r="H305" i="149"/>
  <c r="G305" i="149"/>
  <c r="F305" i="149"/>
  <c r="E305" i="149"/>
  <c r="D305" i="149"/>
  <c r="C305" i="149"/>
  <c r="B305" i="149"/>
  <c r="N304" i="149"/>
  <c r="M304" i="149"/>
  <c r="L304" i="149"/>
  <c r="K304" i="149"/>
  <c r="J304" i="149"/>
  <c r="I304" i="149"/>
  <c r="H304" i="149"/>
  <c r="G304" i="149"/>
  <c r="F304" i="149"/>
  <c r="E304" i="149"/>
  <c r="D304" i="149"/>
  <c r="C304" i="149"/>
  <c r="B304" i="149"/>
  <c r="N303" i="149"/>
  <c r="M303" i="149"/>
  <c r="L303" i="149"/>
  <c r="K303" i="149"/>
  <c r="J303" i="149"/>
  <c r="I303" i="149"/>
  <c r="H303" i="149"/>
  <c r="G303" i="149"/>
  <c r="F303" i="149"/>
  <c r="E303" i="149"/>
  <c r="D303" i="149"/>
  <c r="C303" i="149"/>
  <c r="B303" i="149"/>
  <c r="N302" i="149"/>
  <c r="M302" i="149"/>
  <c r="L302" i="149"/>
  <c r="K302" i="149"/>
  <c r="J302" i="149"/>
  <c r="I302" i="149"/>
  <c r="H302" i="149"/>
  <c r="G302" i="149"/>
  <c r="F302" i="149"/>
  <c r="E302" i="149"/>
  <c r="D302" i="149"/>
  <c r="C302" i="149"/>
  <c r="B302" i="149"/>
  <c r="N296" i="149"/>
  <c r="M296" i="149"/>
  <c r="L296" i="149"/>
  <c r="K296" i="149"/>
  <c r="J296" i="149"/>
  <c r="I296" i="149"/>
  <c r="H296" i="149"/>
  <c r="G296" i="149"/>
  <c r="F296" i="149"/>
  <c r="E296" i="149"/>
  <c r="D296" i="149"/>
  <c r="C296" i="149"/>
  <c r="N294" i="149"/>
  <c r="M294" i="149"/>
  <c r="L294" i="149"/>
  <c r="K294" i="149"/>
  <c r="J294" i="149"/>
  <c r="I294" i="149"/>
  <c r="H294" i="149"/>
  <c r="G294" i="149"/>
  <c r="F294" i="149"/>
  <c r="E294" i="149"/>
  <c r="D294" i="149"/>
  <c r="C294" i="149"/>
  <c r="N293" i="149"/>
  <c r="M293" i="149"/>
  <c r="L293" i="149"/>
  <c r="K293" i="149"/>
  <c r="J293" i="149"/>
  <c r="I293" i="149"/>
  <c r="H293" i="149"/>
  <c r="G293" i="149"/>
  <c r="F293" i="149"/>
  <c r="E293" i="149"/>
  <c r="D293" i="149"/>
  <c r="C293" i="149"/>
  <c r="N290" i="149"/>
  <c r="M290" i="149"/>
  <c r="L290" i="149"/>
  <c r="K290" i="149"/>
  <c r="J290" i="149"/>
  <c r="I290" i="149"/>
  <c r="H290" i="149"/>
  <c r="G290" i="149"/>
  <c r="F290" i="149"/>
  <c r="E290" i="149"/>
  <c r="D290" i="149"/>
  <c r="C290" i="149"/>
  <c r="N289" i="149"/>
  <c r="M289" i="149"/>
  <c r="L289" i="149"/>
  <c r="K289" i="149"/>
  <c r="J289" i="149"/>
  <c r="I289" i="149"/>
  <c r="H289" i="149"/>
  <c r="G289" i="149"/>
  <c r="F289" i="149"/>
  <c r="E289" i="149"/>
  <c r="D289" i="149"/>
  <c r="C289" i="149"/>
  <c r="N283" i="149"/>
  <c r="M283" i="149"/>
  <c r="L283" i="149"/>
  <c r="K283" i="149"/>
  <c r="J283" i="149"/>
  <c r="I283" i="149"/>
  <c r="H283" i="149"/>
  <c r="G283" i="149"/>
  <c r="F283" i="149"/>
  <c r="E283" i="149"/>
  <c r="D283" i="149"/>
  <c r="C283" i="149"/>
  <c r="A283" i="149"/>
  <c r="N282" i="149"/>
  <c r="M282" i="149"/>
  <c r="L282" i="149"/>
  <c r="K282" i="149"/>
  <c r="J282" i="149"/>
  <c r="I282" i="149"/>
  <c r="H282" i="149"/>
  <c r="G282" i="149"/>
  <c r="F282" i="149"/>
  <c r="E282" i="149"/>
  <c r="D282" i="149"/>
  <c r="C282" i="149"/>
  <c r="N281" i="149"/>
  <c r="M281" i="149"/>
  <c r="L281" i="149"/>
  <c r="K281" i="149"/>
  <c r="J281" i="149"/>
  <c r="I281" i="149"/>
  <c r="H281" i="149"/>
  <c r="G281" i="149"/>
  <c r="F281" i="149"/>
  <c r="E281" i="149"/>
  <c r="D281" i="149"/>
  <c r="C281" i="149"/>
  <c r="N280" i="149"/>
  <c r="M280" i="149"/>
  <c r="L280" i="149"/>
  <c r="K280" i="149"/>
  <c r="J280" i="149"/>
  <c r="I280" i="149"/>
  <c r="H280" i="149"/>
  <c r="G280" i="149"/>
  <c r="F280" i="149"/>
  <c r="E280" i="149"/>
  <c r="D280" i="149"/>
  <c r="C280" i="149"/>
  <c r="N279" i="149"/>
  <c r="M279" i="149"/>
  <c r="L279" i="149"/>
  <c r="K279" i="149"/>
  <c r="J279" i="149"/>
  <c r="I279" i="149"/>
  <c r="H279" i="149"/>
  <c r="G279" i="149"/>
  <c r="F279" i="149"/>
  <c r="E279" i="149"/>
  <c r="D279" i="149"/>
  <c r="C279" i="149"/>
  <c r="N278" i="149"/>
  <c r="M278" i="149"/>
  <c r="L278" i="149"/>
  <c r="K278" i="149"/>
  <c r="J278" i="149"/>
  <c r="I278" i="149"/>
  <c r="H278" i="149"/>
  <c r="G278" i="149"/>
  <c r="F278" i="149"/>
  <c r="E278" i="149"/>
  <c r="D278" i="149"/>
  <c r="C278" i="149"/>
  <c r="N274" i="149"/>
  <c r="M274" i="149"/>
  <c r="L274" i="149"/>
  <c r="K274" i="149"/>
  <c r="J274" i="149"/>
  <c r="I274" i="149"/>
  <c r="H274" i="149"/>
  <c r="G274" i="149"/>
  <c r="F274" i="149"/>
  <c r="E274" i="149"/>
  <c r="D274" i="149"/>
  <c r="C274" i="149"/>
  <c r="A274" i="149"/>
  <c r="N273" i="149"/>
  <c r="M273" i="149"/>
  <c r="L273" i="149"/>
  <c r="K273" i="149"/>
  <c r="J273" i="149"/>
  <c r="I273" i="149"/>
  <c r="H273" i="149"/>
  <c r="G273" i="149"/>
  <c r="F273" i="149"/>
  <c r="E273" i="149"/>
  <c r="D273" i="149"/>
  <c r="C273" i="149"/>
  <c r="B273" i="149"/>
  <c r="N272" i="149"/>
  <c r="M272" i="149"/>
  <c r="L272" i="149"/>
  <c r="K272" i="149"/>
  <c r="J272" i="149"/>
  <c r="I272" i="149"/>
  <c r="H272" i="149"/>
  <c r="G272" i="149"/>
  <c r="F272" i="149"/>
  <c r="E272" i="149"/>
  <c r="D272" i="149"/>
  <c r="C272" i="149"/>
  <c r="B272" i="149"/>
  <c r="N271" i="149"/>
  <c r="M271" i="149"/>
  <c r="L271" i="149"/>
  <c r="K271" i="149"/>
  <c r="J271" i="149"/>
  <c r="I271" i="149"/>
  <c r="H271" i="149"/>
  <c r="G271" i="149"/>
  <c r="F271" i="149"/>
  <c r="E271" i="149"/>
  <c r="D271" i="149"/>
  <c r="C271" i="149"/>
  <c r="B271" i="149"/>
  <c r="N270" i="149"/>
  <c r="M270" i="149"/>
  <c r="L270" i="149"/>
  <c r="K270" i="149"/>
  <c r="J270" i="149"/>
  <c r="I270" i="149"/>
  <c r="H270" i="149"/>
  <c r="G270" i="149"/>
  <c r="F270" i="149"/>
  <c r="E270" i="149"/>
  <c r="D270" i="149"/>
  <c r="C270" i="149"/>
  <c r="B270" i="149"/>
  <c r="N269" i="149"/>
  <c r="M269" i="149"/>
  <c r="L269" i="149"/>
  <c r="K269" i="149"/>
  <c r="J269" i="149"/>
  <c r="I269" i="149"/>
  <c r="H269" i="149"/>
  <c r="G269" i="149"/>
  <c r="F269" i="149"/>
  <c r="E269" i="149"/>
  <c r="D269" i="149"/>
  <c r="C269" i="149"/>
  <c r="B269" i="149"/>
  <c r="N268" i="149"/>
  <c r="M268" i="149"/>
  <c r="L268" i="149"/>
  <c r="K268" i="149"/>
  <c r="J268" i="149"/>
  <c r="I268" i="149"/>
  <c r="H268" i="149"/>
  <c r="G268" i="149"/>
  <c r="F268" i="149"/>
  <c r="E268" i="149"/>
  <c r="D268" i="149"/>
  <c r="C268" i="149"/>
  <c r="B268" i="149"/>
  <c r="N267" i="149"/>
  <c r="M267" i="149"/>
  <c r="L267" i="149"/>
  <c r="K267" i="149"/>
  <c r="J267" i="149"/>
  <c r="I267" i="149"/>
  <c r="H267" i="149"/>
  <c r="G267" i="149"/>
  <c r="F267" i="149"/>
  <c r="E267" i="149"/>
  <c r="D267" i="149"/>
  <c r="C267" i="149"/>
  <c r="B267" i="149"/>
  <c r="N266" i="149"/>
  <c r="M266" i="149"/>
  <c r="L266" i="149"/>
  <c r="K266" i="149"/>
  <c r="J266" i="149"/>
  <c r="I266" i="149"/>
  <c r="H266" i="149"/>
  <c r="G266" i="149"/>
  <c r="F266" i="149"/>
  <c r="E266" i="149"/>
  <c r="D266" i="149"/>
  <c r="C266" i="149"/>
  <c r="B266" i="149"/>
  <c r="N265" i="149"/>
  <c r="M265" i="149"/>
  <c r="L265" i="149"/>
  <c r="K265" i="149"/>
  <c r="J265" i="149"/>
  <c r="I265" i="149"/>
  <c r="H265" i="149"/>
  <c r="G265" i="149"/>
  <c r="F265" i="149"/>
  <c r="E265" i="149"/>
  <c r="D265" i="149"/>
  <c r="C265" i="149"/>
  <c r="B265" i="149"/>
  <c r="N264" i="149"/>
  <c r="M264" i="149"/>
  <c r="L264" i="149"/>
  <c r="K264" i="149"/>
  <c r="J264" i="149"/>
  <c r="I264" i="149"/>
  <c r="H264" i="149"/>
  <c r="G264" i="149"/>
  <c r="F264" i="149"/>
  <c r="E264" i="149"/>
  <c r="D264" i="149"/>
  <c r="C264" i="149"/>
  <c r="B264" i="149"/>
  <c r="N263" i="149"/>
  <c r="M263" i="149"/>
  <c r="L263" i="149"/>
  <c r="K263" i="149"/>
  <c r="J263" i="149"/>
  <c r="I263" i="149"/>
  <c r="H263" i="149"/>
  <c r="G263" i="149"/>
  <c r="F263" i="149"/>
  <c r="E263" i="149"/>
  <c r="D263" i="149"/>
  <c r="C263" i="149"/>
  <c r="B263" i="149"/>
  <c r="N262" i="149"/>
  <c r="M262" i="149"/>
  <c r="L262" i="149"/>
  <c r="K262" i="149"/>
  <c r="J262" i="149"/>
  <c r="I262" i="149"/>
  <c r="H262" i="149"/>
  <c r="G262" i="149"/>
  <c r="F262" i="149"/>
  <c r="E262" i="149"/>
  <c r="D262" i="149"/>
  <c r="C262" i="149"/>
  <c r="B262" i="149"/>
  <c r="N258" i="149"/>
  <c r="M258" i="149"/>
  <c r="L258" i="149"/>
  <c r="K258" i="149"/>
  <c r="J258" i="149"/>
  <c r="I258" i="149"/>
  <c r="H258" i="149"/>
  <c r="G258" i="149"/>
  <c r="F258" i="149"/>
  <c r="E258" i="149"/>
  <c r="D258" i="149"/>
  <c r="C258" i="149"/>
  <c r="A258" i="149"/>
  <c r="N257" i="149"/>
  <c r="M257" i="149"/>
  <c r="L257" i="149"/>
  <c r="K257" i="149"/>
  <c r="J257" i="149"/>
  <c r="I257" i="149"/>
  <c r="H257" i="149"/>
  <c r="G257" i="149"/>
  <c r="F257" i="149"/>
  <c r="E257" i="149"/>
  <c r="D257" i="149"/>
  <c r="C257" i="149"/>
  <c r="B257" i="149"/>
  <c r="N256" i="149"/>
  <c r="M256" i="149"/>
  <c r="L256" i="149"/>
  <c r="K256" i="149"/>
  <c r="J256" i="149"/>
  <c r="I256" i="149"/>
  <c r="H256" i="149"/>
  <c r="G256" i="149"/>
  <c r="F256" i="149"/>
  <c r="E256" i="149"/>
  <c r="D256" i="149"/>
  <c r="C256" i="149"/>
  <c r="B256" i="149"/>
  <c r="N255" i="149"/>
  <c r="M255" i="149"/>
  <c r="L255" i="149"/>
  <c r="K255" i="149"/>
  <c r="J255" i="149"/>
  <c r="I255" i="149"/>
  <c r="H255" i="149"/>
  <c r="G255" i="149"/>
  <c r="F255" i="149"/>
  <c r="E255" i="149"/>
  <c r="D255" i="149"/>
  <c r="C255" i="149"/>
  <c r="B255" i="149"/>
  <c r="N254" i="149"/>
  <c r="M254" i="149"/>
  <c r="L254" i="149"/>
  <c r="K254" i="149"/>
  <c r="J254" i="149"/>
  <c r="I254" i="149"/>
  <c r="H254" i="149"/>
  <c r="G254" i="149"/>
  <c r="F254" i="149"/>
  <c r="E254" i="149"/>
  <c r="D254" i="149"/>
  <c r="C254" i="149"/>
  <c r="B254" i="149"/>
  <c r="N253" i="149"/>
  <c r="M253" i="149"/>
  <c r="L253" i="149"/>
  <c r="K253" i="149"/>
  <c r="J253" i="149"/>
  <c r="I253" i="149"/>
  <c r="H253" i="149"/>
  <c r="G253" i="149"/>
  <c r="F253" i="149"/>
  <c r="E253" i="149"/>
  <c r="D253" i="149"/>
  <c r="C253" i="149"/>
  <c r="B253" i="149"/>
  <c r="N252" i="149"/>
  <c r="M252" i="149"/>
  <c r="L252" i="149"/>
  <c r="K252" i="149"/>
  <c r="J252" i="149"/>
  <c r="I252" i="149"/>
  <c r="H252" i="149"/>
  <c r="G252" i="149"/>
  <c r="F252" i="149"/>
  <c r="E252" i="149"/>
  <c r="D252" i="149"/>
  <c r="C252" i="149"/>
  <c r="B252" i="149"/>
  <c r="N251" i="149"/>
  <c r="M251" i="149"/>
  <c r="L251" i="149"/>
  <c r="K251" i="149"/>
  <c r="J251" i="149"/>
  <c r="I251" i="149"/>
  <c r="H251" i="149"/>
  <c r="G251" i="149"/>
  <c r="F251" i="149"/>
  <c r="E251" i="149"/>
  <c r="D251" i="149"/>
  <c r="C251" i="149"/>
  <c r="B251" i="149"/>
  <c r="N250" i="149"/>
  <c r="M250" i="149"/>
  <c r="L250" i="149"/>
  <c r="K250" i="149"/>
  <c r="J250" i="149"/>
  <c r="I250" i="149"/>
  <c r="H250" i="149"/>
  <c r="G250" i="149"/>
  <c r="F250" i="149"/>
  <c r="E250" i="149"/>
  <c r="D250" i="149"/>
  <c r="C250" i="149"/>
  <c r="B250" i="149"/>
  <c r="N249" i="149"/>
  <c r="M249" i="149"/>
  <c r="L249" i="149"/>
  <c r="K249" i="149"/>
  <c r="J249" i="149"/>
  <c r="I249" i="149"/>
  <c r="H249" i="149"/>
  <c r="G249" i="149"/>
  <c r="F249" i="149"/>
  <c r="E249" i="149"/>
  <c r="D249" i="149"/>
  <c r="C249" i="149"/>
  <c r="B249" i="149"/>
  <c r="N248" i="149"/>
  <c r="M248" i="149"/>
  <c r="L248" i="149"/>
  <c r="K248" i="149"/>
  <c r="J248" i="149"/>
  <c r="I248" i="149"/>
  <c r="H248" i="149"/>
  <c r="G248" i="149"/>
  <c r="F248" i="149"/>
  <c r="E248" i="149"/>
  <c r="D248" i="149"/>
  <c r="C248" i="149"/>
  <c r="B248" i="149"/>
  <c r="N247" i="149"/>
  <c r="M247" i="149"/>
  <c r="L247" i="149"/>
  <c r="K247" i="149"/>
  <c r="J247" i="149"/>
  <c r="I247" i="149"/>
  <c r="H247" i="149"/>
  <c r="G247" i="149"/>
  <c r="F247" i="149"/>
  <c r="E247" i="149"/>
  <c r="D247" i="149"/>
  <c r="C247" i="149"/>
  <c r="B247" i="149"/>
  <c r="N246" i="149"/>
  <c r="M246" i="149"/>
  <c r="L246" i="149"/>
  <c r="K246" i="149"/>
  <c r="J246" i="149"/>
  <c r="I246" i="149"/>
  <c r="H246" i="149"/>
  <c r="G246" i="149"/>
  <c r="F246" i="149"/>
  <c r="E246" i="149"/>
  <c r="D246" i="149"/>
  <c r="C246" i="149"/>
  <c r="B246" i="149"/>
  <c r="N240" i="149"/>
  <c r="M240" i="149"/>
  <c r="L240" i="149"/>
  <c r="K240" i="149"/>
  <c r="J240" i="149"/>
  <c r="I240" i="149"/>
  <c r="H240" i="149"/>
  <c r="G240" i="149"/>
  <c r="F240" i="149"/>
  <c r="E240" i="149"/>
  <c r="D240" i="149"/>
  <c r="C240" i="149"/>
  <c r="A240" i="149"/>
  <c r="N239" i="149"/>
  <c r="M239" i="149"/>
  <c r="L239" i="149"/>
  <c r="K239" i="149"/>
  <c r="J239" i="149"/>
  <c r="I239" i="149"/>
  <c r="H239" i="149"/>
  <c r="G239" i="149"/>
  <c r="F239" i="149"/>
  <c r="E239" i="149"/>
  <c r="D239" i="149"/>
  <c r="C239" i="149"/>
  <c r="B239" i="149"/>
  <c r="N238" i="149"/>
  <c r="M238" i="149"/>
  <c r="L238" i="149"/>
  <c r="K238" i="149"/>
  <c r="J238" i="149"/>
  <c r="I238" i="149"/>
  <c r="H238" i="149"/>
  <c r="G238" i="149"/>
  <c r="F238" i="149"/>
  <c r="E238" i="149"/>
  <c r="D238" i="149"/>
  <c r="C238" i="149"/>
  <c r="B238" i="149"/>
  <c r="N237" i="149"/>
  <c r="M237" i="149"/>
  <c r="L237" i="149"/>
  <c r="K237" i="149"/>
  <c r="J237" i="149"/>
  <c r="I237" i="149"/>
  <c r="H237" i="149"/>
  <c r="G237" i="149"/>
  <c r="F237" i="149"/>
  <c r="E237" i="149"/>
  <c r="D237" i="149"/>
  <c r="C237" i="149"/>
  <c r="B237" i="149"/>
  <c r="N236" i="149"/>
  <c r="M236" i="149"/>
  <c r="L236" i="149"/>
  <c r="K236" i="149"/>
  <c r="J236" i="149"/>
  <c r="I236" i="149"/>
  <c r="H236" i="149"/>
  <c r="G236" i="149"/>
  <c r="F236" i="149"/>
  <c r="E236" i="149"/>
  <c r="D236" i="149"/>
  <c r="C236" i="149"/>
  <c r="B236" i="149"/>
  <c r="N235" i="149"/>
  <c r="M235" i="149"/>
  <c r="L235" i="149"/>
  <c r="K235" i="149"/>
  <c r="J235" i="149"/>
  <c r="I235" i="149"/>
  <c r="H235" i="149"/>
  <c r="G235" i="149"/>
  <c r="F235" i="149"/>
  <c r="E235" i="149"/>
  <c r="D235" i="149"/>
  <c r="C235" i="149"/>
  <c r="B235" i="149"/>
  <c r="N234" i="149"/>
  <c r="M234" i="149"/>
  <c r="L234" i="149"/>
  <c r="K234" i="149"/>
  <c r="J234" i="149"/>
  <c r="I234" i="149"/>
  <c r="H234" i="149"/>
  <c r="G234" i="149"/>
  <c r="F234" i="149"/>
  <c r="E234" i="149"/>
  <c r="D234" i="149"/>
  <c r="C234" i="149"/>
  <c r="B234" i="149"/>
  <c r="N233" i="149"/>
  <c r="M233" i="149"/>
  <c r="L233" i="149"/>
  <c r="K233" i="149"/>
  <c r="J233" i="149"/>
  <c r="I233" i="149"/>
  <c r="H233" i="149"/>
  <c r="G233" i="149"/>
  <c r="F233" i="149"/>
  <c r="E233" i="149"/>
  <c r="D233" i="149"/>
  <c r="C233" i="149"/>
  <c r="B233" i="149"/>
  <c r="N232" i="149"/>
  <c r="M232" i="149"/>
  <c r="L232" i="149"/>
  <c r="K232" i="149"/>
  <c r="J232" i="149"/>
  <c r="I232" i="149"/>
  <c r="H232" i="149"/>
  <c r="G232" i="149"/>
  <c r="F232" i="149"/>
  <c r="E232" i="149"/>
  <c r="D232" i="149"/>
  <c r="C232" i="149"/>
  <c r="B232" i="149"/>
  <c r="N231" i="149"/>
  <c r="M231" i="149"/>
  <c r="L231" i="149"/>
  <c r="K231" i="149"/>
  <c r="J231" i="149"/>
  <c r="I231" i="149"/>
  <c r="H231" i="149"/>
  <c r="G231" i="149"/>
  <c r="F231" i="149"/>
  <c r="E231" i="149"/>
  <c r="D231" i="149"/>
  <c r="C231" i="149"/>
  <c r="B231" i="149"/>
  <c r="N230" i="149"/>
  <c r="M230" i="149"/>
  <c r="L230" i="149"/>
  <c r="K230" i="149"/>
  <c r="J230" i="149"/>
  <c r="I230" i="149"/>
  <c r="H230" i="149"/>
  <c r="G230" i="149"/>
  <c r="F230" i="149"/>
  <c r="E230" i="149"/>
  <c r="D230" i="149"/>
  <c r="C230" i="149"/>
  <c r="B230" i="149"/>
  <c r="N229" i="149"/>
  <c r="M229" i="149"/>
  <c r="L229" i="149"/>
  <c r="K229" i="149"/>
  <c r="J229" i="149"/>
  <c r="I229" i="149"/>
  <c r="H229" i="149"/>
  <c r="G229" i="149"/>
  <c r="F229" i="149"/>
  <c r="E229" i="149"/>
  <c r="D229" i="149"/>
  <c r="C229" i="149"/>
  <c r="B229" i="149"/>
  <c r="N228" i="149"/>
  <c r="M228" i="149"/>
  <c r="L228" i="149"/>
  <c r="K228" i="149"/>
  <c r="J228" i="149"/>
  <c r="I228" i="149"/>
  <c r="H228" i="149"/>
  <c r="G228" i="149"/>
  <c r="F228" i="149"/>
  <c r="E228" i="149"/>
  <c r="D228" i="149"/>
  <c r="C228" i="149"/>
  <c r="B228" i="149"/>
  <c r="N224" i="149"/>
  <c r="M224" i="149"/>
  <c r="L224" i="149"/>
  <c r="K224" i="149"/>
  <c r="J224" i="149"/>
  <c r="I224" i="149"/>
  <c r="H224" i="149"/>
  <c r="G224" i="149"/>
  <c r="F224" i="149"/>
  <c r="E224" i="149"/>
  <c r="D224" i="149"/>
  <c r="C224" i="149"/>
  <c r="A224" i="149"/>
  <c r="N223" i="149"/>
  <c r="M223" i="149"/>
  <c r="L223" i="149"/>
  <c r="K223" i="149"/>
  <c r="J223" i="149"/>
  <c r="I223" i="149"/>
  <c r="H223" i="149"/>
  <c r="G223" i="149"/>
  <c r="F223" i="149"/>
  <c r="E223" i="149"/>
  <c r="D223" i="149"/>
  <c r="C223" i="149"/>
  <c r="B223" i="149"/>
  <c r="N222" i="149"/>
  <c r="M222" i="149"/>
  <c r="L222" i="149"/>
  <c r="K222" i="149"/>
  <c r="J222" i="149"/>
  <c r="I222" i="149"/>
  <c r="H222" i="149"/>
  <c r="G222" i="149"/>
  <c r="F222" i="149"/>
  <c r="E222" i="149"/>
  <c r="D222" i="149"/>
  <c r="C222" i="149"/>
  <c r="B222" i="149"/>
  <c r="N221" i="149"/>
  <c r="M221" i="149"/>
  <c r="L221" i="149"/>
  <c r="K221" i="149"/>
  <c r="J221" i="149"/>
  <c r="I221" i="149"/>
  <c r="H221" i="149"/>
  <c r="G221" i="149"/>
  <c r="F221" i="149"/>
  <c r="E221" i="149"/>
  <c r="D221" i="149"/>
  <c r="C221" i="149"/>
  <c r="B221" i="149"/>
  <c r="N220" i="149"/>
  <c r="M220" i="149"/>
  <c r="L220" i="149"/>
  <c r="K220" i="149"/>
  <c r="J220" i="149"/>
  <c r="I220" i="149"/>
  <c r="H220" i="149"/>
  <c r="G220" i="149"/>
  <c r="F220" i="149"/>
  <c r="E220" i="149"/>
  <c r="D220" i="149"/>
  <c r="C220" i="149"/>
  <c r="B220" i="149"/>
  <c r="N219" i="149"/>
  <c r="M219" i="149"/>
  <c r="L219" i="149"/>
  <c r="K219" i="149"/>
  <c r="J219" i="149"/>
  <c r="I219" i="149"/>
  <c r="H219" i="149"/>
  <c r="G219" i="149"/>
  <c r="F219" i="149"/>
  <c r="E219" i="149"/>
  <c r="D219" i="149"/>
  <c r="C219" i="149"/>
  <c r="B219" i="149"/>
  <c r="N218" i="149"/>
  <c r="M218" i="149"/>
  <c r="L218" i="149"/>
  <c r="K218" i="149"/>
  <c r="J218" i="149"/>
  <c r="I218" i="149"/>
  <c r="H218" i="149"/>
  <c r="G218" i="149"/>
  <c r="F218" i="149"/>
  <c r="E218" i="149"/>
  <c r="D218" i="149"/>
  <c r="C218" i="149"/>
  <c r="B218" i="149"/>
  <c r="N217" i="149"/>
  <c r="M217" i="149"/>
  <c r="L217" i="149"/>
  <c r="K217" i="149"/>
  <c r="J217" i="149"/>
  <c r="I217" i="149"/>
  <c r="H217" i="149"/>
  <c r="G217" i="149"/>
  <c r="F217" i="149"/>
  <c r="E217" i="149"/>
  <c r="D217" i="149"/>
  <c r="C217" i="149"/>
  <c r="B217" i="149"/>
  <c r="N216" i="149"/>
  <c r="M216" i="149"/>
  <c r="L216" i="149"/>
  <c r="K216" i="149"/>
  <c r="J216" i="149"/>
  <c r="I216" i="149"/>
  <c r="H216" i="149"/>
  <c r="G216" i="149"/>
  <c r="F216" i="149"/>
  <c r="E216" i="149"/>
  <c r="D216" i="149"/>
  <c r="C216" i="149"/>
  <c r="B216" i="149"/>
  <c r="N215" i="149"/>
  <c r="M215" i="149"/>
  <c r="L215" i="149"/>
  <c r="K215" i="149"/>
  <c r="J215" i="149"/>
  <c r="I215" i="149"/>
  <c r="H215" i="149"/>
  <c r="G215" i="149"/>
  <c r="F215" i="149"/>
  <c r="E215" i="149"/>
  <c r="D215" i="149"/>
  <c r="C215" i="149"/>
  <c r="B215" i="149"/>
  <c r="N214" i="149"/>
  <c r="M214" i="149"/>
  <c r="L214" i="149"/>
  <c r="K214" i="149"/>
  <c r="J214" i="149"/>
  <c r="I214" i="149"/>
  <c r="H214" i="149"/>
  <c r="G214" i="149"/>
  <c r="F214" i="149"/>
  <c r="E214" i="149"/>
  <c r="D214" i="149"/>
  <c r="C214" i="149"/>
  <c r="B214" i="149"/>
  <c r="N213" i="149"/>
  <c r="M213" i="149"/>
  <c r="L213" i="149"/>
  <c r="K213" i="149"/>
  <c r="J213" i="149"/>
  <c r="I213" i="149"/>
  <c r="H213" i="149"/>
  <c r="G213" i="149"/>
  <c r="F213" i="149"/>
  <c r="E213" i="149"/>
  <c r="D213" i="149"/>
  <c r="C213" i="149"/>
  <c r="B213" i="149"/>
  <c r="N212" i="149"/>
  <c r="M212" i="149"/>
  <c r="L212" i="149"/>
  <c r="K212" i="149"/>
  <c r="J212" i="149"/>
  <c r="I212" i="149"/>
  <c r="H212" i="149"/>
  <c r="G212" i="149"/>
  <c r="F212" i="149"/>
  <c r="E212" i="149"/>
  <c r="D212" i="149"/>
  <c r="C212" i="149"/>
  <c r="B212" i="149"/>
  <c r="N206" i="149"/>
  <c r="M206" i="149"/>
  <c r="L206" i="149"/>
  <c r="K206" i="149"/>
  <c r="J206" i="149"/>
  <c r="I206" i="149"/>
  <c r="H206" i="149"/>
  <c r="G206" i="149"/>
  <c r="F206" i="149"/>
  <c r="E206" i="149"/>
  <c r="D206" i="149"/>
  <c r="C206" i="149"/>
  <c r="A206" i="149"/>
  <c r="N205" i="149"/>
  <c r="M205" i="149"/>
  <c r="L205" i="149"/>
  <c r="K205" i="149"/>
  <c r="J205" i="149"/>
  <c r="I205" i="149"/>
  <c r="H205" i="149"/>
  <c r="G205" i="149"/>
  <c r="F205" i="149"/>
  <c r="E205" i="149"/>
  <c r="D205" i="149"/>
  <c r="C205" i="149"/>
  <c r="B205" i="149"/>
  <c r="N204" i="149"/>
  <c r="M204" i="149"/>
  <c r="L204" i="149"/>
  <c r="K204" i="149"/>
  <c r="J204" i="149"/>
  <c r="I204" i="149"/>
  <c r="H204" i="149"/>
  <c r="G204" i="149"/>
  <c r="F204" i="149"/>
  <c r="E204" i="149"/>
  <c r="D204" i="149"/>
  <c r="C204" i="149"/>
  <c r="B204" i="149"/>
  <c r="N203" i="149"/>
  <c r="M203" i="149"/>
  <c r="L203" i="149"/>
  <c r="K203" i="149"/>
  <c r="J203" i="149"/>
  <c r="I203" i="149"/>
  <c r="H203" i="149"/>
  <c r="G203" i="149"/>
  <c r="F203" i="149"/>
  <c r="E203" i="149"/>
  <c r="D203" i="149"/>
  <c r="C203" i="149"/>
  <c r="B203" i="149"/>
  <c r="N202" i="149"/>
  <c r="M202" i="149"/>
  <c r="L202" i="149"/>
  <c r="K202" i="149"/>
  <c r="J202" i="149"/>
  <c r="I202" i="149"/>
  <c r="H202" i="149"/>
  <c r="G202" i="149"/>
  <c r="F202" i="149"/>
  <c r="E202" i="149"/>
  <c r="D202" i="149"/>
  <c r="C202" i="149"/>
  <c r="B202" i="149"/>
  <c r="N201" i="149"/>
  <c r="M201" i="149"/>
  <c r="L201" i="149"/>
  <c r="K201" i="149"/>
  <c r="J201" i="149"/>
  <c r="I201" i="149"/>
  <c r="H201" i="149"/>
  <c r="G201" i="149"/>
  <c r="F201" i="149"/>
  <c r="E201" i="149"/>
  <c r="D201" i="149"/>
  <c r="C201" i="149"/>
  <c r="B201" i="149"/>
  <c r="N200" i="149"/>
  <c r="M200" i="149"/>
  <c r="L200" i="149"/>
  <c r="K200" i="149"/>
  <c r="J200" i="149"/>
  <c r="I200" i="149"/>
  <c r="H200" i="149"/>
  <c r="G200" i="149"/>
  <c r="F200" i="149"/>
  <c r="E200" i="149"/>
  <c r="D200" i="149"/>
  <c r="C200" i="149"/>
  <c r="B200" i="149"/>
  <c r="N199" i="149"/>
  <c r="M199" i="149"/>
  <c r="L199" i="149"/>
  <c r="K199" i="149"/>
  <c r="J199" i="149"/>
  <c r="I199" i="149"/>
  <c r="H199" i="149"/>
  <c r="G199" i="149"/>
  <c r="F199" i="149"/>
  <c r="E199" i="149"/>
  <c r="D199" i="149"/>
  <c r="C199" i="149"/>
  <c r="B199" i="149"/>
  <c r="N198" i="149"/>
  <c r="M198" i="149"/>
  <c r="L198" i="149"/>
  <c r="K198" i="149"/>
  <c r="J198" i="149"/>
  <c r="I198" i="149"/>
  <c r="H198" i="149"/>
  <c r="G198" i="149"/>
  <c r="F198" i="149"/>
  <c r="E198" i="149"/>
  <c r="D198" i="149"/>
  <c r="C198" i="149"/>
  <c r="B198" i="149"/>
  <c r="N197" i="149"/>
  <c r="M197" i="149"/>
  <c r="L197" i="149"/>
  <c r="K197" i="149"/>
  <c r="J197" i="149"/>
  <c r="I197" i="149"/>
  <c r="H197" i="149"/>
  <c r="G197" i="149"/>
  <c r="F197" i="149"/>
  <c r="E197" i="149"/>
  <c r="D197" i="149"/>
  <c r="C197" i="149"/>
  <c r="B197" i="149"/>
  <c r="N196" i="149"/>
  <c r="M196" i="149"/>
  <c r="L196" i="149"/>
  <c r="K196" i="149"/>
  <c r="J196" i="149"/>
  <c r="I196" i="149"/>
  <c r="H196" i="149"/>
  <c r="G196" i="149"/>
  <c r="F196" i="149"/>
  <c r="E196" i="149"/>
  <c r="D196" i="149"/>
  <c r="C196" i="149"/>
  <c r="B196" i="149"/>
  <c r="N195" i="149"/>
  <c r="M195" i="149"/>
  <c r="L195" i="149"/>
  <c r="K195" i="149"/>
  <c r="J195" i="149"/>
  <c r="I195" i="149"/>
  <c r="H195" i="149"/>
  <c r="G195" i="149"/>
  <c r="F195" i="149"/>
  <c r="E195" i="149"/>
  <c r="D195" i="149"/>
  <c r="C195" i="149"/>
  <c r="B195" i="149"/>
  <c r="N194" i="149"/>
  <c r="M194" i="149"/>
  <c r="L194" i="149"/>
  <c r="K194" i="149"/>
  <c r="J194" i="149"/>
  <c r="I194" i="149"/>
  <c r="H194" i="149"/>
  <c r="G194" i="149"/>
  <c r="F194" i="149"/>
  <c r="E194" i="149"/>
  <c r="D194" i="149"/>
  <c r="C194" i="149"/>
  <c r="B194" i="149"/>
  <c r="N190" i="149"/>
  <c r="M190" i="149"/>
  <c r="L190" i="149"/>
  <c r="K190" i="149"/>
  <c r="J190" i="149"/>
  <c r="I190" i="149"/>
  <c r="H190" i="149"/>
  <c r="G190" i="149"/>
  <c r="F190" i="149"/>
  <c r="E190" i="149"/>
  <c r="D190" i="149"/>
  <c r="C190" i="149"/>
  <c r="A190" i="149"/>
  <c r="N189" i="149"/>
  <c r="M189" i="149"/>
  <c r="L189" i="149"/>
  <c r="K189" i="149"/>
  <c r="J189" i="149"/>
  <c r="I189" i="149"/>
  <c r="H189" i="149"/>
  <c r="G189" i="149"/>
  <c r="F189" i="149"/>
  <c r="E189" i="149"/>
  <c r="D189" i="149"/>
  <c r="C189" i="149"/>
  <c r="B189" i="149"/>
  <c r="N188" i="149"/>
  <c r="M188" i="149"/>
  <c r="L188" i="149"/>
  <c r="K188" i="149"/>
  <c r="J188" i="149"/>
  <c r="I188" i="149"/>
  <c r="H188" i="149"/>
  <c r="G188" i="149"/>
  <c r="F188" i="149"/>
  <c r="E188" i="149"/>
  <c r="D188" i="149"/>
  <c r="C188" i="149"/>
  <c r="B188" i="149"/>
  <c r="N187" i="149"/>
  <c r="M187" i="149"/>
  <c r="L187" i="149"/>
  <c r="K187" i="149"/>
  <c r="J187" i="149"/>
  <c r="I187" i="149"/>
  <c r="H187" i="149"/>
  <c r="G187" i="149"/>
  <c r="F187" i="149"/>
  <c r="E187" i="149"/>
  <c r="D187" i="149"/>
  <c r="C187" i="149"/>
  <c r="B187" i="149"/>
  <c r="N186" i="149"/>
  <c r="M186" i="149"/>
  <c r="L186" i="149"/>
  <c r="K186" i="149"/>
  <c r="J186" i="149"/>
  <c r="I186" i="149"/>
  <c r="H186" i="149"/>
  <c r="G186" i="149"/>
  <c r="F186" i="149"/>
  <c r="E186" i="149"/>
  <c r="D186" i="149"/>
  <c r="C186" i="149"/>
  <c r="B186" i="149"/>
  <c r="N185" i="149"/>
  <c r="M185" i="149"/>
  <c r="L185" i="149"/>
  <c r="K185" i="149"/>
  <c r="J185" i="149"/>
  <c r="I185" i="149"/>
  <c r="H185" i="149"/>
  <c r="G185" i="149"/>
  <c r="F185" i="149"/>
  <c r="E185" i="149"/>
  <c r="D185" i="149"/>
  <c r="C185" i="149"/>
  <c r="B185" i="149"/>
  <c r="N184" i="149"/>
  <c r="M184" i="149"/>
  <c r="L184" i="149"/>
  <c r="K184" i="149"/>
  <c r="J184" i="149"/>
  <c r="I184" i="149"/>
  <c r="H184" i="149"/>
  <c r="G184" i="149"/>
  <c r="F184" i="149"/>
  <c r="E184" i="149"/>
  <c r="D184" i="149"/>
  <c r="C184" i="149"/>
  <c r="B184" i="149"/>
  <c r="N183" i="149"/>
  <c r="M183" i="149"/>
  <c r="L183" i="149"/>
  <c r="K183" i="149"/>
  <c r="J183" i="149"/>
  <c r="I183" i="149"/>
  <c r="H183" i="149"/>
  <c r="G183" i="149"/>
  <c r="F183" i="149"/>
  <c r="E183" i="149"/>
  <c r="D183" i="149"/>
  <c r="C183" i="149"/>
  <c r="B183" i="149"/>
  <c r="N182" i="149"/>
  <c r="M182" i="149"/>
  <c r="L182" i="149"/>
  <c r="K182" i="149"/>
  <c r="J182" i="149"/>
  <c r="I182" i="149"/>
  <c r="H182" i="149"/>
  <c r="G182" i="149"/>
  <c r="F182" i="149"/>
  <c r="E182" i="149"/>
  <c r="D182" i="149"/>
  <c r="C182" i="149"/>
  <c r="B182" i="149"/>
  <c r="N181" i="149"/>
  <c r="M181" i="149"/>
  <c r="L181" i="149"/>
  <c r="K181" i="149"/>
  <c r="J181" i="149"/>
  <c r="I181" i="149"/>
  <c r="H181" i="149"/>
  <c r="G181" i="149"/>
  <c r="F181" i="149"/>
  <c r="E181" i="149"/>
  <c r="D181" i="149"/>
  <c r="C181" i="149"/>
  <c r="B181" i="149"/>
  <c r="N180" i="149"/>
  <c r="M180" i="149"/>
  <c r="L180" i="149"/>
  <c r="K180" i="149"/>
  <c r="J180" i="149"/>
  <c r="I180" i="149"/>
  <c r="H180" i="149"/>
  <c r="G180" i="149"/>
  <c r="F180" i="149"/>
  <c r="E180" i="149"/>
  <c r="D180" i="149"/>
  <c r="C180" i="149"/>
  <c r="B180" i="149"/>
  <c r="N179" i="149"/>
  <c r="M179" i="149"/>
  <c r="L179" i="149"/>
  <c r="K179" i="149"/>
  <c r="J179" i="149"/>
  <c r="I179" i="149"/>
  <c r="H179" i="149"/>
  <c r="G179" i="149"/>
  <c r="F179" i="149"/>
  <c r="E179" i="149"/>
  <c r="D179" i="149"/>
  <c r="C179" i="149"/>
  <c r="B179" i="149"/>
  <c r="N178" i="149"/>
  <c r="M178" i="149"/>
  <c r="L178" i="149"/>
  <c r="K178" i="149"/>
  <c r="J178" i="149"/>
  <c r="I178" i="149"/>
  <c r="H178" i="149"/>
  <c r="G178" i="149"/>
  <c r="F178" i="149"/>
  <c r="E178" i="149"/>
  <c r="D178" i="149"/>
  <c r="C178" i="149"/>
  <c r="B178" i="149"/>
  <c r="N172" i="149"/>
  <c r="M172" i="149"/>
  <c r="L172" i="149"/>
  <c r="K172" i="149"/>
  <c r="J172" i="149"/>
  <c r="I172" i="149"/>
  <c r="H172" i="149"/>
  <c r="G172" i="149"/>
  <c r="F172" i="149"/>
  <c r="E172" i="149"/>
  <c r="D172" i="149"/>
  <c r="C172" i="149"/>
  <c r="A172" i="149"/>
  <c r="N171" i="149"/>
  <c r="M171" i="149"/>
  <c r="L171" i="149"/>
  <c r="K171" i="149"/>
  <c r="J171" i="149"/>
  <c r="I171" i="149"/>
  <c r="H171" i="149"/>
  <c r="G171" i="149"/>
  <c r="F171" i="149"/>
  <c r="E171" i="149"/>
  <c r="D171" i="149"/>
  <c r="C171" i="149"/>
  <c r="B171" i="149"/>
  <c r="N170" i="149"/>
  <c r="M170" i="149"/>
  <c r="L170" i="149"/>
  <c r="K170" i="149"/>
  <c r="J170" i="149"/>
  <c r="I170" i="149"/>
  <c r="H170" i="149"/>
  <c r="G170" i="149"/>
  <c r="F170" i="149"/>
  <c r="E170" i="149"/>
  <c r="D170" i="149"/>
  <c r="C170" i="149"/>
  <c r="B170" i="149"/>
  <c r="N169" i="149"/>
  <c r="M169" i="149"/>
  <c r="L169" i="149"/>
  <c r="K169" i="149"/>
  <c r="J169" i="149"/>
  <c r="I169" i="149"/>
  <c r="H169" i="149"/>
  <c r="G169" i="149"/>
  <c r="F169" i="149"/>
  <c r="E169" i="149"/>
  <c r="D169" i="149"/>
  <c r="C169" i="149"/>
  <c r="B169" i="149"/>
  <c r="N168" i="149"/>
  <c r="M168" i="149"/>
  <c r="L168" i="149"/>
  <c r="K168" i="149"/>
  <c r="J168" i="149"/>
  <c r="I168" i="149"/>
  <c r="H168" i="149"/>
  <c r="G168" i="149"/>
  <c r="F168" i="149"/>
  <c r="E168" i="149"/>
  <c r="D168" i="149"/>
  <c r="C168" i="149"/>
  <c r="B168" i="149"/>
  <c r="N167" i="149"/>
  <c r="M167" i="149"/>
  <c r="L167" i="149"/>
  <c r="K167" i="149"/>
  <c r="J167" i="149"/>
  <c r="I167" i="149"/>
  <c r="H167" i="149"/>
  <c r="G167" i="149"/>
  <c r="F167" i="149"/>
  <c r="E167" i="149"/>
  <c r="D167" i="149"/>
  <c r="C167" i="149"/>
  <c r="B167" i="149"/>
  <c r="N166" i="149"/>
  <c r="M166" i="149"/>
  <c r="L166" i="149"/>
  <c r="K166" i="149"/>
  <c r="J166" i="149"/>
  <c r="I166" i="149"/>
  <c r="H166" i="149"/>
  <c r="G166" i="149"/>
  <c r="F166" i="149"/>
  <c r="E166" i="149"/>
  <c r="D166" i="149"/>
  <c r="C166" i="149"/>
  <c r="B166" i="149"/>
  <c r="N165" i="149"/>
  <c r="M165" i="149"/>
  <c r="L165" i="149"/>
  <c r="K165" i="149"/>
  <c r="J165" i="149"/>
  <c r="I165" i="149"/>
  <c r="H165" i="149"/>
  <c r="G165" i="149"/>
  <c r="F165" i="149"/>
  <c r="E165" i="149"/>
  <c r="D165" i="149"/>
  <c r="C165" i="149"/>
  <c r="B165" i="149"/>
  <c r="N164" i="149"/>
  <c r="M164" i="149"/>
  <c r="L164" i="149"/>
  <c r="K164" i="149"/>
  <c r="J164" i="149"/>
  <c r="I164" i="149"/>
  <c r="H164" i="149"/>
  <c r="G164" i="149"/>
  <c r="F164" i="149"/>
  <c r="E164" i="149"/>
  <c r="D164" i="149"/>
  <c r="C164" i="149"/>
  <c r="B164" i="149"/>
  <c r="N163" i="149"/>
  <c r="M163" i="149"/>
  <c r="L163" i="149"/>
  <c r="K163" i="149"/>
  <c r="J163" i="149"/>
  <c r="I163" i="149"/>
  <c r="H163" i="149"/>
  <c r="G163" i="149"/>
  <c r="F163" i="149"/>
  <c r="E163" i="149"/>
  <c r="D163" i="149"/>
  <c r="C163" i="149"/>
  <c r="B163" i="149"/>
  <c r="N162" i="149"/>
  <c r="M162" i="149"/>
  <c r="L162" i="149"/>
  <c r="K162" i="149"/>
  <c r="J162" i="149"/>
  <c r="I162" i="149"/>
  <c r="H162" i="149"/>
  <c r="G162" i="149"/>
  <c r="F162" i="149"/>
  <c r="E162" i="149"/>
  <c r="D162" i="149"/>
  <c r="C162" i="149"/>
  <c r="B162" i="149"/>
  <c r="N161" i="149"/>
  <c r="M161" i="149"/>
  <c r="L161" i="149"/>
  <c r="K161" i="149"/>
  <c r="J161" i="149"/>
  <c r="I161" i="149"/>
  <c r="H161" i="149"/>
  <c r="G161" i="149"/>
  <c r="F161" i="149"/>
  <c r="E161" i="149"/>
  <c r="D161" i="149"/>
  <c r="C161" i="149"/>
  <c r="B161" i="149"/>
  <c r="N160" i="149"/>
  <c r="M160" i="149"/>
  <c r="L160" i="149"/>
  <c r="K160" i="149"/>
  <c r="J160" i="149"/>
  <c r="I160" i="149"/>
  <c r="H160" i="149"/>
  <c r="G160" i="149"/>
  <c r="F160" i="149"/>
  <c r="E160" i="149"/>
  <c r="D160" i="149"/>
  <c r="C160" i="149"/>
  <c r="B160" i="149"/>
  <c r="N156" i="149"/>
  <c r="M156" i="149"/>
  <c r="L156" i="149"/>
  <c r="K156" i="149"/>
  <c r="J156" i="149"/>
  <c r="I156" i="149"/>
  <c r="H156" i="149"/>
  <c r="G156" i="149"/>
  <c r="F156" i="149"/>
  <c r="E156" i="149"/>
  <c r="D156" i="149"/>
  <c r="C156" i="149"/>
  <c r="A156" i="149"/>
  <c r="N155" i="149"/>
  <c r="M155" i="149"/>
  <c r="L155" i="149"/>
  <c r="K155" i="149"/>
  <c r="J155" i="149"/>
  <c r="I155" i="149"/>
  <c r="H155" i="149"/>
  <c r="G155" i="149"/>
  <c r="F155" i="149"/>
  <c r="E155" i="149"/>
  <c r="D155" i="149"/>
  <c r="C155" i="149"/>
  <c r="B155" i="149"/>
  <c r="N154" i="149"/>
  <c r="M154" i="149"/>
  <c r="L154" i="149"/>
  <c r="K154" i="149"/>
  <c r="J154" i="149"/>
  <c r="I154" i="149"/>
  <c r="H154" i="149"/>
  <c r="G154" i="149"/>
  <c r="F154" i="149"/>
  <c r="E154" i="149"/>
  <c r="D154" i="149"/>
  <c r="C154" i="149"/>
  <c r="B154" i="149"/>
  <c r="N153" i="149"/>
  <c r="M153" i="149"/>
  <c r="L153" i="149"/>
  <c r="K153" i="149"/>
  <c r="J153" i="149"/>
  <c r="I153" i="149"/>
  <c r="H153" i="149"/>
  <c r="G153" i="149"/>
  <c r="F153" i="149"/>
  <c r="E153" i="149"/>
  <c r="D153" i="149"/>
  <c r="C153" i="149"/>
  <c r="B153" i="149"/>
  <c r="N152" i="149"/>
  <c r="M152" i="149"/>
  <c r="L152" i="149"/>
  <c r="K152" i="149"/>
  <c r="J152" i="149"/>
  <c r="I152" i="149"/>
  <c r="H152" i="149"/>
  <c r="G152" i="149"/>
  <c r="F152" i="149"/>
  <c r="E152" i="149"/>
  <c r="D152" i="149"/>
  <c r="C152" i="149"/>
  <c r="B152" i="149"/>
  <c r="N151" i="149"/>
  <c r="M151" i="149"/>
  <c r="L151" i="149"/>
  <c r="K151" i="149"/>
  <c r="J151" i="149"/>
  <c r="I151" i="149"/>
  <c r="H151" i="149"/>
  <c r="G151" i="149"/>
  <c r="F151" i="149"/>
  <c r="E151" i="149"/>
  <c r="D151" i="149"/>
  <c r="C151" i="149"/>
  <c r="B151" i="149"/>
  <c r="N150" i="149"/>
  <c r="M150" i="149"/>
  <c r="L150" i="149"/>
  <c r="K150" i="149"/>
  <c r="J150" i="149"/>
  <c r="I150" i="149"/>
  <c r="H150" i="149"/>
  <c r="G150" i="149"/>
  <c r="F150" i="149"/>
  <c r="E150" i="149"/>
  <c r="D150" i="149"/>
  <c r="C150" i="149"/>
  <c r="B150" i="149"/>
  <c r="N149" i="149"/>
  <c r="M149" i="149"/>
  <c r="L149" i="149"/>
  <c r="K149" i="149"/>
  <c r="J149" i="149"/>
  <c r="I149" i="149"/>
  <c r="H149" i="149"/>
  <c r="G149" i="149"/>
  <c r="F149" i="149"/>
  <c r="E149" i="149"/>
  <c r="D149" i="149"/>
  <c r="C149" i="149"/>
  <c r="B149" i="149"/>
  <c r="N148" i="149"/>
  <c r="M148" i="149"/>
  <c r="L148" i="149"/>
  <c r="K148" i="149"/>
  <c r="J148" i="149"/>
  <c r="I148" i="149"/>
  <c r="H148" i="149"/>
  <c r="G148" i="149"/>
  <c r="F148" i="149"/>
  <c r="E148" i="149"/>
  <c r="D148" i="149"/>
  <c r="C148" i="149"/>
  <c r="B148" i="149"/>
  <c r="N147" i="149"/>
  <c r="M147" i="149"/>
  <c r="L147" i="149"/>
  <c r="K147" i="149"/>
  <c r="J147" i="149"/>
  <c r="I147" i="149"/>
  <c r="H147" i="149"/>
  <c r="G147" i="149"/>
  <c r="F147" i="149"/>
  <c r="E147" i="149"/>
  <c r="D147" i="149"/>
  <c r="C147" i="149"/>
  <c r="B147" i="149"/>
  <c r="N146" i="149"/>
  <c r="M146" i="149"/>
  <c r="L146" i="149"/>
  <c r="K146" i="149"/>
  <c r="J146" i="149"/>
  <c r="I146" i="149"/>
  <c r="H146" i="149"/>
  <c r="G146" i="149"/>
  <c r="F146" i="149"/>
  <c r="E146" i="149"/>
  <c r="D146" i="149"/>
  <c r="C146" i="149"/>
  <c r="B146" i="149"/>
  <c r="N145" i="149"/>
  <c r="M145" i="149"/>
  <c r="L145" i="149"/>
  <c r="K145" i="149"/>
  <c r="J145" i="149"/>
  <c r="I145" i="149"/>
  <c r="H145" i="149"/>
  <c r="G145" i="149"/>
  <c r="F145" i="149"/>
  <c r="E145" i="149"/>
  <c r="D145" i="149"/>
  <c r="C145" i="149"/>
  <c r="B145" i="149"/>
  <c r="N144" i="149"/>
  <c r="M144" i="149"/>
  <c r="L144" i="149"/>
  <c r="K144" i="149"/>
  <c r="J144" i="149"/>
  <c r="I144" i="149"/>
  <c r="H144" i="149"/>
  <c r="G144" i="149"/>
  <c r="F144" i="149"/>
  <c r="E144" i="149"/>
  <c r="D144" i="149"/>
  <c r="C144" i="149"/>
  <c r="B144" i="149"/>
  <c r="N138" i="149"/>
  <c r="M138" i="149"/>
  <c r="L138" i="149"/>
  <c r="K138" i="149"/>
  <c r="J138" i="149"/>
  <c r="I138" i="149"/>
  <c r="H138" i="149"/>
  <c r="G138" i="149"/>
  <c r="F138" i="149"/>
  <c r="E138" i="149"/>
  <c r="D138" i="149"/>
  <c r="C138" i="149"/>
  <c r="A138" i="149"/>
  <c r="N137" i="149"/>
  <c r="M137" i="149"/>
  <c r="L137" i="149"/>
  <c r="K137" i="149"/>
  <c r="J137" i="149"/>
  <c r="I137" i="149"/>
  <c r="H137" i="149"/>
  <c r="G137" i="149"/>
  <c r="F137" i="149"/>
  <c r="E137" i="149"/>
  <c r="D137" i="149"/>
  <c r="C137" i="149"/>
  <c r="B137" i="149"/>
  <c r="N136" i="149"/>
  <c r="M136" i="149"/>
  <c r="L136" i="149"/>
  <c r="K136" i="149"/>
  <c r="J136" i="149"/>
  <c r="I136" i="149"/>
  <c r="H136" i="149"/>
  <c r="G136" i="149"/>
  <c r="F136" i="149"/>
  <c r="E136" i="149"/>
  <c r="D136" i="149"/>
  <c r="C136" i="149"/>
  <c r="B136" i="149"/>
  <c r="N135" i="149"/>
  <c r="M135" i="149"/>
  <c r="L135" i="149"/>
  <c r="K135" i="149"/>
  <c r="J135" i="149"/>
  <c r="I135" i="149"/>
  <c r="H135" i="149"/>
  <c r="G135" i="149"/>
  <c r="F135" i="149"/>
  <c r="E135" i="149"/>
  <c r="D135" i="149"/>
  <c r="C135" i="149"/>
  <c r="B135" i="149"/>
  <c r="N134" i="149"/>
  <c r="M134" i="149"/>
  <c r="L134" i="149"/>
  <c r="K134" i="149"/>
  <c r="J134" i="149"/>
  <c r="I134" i="149"/>
  <c r="H134" i="149"/>
  <c r="G134" i="149"/>
  <c r="F134" i="149"/>
  <c r="E134" i="149"/>
  <c r="D134" i="149"/>
  <c r="C134" i="149"/>
  <c r="B134" i="149"/>
  <c r="N133" i="149"/>
  <c r="M133" i="149"/>
  <c r="L133" i="149"/>
  <c r="K133" i="149"/>
  <c r="J133" i="149"/>
  <c r="I133" i="149"/>
  <c r="H133" i="149"/>
  <c r="G133" i="149"/>
  <c r="F133" i="149"/>
  <c r="E133" i="149"/>
  <c r="D133" i="149"/>
  <c r="C133" i="149"/>
  <c r="B133" i="149"/>
  <c r="N132" i="149"/>
  <c r="M132" i="149"/>
  <c r="L132" i="149"/>
  <c r="K132" i="149"/>
  <c r="J132" i="149"/>
  <c r="I132" i="149"/>
  <c r="H132" i="149"/>
  <c r="G132" i="149"/>
  <c r="F132" i="149"/>
  <c r="E132" i="149"/>
  <c r="D132" i="149"/>
  <c r="C132" i="149"/>
  <c r="B132" i="149"/>
  <c r="N131" i="149"/>
  <c r="M131" i="149"/>
  <c r="L131" i="149"/>
  <c r="K131" i="149"/>
  <c r="J131" i="149"/>
  <c r="I131" i="149"/>
  <c r="H131" i="149"/>
  <c r="G131" i="149"/>
  <c r="F131" i="149"/>
  <c r="E131" i="149"/>
  <c r="D131" i="149"/>
  <c r="C131" i="149"/>
  <c r="B131" i="149"/>
  <c r="N130" i="149"/>
  <c r="M130" i="149"/>
  <c r="L130" i="149"/>
  <c r="K130" i="149"/>
  <c r="J130" i="149"/>
  <c r="I130" i="149"/>
  <c r="H130" i="149"/>
  <c r="G130" i="149"/>
  <c r="F130" i="149"/>
  <c r="E130" i="149"/>
  <c r="D130" i="149"/>
  <c r="C130" i="149"/>
  <c r="B130" i="149"/>
  <c r="N129" i="149"/>
  <c r="M129" i="149"/>
  <c r="L129" i="149"/>
  <c r="K129" i="149"/>
  <c r="J129" i="149"/>
  <c r="I129" i="149"/>
  <c r="H129" i="149"/>
  <c r="G129" i="149"/>
  <c r="F129" i="149"/>
  <c r="E129" i="149"/>
  <c r="D129" i="149"/>
  <c r="C129" i="149"/>
  <c r="B129" i="149"/>
  <c r="N128" i="149"/>
  <c r="M128" i="149"/>
  <c r="L128" i="149"/>
  <c r="K128" i="149"/>
  <c r="J128" i="149"/>
  <c r="I128" i="149"/>
  <c r="H128" i="149"/>
  <c r="G128" i="149"/>
  <c r="F128" i="149"/>
  <c r="E128" i="149"/>
  <c r="D128" i="149"/>
  <c r="C128" i="149"/>
  <c r="B128" i="149"/>
  <c r="N127" i="149"/>
  <c r="M127" i="149"/>
  <c r="L127" i="149"/>
  <c r="K127" i="149"/>
  <c r="J127" i="149"/>
  <c r="I127" i="149"/>
  <c r="H127" i="149"/>
  <c r="G127" i="149"/>
  <c r="F127" i="149"/>
  <c r="E127" i="149"/>
  <c r="D127" i="149"/>
  <c r="C127" i="149"/>
  <c r="B127" i="149"/>
  <c r="N126" i="149"/>
  <c r="M126" i="149"/>
  <c r="L126" i="149"/>
  <c r="K126" i="149"/>
  <c r="J126" i="149"/>
  <c r="I126" i="149"/>
  <c r="H126" i="149"/>
  <c r="G126" i="149"/>
  <c r="F126" i="149"/>
  <c r="E126" i="149"/>
  <c r="D126" i="149"/>
  <c r="C126" i="149"/>
  <c r="B126" i="149"/>
  <c r="N122" i="149"/>
  <c r="M122" i="149"/>
  <c r="L122" i="149"/>
  <c r="K122" i="149"/>
  <c r="J122" i="149"/>
  <c r="I122" i="149"/>
  <c r="H122" i="149"/>
  <c r="G122" i="149"/>
  <c r="F122" i="149"/>
  <c r="E122" i="149"/>
  <c r="D122" i="149"/>
  <c r="C122" i="149"/>
  <c r="A122" i="149"/>
  <c r="N121" i="149"/>
  <c r="M121" i="149"/>
  <c r="L121" i="149"/>
  <c r="K121" i="149"/>
  <c r="J121" i="149"/>
  <c r="I121" i="149"/>
  <c r="H121" i="149"/>
  <c r="G121" i="149"/>
  <c r="F121" i="149"/>
  <c r="E121" i="149"/>
  <c r="D121" i="149"/>
  <c r="C121" i="149"/>
  <c r="B121" i="149"/>
  <c r="N120" i="149"/>
  <c r="M120" i="149"/>
  <c r="L120" i="149"/>
  <c r="K120" i="149"/>
  <c r="J120" i="149"/>
  <c r="I120" i="149"/>
  <c r="H120" i="149"/>
  <c r="G120" i="149"/>
  <c r="F120" i="149"/>
  <c r="E120" i="149"/>
  <c r="D120" i="149"/>
  <c r="C120" i="149"/>
  <c r="B120" i="149"/>
  <c r="N119" i="149"/>
  <c r="M119" i="149"/>
  <c r="L119" i="149"/>
  <c r="K119" i="149"/>
  <c r="J119" i="149"/>
  <c r="I119" i="149"/>
  <c r="H119" i="149"/>
  <c r="G119" i="149"/>
  <c r="F119" i="149"/>
  <c r="E119" i="149"/>
  <c r="D119" i="149"/>
  <c r="C119" i="149"/>
  <c r="B119" i="149"/>
  <c r="N118" i="149"/>
  <c r="M118" i="149"/>
  <c r="L118" i="149"/>
  <c r="K118" i="149"/>
  <c r="J118" i="149"/>
  <c r="I118" i="149"/>
  <c r="H118" i="149"/>
  <c r="G118" i="149"/>
  <c r="F118" i="149"/>
  <c r="E118" i="149"/>
  <c r="D118" i="149"/>
  <c r="C118" i="149"/>
  <c r="B118" i="149"/>
  <c r="N117" i="149"/>
  <c r="M117" i="149"/>
  <c r="L117" i="149"/>
  <c r="K117" i="149"/>
  <c r="J117" i="149"/>
  <c r="I117" i="149"/>
  <c r="H117" i="149"/>
  <c r="G117" i="149"/>
  <c r="F117" i="149"/>
  <c r="E117" i="149"/>
  <c r="D117" i="149"/>
  <c r="C117" i="149"/>
  <c r="B117" i="149"/>
  <c r="N116" i="149"/>
  <c r="M116" i="149"/>
  <c r="L116" i="149"/>
  <c r="K116" i="149"/>
  <c r="J116" i="149"/>
  <c r="I116" i="149"/>
  <c r="H116" i="149"/>
  <c r="G116" i="149"/>
  <c r="F116" i="149"/>
  <c r="E116" i="149"/>
  <c r="D116" i="149"/>
  <c r="C116" i="149"/>
  <c r="B116" i="149"/>
  <c r="N115" i="149"/>
  <c r="M115" i="149"/>
  <c r="L115" i="149"/>
  <c r="K115" i="149"/>
  <c r="J115" i="149"/>
  <c r="I115" i="149"/>
  <c r="H115" i="149"/>
  <c r="G115" i="149"/>
  <c r="F115" i="149"/>
  <c r="E115" i="149"/>
  <c r="D115" i="149"/>
  <c r="C115" i="149"/>
  <c r="B115" i="149"/>
  <c r="N114" i="149"/>
  <c r="M114" i="149"/>
  <c r="L114" i="149"/>
  <c r="K114" i="149"/>
  <c r="J114" i="149"/>
  <c r="I114" i="149"/>
  <c r="H114" i="149"/>
  <c r="G114" i="149"/>
  <c r="F114" i="149"/>
  <c r="E114" i="149"/>
  <c r="D114" i="149"/>
  <c r="C114" i="149"/>
  <c r="B114" i="149"/>
  <c r="N113" i="149"/>
  <c r="M113" i="149"/>
  <c r="L113" i="149"/>
  <c r="K113" i="149"/>
  <c r="J113" i="149"/>
  <c r="I113" i="149"/>
  <c r="H113" i="149"/>
  <c r="G113" i="149"/>
  <c r="F113" i="149"/>
  <c r="E113" i="149"/>
  <c r="D113" i="149"/>
  <c r="C113" i="149"/>
  <c r="B113" i="149"/>
  <c r="N112" i="149"/>
  <c r="M112" i="149"/>
  <c r="L112" i="149"/>
  <c r="K112" i="149"/>
  <c r="J112" i="149"/>
  <c r="I112" i="149"/>
  <c r="H112" i="149"/>
  <c r="G112" i="149"/>
  <c r="F112" i="149"/>
  <c r="E112" i="149"/>
  <c r="D112" i="149"/>
  <c r="C112" i="149"/>
  <c r="B112" i="149"/>
  <c r="N111" i="149"/>
  <c r="M111" i="149"/>
  <c r="L111" i="149"/>
  <c r="K111" i="149"/>
  <c r="J111" i="149"/>
  <c r="I111" i="149"/>
  <c r="H111" i="149"/>
  <c r="G111" i="149"/>
  <c r="F111" i="149"/>
  <c r="E111" i="149"/>
  <c r="D111" i="149"/>
  <c r="C111" i="149"/>
  <c r="B111" i="149"/>
  <c r="N110" i="149"/>
  <c r="M110" i="149"/>
  <c r="L110" i="149"/>
  <c r="K110" i="149"/>
  <c r="J110" i="149"/>
  <c r="I110" i="149"/>
  <c r="H110" i="149"/>
  <c r="G110" i="149"/>
  <c r="F110" i="149"/>
  <c r="E110" i="149"/>
  <c r="D110" i="149"/>
  <c r="C110" i="149"/>
  <c r="B110" i="149"/>
  <c r="N104" i="149"/>
  <c r="M104" i="149"/>
  <c r="L104" i="149"/>
  <c r="K104" i="149"/>
  <c r="J104" i="149"/>
  <c r="I104" i="149"/>
  <c r="H104" i="149"/>
  <c r="G104" i="149"/>
  <c r="F104" i="149"/>
  <c r="E104" i="149"/>
  <c r="D104" i="149"/>
  <c r="C104" i="149"/>
  <c r="A104" i="149"/>
  <c r="N103" i="149"/>
  <c r="M103" i="149"/>
  <c r="L103" i="149"/>
  <c r="K103" i="149"/>
  <c r="J103" i="149"/>
  <c r="I103" i="149"/>
  <c r="H103" i="149"/>
  <c r="G103" i="149"/>
  <c r="F103" i="149"/>
  <c r="E103" i="149"/>
  <c r="D103" i="149"/>
  <c r="C103" i="149"/>
  <c r="B103" i="149"/>
  <c r="N102" i="149"/>
  <c r="M102" i="149"/>
  <c r="L102" i="149"/>
  <c r="K102" i="149"/>
  <c r="J102" i="149"/>
  <c r="I102" i="149"/>
  <c r="H102" i="149"/>
  <c r="G102" i="149"/>
  <c r="F102" i="149"/>
  <c r="E102" i="149"/>
  <c r="D102" i="149"/>
  <c r="C102" i="149"/>
  <c r="B102" i="149"/>
  <c r="N101" i="149"/>
  <c r="M101" i="149"/>
  <c r="L101" i="149"/>
  <c r="K101" i="149"/>
  <c r="J101" i="149"/>
  <c r="I101" i="149"/>
  <c r="H101" i="149"/>
  <c r="G101" i="149"/>
  <c r="F101" i="149"/>
  <c r="E101" i="149"/>
  <c r="D101" i="149"/>
  <c r="C101" i="149"/>
  <c r="B101" i="149"/>
  <c r="N100" i="149"/>
  <c r="M100" i="149"/>
  <c r="L100" i="149"/>
  <c r="K100" i="149"/>
  <c r="J100" i="149"/>
  <c r="I100" i="149"/>
  <c r="H100" i="149"/>
  <c r="G100" i="149"/>
  <c r="F100" i="149"/>
  <c r="E100" i="149"/>
  <c r="D100" i="149"/>
  <c r="C100" i="149"/>
  <c r="B100" i="149"/>
  <c r="N99" i="149"/>
  <c r="M99" i="149"/>
  <c r="L99" i="149"/>
  <c r="K99" i="149"/>
  <c r="J99" i="149"/>
  <c r="I99" i="149"/>
  <c r="H99" i="149"/>
  <c r="G99" i="149"/>
  <c r="F99" i="149"/>
  <c r="E99" i="149"/>
  <c r="D99" i="149"/>
  <c r="C99" i="149"/>
  <c r="B99" i="149"/>
  <c r="N98" i="149"/>
  <c r="M98" i="149"/>
  <c r="L98" i="149"/>
  <c r="K98" i="149"/>
  <c r="J98" i="149"/>
  <c r="I98" i="149"/>
  <c r="H98" i="149"/>
  <c r="G98" i="149"/>
  <c r="F98" i="149"/>
  <c r="E98" i="149"/>
  <c r="D98" i="149"/>
  <c r="C98" i="149"/>
  <c r="B98" i="149"/>
  <c r="N97" i="149"/>
  <c r="M97" i="149"/>
  <c r="L97" i="149"/>
  <c r="K97" i="149"/>
  <c r="J97" i="149"/>
  <c r="I97" i="149"/>
  <c r="H97" i="149"/>
  <c r="G97" i="149"/>
  <c r="F97" i="149"/>
  <c r="E97" i="149"/>
  <c r="D97" i="149"/>
  <c r="C97" i="149"/>
  <c r="B97" i="149"/>
  <c r="N96" i="149"/>
  <c r="M96" i="149"/>
  <c r="L96" i="149"/>
  <c r="K96" i="149"/>
  <c r="J96" i="149"/>
  <c r="I96" i="149"/>
  <c r="H96" i="149"/>
  <c r="G96" i="149"/>
  <c r="F96" i="149"/>
  <c r="E96" i="149"/>
  <c r="D96" i="149"/>
  <c r="C96" i="149"/>
  <c r="B96" i="149"/>
  <c r="N95" i="149"/>
  <c r="M95" i="149"/>
  <c r="L95" i="149"/>
  <c r="K95" i="149"/>
  <c r="J95" i="149"/>
  <c r="I95" i="149"/>
  <c r="H95" i="149"/>
  <c r="G95" i="149"/>
  <c r="F95" i="149"/>
  <c r="E95" i="149"/>
  <c r="D95" i="149"/>
  <c r="C95" i="149"/>
  <c r="B95" i="149"/>
  <c r="N94" i="149"/>
  <c r="M94" i="149"/>
  <c r="L94" i="149"/>
  <c r="K94" i="149"/>
  <c r="J94" i="149"/>
  <c r="I94" i="149"/>
  <c r="H94" i="149"/>
  <c r="G94" i="149"/>
  <c r="F94" i="149"/>
  <c r="E94" i="149"/>
  <c r="D94" i="149"/>
  <c r="C94" i="149"/>
  <c r="B94" i="149"/>
  <c r="N93" i="149"/>
  <c r="M93" i="149"/>
  <c r="L93" i="149"/>
  <c r="K93" i="149"/>
  <c r="J93" i="149"/>
  <c r="I93" i="149"/>
  <c r="H93" i="149"/>
  <c r="G93" i="149"/>
  <c r="F93" i="149"/>
  <c r="E93" i="149"/>
  <c r="D93" i="149"/>
  <c r="C93" i="149"/>
  <c r="B93" i="149"/>
  <c r="N92" i="149"/>
  <c r="M92" i="149"/>
  <c r="L92" i="149"/>
  <c r="K92" i="149"/>
  <c r="J92" i="149"/>
  <c r="I92" i="149"/>
  <c r="H92" i="149"/>
  <c r="G92" i="149"/>
  <c r="F92" i="149"/>
  <c r="E92" i="149"/>
  <c r="D92" i="149"/>
  <c r="C92" i="149"/>
  <c r="B92" i="149"/>
  <c r="N88" i="149"/>
  <c r="M88" i="149"/>
  <c r="L88" i="149"/>
  <c r="K88" i="149"/>
  <c r="J88" i="149"/>
  <c r="I88" i="149"/>
  <c r="H88" i="149"/>
  <c r="G88" i="149"/>
  <c r="F88" i="149"/>
  <c r="E88" i="149"/>
  <c r="D88" i="149"/>
  <c r="C88" i="149"/>
  <c r="A88" i="149"/>
  <c r="N87" i="149"/>
  <c r="M87" i="149"/>
  <c r="L87" i="149"/>
  <c r="K87" i="149"/>
  <c r="J87" i="149"/>
  <c r="I87" i="149"/>
  <c r="H87" i="149"/>
  <c r="G87" i="149"/>
  <c r="F87" i="149"/>
  <c r="E87" i="149"/>
  <c r="D87" i="149"/>
  <c r="C87" i="149"/>
  <c r="B87" i="149"/>
  <c r="N86" i="149"/>
  <c r="M86" i="149"/>
  <c r="L86" i="149"/>
  <c r="K86" i="149"/>
  <c r="J86" i="149"/>
  <c r="I86" i="149"/>
  <c r="H86" i="149"/>
  <c r="G86" i="149"/>
  <c r="F86" i="149"/>
  <c r="E86" i="149"/>
  <c r="D86" i="149"/>
  <c r="C86" i="149"/>
  <c r="B86" i="149"/>
  <c r="N85" i="149"/>
  <c r="M85" i="149"/>
  <c r="L85" i="149"/>
  <c r="K85" i="149"/>
  <c r="J85" i="149"/>
  <c r="I85" i="149"/>
  <c r="H85" i="149"/>
  <c r="G85" i="149"/>
  <c r="F85" i="149"/>
  <c r="E85" i="149"/>
  <c r="D85" i="149"/>
  <c r="C85" i="149"/>
  <c r="B85" i="149"/>
  <c r="N84" i="149"/>
  <c r="M84" i="149"/>
  <c r="L84" i="149"/>
  <c r="K84" i="149"/>
  <c r="J84" i="149"/>
  <c r="I84" i="149"/>
  <c r="H84" i="149"/>
  <c r="G84" i="149"/>
  <c r="F84" i="149"/>
  <c r="E84" i="149"/>
  <c r="D84" i="149"/>
  <c r="C84" i="149"/>
  <c r="B84" i="149"/>
  <c r="N83" i="149"/>
  <c r="M83" i="149"/>
  <c r="L83" i="149"/>
  <c r="K83" i="149"/>
  <c r="J83" i="149"/>
  <c r="I83" i="149"/>
  <c r="H83" i="149"/>
  <c r="G83" i="149"/>
  <c r="F83" i="149"/>
  <c r="E83" i="149"/>
  <c r="D83" i="149"/>
  <c r="C83" i="149"/>
  <c r="B83" i="149"/>
  <c r="N82" i="149"/>
  <c r="M82" i="149"/>
  <c r="L82" i="149"/>
  <c r="K82" i="149"/>
  <c r="J82" i="149"/>
  <c r="I82" i="149"/>
  <c r="H82" i="149"/>
  <c r="G82" i="149"/>
  <c r="F82" i="149"/>
  <c r="E82" i="149"/>
  <c r="D82" i="149"/>
  <c r="C82" i="149"/>
  <c r="B82" i="149"/>
  <c r="N81" i="149"/>
  <c r="M81" i="149"/>
  <c r="L81" i="149"/>
  <c r="K81" i="149"/>
  <c r="J81" i="149"/>
  <c r="I81" i="149"/>
  <c r="H81" i="149"/>
  <c r="G81" i="149"/>
  <c r="F81" i="149"/>
  <c r="E81" i="149"/>
  <c r="D81" i="149"/>
  <c r="C81" i="149"/>
  <c r="B81" i="149"/>
  <c r="N80" i="149"/>
  <c r="M80" i="149"/>
  <c r="L80" i="149"/>
  <c r="K80" i="149"/>
  <c r="J80" i="149"/>
  <c r="I80" i="149"/>
  <c r="H80" i="149"/>
  <c r="G80" i="149"/>
  <c r="F80" i="149"/>
  <c r="E80" i="149"/>
  <c r="D80" i="149"/>
  <c r="C80" i="149"/>
  <c r="B80" i="149"/>
  <c r="N79" i="149"/>
  <c r="M79" i="149"/>
  <c r="L79" i="149"/>
  <c r="K79" i="149"/>
  <c r="J79" i="149"/>
  <c r="I79" i="149"/>
  <c r="H79" i="149"/>
  <c r="G79" i="149"/>
  <c r="F79" i="149"/>
  <c r="E79" i="149"/>
  <c r="D79" i="149"/>
  <c r="C79" i="149"/>
  <c r="B79" i="149"/>
  <c r="N78" i="149"/>
  <c r="M78" i="149"/>
  <c r="L78" i="149"/>
  <c r="K78" i="149"/>
  <c r="J78" i="149"/>
  <c r="I78" i="149"/>
  <c r="H78" i="149"/>
  <c r="G78" i="149"/>
  <c r="F78" i="149"/>
  <c r="E78" i="149"/>
  <c r="D78" i="149"/>
  <c r="C78" i="149"/>
  <c r="B78" i="149"/>
  <c r="N77" i="149"/>
  <c r="M77" i="149"/>
  <c r="L77" i="149"/>
  <c r="K77" i="149"/>
  <c r="J77" i="149"/>
  <c r="I77" i="149"/>
  <c r="H77" i="149"/>
  <c r="G77" i="149"/>
  <c r="F77" i="149"/>
  <c r="E77" i="149"/>
  <c r="D77" i="149"/>
  <c r="C77" i="149"/>
  <c r="B77" i="149"/>
  <c r="N76" i="149"/>
  <c r="M76" i="149"/>
  <c r="L76" i="149"/>
  <c r="K76" i="149"/>
  <c r="J76" i="149"/>
  <c r="I76" i="149"/>
  <c r="H76" i="149"/>
  <c r="G76" i="149"/>
  <c r="F76" i="149"/>
  <c r="E76" i="149"/>
  <c r="D76" i="149"/>
  <c r="C76" i="149"/>
  <c r="B76" i="149"/>
  <c r="N70" i="149"/>
  <c r="M70" i="149"/>
  <c r="L70" i="149"/>
  <c r="K70" i="149"/>
  <c r="J70" i="149"/>
  <c r="I70" i="149"/>
  <c r="H70" i="149"/>
  <c r="G70" i="149"/>
  <c r="F70" i="149"/>
  <c r="E70" i="149"/>
  <c r="D70" i="149"/>
  <c r="C70" i="149"/>
  <c r="A70" i="149"/>
  <c r="N69" i="149"/>
  <c r="M69" i="149"/>
  <c r="L69" i="149"/>
  <c r="K69" i="149"/>
  <c r="J69" i="149"/>
  <c r="I69" i="149"/>
  <c r="H69" i="149"/>
  <c r="G69" i="149"/>
  <c r="F69" i="149"/>
  <c r="E69" i="149"/>
  <c r="D69" i="149"/>
  <c r="C69" i="149"/>
  <c r="B69" i="149"/>
  <c r="N68" i="149"/>
  <c r="M68" i="149"/>
  <c r="L68" i="149"/>
  <c r="K68" i="149"/>
  <c r="J68" i="149"/>
  <c r="I68" i="149"/>
  <c r="H68" i="149"/>
  <c r="G68" i="149"/>
  <c r="F68" i="149"/>
  <c r="E68" i="149"/>
  <c r="D68" i="149"/>
  <c r="C68" i="149"/>
  <c r="B68" i="149"/>
  <c r="N67" i="149"/>
  <c r="M67" i="149"/>
  <c r="L67" i="149"/>
  <c r="K67" i="149"/>
  <c r="J67" i="149"/>
  <c r="I67" i="149"/>
  <c r="H67" i="149"/>
  <c r="G67" i="149"/>
  <c r="F67" i="149"/>
  <c r="E67" i="149"/>
  <c r="D67" i="149"/>
  <c r="C67" i="149"/>
  <c r="B67" i="149"/>
  <c r="N66" i="149"/>
  <c r="M66" i="149"/>
  <c r="L66" i="149"/>
  <c r="K66" i="149"/>
  <c r="J66" i="149"/>
  <c r="I66" i="149"/>
  <c r="H66" i="149"/>
  <c r="G66" i="149"/>
  <c r="F66" i="149"/>
  <c r="E66" i="149"/>
  <c r="D66" i="149"/>
  <c r="C66" i="149"/>
  <c r="B66" i="149"/>
  <c r="N65" i="149"/>
  <c r="M65" i="149"/>
  <c r="L65" i="149"/>
  <c r="K65" i="149"/>
  <c r="J65" i="149"/>
  <c r="I65" i="149"/>
  <c r="H65" i="149"/>
  <c r="G65" i="149"/>
  <c r="F65" i="149"/>
  <c r="E65" i="149"/>
  <c r="D65" i="149"/>
  <c r="C65" i="149"/>
  <c r="B65" i="149"/>
  <c r="N64" i="149"/>
  <c r="M64" i="149"/>
  <c r="L64" i="149"/>
  <c r="K64" i="149"/>
  <c r="J64" i="149"/>
  <c r="I64" i="149"/>
  <c r="H64" i="149"/>
  <c r="G64" i="149"/>
  <c r="F64" i="149"/>
  <c r="E64" i="149"/>
  <c r="D64" i="149"/>
  <c r="C64" i="149"/>
  <c r="B64" i="149"/>
  <c r="N63" i="149"/>
  <c r="M63" i="149"/>
  <c r="L63" i="149"/>
  <c r="K63" i="149"/>
  <c r="J63" i="149"/>
  <c r="I63" i="149"/>
  <c r="H63" i="149"/>
  <c r="G63" i="149"/>
  <c r="F63" i="149"/>
  <c r="E63" i="149"/>
  <c r="D63" i="149"/>
  <c r="C63" i="149"/>
  <c r="B63" i="149"/>
  <c r="N62" i="149"/>
  <c r="M62" i="149"/>
  <c r="L62" i="149"/>
  <c r="K62" i="149"/>
  <c r="J62" i="149"/>
  <c r="I62" i="149"/>
  <c r="H62" i="149"/>
  <c r="G62" i="149"/>
  <c r="F62" i="149"/>
  <c r="E62" i="149"/>
  <c r="D62" i="149"/>
  <c r="C62" i="149"/>
  <c r="B62" i="149"/>
  <c r="N61" i="149"/>
  <c r="M61" i="149"/>
  <c r="L61" i="149"/>
  <c r="K61" i="149"/>
  <c r="J61" i="149"/>
  <c r="I61" i="149"/>
  <c r="H61" i="149"/>
  <c r="G61" i="149"/>
  <c r="F61" i="149"/>
  <c r="E61" i="149"/>
  <c r="D61" i="149"/>
  <c r="C61" i="149"/>
  <c r="B61" i="149"/>
  <c r="N60" i="149"/>
  <c r="M60" i="149"/>
  <c r="L60" i="149"/>
  <c r="K60" i="149"/>
  <c r="J60" i="149"/>
  <c r="I60" i="149"/>
  <c r="H60" i="149"/>
  <c r="G60" i="149"/>
  <c r="F60" i="149"/>
  <c r="E60" i="149"/>
  <c r="D60" i="149"/>
  <c r="C60" i="149"/>
  <c r="B60" i="149"/>
  <c r="N59" i="149"/>
  <c r="M59" i="149"/>
  <c r="L59" i="149"/>
  <c r="K59" i="149"/>
  <c r="J59" i="149"/>
  <c r="I59" i="149"/>
  <c r="H59" i="149"/>
  <c r="G59" i="149"/>
  <c r="F59" i="149"/>
  <c r="E59" i="149"/>
  <c r="D59" i="149"/>
  <c r="C59" i="149"/>
  <c r="B59" i="149"/>
  <c r="N58" i="149"/>
  <c r="M58" i="149"/>
  <c r="L58" i="149"/>
  <c r="K58" i="149"/>
  <c r="J58" i="149"/>
  <c r="I58" i="149"/>
  <c r="H58" i="149"/>
  <c r="G58" i="149"/>
  <c r="F58" i="149"/>
  <c r="E58" i="149"/>
  <c r="D58" i="149"/>
  <c r="C58" i="149"/>
  <c r="B58" i="149"/>
  <c r="N54" i="149"/>
  <c r="M54" i="149"/>
  <c r="L54" i="149"/>
  <c r="K54" i="149"/>
  <c r="J54" i="149"/>
  <c r="I54" i="149"/>
  <c r="H54" i="149"/>
  <c r="G54" i="149"/>
  <c r="F54" i="149"/>
  <c r="E54" i="149"/>
  <c r="D54" i="149"/>
  <c r="C54" i="149"/>
  <c r="A54" i="149"/>
  <c r="N53" i="149"/>
  <c r="M53" i="149"/>
  <c r="L53" i="149"/>
  <c r="K53" i="149"/>
  <c r="J53" i="149"/>
  <c r="I53" i="149"/>
  <c r="H53" i="149"/>
  <c r="G53" i="149"/>
  <c r="F53" i="149"/>
  <c r="E53" i="149"/>
  <c r="D53" i="149"/>
  <c r="C53" i="149"/>
  <c r="B53" i="149"/>
  <c r="N52" i="149"/>
  <c r="M52" i="149"/>
  <c r="L52" i="149"/>
  <c r="K52" i="149"/>
  <c r="J52" i="149"/>
  <c r="I52" i="149"/>
  <c r="H52" i="149"/>
  <c r="G52" i="149"/>
  <c r="F52" i="149"/>
  <c r="E52" i="149"/>
  <c r="D52" i="149"/>
  <c r="C52" i="149"/>
  <c r="B52" i="149"/>
  <c r="N51" i="149"/>
  <c r="M51" i="149"/>
  <c r="L51" i="149"/>
  <c r="K51" i="149"/>
  <c r="J51" i="149"/>
  <c r="I51" i="149"/>
  <c r="H51" i="149"/>
  <c r="G51" i="149"/>
  <c r="F51" i="149"/>
  <c r="E51" i="149"/>
  <c r="D51" i="149"/>
  <c r="C51" i="149"/>
  <c r="B51" i="149"/>
  <c r="N50" i="149"/>
  <c r="M50" i="149"/>
  <c r="L50" i="149"/>
  <c r="K50" i="149"/>
  <c r="J50" i="149"/>
  <c r="I50" i="149"/>
  <c r="H50" i="149"/>
  <c r="G50" i="149"/>
  <c r="F50" i="149"/>
  <c r="E50" i="149"/>
  <c r="D50" i="149"/>
  <c r="C50" i="149"/>
  <c r="B50" i="149"/>
  <c r="N49" i="149"/>
  <c r="M49" i="149"/>
  <c r="L49" i="149"/>
  <c r="K49" i="149"/>
  <c r="J49" i="149"/>
  <c r="I49" i="149"/>
  <c r="H49" i="149"/>
  <c r="G49" i="149"/>
  <c r="F49" i="149"/>
  <c r="E49" i="149"/>
  <c r="D49" i="149"/>
  <c r="C49" i="149"/>
  <c r="B49" i="149"/>
  <c r="N48" i="149"/>
  <c r="M48" i="149"/>
  <c r="L48" i="149"/>
  <c r="K48" i="149"/>
  <c r="J48" i="149"/>
  <c r="I48" i="149"/>
  <c r="H48" i="149"/>
  <c r="G48" i="149"/>
  <c r="F48" i="149"/>
  <c r="E48" i="149"/>
  <c r="D48" i="149"/>
  <c r="C48" i="149"/>
  <c r="B48" i="149"/>
  <c r="N47" i="149"/>
  <c r="M47" i="149"/>
  <c r="L47" i="149"/>
  <c r="K47" i="149"/>
  <c r="J47" i="149"/>
  <c r="I47" i="149"/>
  <c r="H47" i="149"/>
  <c r="G47" i="149"/>
  <c r="F47" i="149"/>
  <c r="E47" i="149"/>
  <c r="D47" i="149"/>
  <c r="C47" i="149"/>
  <c r="B47" i="149"/>
  <c r="N46" i="149"/>
  <c r="M46" i="149"/>
  <c r="L46" i="149"/>
  <c r="K46" i="149"/>
  <c r="J46" i="149"/>
  <c r="I46" i="149"/>
  <c r="H46" i="149"/>
  <c r="G46" i="149"/>
  <c r="F46" i="149"/>
  <c r="E46" i="149"/>
  <c r="D46" i="149"/>
  <c r="C46" i="149"/>
  <c r="B46" i="149"/>
  <c r="N45" i="149"/>
  <c r="M45" i="149"/>
  <c r="L45" i="149"/>
  <c r="K45" i="149"/>
  <c r="J45" i="149"/>
  <c r="I45" i="149"/>
  <c r="H45" i="149"/>
  <c r="G45" i="149"/>
  <c r="F45" i="149"/>
  <c r="E45" i="149"/>
  <c r="D45" i="149"/>
  <c r="C45" i="149"/>
  <c r="B45" i="149"/>
  <c r="N44" i="149"/>
  <c r="M44" i="149"/>
  <c r="L44" i="149"/>
  <c r="K44" i="149"/>
  <c r="J44" i="149"/>
  <c r="I44" i="149"/>
  <c r="H44" i="149"/>
  <c r="G44" i="149"/>
  <c r="F44" i="149"/>
  <c r="E44" i="149"/>
  <c r="D44" i="149"/>
  <c r="C44" i="149"/>
  <c r="B44" i="149"/>
  <c r="N43" i="149"/>
  <c r="M43" i="149"/>
  <c r="L43" i="149"/>
  <c r="K43" i="149"/>
  <c r="J43" i="149"/>
  <c r="I43" i="149"/>
  <c r="H43" i="149"/>
  <c r="G43" i="149"/>
  <c r="F43" i="149"/>
  <c r="E43" i="149"/>
  <c r="D43" i="149"/>
  <c r="C43" i="149"/>
  <c r="B43" i="149"/>
  <c r="N42" i="149"/>
  <c r="M42" i="149"/>
  <c r="L42" i="149"/>
  <c r="K42" i="149"/>
  <c r="J42" i="149"/>
  <c r="I42" i="149"/>
  <c r="H42" i="149"/>
  <c r="G42" i="149"/>
  <c r="F42" i="149"/>
  <c r="E42" i="149"/>
  <c r="D42" i="149"/>
  <c r="C42" i="149"/>
  <c r="B42" i="149"/>
  <c r="N36" i="149"/>
  <c r="M36" i="149"/>
  <c r="L36" i="149"/>
  <c r="K36" i="149"/>
  <c r="J36" i="149"/>
  <c r="I36" i="149"/>
  <c r="H36" i="149"/>
  <c r="G36" i="149"/>
  <c r="F36" i="149"/>
  <c r="E36" i="149"/>
  <c r="D36" i="149"/>
  <c r="C36" i="149"/>
  <c r="B36" i="149"/>
  <c r="N35" i="149"/>
  <c r="M35" i="149"/>
  <c r="L35" i="149"/>
  <c r="K35" i="149"/>
  <c r="J35" i="149"/>
  <c r="I35" i="149"/>
  <c r="H35" i="149"/>
  <c r="G35" i="149"/>
  <c r="F35" i="149"/>
  <c r="E35" i="149"/>
  <c r="D35" i="149"/>
  <c r="C35" i="149"/>
  <c r="B35" i="149"/>
  <c r="I31" i="149"/>
  <c r="H31" i="149"/>
  <c r="G31" i="149"/>
  <c r="E31" i="149"/>
  <c r="D31" i="149"/>
  <c r="C31" i="149"/>
  <c r="B31" i="149"/>
  <c r="A31" i="149"/>
  <c r="D30" i="149"/>
  <c r="C30" i="149"/>
  <c r="B30" i="149"/>
  <c r="D29" i="149"/>
  <c r="C29" i="149"/>
  <c r="B29" i="149"/>
  <c r="D28" i="149"/>
  <c r="C28" i="149"/>
  <c r="B28" i="149"/>
  <c r="D27" i="149"/>
  <c r="C27" i="149"/>
  <c r="B27" i="149"/>
  <c r="D26" i="149"/>
  <c r="C26" i="149"/>
  <c r="B26" i="149"/>
  <c r="D25" i="149"/>
  <c r="C25" i="149"/>
  <c r="B25" i="149"/>
  <c r="D24" i="149"/>
  <c r="C24" i="149"/>
  <c r="B24" i="149"/>
  <c r="D23" i="149"/>
  <c r="C23" i="149"/>
  <c r="B23" i="149"/>
  <c r="D22" i="149"/>
  <c r="C22" i="149"/>
  <c r="B22" i="149"/>
  <c r="D21" i="149"/>
  <c r="C21" i="149"/>
  <c r="B21" i="149"/>
  <c r="D20" i="149"/>
  <c r="C20" i="149"/>
  <c r="C19" i="149"/>
  <c r="B19" i="149"/>
  <c r="N15" i="149"/>
  <c r="M15" i="149"/>
  <c r="L15" i="149"/>
  <c r="K15" i="149"/>
  <c r="J15" i="149"/>
  <c r="I15" i="149"/>
  <c r="H15" i="149"/>
  <c r="G15" i="149"/>
  <c r="F15" i="149"/>
  <c r="E15" i="149"/>
  <c r="D15" i="149"/>
  <c r="C15" i="149"/>
  <c r="B15" i="149"/>
  <c r="N14" i="149"/>
  <c r="M14" i="149"/>
  <c r="L14" i="149"/>
  <c r="K14" i="149"/>
  <c r="J14" i="149"/>
  <c r="I14" i="149"/>
  <c r="H14" i="149"/>
  <c r="G14" i="149"/>
  <c r="F14" i="149"/>
  <c r="E14" i="149"/>
  <c r="D14" i="149"/>
  <c r="C14" i="149"/>
  <c r="B14" i="149"/>
  <c r="A10" i="149"/>
  <c r="A1" i="149"/>
  <c r="N371" i="148"/>
  <c r="M371" i="148"/>
  <c r="L371" i="148"/>
  <c r="K371" i="148"/>
  <c r="J371" i="148"/>
  <c r="I371" i="148"/>
  <c r="H371" i="148"/>
  <c r="G371" i="148"/>
  <c r="F371" i="148"/>
  <c r="E371" i="148"/>
  <c r="D371" i="148"/>
  <c r="C371" i="148"/>
  <c r="A371" i="148"/>
  <c r="N370" i="148"/>
  <c r="M370" i="148"/>
  <c r="L370" i="148"/>
  <c r="K370" i="148"/>
  <c r="J370" i="148"/>
  <c r="I370" i="148"/>
  <c r="H370" i="148"/>
  <c r="G370" i="148"/>
  <c r="F370" i="148"/>
  <c r="E370" i="148"/>
  <c r="D370" i="148"/>
  <c r="C370" i="148"/>
  <c r="A370" i="148"/>
  <c r="N369" i="148"/>
  <c r="M369" i="148"/>
  <c r="L369" i="148"/>
  <c r="K369" i="148"/>
  <c r="J369" i="148"/>
  <c r="I369" i="148"/>
  <c r="H369" i="148"/>
  <c r="G369" i="148"/>
  <c r="F369" i="148"/>
  <c r="E369" i="148"/>
  <c r="D369" i="148"/>
  <c r="C369" i="148"/>
  <c r="N368" i="148"/>
  <c r="M368" i="148"/>
  <c r="L368" i="148"/>
  <c r="K368" i="148"/>
  <c r="J368" i="148"/>
  <c r="I368" i="148"/>
  <c r="H368" i="148"/>
  <c r="G368" i="148"/>
  <c r="F368" i="148"/>
  <c r="E368" i="148"/>
  <c r="D368" i="148"/>
  <c r="C368" i="148"/>
  <c r="N367" i="148"/>
  <c r="M367" i="148"/>
  <c r="L367" i="148"/>
  <c r="K367" i="148"/>
  <c r="J367" i="148"/>
  <c r="I367" i="148"/>
  <c r="H367" i="148"/>
  <c r="G367" i="148"/>
  <c r="F367" i="148"/>
  <c r="E367" i="148"/>
  <c r="D367" i="148"/>
  <c r="C367" i="148"/>
  <c r="A367" i="148"/>
  <c r="N366" i="148"/>
  <c r="M366" i="148"/>
  <c r="L366" i="148"/>
  <c r="K366" i="148"/>
  <c r="J366" i="148"/>
  <c r="I366" i="148"/>
  <c r="H366" i="148"/>
  <c r="G366" i="148"/>
  <c r="F366" i="148"/>
  <c r="E366" i="148"/>
  <c r="D366" i="148"/>
  <c r="C366" i="148"/>
  <c r="B366" i="148"/>
  <c r="N365" i="148"/>
  <c r="M365" i="148"/>
  <c r="L365" i="148"/>
  <c r="K365" i="148"/>
  <c r="J365" i="148"/>
  <c r="I365" i="148"/>
  <c r="H365" i="148"/>
  <c r="G365" i="148"/>
  <c r="F365" i="148"/>
  <c r="E365" i="148"/>
  <c r="D365" i="148"/>
  <c r="C365" i="148"/>
  <c r="B365" i="148"/>
  <c r="N364" i="148"/>
  <c r="M364" i="148"/>
  <c r="L364" i="148"/>
  <c r="K364" i="148"/>
  <c r="J364" i="148"/>
  <c r="I364" i="148"/>
  <c r="H364" i="148"/>
  <c r="G364" i="148"/>
  <c r="F364" i="148"/>
  <c r="E364" i="148"/>
  <c r="D364" i="148"/>
  <c r="C364" i="148"/>
  <c r="B364" i="148"/>
  <c r="N363" i="148"/>
  <c r="M363" i="148"/>
  <c r="L363" i="148"/>
  <c r="K363" i="148"/>
  <c r="J363" i="148"/>
  <c r="I363" i="148"/>
  <c r="H363" i="148"/>
  <c r="G363" i="148"/>
  <c r="F363" i="148"/>
  <c r="E363" i="148"/>
  <c r="D363" i="148"/>
  <c r="C363" i="148"/>
  <c r="B363" i="148"/>
  <c r="N362" i="148"/>
  <c r="M362" i="148"/>
  <c r="L362" i="148"/>
  <c r="K362" i="148"/>
  <c r="J362" i="148"/>
  <c r="I362" i="148"/>
  <c r="H362" i="148"/>
  <c r="G362" i="148"/>
  <c r="F362" i="148"/>
  <c r="E362" i="148"/>
  <c r="D362" i="148"/>
  <c r="C362" i="148"/>
  <c r="B362" i="148"/>
  <c r="N361" i="148"/>
  <c r="M361" i="148"/>
  <c r="L361" i="148"/>
  <c r="K361" i="148"/>
  <c r="J361" i="148"/>
  <c r="I361" i="148"/>
  <c r="H361" i="148"/>
  <c r="G361" i="148"/>
  <c r="F361" i="148"/>
  <c r="E361" i="148"/>
  <c r="D361" i="148"/>
  <c r="C361" i="148"/>
  <c r="B361" i="148"/>
  <c r="N360" i="148"/>
  <c r="M360" i="148"/>
  <c r="L360" i="148"/>
  <c r="K360" i="148"/>
  <c r="J360" i="148"/>
  <c r="I360" i="148"/>
  <c r="H360" i="148"/>
  <c r="G360" i="148"/>
  <c r="F360" i="148"/>
  <c r="E360" i="148"/>
  <c r="D360" i="148"/>
  <c r="C360" i="148"/>
  <c r="B360" i="148"/>
  <c r="N359" i="148"/>
  <c r="M359" i="148"/>
  <c r="L359" i="148"/>
  <c r="K359" i="148"/>
  <c r="J359" i="148"/>
  <c r="I359" i="148"/>
  <c r="H359" i="148"/>
  <c r="G359" i="148"/>
  <c r="F359" i="148"/>
  <c r="E359" i="148"/>
  <c r="D359" i="148"/>
  <c r="C359" i="148"/>
  <c r="B359" i="148"/>
  <c r="N358" i="148"/>
  <c r="M358" i="148"/>
  <c r="L358" i="148"/>
  <c r="K358" i="148"/>
  <c r="J358" i="148"/>
  <c r="I358" i="148"/>
  <c r="H358" i="148"/>
  <c r="G358" i="148"/>
  <c r="F358" i="148"/>
  <c r="E358" i="148"/>
  <c r="D358" i="148"/>
  <c r="C358" i="148"/>
  <c r="B358" i="148"/>
  <c r="N357" i="148"/>
  <c r="M357" i="148"/>
  <c r="L357" i="148"/>
  <c r="K357" i="148"/>
  <c r="J357" i="148"/>
  <c r="I357" i="148"/>
  <c r="H357" i="148"/>
  <c r="G357" i="148"/>
  <c r="F357" i="148"/>
  <c r="E357" i="148"/>
  <c r="D357" i="148"/>
  <c r="C357" i="148"/>
  <c r="B357" i="148"/>
  <c r="N356" i="148"/>
  <c r="M356" i="148"/>
  <c r="L356" i="148"/>
  <c r="K356" i="148"/>
  <c r="J356" i="148"/>
  <c r="I356" i="148"/>
  <c r="H356" i="148"/>
  <c r="G356" i="148"/>
  <c r="F356" i="148"/>
  <c r="E356" i="148"/>
  <c r="D356" i="148"/>
  <c r="C356" i="148"/>
  <c r="B356" i="148"/>
  <c r="N355" i="148"/>
  <c r="M355" i="148"/>
  <c r="L355" i="148"/>
  <c r="K355" i="148"/>
  <c r="J355" i="148"/>
  <c r="I355" i="148"/>
  <c r="H355" i="148"/>
  <c r="G355" i="148"/>
  <c r="F355" i="148"/>
  <c r="E355" i="148"/>
  <c r="D355" i="148"/>
  <c r="C355" i="148"/>
  <c r="B355" i="148"/>
  <c r="N351" i="148"/>
  <c r="M351" i="148"/>
  <c r="L351" i="148"/>
  <c r="K351" i="148"/>
  <c r="J351" i="148"/>
  <c r="I351" i="148"/>
  <c r="H351" i="148"/>
  <c r="G351" i="148"/>
  <c r="F351" i="148"/>
  <c r="E351" i="148"/>
  <c r="D351" i="148"/>
  <c r="C351" i="148"/>
  <c r="A351" i="148"/>
  <c r="N350" i="148"/>
  <c r="M350" i="148"/>
  <c r="L350" i="148"/>
  <c r="K350" i="148"/>
  <c r="J350" i="148"/>
  <c r="I350" i="148"/>
  <c r="H350" i="148"/>
  <c r="G350" i="148"/>
  <c r="F350" i="148"/>
  <c r="E350" i="148"/>
  <c r="D350" i="148"/>
  <c r="C350" i="148"/>
  <c r="B350" i="148"/>
  <c r="N349" i="148"/>
  <c r="M349" i="148"/>
  <c r="L349" i="148"/>
  <c r="K349" i="148"/>
  <c r="J349" i="148"/>
  <c r="I349" i="148"/>
  <c r="H349" i="148"/>
  <c r="G349" i="148"/>
  <c r="F349" i="148"/>
  <c r="E349" i="148"/>
  <c r="D349" i="148"/>
  <c r="C349" i="148"/>
  <c r="B349" i="148"/>
  <c r="N348" i="148"/>
  <c r="M348" i="148"/>
  <c r="L348" i="148"/>
  <c r="K348" i="148"/>
  <c r="J348" i="148"/>
  <c r="I348" i="148"/>
  <c r="H348" i="148"/>
  <c r="G348" i="148"/>
  <c r="F348" i="148"/>
  <c r="E348" i="148"/>
  <c r="D348" i="148"/>
  <c r="C348" i="148"/>
  <c r="B348" i="148"/>
  <c r="N347" i="148"/>
  <c r="M347" i="148"/>
  <c r="L347" i="148"/>
  <c r="K347" i="148"/>
  <c r="J347" i="148"/>
  <c r="I347" i="148"/>
  <c r="H347" i="148"/>
  <c r="G347" i="148"/>
  <c r="F347" i="148"/>
  <c r="E347" i="148"/>
  <c r="D347" i="148"/>
  <c r="C347" i="148"/>
  <c r="B347" i="148"/>
  <c r="N346" i="148"/>
  <c r="M346" i="148"/>
  <c r="L346" i="148"/>
  <c r="K346" i="148"/>
  <c r="J346" i="148"/>
  <c r="I346" i="148"/>
  <c r="H346" i="148"/>
  <c r="G346" i="148"/>
  <c r="F346" i="148"/>
  <c r="E346" i="148"/>
  <c r="D346" i="148"/>
  <c r="C346" i="148"/>
  <c r="B346" i="148"/>
  <c r="N345" i="148"/>
  <c r="M345" i="148"/>
  <c r="L345" i="148"/>
  <c r="K345" i="148"/>
  <c r="J345" i="148"/>
  <c r="I345" i="148"/>
  <c r="H345" i="148"/>
  <c r="G345" i="148"/>
  <c r="F345" i="148"/>
  <c r="E345" i="148"/>
  <c r="D345" i="148"/>
  <c r="C345" i="148"/>
  <c r="B345" i="148"/>
  <c r="N344" i="148"/>
  <c r="M344" i="148"/>
  <c r="L344" i="148"/>
  <c r="K344" i="148"/>
  <c r="J344" i="148"/>
  <c r="I344" i="148"/>
  <c r="H344" i="148"/>
  <c r="G344" i="148"/>
  <c r="F344" i="148"/>
  <c r="E344" i="148"/>
  <c r="D344" i="148"/>
  <c r="C344" i="148"/>
  <c r="B344" i="148"/>
  <c r="N343" i="148"/>
  <c r="M343" i="148"/>
  <c r="L343" i="148"/>
  <c r="K343" i="148"/>
  <c r="J343" i="148"/>
  <c r="I343" i="148"/>
  <c r="H343" i="148"/>
  <c r="G343" i="148"/>
  <c r="F343" i="148"/>
  <c r="E343" i="148"/>
  <c r="D343" i="148"/>
  <c r="C343" i="148"/>
  <c r="B343" i="148"/>
  <c r="N342" i="148"/>
  <c r="M342" i="148"/>
  <c r="L342" i="148"/>
  <c r="K342" i="148"/>
  <c r="J342" i="148"/>
  <c r="I342" i="148"/>
  <c r="H342" i="148"/>
  <c r="G342" i="148"/>
  <c r="F342" i="148"/>
  <c r="E342" i="148"/>
  <c r="D342" i="148"/>
  <c r="C342" i="148"/>
  <c r="B342" i="148"/>
  <c r="N341" i="148"/>
  <c r="M341" i="148"/>
  <c r="L341" i="148"/>
  <c r="K341" i="148"/>
  <c r="J341" i="148"/>
  <c r="I341" i="148"/>
  <c r="H341" i="148"/>
  <c r="G341" i="148"/>
  <c r="F341" i="148"/>
  <c r="E341" i="148"/>
  <c r="D341" i="148"/>
  <c r="C341" i="148"/>
  <c r="B341" i="148"/>
  <c r="N340" i="148"/>
  <c r="M340" i="148"/>
  <c r="L340" i="148"/>
  <c r="K340" i="148"/>
  <c r="J340" i="148"/>
  <c r="I340" i="148"/>
  <c r="H340" i="148"/>
  <c r="G340" i="148"/>
  <c r="F340" i="148"/>
  <c r="E340" i="148"/>
  <c r="D340" i="148"/>
  <c r="C340" i="148"/>
  <c r="B340" i="148"/>
  <c r="N339" i="148"/>
  <c r="M339" i="148"/>
  <c r="L339" i="148"/>
  <c r="K339" i="148"/>
  <c r="J339" i="148"/>
  <c r="I339" i="148"/>
  <c r="H339" i="148"/>
  <c r="G339" i="148"/>
  <c r="F339" i="148"/>
  <c r="E339" i="148"/>
  <c r="D339" i="148"/>
  <c r="C339" i="148"/>
  <c r="B339" i="148"/>
  <c r="N333" i="148"/>
  <c r="M333" i="148"/>
  <c r="L333" i="148"/>
  <c r="K333" i="148"/>
  <c r="J333" i="148"/>
  <c r="I333" i="148"/>
  <c r="H333" i="148"/>
  <c r="G333" i="148"/>
  <c r="F333" i="148"/>
  <c r="E333" i="148"/>
  <c r="D333" i="148"/>
  <c r="C333" i="148"/>
  <c r="A333" i="148"/>
  <c r="N332" i="148"/>
  <c r="M332" i="148"/>
  <c r="L332" i="148"/>
  <c r="K332" i="148"/>
  <c r="J332" i="148"/>
  <c r="I332" i="148"/>
  <c r="H332" i="148"/>
  <c r="G332" i="148"/>
  <c r="F332" i="148"/>
  <c r="E332" i="148"/>
  <c r="D332" i="148"/>
  <c r="C332" i="148"/>
  <c r="N331" i="148"/>
  <c r="M331" i="148"/>
  <c r="L331" i="148"/>
  <c r="K331" i="148"/>
  <c r="J331" i="148"/>
  <c r="I331" i="148"/>
  <c r="H331" i="148"/>
  <c r="G331" i="148"/>
  <c r="F331" i="148"/>
  <c r="E331" i="148"/>
  <c r="D331" i="148"/>
  <c r="C331" i="148"/>
  <c r="N330" i="148"/>
  <c r="M330" i="148"/>
  <c r="L330" i="148"/>
  <c r="K330" i="148"/>
  <c r="J330" i="148"/>
  <c r="I330" i="148"/>
  <c r="H330" i="148"/>
  <c r="G330" i="148"/>
  <c r="F330" i="148"/>
  <c r="E330" i="148"/>
  <c r="D330" i="148"/>
  <c r="C330" i="148"/>
  <c r="A330" i="148"/>
  <c r="N329" i="148"/>
  <c r="M329" i="148"/>
  <c r="L329" i="148"/>
  <c r="K329" i="148"/>
  <c r="J329" i="148"/>
  <c r="I329" i="148"/>
  <c r="H329" i="148"/>
  <c r="G329" i="148"/>
  <c r="F329" i="148"/>
  <c r="E329" i="148"/>
  <c r="D329" i="148"/>
  <c r="C329" i="148"/>
  <c r="B329" i="148"/>
  <c r="N328" i="148"/>
  <c r="M328" i="148"/>
  <c r="L328" i="148"/>
  <c r="K328" i="148"/>
  <c r="J328" i="148"/>
  <c r="I328" i="148"/>
  <c r="H328" i="148"/>
  <c r="G328" i="148"/>
  <c r="F328" i="148"/>
  <c r="E328" i="148"/>
  <c r="D328" i="148"/>
  <c r="C328" i="148"/>
  <c r="B328" i="148"/>
  <c r="N327" i="148"/>
  <c r="M327" i="148"/>
  <c r="L327" i="148"/>
  <c r="K327" i="148"/>
  <c r="J327" i="148"/>
  <c r="I327" i="148"/>
  <c r="H327" i="148"/>
  <c r="G327" i="148"/>
  <c r="F327" i="148"/>
  <c r="E327" i="148"/>
  <c r="D327" i="148"/>
  <c r="C327" i="148"/>
  <c r="B327" i="148"/>
  <c r="N326" i="148"/>
  <c r="M326" i="148"/>
  <c r="L326" i="148"/>
  <c r="K326" i="148"/>
  <c r="J326" i="148"/>
  <c r="I326" i="148"/>
  <c r="H326" i="148"/>
  <c r="G326" i="148"/>
  <c r="F326" i="148"/>
  <c r="E326" i="148"/>
  <c r="D326" i="148"/>
  <c r="C326" i="148"/>
  <c r="B326" i="148"/>
  <c r="N325" i="148"/>
  <c r="M325" i="148"/>
  <c r="L325" i="148"/>
  <c r="K325" i="148"/>
  <c r="J325" i="148"/>
  <c r="I325" i="148"/>
  <c r="H325" i="148"/>
  <c r="G325" i="148"/>
  <c r="F325" i="148"/>
  <c r="E325" i="148"/>
  <c r="D325" i="148"/>
  <c r="C325" i="148"/>
  <c r="B325" i="148"/>
  <c r="N324" i="148"/>
  <c r="M324" i="148"/>
  <c r="L324" i="148"/>
  <c r="K324" i="148"/>
  <c r="J324" i="148"/>
  <c r="I324" i="148"/>
  <c r="H324" i="148"/>
  <c r="G324" i="148"/>
  <c r="F324" i="148"/>
  <c r="E324" i="148"/>
  <c r="D324" i="148"/>
  <c r="C324" i="148"/>
  <c r="B324" i="148"/>
  <c r="N323" i="148"/>
  <c r="M323" i="148"/>
  <c r="L323" i="148"/>
  <c r="K323" i="148"/>
  <c r="J323" i="148"/>
  <c r="I323" i="148"/>
  <c r="H323" i="148"/>
  <c r="G323" i="148"/>
  <c r="F323" i="148"/>
  <c r="E323" i="148"/>
  <c r="D323" i="148"/>
  <c r="C323" i="148"/>
  <c r="B323" i="148"/>
  <c r="N322" i="148"/>
  <c r="M322" i="148"/>
  <c r="L322" i="148"/>
  <c r="K322" i="148"/>
  <c r="J322" i="148"/>
  <c r="I322" i="148"/>
  <c r="H322" i="148"/>
  <c r="G322" i="148"/>
  <c r="F322" i="148"/>
  <c r="E322" i="148"/>
  <c r="D322" i="148"/>
  <c r="C322" i="148"/>
  <c r="B322" i="148"/>
  <c r="N321" i="148"/>
  <c r="M321" i="148"/>
  <c r="L321" i="148"/>
  <c r="K321" i="148"/>
  <c r="J321" i="148"/>
  <c r="I321" i="148"/>
  <c r="H321" i="148"/>
  <c r="G321" i="148"/>
  <c r="F321" i="148"/>
  <c r="E321" i="148"/>
  <c r="D321" i="148"/>
  <c r="C321" i="148"/>
  <c r="B321" i="148"/>
  <c r="N320" i="148"/>
  <c r="M320" i="148"/>
  <c r="L320" i="148"/>
  <c r="K320" i="148"/>
  <c r="J320" i="148"/>
  <c r="I320" i="148"/>
  <c r="H320" i="148"/>
  <c r="G320" i="148"/>
  <c r="F320" i="148"/>
  <c r="E320" i="148"/>
  <c r="D320" i="148"/>
  <c r="C320" i="148"/>
  <c r="B320" i="148"/>
  <c r="N319" i="148"/>
  <c r="M319" i="148"/>
  <c r="L319" i="148"/>
  <c r="K319" i="148"/>
  <c r="J319" i="148"/>
  <c r="I319" i="148"/>
  <c r="H319" i="148"/>
  <c r="G319" i="148"/>
  <c r="F319" i="148"/>
  <c r="E319" i="148"/>
  <c r="D319" i="148"/>
  <c r="C319" i="148"/>
  <c r="B319" i="148"/>
  <c r="N318" i="148"/>
  <c r="M318" i="148"/>
  <c r="L318" i="148"/>
  <c r="K318" i="148"/>
  <c r="J318" i="148"/>
  <c r="I318" i="148"/>
  <c r="H318" i="148"/>
  <c r="G318" i="148"/>
  <c r="F318" i="148"/>
  <c r="E318" i="148"/>
  <c r="D318" i="148"/>
  <c r="C318" i="148"/>
  <c r="B318" i="148"/>
  <c r="N314" i="148"/>
  <c r="M314" i="148"/>
  <c r="L314" i="148"/>
  <c r="K314" i="148"/>
  <c r="J314" i="148"/>
  <c r="I314" i="148"/>
  <c r="H314" i="148"/>
  <c r="G314" i="148"/>
  <c r="F314" i="148"/>
  <c r="E314" i="148"/>
  <c r="D314" i="148"/>
  <c r="C314" i="148"/>
  <c r="A314" i="148"/>
  <c r="N313" i="148"/>
  <c r="M313" i="148"/>
  <c r="L313" i="148"/>
  <c r="K313" i="148"/>
  <c r="J313" i="148"/>
  <c r="I313" i="148"/>
  <c r="H313" i="148"/>
  <c r="G313" i="148"/>
  <c r="F313" i="148"/>
  <c r="E313" i="148"/>
  <c r="D313" i="148"/>
  <c r="C313" i="148"/>
  <c r="B313" i="148"/>
  <c r="N312" i="148"/>
  <c r="M312" i="148"/>
  <c r="L312" i="148"/>
  <c r="K312" i="148"/>
  <c r="J312" i="148"/>
  <c r="I312" i="148"/>
  <c r="H312" i="148"/>
  <c r="G312" i="148"/>
  <c r="F312" i="148"/>
  <c r="E312" i="148"/>
  <c r="D312" i="148"/>
  <c r="C312" i="148"/>
  <c r="B312" i="148"/>
  <c r="N311" i="148"/>
  <c r="M311" i="148"/>
  <c r="L311" i="148"/>
  <c r="K311" i="148"/>
  <c r="J311" i="148"/>
  <c r="I311" i="148"/>
  <c r="H311" i="148"/>
  <c r="G311" i="148"/>
  <c r="F311" i="148"/>
  <c r="E311" i="148"/>
  <c r="D311" i="148"/>
  <c r="C311" i="148"/>
  <c r="B311" i="148"/>
  <c r="N310" i="148"/>
  <c r="M310" i="148"/>
  <c r="L310" i="148"/>
  <c r="K310" i="148"/>
  <c r="J310" i="148"/>
  <c r="I310" i="148"/>
  <c r="H310" i="148"/>
  <c r="G310" i="148"/>
  <c r="F310" i="148"/>
  <c r="E310" i="148"/>
  <c r="D310" i="148"/>
  <c r="C310" i="148"/>
  <c r="B310" i="148"/>
  <c r="N309" i="148"/>
  <c r="M309" i="148"/>
  <c r="L309" i="148"/>
  <c r="K309" i="148"/>
  <c r="J309" i="148"/>
  <c r="I309" i="148"/>
  <c r="H309" i="148"/>
  <c r="G309" i="148"/>
  <c r="F309" i="148"/>
  <c r="E309" i="148"/>
  <c r="D309" i="148"/>
  <c r="C309" i="148"/>
  <c r="B309" i="148"/>
  <c r="N308" i="148"/>
  <c r="M308" i="148"/>
  <c r="L308" i="148"/>
  <c r="K308" i="148"/>
  <c r="J308" i="148"/>
  <c r="I308" i="148"/>
  <c r="H308" i="148"/>
  <c r="G308" i="148"/>
  <c r="F308" i="148"/>
  <c r="E308" i="148"/>
  <c r="D308" i="148"/>
  <c r="C308" i="148"/>
  <c r="B308" i="148"/>
  <c r="N307" i="148"/>
  <c r="M307" i="148"/>
  <c r="L307" i="148"/>
  <c r="K307" i="148"/>
  <c r="J307" i="148"/>
  <c r="I307" i="148"/>
  <c r="H307" i="148"/>
  <c r="G307" i="148"/>
  <c r="F307" i="148"/>
  <c r="E307" i="148"/>
  <c r="D307" i="148"/>
  <c r="C307" i="148"/>
  <c r="B307" i="148"/>
  <c r="N306" i="148"/>
  <c r="M306" i="148"/>
  <c r="L306" i="148"/>
  <c r="K306" i="148"/>
  <c r="J306" i="148"/>
  <c r="I306" i="148"/>
  <c r="H306" i="148"/>
  <c r="G306" i="148"/>
  <c r="F306" i="148"/>
  <c r="E306" i="148"/>
  <c r="D306" i="148"/>
  <c r="C306" i="148"/>
  <c r="B306" i="148"/>
  <c r="N305" i="148"/>
  <c r="M305" i="148"/>
  <c r="L305" i="148"/>
  <c r="K305" i="148"/>
  <c r="J305" i="148"/>
  <c r="I305" i="148"/>
  <c r="H305" i="148"/>
  <c r="G305" i="148"/>
  <c r="F305" i="148"/>
  <c r="E305" i="148"/>
  <c r="D305" i="148"/>
  <c r="C305" i="148"/>
  <c r="B305" i="148"/>
  <c r="N304" i="148"/>
  <c r="M304" i="148"/>
  <c r="L304" i="148"/>
  <c r="K304" i="148"/>
  <c r="J304" i="148"/>
  <c r="I304" i="148"/>
  <c r="H304" i="148"/>
  <c r="G304" i="148"/>
  <c r="F304" i="148"/>
  <c r="E304" i="148"/>
  <c r="D304" i="148"/>
  <c r="C304" i="148"/>
  <c r="B304" i="148"/>
  <c r="N303" i="148"/>
  <c r="M303" i="148"/>
  <c r="L303" i="148"/>
  <c r="K303" i="148"/>
  <c r="J303" i="148"/>
  <c r="I303" i="148"/>
  <c r="H303" i="148"/>
  <c r="G303" i="148"/>
  <c r="F303" i="148"/>
  <c r="E303" i="148"/>
  <c r="D303" i="148"/>
  <c r="C303" i="148"/>
  <c r="B303" i="148"/>
  <c r="N302" i="148"/>
  <c r="M302" i="148"/>
  <c r="L302" i="148"/>
  <c r="K302" i="148"/>
  <c r="J302" i="148"/>
  <c r="I302" i="148"/>
  <c r="H302" i="148"/>
  <c r="G302" i="148"/>
  <c r="F302" i="148"/>
  <c r="E302" i="148"/>
  <c r="D302" i="148"/>
  <c r="C302" i="148"/>
  <c r="B302" i="148"/>
  <c r="N296" i="148"/>
  <c r="M296" i="148"/>
  <c r="L296" i="148"/>
  <c r="K296" i="148"/>
  <c r="J296" i="148"/>
  <c r="I296" i="148"/>
  <c r="H296" i="148"/>
  <c r="G296" i="148"/>
  <c r="F296" i="148"/>
  <c r="E296" i="148"/>
  <c r="D296" i="148"/>
  <c r="C296" i="148"/>
  <c r="N294" i="148"/>
  <c r="M294" i="148"/>
  <c r="L294" i="148"/>
  <c r="K294" i="148"/>
  <c r="J294" i="148"/>
  <c r="I294" i="148"/>
  <c r="H294" i="148"/>
  <c r="G294" i="148"/>
  <c r="F294" i="148"/>
  <c r="E294" i="148"/>
  <c r="D294" i="148"/>
  <c r="C294" i="148"/>
  <c r="N293" i="148"/>
  <c r="M293" i="148"/>
  <c r="L293" i="148"/>
  <c r="K293" i="148"/>
  <c r="J293" i="148"/>
  <c r="I293" i="148"/>
  <c r="H293" i="148"/>
  <c r="G293" i="148"/>
  <c r="F293" i="148"/>
  <c r="E293" i="148"/>
  <c r="D293" i="148"/>
  <c r="C293" i="148"/>
  <c r="N290" i="148"/>
  <c r="M290" i="148"/>
  <c r="L290" i="148"/>
  <c r="K290" i="148"/>
  <c r="J290" i="148"/>
  <c r="I290" i="148"/>
  <c r="H290" i="148"/>
  <c r="G290" i="148"/>
  <c r="F290" i="148"/>
  <c r="E290" i="148"/>
  <c r="D290" i="148"/>
  <c r="C290" i="148"/>
  <c r="N289" i="148"/>
  <c r="M289" i="148"/>
  <c r="L289" i="148"/>
  <c r="K289" i="148"/>
  <c r="J289" i="148"/>
  <c r="I289" i="148"/>
  <c r="H289" i="148"/>
  <c r="G289" i="148"/>
  <c r="F289" i="148"/>
  <c r="E289" i="148"/>
  <c r="D289" i="148"/>
  <c r="C289" i="148"/>
  <c r="N283" i="148"/>
  <c r="M283" i="148"/>
  <c r="L283" i="148"/>
  <c r="K283" i="148"/>
  <c r="J283" i="148"/>
  <c r="I283" i="148"/>
  <c r="H283" i="148"/>
  <c r="G283" i="148"/>
  <c r="F283" i="148"/>
  <c r="E283" i="148"/>
  <c r="D283" i="148"/>
  <c r="C283" i="148"/>
  <c r="A283" i="148"/>
  <c r="N282" i="148"/>
  <c r="M282" i="148"/>
  <c r="L282" i="148"/>
  <c r="K282" i="148"/>
  <c r="J282" i="148"/>
  <c r="I282" i="148"/>
  <c r="H282" i="148"/>
  <c r="G282" i="148"/>
  <c r="F282" i="148"/>
  <c r="E282" i="148"/>
  <c r="D282" i="148"/>
  <c r="C282" i="148"/>
  <c r="N281" i="148"/>
  <c r="M281" i="148"/>
  <c r="L281" i="148"/>
  <c r="K281" i="148"/>
  <c r="J281" i="148"/>
  <c r="I281" i="148"/>
  <c r="H281" i="148"/>
  <c r="G281" i="148"/>
  <c r="F281" i="148"/>
  <c r="E281" i="148"/>
  <c r="D281" i="148"/>
  <c r="C281" i="148"/>
  <c r="N280" i="148"/>
  <c r="M280" i="148"/>
  <c r="L280" i="148"/>
  <c r="K280" i="148"/>
  <c r="J280" i="148"/>
  <c r="I280" i="148"/>
  <c r="H280" i="148"/>
  <c r="G280" i="148"/>
  <c r="F280" i="148"/>
  <c r="E280" i="148"/>
  <c r="D280" i="148"/>
  <c r="C280" i="148"/>
  <c r="N279" i="148"/>
  <c r="M279" i="148"/>
  <c r="L279" i="148"/>
  <c r="K279" i="148"/>
  <c r="J279" i="148"/>
  <c r="I279" i="148"/>
  <c r="H279" i="148"/>
  <c r="G279" i="148"/>
  <c r="F279" i="148"/>
  <c r="E279" i="148"/>
  <c r="D279" i="148"/>
  <c r="C279" i="148"/>
  <c r="N278" i="148"/>
  <c r="M278" i="148"/>
  <c r="L278" i="148"/>
  <c r="K278" i="148"/>
  <c r="J278" i="148"/>
  <c r="I278" i="148"/>
  <c r="H278" i="148"/>
  <c r="G278" i="148"/>
  <c r="F278" i="148"/>
  <c r="E278" i="148"/>
  <c r="D278" i="148"/>
  <c r="C278" i="148"/>
  <c r="N274" i="148"/>
  <c r="M274" i="148"/>
  <c r="L274" i="148"/>
  <c r="K274" i="148"/>
  <c r="J274" i="148"/>
  <c r="I274" i="148"/>
  <c r="H274" i="148"/>
  <c r="G274" i="148"/>
  <c r="F274" i="148"/>
  <c r="E274" i="148"/>
  <c r="D274" i="148"/>
  <c r="C274" i="148"/>
  <c r="A274" i="148"/>
  <c r="N273" i="148"/>
  <c r="M273" i="148"/>
  <c r="L273" i="148"/>
  <c r="K273" i="148"/>
  <c r="J273" i="148"/>
  <c r="I273" i="148"/>
  <c r="H273" i="148"/>
  <c r="G273" i="148"/>
  <c r="F273" i="148"/>
  <c r="E273" i="148"/>
  <c r="D273" i="148"/>
  <c r="C273" i="148"/>
  <c r="B273" i="148"/>
  <c r="N272" i="148"/>
  <c r="M272" i="148"/>
  <c r="L272" i="148"/>
  <c r="K272" i="148"/>
  <c r="J272" i="148"/>
  <c r="I272" i="148"/>
  <c r="H272" i="148"/>
  <c r="G272" i="148"/>
  <c r="F272" i="148"/>
  <c r="E272" i="148"/>
  <c r="D272" i="148"/>
  <c r="C272" i="148"/>
  <c r="B272" i="148"/>
  <c r="N271" i="148"/>
  <c r="M271" i="148"/>
  <c r="L271" i="148"/>
  <c r="K271" i="148"/>
  <c r="J271" i="148"/>
  <c r="I271" i="148"/>
  <c r="H271" i="148"/>
  <c r="G271" i="148"/>
  <c r="F271" i="148"/>
  <c r="E271" i="148"/>
  <c r="D271" i="148"/>
  <c r="C271" i="148"/>
  <c r="B271" i="148"/>
  <c r="N270" i="148"/>
  <c r="M270" i="148"/>
  <c r="L270" i="148"/>
  <c r="K270" i="148"/>
  <c r="J270" i="148"/>
  <c r="I270" i="148"/>
  <c r="H270" i="148"/>
  <c r="G270" i="148"/>
  <c r="F270" i="148"/>
  <c r="E270" i="148"/>
  <c r="D270" i="148"/>
  <c r="C270" i="148"/>
  <c r="B270" i="148"/>
  <c r="N269" i="148"/>
  <c r="M269" i="148"/>
  <c r="L269" i="148"/>
  <c r="K269" i="148"/>
  <c r="J269" i="148"/>
  <c r="I269" i="148"/>
  <c r="H269" i="148"/>
  <c r="G269" i="148"/>
  <c r="F269" i="148"/>
  <c r="E269" i="148"/>
  <c r="D269" i="148"/>
  <c r="C269" i="148"/>
  <c r="B269" i="148"/>
  <c r="N268" i="148"/>
  <c r="M268" i="148"/>
  <c r="L268" i="148"/>
  <c r="K268" i="148"/>
  <c r="J268" i="148"/>
  <c r="I268" i="148"/>
  <c r="H268" i="148"/>
  <c r="G268" i="148"/>
  <c r="F268" i="148"/>
  <c r="E268" i="148"/>
  <c r="D268" i="148"/>
  <c r="C268" i="148"/>
  <c r="B268" i="148"/>
  <c r="N267" i="148"/>
  <c r="M267" i="148"/>
  <c r="L267" i="148"/>
  <c r="K267" i="148"/>
  <c r="J267" i="148"/>
  <c r="I267" i="148"/>
  <c r="H267" i="148"/>
  <c r="G267" i="148"/>
  <c r="F267" i="148"/>
  <c r="E267" i="148"/>
  <c r="D267" i="148"/>
  <c r="C267" i="148"/>
  <c r="B267" i="148"/>
  <c r="N266" i="148"/>
  <c r="M266" i="148"/>
  <c r="L266" i="148"/>
  <c r="K266" i="148"/>
  <c r="J266" i="148"/>
  <c r="I266" i="148"/>
  <c r="H266" i="148"/>
  <c r="G266" i="148"/>
  <c r="F266" i="148"/>
  <c r="E266" i="148"/>
  <c r="D266" i="148"/>
  <c r="C266" i="148"/>
  <c r="B266" i="148"/>
  <c r="N265" i="148"/>
  <c r="M265" i="148"/>
  <c r="L265" i="148"/>
  <c r="K265" i="148"/>
  <c r="J265" i="148"/>
  <c r="I265" i="148"/>
  <c r="H265" i="148"/>
  <c r="G265" i="148"/>
  <c r="F265" i="148"/>
  <c r="E265" i="148"/>
  <c r="D265" i="148"/>
  <c r="C265" i="148"/>
  <c r="B265" i="148"/>
  <c r="N264" i="148"/>
  <c r="M264" i="148"/>
  <c r="L264" i="148"/>
  <c r="K264" i="148"/>
  <c r="J264" i="148"/>
  <c r="I264" i="148"/>
  <c r="H264" i="148"/>
  <c r="G264" i="148"/>
  <c r="F264" i="148"/>
  <c r="E264" i="148"/>
  <c r="D264" i="148"/>
  <c r="C264" i="148"/>
  <c r="B264" i="148"/>
  <c r="N263" i="148"/>
  <c r="M263" i="148"/>
  <c r="L263" i="148"/>
  <c r="K263" i="148"/>
  <c r="J263" i="148"/>
  <c r="I263" i="148"/>
  <c r="H263" i="148"/>
  <c r="G263" i="148"/>
  <c r="F263" i="148"/>
  <c r="E263" i="148"/>
  <c r="D263" i="148"/>
  <c r="C263" i="148"/>
  <c r="B263" i="148"/>
  <c r="N262" i="148"/>
  <c r="M262" i="148"/>
  <c r="L262" i="148"/>
  <c r="K262" i="148"/>
  <c r="J262" i="148"/>
  <c r="I262" i="148"/>
  <c r="H262" i="148"/>
  <c r="G262" i="148"/>
  <c r="F262" i="148"/>
  <c r="E262" i="148"/>
  <c r="D262" i="148"/>
  <c r="C262" i="148"/>
  <c r="B262" i="148"/>
  <c r="N258" i="148"/>
  <c r="M258" i="148"/>
  <c r="L258" i="148"/>
  <c r="K258" i="148"/>
  <c r="J258" i="148"/>
  <c r="I258" i="148"/>
  <c r="H258" i="148"/>
  <c r="G258" i="148"/>
  <c r="F258" i="148"/>
  <c r="E258" i="148"/>
  <c r="D258" i="148"/>
  <c r="C258" i="148"/>
  <c r="A258" i="148"/>
  <c r="N257" i="148"/>
  <c r="M257" i="148"/>
  <c r="L257" i="148"/>
  <c r="K257" i="148"/>
  <c r="J257" i="148"/>
  <c r="I257" i="148"/>
  <c r="H257" i="148"/>
  <c r="G257" i="148"/>
  <c r="F257" i="148"/>
  <c r="E257" i="148"/>
  <c r="D257" i="148"/>
  <c r="C257" i="148"/>
  <c r="B257" i="148"/>
  <c r="N256" i="148"/>
  <c r="M256" i="148"/>
  <c r="L256" i="148"/>
  <c r="K256" i="148"/>
  <c r="J256" i="148"/>
  <c r="I256" i="148"/>
  <c r="H256" i="148"/>
  <c r="G256" i="148"/>
  <c r="F256" i="148"/>
  <c r="E256" i="148"/>
  <c r="D256" i="148"/>
  <c r="C256" i="148"/>
  <c r="B256" i="148"/>
  <c r="N255" i="148"/>
  <c r="M255" i="148"/>
  <c r="L255" i="148"/>
  <c r="K255" i="148"/>
  <c r="J255" i="148"/>
  <c r="I255" i="148"/>
  <c r="H255" i="148"/>
  <c r="G255" i="148"/>
  <c r="F255" i="148"/>
  <c r="E255" i="148"/>
  <c r="D255" i="148"/>
  <c r="C255" i="148"/>
  <c r="B255" i="148"/>
  <c r="N254" i="148"/>
  <c r="M254" i="148"/>
  <c r="L254" i="148"/>
  <c r="K254" i="148"/>
  <c r="J254" i="148"/>
  <c r="I254" i="148"/>
  <c r="H254" i="148"/>
  <c r="G254" i="148"/>
  <c r="F254" i="148"/>
  <c r="E254" i="148"/>
  <c r="D254" i="148"/>
  <c r="C254" i="148"/>
  <c r="B254" i="148"/>
  <c r="N253" i="148"/>
  <c r="M253" i="148"/>
  <c r="L253" i="148"/>
  <c r="K253" i="148"/>
  <c r="J253" i="148"/>
  <c r="I253" i="148"/>
  <c r="H253" i="148"/>
  <c r="G253" i="148"/>
  <c r="F253" i="148"/>
  <c r="E253" i="148"/>
  <c r="D253" i="148"/>
  <c r="C253" i="148"/>
  <c r="B253" i="148"/>
  <c r="N252" i="148"/>
  <c r="M252" i="148"/>
  <c r="L252" i="148"/>
  <c r="K252" i="148"/>
  <c r="J252" i="148"/>
  <c r="I252" i="148"/>
  <c r="H252" i="148"/>
  <c r="G252" i="148"/>
  <c r="F252" i="148"/>
  <c r="E252" i="148"/>
  <c r="D252" i="148"/>
  <c r="C252" i="148"/>
  <c r="B252" i="148"/>
  <c r="N251" i="148"/>
  <c r="M251" i="148"/>
  <c r="L251" i="148"/>
  <c r="K251" i="148"/>
  <c r="J251" i="148"/>
  <c r="I251" i="148"/>
  <c r="H251" i="148"/>
  <c r="G251" i="148"/>
  <c r="F251" i="148"/>
  <c r="E251" i="148"/>
  <c r="D251" i="148"/>
  <c r="C251" i="148"/>
  <c r="B251" i="148"/>
  <c r="N250" i="148"/>
  <c r="M250" i="148"/>
  <c r="L250" i="148"/>
  <c r="K250" i="148"/>
  <c r="J250" i="148"/>
  <c r="I250" i="148"/>
  <c r="H250" i="148"/>
  <c r="G250" i="148"/>
  <c r="F250" i="148"/>
  <c r="E250" i="148"/>
  <c r="D250" i="148"/>
  <c r="C250" i="148"/>
  <c r="B250" i="148"/>
  <c r="N249" i="148"/>
  <c r="M249" i="148"/>
  <c r="L249" i="148"/>
  <c r="K249" i="148"/>
  <c r="J249" i="148"/>
  <c r="I249" i="148"/>
  <c r="H249" i="148"/>
  <c r="G249" i="148"/>
  <c r="F249" i="148"/>
  <c r="E249" i="148"/>
  <c r="D249" i="148"/>
  <c r="C249" i="148"/>
  <c r="B249" i="148"/>
  <c r="N248" i="148"/>
  <c r="M248" i="148"/>
  <c r="L248" i="148"/>
  <c r="K248" i="148"/>
  <c r="J248" i="148"/>
  <c r="I248" i="148"/>
  <c r="H248" i="148"/>
  <c r="G248" i="148"/>
  <c r="F248" i="148"/>
  <c r="E248" i="148"/>
  <c r="D248" i="148"/>
  <c r="C248" i="148"/>
  <c r="B248" i="148"/>
  <c r="N247" i="148"/>
  <c r="M247" i="148"/>
  <c r="L247" i="148"/>
  <c r="K247" i="148"/>
  <c r="J247" i="148"/>
  <c r="I247" i="148"/>
  <c r="H247" i="148"/>
  <c r="G247" i="148"/>
  <c r="F247" i="148"/>
  <c r="E247" i="148"/>
  <c r="D247" i="148"/>
  <c r="C247" i="148"/>
  <c r="B247" i="148"/>
  <c r="N246" i="148"/>
  <c r="M246" i="148"/>
  <c r="L246" i="148"/>
  <c r="K246" i="148"/>
  <c r="J246" i="148"/>
  <c r="I246" i="148"/>
  <c r="H246" i="148"/>
  <c r="G246" i="148"/>
  <c r="F246" i="148"/>
  <c r="E246" i="148"/>
  <c r="D246" i="148"/>
  <c r="C246" i="148"/>
  <c r="B246" i="148"/>
  <c r="N240" i="148"/>
  <c r="M240" i="148"/>
  <c r="L240" i="148"/>
  <c r="K240" i="148"/>
  <c r="J240" i="148"/>
  <c r="I240" i="148"/>
  <c r="H240" i="148"/>
  <c r="G240" i="148"/>
  <c r="F240" i="148"/>
  <c r="E240" i="148"/>
  <c r="D240" i="148"/>
  <c r="C240" i="148"/>
  <c r="A240" i="148"/>
  <c r="N239" i="148"/>
  <c r="M239" i="148"/>
  <c r="L239" i="148"/>
  <c r="K239" i="148"/>
  <c r="J239" i="148"/>
  <c r="I239" i="148"/>
  <c r="H239" i="148"/>
  <c r="G239" i="148"/>
  <c r="F239" i="148"/>
  <c r="E239" i="148"/>
  <c r="D239" i="148"/>
  <c r="C239" i="148"/>
  <c r="B239" i="148"/>
  <c r="N238" i="148"/>
  <c r="M238" i="148"/>
  <c r="L238" i="148"/>
  <c r="K238" i="148"/>
  <c r="J238" i="148"/>
  <c r="I238" i="148"/>
  <c r="H238" i="148"/>
  <c r="G238" i="148"/>
  <c r="F238" i="148"/>
  <c r="E238" i="148"/>
  <c r="D238" i="148"/>
  <c r="C238" i="148"/>
  <c r="B238" i="148"/>
  <c r="N237" i="148"/>
  <c r="M237" i="148"/>
  <c r="L237" i="148"/>
  <c r="K237" i="148"/>
  <c r="J237" i="148"/>
  <c r="I237" i="148"/>
  <c r="H237" i="148"/>
  <c r="G237" i="148"/>
  <c r="F237" i="148"/>
  <c r="E237" i="148"/>
  <c r="D237" i="148"/>
  <c r="C237" i="148"/>
  <c r="B237" i="148"/>
  <c r="N236" i="148"/>
  <c r="M236" i="148"/>
  <c r="L236" i="148"/>
  <c r="K236" i="148"/>
  <c r="J236" i="148"/>
  <c r="I236" i="148"/>
  <c r="H236" i="148"/>
  <c r="G236" i="148"/>
  <c r="F236" i="148"/>
  <c r="E236" i="148"/>
  <c r="D236" i="148"/>
  <c r="C236" i="148"/>
  <c r="B236" i="148"/>
  <c r="N235" i="148"/>
  <c r="M235" i="148"/>
  <c r="L235" i="148"/>
  <c r="K235" i="148"/>
  <c r="J235" i="148"/>
  <c r="I235" i="148"/>
  <c r="H235" i="148"/>
  <c r="G235" i="148"/>
  <c r="F235" i="148"/>
  <c r="E235" i="148"/>
  <c r="D235" i="148"/>
  <c r="C235" i="148"/>
  <c r="B235" i="148"/>
  <c r="N234" i="148"/>
  <c r="M234" i="148"/>
  <c r="L234" i="148"/>
  <c r="K234" i="148"/>
  <c r="J234" i="148"/>
  <c r="I234" i="148"/>
  <c r="H234" i="148"/>
  <c r="G234" i="148"/>
  <c r="F234" i="148"/>
  <c r="E234" i="148"/>
  <c r="D234" i="148"/>
  <c r="C234" i="148"/>
  <c r="B234" i="148"/>
  <c r="N233" i="148"/>
  <c r="M233" i="148"/>
  <c r="L233" i="148"/>
  <c r="K233" i="148"/>
  <c r="J233" i="148"/>
  <c r="I233" i="148"/>
  <c r="H233" i="148"/>
  <c r="G233" i="148"/>
  <c r="F233" i="148"/>
  <c r="E233" i="148"/>
  <c r="D233" i="148"/>
  <c r="C233" i="148"/>
  <c r="B233" i="148"/>
  <c r="N232" i="148"/>
  <c r="M232" i="148"/>
  <c r="L232" i="148"/>
  <c r="K232" i="148"/>
  <c r="J232" i="148"/>
  <c r="I232" i="148"/>
  <c r="H232" i="148"/>
  <c r="G232" i="148"/>
  <c r="F232" i="148"/>
  <c r="E232" i="148"/>
  <c r="D232" i="148"/>
  <c r="C232" i="148"/>
  <c r="B232" i="148"/>
  <c r="N231" i="148"/>
  <c r="M231" i="148"/>
  <c r="L231" i="148"/>
  <c r="K231" i="148"/>
  <c r="J231" i="148"/>
  <c r="I231" i="148"/>
  <c r="H231" i="148"/>
  <c r="G231" i="148"/>
  <c r="F231" i="148"/>
  <c r="E231" i="148"/>
  <c r="D231" i="148"/>
  <c r="C231" i="148"/>
  <c r="B231" i="148"/>
  <c r="N230" i="148"/>
  <c r="M230" i="148"/>
  <c r="L230" i="148"/>
  <c r="K230" i="148"/>
  <c r="J230" i="148"/>
  <c r="I230" i="148"/>
  <c r="H230" i="148"/>
  <c r="G230" i="148"/>
  <c r="F230" i="148"/>
  <c r="E230" i="148"/>
  <c r="D230" i="148"/>
  <c r="C230" i="148"/>
  <c r="B230" i="148"/>
  <c r="N229" i="148"/>
  <c r="M229" i="148"/>
  <c r="L229" i="148"/>
  <c r="K229" i="148"/>
  <c r="J229" i="148"/>
  <c r="I229" i="148"/>
  <c r="H229" i="148"/>
  <c r="G229" i="148"/>
  <c r="F229" i="148"/>
  <c r="E229" i="148"/>
  <c r="D229" i="148"/>
  <c r="C229" i="148"/>
  <c r="B229" i="148"/>
  <c r="N228" i="148"/>
  <c r="M228" i="148"/>
  <c r="L228" i="148"/>
  <c r="K228" i="148"/>
  <c r="J228" i="148"/>
  <c r="I228" i="148"/>
  <c r="H228" i="148"/>
  <c r="G228" i="148"/>
  <c r="F228" i="148"/>
  <c r="E228" i="148"/>
  <c r="D228" i="148"/>
  <c r="C228" i="148"/>
  <c r="B228" i="148"/>
  <c r="N224" i="148"/>
  <c r="M224" i="148"/>
  <c r="L224" i="148"/>
  <c r="K224" i="148"/>
  <c r="J224" i="148"/>
  <c r="I224" i="148"/>
  <c r="H224" i="148"/>
  <c r="G224" i="148"/>
  <c r="F224" i="148"/>
  <c r="E224" i="148"/>
  <c r="D224" i="148"/>
  <c r="C224" i="148"/>
  <c r="A224" i="148"/>
  <c r="N223" i="148"/>
  <c r="M223" i="148"/>
  <c r="L223" i="148"/>
  <c r="K223" i="148"/>
  <c r="J223" i="148"/>
  <c r="I223" i="148"/>
  <c r="H223" i="148"/>
  <c r="G223" i="148"/>
  <c r="F223" i="148"/>
  <c r="E223" i="148"/>
  <c r="D223" i="148"/>
  <c r="C223" i="148"/>
  <c r="B223" i="148"/>
  <c r="N222" i="148"/>
  <c r="M222" i="148"/>
  <c r="L222" i="148"/>
  <c r="K222" i="148"/>
  <c r="J222" i="148"/>
  <c r="I222" i="148"/>
  <c r="H222" i="148"/>
  <c r="G222" i="148"/>
  <c r="F222" i="148"/>
  <c r="E222" i="148"/>
  <c r="D222" i="148"/>
  <c r="C222" i="148"/>
  <c r="B222" i="148"/>
  <c r="N221" i="148"/>
  <c r="M221" i="148"/>
  <c r="L221" i="148"/>
  <c r="K221" i="148"/>
  <c r="J221" i="148"/>
  <c r="I221" i="148"/>
  <c r="H221" i="148"/>
  <c r="G221" i="148"/>
  <c r="F221" i="148"/>
  <c r="E221" i="148"/>
  <c r="D221" i="148"/>
  <c r="C221" i="148"/>
  <c r="B221" i="148"/>
  <c r="N220" i="148"/>
  <c r="M220" i="148"/>
  <c r="L220" i="148"/>
  <c r="K220" i="148"/>
  <c r="J220" i="148"/>
  <c r="I220" i="148"/>
  <c r="H220" i="148"/>
  <c r="G220" i="148"/>
  <c r="F220" i="148"/>
  <c r="E220" i="148"/>
  <c r="D220" i="148"/>
  <c r="C220" i="148"/>
  <c r="B220" i="148"/>
  <c r="N219" i="148"/>
  <c r="M219" i="148"/>
  <c r="L219" i="148"/>
  <c r="K219" i="148"/>
  <c r="J219" i="148"/>
  <c r="I219" i="148"/>
  <c r="H219" i="148"/>
  <c r="G219" i="148"/>
  <c r="F219" i="148"/>
  <c r="E219" i="148"/>
  <c r="D219" i="148"/>
  <c r="C219" i="148"/>
  <c r="B219" i="148"/>
  <c r="N218" i="148"/>
  <c r="M218" i="148"/>
  <c r="L218" i="148"/>
  <c r="K218" i="148"/>
  <c r="J218" i="148"/>
  <c r="I218" i="148"/>
  <c r="H218" i="148"/>
  <c r="G218" i="148"/>
  <c r="F218" i="148"/>
  <c r="E218" i="148"/>
  <c r="D218" i="148"/>
  <c r="C218" i="148"/>
  <c r="B218" i="148"/>
  <c r="N217" i="148"/>
  <c r="M217" i="148"/>
  <c r="L217" i="148"/>
  <c r="K217" i="148"/>
  <c r="J217" i="148"/>
  <c r="I217" i="148"/>
  <c r="H217" i="148"/>
  <c r="G217" i="148"/>
  <c r="F217" i="148"/>
  <c r="E217" i="148"/>
  <c r="D217" i="148"/>
  <c r="C217" i="148"/>
  <c r="B217" i="148"/>
  <c r="N216" i="148"/>
  <c r="M216" i="148"/>
  <c r="L216" i="148"/>
  <c r="K216" i="148"/>
  <c r="J216" i="148"/>
  <c r="I216" i="148"/>
  <c r="H216" i="148"/>
  <c r="G216" i="148"/>
  <c r="F216" i="148"/>
  <c r="E216" i="148"/>
  <c r="D216" i="148"/>
  <c r="C216" i="148"/>
  <c r="B216" i="148"/>
  <c r="N215" i="148"/>
  <c r="M215" i="148"/>
  <c r="L215" i="148"/>
  <c r="K215" i="148"/>
  <c r="J215" i="148"/>
  <c r="I215" i="148"/>
  <c r="H215" i="148"/>
  <c r="G215" i="148"/>
  <c r="F215" i="148"/>
  <c r="E215" i="148"/>
  <c r="D215" i="148"/>
  <c r="C215" i="148"/>
  <c r="B215" i="148"/>
  <c r="N214" i="148"/>
  <c r="M214" i="148"/>
  <c r="L214" i="148"/>
  <c r="K214" i="148"/>
  <c r="J214" i="148"/>
  <c r="I214" i="148"/>
  <c r="H214" i="148"/>
  <c r="G214" i="148"/>
  <c r="F214" i="148"/>
  <c r="E214" i="148"/>
  <c r="D214" i="148"/>
  <c r="C214" i="148"/>
  <c r="B214" i="148"/>
  <c r="N213" i="148"/>
  <c r="M213" i="148"/>
  <c r="L213" i="148"/>
  <c r="K213" i="148"/>
  <c r="J213" i="148"/>
  <c r="I213" i="148"/>
  <c r="H213" i="148"/>
  <c r="G213" i="148"/>
  <c r="F213" i="148"/>
  <c r="E213" i="148"/>
  <c r="D213" i="148"/>
  <c r="C213" i="148"/>
  <c r="B213" i="148"/>
  <c r="N212" i="148"/>
  <c r="M212" i="148"/>
  <c r="L212" i="148"/>
  <c r="K212" i="148"/>
  <c r="J212" i="148"/>
  <c r="I212" i="148"/>
  <c r="H212" i="148"/>
  <c r="G212" i="148"/>
  <c r="F212" i="148"/>
  <c r="E212" i="148"/>
  <c r="D212" i="148"/>
  <c r="C212" i="148"/>
  <c r="B212" i="148"/>
  <c r="N206" i="148"/>
  <c r="M206" i="148"/>
  <c r="L206" i="148"/>
  <c r="K206" i="148"/>
  <c r="J206" i="148"/>
  <c r="I206" i="148"/>
  <c r="H206" i="148"/>
  <c r="G206" i="148"/>
  <c r="F206" i="148"/>
  <c r="E206" i="148"/>
  <c r="D206" i="148"/>
  <c r="C206" i="148"/>
  <c r="A206" i="148"/>
  <c r="N205" i="148"/>
  <c r="M205" i="148"/>
  <c r="L205" i="148"/>
  <c r="K205" i="148"/>
  <c r="J205" i="148"/>
  <c r="I205" i="148"/>
  <c r="H205" i="148"/>
  <c r="G205" i="148"/>
  <c r="F205" i="148"/>
  <c r="E205" i="148"/>
  <c r="D205" i="148"/>
  <c r="C205" i="148"/>
  <c r="B205" i="148"/>
  <c r="N204" i="148"/>
  <c r="M204" i="148"/>
  <c r="L204" i="148"/>
  <c r="K204" i="148"/>
  <c r="J204" i="148"/>
  <c r="I204" i="148"/>
  <c r="H204" i="148"/>
  <c r="G204" i="148"/>
  <c r="F204" i="148"/>
  <c r="E204" i="148"/>
  <c r="D204" i="148"/>
  <c r="C204" i="148"/>
  <c r="B204" i="148"/>
  <c r="N203" i="148"/>
  <c r="M203" i="148"/>
  <c r="L203" i="148"/>
  <c r="K203" i="148"/>
  <c r="J203" i="148"/>
  <c r="I203" i="148"/>
  <c r="H203" i="148"/>
  <c r="G203" i="148"/>
  <c r="F203" i="148"/>
  <c r="E203" i="148"/>
  <c r="D203" i="148"/>
  <c r="C203" i="148"/>
  <c r="B203" i="148"/>
  <c r="N202" i="148"/>
  <c r="M202" i="148"/>
  <c r="L202" i="148"/>
  <c r="K202" i="148"/>
  <c r="J202" i="148"/>
  <c r="I202" i="148"/>
  <c r="H202" i="148"/>
  <c r="G202" i="148"/>
  <c r="F202" i="148"/>
  <c r="E202" i="148"/>
  <c r="D202" i="148"/>
  <c r="C202" i="148"/>
  <c r="B202" i="148"/>
  <c r="N201" i="148"/>
  <c r="M201" i="148"/>
  <c r="L201" i="148"/>
  <c r="K201" i="148"/>
  <c r="J201" i="148"/>
  <c r="I201" i="148"/>
  <c r="H201" i="148"/>
  <c r="G201" i="148"/>
  <c r="F201" i="148"/>
  <c r="E201" i="148"/>
  <c r="D201" i="148"/>
  <c r="C201" i="148"/>
  <c r="B201" i="148"/>
  <c r="N200" i="148"/>
  <c r="M200" i="148"/>
  <c r="L200" i="148"/>
  <c r="K200" i="148"/>
  <c r="J200" i="148"/>
  <c r="I200" i="148"/>
  <c r="H200" i="148"/>
  <c r="G200" i="148"/>
  <c r="F200" i="148"/>
  <c r="E200" i="148"/>
  <c r="D200" i="148"/>
  <c r="C200" i="148"/>
  <c r="B200" i="148"/>
  <c r="N199" i="148"/>
  <c r="M199" i="148"/>
  <c r="L199" i="148"/>
  <c r="K199" i="148"/>
  <c r="J199" i="148"/>
  <c r="I199" i="148"/>
  <c r="H199" i="148"/>
  <c r="G199" i="148"/>
  <c r="F199" i="148"/>
  <c r="E199" i="148"/>
  <c r="D199" i="148"/>
  <c r="C199" i="148"/>
  <c r="B199" i="148"/>
  <c r="N198" i="148"/>
  <c r="M198" i="148"/>
  <c r="L198" i="148"/>
  <c r="K198" i="148"/>
  <c r="J198" i="148"/>
  <c r="I198" i="148"/>
  <c r="H198" i="148"/>
  <c r="G198" i="148"/>
  <c r="F198" i="148"/>
  <c r="E198" i="148"/>
  <c r="D198" i="148"/>
  <c r="C198" i="148"/>
  <c r="B198" i="148"/>
  <c r="N197" i="148"/>
  <c r="M197" i="148"/>
  <c r="L197" i="148"/>
  <c r="K197" i="148"/>
  <c r="J197" i="148"/>
  <c r="I197" i="148"/>
  <c r="H197" i="148"/>
  <c r="G197" i="148"/>
  <c r="F197" i="148"/>
  <c r="E197" i="148"/>
  <c r="D197" i="148"/>
  <c r="C197" i="148"/>
  <c r="B197" i="148"/>
  <c r="N196" i="148"/>
  <c r="M196" i="148"/>
  <c r="L196" i="148"/>
  <c r="K196" i="148"/>
  <c r="J196" i="148"/>
  <c r="I196" i="148"/>
  <c r="H196" i="148"/>
  <c r="G196" i="148"/>
  <c r="F196" i="148"/>
  <c r="E196" i="148"/>
  <c r="D196" i="148"/>
  <c r="C196" i="148"/>
  <c r="B196" i="148"/>
  <c r="N195" i="148"/>
  <c r="M195" i="148"/>
  <c r="L195" i="148"/>
  <c r="K195" i="148"/>
  <c r="J195" i="148"/>
  <c r="I195" i="148"/>
  <c r="H195" i="148"/>
  <c r="G195" i="148"/>
  <c r="F195" i="148"/>
  <c r="E195" i="148"/>
  <c r="D195" i="148"/>
  <c r="C195" i="148"/>
  <c r="B195" i="148"/>
  <c r="N194" i="148"/>
  <c r="M194" i="148"/>
  <c r="L194" i="148"/>
  <c r="K194" i="148"/>
  <c r="J194" i="148"/>
  <c r="I194" i="148"/>
  <c r="H194" i="148"/>
  <c r="G194" i="148"/>
  <c r="F194" i="148"/>
  <c r="E194" i="148"/>
  <c r="D194" i="148"/>
  <c r="C194" i="148"/>
  <c r="B194" i="148"/>
  <c r="N190" i="148"/>
  <c r="M190" i="148"/>
  <c r="L190" i="148"/>
  <c r="K190" i="148"/>
  <c r="J190" i="148"/>
  <c r="I190" i="148"/>
  <c r="H190" i="148"/>
  <c r="G190" i="148"/>
  <c r="F190" i="148"/>
  <c r="E190" i="148"/>
  <c r="D190" i="148"/>
  <c r="C190" i="148"/>
  <c r="A190" i="148"/>
  <c r="N189" i="148"/>
  <c r="M189" i="148"/>
  <c r="L189" i="148"/>
  <c r="K189" i="148"/>
  <c r="J189" i="148"/>
  <c r="I189" i="148"/>
  <c r="H189" i="148"/>
  <c r="G189" i="148"/>
  <c r="F189" i="148"/>
  <c r="E189" i="148"/>
  <c r="D189" i="148"/>
  <c r="C189" i="148"/>
  <c r="B189" i="148"/>
  <c r="N188" i="148"/>
  <c r="M188" i="148"/>
  <c r="L188" i="148"/>
  <c r="K188" i="148"/>
  <c r="J188" i="148"/>
  <c r="I188" i="148"/>
  <c r="H188" i="148"/>
  <c r="G188" i="148"/>
  <c r="F188" i="148"/>
  <c r="E188" i="148"/>
  <c r="D188" i="148"/>
  <c r="C188" i="148"/>
  <c r="B188" i="148"/>
  <c r="N187" i="148"/>
  <c r="M187" i="148"/>
  <c r="L187" i="148"/>
  <c r="K187" i="148"/>
  <c r="J187" i="148"/>
  <c r="I187" i="148"/>
  <c r="H187" i="148"/>
  <c r="G187" i="148"/>
  <c r="F187" i="148"/>
  <c r="E187" i="148"/>
  <c r="D187" i="148"/>
  <c r="C187" i="148"/>
  <c r="B187" i="148"/>
  <c r="N186" i="148"/>
  <c r="M186" i="148"/>
  <c r="L186" i="148"/>
  <c r="K186" i="148"/>
  <c r="J186" i="148"/>
  <c r="I186" i="148"/>
  <c r="H186" i="148"/>
  <c r="G186" i="148"/>
  <c r="F186" i="148"/>
  <c r="E186" i="148"/>
  <c r="D186" i="148"/>
  <c r="C186" i="148"/>
  <c r="B186" i="148"/>
  <c r="N185" i="148"/>
  <c r="M185" i="148"/>
  <c r="L185" i="148"/>
  <c r="K185" i="148"/>
  <c r="J185" i="148"/>
  <c r="I185" i="148"/>
  <c r="H185" i="148"/>
  <c r="G185" i="148"/>
  <c r="F185" i="148"/>
  <c r="E185" i="148"/>
  <c r="D185" i="148"/>
  <c r="C185" i="148"/>
  <c r="B185" i="148"/>
  <c r="N184" i="148"/>
  <c r="M184" i="148"/>
  <c r="L184" i="148"/>
  <c r="K184" i="148"/>
  <c r="J184" i="148"/>
  <c r="I184" i="148"/>
  <c r="H184" i="148"/>
  <c r="G184" i="148"/>
  <c r="F184" i="148"/>
  <c r="E184" i="148"/>
  <c r="D184" i="148"/>
  <c r="C184" i="148"/>
  <c r="B184" i="148"/>
  <c r="N183" i="148"/>
  <c r="M183" i="148"/>
  <c r="L183" i="148"/>
  <c r="K183" i="148"/>
  <c r="J183" i="148"/>
  <c r="I183" i="148"/>
  <c r="H183" i="148"/>
  <c r="G183" i="148"/>
  <c r="F183" i="148"/>
  <c r="E183" i="148"/>
  <c r="D183" i="148"/>
  <c r="C183" i="148"/>
  <c r="B183" i="148"/>
  <c r="N182" i="148"/>
  <c r="M182" i="148"/>
  <c r="L182" i="148"/>
  <c r="K182" i="148"/>
  <c r="J182" i="148"/>
  <c r="I182" i="148"/>
  <c r="H182" i="148"/>
  <c r="G182" i="148"/>
  <c r="F182" i="148"/>
  <c r="E182" i="148"/>
  <c r="D182" i="148"/>
  <c r="C182" i="148"/>
  <c r="B182" i="148"/>
  <c r="N181" i="148"/>
  <c r="M181" i="148"/>
  <c r="L181" i="148"/>
  <c r="K181" i="148"/>
  <c r="J181" i="148"/>
  <c r="I181" i="148"/>
  <c r="H181" i="148"/>
  <c r="G181" i="148"/>
  <c r="F181" i="148"/>
  <c r="E181" i="148"/>
  <c r="D181" i="148"/>
  <c r="C181" i="148"/>
  <c r="B181" i="148"/>
  <c r="N180" i="148"/>
  <c r="M180" i="148"/>
  <c r="L180" i="148"/>
  <c r="K180" i="148"/>
  <c r="J180" i="148"/>
  <c r="I180" i="148"/>
  <c r="H180" i="148"/>
  <c r="G180" i="148"/>
  <c r="F180" i="148"/>
  <c r="E180" i="148"/>
  <c r="D180" i="148"/>
  <c r="C180" i="148"/>
  <c r="B180" i="148"/>
  <c r="N179" i="148"/>
  <c r="M179" i="148"/>
  <c r="L179" i="148"/>
  <c r="K179" i="148"/>
  <c r="J179" i="148"/>
  <c r="I179" i="148"/>
  <c r="H179" i="148"/>
  <c r="G179" i="148"/>
  <c r="F179" i="148"/>
  <c r="E179" i="148"/>
  <c r="D179" i="148"/>
  <c r="C179" i="148"/>
  <c r="B179" i="148"/>
  <c r="N178" i="148"/>
  <c r="M178" i="148"/>
  <c r="L178" i="148"/>
  <c r="K178" i="148"/>
  <c r="J178" i="148"/>
  <c r="I178" i="148"/>
  <c r="H178" i="148"/>
  <c r="G178" i="148"/>
  <c r="F178" i="148"/>
  <c r="E178" i="148"/>
  <c r="D178" i="148"/>
  <c r="C178" i="148"/>
  <c r="B178" i="148"/>
  <c r="N172" i="148"/>
  <c r="M172" i="148"/>
  <c r="L172" i="148"/>
  <c r="K172" i="148"/>
  <c r="J172" i="148"/>
  <c r="I172" i="148"/>
  <c r="H172" i="148"/>
  <c r="G172" i="148"/>
  <c r="F172" i="148"/>
  <c r="E172" i="148"/>
  <c r="D172" i="148"/>
  <c r="C172" i="148"/>
  <c r="A172" i="148"/>
  <c r="N171" i="148"/>
  <c r="M171" i="148"/>
  <c r="L171" i="148"/>
  <c r="K171" i="148"/>
  <c r="J171" i="148"/>
  <c r="I171" i="148"/>
  <c r="H171" i="148"/>
  <c r="G171" i="148"/>
  <c r="F171" i="148"/>
  <c r="E171" i="148"/>
  <c r="D171" i="148"/>
  <c r="C171" i="148"/>
  <c r="B171" i="148"/>
  <c r="N170" i="148"/>
  <c r="M170" i="148"/>
  <c r="L170" i="148"/>
  <c r="K170" i="148"/>
  <c r="J170" i="148"/>
  <c r="I170" i="148"/>
  <c r="H170" i="148"/>
  <c r="G170" i="148"/>
  <c r="F170" i="148"/>
  <c r="E170" i="148"/>
  <c r="D170" i="148"/>
  <c r="C170" i="148"/>
  <c r="B170" i="148"/>
  <c r="N169" i="148"/>
  <c r="M169" i="148"/>
  <c r="L169" i="148"/>
  <c r="K169" i="148"/>
  <c r="J169" i="148"/>
  <c r="I169" i="148"/>
  <c r="H169" i="148"/>
  <c r="G169" i="148"/>
  <c r="F169" i="148"/>
  <c r="E169" i="148"/>
  <c r="D169" i="148"/>
  <c r="C169" i="148"/>
  <c r="B169" i="148"/>
  <c r="N168" i="148"/>
  <c r="M168" i="148"/>
  <c r="L168" i="148"/>
  <c r="K168" i="148"/>
  <c r="J168" i="148"/>
  <c r="I168" i="148"/>
  <c r="H168" i="148"/>
  <c r="G168" i="148"/>
  <c r="F168" i="148"/>
  <c r="E168" i="148"/>
  <c r="D168" i="148"/>
  <c r="C168" i="148"/>
  <c r="B168" i="148"/>
  <c r="N167" i="148"/>
  <c r="M167" i="148"/>
  <c r="L167" i="148"/>
  <c r="K167" i="148"/>
  <c r="J167" i="148"/>
  <c r="I167" i="148"/>
  <c r="H167" i="148"/>
  <c r="G167" i="148"/>
  <c r="F167" i="148"/>
  <c r="E167" i="148"/>
  <c r="D167" i="148"/>
  <c r="C167" i="148"/>
  <c r="B167" i="148"/>
  <c r="N166" i="148"/>
  <c r="M166" i="148"/>
  <c r="L166" i="148"/>
  <c r="K166" i="148"/>
  <c r="J166" i="148"/>
  <c r="I166" i="148"/>
  <c r="H166" i="148"/>
  <c r="G166" i="148"/>
  <c r="F166" i="148"/>
  <c r="E166" i="148"/>
  <c r="D166" i="148"/>
  <c r="C166" i="148"/>
  <c r="B166" i="148"/>
  <c r="N165" i="148"/>
  <c r="M165" i="148"/>
  <c r="L165" i="148"/>
  <c r="K165" i="148"/>
  <c r="J165" i="148"/>
  <c r="I165" i="148"/>
  <c r="H165" i="148"/>
  <c r="G165" i="148"/>
  <c r="F165" i="148"/>
  <c r="E165" i="148"/>
  <c r="D165" i="148"/>
  <c r="C165" i="148"/>
  <c r="B165" i="148"/>
  <c r="N164" i="148"/>
  <c r="M164" i="148"/>
  <c r="L164" i="148"/>
  <c r="K164" i="148"/>
  <c r="J164" i="148"/>
  <c r="I164" i="148"/>
  <c r="H164" i="148"/>
  <c r="G164" i="148"/>
  <c r="F164" i="148"/>
  <c r="E164" i="148"/>
  <c r="D164" i="148"/>
  <c r="C164" i="148"/>
  <c r="B164" i="148"/>
  <c r="N163" i="148"/>
  <c r="M163" i="148"/>
  <c r="L163" i="148"/>
  <c r="K163" i="148"/>
  <c r="J163" i="148"/>
  <c r="I163" i="148"/>
  <c r="H163" i="148"/>
  <c r="G163" i="148"/>
  <c r="F163" i="148"/>
  <c r="E163" i="148"/>
  <c r="D163" i="148"/>
  <c r="C163" i="148"/>
  <c r="B163" i="148"/>
  <c r="N162" i="148"/>
  <c r="M162" i="148"/>
  <c r="L162" i="148"/>
  <c r="K162" i="148"/>
  <c r="J162" i="148"/>
  <c r="I162" i="148"/>
  <c r="H162" i="148"/>
  <c r="G162" i="148"/>
  <c r="F162" i="148"/>
  <c r="E162" i="148"/>
  <c r="D162" i="148"/>
  <c r="C162" i="148"/>
  <c r="B162" i="148"/>
  <c r="N161" i="148"/>
  <c r="M161" i="148"/>
  <c r="L161" i="148"/>
  <c r="K161" i="148"/>
  <c r="J161" i="148"/>
  <c r="I161" i="148"/>
  <c r="H161" i="148"/>
  <c r="G161" i="148"/>
  <c r="F161" i="148"/>
  <c r="E161" i="148"/>
  <c r="D161" i="148"/>
  <c r="C161" i="148"/>
  <c r="B161" i="148"/>
  <c r="N160" i="148"/>
  <c r="M160" i="148"/>
  <c r="L160" i="148"/>
  <c r="K160" i="148"/>
  <c r="J160" i="148"/>
  <c r="I160" i="148"/>
  <c r="H160" i="148"/>
  <c r="G160" i="148"/>
  <c r="F160" i="148"/>
  <c r="E160" i="148"/>
  <c r="D160" i="148"/>
  <c r="C160" i="148"/>
  <c r="B160" i="148"/>
  <c r="N156" i="148"/>
  <c r="M156" i="148"/>
  <c r="L156" i="148"/>
  <c r="K156" i="148"/>
  <c r="J156" i="148"/>
  <c r="I156" i="148"/>
  <c r="H156" i="148"/>
  <c r="G156" i="148"/>
  <c r="F156" i="148"/>
  <c r="E156" i="148"/>
  <c r="D156" i="148"/>
  <c r="C156" i="148"/>
  <c r="A156" i="148"/>
  <c r="N155" i="148"/>
  <c r="M155" i="148"/>
  <c r="L155" i="148"/>
  <c r="K155" i="148"/>
  <c r="J155" i="148"/>
  <c r="I155" i="148"/>
  <c r="H155" i="148"/>
  <c r="G155" i="148"/>
  <c r="F155" i="148"/>
  <c r="E155" i="148"/>
  <c r="D155" i="148"/>
  <c r="C155" i="148"/>
  <c r="B155" i="148"/>
  <c r="N154" i="148"/>
  <c r="M154" i="148"/>
  <c r="L154" i="148"/>
  <c r="K154" i="148"/>
  <c r="J154" i="148"/>
  <c r="I154" i="148"/>
  <c r="H154" i="148"/>
  <c r="G154" i="148"/>
  <c r="F154" i="148"/>
  <c r="E154" i="148"/>
  <c r="D154" i="148"/>
  <c r="C154" i="148"/>
  <c r="B154" i="148"/>
  <c r="N153" i="148"/>
  <c r="M153" i="148"/>
  <c r="L153" i="148"/>
  <c r="K153" i="148"/>
  <c r="J153" i="148"/>
  <c r="I153" i="148"/>
  <c r="H153" i="148"/>
  <c r="G153" i="148"/>
  <c r="F153" i="148"/>
  <c r="E153" i="148"/>
  <c r="D153" i="148"/>
  <c r="C153" i="148"/>
  <c r="B153" i="148"/>
  <c r="N152" i="148"/>
  <c r="M152" i="148"/>
  <c r="L152" i="148"/>
  <c r="K152" i="148"/>
  <c r="J152" i="148"/>
  <c r="I152" i="148"/>
  <c r="H152" i="148"/>
  <c r="G152" i="148"/>
  <c r="F152" i="148"/>
  <c r="E152" i="148"/>
  <c r="D152" i="148"/>
  <c r="C152" i="148"/>
  <c r="B152" i="148"/>
  <c r="N151" i="148"/>
  <c r="M151" i="148"/>
  <c r="L151" i="148"/>
  <c r="K151" i="148"/>
  <c r="J151" i="148"/>
  <c r="I151" i="148"/>
  <c r="H151" i="148"/>
  <c r="G151" i="148"/>
  <c r="F151" i="148"/>
  <c r="E151" i="148"/>
  <c r="D151" i="148"/>
  <c r="C151" i="148"/>
  <c r="B151" i="148"/>
  <c r="N150" i="148"/>
  <c r="M150" i="148"/>
  <c r="L150" i="148"/>
  <c r="K150" i="148"/>
  <c r="J150" i="148"/>
  <c r="I150" i="148"/>
  <c r="H150" i="148"/>
  <c r="G150" i="148"/>
  <c r="F150" i="148"/>
  <c r="E150" i="148"/>
  <c r="D150" i="148"/>
  <c r="C150" i="148"/>
  <c r="B150" i="148"/>
  <c r="N149" i="148"/>
  <c r="M149" i="148"/>
  <c r="L149" i="148"/>
  <c r="K149" i="148"/>
  <c r="J149" i="148"/>
  <c r="I149" i="148"/>
  <c r="H149" i="148"/>
  <c r="G149" i="148"/>
  <c r="F149" i="148"/>
  <c r="E149" i="148"/>
  <c r="D149" i="148"/>
  <c r="C149" i="148"/>
  <c r="B149" i="148"/>
  <c r="N148" i="148"/>
  <c r="M148" i="148"/>
  <c r="L148" i="148"/>
  <c r="K148" i="148"/>
  <c r="J148" i="148"/>
  <c r="I148" i="148"/>
  <c r="H148" i="148"/>
  <c r="G148" i="148"/>
  <c r="F148" i="148"/>
  <c r="E148" i="148"/>
  <c r="D148" i="148"/>
  <c r="C148" i="148"/>
  <c r="B148" i="148"/>
  <c r="N147" i="148"/>
  <c r="M147" i="148"/>
  <c r="L147" i="148"/>
  <c r="K147" i="148"/>
  <c r="J147" i="148"/>
  <c r="I147" i="148"/>
  <c r="H147" i="148"/>
  <c r="G147" i="148"/>
  <c r="F147" i="148"/>
  <c r="E147" i="148"/>
  <c r="D147" i="148"/>
  <c r="C147" i="148"/>
  <c r="B147" i="148"/>
  <c r="N146" i="148"/>
  <c r="M146" i="148"/>
  <c r="L146" i="148"/>
  <c r="K146" i="148"/>
  <c r="J146" i="148"/>
  <c r="I146" i="148"/>
  <c r="H146" i="148"/>
  <c r="G146" i="148"/>
  <c r="F146" i="148"/>
  <c r="E146" i="148"/>
  <c r="D146" i="148"/>
  <c r="C146" i="148"/>
  <c r="B146" i="148"/>
  <c r="N145" i="148"/>
  <c r="M145" i="148"/>
  <c r="L145" i="148"/>
  <c r="K145" i="148"/>
  <c r="J145" i="148"/>
  <c r="I145" i="148"/>
  <c r="H145" i="148"/>
  <c r="G145" i="148"/>
  <c r="F145" i="148"/>
  <c r="E145" i="148"/>
  <c r="D145" i="148"/>
  <c r="C145" i="148"/>
  <c r="B145" i="148"/>
  <c r="N144" i="148"/>
  <c r="M144" i="148"/>
  <c r="L144" i="148"/>
  <c r="K144" i="148"/>
  <c r="J144" i="148"/>
  <c r="I144" i="148"/>
  <c r="H144" i="148"/>
  <c r="G144" i="148"/>
  <c r="F144" i="148"/>
  <c r="E144" i="148"/>
  <c r="D144" i="148"/>
  <c r="C144" i="148"/>
  <c r="B144" i="148"/>
  <c r="N138" i="148"/>
  <c r="M138" i="148"/>
  <c r="L138" i="148"/>
  <c r="K138" i="148"/>
  <c r="J138" i="148"/>
  <c r="I138" i="148"/>
  <c r="H138" i="148"/>
  <c r="G138" i="148"/>
  <c r="F138" i="148"/>
  <c r="E138" i="148"/>
  <c r="D138" i="148"/>
  <c r="C138" i="148"/>
  <c r="A138" i="148"/>
  <c r="N137" i="148"/>
  <c r="M137" i="148"/>
  <c r="L137" i="148"/>
  <c r="K137" i="148"/>
  <c r="J137" i="148"/>
  <c r="I137" i="148"/>
  <c r="H137" i="148"/>
  <c r="G137" i="148"/>
  <c r="F137" i="148"/>
  <c r="E137" i="148"/>
  <c r="D137" i="148"/>
  <c r="C137" i="148"/>
  <c r="B137" i="148"/>
  <c r="N136" i="148"/>
  <c r="M136" i="148"/>
  <c r="L136" i="148"/>
  <c r="K136" i="148"/>
  <c r="J136" i="148"/>
  <c r="I136" i="148"/>
  <c r="H136" i="148"/>
  <c r="G136" i="148"/>
  <c r="F136" i="148"/>
  <c r="E136" i="148"/>
  <c r="D136" i="148"/>
  <c r="C136" i="148"/>
  <c r="B136" i="148"/>
  <c r="N135" i="148"/>
  <c r="M135" i="148"/>
  <c r="L135" i="148"/>
  <c r="K135" i="148"/>
  <c r="J135" i="148"/>
  <c r="I135" i="148"/>
  <c r="H135" i="148"/>
  <c r="G135" i="148"/>
  <c r="F135" i="148"/>
  <c r="E135" i="148"/>
  <c r="D135" i="148"/>
  <c r="C135" i="148"/>
  <c r="B135" i="148"/>
  <c r="N134" i="148"/>
  <c r="M134" i="148"/>
  <c r="L134" i="148"/>
  <c r="K134" i="148"/>
  <c r="J134" i="148"/>
  <c r="I134" i="148"/>
  <c r="H134" i="148"/>
  <c r="G134" i="148"/>
  <c r="F134" i="148"/>
  <c r="E134" i="148"/>
  <c r="D134" i="148"/>
  <c r="C134" i="148"/>
  <c r="B134" i="148"/>
  <c r="N133" i="148"/>
  <c r="M133" i="148"/>
  <c r="L133" i="148"/>
  <c r="K133" i="148"/>
  <c r="J133" i="148"/>
  <c r="I133" i="148"/>
  <c r="H133" i="148"/>
  <c r="G133" i="148"/>
  <c r="F133" i="148"/>
  <c r="E133" i="148"/>
  <c r="D133" i="148"/>
  <c r="C133" i="148"/>
  <c r="B133" i="148"/>
  <c r="N132" i="148"/>
  <c r="M132" i="148"/>
  <c r="L132" i="148"/>
  <c r="K132" i="148"/>
  <c r="J132" i="148"/>
  <c r="I132" i="148"/>
  <c r="H132" i="148"/>
  <c r="G132" i="148"/>
  <c r="F132" i="148"/>
  <c r="E132" i="148"/>
  <c r="D132" i="148"/>
  <c r="C132" i="148"/>
  <c r="B132" i="148"/>
  <c r="N131" i="148"/>
  <c r="M131" i="148"/>
  <c r="L131" i="148"/>
  <c r="K131" i="148"/>
  <c r="J131" i="148"/>
  <c r="I131" i="148"/>
  <c r="H131" i="148"/>
  <c r="G131" i="148"/>
  <c r="F131" i="148"/>
  <c r="E131" i="148"/>
  <c r="D131" i="148"/>
  <c r="C131" i="148"/>
  <c r="B131" i="148"/>
  <c r="N130" i="148"/>
  <c r="M130" i="148"/>
  <c r="L130" i="148"/>
  <c r="K130" i="148"/>
  <c r="J130" i="148"/>
  <c r="I130" i="148"/>
  <c r="H130" i="148"/>
  <c r="G130" i="148"/>
  <c r="F130" i="148"/>
  <c r="E130" i="148"/>
  <c r="D130" i="148"/>
  <c r="C130" i="148"/>
  <c r="B130" i="148"/>
  <c r="N129" i="148"/>
  <c r="M129" i="148"/>
  <c r="L129" i="148"/>
  <c r="K129" i="148"/>
  <c r="J129" i="148"/>
  <c r="I129" i="148"/>
  <c r="H129" i="148"/>
  <c r="G129" i="148"/>
  <c r="F129" i="148"/>
  <c r="E129" i="148"/>
  <c r="D129" i="148"/>
  <c r="C129" i="148"/>
  <c r="B129" i="148"/>
  <c r="N128" i="148"/>
  <c r="M128" i="148"/>
  <c r="L128" i="148"/>
  <c r="K128" i="148"/>
  <c r="J128" i="148"/>
  <c r="I128" i="148"/>
  <c r="H128" i="148"/>
  <c r="G128" i="148"/>
  <c r="F128" i="148"/>
  <c r="E128" i="148"/>
  <c r="D128" i="148"/>
  <c r="C128" i="148"/>
  <c r="B128" i="148"/>
  <c r="N127" i="148"/>
  <c r="M127" i="148"/>
  <c r="L127" i="148"/>
  <c r="K127" i="148"/>
  <c r="J127" i="148"/>
  <c r="I127" i="148"/>
  <c r="H127" i="148"/>
  <c r="G127" i="148"/>
  <c r="F127" i="148"/>
  <c r="E127" i="148"/>
  <c r="D127" i="148"/>
  <c r="C127" i="148"/>
  <c r="B127" i="148"/>
  <c r="N126" i="148"/>
  <c r="M126" i="148"/>
  <c r="L126" i="148"/>
  <c r="K126" i="148"/>
  <c r="J126" i="148"/>
  <c r="I126" i="148"/>
  <c r="H126" i="148"/>
  <c r="G126" i="148"/>
  <c r="F126" i="148"/>
  <c r="E126" i="148"/>
  <c r="D126" i="148"/>
  <c r="C126" i="148"/>
  <c r="B126" i="148"/>
  <c r="N122" i="148"/>
  <c r="M122" i="148"/>
  <c r="L122" i="148"/>
  <c r="K122" i="148"/>
  <c r="J122" i="148"/>
  <c r="I122" i="148"/>
  <c r="H122" i="148"/>
  <c r="G122" i="148"/>
  <c r="F122" i="148"/>
  <c r="E122" i="148"/>
  <c r="D122" i="148"/>
  <c r="C122" i="148"/>
  <c r="A122" i="148"/>
  <c r="N121" i="148"/>
  <c r="M121" i="148"/>
  <c r="L121" i="148"/>
  <c r="K121" i="148"/>
  <c r="J121" i="148"/>
  <c r="I121" i="148"/>
  <c r="H121" i="148"/>
  <c r="G121" i="148"/>
  <c r="F121" i="148"/>
  <c r="E121" i="148"/>
  <c r="D121" i="148"/>
  <c r="C121" i="148"/>
  <c r="B121" i="148"/>
  <c r="N120" i="148"/>
  <c r="M120" i="148"/>
  <c r="L120" i="148"/>
  <c r="K120" i="148"/>
  <c r="J120" i="148"/>
  <c r="I120" i="148"/>
  <c r="H120" i="148"/>
  <c r="G120" i="148"/>
  <c r="F120" i="148"/>
  <c r="E120" i="148"/>
  <c r="D120" i="148"/>
  <c r="C120" i="148"/>
  <c r="B120" i="148"/>
  <c r="N119" i="148"/>
  <c r="M119" i="148"/>
  <c r="L119" i="148"/>
  <c r="K119" i="148"/>
  <c r="J119" i="148"/>
  <c r="I119" i="148"/>
  <c r="H119" i="148"/>
  <c r="G119" i="148"/>
  <c r="F119" i="148"/>
  <c r="E119" i="148"/>
  <c r="D119" i="148"/>
  <c r="C119" i="148"/>
  <c r="B119" i="148"/>
  <c r="N118" i="148"/>
  <c r="M118" i="148"/>
  <c r="L118" i="148"/>
  <c r="K118" i="148"/>
  <c r="J118" i="148"/>
  <c r="I118" i="148"/>
  <c r="H118" i="148"/>
  <c r="G118" i="148"/>
  <c r="F118" i="148"/>
  <c r="E118" i="148"/>
  <c r="D118" i="148"/>
  <c r="C118" i="148"/>
  <c r="B118" i="148"/>
  <c r="N117" i="148"/>
  <c r="M117" i="148"/>
  <c r="L117" i="148"/>
  <c r="K117" i="148"/>
  <c r="J117" i="148"/>
  <c r="I117" i="148"/>
  <c r="H117" i="148"/>
  <c r="G117" i="148"/>
  <c r="F117" i="148"/>
  <c r="E117" i="148"/>
  <c r="D117" i="148"/>
  <c r="C117" i="148"/>
  <c r="B117" i="148"/>
  <c r="N116" i="148"/>
  <c r="M116" i="148"/>
  <c r="L116" i="148"/>
  <c r="K116" i="148"/>
  <c r="J116" i="148"/>
  <c r="I116" i="148"/>
  <c r="H116" i="148"/>
  <c r="G116" i="148"/>
  <c r="F116" i="148"/>
  <c r="E116" i="148"/>
  <c r="D116" i="148"/>
  <c r="C116" i="148"/>
  <c r="B116" i="148"/>
  <c r="N115" i="148"/>
  <c r="M115" i="148"/>
  <c r="L115" i="148"/>
  <c r="K115" i="148"/>
  <c r="J115" i="148"/>
  <c r="I115" i="148"/>
  <c r="H115" i="148"/>
  <c r="G115" i="148"/>
  <c r="F115" i="148"/>
  <c r="E115" i="148"/>
  <c r="D115" i="148"/>
  <c r="C115" i="148"/>
  <c r="B115" i="148"/>
  <c r="N114" i="148"/>
  <c r="M114" i="148"/>
  <c r="L114" i="148"/>
  <c r="K114" i="148"/>
  <c r="J114" i="148"/>
  <c r="I114" i="148"/>
  <c r="H114" i="148"/>
  <c r="G114" i="148"/>
  <c r="F114" i="148"/>
  <c r="E114" i="148"/>
  <c r="D114" i="148"/>
  <c r="C114" i="148"/>
  <c r="B114" i="148"/>
  <c r="N113" i="148"/>
  <c r="M113" i="148"/>
  <c r="L113" i="148"/>
  <c r="K113" i="148"/>
  <c r="J113" i="148"/>
  <c r="I113" i="148"/>
  <c r="H113" i="148"/>
  <c r="G113" i="148"/>
  <c r="F113" i="148"/>
  <c r="E113" i="148"/>
  <c r="D113" i="148"/>
  <c r="C113" i="148"/>
  <c r="B113" i="148"/>
  <c r="N112" i="148"/>
  <c r="M112" i="148"/>
  <c r="L112" i="148"/>
  <c r="K112" i="148"/>
  <c r="J112" i="148"/>
  <c r="I112" i="148"/>
  <c r="H112" i="148"/>
  <c r="G112" i="148"/>
  <c r="F112" i="148"/>
  <c r="E112" i="148"/>
  <c r="D112" i="148"/>
  <c r="C112" i="148"/>
  <c r="B112" i="148"/>
  <c r="N111" i="148"/>
  <c r="M111" i="148"/>
  <c r="L111" i="148"/>
  <c r="K111" i="148"/>
  <c r="J111" i="148"/>
  <c r="I111" i="148"/>
  <c r="H111" i="148"/>
  <c r="G111" i="148"/>
  <c r="F111" i="148"/>
  <c r="E111" i="148"/>
  <c r="D111" i="148"/>
  <c r="C111" i="148"/>
  <c r="B111" i="148"/>
  <c r="N110" i="148"/>
  <c r="M110" i="148"/>
  <c r="L110" i="148"/>
  <c r="K110" i="148"/>
  <c r="J110" i="148"/>
  <c r="I110" i="148"/>
  <c r="H110" i="148"/>
  <c r="G110" i="148"/>
  <c r="F110" i="148"/>
  <c r="E110" i="148"/>
  <c r="D110" i="148"/>
  <c r="C110" i="148"/>
  <c r="B110" i="148"/>
  <c r="N104" i="148"/>
  <c r="M104" i="148"/>
  <c r="L104" i="148"/>
  <c r="K104" i="148"/>
  <c r="J104" i="148"/>
  <c r="I104" i="148"/>
  <c r="H104" i="148"/>
  <c r="G104" i="148"/>
  <c r="F104" i="148"/>
  <c r="E104" i="148"/>
  <c r="D104" i="148"/>
  <c r="C104" i="148"/>
  <c r="A104" i="148"/>
  <c r="N103" i="148"/>
  <c r="M103" i="148"/>
  <c r="L103" i="148"/>
  <c r="K103" i="148"/>
  <c r="J103" i="148"/>
  <c r="I103" i="148"/>
  <c r="H103" i="148"/>
  <c r="G103" i="148"/>
  <c r="F103" i="148"/>
  <c r="E103" i="148"/>
  <c r="D103" i="148"/>
  <c r="C103" i="148"/>
  <c r="B103" i="148"/>
  <c r="N102" i="148"/>
  <c r="M102" i="148"/>
  <c r="L102" i="148"/>
  <c r="K102" i="148"/>
  <c r="J102" i="148"/>
  <c r="I102" i="148"/>
  <c r="H102" i="148"/>
  <c r="G102" i="148"/>
  <c r="F102" i="148"/>
  <c r="E102" i="148"/>
  <c r="D102" i="148"/>
  <c r="C102" i="148"/>
  <c r="B102" i="148"/>
  <c r="N101" i="148"/>
  <c r="M101" i="148"/>
  <c r="L101" i="148"/>
  <c r="K101" i="148"/>
  <c r="J101" i="148"/>
  <c r="I101" i="148"/>
  <c r="H101" i="148"/>
  <c r="G101" i="148"/>
  <c r="F101" i="148"/>
  <c r="E101" i="148"/>
  <c r="D101" i="148"/>
  <c r="C101" i="148"/>
  <c r="B101" i="148"/>
  <c r="N100" i="148"/>
  <c r="M100" i="148"/>
  <c r="L100" i="148"/>
  <c r="K100" i="148"/>
  <c r="J100" i="148"/>
  <c r="I100" i="148"/>
  <c r="H100" i="148"/>
  <c r="G100" i="148"/>
  <c r="F100" i="148"/>
  <c r="E100" i="148"/>
  <c r="D100" i="148"/>
  <c r="C100" i="148"/>
  <c r="B100" i="148"/>
  <c r="N99" i="148"/>
  <c r="M99" i="148"/>
  <c r="L99" i="148"/>
  <c r="K99" i="148"/>
  <c r="J99" i="148"/>
  <c r="I99" i="148"/>
  <c r="H99" i="148"/>
  <c r="G99" i="148"/>
  <c r="F99" i="148"/>
  <c r="E99" i="148"/>
  <c r="D99" i="148"/>
  <c r="C99" i="148"/>
  <c r="B99" i="148"/>
  <c r="N98" i="148"/>
  <c r="M98" i="148"/>
  <c r="L98" i="148"/>
  <c r="K98" i="148"/>
  <c r="J98" i="148"/>
  <c r="I98" i="148"/>
  <c r="H98" i="148"/>
  <c r="G98" i="148"/>
  <c r="F98" i="148"/>
  <c r="E98" i="148"/>
  <c r="D98" i="148"/>
  <c r="C98" i="148"/>
  <c r="B98" i="148"/>
  <c r="N97" i="148"/>
  <c r="M97" i="148"/>
  <c r="L97" i="148"/>
  <c r="K97" i="148"/>
  <c r="J97" i="148"/>
  <c r="I97" i="148"/>
  <c r="H97" i="148"/>
  <c r="G97" i="148"/>
  <c r="F97" i="148"/>
  <c r="E97" i="148"/>
  <c r="D97" i="148"/>
  <c r="C97" i="148"/>
  <c r="B97" i="148"/>
  <c r="N96" i="148"/>
  <c r="M96" i="148"/>
  <c r="L96" i="148"/>
  <c r="K96" i="148"/>
  <c r="J96" i="148"/>
  <c r="I96" i="148"/>
  <c r="H96" i="148"/>
  <c r="G96" i="148"/>
  <c r="F96" i="148"/>
  <c r="E96" i="148"/>
  <c r="D96" i="148"/>
  <c r="C96" i="148"/>
  <c r="B96" i="148"/>
  <c r="N95" i="148"/>
  <c r="M95" i="148"/>
  <c r="L95" i="148"/>
  <c r="K95" i="148"/>
  <c r="J95" i="148"/>
  <c r="I95" i="148"/>
  <c r="H95" i="148"/>
  <c r="G95" i="148"/>
  <c r="F95" i="148"/>
  <c r="E95" i="148"/>
  <c r="D95" i="148"/>
  <c r="C95" i="148"/>
  <c r="B95" i="148"/>
  <c r="N94" i="148"/>
  <c r="M94" i="148"/>
  <c r="L94" i="148"/>
  <c r="K94" i="148"/>
  <c r="J94" i="148"/>
  <c r="I94" i="148"/>
  <c r="H94" i="148"/>
  <c r="G94" i="148"/>
  <c r="F94" i="148"/>
  <c r="E94" i="148"/>
  <c r="D94" i="148"/>
  <c r="C94" i="148"/>
  <c r="B94" i="148"/>
  <c r="N93" i="148"/>
  <c r="M93" i="148"/>
  <c r="L93" i="148"/>
  <c r="K93" i="148"/>
  <c r="J93" i="148"/>
  <c r="I93" i="148"/>
  <c r="H93" i="148"/>
  <c r="G93" i="148"/>
  <c r="F93" i="148"/>
  <c r="E93" i="148"/>
  <c r="D93" i="148"/>
  <c r="C93" i="148"/>
  <c r="B93" i="148"/>
  <c r="N92" i="148"/>
  <c r="M92" i="148"/>
  <c r="L92" i="148"/>
  <c r="K92" i="148"/>
  <c r="J92" i="148"/>
  <c r="I92" i="148"/>
  <c r="H92" i="148"/>
  <c r="G92" i="148"/>
  <c r="F92" i="148"/>
  <c r="E92" i="148"/>
  <c r="D92" i="148"/>
  <c r="C92" i="148"/>
  <c r="B92" i="148"/>
  <c r="N88" i="148"/>
  <c r="M88" i="148"/>
  <c r="L88" i="148"/>
  <c r="K88" i="148"/>
  <c r="J88" i="148"/>
  <c r="I88" i="148"/>
  <c r="H88" i="148"/>
  <c r="G88" i="148"/>
  <c r="F88" i="148"/>
  <c r="E88" i="148"/>
  <c r="D88" i="148"/>
  <c r="C88" i="148"/>
  <c r="A88" i="148"/>
  <c r="N87" i="148"/>
  <c r="M87" i="148"/>
  <c r="L87" i="148"/>
  <c r="K87" i="148"/>
  <c r="J87" i="148"/>
  <c r="I87" i="148"/>
  <c r="H87" i="148"/>
  <c r="G87" i="148"/>
  <c r="F87" i="148"/>
  <c r="E87" i="148"/>
  <c r="D87" i="148"/>
  <c r="C87" i="148"/>
  <c r="B87" i="148"/>
  <c r="N86" i="148"/>
  <c r="M86" i="148"/>
  <c r="L86" i="148"/>
  <c r="K86" i="148"/>
  <c r="J86" i="148"/>
  <c r="I86" i="148"/>
  <c r="H86" i="148"/>
  <c r="G86" i="148"/>
  <c r="F86" i="148"/>
  <c r="E86" i="148"/>
  <c r="D86" i="148"/>
  <c r="C86" i="148"/>
  <c r="B86" i="148"/>
  <c r="N85" i="148"/>
  <c r="M85" i="148"/>
  <c r="L85" i="148"/>
  <c r="K85" i="148"/>
  <c r="J85" i="148"/>
  <c r="I85" i="148"/>
  <c r="H85" i="148"/>
  <c r="G85" i="148"/>
  <c r="F85" i="148"/>
  <c r="E85" i="148"/>
  <c r="D85" i="148"/>
  <c r="C85" i="148"/>
  <c r="B85" i="148"/>
  <c r="N84" i="148"/>
  <c r="M84" i="148"/>
  <c r="L84" i="148"/>
  <c r="K84" i="148"/>
  <c r="J84" i="148"/>
  <c r="I84" i="148"/>
  <c r="H84" i="148"/>
  <c r="G84" i="148"/>
  <c r="F84" i="148"/>
  <c r="E84" i="148"/>
  <c r="D84" i="148"/>
  <c r="C84" i="148"/>
  <c r="B84" i="148"/>
  <c r="N83" i="148"/>
  <c r="M83" i="148"/>
  <c r="L83" i="148"/>
  <c r="K83" i="148"/>
  <c r="J83" i="148"/>
  <c r="I83" i="148"/>
  <c r="H83" i="148"/>
  <c r="G83" i="148"/>
  <c r="F83" i="148"/>
  <c r="E83" i="148"/>
  <c r="D83" i="148"/>
  <c r="C83" i="148"/>
  <c r="B83" i="148"/>
  <c r="N82" i="148"/>
  <c r="M82" i="148"/>
  <c r="L82" i="148"/>
  <c r="K82" i="148"/>
  <c r="J82" i="148"/>
  <c r="I82" i="148"/>
  <c r="H82" i="148"/>
  <c r="G82" i="148"/>
  <c r="F82" i="148"/>
  <c r="E82" i="148"/>
  <c r="D82" i="148"/>
  <c r="C82" i="148"/>
  <c r="B82" i="148"/>
  <c r="N81" i="148"/>
  <c r="M81" i="148"/>
  <c r="L81" i="148"/>
  <c r="K81" i="148"/>
  <c r="J81" i="148"/>
  <c r="I81" i="148"/>
  <c r="H81" i="148"/>
  <c r="G81" i="148"/>
  <c r="F81" i="148"/>
  <c r="E81" i="148"/>
  <c r="D81" i="148"/>
  <c r="C81" i="148"/>
  <c r="B81" i="148"/>
  <c r="N80" i="148"/>
  <c r="M80" i="148"/>
  <c r="L80" i="148"/>
  <c r="K80" i="148"/>
  <c r="J80" i="148"/>
  <c r="I80" i="148"/>
  <c r="H80" i="148"/>
  <c r="G80" i="148"/>
  <c r="F80" i="148"/>
  <c r="E80" i="148"/>
  <c r="D80" i="148"/>
  <c r="C80" i="148"/>
  <c r="B80" i="148"/>
  <c r="N79" i="148"/>
  <c r="M79" i="148"/>
  <c r="L79" i="148"/>
  <c r="K79" i="148"/>
  <c r="J79" i="148"/>
  <c r="I79" i="148"/>
  <c r="H79" i="148"/>
  <c r="G79" i="148"/>
  <c r="F79" i="148"/>
  <c r="E79" i="148"/>
  <c r="D79" i="148"/>
  <c r="C79" i="148"/>
  <c r="B79" i="148"/>
  <c r="N78" i="148"/>
  <c r="M78" i="148"/>
  <c r="L78" i="148"/>
  <c r="K78" i="148"/>
  <c r="J78" i="148"/>
  <c r="I78" i="148"/>
  <c r="H78" i="148"/>
  <c r="G78" i="148"/>
  <c r="F78" i="148"/>
  <c r="E78" i="148"/>
  <c r="D78" i="148"/>
  <c r="C78" i="148"/>
  <c r="B78" i="148"/>
  <c r="N77" i="148"/>
  <c r="M77" i="148"/>
  <c r="L77" i="148"/>
  <c r="K77" i="148"/>
  <c r="J77" i="148"/>
  <c r="I77" i="148"/>
  <c r="H77" i="148"/>
  <c r="G77" i="148"/>
  <c r="F77" i="148"/>
  <c r="E77" i="148"/>
  <c r="D77" i="148"/>
  <c r="C77" i="148"/>
  <c r="B77" i="148"/>
  <c r="N76" i="148"/>
  <c r="M76" i="148"/>
  <c r="L76" i="148"/>
  <c r="K76" i="148"/>
  <c r="J76" i="148"/>
  <c r="I76" i="148"/>
  <c r="H76" i="148"/>
  <c r="G76" i="148"/>
  <c r="F76" i="148"/>
  <c r="E76" i="148"/>
  <c r="D76" i="148"/>
  <c r="C76" i="148"/>
  <c r="B76" i="148"/>
  <c r="N70" i="148"/>
  <c r="M70" i="148"/>
  <c r="L70" i="148"/>
  <c r="K70" i="148"/>
  <c r="J70" i="148"/>
  <c r="I70" i="148"/>
  <c r="H70" i="148"/>
  <c r="G70" i="148"/>
  <c r="F70" i="148"/>
  <c r="E70" i="148"/>
  <c r="D70" i="148"/>
  <c r="C70" i="148"/>
  <c r="A70" i="148"/>
  <c r="N69" i="148"/>
  <c r="M69" i="148"/>
  <c r="L69" i="148"/>
  <c r="K69" i="148"/>
  <c r="J69" i="148"/>
  <c r="I69" i="148"/>
  <c r="H69" i="148"/>
  <c r="G69" i="148"/>
  <c r="F69" i="148"/>
  <c r="E69" i="148"/>
  <c r="D69" i="148"/>
  <c r="C69" i="148"/>
  <c r="B69" i="148"/>
  <c r="N68" i="148"/>
  <c r="M68" i="148"/>
  <c r="L68" i="148"/>
  <c r="K68" i="148"/>
  <c r="J68" i="148"/>
  <c r="I68" i="148"/>
  <c r="H68" i="148"/>
  <c r="G68" i="148"/>
  <c r="F68" i="148"/>
  <c r="E68" i="148"/>
  <c r="D68" i="148"/>
  <c r="C68" i="148"/>
  <c r="B68" i="148"/>
  <c r="N67" i="148"/>
  <c r="M67" i="148"/>
  <c r="L67" i="148"/>
  <c r="K67" i="148"/>
  <c r="J67" i="148"/>
  <c r="I67" i="148"/>
  <c r="H67" i="148"/>
  <c r="G67" i="148"/>
  <c r="F67" i="148"/>
  <c r="E67" i="148"/>
  <c r="D67" i="148"/>
  <c r="C67" i="148"/>
  <c r="B67" i="148"/>
  <c r="N66" i="148"/>
  <c r="M66" i="148"/>
  <c r="L66" i="148"/>
  <c r="K66" i="148"/>
  <c r="J66" i="148"/>
  <c r="I66" i="148"/>
  <c r="H66" i="148"/>
  <c r="G66" i="148"/>
  <c r="F66" i="148"/>
  <c r="E66" i="148"/>
  <c r="D66" i="148"/>
  <c r="C66" i="148"/>
  <c r="B66" i="148"/>
  <c r="N65" i="148"/>
  <c r="M65" i="148"/>
  <c r="L65" i="148"/>
  <c r="K65" i="148"/>
  <c r="J65" i="148"/>
  <c r="I65" i="148"/>
  <c r="H65" i="148"/>
  <c r="G65" i="148"/>
  <c r="F65" i="148"/>
  <c r="E65" i="148"/>
  <c r="D65" i="148"/>
  <c r="C65" i="148"/>
  <c r="B65" i="148"/>
  <c r="N64" i="148"/>
  <c r="M64" i="148"/>
  <c r="L64" i="148"/>
  <c r="K64" i="148"/>
  <c r="J64" i="148"/>
  <c r="I64" i="148"/>
  <c r="H64" i="148"/>
  <c r="G64" i="148"/>
  <c r="F64" i="148"/>
  <c r="E64" i="148"/>
  <c r="D64" i="148"/>
  <c r="C64" i="148"/>
  <c r="B64" i="148"/>
  <c r="N63" i="148"/>
  <c r="M63" i="148"/>
  <c r="L63" i="148"/>
  <c r="K63" i="148"/>
  <c r="J63" i="148"/>
  <c r="I63" i="148"/>
  <c r="H63" i="148"/>
  <c r="G63" i="148"/>
  <c r="F63" i="148"/>
  <c r="E63" i="148"/>
  <c r="D63" i="148"/>
  <c r="C63" i="148"/>
  <c r="B63" i="148"/>
  <c r="N62" i="148"/>
  <c r="M62" i="148"/>
  <c r="L62" i="148"/>
  <c r="K62" i="148"/>
  <c r="J62" i="148"/>
  <c r="I62" i="148"/>
  <c r="H62" i="148"/>
  <c r="G62" i="148"/>
  <c r="F62" i="148"/>
  <c r="E62" i="148"/>
  <c r="D62" i="148"/>
  <c r="C62" i="148"/>
  <c r="B62" i="148"/>
  <c r="N61" i="148"/>
  <c r="M61" i="148"/>
  <c r="L61" i="148"/>
  <c r="K61" i="148"/>
  <c r="J61" i="148"/>
  <c r="I61" i="148"/>
  <c r="H61" i="148"/>
  <c r="G61" i="148"/>
  <c r="F61" i="148"/>
  <c r="E61" i="148"/>
  <c r="D61" i="148"/>
  <c r="C61" i="148"/>
  <c r="B61" i="148"/>
  <c r="N60" i="148"/>
  <c r="M60" i="148"/>
  <c r="L60" i="148"/>
  <c r="K60" i="148"/>
  <c r="J60" i="148"/>
  <c r="I60" i="148"/>
  <c r="H60" i="148"/>
  <c r="G60" i="148"/>
  <c r="F60" i="148"/>
  <c r="E60" i="148"/>
  <c r="D60" i="148"/>
  <c r="C60" i="148"/>
  <c r="B60" i="148"/>
  <c r="N59" i="148"/>
  <c r="M59" i="148"/>
  <c r="L59" i="148"/>
  <c r="K59" i="148"/>
  <c r="J59" i="148"/>
  <c r="I59" i="148"/>
  <c r="H59" i="148"/>
  <c r="G59" i="148"/>
  <c r="F59" i="148"/>
  <c r="E59" i="148"/>
  <c r="D59" i="148"/>
  <c r="C59" i="148"/>
  <c r="B59" i="148"/>
  <c r="N58" i="148"/>
  <c r="M58" i="148"/>
  <c r="L58" i="148"/>
  <c r="K58" i="148"/>
  <c r="J58" i="148"/>
  <c r="I58" i="148"/>
  <c r="H58" i="148"/>
  <c r="G58" i="148"/>
  <c r="F58" i="148"/>
  <c r="E58" i="148"/>
  <c r="D58" i="148"/>
  <c r="C58" i="148"/>
  <c r="B58" i="148"/>
  <c r="N54" i="148"/>
  <c r="M54" i="148"/>
  <c r="L54" i="148"/>
  <c r="K54" i="148"/>
  <c r="J54" i="148"/>
  <c r="I54" i="148"/>
  <c r="H54" i="148"/>
  <c r="G54" i="148"/>
  <c r="F54" i="148"/>
  <c r="E54" i="148"/>
  <c r="D54" i="148"/>
  <c r="C54" i="148"/>
  <c r="A54" i="148"/>
  <c r="N53" i="148"/>
  <c r="M53" i="148"/>
  <c r="L53" i="148"/>
  <c r="K53" i="148"/>
  <c r="J53" i="148"/>
  <c r="I53" i="148"/>
  <c r="H53" i="148"/>
  <c r="G53" i="148"/>
  <c r="F53" i="148"/>
  <c r="E53" i="148"/>
  <c r="D53" i="148"/>
  <c r="C53" i="148"/>
  <c r="B53" i="148"/>
  <c r="N52" i="148"/>
  <c r="M52" i="148"/>
  <c r="L52" i="148"/>
  <c r="K52" i="148"/>
  <c r="J52" i="148"/>
  <c r="I52" i="148"/>
  <c r="H52" i="148"/>
  <c r="G52" i="148"/>
  <c r="F52" i="148"/>
  <c r="E52" i="148"/>
  <c r="D52" i="148"/>
  <c r="C52" i="148"/>
  <c r="B52" i="148"/>
  <c r="N51" i="148"/>
  <c r="M51" i="148"/>
  <c r="L51" i="148"/>
  <c r="K51" i="148"/>
  <c r="J51" i="148"/>
  <c r="I51" i="148"/>
  <c r="H51" i="148"/>
  <c r="G51" i="148"/>
  <c r="F51" i="148"/>
  <c r="E51" i="148"/>
  <c r="D51" i="148"/>
  <c r="C51" i="148"/>
  <c r="B51" i="148"/>
  <c r="N50" i="148"/>
  <c r="M50" i="148"/>
  <c r="L50" i="148"/>
  <c r="K50" i="148"/>
  <c r="J50" i="148"/>
  <c r="I50" i="148"/>
  <c r="H50" i="148"/>
  <c r="G50" i="148"/>
  <c r="F50" i="148"/>
  <c r="E50" i="148"/>
  <c r="D50" i="148"/>
  <c r="C50" i="148"/>
  <c r="B50" i="148"/>
  <c r="N49" i="148"/>
  <c r="M49" i="148"/>
  <c r="L49" i="148"/>
  <c r="K49" i="148"/>
  <c r="J49" i="148"/>
  <c r="I49" i="148"/>
  <c r="H49" i="148"/>
  <c r="G49" i="148"/>
  <c r="F49" i="148"/>
  <c r="E49" i="148"/>
  <c r="D49" i="148"/>
  <c r="C49" i="148"/>
  <c r="B49" i="148"/>
  <c r="N48" i="148"/>
  <c r="M48" i="148"/>
  <c r="L48" i="148"/>
  <c r="K48" i="148"/>
  <c r="J48" i="148"/>
  <c r="I48" i="148"/>
  <c r="H48" i="148"/>
  <c r="G48" i="148"/>
  <c r="F48" i="148"/>
  <c r="E48" i="148"/>
  <c r="D48" i="148"/>
  <c r="C48" i="148"/>
  <c r="B48" i="148"/>
  <c r="N47" i="148"/>
  <c r="M47" i="148"/>
  <c r="L47" i="148"/>
  <c r="K47" i="148"/>
  <c r="J47" i="148"/>
  <c r="I47" i="148"/>
  <c r="H47" i="148"/>
  <c r="G47" i="148"/>
  <c r="F47" i="148"/>
  <c r="E47" i="148"/>
  <c r="D47" i="148"/>
  <c r="C47" i="148"/>
  <c r="B47" i="148"/>
  <c r="N46" i="148"/>
  <c r="M46" i="148"/>
  <c r="L46" i="148"/>
  <c r="K46" i="148"/>
  <c r="J46" i="148"/>
  <c r="I46" i="148"/>
  <c r="H46" i="148"/>
  <c r="G46" i="148"/>
  <c r="F46" i="148"/>
  <c r="E46" i="148"/>
  <c r="D46" i="148"/>
  <c r="C46" i="148"/>
  <c r="B46" i="148"/>
  <c r="N45" i="148"/>
  <c r="M45" i="148"/>
  <c r="L45" i="148"/>
  <c r="K45" i="148"/>
  <c r="J45" i="148"/>
  <c r="I45" i="148"/>
  <c r="H45" i="148"/>
  <c r="G45" i="148"/>
  <c r="F45" i="148"/>
  <c r="E45" i="148"/>
  <c r="D45" i="148"/>
  <c r="C45" i="148"/>
  <c r="B45" i="148"/>
  <c r="N44" i="148"/>
  <c r="M44" i="148"/>
  <c r="L44" i="148"/>
  <c r="K44" i="148"/>
  <c r="J44" i="148"/>
  <c r="I44" i="148"/>
  <c r="H44" i="148"/>
  <c r="G44" i="148"/>
  <c r="F44" i="148"/>
  <c r="E44" i="148"/>
  <c r="D44" i="148"/>
  <c r="C44" i="148"/>
  <c r="B44" i="148"/>
  <c r="N43" i="148"/>
  <c r="M43" i="148"/>
  <c r="L43" i="148"/>
  <c r="K43" i="148"/>
  <c r="J43" i="148"/>
  <c r="I43" i="148"/>
  <c r="H43" i="148"/>
  <c r="G43" i="148"/>
  <c r="F43" i="148"/>
  <c r="E43" i="148"/>
  <c r="D43" i="148"/>
  <c r="C43" i="148"/>
  <c r="B43" i="148"/>
  <c r="N42" i="148"/>
  <c r="M42" i="148"/>
  <c r="L42" i="148"/>
  <c r="K42" i="148"/>
  <c r="J42" i="148"/>
  <c r="I42" i="148"/>
  <c r="H42" i="148"/>
  <c r="G42" i="148"/>
  <c r="F42" i="148"/>
  <c r="E42" i="148"/>
  <c r="D42" i="148"/>
  <c r="C42" i="148"/>
  <c r="B42" i="148"/>
  <c r="N36" i="148"/>
  <c r="M36" i="148"/>
  <c r="L36" i="148"/>
  <c r="K36" i="148"/>
  <c r="J36" i="148"/>
  <c r="I36" i="148"/>
  <c r="H36" i="148"/>
  <c r="G36" i="148"/>
  <c r="F36" i="148"/>
  <c r="E36" i="148"/>
  <c r="D36" i="148"/>
  <c r="C36" i="148"/>
  <c r="B36" i="148"/>
  <c r="N35" i="148"/>
  <c r="M35" i="148"/>
  <c r="L35" i="148"/>
  <c r="K35" i="148"/>
  <c r="J35" i="148"/>
  <c r="I35" i="148"/>
  <c r="H35" i="148"/>
  <c r="G35" i="148"/>
  <c r="F35" i="148"/>
  <c r="E35" i="148"/>
  <c r="D35" i="148"/>
  <c r="C35" i="148"/>
  <c r="B35" i="148"/>
  <c r="I31" i="148"/>
  <c r="H31" i="148"/>
  <c r="G31" i="148"/>
  <c r="E31" i="148"/>
  <c r="D31" i="148"/>
  <c r="C31" i="148"/>
  <c r="B31" i="148"/>
  <c r="A31" i="148"/>
  <c r="D30" i="148"/>
  <c r="C30" i="148"/>
  <c r="B30" i="148"/>
  <c r="D29" i="148"/>
  <c r="C29" i="148"/>
  <c r="B29" i="148"/>
  <c r="D28" i="148"/>
  <c r="C28" i="148"/>
  <c r="B28" i="148"/>
  <c r="D27" i="148"/>
  <c r="C27" i="148"/>
  <c r="B27" i="148"/>
  <c r="D26" i="148"/>
  <c r="C26" i="148"/>
  <c r="B26" i="148"/>
  <c r="D25" i="148"/>
  <c r="C25" i="148"/>
  <c r="B25" i="148"/>
  <c r="D24" i="148"/>
  <c r="C24" i="148"/>
  <c r="B24" i="148"/>
  <c r="D23" i="148"/>
  <c r="C23" i="148"/>
  <c r="B23" i="148"/>
  <c r="D22" i="148"/>
  <c r="C22" i="148"/>
  <c r="B22" i="148"/>
  <c r="D21" i="148"/>
  <c r="C21" i="148"/>
  <c r="B21" i="148"/>
  <c r="D20" i="148"/>
  <c r="C20" i="148"/>
  <c r="C19" i="148"/>
  <c r="B19" i="148"/>
  <c r="N15" i="148"/>
  <c r="M15" i="148"/>
  <c r="L15" i="148"/>
  <c r="K15" i="148"/>
  <c r="J15" i="148"/>
  <c r="I15" i="148"/>
  <c r="H15" i="148"/>
  <c r="G15" i="148"/>
  <c r="F15" i="148"/>
  <c r="E15" i="148"/>
  <c r="D15" i="148"/>
  <c r="C15" i="148"/>
  <c r="B15" i="148"/>
  <c r="N14" i="148"/>
  <c r="M14" i="148"/>
  <c r="L14" i="148"/>
  <c r="K14" i="148"/>
  <c r="J14" i="148"/>
  <c r="I14" i="148"/>
  <c r="H14" i="148"/>
  <c r="G14" i="148"/>
  <c r="F14" i="148"/>
  <c r="E14" i="148"/>
  <c r="D14" i="148"/>
  <c r="C14" i="148"/>
  <c r="B14" i="148"/>
  <c r="A10" i="148"/>
  <c r="A1" i="148"/>
  <c r="N371" i="147"/>
  <c r="M371" i="147"/>
  <c r="L371" i="147"/>
  <c r="K371" i="147"/>
  <c r="J371" i="147"/>
  <c r="I371" i="147"/>
  <c r="H371" i="147"/>
  <c r="G371" i="147"/>
  <c r="F371" i="147"/>
  <c r="E371" i="147"/>
  <c r="D371" i="147"/>
  <c r="C371" i="147"/>
  <c r="A371" i="147"/>
  <c r="N370" i="147"/>
  <c r="M370" i="147"/>
  <c r="L370" i="147"/>
  <c r="K370" i="147"/>
  <c r="J370" i="147"/>
  <c r="I370" i="147"/>
  <c r="H370" i="147"/>
  <c r="G370" i="147"/>
  <c r="F370" i="147"/>
  <c r="E370" i="147"/>
  <c r="D370" i="147"/>
  <c r="C370" i="147"/>
  <c r="A370" i="147"/>
  <c r="N369" i="147"/>
  <c r="M369" i="147"/>
  <c r="L369" i="147"/>
  <c r="K369" i="147"/>
  <c r="J369" i="147"/>
  <c r="I369" i="147"/>
  <c r="H369" i="147"/>
  <c r="G369" i="147"/>
  <c r="F369" i="147"/>
  <c r="E369" i="147"/>
  <c r="D369" i="147"/>
  <c r="C369" i="147"/>
  <c r="N368" i="147"/>
  <c r="M368" i="147"/>
  <c r="L368" i="147"/>
  <c r="K368" i="147"/>
  <c r="J368" i="147"/>
  <c r="I368" i="147"/>
  <c r="H368" i="147"/>
  <c r="G368" i="147"/>
  <c r="F368" i="147"/>
  <c r="E368" i="147"/>
  <c r="D368" i="147"/>
  <c r="C368" i="147"/>
  <c r="N367" i="147"/>
  <c r="M367" i="147"/>
  <c r="L367" i="147"/>
  <c r="K367" i="147"/>
  <c r="J367" i="147"/>
  <c r="I367" i="147"/>
  <c r="H367" i="147"/>
  <c r="G367" i="147"/>
  <c r="F367" i="147"/>
  <c r="E367" i="147"/>
  <c r="D367" i="147"/>
  <c r="C367" i="147"/>
  <c r="A367" i="147"/>
  <c r="N366" i="147"/>
  <c r="M366" i="147"/>
  <c r="L366" i="147"/>
  <c r="K366" i="147"/>
  <c r="J366" i="147"/>
  <c r="I366" i="147"/>
  <c r="H366" i="147"/>
  <c r="G366" i="147"/>
  <c r="F366" i="147"/>
  <c r="E366" i="147"/>
  <c r="D366" i="147"/>
  <c r="C366" i="147"/>
  <c r="B366" i="147"/>
  <c r="N365" i="147"/>
  <c r="M365" i="147"/>
  <c r="L365" i="147"/>
  <c r="K365" i="147"/>
  <c r="J365" i="147"/>
  <c r="I365" i="147"/>
  <c r="H365" i="147"/>
  <c r="G365" i="147"/>
  <c r="F365" i="147"/>
  <c r="E365" i="147"/>
  <c r="D365" i="147"/>
  <c r="C365" i="147"/>
  <c r="B365" i="147"/>
  <c r="N364" i="147"/>
  <c r="M364" i="147"/>
  <c r="L364" i="147"/>
  <c r="K364" i="147"/>
  <c r="J364" i="147"/>
  <c r="I364" i="147"/>
  <c r="H364" i="147"/>
  <c r="G364" i="147"/>
  <c r="F364" i="147"/>
  <c r="E364" i="147"/>
  <c r="D364" i="147"/>
  <c r="C364" i="147"/>
  <c r="B364" i="147"/>
  <c r="N363" i="147"/>
  <c r="M363" i="147"/>
  <c r="L363" i="147"/>
  <c r="K363" i="147"/>
  <c r="J363" i="147"/>
  <c r="I363" i="147"/>
  <c r="H363" i="147"/>
  <c r="G363" i="147"/>
  <c r="F363" i="147"/>
  <c r="E363" i="147"/>
  <c r="D363" i="147"/>
  <c r="C363" i="147"/>
  <c r="B363" i="147"/>
  <c r="N362" i="147"/>
  <c r="M362" i="147"/>
  <c r="L362" i="147"/>
  <c r="K362" i="147"/>
  <c r="J362" i="147"/>
  <c r="I362" i="147"/>
  <c r="H362" i="147"/>
  <c r="G362" i="147"/>
  <c r="F362" i="147"/>
  <c r="E362" i="147"/>
  <c r="D362" i="147"/>
  <c r="C362" i="147"/>
  <c r="B362" i="147"/>
  <c r="N361" i="147"/>
  <c r="M361" i="147"/>
  <c r="L361" i="147"/>
  <c r="K361" i="147"/>
  <c r="J361" i="147"/>
  <c r="I361" i="147"/>
  <c r="H361" i="147"/>
  <c r="G361" i="147"/>
  <c r="F361" i="147"/>
  <c r="E361" i="147"/>
  <c r="D361" i="147"/>
  <c r="C361" i="147"/>
  <c r="B361" i="147"/>
  <c r="N360" i="147"/>
  <c r="M360" i="147"/>
  <c r="L360" i="147"/>
  <c r="K360" i="147"/>
  <c r="J360" i="147"/>
  <c r="I360" i="147"/>
  <c r="H360" i="147"/>
  <c r="G360" i="147"/>
  <c r="F360" i="147"/>
  <c r="E360" i="147"/>
  <c r="D360" i="147"/>
  <c r="C360" i="147"/>
  <c r="B360" i="147"/>
  <c r="N359" i="147"/>
  <c r="M359" i="147"/>
  <c r="L359" i="147"/>
  <c r="K359" i="147"/>
  <c r="J359" i="147"/>
  <c r="I359" i="147"/>
  <c r="H359" i="147"/>
  <c r="G359" i="147"/>
  <c r="F359" i="147"/>
  <c r="E359" i="147"/>
  <c r="D359" i="147"/>
  <c r="C359" i="147"/>
  <c r="B359" i="147"/>
  <c r="N358" i="147"/>
  <c r="M358" i="147"/>
  <c r="L358" i="147"/>
  <c r="K358" i="147"/>
  <c r="J358" i="147"/>
  <c r="I358" i="147"/>
  <c r="H358" i="147"/>
  <c r="G358" i="147"/>
  <c r="F358" i="147"/>
  <c r="E358" i="147"/>
  <c r="D358" i="147"/>
  <c r="C358" i="147"/>
  <c r="B358" i="147"/>
  <c r="N357" i="147"/>
  <c r="M357" i="147"/>
  <c r="L357" i="147"/>
  <c r="K357" i="147"/>
  <c r="J357" i="147"/>
  <c r="I357" i="147"/>
  <c r="H357" i="147"/>
  <c r="G357" i="147"/>
  <c r="F357" i="147"/>
  <c r="E357" i="147"/>
  <c r="D357" i="147"/>
  <c r="C357" i="147"/>
  <c r="B357" i="147"/>
  <c r="N356" i="147"/>
  <c r="M356" i="147"/>
  <c r="L356" i="147"/>
  <c r="K356" i="147"/>
  <c r="J356" i="147"/>
  <c r="I356" i="147"/>
  <c r="H356" i="147"/>
  <c r="G356" i="147"/>
  <c r="F356" i="147"/>
  <c r="E356" i="147"/>
  <c r="D356" i="147"/>
  <c r="C356" i="147"/>
  <c r="B356" i="147"/>
  <c r="N355" i="147"/>
  <c r="M355" i="147"/>
  <c r="L355" i="147"/>
  <c r="K355" i="147"/>
  <c r="J355" i="147"/>
  <c r="I355" i="147"/>
  <c r="H355" i="147"/>
  <c r="G355" i="147"/>
  <c r="F355" i="147"/>
  <c r="E355" i="147"/>
  <c r="D355" i="147"/>
  <c r="C355" i="147"/>
  <c r="B355" i="147"/>
  <c r="N351" i="147"/>
  <c r="M351" i="147"/>
  <c r="L351" i="147"/>
  <c r="K351" i="147"/>
  <c r="J351" i="147"/>
  <c r="I351" i="147"/>
  <c r="H351" i="147"/>
  <c r="G351" i="147"/>
  <c r="F351" i="147"/>
  <c r="E351" i="147"/>
  <c r="D351" i="147"/>
  <c r="C351" i="147"/>
  <c r="A351" i="147"/>
  <c r="N350" i="147"/>
  <c r="M350" i="147"/>
  <c r="L350" i="147"/>
  <c r="K350" i="147"/>
  <c r="J350" i="147"/>
  <c r="I350" i="147"/>
  <c r="H350" i="147"/>
  <c r="G350" i="147"/>
  <c r="F350" i="147"/>
  <c r="E350" i="147"/>
  <c r="D350" i="147"/>
  <c r="C350" i="147"/>
  <c r="B350" i="147"/>
  <c r="N349" i="147"/>
  <c r="M349" i="147"/>
  <c r="L349" i="147"/>
  <c r="K349" i="147"/>
  <c r="J349" i="147"/>
  <c r="I349" i="147"/>
  <c r="H349" i="147"/>
  <c r="G349" i="147"/>
  <c r="F349" i="147"/>
  <c r="E349" i="147"/>
  <c r="D349" i="147"/>
  <c r="C349" i="147"/>
  <c r="B349" i="147"/>
  <c r="N348" i="147"/>
  <c r="M348" i="147"/>
  <c r="L348" i="147"/>
  <c r="K348" i="147"/>
  <c r="J348" i="147"/>
  <c r="I348" i="147"/>
  <c r="H348" i="147"/>
  <c r="G348" i="147"/>
  <c r="F348" i="147"/>
  <c r="E348" i="147"/>
  <c r="D348" i="147"/>
  <c r="C348" i="147"/>
  <c r="B348" i="147"/>
  <c r="N347" i="147"/>
  <c r="M347" i="147"/>
  <c r="L347" i="147"/>
  <c r="K347" i="147"/>
  <c r="J347" i="147"/>
  <c r="I347" i="147"/>
  <c r="H347" i="147"/>
  <c r="G347" i="147"/>
  <c r="F347" i="147"/>
  <c r="E347" i="147"/>
  <c r="D347" i="147"/>
  <c r="C347" i="147"/>
  <c r="B347" i="147"/>
  <c r="N346" i="147"/>
  <c r="M346" i="147"/>
  <c r="L346" i="147"/>
  <c r="K346" i="147"/>
  <c r="J346" i="147"/>
  <c r="I346" i="147"/>
  <c r="H346" i="147"/>
  <c r="G346" i="147"/>
  <c r="F346" i="147"/>
  <c r="E346" i="147"/>
  <c r="D346" i="147"/>
  <c r="C346" i="147"/>
  <c r="B346" i="147"/>
  <c r="N345" i="147"/>
  <c r="M345" i="147"/>
  <c r="L345" i="147"/>
  <c r="K345" i="147"/>
  <c r="J345" i="147"/>
  <c r="I345" i="147"/>
  <c r="H345" i="147"/>
  <c r="G345" i="147"/>
  <c r="F345" i="147"/>
  <c r="E345" i="147"/>
  <c r="D345" i="147"/>
  <c r="C345" i="147"/>
  <c r="B345" i="147"/>
  <c r="N344" i="147"/>
  <c r="M344" i="147"/>
  <c r="L344" i="147"/>
  <c r="K344" i="147"/>
  <c r="J344" i="147"/>
  <c r="I344" i="147"/>
  <c r="H344" i="147"/>
  <c r="G344" i="147"/>
  <c r="F344" i="147"/>
  <c r="E344" i="147"/>
  <c r="D344" i="147"/>
  <c r="C344" i="147"/>
  <c r="B344" i="147"/>
  <c r="N343" i="147"/>
  <c r="M343" i="147"/>
  <c r="L343" i="147"/>
  <c r="K343" i="147"/>
  <c r="J343" i="147"/>
  <c r="I343" i="147"/>
  <c r="H343" i="147"/>
  <c r="G343" i="147"/>
  <c r="F343" i="147"/>
  <c r="E343" i="147"/>
  <c r="D343" i="147"/>
  <c r="C343" i="147"/>
  <c r="B343" i="147"/>
  <c r="N342" i="147"/>
  <c r="M342" i="147"/>
  <c r="L342" i="147"/>
  <c r="K342" i="147"/>
  <c r="J342" i="147"/>
  <c r="I342" i="147"/>
  <c r="H342" i="147"/>
  <c r="G342" i="147"/>
  <c r="F342" i="147"/>
  <c r="E342" i="147"/>
  <c r="D342" i="147"/>
  <c r="C342" i="147"/>
  <c r="B342" i="147"/>
  <c r="N341" i="147"/>
  <c r="M341" i="147"/>
  <c r="L341" i="147"/>
  <c r="K341" i="147"/>
  <c r="J341" i="147"/>
  <c r="I341" i="147"/>
  <c r="H341" i="147"/>
  <c r="G341" i="147"/>
  <c r="F341" i="147"/>
  <c r="E341" i="147"/>
  <c r="D341" i="147"/>
  <c r="C341" i="147"/>
  <c r="B341" i="147"/>
  <c r="N340" i="147"/>
  <c r="M340" i="147"/>
  <c r="L340" i="147"/>
  <c r="K340" i="147"/>
  <c r="J340" i="147"/>
  <c r="I340" i="147"/>
  <c r="H340" i="147"/>
  <c r="G340" i="147"/>
  <c r="F340" i="147"/>
  <c r="E340" i="147"/>
  <c r="D340" i="147"/>
  <c r="C340" i="147"/>
  <c r="B340" i="147"/>
  <c r="N339" i="147"/>
  <c r="M339" i="147"/>
  <c r="L339" i="147"/>
  <c r="K339" i="147"/>
  <c r="J339" i="147"/>
  <c r="I339" i="147"/>
  <c r="H339" i="147"/>
  <c r="G339" i="147"/>
  <c r="F339" i="147"/>
  <c r="E339" i="147"/>
  <c r="D339" i="147"/>
  <c r="C339" i="147"/>
  <c r="B339" i="147"/>
  <c r="N333" i="147"/>
  <c r="M333" i="147"/>
  <c r="L333" i="147"/>
  <c r="K333" i="147"/>
  <c r="J333" i="147"/>
  <c r="I333" i="147"/>
  <c r="H333" i="147"/>
  <c r="G333" i="147"/>
  <c r="F333" i="147"/>
  <c r="E333" i="147"/>
  <c r="D333" i="147"/>
  <c r="C333" i="147"/>
  <c r="A333" i="147"/>
  <c r="N332" i="147"/>
  <c r="M332" i="147"/>
  <c r="L332" i="147"/>
  <c r="K332" i="147"/>
  <c r="J332" i="147"/>
  <c r="I332" i="147"/>
  <c r="H332" i="147"/>
  <c r="G332" i="147"/>
  <c r="F332" i="147"/>
  <c r="E332" i="147"/>
  <c r="D332" i="147"/>
  <c r="C332" i="147"/>
  <c r="N331" i="147"/>
  <c r="M331" i="147"/>
  <c r="L331" i="147"/>
  <c r="K331" i="147"/>
  <c r="J331" i="147"/>
  <c r="I331" i="147"/>
  <c r="H331" i="147"/>
  <c r="G331" i="147"/>
  <c r="F331" i="147"/>
  <c r="E331" i="147"/>
  <c r="D331" i="147"/>
  <c r="C331" i="147"/>
  <c r="N330" i="147"/>
  <c r="M330" i="147"/>
  <c r="L330" i="147"/>
  <c r="K330" i="147"/>
  <c r="J330" i="147"/>
  <c r="I330" i="147"/>
  <c r="H330" i="147"/>
  <c r="G330" i="147"/>
  <c r="F330" i="147"/>
  <c r="E330" i="147"/>
  <c r="D330" i="147"/>
  <c r="C330" i="147"/>
  <c r="A330" i="147"/>
  <c r="N329" i="147"/>
  <c r="M329" i="147"/>
  <c r="L329" i="147"/>
  <c r="K329" i="147"/>
  <c r="J329" i="147"/>
  <c r="I329" i="147"/>
  <c r="H329" i="147"/>
  <c r="G329" i="147"/>
  <c r="F329" i="147"/>
  <c r="E329" i="147"/>
  <c r="D329" i="147"/>
  <c r="C329" i="147"/>
  <c r="B329" i="147"/>
  <c r="N328" i="147"/>
  <c r="M328" i="147"/>
  <c r="L328" i="147"/>
  <c r="K328" i="147"/>
  <c r="J328" i="147"/>
  <c r="I328" i="147"/>
  <c r="H328" i="147"/>
  <c r="G328" i="147"/>
  <c r="F328" i="147"/>
  <c r="E328" i="147"/>
  <c r="D328" i="147"/>
  <c r="C328" i="147"/>
  <c r="B328" i="147"/>
  <c r="N327" i="147"/>
  <c r="M327" i="147"/>
  <c r="L327" i="147"/>
  <c r="K327" i="147"/>
  <c r="J327" i="147"/>
  <c r="I327" i="147"/>
  <c r="H327" i="147"/>
  <c r="G327" i="147"/>
  <c r="F327" i="147"/>
  <c r="E327" i="147"/>
  <c r="D327" i="147"/>
  <c r="C327" i="147"/>
  <c r="B327" i="147"/>
  <c r="N326" i="147"/>
  <c r="M326" i="147"/>
  <c r="L326" i="147"/>
  <c r="K326" i="147"/>
  <c r="J326" i="147"/>
  <c r="I326" i="147"/>
  <c r="H326" i="147"/>
  <c r="G326" i="147"/>
  <c r="F326" i="147"/>
  <c r="E326" i="147"/>
  <c r="D326" i="147"/>
  <c r="C326" i="147"/>
  <c r="B326" i="147"/>
  <c r="N325" i="147"/>
  <c r="M325" i="147"/>
  <c r="L325" i="147"/>
  <c r="K325" i="147"/>
  <c r="J325" i="147"/>
  <c r="I325" i="147"/>
  <c r="H325" i="147"/>
  <c r="G325" i="147"/>
  <c r="F325" i="147"/>
  <c r="E325" i="147"/>
  <c r="D325" i="147"/>
  <c r="C325" i="147"/>
  <c r="B325" i="147"/>
  <c r="N324" i="147"/>
  <c r="M324" i="147"/>
  <c r="L324" i="147"/>
  <c r="K324" i="147"/>
  <c r="J324" i="147"/>
  <c r="I324" i="147"/>
  <c r="H324" i="147"/>
  <c r="G324" i="147"/>
  <c r="F324" i="147"/>
  <c r="E324" i="147"/>
  <c r="D324" i="147"/>
  <c r="C324" i="147"/>
  <c r="B324" i="147"/>
  <c r="N323" i="147"/>
  <c r="M323" i="147"/>
  <c r="L323" i="147"/>
  <c r="K323" i="147"/>
  <c r="J323" i="147"/>
  <c r="I323" i="147"/>
  <c r="H323" i="147"/>
  <c r="G323" i="147"/>
  <c r="F323" i="147"/>
  <c r="E323" i="147"/>
  <c r="D323" i="147"/>
  <c r="C323" i="147"/>
  <c r="B323" i="147"/>
  <c r="N322" i="147"/>
  <c r="M322" i="147"/>
  <c r="L322" i="147"/>
  <c r="K322" i="147"/>
  <c r="J322" i="147"/>
  <c r="I322" i="147"/>
  <c r="H322" i="147"/>
  <c r="G322" i="147"/>
  <c r="F322" i="147"/>
  <c r="E322" i="147"/>
  <c r="D322" i="147"/>
  <c r="C322" i="147"/>
  <c r="B322" i="147"/>
  <c r="N321" i="147"/>
  <c r="M321" i="147"/>
  <c r="L321" i="147"/>
  <c r="K321" i="147"/>
  <c r="J321" i="147"/>
  <c r="I321" i="147"/>
  <c r="H321" i="147"/>
  <c r="G321" i="147"/>
  <c r="F321" i="147"/>
  <c r="E321" i="147"/>
  <c r="D321" i="147"/>
  <c r="C321" i="147"/>
  <c r="B321" i="147"/>
  <c r="N320" i="147"/>
  <c r="M320" i="147"/>
  <c r="L320" i="147"/>
  <c r="K320" i="147"/>
  <c r="J320" i="147"/>
  <c r="I320" i="147"/>
  <c r="H320" i="147"/>
  <c r="G320" i="147"/>
  <c r="F320" i="147"/>
  <c r="E320" i="147"/>
  <c r="D320" i="147"/>
  <c r="C320" i="147"/>
  <c r="B320" i="147"/>
  <c r="N319" i="147"/>
  <c r="M319" i="147"/>
  <c r="L319" i="147"/>
  <c r="K319" i="147"/>
  <c r="J319" i="147"/>
  <c r="I319" i="147"/>
  <c r="H319" i="147"/>
  <c r="G319" i="147"/>
  <c r="F319" i="147"/>
  <c r="E319" i="147"/>
  <c r="D319" i="147"/>
  <c r="C319" i="147"/>
  <c r="B319" i="147"/>
  <c r="N318" i="147"/>
  <c r="M318" i="147"/>
  <c r="L318" i="147"/>
  <c r="K318" i="147"/>
  <c r="J318" i="147"/>
  <c r="I318" i="147"/>
  <c r="H318" i="147"/>
  <c r="G318" i="147"/>
  <c r="F318" i="147"/>
  <c r="E318" i="147"/>
  <c r="D318" i="147"/>
  <c r="C318" i="147"/>
  <c r="B318" i="147"/>
  <c r="N314" i="147"/>
  <c r="M314" i="147"/>
  <c r="L314" i="147"/>
  <c r="K314" i="147"/>
  <c r="J314" i="147"/>
  <c r="I314" i="147"/>
  <c r="H314" i="147"/>
  <c r="G314" i="147"/>
  <c r="F314" i="147"/>
  <c r="E314" i="147"/>
  <c r="D314" i="147"/>
  <c r="C314" i="147"/>
  <c r="A314" i="147"/>
  <c r="N313" i="147"/>
  <c r="M313" i="147"/>
  <c r="L313" i="147"/>
  <c r="K313" i="147"/>
  <c r="J313" i="147"/>
  <c r="I313" i="147"/>
  <c r="H313" i="147"/>
  <c r="G313" i="147"/>
  <c r="F313" i="147"/>
  <c r="E313" i="147"/>
  <c r="D313" i="147"/>
  <c r="C313" i="147"/>
  <c r="B313" i="147"/>
  <c r="N312" i="147"/>
  <c r="M312" i="147"/>
  <c r="L312" i="147"/>
  <c r="K312" i="147"/>
  <c r="J312" i="147"/>
  <c r="I312" i="147"/>
  <c r="H312" i="147"/>
  <c r="G312" i="147"/>
  <c r="F312" i="147"/>
  <c r="E312" i="147"/>
  <c r="D312" i="147"/>
  <c r="C312" i="147"/>
  <c r="B312" i="147"/>
  <c r="N311" i="147"/>
  <c r="M311" i="147"/>
  <c r="L311" i="147"/>
  <c r="K311" i="147"/>
  <c r="J311" i="147"/>
  <c r="I311" i="147"/>
  <c r="H311" i="147"/>
  <c r="G311" i="147"/>
  <c r="F311" i="147"/>
  <c r="E311" i="147"/>
  <c r="D311" i="147"/>
  <c r="C311" i="147"/>
  <c r="B311" i="147"/>
  <c r="N310" i="147"/>
  <c r="M310" i="147"/>
  <c r="L310" i="147"/>
  <c r="K310" i="147"/>
  <c r="J310" i="147"/>
  <c r="I310" i="147"/>
  <c r="H310" i="147"/>
  <c r="G310" i="147"/>
  <c r="F310" i="147"/>
  <c r="E310" i="147"/>
  <c r="D310" i="147"/>
  <c r="C310" i="147"/>
  <c r="B310" i="147"/>
  <c r="N309" i="147"/>
  <c r="M309" i="147"/>
  <c r="L309" i="147"/>
  <c r="K309" i="147"/>
  <c r="J309" i="147"/>
  <c r="I309" i="147"/>
  <c r="H309" i="147"/>
  <c r="G309" i="147"/>
  <c r="F309" i="147"/>
  <c r="E309" i="147"/>
  <c r="D309" i="147"/>
  <c r="C309" i="147"/>
  <c r="B309" i="147"/>
  <c r="N308" i="147"/>
  <c r="M308" i="147"/>
  <c r="L308" i="147"/>
  <c r="K308" i="147"/>
  <c r="J308" i="147"/>
  <c r="I308" i="147"/>
  <c r="H308" i="147"/>
  <c r="G308" i="147"/>
  <c r="F308" i="147"/>
  <c r="E308" i="147"/>
  <c r="D308" i="147"/>
  <c r="C308" i="147"/>
  <c r="B308" i="147"/>
  <c r="N307" i="147"/>
  <c r="M307" i="147"/>
  <c r="L307" i="147"/>
  <c r="K307" i="147"/>
  <c r="J307" i="147"/>
  <c r="I307" i="147"/>
  <c r="H307" i="147"/>
  <c r="G307" i="147"/>
  <c r="F307" i="147"/>
  <c r="E307" i="147"/>
  <c r="D307" i="147"/>
  <c r="C307" i="147"/>
  <c r="B307" i="147"/>
  <c r="N306" i="147"/>
  <c r="M306" i="147"/>
  <c r="L306" i="147"/>
  <c r="K306" i="147"/>
  <c r="J306" i="147"/>
  <c r="I306" i="147"/>
  <c r="H306" i="147"/>
  <c r="G306" i="147"/>
  <c r="F306" i="147"/>
  <c r="E306" i="147"/>
  <c r="D306" i="147"/>
  <c r="C306" i="147"/>
  <c r="B306" i="147"/>
  <c r="N305" i="147"/>
  <c r="M305" i="147"/>
  <c r="L305" i="147"/>
  <c r="K305" i="147"/>
  <c r="J305" i="147"/>
  <c r="I305" i="147"/>
  <c r="H305" i="147"/>
  <c r="G305" i="147"/>
  <c r="F305" i="147"/>
  <c r="E305" i="147"/>
  <c r="D305" i="147"/>
  <c r="C305" i="147"/>
  <c r="B305" i="147"/>
  <c r="N304" i="147"/>
  <c r="M304" i="147"/>
  <c r="L304" i="147"/>
  <c r="K304" i="147"/>
  <c r="J304" i="147"/>
  <c r="I304" i="147"/>
  <c r="H304" i="147"/>
  <c r="G304" i="147"/>
  <c r="F304" i="147"/>
  <c r="E304" i="147"/>
  <c r="D304" i="147"/>
  <c r="C304" i="147"/>
  <c r="B304" i="147"/>
  <c r="N303" i="147"/>
  <c r="M303" i="147"/>
  <c r="L303" i="147"/>
  <c r="K303" i="147"/>
  <c r="J303" i="147"/>
  <c r="I303" i="147"/>
  <c r="H303" i="147"/>
  <c r="G303" i="147"/>
  <c r="F303" i="147"/>
  <c r="E303" i="147"/>
  <c r="D303" i="147"/>
  <c r="C303" i="147"/>
  <c r="B303" i="147"/>
  <c r="N302" i="147"/>
  <c r="M302" i="147"/>
  <c r="L302" i="147"/>
  <c r="K302" i="147"/>
  <c r="J302" i="147"/>
  <c r="I302" i="147"/>
  <c r="H302" i="147"/>
  <c r="G302" i="147"/>
  <c r="F302" i="147"/>
  <c r="E302" i="147"/>
  <c r="D302" i="147"/>
  <c r="C302" i="147"/>
  <c r="B302" i="147"/>
  <c r="N296" i="147"/>
  <c r="M296" i="147"/>
  <c r="L296" i="147"/>
  <c r="K296" i="147"/>
  <c r="J296" i="147"/>
  <c r="I296" i="147"/>
  <c r="H296" i="147"/>
  <c r="G296" i="147"/>
  <c r="F296" i="147"/>
  <c r="E296" i="147"/>
  <c r="D296" i="147"/>
  <c r="C296" i="147"/>
  <c r="N294" i="147"/>
  <c r="M294" i="147"/>
  <c r="L294" i="147"/>
  <c r="K294" i="147"/>
  <c r="J294" i="147"/>
  <c r="I294" i="147"/>
  <c r="H294" i="147"/>
  <c r="G294" i="147"/>
  <c r="F294" i="147"/>
  <c r="E294" i="147"/>
  <c r="D294" i="147"/>
  <c r="C294" i="147"/>
  <c r="N293" i="147"/>
  <c r="M293" i="147"/>
  <c r="L293" i="147"/>
  <c r="K293" i="147"/>
  <c r="J293" i="147"/>
  <c r="I293" i="147"/>
  <c r="H293" i="147"/>
  <c r="G293" i="147"/>
  <c r="F293" i="147"/>
  <c r="E293" i="147"/>
  <c r="D293" i="147"/>
  <c r="C293" i="147"/>
  <c r="N290" i="147"/>
  <c r="M290" i="147"/>
  <c r="L290" i="147"/>
  <c r="K290" i="147"/>
  <c r="J290" i="147"/>
  <c r="I290" i="147"/>
  <c r="H290" i="147"/>
  <c r="G290" i="147"/>
  <c r="F290" i="147"/>
  <c r="E290" i="147"/>
  <c r="D290" i="147"/>
  <c r="C290" i="147"/>
  <c r="N289" i="147"/>
  <c r="M289" i="147"/>
  <c r="L289" i="147"/>
  <c r="K289" i="147"/>
  <c r="J289" i="147"/>
  <c r="I289" i="147"/>
  <c r="H289" i="147"/>
  <c r="G289" i="147"/>
  <c r="F289" i="147"/>
  <c r="E289" i="147"/>
  <c r="D289" i="147"/>
  <c r="C289" i="147"/>
  <c r="N283" i="147"/>
  <c r="M283" i="147"/>
  <c r="L283" i="147"/>
  <c r="K283" i="147"/>
  <c r="J283" i="147"/>
  <c r="I283" i="147"/>
  <c r="H283" i="147"/>
  <c r="G283" i="147"/>
  <c r="F283" i="147"/>
  <c r="E283" i="147"/>
  <c r="D283" i="147"/>
  <c r="C283" i="147"/>
  <c r="A283" i="147"/>
  <c r="N282" i="147"/>
  <c r="M282" i="147"/>
  <c r="L282" i="147"/>
  <c r="K282" i="147"/>
  <c r="J282" i="147"/>
  <c r="I282" i="147"/>
  <c r="H282" i="147"/>
  <c r="G282" i="147"/>
  <c r="F282" i="147"/>
  <c r="E282" i="147"/>
  <c r="D282" i="147"/>
  <c r="C282" i="147"/>
  <c r="N281" i="147"/>
  <c r="M281" i="147"/>
  <c r="L281" i="147"/>
  <c r="K281" i="147"/>
  <c r="J281" i="147"/>
  <c r="I281" i="147"/>
  <c r="H281" i="147"/>
  <c r="G281" i="147"/>
  <c r="F281" i="147"/>
  <c r="E281" i="147"/>
  <c r="D281" i="147"/>
  <c r="C281" i="147"/>
  <c r="N280" i="147"/>
  <c r="M280" i="147"/>
  <c r="L280" i="147"/>
  <c r="K280" i="147"/>
  <c r="J280" i="147"/>
  <c r="I280" i="147"/>
  <c r="H280" i="147"/>
  <c r="G280" i="147"/>
  <c r="F280" i="147"/>
  <c r="E280" i="147"/>
  <c r="D280" i="147"/>
  <c r="C280" i="147"/>
  <c r="N279" i="147"/>
  <c r="M279" i="147"/>
  <c r="L279" i="147"/>
  <c r="K279" i="147"/>
  <c r="J279" i="147"/>
  <c r="I279" i="147"/>
  <c r="H279" i="147"/>
  <c r="G279" i="147"/>
  <c r="F279" i="147"/>
  <c r="E279" i="147"/>
  <c r="D279" i="147"/>
  <c r="C279" i="147"/>
  <c r="N278" i="147"/>
  <c r="M278" i="147"/>
  <c r="L278" i="147"/>
  <c r="K278" i="147"/>
  <c r="J278" i="147"/>
  <c r="I278" i="147"/>
  <c r="H278" i="147"/>
  <c r="G278" i="147"/>
  <c r="F278" i="147"/>
  <c r="E278" i="147"/>
  <c r="D278" i="147"/>
  <c r="C278" i="147"/>
  <c r="N274" i="147"/>
  <c r="M274" i="147"/>
  <c r="L274" i="147"/>
  <c r="K274" i="147"/>
  <c r="J274" i="147"/>
  <c r="I274" i="147"/>
  <c r="H274" i="147"/>
  <c r="G274" i="147"/>
  <c r="F274" i="147"/>
  <c r="E274" i="147"/>
  <c r="D274" i="147"/>
  <c r="C274" i="147"/>
  <c r="A274" i="147"/>
  <c r="N273" i="147"/>
  <c r="M273" i="147"/>
  <c r="L273" i="147"/>
  <c r="K273" i="147"/>
  <c r="J273" i="147"/>
  <c r="I273" i="147"/>
  <c r="H273" i="147"/>
  <c r="G273" i="147"/>
  <c r="F273" i="147"/>
  <c r="E273" i="147"/>
  <c r="D273" i="147"/>
  <c r="C273" i="147"/>
  <c r="B273" i="147"/>
  <c r="N272" i="147"/>
  <c r="M272" i="147"/>
  <c r="L272" i="147"/>
  <c r="K272" i="147"/>
  <c r="J272" i="147"/>
  <c r="I272" i="147"/>
  <c r="H272" i="147"/>
  <c r="G272" i="147"/>
  <c r="F272" i="147"/>
  <c r="E272" i="147"/>
  <c r="D272" i="147"/>
  <c r="C272" i="147"/>
  <c r="B272" i="147"/>
  <c r="N271" i="147"/>
  <c r="M271" i="147"/>
  <c r="L271" i="147"/>
  <c r="K271" i="147"/>
  <c r="J271" i="147"/>
  <c r="I271" i="147"/>
  <c r="H271" i="147"/>
  <c r="G271" i="147"/>
  <c r="F271" i="147"/>
  <c r="E271" i="147"/>
  <c r="D271" i="147"/>
  <c r="C271" i="147"/>
  <c r="B271" i="147"/>
  <c r="N270" i="147"/>
  <c r="M270" i="147"/>
  <c r="L270" i="147"/>
  <c r="K270" i="147"/>
  <c r="J270" i="147"/>
  <c r="I270" i="147"/>
  <c r="H270" i="147"/>
  <c r="G270" i="147"/>
  <c r="F270" i="147"/>
  <c r="E270" i="147"/>
  <c r="D270" i="147"/>
  <c r="C270" i="147"/>
  <c r="B270" i="147"/>
  <c r="N269" i="147"/>
  <c r="M269" i="147"/>
  <c r="L269" i="147"/>
  <c r="K269" i="147"/>
  <c r="J269" i="147"/>
  <c r="I269" i="147"/>
  <c r="H269" i="147"/>
  <c r="G269" i="147"/>
  <c r="F269" i="147"/>
  <c r="E269" i="147"/>
  <c r="D269" i="147"/>
  <c r="C269" i="147"/>
  <c r="B269" i="147"/>
  <c r="N268" i="147"/>
  <c r="M268" i="147"/>
  <c r="L268" i="147"/>
  <c r="K268" i="147"/>
  <c r="J268" i="147"/>
  <c r="I268" i="147"/>
  <c r="H268" i="147"/>
  <c r="G268" i="147"/>
  <c r="F268" i="147"/>
  <c r="E268" i="147"/>
  <c r="D268" i="147"/>
  <c r="C268" i="147"/>
  <c r="B268" i="147"/>
  <c r="N267" i="147"/>
  <c r="M267" i="147"/>
  <c r="L267" i="147"/>
  <c r="K267" i="147"/>
  <c r="J267" i="147"/>
  <c r="I267" i="147"/>
  <c r="H267" i="147"/>
  <c r="G267" i="147"/>
  <c r="F267" i="147"/>
  <c r="E267" i="147"/>
  <c r="D267" i="147"/>
  <c r="C267" i="147"/>
  <c r="B267" i="147"/>
  <c r="N266" i="147"/>
  <c r="M266" i="147"/>
  <c r="L266" i="147"/>
  <c r="K266" i="147"/>
  <c r="J266" i="147"/>
  <c r="I266" i="147"/>
  <c r="H266" i="147"/>
  <c r="G266" i="147"/>
  <c r="F266" i="147"/>
  <c r="E266" i="147"/>
  <c r="D266" i="147"/>
  <c r="C266" i="147"/>
  <c r="B266" i="147"/>
  <c r="N265" i="147"/>
  <c r="M265" i="147"/>
  <c r="L265" i="147"/>
  <c r="K265" i="147"/>
  <c r="J265" i="147"/>
  <c r="I265" i="147"/>
  <c r="H265" i="147"/>
  <c r="G265" i="147"/>
  <c r="F265" i="147"/>
  <c r="E265" i="147"/>
  <c r="D265" i="147"/>
  <c r="C265" i="147"/>
  <c r="B265" i="147"/>
  <c r="N264" i="147"/>
  <c r="M264" i="147"/>
  <c r="L264" i="147"/>
  <c r="K264" i="147"/>
  <c r="J264" i="147"/>
  <c r="I264" i="147"/>
  <c r="H264" i="147"/>
  <c r="G264" i="147"/>
  <c r="F264" i="147"/>
  <c r="E264" i="147"/>
  <c r="D264" i="147"/>
  <c r="C264" i="147"/>
  <c r="B264" i="147"/>
  <c r="N263" i="147"/>
  <c r="M263" i="147"/>
  <c r="L263" i="147"/>
  <c r="K263" i="147"/>
  <c r="J263" i="147"/>
  <c r="I263" i="147"/>
  <c r="H263" i="147"/>
  <c r="G263" i="147"/>
  <c r="F263" i="147"/>
  <c r="E263" i="147"/>
  <c r="D263" i="147"/>
  <c r="C263" i="147"/>
  <c r="B263" i="147"/>
  <c r="N262" i="147"/>
  <c r="M262" i="147"/>
  <c r="L262" i="147"/>
  <c r="K262" i="147"/>
  <c r="J262" i="147"/>
  <c r="I262" i="147"/>
  <c r="H262" i="147"/>
  <c r="G262" i="147"/>
  <c r="F262" i="147"/>
  <c r="E262" i="147"/>
  <c r="D262" i="147"/>
  <c r="C262" i="147"/>
  <c r="B262" i="147"/>
  <c r="N258" i="147"/>
  <c r="M258" i="147"/>
  <c r="L258" i="147"/>
  <c r="K258" i="147"/>
  <c r="J258" i="147"/>
  <c r="I258" i="147"/>
  <c r="H258" i="147"/>
  <c r="G258" i="147"/>
  <c r="F258" i="147"/>
  <c r="E258" i="147"/>
  <c r="D258" i="147"/>
  <c r="C258" i="147"/>
  <c r="A258" i="147"/>
  <c r="N257" i="147"/>
  <c r="M257" i="147"/>
  <c r="L257" i="147"/>
  <c r="K257" i="147"/>
  <c r="J257" i="147"/>
  <c r="I257" i="147"/>
  <c r="H257" i="147"/>
  <c r="G257" i="147"/>
  <c r="F257" i="147"/>
  <c r="E257" i="147"/>
  <c r="D257" i="147"/>
  <c r="C257" i="147"/>
  <c r="B257" i="147"/>
  <c r="N256" i="147"/>
  <c r="M256" i="147"/>
  <c r="L256" i="147"/>
  <c r="K256" i="147"/>
  <c r="J256" i="147"/>
  <c r="I256" i="147"/>
  <c r="H256" i="147"/>
  <c r="G256" i="147"/>
  <c r="F256" i="147"/>
  <c r="E256" i="147"/>
  <c r="D256" i="147"/>
  <c r="C256" i="147"/>
  <c r="B256" i="147"/>
  <c r="N255" i="147"/>
  <c r="M255" i="147"/>
  <c r="L255" i="147"/>
  <c r="K255" i="147"/>
  <c r="J255" i="147"/>
  <c r="I255" i="147"/>
  <c r="H255" i="147"/>
  <c r="G255" i="147"/>
  <c r="F255" i="147"/>
  <c r="E255" i="147"/>
  <c r="D255" i="147"/>
  <c r="C255" i="147"/>
  <c r="B255" i="147"/>
  <c r="N254" i="147"/>
  <c r="M254" i="147"/>
  <c r="L254" i="147"/>
  <c r="K254" i="147"/>
  <c r="J254" i="147"/>
  <c r="I254" i="147"/>
  <c r="H254" i="147"/>
  <c r="G254" i="147"/>
  <c r="F254" i="147"/>
  <c r="E254" i="147"/>
  <c r="D254" i="147"/>
  <c r="C254" i="147"/>
  <c r="B254" i="147"/>
  <c r="N253" i="147"/>
  <c r="M253" i="147"/>
  <c r="L253" i="147"/>
  <c r="K253" i="147"/>
  <c r="J253" i="147"/>
  <c r="I253" i="147"/>
  <c r="H253" i="147"/>
  <c r="G253" i="147"/>
  <c r="F253" i="147"/>
  <c r="E253" i="147"/>
  <c r="D253" i="147"/>
  <c r="C253" i="147"/>
  <c r="B253" i="147"/>
  <c r="N252" i="147"/>
  <c r="M252" i="147"/>
  <c r="L252" i="147"/>
  <c r="K252" i="147"/>
  <c r="J252" i="147"/>
  <c r="I252" i="147"/>
  <c r="H252" i="147"/>
  <c r="G252" i="147"/>
  <c r="F252" i="147"/>
  <c r="E252" i="147"/>
  <c r="D252" i="147"/>
  <c r="C252" i="147"/>
  <c r="B252" i="147"/>
  <c r="N251" i="147"/>
  <c r="M251" i="147"/>
  <c r="L251" i="147"/>
  <c r="K251" i="147"/>
  <c r="J251" i="147"/>
  <c r="I251" i="147"/>
  <c r="H251" i="147"/>
  <c r="G251" i="147"/>
  <c r="F251" i="147"/>
  <c r="E251" i="147"/>
  <c r="D251" i="147"/>
  <c r="C251" i="147"/>
  <c r="B251" i="147"/>
  <c r="N250" i="147"/>
  <c r="M250" i="147"/>
  <c r="L250" i="147"/>
  <c r="K250" i="147"/>
  <c r="J250" i="147"/>
  <c r="I250" i="147"/>
  <c r="H250" i="147"/>
  <c r="G250" i="147"/>
  <c r="F250" i="147"/>
  <c r="E250" i="147"/>
  <c r="D250" i="147"/>
  <c r="C250" i="147"/>
  <c r="B250" i="147"/>
  <c r="N249" i="147"/>
  <c r="M249" i="147"/>
  <c r="L249" i="147"/>
  <c r="K249" i="147"/>
  <c r="J249" i="147"/>
  <c r="I249" i="147"/>
  <c r="H249" i="147"/>
  <c r="G249" i="147"/>
  <c r="F249" i="147"/>
  <c r="E249" i="147"/>
  <c r="D249" i="147"/>
  <c r="C249" i="147"/>
  <c r="B249" i="147"/>
  <c r="N248" i="147"/>
  <c r="M248" i="147"/>
  <c r="L248" i="147"/>
  <c r="K248" i="147"/>
  <c r="J248" i="147"/>
  <c r="I248" i="147"/>
  <c r="H248" i="147"/>
  <c r="G248" i="147"/>
  <c r="F248" i="147"/>
  <c r="E248" i="147"/>
  <c r="D248" i="147"/>
  <c r="C248" i="147"/>
  <c r="B248" i="147"/>
  <c r="N247" i="147"/>
  <c r="M247" i="147"/>
  <c r="L247" i="147"/>
  <c r="K247" i="147"/>
  <c r="J247" i="147"/>
  <c r="I247" i="147"/>
  <c r="H247" i="147"/>
  <c r="G247" i="147"/>
  <c r="F247" i="147"/>
  <c r="E247" i="147"/>
  <c r="D247" i="147"/>
  <c r="C247" i="147"/>
  <c r="B247" i="147"/>
  <c r="N246" i="147"/>
  <c r="M246" i="147"/>
  <c r="L246" i="147"/>
  <c r="K246" i="147"/>
  <c r="J246" i="147"/>
  <c r="I246" i="147"/>
  <c r="H246" i="147"/>
  <c r="G246" i="147"/>
  <c r="F246" i="147"/>
  <c r="E246" i="147"/>
  <c r="D246" i="147"/>
  <c r="C246" i="147"/>
  <c r="B246" i="147"/>
  <c r="N240" i="147"/>
  <c r="M240" i="147"/>
  <c r="L240" i="147"/>
  <c r="K240" i="147"/>
  <c r="J240" i="147"/>
  <c r="I240" i="147"/>
  <c r="H240" i="147"/>
  <c r="G240" i="147"/>
  <c r="F240" i="147"/>
  <c r="E240" i="147"/>
  <c r="D240" i="147"/>
  <c r="C240" i="147"/>
  <c r="A240" i="147"/>
  <c r="N239" i="147"/>
  <c r="M239" i="147"/>
  <c r="L239" i="147"/>
  <c r="K239" i="147"/>
  <c r="J239" i="147"/>
  <c r="I239" i="147"/>
  <c r="H239" i="147"/>
  <c r="G239" i="147"/>
  <c r="F239" i="147"/>
  <c r="E239" i="147"/>
  <c r="D239" i="147"/>
  <c r="C239" i="147"/>
  <c r="B239" i="147"/>
  <c r="N238" i="147"/>
  <c r="M238" i="147"/>
  <c r="L238" i="147"/>
  <c r="K238" i="147"/>
  <c r="J238" i="147"/>
  <c r="I238" i="147"/>
  <c r="H238" i="147"/>
  <c r="G238" i="147"/>
  <c r="F238" i="147"/>
  <c r="E238" i="147"/>
  <c r="D238" i="147"/>
  <c r="C238" i="147"/>
  <c r="B238" i="147"/>
  <c r="N237" i="147"/>
  <c r="M237" i="147"/>
  <c r="L237" i="147"/>
  <c r="K237" i="147"/>
  <c r="J237" i="147"/>
  <c r="I237" i="147"/>
  <c r="H237" i="147"/>
  <c r="G237" i="147"/>
  <c r="F237" i="147"/>
  <c r="E237" i="147"/>
  <c r="D237" i="147"/>
  <c r="C237" i="147"/>
  <c r="B237" i="147"/>
  <c r="N236" i="147"/>
  <c r="M236" i="147"/>
  <c r="L236" i="147"/>
  <c r="K236" i="147"/>
  <c r="J236" i="147"/>
  <c r="I236" i="147"/>
  <c r="H236" i="147"/>
  <c r="G236" i="147"/>
  <c r="F236" i="147"/>
  <c r="E236" i="147"/>
  <c r="D236" i="147"/>
  <c r="C236" i="147"/>
  <c r="B236" i="147"/>
  <c r="N235" i="147"/>
  <c r="M235" i="147"/>
  <c r="L235" i="147"/>
  <c r="K235" i="147"/>
  <c r="J235" i="147"/>
  <c r="I235" i="147"/>
  <c r="H235" i="147"/>
  <c r="G235" i="147"/>
  <c r="F235" i="147"/>
  <c r="E235" i="147"/>
  <c r="D235" i="147"/>
  <c r="C235" i="147"/>
  <c r="B235" i="147"/>
  <c r="N234" i="147"/>
  <c r="M234" i="147"/>
  <c r="L234" i="147"/>
  <c r="K234" i="147"/>
  <c r="J234" i="147"/>
  <c r="I234" i="147"/>
  <c r="H234" i="147"/>
  <c r="G234" i="147"/>
  <c r="F234" i="147"/>
  <c r="E234" i="147"/>
  <c r="D234" i="147"/>
  <c r="C234" i="147"/>
  <c r="B234" i="147"/>
  <c r="N233" i="147"/>
  <c r="M233" i="147"/>
  <c r="L233" i="147"/>
  <c r="K233" i="147"/>
  <c r="J233" i="147"/>
  <c r="I233" i="147"/>
  <c r="H233" i="147"/>
  <c r="G233" i="147"/>
  <c r="F233" i="147"/>
  <c r="E233" i="147"/>
  <c r="D233" i="147"/>
  <c r="C233" i="147"/>
  <c r="B233" i="147"/>
  <c r="N232" i="147"/>
  <c r="M232" i="147"/>
  <c r="L232" i="147"/>
  <c r="K232" i="147"/>
  <c r="J232" i="147"/>
  <c r="I232" i="147"/>
  <c r="H232" i="147"/>
  <c r="G232" i="147"/>
  <c r="F232" i="147"/>
  <c r="E232" i="147"/>
  <c r="D232" i="147"/>
  <c r="C232" i="147"/>
  <c r="B232" i="147"/>
  <c r="N231" i="147"/>
  <c r="M231" i="147"/>
  <c r="L231" i="147"/>
  <c r="K231" i="147"/>
  <c r="J231" i="147"/>
  <c r="I231" i="147"/>
  <c r="H231" i="147"/>
  <c r="G231" i="147"/>
  <c r="F231" i="147"/>
  <c r="E231" i="147"/>
  <c r="D231" i="147"/>
  <c r="C231" i="147"/>
  <c r="B231" i="147"/>
  <c r="N230" i="147"/>
  <c r="M230" i="147"/>
  <c r="L230" i="147"/>
  <c r="K230" i="147"/>
  <c r="J230" i="147"/>
  <c r="I230" i="147"/>
  <c r="H230" i="147"/>
  <c r="G230" i="147"/>
  <c r="F230" i="147"/>
  <c r="E230" i="147"/>
  <c r="D230" i="147"/>
  <c r="C230" i="147"/>
  <c r="B230" i="147"/>
  <c r="N229" i="147"/>
  <c r="M229" i="147"/>
  <c r="L229" i="147"/>
  <c r="K229" i="147"/>
  <c r="J229" i="147"/>
  <c r="I229" i="147"/>
  <c r="H229" i="147"/>
  <c r="G229" i="147"/>
  <c r="F229" i="147"/>
  <c r="E229" i="147"/>
  <c r="D229" i="147"/>
  <c r="C229" i="147"/>
  <c r="B229" i="147"/>
  <c r="N228" i="147"/>
  <c r="M228" i="147"/>
  <c r="L228" i="147"/>
  <c r="K228" i="147"/>
  <c r="J228" i="147"/>
  <c r="I228" i="147"/>
  <c r="H228" i="147"/>
  <c r="G228" i="147"/>
  <c r="F228" i="147"/>
  <c r="E228" i="147"/>
  <c r="D228" i="147"/>
  <c r="C228" i="147"/>
  <c r="B228" i="147"/>
  <c r="N224" i="147"/>
  <c r="M224" i="147"/>
  <c r="L224" i="147"/>
  <c r="K224" i="147"/>
  <c r="J224" i="147"/>
  <c r="I224" i="147"/>
  <c r="H224" i="147"/>
  <c r="G224" i="147"/>
  <c r="F224" i="147"/>
  <c r="E224" i="147"/>
  <c r="D224" i="147"/>
  <c r="C224" i="147"/>
  <c r="A224" i="147"/>
  <c r="N223" i="147"/>
  <c r="M223" i="147"/>
  <c r="L223" i="147"/>
  <c r="K223" i="147"/>
  <c r="J223" i="147"/>
  <c r="I223" i="147"/>
  <c r="H223" i="147"/>
  <c r="G223" i="147"/>
  <c r="F223" i="147"/>
  <c r="E223" i="147"/>
  <c r="D223" i="147"/>
  <c r="C223" i="147"/>
  <c r="B223" i="147"/>
  <c r="N222" i="147"/>
  <c r="M222" i="147"/>
  <c r="L222" i="147"/>
  <c r="K222" i="147"/>
  <c r="J222" i="147"/>
  <c r="I222" i="147"/>
  <c r="H222" i="147"/>
  <c r="G222" i="147"/>
  <c r="F222" i="147"/>
  <c r="E222" i="147"/>
  <c r="D222" i="147"/>
  <c r="C222" i="147"/>
  <c r="B222" i="147"/>
  <c r="N221" i="147"/>
  <c r="M221" i="147"/>
  <c r="L221" i="147"/>
  <c r="K221" i="147"/>
  <c r="J221" i="147"/>
  <c r="I221" i="147"/>
  <c r="H221" i="147"/>
  <c r="G221" i="147"/>
  <c r="F221" i="147"/>
  <c r="E221" i="147"/>
  <c r="D221" i="147"/>
  <c r="C221" i="147"/>
  <c r="B221" i="147"/>
  <c r="N220" i="147"/>
  <c r="M220" i="147"/>
  <c r="L220" i="147"/>
  <c r="K220" i="147"/>
  <c r="J220" i="147"/>
  <c r="I220" i="147"/>
  <c r="H220" i="147"/>
  <c r="G220" i="147"/>
  <c r="F220" i="147"/>
  <c r="E220" i="147"/>
  <c r="D220" i="147"/>
  <c r="C220" i="147"/>
  <c r="B220" i="147"/>
  <c r="N219" i="147"/>
  <c r="M219" i="147"/>
  <c r="L219" i="147"/>
  <c r="K219" i="147"/>
  <c r="J219" i="147"/>
  <c r="I219" i="147"/>
  <c r="H219" i="147"/>
  <c r="G219" i="147"/>
  <c r="F219" i="147"/>
  <c r="E219" i="147"/>
  <c r="D219" i="147"/>
  <c r="C219" i="147"/>
  <c r="B219" i="147"/>
  <c r="N218" i="147"/>
  <c r="M218" i="147"/>
  <c r="L218" i="147"/>
  <c r="K218" i="147"/>
  <c r="J218" i="147"/>
  <c r="I218" i="147"/>
  <c r="H218" i="147"/>
  <c r="G218" i="147"/>
  <c r="F218" i="147"/>
  <c r="E218" i="147"/>
  <c r="D218" i="147"/>
  <c r="C218" i="147"/>
  <c r="B218" i="147"/>
  <c r="N217" i="147"/>
  <c r="M217" i="147"/>
  <c r="L217" i="147"/>
  <c r="K217" i="147"/>
  <c r="J217" i="147"/>
  <c r="I217" i="147"/>
  <c r="H217" i="147"/>
  <c r="G217" i="147"/>
  <c r="F217" i="147"/>
  <c r="E217" i="147"/>
  <c r="D217" i="147"/>
  <c r="C217" i="147"/>
  <c r="B217" i="147"/>
  <c r="N216" i="147"/>
  <c r="M216" i="147"/>
  <c r="L216" i="147"/>
  <c r="K216" i="147"/>
  <c r="J216" i="147"/>
  <c r="I216" i="147"/>
  <c r="H216" i="147"/>
  <c r="G216" i="147"/>
  <c r="F216" i="147"/>
  <c r="E216" i="147"/>
  <c r="D216" i="147"/>
  <c r="C216" i="147"/>
  <c r="B216" i="147"/>
  <c r="N215" i="147"/>
  <c r="M215" i="147"/>
  <c r="L215" i="147"/>
  <c r="K215" i="147"/>
  <c r="J215" i="147"/>
  <c r="I215" i="147"/>
  <c r="H215" i="147"/>
  <c r="G215" i="147"/>
  <c r="F215" i="147"/>
  <c r="E215" i="147"/>
  <c r="D215" i="147"/>
  <c r="C215" i="147"/>
  <c r="B215" i="147"/>
  <c r="N214" i="147"/>
  <c r="M214" i="147"/>
  <c r="L214" i="147"/>
  <c r="K214" i="147"/>
  <c r="J214" i="147"/>
  <c r="I214" i="147"/>
  <c r="H214" i="147"/>
  <c r="G214" i="147"/>
  <c r="F214" i="147"/>
  <c r="E214" i="147"/>
  <c r="D214" i="147"/>
  <c r="C214" i="147"/>
  <c r="B214" i="147"/>
  <c r="N213" i="147"/>
  <c r="M213" i="147"/>
  <c r="L213" i="147"/>
  <c r="K213" i="147"/>
  <c r="J213" i="147"/>
  <c r="I213" i="147"/>
  <c r="H213" i="147"/>
  <c r="G213" i="147"/>
  <c r="F213" i="147"/>
  <c r="E213" i="147"/>
  <c r="D213" i="147"/>
  <c r="C213" i="147"/>
  <c r="B213" i="147"/>
  <c r="N212" i="147"/>
  <c r="M212" i="147"/>
  <c r="L212" i="147"/>
  <c r="K212" i="147"/>
  <c r="J212" i="147"/>
  <c r="I212" i="147"/>
  <c r="H212" i="147"/>
  <c r="G212" i="147"/>
  <c r="F212" i="147"/>
  <c r="E212" i="147"/>
  <c r="D212" i="147"/>
  <c r="C212" i="147"/>
  <c r="B212" i="147"/>
  <c r="N206" i="147"/>
  <c r="M206" i="147"/>
  <c r="L206" i="147"/>
  <c r="K206" i="147"/>
  <c r="J206" i="147"/>
  <c r="I206" i="147"/>
  <c r="H206" i="147"/>
  <c r="G206" i="147"/>
  <c r="F206" i="147"/>
  <c r="E206" i="147"/>
  <c r="D206" i="147"/>
  <c r="C206" i="147"/>
  <c r="A206" i="147"/>
  <c r="N205" i="147"/>
  <c r="M205" i="147"/>
  <c r="L205" i="147"/>
  <c r="K205" i="147"/>
  <c r="J205" i="147"/>
  <c r="I205" i="147"/>
  <c r="H205" i="147"/>
  <c r="G205" i="147"/>
  <c r="F205" i="147"/>
  <c r="E205" i="147"/>
  <c r="D205" i="147"/>
  <c r="C205" i="147"/>
  <c r="B205" i="147"/>
  <c r="N204" i="147"/>
  <c r="M204" i="147"/>
  <c r="L204" i="147"/>
  <c r="K204" i="147"/>
  <c r="J204" i="147"/>
  <c r="I204" i="147"/>
  <c r="H204" i="147"/>
  <c r="G204" i="147"/>
  <c r="F204" i="147"/>
  <c r="E204" i="147"/>
  <c r="D204" i="147"/>
  <c r="C204" i="147"/>
  <c r="B204" i="147"/>
  <c r="N203" i="147"/>
  <c r="M203" i="147"/>
  <c r="L203" i="147"/>
  <c r="K203" i="147"/>
  <c r="J203" i="147"/>
  <c r="I203" i="147"/>
  <c r="H203" i="147"/>
  <c r="G203" i="147"/>
  <c r="F203" i="147"/>
  <c r="E203" i="147"/>
  <c r="D203" i="147"/>
  <c r="C203" i="147"/>
  <c r="B203" i="147"/>
  <c r="N202" i="147"/>
  <c r="M202" i="147"/>
  <c r="L202" i="147"/>
  <c r="K202" i="147"/>
  <c r="J202" i="147"/>
  <c r="I202" i="147"/>
  <c r="H202" i="147"/>
  <c r="G202" i="147"/>
  <c r="F202" i="147"/>
  <c r="E202" i="147"/>
  <c r="D202" i="147"/>
  <c r="C202" i="147"/>
  <c r="B202" i="147"/>
  <c r="N201" i="147"/>
  <c r="M201" i="147"/>
  <c r="L201" i="147"/>
  <c r="K201" i="147"/>
  <c r="J201" i="147"/>
  <c r="I201" i="147"/>
  <c r="H201" i="147"/>
  <c r="G201" i="147"/>
  <c r="F201" i="147"/>
  <c r="E201" i="147"/>
  <c r="D201" i="147"/>
  <c r="C201" i="147"/>
  <c r="B201" i="147"/>
  <c r="N200" i="147"/>
  <c r="M200" i="147"/>
  <c r="L200" i="147"/>
  <c r="K200" i="147"/>
  <c r="J200" i="147"/>
  <c r="I200" i="147"/>
  <c r="H200" i="147"/>
  <c r="G200" i="147"/>
  <c r="F200" i="147"/>
  <c r="E200" i="147"/>
  <c r="D200" i="147"/>
  <c r="C200" i="147"/>
  <c r="B200" i="147"/>
  <c r="N199" i="147"/>
  <c r="M199" i="147"/>
  <c r="L199" i="147"/>
  <c r="K199" i="147"/>
  <c r="J199" i="147"/>
  <c r="I199" i="147"/>
  <c r="H199" i="147"/>
  <c r="G199" i="147"/>
  <c r="F199" i="147"/>
  <c r="E199" i="147"/>
  <c r="D199" i="147"/>
  <c r="C199" i="147"/>
  <c r="B199" i="147"/>
  <c r="N198" i="147"/>
  <c r="M198" i="147"/>
  <c r="L198" i="147"/>
  <c r="K198" i="147"/>
  <c r="J198" i="147"/>
  <c r="I198" i="147"/>
  <c r="H198" i="147"/>
  <c r="G198" i="147"/>
  <c r="F198" i="147"/>
  <c r="E198" i="147"/>
  <c r="D198" i="147"/>
  <c r="C198" i="147"/>
  <c r="B198" i="147"/>
  <c r="N197" i="147"/>
  <c r="M197" i="147"/>
  <c r="L197" i="147"/>
  <c r="K197" i="147"/>
  <c r="J197" i="147"/>
  <c r="I197" i="147"/>
  <c r="H197" i="147"/>
  <c r="G197" i="147"/>
  <c r="F197" i="147"/>
  <c r="E197" i="147"/>
  <c r="D197" i="147"/>
  <c r="C197" i="147"/>
  <c r="B197" i="147"/>
  <c r="N196" i="147"/>
  <c r="M196" i="147"/>
  <c r="L196" i="147"/>
  <c r="K196" i="147"/>
  <c r="J196" i="147"/>
  <c r="I196" i="147"/>
  <c r="H196" i="147"/>
  <c r="G196" i="147"/>
  <c r="F196" i="147"/>
  <c r="E196" i="147"/>
  <c r="D196" i="147"/>
  <c r="C196" i="147"/>
  <c r="B196" i="147"/>
  <c r="N195" i="147"/>
  <c r="M195" i="147"/>
  <c r="L195" i="147"/>
  <c r="K195" i="147"/>
  <c r="J195" i="147"/>
  <c r="I195" i="147"/>
  <c r="H195" i="147"/>
  <c r="G195" i="147"/>
  <c r="F195" i="147"/>
  <c r="E195" i="147"/>
  <c r="D195" i="147"/>
  <c r="C195" i="147"/>
  <c r="B195" i="147"/>
  <c r="N194" i="147"/>
  <c r="M194" i="147"/>
  <c r="L194" i="147"/>
  <c r="K194" i="147"/>
  <c r="J194" i="147"/>
  <c r="I194" i="147"/>
  <c r="H194" i="147"/>
  <c r="G194" i="147"/>
  <c r="F194" i="147"/>
  <c r="E194" i="147"/>
  <c r="D194" i="147"/>
  <c r="C194" i="147"/>
  <c r="B194" i="147"/>
  <c r="N190" i="147"/>
  <c r="M190" i="147"/>
  <c r="L190" i="147"/>
  <c r="K190" i="147"/>
  <c r="J190" i="147"/>
  <c r="I190" i="147"/>
  <c r="H190" i="147"/>
  <c r="G190" i="147"/>
  <c r="F190" i="147"/>
  <c r="E190" i="147"/>
  <c r="D190" i="147"/>
  <c r="C190" i="147"/>
  <c r="A190" i="147"/>
  <c r="N189" i="147"/>
  <c r="M189" i="147"/>
  <c r="L189" i="147"/>
  <c r="K189" i="147"/>
  <c r="J189" i="147"/>
  <c r="I189" i="147"/>
  <c r="H189" i="147"/>
  <c r="G189" i="147"/>
  <c r="F189" i="147"/>
  <c r="E189" i="147"/>
  <c r="D189" i="147"/>
  <c r="C189" i="147"/>
  <c r="B189" i="147"/>
  <c r="N188" i="147"/>
  <c r="M188" i="147"/>
  <c r="L188" i="147"/>
  <c r="K188" i="147"/>
  <c r="J188" i="147"/>
  <c r="I188" i="147"/>
  <c r="H188" i="147"/>
  <c r="G188" i="147"/>
  <c r="F188" i="147"/>
  <c r="E188" i="147"/>
  <c r="D188" i="147"/>
  <c r="C188" i="147"/>
  <c r="B188" i="147"/>
  <c r="N187" i="147"/>
  <c r="M187" i="147"/>
  <c r="L187" i="147"/>
  <c r="K187" i="147"/>
  <c r="J187" i="147"/>
  <c r="I187" i="147"/>
  <c r="H187" i="147"/>
  <c r="G187" i="147"/>
  <c r="F187" i="147"/>
  <c r="E187" i="147"/>
  <c r="D187" i="147"/>
  <c r="C187" i="147"/>
  <c r="B187" i="147"/>
  <c r="N186" i="147"/>
  <c r="M186" i="147"/>
  <c r="L186" i="147"/>
  <c r="K186" i="147"/>
  <c r="J186" i="147"/>
  <c r="I186" i="147"/>
  <c r="H186" i="147"/>
  <c r="G186" i="147"/>
  <c r="F186" i="147"/>
  <c r="E186" i="147"/>
  <c r="D186" i="147"/>
  <c r="C186" i="147"/>
  <c r="B186" i="147"/>
  <c r="N185" i="147"/>
  <c r="M185" i="147"/>
  <c r="L185" i="147"/>
  <c r="K185" i="147"/>
  <c r="J185" i="147"/>
  <c r="I185" i="147"/>
  <c r="H185" i="147"/>
  <c r="G185" i="147"/>
  <c r="F185" i="147"/>
  <c r="E185" i="147"/>
  <c r="D185" i="147"/>
  <c r="C185" i="147"/>
  <c r="B185" i="147"/>
  <c r="N184" i="147"/>
  <c r="M184" i="147"/>
  <c r="L184" i="147"/>
  <c r="K184" i="147"/>
  <c r="J184" i="147"/>
  <c r="I184" i="147"/>
  <c r="H184" i="147"/>
  <c r="G184" i="147"/>
  <c r="F184" i="147"/>
  <c r="E184" i="147"/>
  <c r="D184" i="147"/>
  <c r="C184" i="147"/>
  <c r="B184" i="147"/>
  <c r="N183" i="147"/>
  <c r="M183" i="147"/>
  <c r="L183" i="147"/>
  <c r="K183" i="147"/>
  <c r="J183" i="147"/>
  <c r="I183" i="147"/>
  <c r="H183" i="147"/>
  <c r="G183" i="147"/>
  <c r="F183" i="147"/>
  <c r="E183" i="147"/>
  <c r="D183" i="147"/>
  <c r="C183" i="147"/>
  <c r="B183" i="147"/>
  <c r="N182" i="147"/>
  <c r="M182" i="147"/>
  <c r="L182" i="147"/>
  <c r="K182" i="147"/>
  <c r="J182" i="147"/>
  <c r="I182" i="147"/>
  <c r="H182" i="147"/>
  <c r="G182" i="147"/>
  <c r="F182" i="147"/>
  <c r="E182" i="147"/>
  <c r="D182" i="147"/>
  <c r="C182" i="147"/>
  <c r="B182" i="147"/>
  <c r="N181" i="147"/>
  <c r="M181" i="147"/>
  <c r="L181" i="147"/>
  <c r="K181" i="147"/>
  <c r="J181" i="147"/>
  <c r="I181" i="147"/>
  <c r="H181" i="147"/>
  <c r="G181" i="147"/>
  <c r="F181" i="147"/>
  <c r="E181" i="147"/>
  <c r="D181" i="147"/>
  <c r="C181" i="147"/>
  <c r="B181" i="147"/>
  <c r="N180" i="147"/>
  <c r="M180" i="147"/>
  <c r="L180" i="147"/>
  <c r="K180" i="147"/>
  <c r="J180" i="147"/>
  <c r="I180" i="147"/>
  <c r="H180" i="147"/>
  <c r="G180" i="147"/>
  <c r="F180" i="147"/>
  <c r="E180" i="147"/>
  <c r="D180" i="147"/>
  <c r="C180" i="147"/>
  <c r="B180" i="147"/>
  <c r="N179" i="147"/>
  <c r="M179" i="147"/>
  <c r="L179" i="147"/>
  <c r="K179" i="147"/>
  <c r="J179" i="147"/>
  <c r="I179" i="147"/>
  <c r="H179" i="147"/>
  <c r="G179" i="147"/>
  <c r="F179" i="147"/>
  <c r="E179" i="147"/>
  <c r="D179" i="147"/>
  <c r="C179" i="147"/>
  <c r="B179" i="147"/>
  <c r="N178" i="147"/>
  <c r="M178" i="147"/>
  <c r="L178" i="147"/>
  <c r="K178" i="147"/>
  <c r="J178" i="147"/>
  <c r="I178" i="147"/>
  <c r="H178" i="147"/>
  <c r="G178" i="147"/>
  <c r="F178" i="147"/>
  <c r="E178" i="147"/>
  <c r="D178" i="147"/>
  <c r="C178" i="147"/>
  <c r="B178" i="147"/>
  <c r="N172" i="147"/>
  <c r="M172" i="147"/>
  <c r="L172" i="147"/>
  <c r="K172" i="147"/>
  <c r="J172" i="147"/>
  <c r="I172" i="147"/>
  <c r="H172" i="147"/>
  <c r="G172" i="147"/>
  <c r="F172" i="147"/>
  <c r="E172" i="147"/>
  <c r="D172" i="147"/>
  <c r="C172" i="147"/>
  <c r="A172" i="147"/>
  <c r="N171" i="147"/>
  <c r="M171" i="147"/>
  <c r="L171" i="147"/>
  <c r="K171" i="147"/>
  <c r="J171" i="147"/>
  <c r="I171" i="147"/>
  <c r="H171" i="147"/>
  <c r="G171" i="147"/>
  <c r="F171" i="147"/>
  <c r="E171" i="147"/>
  <c r="D171" i="147"/>
  <c r="C171" i="147"/>
  <c r="B171" i="147"/>
  <c r="N170" i="147"/>
  <c r="M170" i="147"/>
  <c r="L170" i="147"/>
  <c r="K170" i="147"/>
  <c r="J170" i="147"/>
  <c r="I170" i="147"/>
  <c r="H170" i="147"/>
  <c r="G170" i="147"/>
  <c r="F170" i="147"/>
  <c r="E170" i="147"/>
  <c r="D170" i="147"/>
  <c r="C170" i="147"/>
  <c r="B170" i="147"/>
  <c r="N169" i="147"/>
  <c r="M169" i="147"/>
  <c r="L169" i="147"/>
  <c r="K169" i="147"/>
  <c r="J169" i="147"/>
  <c r="I169" i="147"/>
  <c r="H169" i="147"/>
  <c r="G169" i="147"/>
  <c r="F169" i="147"/>
  <c r="E169" i="147"/>
  <c r="D169" i="147"/>
  <c r="C169" i="147"/>
  <c r="B169" i="147"/>
  <c r="N168" i="147"/>
  <c r="M168" i="147"/>
  <c r="L168" i="147"/>
  <c r="K168" i="147"/>
  <c r="J168" i="147"/>
  <c r="I168" i="147"/>
  <c r="H168" i="147"/>
  <c r="G168" i="147"/>
  <c r="F168" i="147"/>
  <c r="E168" i="147"/>
  <c r="D168" i="147"/>
  <c r="C168" i="147"/>
  <c r="B168" i="147"/>
  <c r="N167" i="147"/>
  <c r="M167" i="147"/>
  <c r="L167" i="147"/>
  <c r="K167" i="147"/>
  <c r="J167" i="147"/>
  <c r="I167" i="147"/>
  <c r="H167" i="147"/>
  <c r="G167" i="147"/>
  <c r="F167" i="147"/>
  <c r="E167" i="147"/>
  <c r="D167" i="147"/>
  <c r="C167" i="147"/>
  <c r="B167" i="147"/>
  <c r="N166" i="147"/>
  <c r="M166" i="147"/>
  <c r="L166" i="147"/>
  <c r="K166" i="147"/>
  <c r="J166" i="147"/>
  <c r="I166" i="147"/>
  <c r="H166" i="147"/>
  <c r="G166" i="147"/>
  <c r="F166" i="147"/>
  <c r="E166" i="147"/>
  <c r="D166" i="147"/>
  <c r="C166" i="147"/>
  <c r="B166" i="147"/>
  <c r="N165" i="147"/>
  <c r="M165" i="147"/>
  <c r="L165" i="147"/>
  <c r="K165" i="147"/>
  <c r="J165" i="147"/>
  <c r="I165" i="147"/>
  <c r="H165" i="147"/>
  <c r="G165" i="147"/>
  <c r="F165" i="147"/>
  <c r="E165" i="147"/>
  <c r="D165" i="147"/>
  <c r="C165" i="147"/>
  <c r="B165" i="147"/>
  <c r="N164" i="147"/>
  <c r="M164" i="147"/>
  <c r="L164" i="147"/>
  <c r="K164" i="147"/>
  <c r="J164" i="147"/>
  <c r="I164" i="147"/>
  <c r="H164" i="147"/>
  <c r="G164" i="147"/>
  <c r="F164" i="147"/>
  <c r="E164" i="147"/>
  <c r="D164" i="147"/>
  <c r="C164" i="147"/>
  <c r="B164" i="147"/>
  <c r="N163" i="147"/>
  <c r="M163" i="147"/>
  <c r="L163" i="147"/>
  <c r="K163" i="147"/>
  <c r="J163" i="147"/>
  <c r="I163" i="147"/>
  <c r="H163" i="147"/>
  <c r="G163" i="147"/>
  <c r="F163" i="147"/>
  <c r="E163" i="147"/>
  <c r="D163" i="147"/>
  <c r="C163" i="147"/>
  <c r="B163" i="147"/>
  <c r="N162" i="147"/>
  <c r="M162" i="147"/>
  <c r="L162" i="147"/>
  <c r="K162" i="147"/>
  <c r="J162" i="147"/>
  <c r="I162" i="147"/>
  <c r="H162" i="147"/>
  <c r="G162" i="147"/>
  <c r="F162" i="147"/>
  <c r="E162" i="147"/>
  <c r="D162" i="147"/>
  <c r="C162" i="147"/>
  <c r="B162" i="147"/>
  <c r="N161" i="147"/>
  <c r="M161" i="147"/>
  <c r="L161" i="147"/>
  <c r="K161" i="147"/>
  <c r="J161" i="147"/>
  <c r="I161" i="147"/>
  <c r="H161" i="147"/>
  <c r="G161" i="147"/>
  <c r="F161" i="147"/>
  <c r="E161" i="147"/>
  <c r="D161" i="147"/>
  <c r="C161" i="147"/>
  <c r="B161" i="147"/>
  <c r="N160" i="147"/>
  <c r="M160" i="147"/>
  <c r="L160" i="147"/>
  <c r="K160" i="147"/>
  <c r="J160" i="147"/>
  <c r="I160" i="147"/>
  <c r="H160" i="147"/>
  <c r="G160" i="147"/>
  <c r="F160" i="147"/>
  <c r="E160" i="147"/>
  <c r="D160" i="147"/>
  <c r="C160" i="147"/>
  <c r="B160" i="147"/>
  <c r="N156" i="147"/>
  <c r="M156" i="147"/>
  <c r="L156" i="147"/>
  <c r="K156" i="147"/>
  <c r="J156" i="147"/>
  <c r="I156" i="147"/>
  <c r="H156" i="147"/>
  <c r="G156" i="147"/>
  <c r="F156" i="147"/>
  <c r="E156" i="147"/>
  <c r="D156" i="147"/>
  <c r="C156" i="147"/>
  <c r="A156" i="147"/>
  <c r="N155" i="147"/>
  <c r="M155" i="147"/>
  <c r="L155" i="147"/>
  <c r="K155" i="147"/>
  <c r="J155" i="147"/>
  <c r="I155" i="147"/>
  <c r="H155" i="147"/>
  <c r="G155" i="147"/>
  <c r="F155" i="147"/>
  <c r="E155" i="147"/>
  <c r="D155" i="147"/>
  <c r="C155" i="147"/>
  <c r="B155" i="147"/>
  <c r="N154" i="147"/>
  <c r="M154" i="147"/>
  <c r="L154" i="147"/>
  <c r="K154" i="147"/>
  <c r="J154" i="147"/>
  <c r="I154" i="147"/>
  <c r="H154" i="147"/>
  <c r="G154" i="147"/>
  <c r="F154" i="147"/>
  <c r="E154" i="147"/>
  <c r="D154" i="147"/>
  <c r="C154" i="147"/>
  <c r="B154" i="147"/>
  <c r="N153" i="147"/>
  <c r="M153" i="147"/>
  <c r="L153" i="147"/>
  <c r="K153" i="147"/>
  <c r="J153" i="147"/>
  <c r="I153" i="147"/>
  <c r="H153" i="147"/>
  <c r="G153" i="147"/>
  <c r="F153" i="147"/>
  <c r="E153" i="147"/>
  <c r="D153" i="147"/>
  <c r="C153" i="147"/>
  <c r="B153" i="147"/>
  <c r="N152" i="147"/>
  <c r="M152" i="147"/>
  <c r="L152" i="147"/>
  <c r="K152" i="147"/>
  <c r="J152" i="147"/>
  <c r="I152" i="147"/>
  <c r="H152" i="147"/>
  <c r="G152" i="147"/>
  <c r="F152" i="147"/>
  <c r="E152" i="147"/>
  <c r="D152" i="147"/>
  <c r="C152" i="147"/>
  <c r="B152" i="147"/>
  <c r="N151" i="147"/>
  <c r="M151" i="147"/>
  <c r="L151" i="147"/>
  <c r="K151" i="147"/>
  <c r="J151" i="147"/>
  <c r="I151" i="147"/>
  <c r="H151" i="147"/>
  <c r="G151" i="147"/>
  <c r="F151" i="147"/>
  <c r="E151" i="147"/>
  <c r="D151" i="147"/>
  <c r="C151" i="147"/>
  <c r="B151" i="147"/>
  <c r="N150" i="147"/>
  <c r="M150" i="147"/>
  <c r="L150" i="147"/>
  <c r="K150" i="147"/>
  <c r="J150" i="147"/>
  <c r="I150" i="147"/>
  <c r="H150" i="147"/>
  <c r="G150" i="147"/>
  <c r="F150" i="147"/>
  <c r="E150" i="147"/>
  <c r="D150" i="147"/>
  <c r="C150" i="147"/>
  <c r="B150" i="147"/>
  <c r="N149" i="147"/>
  <c r="M149" i="147"/>
  <c r="L149" i="147"/>
  <c r="K149" i="147"/>
  <c r="J149" i="147"/>
  <c r="I149" i="147"/>
  <c r="H149" i="147"/>
  <c r="G149" i="147"/>
  <c r="F149" i="147"/>
  <c r="E149" i="147"/>
  <c r="D149" i="147"/>
  <c r="C149" i="147"/>
  <c r="B149" i="147"/>
  <c r="N148" i="147"/>
  <c r="M148" i="147"/>
  <c r="L148" i="147"/>
  <c r="K148" i="147"/>
  <c r="J148" i="147"/>
  <c r="I148" i="147"/>
  <c r="H148" i="147"/>
  <c r="G148" i="147"/>
  <c r="F148" i="147"/>
  <c r="E148" i="147"/>
  <c r="D148" i="147"/>
  <c r="C148" i="147"/>
  <c r="B148" i="147"/>
  <c r="N147" i="147"/>
  <c r="M147" i="147"/>
  <c r="L147" i="147"/>
  <c r="K147" i="147"/>
  <c r="J147" i="147"/>
  <c r="I147" i="147"/>
  <c r="H147" i="147"/>
  <c r="G147" i="147"/>
  <c r="F147" i="147"/>
  <c r="E147" i="147"/>
  <c r="D147" i="147"/>
  <c r="C147" i="147"/>
  <c r="B147" i="147"/>
  <c r="N146" i="147"/>
  <c r="M146" i="147"/>
  <c r="L146" i="147"/>
  <c r="K146" i="147"/>
  <c r="J146" i="147"/>
  <c r="I146" i="147"/>
  <c r="H146" i="147"/>
  <c r="G146" i="147"/>
  <c r="F146" i="147"/>
  <c r="E146" i="147"/>
  <c r="D146" i="147"/>
  <c r="C146" i="147"/>
  <c r="B146" i="147"/>
  <c r="N145" i="147"/>
  <c r="M145" i="147"/>
  <c r="L145" i="147"/>
  <c r="K145" i="147"/>
  <c r="J145" i="147"/>
  <c r="I145" i="147"/>
  <c r="H145" i="147"/>
  <c r="G145" i="147"/>
  <c r="F145" i="147"/>
  <c r="E145" i="147"/>
  <c r="D145" i="147"/>
  <c r="C145" i="147"/>
  <c r="B145" i="147"/>
  <c r="N144" i="147"/>
  <c r="M144" i="147"/>
  <c r="L144" i="147"/>
  <c r="K144" i="147"/>
  <c r="J144" i="147"/>
  <c r="I144" i="147"/>
  <c r="H144" i="147"/>
  <c r="G144" i="147"/>
  <c r="F144" i="147"/>
  <c r="E144" i="147"/>
  <c r="D144" i="147"/>
  <c r="C144" i="147"/>
  <c r="B144" i="147"/>
  <c r="N138" i="147"/>
  <c r="M138" i="147"/>
  <c r="L138" i="147"/>
  <c r="K138" i="147"/>
  <c r="J138" i="147"/>
  <c r="I138" i="147"/>
  <c r="H138" i="147"/>
  <c r="G138" i="147"/>
  <c r="F138" i="147"/>
  <c r="E138" i="147"/>
  <c r="D138" i="147"/>
  <c r="C138" i="147"/>
  <c r="A138" i="147"/>
  <c r="N137" i="147"/>
  <c r="M137" i="147"/>
  <c r="L137" i="147"/>
  <c r="K137" i="147"/>
  <c r="J137" i="147"/>
  <c r="I137" i="147"/>
  <c r="H137" i="147"/>
  <c r="G137" i="147"/>
  <c r="F137" i="147"/>
  <c r="E137" i="147"/>
  <c r="D137" i="147"/>
  <c r="C137" i="147"/>
  <c r="B137" i="147"/>
  <c r="N136" i="147"/>
  <c r="M136" i="147"/>
  <c r="L136" i="147"/>
  <c r="K136" i="147"/>
  <c r="J136" i="147"/>
  <c r="I136" i="147"/>
  <c r="H136" i="147"/>
  <c r="G136" i="147"/>
  <c r="F136" i="147"/>
  <c r="E136" i="147"/>
  <c r="D136" i="147"/>
  <c r="C136" i="147"/>
  <c r="B136" i="147"/>
  <c r="N135" i="147"/>
  <c r="M135" i="147"/>
  <c r="L135" i="147"/>
  <c r="K135" i="147"/>
  <c r="J135" i="147"/>
  <c r="I135" i="147"/>
  <c r="H135" i="147"/>
  <c r="G135" i="147"/>
  <c r="F135" i="147"/>
  <c r="E135" i="147"/>
  <c r="D135" i="147"/>
  <c r="C135" i="147"/>
  <c r="B135" i="147"/>
  <c r="N134" i="147"/>
  <c r="M134" i="147"/>
  <c r="L134" i="147"/>
  <c r="K134" i="147"/>
  <c r="J134" i="147"/>
  <c r="I134" i="147"/>
  <c r="H134" i="147"/>
  <c r="G134" i="147"/>
  <c r="F134" i="147"/>
  <c r="E134" i="147"/>
  <c r="D134" i="147"/>
  <c r="C134" i="147"/>
  <c r="B134" i="147"/>
  <c r="N133" i="147"/>
  <c r="M133" i="147"/>
  <c r="L133" i="147"/>
  <c r="K133" i="147"/>
  <c r="J133" i="147"/>
  <c r="I133" i="147"/>
  <c r="H133" i="147"/>
  <c r="G133" i="147"/>
  <c r="F133" i="147"/>
  <c r="E133" i="147"/>
  <c r="D133" i="147"/>
  <c r="C133" i="147"/>
  <c r="B133" i="147"/>
  <c r="N132" i="147"/>
  <c r="M132" i="147"/>
  <c r="L132" i="147"/>
  <c r="K132" i="147"/>
  <c r="J132" i="147"/>
  <c r="I132" i="147"/>
  <c r="H132" i="147"/>
  <c r="G132" i="147"/>
  <c r="F132" i="147"/>
  <c r="E132" i="147"/>
  <c r="D132" i="147"/>
  <c r="C132" i="147"/>
  <c r="B132" i="147"/>
  <c r="N131" i="147"/>
  <c r="M131" i="147"/>
  <c r="L131" i="147"/>
  <c r="K131" i="147"/>
  <c r="J131" i="147"/>
  <c r="I131" i="147"/>
  <c r="H131" i="147"/>
  <c r="G131" i="147"/>
  <c r="F131" i="147"/>
  <c r="E131" i="147"/>
  <c r="D131" i="147"/>
  <c r="C131" i="147"/>
  <c r="B131" i="147"/>
  <c r="N130" i="147"/>
  <c r="M130" i="147"/>
  <c r="L130" i="147"/>
  <c r="K130" i="147"/>
  <c r="J130" i="147"/>
  <c r="I130" i="147"/>
  <c r="H130" i="147"/>
  <c r="G130" i="147"/>
  <c r="F130" i="147"/>
  <c r="E130" i="147"/>
  <c r="D130" i="147"/>
  <c r="C130" i="147"/>
  <c r="B130" i="147"/>
  <c r="N129" i="147"/>
  <c r="M129" i="147"/>
  <c r="L129" i="147"/>
  <c r="K129" i="147"/>
  <c r="J129" i="147"/>
  <c r="I129" i="147"/>
  <c r="H129" i="147"/>
  <c r="G129" i="147"/>
  <c r="F129" i="147"/>
  <c r="E129" i="147"/>
  <c r="D129" i="147"/>
  <c r="C129" i="147"/>
  <c r="B129" i="147"/>
  <c r="N128" i="147"/>
  <c r="M128" i="147"/>
  <c r="L128" i="147"/>
  <c r="K128" i="147"/>
  <c r="J128" i="147"/>
  <c r="I128" i="147"/>
  <c r="H128" i="147"/>
  <c r="G128" i="147"/>
  <c r="F128" i="147"/>
  <c r="E128" i="147"/>
  <c r="D128" i="147"/>
  <c r="C128" i="147"/>
  <c r="B128" i="147"/>
  <c r="N127" i="147"/>
  <c r="M127" i="147"/>
  <c r="L127" i="147"/>
  <c r="K127" i="147"/>
  <c r="J127" i="147"/>
  <c r="I127" i="147"/>
  <c r="H127" i="147"/>
  <c r="G127" i="147"/>
  <c r="F127" i="147"/>
  <c r="E127" i="147"/>
  <c r="D127" i="147"/>
  <c r="C127" i="147"/>
  <c r="B127" i="147"/>
  <c r="N126" i="147"/>
  <c r="M126" i="147"/>
  <c r="L126" i="147"/>
  <c r="K126" i="147"/>
  <c r="J126" i="147"/>
  <c r="I126" i="147"/>
  <c r="H126" i="147"/>
  <c r="G126" i="147"/>
  <c r="F126" i="147"/>
  <c r="E126" i="147"/>
  <c r="D126" i="147"/>
  <c r="C126" i="147"/>
  <c r="B126" i="147"/>
  <c r="N122" i="147"/>
  <c r="M122" i="147"/>
  <c r="L122" i="147"/>
  <c r="K122" i="147"/>
  <c r="J122" i="147"/>
  <c r="I122" i="147"/>
  <c r="H122" i="147"/>
  <c r="G122" i="147"/>
  <c r="F122" i="147"/>
  <c r="E122" i="147"/>
  <c r="D122" i="147"/>
  <c r="C122" i="147"/>
  <c r="A122" i="147"/>
  <c r="N121" i="147"/>
  <c r="M121" i="147"/>
  <c r="L121" i="147"/>
  <c r="K121" i="147"/>
  <c r="J121" i="147"/>
  <c r="I121" i="147"/>
  <c r="H121" i="147"/>
  <c r="G121" i="147"/>
  <c r="F121" i="147"/>
  <c r="E121" i="147"/>
  <c r="D121" i="147"/>
  <c r="C121" i="147"/>
  <c r="B121" i="147"/>
  <c r="N120" i="147"/>
  <c r="M120" i="147"/>
  <c r="L120" i="147"/>
  <c r="K120" i="147"/>
  <c r="J120" i="147"/>
  <c r="I120" i="147"/>
  <c r="H120" i="147"/>
  <c r="G120" i="147"/>
  <c r="F120" i="147"/>
  <c r="E120" i="147"/>
  <c r="D120" i="147"/>
  <c r="C120" i="147"/>
  <c r="B120" i="147"/>
  <c r="N119" i="147"/>
  <c r="M119" i="147"/>
  <c r="L119" i="147"/>
  <c r="K119" i="147"/>
  <c r="J119" i="147"/>
  <c r="I119" i="147"/>
  <c r="H119" i="147"/>
  <c r="G119" i="147"/>
  <c r="F119" i="147"/>
  <c r="E119" i="147"/>
  <c r="D119" i="147"/>
  <c r="C119" i="147"/>
  <c r="B119" i="147"/>
  <c r="N118" i="147"/>
  <c r="M118" i="147"/>
  <c r="L118" i="147"/>
  <c r="K118" i="147"/>
  <c r="J118" i="147"/>
  <c r="I118" i="147"/>
  <c r="H118" i="147"/>
  <c r="G118" i="147"/>
  <c r="F118" i="147"/>
  <c r="E118" i="147"/>
  <c r="D118" i="147"/>
  <c r="C118" i="147"/>
  <c r="B118" i="147"/>
  <c r="N117" i="147"/>
  <c r="M117" i="147"/>
  <c r="L117" i="147"/>
  <c r="K117" i="147"/>
  <c r="J117" i="147"/>
  <c r="I117" i="147"/>
  <c r="H117" i="147"/>
  <c r="G117" i="147"/>
  <c r="F117" i="147"/>
  <c r="E117" i="147"/>
  <c r="D117" i="147"/>
  <c r="C117" i="147"/>
  <c r="B117" i="147"/>
  <c r="N116" i="147"/>
  <c r="M116" i="147"/>
  <c r="L116" i="147"/>
  <c r="K116" i="147"/>
  <c r="J116" i="147"/>
  <c r="I116" i="147"/>
  <c r="H116" i="147"/>
  <c r="G116" i="147"/>
  <c r="F116" i="147"/>
  <c r="E116" i="147"/>
  <c r="D116" i="147"/>
  <c r="C116" i="147"/>
  <c r="B116" i="147"/>
  <c r="N115" i="147"/>
  <c r="M115" i="147"/>
  <c r="L115" i="147"/>
  <c r="K115" i="147"/>
  <c r="J115" i="147"/>
  <c r="I115" i="147"/>
  <c r="H115" i="147"/>
  <c r="G115" i="147"/>
  <c r="F115" i="147"/>
  <c r="E115" i="147"/>
  <c r="D115" i="147"/>
  <c r="C115" i="147"/>
  <c r="B115" i="147"/>
  <c r="N114" i="147"/>
  <c r="M114" i="147"/>
  <c r="L114" i="147"/>
  <c r="K114" i="147"/>
  <c r="J114" i="147"/>
  <c r="I114" i="147"/>
  <c r="H114" i="147"/>
  <c r="G114" i="147"/>
  <c r="F114" i="147"/>
  <c r="E114" i="147"/>
  <c r="D114" i="147"/>
  <c r="C114" i="147"/>
  <c r="B114" i="147"/>
  <c r="N113" i="147"/>
  <c r="M113" i="147"/>
  <c r="L113" i="147"/>
  <c r="K113" i="147"/>
  <c r="J113" i="147"/>
  <c r="I113" i="147"/>
  <c r="H113" i="147"/>
  <c r="G113" i="147"/>
  <c r="F113" i="147"/>
  <c r="E113" i="147"/>
  <c r="D113" i="147"/>
  <c r="C113" i="147"/>
  <c r="B113" i="147"/>
  <c r="N112" i="147"/>
  <c r="M112" i="147"/>
  <c r="L112" i="147"/>
  <c r="K112" i="147"/>
  <c r="J112" i="147"/>
  <c r="I112" i="147"/>
  <c r="H112" i="147"/>
  <c r="G112" i="147"/>
  <c r="F112" i="147"/>
  <c r="E112" i="147"/>
  <c r="D112" i="147"/>
  <c r="C112" i="147"/>
  <c r="B112" i="147"/>
  <c r="N111" i="147"/>
  <c r="M111" i="147"/>
  <c r="L111" i="147"/>
  <c r="K111" i="147"/>
  <c r="J111" i="147"/>
  <c r="I111" i="147"/>
  <c r="H111" i="147"/>
  <c r="G111" i="147"/>
  <c r="F111" i="147"/>
  <c r="E111" i="147"/>
  <c r="D111" i="147"/>
  <c r="C111" i="147"/>
  <c r="B111" i="147"/>
  <c r="N110" i="147"/>
  <c r="M110" i="147"/>
  <c r="L110" i="147"/>
  <c r="K110" i="147"/>
  <c r="J110" i="147"/>
  <c r="I110" i="147"/>
  <c r="H110" i="147"/>
  <c r="G110" i="147"/>
  <c r="F110" i="147"/>
  <c r="E110" i="147"/>
  <c r="D110" i="147"/>
  <c r="C110" i="147"/>
  <c r="B110" i="147"/>
  <c r="N104" i="147"/>
  <c r="M104" i="147"/>
  <c r="L104" i="147"/>
  <c r="K104" i="147"/>
  <c r="J104" i="147"/>
  <c r="I104" i="147"/>
  <c r="H104" i="147"/>
  <c r="G104" i="147"/>
  <c r="F104" i="147"/>
  <c r="E104" i="147"/>
  <c r="D104" i="147"/>
  <c r="C104" i="147"/>
  <c r="A104" i="147"/>
  <c r="N103" i="147"/>
  <c r="M103" i="147"/>
  <c r="L103" i="147"/>
  <c r="K103" i="147"/>
  <c r="J103" i="147"/>
  <c r="I103" i="147"/>
  <c r="H103" i="147"/>
  <c r="G103" i="147"/>
  <c r="F103" i="147"/>
  <c r="E103" i="147"/>
  <c r="D103" i="147"/>
  <c r="C103" i="147"/>
  <c r="B103" i="147"/>
  <c r="N102" i="147"/>
  <c r="M102" i="147"/>
  <c r="L102" i="147"/>
  <c r="K102" i="147"/>
  <c r="J102" i="147"/>
  <c r="I102" i="147"/>
  <c r="H102" i="147"/>
  <c r="G102" i="147"/>
  <c r="F102" i="147"/>
  <c r="E102" i="147"/>
  <c r="D102" i="147"/>
  <c r="C102" i="147"/>
  <c r="B102" i="147"/>
  <c r="N101" i="147"/>
  <c r="M101" i="147"/>
  <c r="L101" i="147"/>
  <c r="K101" i="147"/>
  <c r="J101" i="147"/>
  <c r="I101" i="147"/>
  <c r="H101" i="147"/>
  <c r="G101" i="147"/>
  <c r="F101" i="147"/>
  <c r="E101" i="147"/>
  <c r="D101" i="147"/>
  <c r="C101" i="147"/>
  <c r="B101" i="147"/>
  <c r="N100" i="147"/>
  <c r="M100" i="147"/>
  <c r="L100" i="147"/>
  <c r="K100" i="147"/>
  <c r="J100" i="147"/>
  <c r="I100" i="147"/>
  <c r="H100" i="147"/>
  <c r="G100" i="147"/>
  <c r="F100" i="147"/>
  <c r="E100" i="147"/>
  <c r="D100" i="147"/>
  <c r="C100" i="147"/>
  <c r="B100" i="147"/>
  <c r="N99" i="147"/>
  <c r="M99" i="147"/>
  <c r="L99" i="147"/>
  <c r="K99" i="147"/>
  <c r="J99" i="147"/>
  <c r="I99" i="147"/>
  <c r="H99" i="147"/>
  <c r="G99" i="147"/>
  <c r="F99" i="147"/>
  <c r="E99" i="147"/>
  <c r="D99" i="147"/>
  <c r="C99" i="147"/>
  <c r="B99" i="147"/>
  <c r="N98" i="147"/>
  <c r="M98" i="147"/>
  <c r="L98" i="147"/>
  <c r="K98" i="147"/>
  <c r="J98" i="147"/>
  <c r="I98" i="147"/>
  <c r="H98" i="147"/>
  <c r="G98" i="147"/>
  <c r="F98" i="147"/>
  <c r="E98" i="147"/>
  <c r="D98" i="147"/>
  <c r="C98" i="147"/>
  <c r="B98" i="147"/>
  <c r="N97" i="147"/>
  <c r="M97" i="147"/>
  <c r="L97" i="147"/>
  <c r="K97" i="147"/>
  <c r="J97" i="147"/>
  <c r="I97" i="147"/>
  <c r="H97" i="147"/>
  <c r="G97" i="147"/>
  <c r="F97" i="147"/>
  <c r="E97" i="147"/>
  <c r="D97" i="147"/>
  <c r="C97" i="147"/>
  <c r="B97" i="147"/>
  <c r="N96" i="147"/>
  <c r="M96" i="147"/>
  <c r="L96" i="147"/>
  <c r="K96" i="147"/>
  <c r="J96" i="147"/>
  <c r="I96" i="147"/>
  <c r="H96" i="147"/>
  <c r="G96" i="147"/>
  <c r="F96" i="147"/>
  <c r="E96" i="147"/>
  <c r="D96" i="147"/>
  <c r="C96" i="147"/>
  <c r="B96" i="147"/>
  <c r="N95" i="147"/>
  <c r="M95" i="147"/>
  <c r="L95" i="147"/>
  <c r="K95" i="147"/>
  <c r="J95" i="147"/>
  <c r="I95" i="147"/>
  <c r="H95" i="147"/>
  <c r="G95" i="147"/>
  <c r="F95" i="147"/>
  <c r="E95" i="147"/>
  <c r="D95" i="147"/>
  <c r="C95" i="147"/>
  <c r="B95" i="147"/>
  <c r="N94" i="147"/>
  <c r="M94" i="147"/>
  <c r="L94" i="147"/>
  <c r="K94" i="147"/>
  <c r="J94" i="147"/>
  <c r="I94" i="147"/>
  <c r="H94" i="147"/>
  <c r="G94" i="147"/>
  <c r="F94" i="147"/>
  <c r="E94" i="147"/>
  <c r="D94" i="147"/>
  <c r="C94" i="147"/>
  <c r="B94" i="147"/>
  <c r="N93" i="147"/>
  <c r="M93" i="147"/>
  <c r="L93" i="147"/>
  <c r="K93" i="147"/>
  <c r="J93" i="147"/>
  <c r="I93" i="147"/>
  <c r="H93" i="147"/>
  <c r="G93" i="147"/>
  <c r="F93" i="147"/>
  <c r="E93" i="147"/>
  <c r="D93" i="147"/>
  <c r="C93" i="147"/>
  <c r="B93" i="147"/>
  <c r="N92" i="147"/>
  <c r="M92" i="147"/>
  <c r="L92" i="147"/>
  <c r="K92" i="147"/>
  <c r="J92" i="147"/>
  <c r="I92" i="147"/>
  <c r="H92" i="147"/>
  <c r="G92" i="147"/>
  <c r="F92" i="147"/>
  <c r="E92" i="147"/>
  <c r="D92" i="147"/>
  <c r="C92" i="147"/>
  <c r="B92" i="147"/>
  <c r="N88" i="147"/>
  <c r="M88" i="147"/>
  <c r="L88" i="147"/>
  <c r="K88" i="147"/>
  <c r="J88" i="147"/>
  <c r="I88" i="147"/>
  <c r="H88" i="147"/>
  <c r="G88" i="147"/>
  <c r="F88" i="147"/>
  <c r="E88" i="147"/>
  <c r="D88" i="147"/>
  <c r="C88" i="147"/>
  <c r="A88" i="147"/>
  <c r="N87" i="147"/>
  <c r="M87" i="147"/>
  <c r="L87" i="147"/>
  <c r="K87" i="147"/>
  <c r="J87" i="147"/>
  <c r="I87" i="147"/>
  <c r="H87" i="147"/>
  <c r="G87" i="147"/>
  <c r="F87" i="147"/>
  <c r="E87" i="147"/>
  <c r="D87" i="147"/>
  <c r="C87" i="147"/>
  <c r="B87" i="147"/>
  <c r="N86" i="147"/>
  <c r="M86" i="147"/>
  <c r="L86" i="147"/>
  <c r="K86" i="147"/>
  <c r="J86" i="147"/>
  <c r="I86" i="147"/>
  <c r="H86" i="147"/>
  <c r="G86" i="147"/>
  <c r="F86" i="147"/>
  <c r="E86" i="147"/>
  <c r="D86" i="147"/>
  <c r="C86" i="147"/>
  <c r="B86" i="147"/>
  <c r="N85" i="147"/>
  <c r="M85" i="147"/>
  <c r="L85" i="147"/>
  <c r="K85" i="147"/>
  <c r="J85" i="147"/>
  <c r="I85" i="147"/>
  <c r="H85" i="147"/>
  <c r="G85" i="147"/>
  <c r="F85" i="147"/>
  <c r="E85" i="147"/>
  <c r="D85" i="147"/>
  <c r="C85" i="147"/>
  <c r="B85" i="147"/>
  <c r="N84" i="147"/>
  <c r="M84" i="147"/>
  <c r="L84" i="147"/>
  <c r="K84" i="147"/>
  <c r="J84" i="147"/>
  <c r="I84" i="147"/>
  <c r="H84" i="147"/>
  <c r="G84" i="147"/>
  <c r="F84" i="147"/>
  <c r="E84" i="147"/>
  <c r="D84" i="147"/>
  <c r="C84" i="147"/>
  <c r="B84" i="147"/>
  <c r="N83" i="147"/>
  <c r="M83" i="147"/>
  <c r="L83" i="147"/>
  <c r="K83" i="147"/>
  <c r="J83" i="147"/>
  <c r="I83" i="147"/>
  <c r="H83" i="147"/>
  <c r="G83" i="147"/>
  <c r="F83" i="147"/>
  <c r="E83" i="147"/>
  <c r="D83" i="147"/>
  <c r="C83" i="147"/>
  <c r="B83" i="147"/>
  <c r="N82" i="147"/>
  <c r="M82" i="147"/>
  <c r="L82" i="147"/>
  <c r="K82" i="147"/>
  <c r="J82" i="147"/>
  <c r="I82" i="147"/>
  <c r="H82" i="147"/>
  <c r="G82" i="147"/>
  <c r="F82" i="147"/>
  <c r="E82" i="147"/>
  <c r="D82" i="147"/>
  <c r="C82" i="147"/>
  <c r="B82" i="147"/>
  <c r="N81" i="147"/>
  <c r="M81" i="147"/>
  <c r="L81" i="147"/>
  <c r="K81" i="147"/>
  <c r="J81" i="147"/>
  <c r="I81" i="147"/>
  <c r="H81" i="147"/>
  <c r="G81" i="147"/>
  <c r="F81" i="147"/>
  <c r="E81" i="147"/>
  <c r="D81" i="147"/>
  <c r="C81" i="147"/>
  <c r="B81" i="147"/>
  <c r="N80" i="147"/>
  <c r="M80" i="147"/>
  <c r="L80" i="147"/>
  <c r="K80" i="147"/>
  <c r="J80" i="147"/>
  <c r="I80" i="147"/>
  <c r="H80" i="147"/>
  <c r="G80" i="147"/>
  <c r="F80" i="147"/>
  <c r="E80" i="147"/>
  <c r="D80" i="147"/>
  <c r="C80" i="147"/>
  <c r="B80" i="147"/>
  <c r="N79" i="147"/>
  <c r="M79" i="147"/>
  <c r="L79" i="147"/>
  <c r="K79" i="147"/>
  <c r="J79" i="147"/>
  <c r="I79" i="147"/>
  <c r="H79" i="147"/>
  <c r="G79" i="147"/>
  <c r="F79" i="147"/>
  <c r="E79" i="147"/>
  <c r="D79" i="147"/>
  <c r="C79" i="147"/>
  <c r="B79" i="147"/>
  <c r="N78" i="147"/>
  <c r="M78" i="147"/>
  <c r="L78" i="147"/>
  <c r="K78" i="147"/>
  <c r="J78" i="147"/>
  <c r="I78" i="147"/>
  <c r="H78" i="147"/>
  <c r="G78" i="147"/>
  <c r="F78" i="147"/>
  <c r="E78" i="147"/>
  <c r="D78" i="147"/>
  <c r="C78" i="147"/>
  <c r="B78" i="147"/>
  <c r="N77" i="147"/>
  <c r="M77" i="147"/>
  <c r="L77" i="147"/>
  <c r="K77" i="147"/>
  <c r="J77" i="147"/>
  <c r="I77" i="147"/>
  <c r="H77" i="147"/>
  <c r="G77" i="147"/>
  <c r="F77" i="147"/>
  <c r="E77" i="147"/>
  <c r="D77" i="147"/>
  <c r="C77" i="147"/>
  <c r="B77" i="147"/>
  <c r="N76" i="147"/>
  <c r="M76" i="147"/>
  <c r="L76" i="147"/>
  <c r="K76" i="147"/>
  <c r="J76" i="147"/>
  <c r="I76" i="147"/>
  <c r="H76" i="147"/>
  <c r="G76" i="147"/>
  <c r="F76" i="147"/>
  <c r="E76" i="147"/>
  <c r="D76" i="147"/>
  <c r="C76" i="147"/>
  <c r="B76" i="147"/>
  <c r="N70" i="147"/>
  <c r="M70" i="147"/>
  <c r="L70" i="147"/>
  <c r="K70" i="147"/>
  <c r="J70" i="147"/>
  <c r="I70" i="147"/>
  <c r="H70" i="147"/>
  <c r="G70" i="147"/>
  <c r="F70" i="147"/>
  <c r="E70" i="147"/>
  <c r="D70" i="147"/>
  <c r="C70" i="147"/>
  <c r="A70" i="147"/>
  <c r="N69" i="147"/>
  <c r="M69" i="147"/>
  <c r="L69" i="147"/>
  <c r="K69" i="147"/>
  <c r="J69" i="147"/>
  <c r="I69" i="147"/>
  <c r="H69" i="147"/>
  <c r="G69" i="147"/>
  <c r="F69" i="147"/>
  <c r="E69" i="147"/>
  <c r="D69" i="147"/>
  <c r="C69" i="147"/>
  <c r="B69" i="147"/>
  <c r="N68" i="147"/>
  <c r="M68" i="147"/>
  <c r="L68" i="147"/>
  <c r="K68" i="147"/>
  <c r="J68" i="147"/>
  <c r="I68" i="147"/>
  <c r="H68" i="147"/>
  <c r="G68" i="147"/>
  <c r="F68" i="147"/>
  <c r="E68" i="147"/>
  <c r="D68" i="147"/>
  <c r="C68" i="147"/>
  <c r="B68" i="147"/>
  <c r="N67" i="147"/>
  <c r="M67" i="147"/>
  <c r="L67" i="147"/>
  <c r="K67" i="147"/>
  <c r="J67" i="147"/>
  <c r="I67" i="147"/>
  <c r="H67" i="147"/>
  <c r="G67" i="147"/>
  <c r="F67" i="147"/>
  <c r="E67" i="147"/>
  <c r="D67" i="147"/>
  <c r="C67" i="147"/>
  <c r="B67" i="147"/>
  <c r="N66" i="147"/>
  <c r="M66" i="147"/>
  <c r="L66" i="147"/>
  <c r="K66" i="147"/>
  <c r="J66" i="147"/>
  <c r="I66" i="147"/>
  <c r="H66" i="147"/>
  <c r="G66" i="147"/>
  <c r="F66" i="147"/>
  <c r="E66" i="147"/>
  <c r="D66" i="147"/>
  <c r="C66" i="147"/>
  <c r="B66" i="147"/>
  <c r="N65" i="147"/>
  <c r="M65" i="147"/>
  <c r="L65" i="147"/>
  <c r="K65" i="147"/>
  <c r="J65" i="147"/>
  <c r="I65" i="147"/>
  <c r="H65" i="147"/>
  <c r="G65" i="147"/>
  <c r="F65" i="147"/>
  <c r="E65" i="147"/>
  <c r="D65" i="147"/>
  <c r="C65" i="147"/>
  <c r="B65" i="147"/>
  <c r="N64" i="147"/>
  <c r="M64" i="147"/>
  <c r="L64" i="147"/>
  <c r="K64" i="147"/>
  <c r="J64" i="147"/>
  <c r="I64" i="147"/>
  <c r="H64" i="147"/>
  <c r="G64" i="147"/>
  <c r="F64" i="147"/>
  <c r="E64" i="147"/>
  <c r="D64" i="147"/>
  <c r="C64" i="147"/>
  <c r="B64" i="147"/>
  <c r="N63" i="147"/>
  <c r="M63" i="147"/>
  <c r="L63" i="147"/>
  <c r="K63" i="147"/>
  <c r="J63" i="147"/>
  <c r="I63" i="147"/>
  <c r="H63" i="147"/>
  <c r="G63" i="147"/>
  <c r="F63" i="147"/>
  <c r="E63" i="147"/>
  <c r="D63" i="147"/>
  <c r="C63" i="147"/>
  <c r="B63" i="147"/>
  <c r="N62" i="147"/>
  <c r="M62" i="147"/>
  <c r="L62" i="147"/>
  <c r="K62" i="147"/>
  <c r="J62" i="147"/>
  <c r="I62" i="147"/>
  <c r="H62" i="147"/>
  <c r="G62" i="147"/>
  <c r="F62" i="147"/>
  <c r="E62" i="147"/>
  <c r="D62" i="147"/>
  <c r="C62" i="147"/>
  <c r="B62" i="147"/>
  <c r="N61" i="147"/>
  <c r="M61" i="147"/>
  <c r="L61" i="147"/>
  <c r="K61" i="147"/>
  <c r="J61" i="147"/>
  <c r="I61" i="147"/>
  <c r="H61" i="147"/>
  <c r="G61" i="147"/>
  <c r="F61" i="147"/>
  <c r="E61" i="147"/>
  <c r="D61" i="147"/>
  <c r="C61" i="147"/>
  <c r="B61" i="147"/>
  <c r="N60" i="147"/>
  <c r="M60" i="147"/>
  <c r="L60" i="147"/>
  <c r="K60" i="147"/>
  <c r="J60" i="147"/>
  <c r="I60" i="147"/>
  <c r="H60" i="147"/>
  <c r="G60" i="147"/>
  <c r="F60" i="147"/>
  <c r="E60" i="147"/>
  <c r="D60" i="147"/>
  <c r="C60" i="147"/>
  <c r="B60" i="147"/>
  <c r="N59" i="147"/>
  <c r="M59" i="147"/>
  <c r="L59" i="147"/>
  <c r="K59" i="147"/>
  <c r="J59" i="147"/>
  <c r="I59" i="147"/>
  <c r="H59" i="147"/>
  <c r="G59" i="147"/>
  <c r="F59" i="147"/>
  <c r="E59" i="147"/>
  <c r="D59" i="147"/>
  <c r="C59" i="147"/>
  <c r="B59" i="147"/>
  <c r="N58" i="147"/>
  <c r="M58" i="147"/>
  <c r="L58" i="147"/>
  <c r="K58" i="147"/>
  <c r="J58" i="147"/>
  <c r="I58" i="147"/>
  <c r="H58" i="147"/>
  <c r="G58" i="147"/>
  <c r="F58" i="147"/>
  <c r="E58" i="147"/>
  <c r="D58" i="147"/>
  <c r="C58" i="147"/>
  <c r="B58" i="147"/>
  <c r="N54" i="147"/>
  <c r="M54" i="147"/>
  <c r="L54" i="147"/>
  <c r="K54" i="147"/>
  <c r="J54" i="147"/>
  <c r="I54" i="147"/>
  <c r="H54" i="147"/>
  <c r="G54" i="147"/>
  <c r="F54" i="147"/>
  <c r="E54" i="147"/>
  <c r="D54" i="147"/>
  <c r="C54" i="147"/>
  <c r="A54" i="147"/>
  <c r="N53" i="147"/>
  <c r="M53" i="147"/>
  <c r="L53" i="147"/>
  <c r="K53" i="147"/>
  <c r="J53" i="147"/>
  <c r="I53" i="147"/>
  <c r="H53" i="147"/>
  <c r="G53" i="147"/>
  <c r="F53" i="147"/>
  <c r="E53" i="147"/>
  <c r="D53" i="147"/>
  <c r="C53" i="147"/>
  <c r="B53" i="147"/>
  <c r="N52" i="147"/>
  <c r="M52" i="147"/>
  <c r="L52" i="147"/>
  <c r="K52" i="147"/>
  <c r="J52" i="147"/>
  <c r="I52" i="147"/>
  <c r="H52" i="147"/>
  <c r="G52" i="147"/>
  <c r="F52" i="147"/>
  <c r="E52" i="147"/>
  <c r="D52" i="147"/>
  <c r="C52" i="147"/>
  <c r="B52" i="147"/>
  <c r="N51" i="147"/>
  <c r="M51" i="147"/>
  <c r="L51" i="147"/>
  <c r="K51" i="147"/>
  <c r="J51" i="147"/>
  <c r="I51" i="147"/>
  <c r="H51" i="147"/>
  <c r="G51" i="147"/>
  <c r="F51" i="147"/>
  <c r="E51" i="147"/>
  <c r="D51" i="147"/>
  <c r="C51" i="147"/>
  <c r="B51" i="147"/>
  <c r="N50" i="147"/>
  <c r="M50" i="147"/>
  <c r="L50" i="147"/>
  <c r="K50" i="147"/>
  <c r="J50" i="147"/>
  <c r="I50" i="147"/>
  <c r="H50" i="147"/>
  <c r="G50" i="147"/>
  <c r="F50" i="147"/>
  <c r="E50" i="147"/>
  <c r="D50" i="147"/>
  <c r="C50" i="147"/>
  <c r="B50" i="147"/>
  <c r="N49" i="147"/>
  <c r="M49" i="147"/>
  <c r="L49" i="147"/>
  <c r="K49" i="147"/>
  <c r="J49" i="147"/>
  <c r="I49" i="147"/>
  <c r="H49" i="147"/>
  <c r="G49" i="147"/>
  <c r="F49" i="147"/>
  <c r="E49" i="147"/>
  <c r="D49" i="147"/>
  <c r="C49" i="147"/>
  <c r="B49" i="147"/>
  <c r="N48" i="147"/>
  <c r="M48" i="147"/>
  <c r="L48" i="147"/>
  <c r="K48" i="147"/>
  <c r="J48" i="147"/>
  <c r="I48" i="147"/>
  <c r="H48" i="147"/>
  <c r="G48" i="147"/>
  <c r="F48" i="147"/>
  <c r="E48" i="147"/>
  <c r="D48" i="147"/>
  <c r="C48" i="147"/>
  <c r="B48" i="147"/>
  <c r="N47" i="147"/>
  <c r="M47" i="147"/>
  <c r="L47" i="147"/>
  <c r="K47" i="147"/>
  <c r="J47" i="147"/>
  <c r="I47" i="147"/>
  <c r="H47" i="147"/>
  <c r="G47" i="147"/>
  <c r="F47" i="147"/>
  <c r="E47" i="147"/>
  <c r="D47" i="147"/>
  <c r="C47" i="147"/>
  <c r="B47" i="147"/>
  <c r="N46" i="147"/>
  <c r="M46" i="147"/>
  <c r="L46" i="147"/>
  <c r="K46" i="147"/>
  <c r="J46" i="147"/>
  <c r="I46" i="147"/>
  <c r="H46" i="147"/>
  <c r="G46" i="147"/>
  <c r="F46" i="147"/>
  <c r="E46" i="147"/>
  <c r="D46" i="147"/>
  <c r="C46" i="147"/>
  <c r="B46" i="147"/>
  <c r="N45" i="147"/>
  <c r="M45" i="147"/>
  <c r="L45" i="147"/>
  <c r="K45" i="147"/>
  <c r="J45" i="147"/>
  <c r="I45" i="147"/>
  <c r="H45" i="147"/>
  <c r="G45" i="147"/>
  <c r="F45" i="147"/>
  <c r="E45" i="147"/>
  <c r="D45" i="147"/>
  <c r="C45" i="147"/>
  <c r="B45" i="147"/>
  <c r="N44" i="147"/>
  <c r="M44" i="147"/>
  <c r="L44" i="147"/>
  <c r="K44" i="147"/>
  <c r="J44" i="147"/>
  <c r="I44" i="147"/>
  <c r="H44" i="147"/>
  <c r="G44" i="147"/>
  <c r="F44" i="147"/>
  <c r="E44" i="147"/>
  <c r="D44" i="147"/>
  <c r="C44" i="147"/>
  <c r="B44" i="147"/>
  <c r="N43" i="147"/>
  <c r="M43" i="147"/>
  <c r="L43" i="147"/>
  <c r="K43" i="147"/>
  <c r="J43" i="147"/>
  <c r="I43" i="147"/>
  <c r="H43" i="147"/>
  <c r="G43" i="147"/>
  <c r="F43" i="147"/>
  <c r="E43" i="147"/>
  <c r="D43" i="147"/>
  <c r="C43" i="147"/>
  <c r="B43" i="147"/>
  <c r="N42" i="147"/>
  <c r="M42" i="147"/>
  <c r="L42" i="147"/>
  <c r="K42" i="147"/>
  <c r="J42" i="147"/>
  <c r="I42" i="147"/>
  <c r="H42" i="147"/>
  <c r="G42" i="147"/>
  <c r="F42" i="147"/>
  <c r="E42" i="147"/>
  <c r="D42" i="147"/>
  <c r="C42" i="147"/>
  <c r="B42" i="147"/>
  <c r="N36" i="147"/>
  <c r="M36" i="147"/>
  <c r="L36" i="147"/>
  <c r="K36" i="147"/>
  <c r="J36" i="147"/>
  <c r="I36" i="147"/>
  <c r="H36" i="147"/>
  <c r="G36" i="147"/>
  <c r="F36" i="147"/>
  <c r="E36" i="147"/>
  <c r="D36" i="147"/>
  <c r="C36" i="147"/>
  <c r="B36" i="147"/>
  <c r="N35" i="147"/>
  <c r="M35" i="147"/>
  <c r="L35" i="147"/>
  <c r="K35" i="147"/>
  <c r="J35" i="147"/>
  <c r="I35" i="147"/>
  <c r="H35" i="147"/>
  <c r="G35" i="147"/>
  <c r="F35" i="147"/>
  <c r="E35" i="147"/>
  <c r="D35" i="147"/>
  <c r="C35" i="147"/>
  <c r="B35" i="147"/>
  <c r="I31" i="147"/>
  <c r="H31" i="147"/>
  <c r="G31" i="147"/>
  <c r="E31" i="147"/>
  <c r="D31" i="147"/>
  <c r="C31" i="147"/>
  <c r="B31" i="147"/>
  <c r="A31" i="147"/>
  <c r="D30" i="147"/>
  <c r="C30" i="147"/>
  <c r="B30" i="147"/>
  <c r="D29" i="147"/>
  <c r="C29" i="147"/>
  <c r="B29" i="147"/>
  <c r="D28" i="147"/>
  <c r="C28" i="147"/>
  <c r="B28" i="147"/>
  <c r="D27" i="147"/>
  <c r="C27" i="147"/>
  <c r="B27" i="147"/>
  <c r="D26" i="147"/>
  <c r="C26" i="147"/>
  <c r="B26" i="147"/>
  <c r="D25" i="147"/>
  <c r="C25" i="147"/>
  <c r="B25" i="147"/>
  <c r="D24" i="147"/>
  <c r="C24" i="147"/>
  <c r="B24" i="147"/>
  <c r="D23" i="147"/>
  <c r="C23" i="147"/>
  <c r="B23" i="147"/>
  <c r="D22" i="147"/>
  <c r="C22" i="147"/>
  <c r="B22" i="147"/>
  <c r="D21" i="147"/>
  <c r="C21" i="147"/>
  <c r="B21" i="147"/>
  <c r="D20" i="147"/>
  <c r="C20" i="147"/>
  <c r="C19" i="147"/>
  <c r="B19" i="147"/>
  <c r="N15" i="147"/>
  <c r="M15" i="147"/>
  <c r="L15" i="147"/>
  <c r="K15" i="147"/>
  <c r="J15" i="147"/>
  <c r="I15" i="147"/>
  <c r="H15" i="147"/>
  <c r="G15" i="147"/>
  <c r="F15" i="147"/>
  <c r="E15" i="147"/>
  <c r="D15" i="147"/>
  <c r="C15" i="147"/>
  <c r="B15" i="147"/>
  <c r="N14" i="147"/>
  <c r="M14" i="147"/>
  <c r="L14" i="147"/>
  <c r="K14" i="147"/>
  <c r="J14" i="147"/>
  <c r="I14" i="147"/>
  <c r="H14" i="147"/>
  <c r="G14" i="147"/>
  <c r="F14" i="147"/>
  <c r="E14" i="147"/>
  <c r="D14" i="147"/>
  <c r="C14" i="147"/>
  <c r="B14" i="147"/>
  <c r="A10" i="147"/>
  <c r="A1" i="147"/>
  <c r="N371" i="146"/>
  <c r="M371" i="146"/>
  <c r="L371" i="146"/>
  <c r="K371" i="146"/>
  <c r="J371" i="146"/>
  <c r="I371" i="146"/>
  <c r="H371" i="146"/>
  <c r="G371" i="146"/>
  <c r="F371" i="146"/>
  <c r="E371" i="146"/>
  <c r="D371" i="146"/>
  <c r="C371" i="146"/>
  <c r="A371" i="146"/>
  <c r="N370" i="146"/>
  <c r="M370" i="146"/>
  <c r="L370" i="146"/>
  <c r="K370" i="146"/>
  <c r="J370" i="146"/>
  <c r="I370" i="146"/>
  <c r="H370" i="146"/>
  <c r="G370" i="146"/>
  <c r="F370" i="146"/>
  <c r="E370" i="146"/>
  <c r="D370" i="146"/>
  <c r="C370" i="146"/>
  <c r="A370" i="146"/>
  <c r="N369" i="146"/>
  <c r="M369" i="146"/>
  <c r="L369" i="146"/>
  <c r="K369" i="146"/>
  <c r="J369" i="146"/>
  <c r="I369" i="146"/>
  <c r="H369" i="146"/>
  <c r="G369" i="146"/>
  <c r="F369" i="146"/>
  <c r="E369" i="146"/>
  <c r="D369" i="146"/>
  <c r="C369" i="146"/>
  <c r="N368" i="146"/>
  <c r="M368" i="146"/>
  <c r="L368" i="146"/>
  <c r="K368" i="146"/>
  <c r="J368" i="146"/>
  <c r="I368" i="146"/>
  <c r="H368" i="146"/>
  <c r="G368" i="146"/>
  <c r="F368" i="146"/>
  <c r="E368" i="146"/>
  <c r="D368" i="146"/>
  <c r="C368" i="146"/>
  <c r="N367" i="146"/>
  <c r="M367" i="146"/>
  <c r="L367" i="146"/>
  <c r="K367" i="146"/>
  <c r="J367" i="146"/>
  <c r="I367" i="146"/>
  <c r="H367" i="146"/>
  <c r="G367" i="146"/>
  <c r="F367" i="146"/>
  <c r="E367" i="146"/>
  <c r="D367" i="146"/>
  <c r="C367" i="146"/>
  <c r="A367" i="146"/>
  <c r="N366" i="146"/>
  <c r="M366" i="146"/>
  <c r="L366" i="146"/>
  <c r="K366" i="146"/>
  <c r="J366" i="146"/>
  <c r="I366" i="146"/>
  <c r="H366" i="146"/>
  <c r="G366" i="146"/>
  <c r="F366" i="146"/>
  <c r="E366" i="146"/>
  <c r="D366" i="146"/>
  <c r="C366" i="146"/>
  <c r="B366" i="146"/>
  <c r="N365" i="146"/>
  <c r="M365" i="146"/>
  <c r="L365" i="146"/>
  <c r="K365" i="146"/>
  <c r="J365" i="146"/>
  <c r="I365" i="146"/>
  <c r="H365" i="146"/>
  <c r="G365" i="146"/>
  <c r="F365" i="146"/>
  <c r="E365" i="146"/>
  <c r="D365" i="146"/>
  <c r="C365" i="146"/>
  <c r="B365" i="146"/>
  <c r="N364" i="146"/>
  <c r="M364" i="146"/>
  <c r="L364" i="146"/>
  <c r="K364" i="146"/>
  <c r="J364" i="146"/>
  <c r="I364" i="146"/>
  <c r="H364" i="146"/>
  <c r="G364" i="146"/>
  <c r="F364" i="146"/>
  <c r="E364" i="146"/>
  <c r="D364" i="146"/>
  <c r="C364" i="146"/>
  <c r="B364" i="146"/>
  <c r="N363" i="146"/>
  <c r="M363" i="146"/>
  <c r="L363" i="146"/>
  <c r="K363" i="146"/>
  <c r="J363" i="146"/>
  <c r="I363" i="146"/>
  <c r="H363" i="146"/>
  <c r="G363" i="146"/>
  <c r="F363" i="146"/>
  <c r="E363" i="146"/>
  <c r="D363" i="146"/>
  <c r="C363" i="146"/>
  <c r="B363" i="146"/>
  <c r="N362" i="146"/>
  <c r="M362" i="146"/>
  <c r="L362" i="146"/>
  <c r="K362" i="146"/>
  <c r="J362" i="146"/>
  <c r="I362" i="146"/>
  <c r="H362" i="146"/>
  <c r="G362" i="146"/>
  <c r="F362" i="146"/>
  <c r="E362" i="146"/>
  <c r="D362" i="146"/>
  <c r="C362" i="146"/>
  <c r="B362" i="146"/>
  <c r="N361" i="146"/>
  <c r="M361" i="146"/>
  <c r="L361" i="146"/>
  <c r="K361" i="146"/>
  <c r="J361" i="146"/>
  <c r="I361" i="146"/>
  <c r="H361" i="146"/>
  <c r="G361" i="146"/>
  <c r="F361" i="146"/>
  <c r="E361" i="146"/>
  <c r="D361" i="146"/>
  <c r="C361" i="146"/>
  <c r="B361" i="146"/>
  <c r="N360" i="146"/>
  <c r="M360" i="146"/>
  <c r="L360" i="146"/>
  <c r="K360" i="146"/>
  <c r="J360" i="146"/>
  <c r="I360" i="146"/>
  <c r="H360" i="146"/>
  <c r="G360" i="146"/>
  <c r="F360" i="146"/>
  <c r="E360" i="146"/>
  <c r="D360" i="146"/>
  <c r="C360" i="146"/>
  <c r="B360" i="146"/>
  <c r="N359" i="146"/>
  <c r="M359" i="146"/>
  <c r="L359" i="146"/>
  <c r="K359" i="146"/>
  <c r="J359" i="146"/>
  <c r="I359" i="146"/>
  <c r="H359" i="146"/>
  <c r="G359" i="146"/>
  <c r="F359" i="146"/>
  <c r="E359" i="146"/>
  <c r="D359" i="146"/>
  <c r="C359" i="146"/>
  <c r="B359" i="146"/>
  <c r="N358" i="146"/>
  <c r="M358" i="146"/>
  <c r="L358" i="146"/>
  <c r="K358" i="146"/>
  <c r="J358" i="146"/>
  <c r="I358" i="146"/>
  <c r="H358" i="146"/>
  <c r="G358" i="146"/>
  <c r="F358" i="146"/>
  <c r="E358" i="146"/>
  <c r="D358" i="146"/>
  <c r="C358" i="146"/>
  <c r="B358" i="146"/>
  <c r="N357" i="146"/>
  <c r="M357" i="146"/>
  <c r="L357" i="146"/>
  <c r="K357" i="146"/>
  <c r="J357" i="146"/>
  <c r="I357" i="146"/>
  <c r="H357" i="146"/>
  <c r="G357" i="146"/>
  <c r="F357" i="146"/>
  <c r="E357" i="146"/>
  <c r="D357" i="146"/>
  <c r="C357" i="146"/>
  <c r="B357" i="146"/>
  <c r="N356" i="146"/>
  <c r="M356" i="146"/>
  <c r="L356" i="146"/>
  <c r="K356" i="146"/>
  <c r="J356" i="146"/>
  <c r="I356" i="146"/>
  <c r="H356" i="146"/>
  <c r="G356" i="146"/>
  <c r="F356" i="146"/>
  <c r="E356" i="146"/>
  <c r="D356" i="146"/>
  <c r="C356" i="146"/>
  <c r="B356" i="146"/>
  <c r="N355" i="146"/>
  <c r="M355" i="146"/>
  <c r="L355" i="146"/>
  <c r="K355" i="146"/>
  <c r="J355" i="146"/>
  <c r="I355" i="146"/>
  <c r="H355" i="146"/>
  <c r="G355" i="146"/>
  <c r="F355" i="146"/>
  <c r="E355" i="146"/>
  <c r="D355" i="146"/>
  <c r="C355" i="146"/>
  <c r="B355" i="146"/>
  <c r="N351" i="146"/>
  <c r="M351" i="146"/>
  <c r="L351" i="146"/>
  <c r="K351" i="146"/>
  <c r="J351" i="146"/>
  <c r="I351" i="146"/>
  <c r="H351" i="146"/>
  <c r="G351" i="146"/>
  <c r="F351" i="146"/>
  <c r="E351" i="146"/>
  <c r="D351" i="146"/>
  <c r="C351" i="146"/>
  <c r="A351" i="146"/>
  <c r="N350" i="146"/>
  <c r="M350" i="146"/>
  <c r="L350" i="146"/>
  <c r="K350" i="146"/>
  <c r="J350" i="146"/>
  <c r="I350" i="146"/>
  <c r="H350" i="146"/>
  <c r="G350" i="146"/>
  <c r="F350" i="146"/>
  <c r="E350" i="146"/>
  <c r="D350" i="146"/>
  <c r="C350" i="146"/>
  <c r="B350" i="146"/>
  <c r="N349" i="146"/>
  <c r="M349" i="146"/>
  <c r="L349" i="146"/>
  <c r="K349" i="146"/>
  <c r="J349" i="146"/>
  <c r="I349" i="146"/>
  <c r="H349" i="146"/>
  <c r="G349" i="146"/>
  <c r="F349" i="146"/>
  <c r="E349" i="146"/>
  <c r="D349" i="146"/>
  <c r="C349" i="146"/>
  <c r="B349" i="146"/>
  <c r="N348" i="146"/>
  <c r="M348" i="146"/>
  <c r="L348" i="146"/>
  <c r="K348" i="146"/>
  <c r="J348" i="146"/>
  <c r="I348" i="146"/>
  <c r="H348" i="146"/>
  <c r="G348" i="146"/>
  <c r="F348" i="146"/>
  <c r="E348" i="146"/>
  <c r="D348" i="146"/>
  <c r="C348" i="146"/>
  <c r="B348" i="146"/>
  <c r="N347" i="146"/>
  <c r="M347" i="146"/>
  <c r="L347" i="146"/>
  <c r="K347" i="146"/>
  <c r="J347" i="146"/>
  <c r="I347" i="146"/>
  <c r="H347" i="146"/>
  <c r="G347" i="146"/>
  <c r="F347" i="146"/>
  <c r="E347" i="146"/>
  <c r="D347" i="146"/>
  <c r="C347" i="146"/>
  <c r="B347" i="146"/>
  <c r="N346" i="146"/>
  <c r="M346" i="146"/>
  <c r="L346" i="146"/>
  <c r="K346" i="146"/>
  <c r="J346" i="146"/>
  <c r="I346" i="146"/>
  <c r="H346" i="146"/>
  <c r="G346" i="146"/>
  <c r="F346" i="146"/>
  <c r="E346" i="146"/>
  <c r="D346" i="146"/>
  <c r="C346" i="146"/>
  <c r="B346" i="146"/>
  <c r="N345" i="146"/>
  <c r="M345" i="146"/>
  <c r="L345" i="146"/>
  <c r="K345" i="146"/>
  <c r="J345" i="146"/>
  <c r="I345" i="146"/>
  <c r="H345" i="146"/>
  <c r="G345" i="146"/>
  <c r="F345" i="146"/>
  <c r="E345" i="146"/>
  <c r="D345" i="146"/>
  <c r="C345" i="146"/>
  <c r="B345" i="146"/>
  <c r="N344" i="146"/>
  <c r="M344" i="146"/>
  <c r="L344" i="146"/>
  <c r="K344" i="146"/>
  <c r="J344" i="146"/>
  <c r="I344" i="146"/>
  <c r="H344" i="146"/>
  <c r="G344" i="146"/>
  <c r="F344" i="146"/>
  <c r="E344" i="146"/>
  <c r="D344" i="146"/>
  <c r="C344" i="146"/>
  <c r="B344" i="146"/>
  <c r="N343" i="146"/>
  <c r="M343" i="146"/>
  <c r="L343" i="146"/>
  <c r="K343" i="146"/>
  <c r="J343" i="146"/>
  <c r="I343" i="146"/>
  <c r="H343" i="146"/>
  <c r="G343" i="146"/>
  <c r="F343" i="146"/>
  <c r="E343" i="146"/>
  <c r="D343" i="146"/>
  <c r="C343" i="146"/>
  <c r="B343" i="146"/>
  <c r="N342" i="146"/>
  <c r="M342" i="146"/>
  <c r="L342" i="146"/>
  <c r="K342" i="146"/>
  <c r="J342" i="146"/>
  <c r="I342" i="146"/>
  <c r="H342" i="146"/>
  <c r="G342" i="146"/>
  <c r="F342" i="146"/>
  <c r="E342" i="146"/>
  <c r="D342" i="146"/>
  <c r="C342" i="146"/>
  <c r="B342" i="146"/>
  <c r="N341" i="146"/>
  <c r="M341" i="146"/>
  <c r="L341" i="146"/>
  <c r="K341" i="146"/>
  <c r="J341" i="146"/>
  <c r="I341" i="146"/>
  <c r="H341" i="146"/>
  <c r="G341" i="146"/>
  <c r="F341" i="146"/>
  <c r="E341" i="146"/>
  <c r="D341" i="146"/>
  <c r="C341" i="146"/>
  <c r="B341" i="146"/>
  <c r="N340" i="146"/>
  <c r="M340" i="146"/>
  <c r="L340" i="146"/>
  <c r="K340" i="146"/>
  <c r="J340" i="146"/>
  <c r="I340" i="146"/>
  <c r="H340" i="146"/>
  <c r="G340" i="146"/>
  <c r="F340" i="146"/>
  <c r="E340" i="146"/>
  <c r="D340" i="146"/>
  <c r="C340" i="146"/>
  <c r="B340" i="146"/>
  <c r="N339" i="146"/>
  <c r="M339" i="146"/>
  <c r="L339" i="146"/>
  <c r="K339" i="146"/>
  <c r="J339" i="146"/>
  <c r="I339" i="146"/>
  <c r="H339" i="146"/>
  <c r="G339" i="146"/>
  <c r="F339" i="146"/>
  <c r="E339" i="146"/>
  <c r="D339" i="146"/>
  <c r="C339" i="146"/>
  <c r="B339" i="146"/>
  <c r="N333" i="146"/>
  <c r="M333" i="146"/>
  <c r="L333" i="146"/>
  <c r="K333" i="146"/>
  <c r="J333" i="146"/>
  <c r="I333" i="146"/>
  <c r="H333" i="146"/>
  <c r="G333" i="146"/>
  <c r="F333" i="146"/>
  <c r="E333" i="146"/>
  <c r="D333" i="146"/>
  <c r="C333" i="146"/>
  <c r="A333" i="146"/>
  <c r="N332" i="146"/>
  <c r="M332" i="146"/>
  <c r="L332" i="146"/>
  <c r="K332" i="146"/>
  <c r="J332" i="146"/>
  <c r="I332" i="146"/>
  <c r="H332" i="146"/>
  <c r="G332" i="146"/>
  <c r="F332" i="146"/>
  <c r="E332" i="146"/>
  <c r="D332" i="146"/>
  <c r="C332" i="146"/>
  <c r="N331" i="146"/>
  <c r="M331" i="146"/>
  <c r="L331" i="146"/>
  <c r="K331" i="146"/>
  <c r="J331" i="146"/>
  <c r="I331" i="146"/>
  <c r="H331" i="146"/>
  <c r="G331" i="146"/>
  <c r="F331" i="146"/>
  <c r="E331" i="146"/>
  <c r="D331" i="146"/>
  <c r="C331" i="146"/>
  <c r="N330" i="146"/>
  <c r="M330" i="146"/>
  <c r="L330" i="146"/>
  <c r="K330" i="146"/>
  <c r="J330" i="146"/>
  <c r="I330" i="146"/>
  <c r="H330" i="146"/>
  <c r="G330" i="146"/>
  <c r="F330" i="146"/>
  <c r="E330" i="146"/>
  <c r="D330" i="146"/>
  <c r="C330" i="146"/>
  <c r="A330" i="146"/>
  <c r="N329" i="146"/>
  <c r="M329" i="146"/>
  <c r="L329" i="146"/>
  <c r="K329" i="146"/>
  <c r="J329" i="146"/>
  <c r="I329" i="146"/>
  <c r="H329" i="146"/>
  <c r="G329" i="146"/>
  <c r="F329" i="146"/>
  <c r="E329" i="146"/>
  <c r="D329" i="146"/>
  <c r="C329" i="146"/>
  <c r="B329" i="146"/>
  <c r="N328" i="146"/>
  <c r="M328" i="146"/>
  <c r="L328" i="146"/>
  <c r="K328" i="146"/>
  <c r="J328" i="146"/>
  <c r="I328" i="146"/>
  <c r="H328" i="146"/>
  <c r="G328" i="146"/>
  <c r="F328" i="146"/>
  <c r="E328" i="146"/>
  <c r="D328" i="146"/>
  <c r="C328" i="146"/>
  <c r="B328" i="146"/>
  <c r="N327" i="146"/>
  <c r="M327" i="146"/>
  <c r="L327" i="146"/>
  <c r="K327" i="146"/>
  <c r="J327" i="146"/>
  <c r="I327" i="146"/>
  <c r="H327" i="146"/>
  <c r="G327" i="146"/>
  <c r="F327" i="146"/>
  <c r="E327" i="146"/>
  <c r="D327" i="146"/>
  <c r="C327" i="146"/>
  <c r="B327" i="146"/>
  <c r="N326" i="146"/>
  <c r="M326" i="146"/>
  <c r="L326" i="146"/>
  <c r="K326" i="146"/>
  <c r="J326" i="146"/>
  <c r="I326" i="146"/>
  <c r="H326" i="146"/>
  <c r="G326" i="146"/>
  <c r="F326" i="146"/>
  <c r="E326" i="146"/>
  <c r="D326" i="146"/>
  <c r="C326" i="146"/>
  <c r="B326" i="146"/>
  <c r="N325" i="146"/>
  <c r="M325" i="146"/>
  <c r="L325" i="146"/>
  <c r="K325" i="146"/>
  <c r="J325" i="146"/>
  <c r="I325" i="146"/>
  <c r="H325" i="146"/>
  <c r="G325" i="146"/>
  <c r="F325" i="146"/>
  <c r="E325" i="146"/>
  <c r="D325" i="146"/>
  <c r="C325" i="146"/>
  <c r="B325" i="146"/>
  <c r="N324" i="146"/>
  <c r="M324" i="146"/>
  <c r="L324" i="146"/>
  <c r="K324" i="146"/>
  <c r="J324" i="146"/>
  <c r="I324" i="146"/>
  <c r="H324" i="146"/>
  <c r="G324" i="146"/>
  <c r="F324" i="146"/>
  <c r="E324" i="146"/>
  <c r="D324" i="146"/>
  <c r="C324" i="146"/>
  <c r="B324" i="146"/>
  <c r="N323" i="146"/>
  <c r="M323" i="146"/>
  <c r="L323" i="146"/>
  <c r="K323" i="146"/>
  <c r="J323" i="146"/>
  <c r="I323" i="146"/>
  <c r="H323" i="146"/>
  <c r="G323" i="146"/>
  <c r="F323" i="146"/>
  <c r="E323" i="146"/>
  <c r="D323" i="146"/>
  <c r="C323" i="146"/>
  <c r="B323" i="146"/>
  <c r="N322" i="146"/>
  <c r="M322" i="146"/>
  <c r="L322" i="146"/>
  <c r="K322" i="146"/>
  <c r="J322" i="146"/>
  <c r="I322" i="146"/>
  <c r="H322" i="146"/>
  <c r="G322" i="146"/>
  <c r="F322" i="146"/>
  <c r="E322" i="146"/>
  <c r="D322" i="146"/>
  <c r="C322" i="146"/>
  <c r="B322" i="146"/>
  <c r="N321" i="146"/>
  <c r="M321" i="146"/>
  <c r="L321" i="146"/>
  <c r="K321" i="146"/>
  <c r="J321" i="146"/>
  <c r="I321" i="146"/>
  <c r="H321" i="146"/>
  <c r="G321" i="146"/>
  <c r="F321" i="146"/>
  <c r="E321" i="146"/>
  <c r="D321" i="146"/>
  <c r="C321" i="146"/>
  <c r="B321" i="146"/>
  <c r="N320" i="146"/>
  <c r="M320" i="146"/>
  <c r="L320" i="146"/>
  <c r="K320" i="146"/>
  <c r="J320" i="146"/>
  <c r="I320" i="146"/>
  <c r="H320" i="146"/>
  <c r="G320" i="146"/>
  <c r="F320" i="146"/>
  <c r="E320" i="146"/>
  <c r="D320" i="146"/>
  <c r="C320" i="146"/>
  <c r="B320" i="146"/>
  <c r="N319" i="146"/>
  <c r="M319" i="146"/>
  <c r="L319" i="146"/>
  <c r="K319" i="146"/>
  <c r="J319" i="146"/>
  <c r="I319" i="146"/>
  <c r="H319" i="146"/>
  <c r="G319" i="146"/>
  <c r="F319" i="146"/>
  <c r="E319" i="146"/>
  <c r="D319" i="146"/>
  <c r="C319" i="146"/>
  <c r="B319" i="146"/>
  <c r="N318" i="146"/>
  <c r="M318" i="146"/>
  <c r="L318" i="146"/>
  <c r="K318" i="146"/>
  <c r="J318" i="146"/>
  <c r="I318" i="146"/>
  <c r="H318" i="146"/>
  <c r="G318" i="146"/>
  <c r="F318" i="146"/>
  <c r="E318" i="146"/>
  <c r="D318" i="146"/>
  <c r="C318" i="146"/>
  <c r="B318" i="146"/>
  <c r="N314" i="146"/>
  <c r="M314" i="146"/>
  <c r="L314" i="146"/>
  <c r="K314" i="146"/>
  <c r="J314" i="146"/>
  <c r="I314" i="146"/>
  <c r="H314" i="146"/>
  <c r="G314" i="146"/>
  <c r="F314" i="146"/>
  <c r="E314" i="146"/>
  <c r="D314" i="146"/>
  <c r="C314" i="146"/>
  <c r="A314" i="146"/>
  <c r="N313" i="146"/>
  <c r="M313" i="146"/>
  <c r="L313" i="146"/>
  <c r="K313" i="146"/>
  <c r="J313" i="146"/>
  <c r="I313" i="146"/>
  <c r="H313" i="146"/>
  <c r="G313" i="146"/>
  <c r="F313" i="146"/>
  <c r="E313" i="146"/>
  <c r="D313" i="146"/>
  <c r="C313" i="146"/>
  <c r="B313" i="146"/>
  <c r="N312" i="146"/>
  <c r="M312" i="146"/>
  <c r="L312" i="146"/>
  <c r="K312" i="146"/>
  <c r="J312" i="146"/>
  <c r="I312" i="146"/>
  <c r="H312" i="146"/>
  <c r="G312" i="146"/>
  <c r="F312" i="146"/>
  <c r="E312" i="146"/>
  <c r="D312" i="146"/>
  <c r="C312" i="146"/>
  <c r="B312" i="146"/>
  <c r="N311" i="146"/>
  <c r="M311" i="146"/>
  <c r="L311" i="146"/>
  <c r="K311" i="146"/>
  <c r="J311" i="146"/>
  <c r="I311" i="146"/>
  <c r="H311" i="146"/>
  <c r="G311" i="146"/>
  <c r="F311" i="146"/>
  <c r="E311" i="146"/>
  <c r="D311" i="146"/>
  <c r="C311" i="146"/>
  <c r="B311" i="146"/>
  <c r="N310" i="146"/>
  <c r="M310" i="146"/>
  <c r="L310" i="146"/>
  <c r="K310" i="146"/>
  <c r="J310" i="146"/>
  <c r="I310" i="146"/>
  <c r="H310" i="146"/>
  <c r="G310" i="146"/>
  <c r="F310" i="146"/>
  <c r="E310" i="146"/>
  <c r="D310" i="146"/>
  <c r="C310" i="146"/>
  <c r="B310" i="146"/>
  <c r="N309" i="146"/>
  <c r="M309" i="146"/>
  <c r="L309" i="146"/>
  <c r="K309" i="146"/>
  <c r="J309" i="146"/>
  <c r="I309" i="146"/>
  <c r="H309" i="146"/>
  <c r="G309" i="146"/>
  <c r="F309" i="146"/>
  <c r="E309" i="146"/>
  <c r="D309" i="146"/>
  <c r="C309" i="146"/>
  <c r="B309" i="146"/>
  <c r="N308" i="146"/>
  <c r="M308" i="146"/>
  <c r="L308" i="146"/>
  <c r="K308" i="146"/>
  <c r="J308" i="146"/>
  <c r="I308" i="146"/>
  <c r="H308" i="146"/>
  <c r="G308" i="146"/>
  <c r="F308" i="146"/>
  <c r="E308" i="146"/>
  <c r="D308" i="146"/>
  <c r="C308" i="146"/>
  <c r="B308" i="146"/>
  <c r="N307" i="146"/>
  <c r="M307" i="146"/>
  <c r="L307" i="146"/>
  <c r="K307" i="146"/>
  <c r="J307" i="146"/>
  <c r="I307" i="146"/>
  <c r="H307" i="146"/>
  <c r="G307" i="146"/>
  <c r="F307" i="146"/>
  <c r="E307" i="146"/>
  <c r="D307" i="146"/>
  <c r="C307" i="146"/>
  <c r="B307" i="146"/>
  <c r="N306" i="146"/>
  <c r="M306" i="146"/>
  <c r="L306" i="146"/>
  <c r="K306" i="146"/>
  <c r="J306" i="146"/>
  <c r="I306" i="146"/>
  <c r="H306" i="146"/>
  <c r="G306" i="146"/>
  <c r="F306" i="146"/>
  <c r="E306" i="146"/>
  <c r="D306" i="146"/>
  <c r="C306" i="146"/>
  <c r="B306" i="146"/>
  <c r="N305" i="146"/>
  <c r="M305" i="146"/>
  <c r="L305" i="146"/>
  <c r="K305" i="146"/>
  <c r="J305" i="146"/>
  <c r="I305" i="146"/>
  <c r="H305" i="146"/>
  <c r="G305" i="146"/>
  <c r="F305" i="146"/>
  <c r="E305" i="146"/>
  <c r="D305" i="146"/>
  <c r="C305" i="146"/>
  <c r="B305" i="146"/>
  <c r="N304" i="146"/>
  <c r="M304" i="146"/>
  <c r="L304" i="146"/>
  <c r="K304" i="146"/>
  <c r="J304" i="146"/>
  <c r="I304" i="146"/>
  <c r="H304" i="146"/>
  <c r="G304" i="146"/>
  <c r="F304" i="146"/>
  <c r="E304" i="146"/>
  <c r="D304" i="146"/>
  <c r="C304" i="146"/>
  <c r="B304" i="146"/>
  <c r="N303" i="146"/>
  <c r="M303" i="146"/>
  <c r="L303" i="146"/>
  <c r="K303" i="146"/>
  <c r="J303" i="146"/>
  <c r="I303" i="146"/>
  <c r="H303" i="146"/>
  <c r="G303" i="146"/>
  <c r="F303" i="146"/>
  <c r="E303" i="146"/>
  <c r="D303" i="146"/>
  <c r="C303" i="146"/>
  <c r="B303" i="146"/>
  <c r="N302" i="146"/>
  <c r="M302" i="146"/>
  <c r="L302" i="146"/>
  <c r="K302" i="146"/>
  <c r="J302" i="146"/>
  <c r="I302" i="146"/>
  <c r="H302" i="146"/>
  <c r="G302" i="146"/>
  <c r="F302" i="146"/>
  <c r="E302" i="146"/>
  <c r="D302" i="146"/>
  <c r="C302" i="146"/>
  <c r="B302" i="146"/>
  <c r="N296" i="146"/>
  <c r="M296" i="146"/>
  <c r="L296" i="146"/>
  <c r="K296" i="146"/>
  <c r="J296" i="146"/>
  <c r="I296" i="146"/>
  <c r="H296" i="146"/>
  <c r="G296" i="146"/>
  <c r="F296" i="146"/>
  <c r="E296" i="146"/>
  <c r="D296" i="146"/>
  <c r="C296" i="146"/>
  <c r="N294" i="146"/>
  <c r="M294" i="146"/>
  <c r="L294" i="146"/>
  <c r="K294" i="146"/>
  <c r="J294" i="146"/>
  <c r="I294" i="146"/>
  <c r="H294" i="146"/>
  <c r="G294" i="146"/>
  <c r="F294" i="146"/>
  <c r="E294" i="146"/>
  <c r="D294" i="146"/>
  <c r="C294" i="146"/>
  <c r="N293" i="146"/>
  <c r="M293" i="146"/>
  <c r="L293" i="146"/>
  <c r="K293" i="146"/>
  <c r="J293" i="146"/>
  <c r="I293" i="146"/>
  <c r="H293" i="146"/>
  <c r="G293" i="146"/>
  <c r="F293" i="146"/>
  <c r="E293" i="146"/>
  <c r="D293" i="146"/>
  <c r="C293" i="146"/>
  <c r="N290" i="146"/>
  <c r="M290" i="146"/>
  <c r="L290" i="146"/>
  <c r="K290" i="146"/>
  <c r="J290" i="146"/>
  <c r="I290" i="146"/>
  <c r="H290" i="146"/>
  <c r="G290" i="146"/>
  <c r="F290" i="146"/>
  <c r="E290" i="146"/>
  <c r="D290" i="146"/>
  <c r="C290" i="146"/>
  <c r="N289" i="146"/>
  <c r="M289" i="146"/>
  <c r="L289" i="146"/>
  <c r="K289" i="146"/>
  <c r="J289" i="146"/>
  <c r="I289" i="146"/>
  <c r="H289" i="146"/>
  <c r="G289" i="146"/>
  <c r="F289" i="146"/>
  <c r="E289" i="146"/>
  <c r="D289" i="146"/>
  <c r="C289" i="146"/>
  <c r="N283" i="146"/>
  <c r="M283" i="146"/>
  <c r="L283" i="146"/>
  <c r="K283" i="146"/>
  <c r="J283" i="146"/>
  <c r="I283" i="146"/>
  <c r="H283" i="146"/>
  <c r="G283" i="146"/>
  <c r="F283" i="146"/>
  <c r="E283" i="146"/>
  <c r="D283" i="146"/>
  <c r="C283" i="146"/>
  <c r="A283" i="146"/>
  <c r="N282" i="146"/>
  <c r="M282" i="146"/>
  <c r="L282" i="146"/>
  <c r="K282" i="146"/>
  <c r="J282" i="146"/>
  <c r="I282" i="146"/>
  <c r="H282" i="146"/>
  <c r="G282" i="146"/>
  <c r="F282" i="146"/>
  <c r="E282" i="146"/>
  <c r="D282" i="146"/>
  <c r="C282" i="146"/>
  <c r="N281" i="146"/>
  <c r="M281" i="146"/>
  <c r="L281" i="146"/>
  <c r="K281" i="146"/>
  <c r="J281" i="146"/>
  <c r="I281" i="146"/>
  <c r="H281" i="146"/>
  <c r="G281" i="146"/>
  <c r="F281" i="146"/>
  <c r="E281" i="146"/>
  <c r="D281" i="146"/>
  <c r="C281" i="146"/>
  <c r="N280" i="146"/>
  <c r="M280" i="146"/>
  <c r="L280" i="146"/>
  <c r="K280" i="146"/>
  <c r="J280" i="146"/>
  <c r="I280" i="146"/>
  <c r="H280" i="146"/>
  <c r="G280" i="146"/>
  <c r="F280" i="146"/>
  <c r="E280" i="146"/>
  <c r="D280" i="146"/>
  <c r="C280" i="146"/>
  <c r="N279" i="146"/>
  <c r="M279" i="146"/>
  <c r="L279" i="146"/>
  <c r="K279" i="146"/>
  <c r="J279" i="146"/>
  <c r="I279" i="146"/>
  <c r="H279" i="146"/>
  <c r="G279" i="146"/>
  <c r="F279" i="146"/>
  <c r="E279" i="146"/>
  <c r="D279" i="146"/>
  <c r="C279" i="146"/>
  <c r="N278" i="146"/>
  <c r="M278" i="146"/>
  <c r="L278" i="146"/>
  <c r="K278" i="146"/>
  <c r="J278" i="146"/>
  <c r="I278" i="146"/>
  <c r="H278" i="146"/>
  <c r="G278" i="146"/>
  <c r="F278" i="146"/>
  <c r="E278" i="146"/>
  <c r="D278" i="146"/>
  <c r="C278" i="146"/>
  <c r="N274" i="146"/>
  <c r="M274" i="146"/>
  <c r="L274" i="146"/>
  <c r="K274" i="146"/>
  <c r="J274" i="146"/>
  <c r="I274" i="146"/>
  <c r="H274" i="146"/>
  <c r="G274" i="146"/>
  <c r="F274" i="146"/>
  <c r="E274" i="146"/>
  <c r="D274" i="146"/>
  <c r="C274" i="146"/>
  <c r="A274" i="146"/>
  <c r="N273" i="146"/>
  <c r="M273" i="146"/>
  <c r="L273" i="146"/>
  <c r="K273" i="146"/>
  <c r="J273" i="146"/>
  <c r="I273" i="146"/>
  <c r="H273" i="146"/>
  <c r="G273" i="146"/>
  <c r="F273" i="146"/>
  <c r="E273" i="146"/>
  <c r="D273" i="146"/>
  <c r="C273" i="146"/>
  <c r="B273" i="146"/>
  <c r="N272" i="146"/>
  <c r="M272" i="146"/>
  <c r="L272" i="146"/>
  <c r="K272" i="146"/>
  <c r="J272" i="146"/>
  <c r="I272" i="146"/>
  <c r="H272" i="146"/>
  <c r="G272" i="146"/>
  <c r="F272" i="146"/>
  <c r="E272" i="146"/>
  <c r="D272" i="146"/>
  <c r="C272" i="146"/>
  <c r="B272" i="146"/>
  <c r="N271" i="146"/>
  <c r="M271" i="146"/>
  <c r="L271" i="146"/>
  <c r="K271" i="146"/>
  <c r="J271" i="146"/>
  <c r="I271" i="146"/>
  <c r="H271" i="146"/>
  <c r="G271" i="146"/>
  <c r="F271" i="146"/>
  <c r="E271" i="146"/>
  <c r="D271" i="146"/>
  <c r="C271" i="146"/>
  <c r="B271" i="146"/>
  <c r="N270" i="146"/>
  <c r="M270" i="146"/>
  <c r="L270" i="146"/>
  <c r="K270" i="146"/>
  <c r="J270" i="146"/>
  <c r="I270" i="146"/>
  <c r="H270" i="146"/>
  <c r="G270" i="146"/>
  <c r="F270" i="146"/>
  <c r="E270" i="146"/>
  <c r="D270" i="146"/>
  <c r="C270" i="146"/>
  <c r="B270" i="146"/>
  <c r="N269" i="146"/>
  <c r="M269" i="146"/>
  <c r="L269" i="146"/>
  <c r="K269" i="146"/>
  <c r="J269" i="146"/>
  <c r="I269" i="146"/>
  <c r="H269" i="146"/>
  <c r="G269" i="146"/>
  <c r="F269" i="146"/>
  <c r="E269" i="146"/>
  <c r="D269" i="146"/>
  <c r="C269" i="146"/>
  <c r="B269" i="146"/>
  <c r="N268" i="146"/>
  <c r="M268" i="146"/>
  <c r="L268" i="146"/>
  <c r="K268" i="146"/>
  <c r="J268" i="146"/>
  <c r="I268" i="146"/>
  <c r="H268" i="146"/>
  <c r="G268" i="146"/>
  <c r="F268" i="146"/>
  <c r="E268" i="146"/>
  <c r="D268" i="146"/>
  <c r="C268" i="146"/>
  <c r="B268" i="146"/>
  <c r="N267" i="146"/>
  <c r="M267" i="146"/>
  <c r="L267" i="146"/>
  <c r="K267" i="146"/>
  <c r="J267" i="146"/>
  <c r="I267" i="146"/>
  <c r="H267" i="146"/>
  <c r="G267" i="146"/>
  <c r="F267" i="146"/>
  <c r="E267" i="146"/>
  <c r="D267" i="146"/>
  <c r="C267" i="146"/>
  <c r="B267" i="146"/>
  <c r="N266" i="146"/>
  <c r="M266" i="146"/>
  <c r="L266" i="146"/>
  <c r="K266" i="146"/>
  <c r="J266" i="146"/>
  <c r="I266" i="146"/>
  <c r="H266" i="146"/>
  <c r="G266" i="146"/>
  <c r="F266" i="146"/>
  <c r="E266" i="146"/>
  <c r="D266" i="146"/>
  <c r="C266" i="146"/>
  <c r="B266" i="146"/>
  <c r="N265" i="146"/>
  <c r="M265" i="146"/>
  <c r="L265" i="146"/>
  <c r="K265" i="146"/>
  <c r="J265" i="146"/>
  <c r="I265" i="146"/>
  <c r="H265" i="146"/>
  <c r="G265" i="146"/>
  <c r="F265" i="146"/>
  <c r="E265" i="146"/>
  <c r="D265" i="146"/>
  <c r="C265" i="146"/>
  <c r="B265" i="146"/>
  <c r="N264" i="146"/>
  <c r="M264" i="146"/>
  <c r="L264" i="146"/>
  <c r="K264" i="146"/>
  <c r="J264" i="146"/>
  <c r="I264" i="146"/>
  <c r="H264" i="146"/>
  <c r="G264" i="146"/>
  <c r="F264" i="146"/>
  <c r="E264" i="146"/>
  <c r="D264" i="146"/>
  <c r="C264" i="146"/>
  <c r="B264" i="146"/>
  <c r="N263" i="146"/>
  <c r="M263" i="146"/>
  <c r="L263" i="146"/>
  <c r="K263" i="146"/>
  <c r="J263" i="146"/>
  <c r="I263" i="146"/>
  <c r="H263" i="146"/>
  <c r="G263" i="146"/>
  <c r="F263" i="146"/>
  <c r="E263" i="146"/>
  <c r="D263" i="146"/>
  <c r="C263" i="146"/>
  <c r="B263" i="146"/>
  <c r="N262" i="146"/>
  <c r="M262" i="146"/>
  <c r="L262" i="146"/>
  <c r="K262" i="146"/>
  <c r="J262" i="146"/>
  <c r="I262" i="146"/>
  <c r="H262" i="146"/>
  <c r="G262" i="146"/>
  <c r="F262" i="146"/>
  <c r="E262" i="146"/>
  <c r="D262" i="146"/>
  <c r="C262" i="146"/>
  <c r="B262" i="146"/>
  <c r="N258" i="146"/>
  <c r="M258" i="146"/>
  <c r="L258" i="146"/>
  <c r="K258" i="146"/>
  <c r="J258" i="146"/>
  <c r="I258" i="146"/>
  <c r="H258" i="146"/>
  <c r="G258" i="146"/>
  <c r="F258" i="146"/>
  <c r="E258" i="146"/>
  <c r="D258" i="146"/>
  <c r="C258" i="146"/>
  <c r="A258" i="146"/>
  <c r="N257" i="146"/>
  <c r="M257" i="146"/>
  <c r="L257" i="146"/>
  <c r="K257" i="146"/>
  <c r="J257" i="146"/>
  <c r="I257" i="146"/>
  <c r="H257" i="146"/>
  <c r="G257" i="146"/>
  <c r="F257" i="146"/>
  <c r="E257" i="146"/>
  <c r="D257" i="146"/>
  <c r="C257" i="146"/>
  <c r="B257" i="146"/>
  <c r="N256" i="146"/>
  <c r="M256" i="146"/>
  <c r="L256" i="146"/>
  <c r="K256" i="146"/>
  <c r="J256" i="146"/>
  <c r="I256" i="146"/>
  <c r="H256" i="146"/>
  <c r="G256" i="146"/>
  <c r="F256" i="146"/>
  <c r="E256" i="146"/>
  <c r="D256" i="146"/>
  <c r="C256" i="146"/>
  <c r="B256" i="146"/>
  <c r="N255" i="146"/>
  <c r="M255" i="146"/>
  <c r="L255" i="146"/>
  <c r="K255" i="146"/>
  <c r="J255" i="146"/>
  <c r="I255" i="146"/>
  <c r="H255" i="146"/>
  <c r="G255" i="146"/>
  <c r="F255" i="146"/>
  <c r="E255" i="146"/>
  <c r="D255" i="146"/>
  <c r="C255" i="146"/>
  <c r="B255" i="146"/>
  <c r="N254" i="146"/>
  <c r="M254" i="146"/>
  <c r="L254" i="146"/>
  <c r="K254" i="146"/>
  <c r="J254" i="146"/>
  <c r="I254" i="146"/>
  <c r="H254" i="146"/>
  <c r="G254" i="146"/>
  <c r="F254" i="146"/>
  <c r="E254" i="146"/>
  <c r="D254" i="146"/>
  <c r="C254" i="146"/>
  <c r="B254" i="146"/>
  <c r="N253" i="146"/>
  <c r="M253" i="146"/>
  <c r="L253" i="146"/>
  <c r="K253" i="146"/>
  <c r="J253" i="146"/>
  <c r="I253" i="146"/>
  <c r="H253" i="146"/>
  <c r="G253" i="146"/>
  <c r="F253" i="146"/>
  <c r="E253" i="146"/>
  <c r="D253" i="146"/>
  <c r="C253" i="146"/>
  <c r="B253" i="146"/>
  <c r="N252" i="146"/>
  <c r="M252" i="146"/>
  <c r="L252" i="146"/>
  <c r="K252" i="146"/>
  <c r="J252" i="146"/>
  <c r="I252" i="146"/>
  <c r="H252" i="146"/>
  <c r="G252" i="146"/>
  <c r="F252" i="146"/>
  <c r="E252" i="146"/>
  <c r="D252" i="146"/>
  <c r="C252" i="146"/>
  <c r="B252" i="146"/>
  <c r="N251" i="146"/>
  <c r="M251" i="146"/>
  <c r="L251" i="146"/>
  <c r="K251" i="146"/>
  <c r="J251" i="146"/>
  <c r="I251" i="146"/>
  <c r="H251" i="146"/>
  <c r="G251" i="146"/>
  <c r="F251" i="146"/>
  <c r="E251" i="146"/>
  <c r="D251" i="146"/>
  <c r="C251" i="146"/>
  <c r="B251" i="146"/>
  <c r="N250" i="146"/>
  <c r="M250" i="146"/>
  <c r="L250" i="146"/>
  <c r="K250" i="146"/>
  <c r="J250" i="146"/>
  <c r="I250" i="146"/>
  <c r="H250" i="146"/>
  <c r="G250" i="146"/>
  <c r="F250" i="146"/>
  <c r="E250" i="146"/>
  <c r="D250" i="146"/>
  <c r="C250" i="146"/>
  <c r="B250" i="146"/>
  <c r="N249" i="146"/>
  <c r="M249" i="146"/>
  <c r="L249" i="146"/>
  <c r="K249" i="146"/>
  <c r="J249" i="146"/>
  <c r="I249" i="146"/>
  <c r="H249" i="146"/>
  <c r="G249" i="146"/>
  <c r="F249" i="146"/>
  <c r="E249" i="146"/>
  <c r="D249" i="146"/>
  <c r="C249" i="146"/>
  <c r="B249" i="146"/>
  <c r="N248" i="146"/>
  <c r="M248" i="146"/>
  <c r="L248" i="146"/>
  <c r="K248" i="146"/>
  <c r="J248" i="146"/>
  <c r="I248" i="146"/>
  <c r="H248" i="146"/>
  <c r="G248" i="146"/>
  <c r="F248" i="146"/>
  <c r="E248" i="146"/>
  <c r="D248" i="146"/>
  <c r="C248" i="146"/>
  <c r="B248" i="146"/>
  <c r="N247" i="146"/>
  <c r="M247" i="146"/>
  <c r="L247" i="146"/>
  <c r="K247" i="146"/>
  <c r="J247" i="146"/>
  <c r="I247" i="146"/>
  <c r="H247" i="146"/>
  <c r="G247" i="146"/>
  <c r="F247" i="146"/>
  <c r="E247" i="146"/>
  <c r="D247" i="146"/>
  <c r="C247" i="146"/>
  <c r="B247" i="146"/>
  <c r="N246" i="146"/>
  <c r="M246" i="146"/>
  <c r="L246" i="146"/>
  <c r="K246" i="146"/>
  <c r="J246" i="146"/>
  <c r="I246" i="146"/>
  <c r="H246" i="146"/>
  <c r="G246" i="146"/>
  <c r="F246" i="146"/>
  <c r="E246" i="146"/>
  <c r="D246" i="146"/>
  <c r="C246" i="146"/>
  <c r="B246" i="146"/>
  <c r="H241" i="146"/>
  <c r="G241" i="146"/>
  <c r="F241" i="146"/>
  <c r="E241" i="146"/>
  <c r="D241" i="146"/>
  <c r="C241" i="146"/>
  <c r="N240" i="146"/>
  <c r="M240" i="146"/>
  <c r="L240" i="146"/>
  <c r="K240" i="146"/>
  <c r="J240" i="146"/>
  <c r="I240" i="146"/>
  <c r="H240" i="146"/>
  <c r="G240" i="146"/>
  <c r="F240" i="146"/>
  <c r="E240" i="146"/>
  <c r="D240" i="146"/>
  <c r="C240" i="146"/>
  <c r="A240" i="146"/>
  <c r="N239" i="146"/>
  <c r="M239" i="146"/>
  <c r="L239" i="146"/>
  <c r="K239" i="146"/>
  <c r="J239" i="146"/>
  <c r="I239" i="146"/>
  <c r="H239" i="146"/>
  <c r="G239" i="146"/>
  <c r="F239" i="146"/>
  <c r="E239" i="146"/>
  <c r="D239" i="146"/>
  <c r="C239" i="146"/>
  <c r="B239" i="146"/>
  <c r="N238" i="146"/>
  <c r="M238" i="146"/>
  <c r="L238" i="146"/>
  <c r="K238" i="146"/>
  <c r="J238" i="146"/>
  <c r="I238" i="146"/>
  <c r="H238" i="146"/>
  <c r="G238" i="146"/>
  <c r="F238" i="146"/>
  <c r="E238" i="146"/>
  <c r="D238" i="146"/>
  <c r="C238" i="146"/>
  <c r="B238" i="146"/>
  <c r="N237" i="146"/>
  <c r="M237" i="146"/>
  <c r="L237" i="146"/>
  <c r="K237" i="146"/>
  <c r="J237" i="146"/>
  <c r="I237" i="146"/>
  <c r="H237" i="146"/>
  <c r="G237" i="146"/>
  <c r="F237" i="146"/>
  <c r="E237" i="146"/>
  <c r="D237" i="146"/>
  <c r="C237" i="146"/>
  <c r="B237" i="146"/>
  <c r="N236" i="146"/>
  <c r="M236" i="146"/>
  <c r="L236" i="146"/>
  <c r="K236" i="146"/>
  <c r="J236" i="146"/>
  <c r="I236" i="146"/>
  <c r="H236" i="146"/>
  <c r="G236" i="146"/>
  <c r="F236" i="146"/>
  <c r="E236" i="146"/>
  <c r="D236" i="146"/>
  <c r="C236" i="146"/>
  <c r="B236" i="146"/>
  <c r="N235" i="146"/>
  <c r="M235" i="146"/>
  <c r="L235" i="146"/>
  <c r="K235" i="146"/>
  <c r="J235" i="146"/>
  <c r="I235" i="146"/>
  <c r="H235" i="146"/>
  <c r="G235" i="146"/>
  <c r="F235" i="146"/>
  <c r="E235" i="146"/>
  <c r="D235" i="146"/>
  <c r="C235" i="146"/>
  <c r="B235" i="146"/>
  <c r="N234" i="146"/>
  <c r="M234" i="146"/>
  <c r="L234" i="146"/>
  <c r="K234" i="146"/>
  <c r="J234" i="146"/>
  <c r="I234" i="146"/>
  <c r="H234" i="146"/>
  <c r="G234" i="146"/>
  <c r="F234" i="146"/>
  <c r="E234" i="146"/>
  <c r="D234" i="146"/>
  <c r="C234" i="146"/>
  <c r="B234" i="146"/>
  <c r="N233" i="146"/>
  <c r="M233" i="146"/>
  <c r="L233" i="146"/>
  <c r="K233" i="146"/>
  <c r="J233" i="146"/>
  <c r="I233" i="146"/>
  <c r="H233" i="146"/>
  <c r="G233" i="146"/>
  <c r="F233" i="146"/>
  <c r="E233" i="146"/>
  <c r="D233" i="146"/>
  <c r="C233" i="146"/>
  <c r="B233" i="146"/>
  <c r="N232" i="146"/>
  <c r="M232" i="146"/>
  <c r="L232" i="146"/>
  <c r="K232" i="146"/>
  <c r="J232" i="146"/>
  <c r="I232" i="146"/>
  <c r="H232" i="146"/>
  <c r="G232" i="146"/>
  <c r="F232" i="146"/>
  <c r="E232" i="146"/>
  <c r="D232" i="146"/>
  <c r="C232" i="146"/>
  <c r="B232" i="146"/>
  <c r="N231" i="146"/>
  <c r="M231" i="146"/>
  <c r="L231" i="146"/>
  <c r="K231" i="146"/>
  <c r="J231" i="146"/>
  <c r="I231" i="146"/>
  <c r="H231" i="146"/>
  <c r="G231" i="146"/>
  <c r="F231" i="146"/>
  <c r="E231" i="146"/>
  <c r="D231" i="146"/>
  <c r="C231" i="146"/>
  <c r="B231" i="146"/>
  <c r="N230" i="146"/>
  <c r="M230" i="146"/>
  <c r="L230" i="146"/>
  <c r="K230" i="146"/>
  <c r="J230" i="146"/>
  <c r="I230" i="146"/>
  <c r="H230" i="146"/>
  <c r="G230" i="146"/>
  <c r="F230" i="146"/>
  <c r="E230" i="146"/>
  <c r="D230" i="146"/>
  <c r="C230" i="146"/>
  <c r="B230" i="146"/>
  <c r="N229" i="146"/>
  <c r="M229" i="146"/>
  <c r="L229" i="146"/>
  <c r="K229" i="146"/>
  <c r="J229" i="146"/>
  <c r="I229" i="146"/>
  <c r="H229" i="146"/>
  <c r="G229" i="146"/>
  <c r="F229" i="146"/>
  <c r="E229" i="146"/>
  <c r="D229" i="146"/>
  <c r="C229" i="146"/>
  <c r="B229" i="146"/>
  <c r="N228" i="146"/>
  <c r="M228" i="146"/>
  <c r="L228" i="146"/>
  <c r="K228" i="146"/>
  <c r="J228" i="146"/>
  <c r="I228" i="146"/>
  <c r="H228" i="146"/>
  <c r="G228" i="146"/>
  <c r="F228" i="146"/>
  <c r="E228" i="146"/>
  <c r="D228" i="146"/>
  <c r="C228" i="146"/>
  <c r="B228" i="146"/>
  <c r="N224" i="146"/>
  <c r="M224" i="146"/>
  <c r="L224" i="146"/>
  <c r="K224" i="146"/>
  <c r="J224" i="146"/>
  <c r="I224" i="146"/>
  <c r="H224" i="146"/>
  <c r="G224" i="146"/>
  <c r="F224" i="146"/>
  <c r="E224" i="146"/>
  <c r="D224" i="146"/>
  <c r="C224" i="146"/>
  <c r="A224" i="146"/>
  <c r="N223" i="146"/>
  <c r="M223" i="146"/>
  <c r="L223" i="146"/>
  <c r="K223" i="146"/>
  <c r="J223" i="146"/>
  <c r="I223" i="146"/>
  <c r="H223" i="146"/>
  <c r="G223" i="146"/>
  <c r="F223" i="146"/>
  <c r="E223" i="146"/>
  <c r="D223" i="146"/>
  <c r="C223" i="146"/>
  <c r="B223" i="146"/>
  <c r="N222" i="146"/>
  <c r="M222" i="146"/>
  <c r="L222" i="146"/>
  <c r="K222" i="146"/>
  <c r="J222" i="146"/>
  <c r="I222" i="146"/>
  <c r="H222" i="146"/>
  <c r="G222" i="146"/>
  <c r="F222" i="146"/>
  <c r="E222" i="146"/>
  <c r="D222" i="146"/>
  <c r="C222" i="146"/>
  <c r="B222" i="146"/>
  <c r="N221" i="146"/>
  <c r="M221" i="146"/>
  <c r="L221" i="146"/>
  <c r="K221" i="146"/>
  <c r="J221" i="146"/>
  <c r="I221" i="146"/>
  <c r="H221" i="146"/>
  <c r="G221" i="146"/>
  <c r="F221" i="146"/>
  <c r="E221" i="146"/>
  <c r="D221" i="146"/>
  <c r="C221" i="146"/>
  <c r="B221" i="146"/>
  <c r="N220" i="146"/>
  <c r="M220" i="146"/>
  <c r="L220" i="146"/>
  <c r="K220" i="146"/>
  <c r="J220" i="146"/>
  <c r="I220" i="146"/>
  <c r="H220" i="146"/>
  <c r="G220" i="146"/>
  <c r="F220" i="146"/>
  <c r="E220" i="146"/>
  <c r="D220" i="146"/>
  <c r="C220" i="146"/>
  <c r="B220" i="146"/>
  <c r="N219" i="146"/>
  <c r="M219" i="146"/>
  <c r="L219" i="146"/>
  <c r="K219" i="146"/>
  <c r="J219" i="146"/>
  <c r="I219" i="146"/>
  <c r="H219" i="146"/>
  <c r="G219" i="146"/>
  <c r="F219" i="146"/>
  <c r="E219" i="146"/>
  <c r="D219" i="146"/>
  <c r="C219" i="146"/>
  <c r="B219" i="146"/>
  <c r="N218" i="146"/>
  <c r="M218" i="146"/>
  <c r="L218" i="146"/>
  <c r="K218" i="146"/>
  <c r="J218" i="146"/>
  <c r="I218" i="146"/>
  <c r="H218" i="146"/>
  <c r="G218" i="146"/>
  <c r="F218" i="146"/>
  <c r="E218" i="146"/>
  <c r="D218" i="146"/>
  <c r="C218" i="146"/>
  <c r="B218" i="146"/>
  <c r="N217" i="146"/>
  <c r="M217" i="146"/>
  <c r="L217" i="146"/>
  <c r="K217" i="146"/>
  <c r="J217" i="146"/>
  <c r="I217" i="146"/>
  <c r="H217" i="146"/>
  <c r="G217" i="146"/>
  <c r="F217" i="146"/>
  <c r="E217" i="146"/>
  <c r="D217" i="146"/>
  <c r="C217" i="146"/>
  <c r="B217" i="146"/>
  <c r="N216" i="146"/>
  <c r="M216" i="146"/>
  <c r="L216" i="146"/>
  <c r="K216" i="146"/>
  <c r="J216" i="146"/>
  <c r="I216" i="146"/>
  <c r="H216" i="146"/>
  <c r="G216" i="146"/>
  <c r="F216" i="146"/>
  <c r="E216" i="146"/>
  <c r="D216" i="146"/>
  <c r="C216" i="146"/>
  <c r="B216" i="146"/>
  <c r="N215" i="146"/>
  <c r="M215" i="146"/>
  <c r="L215" i="146"/>
  <c r="K215" i="146"/>
  <c r="J215" i="146"/>
  <c r="I215" i="146"/>
  <c r="H215" i="146"/>
  <c r="G215" i="146"/>
  <c r="F215" i="146"/>
  <c r="E215" i="146"/>
  <c r="D215" i="146"/>
  <c r="C215" i="146"/>
  <c r="B215" i="146"/>
  <c r="N214" i="146"/>
  <c r="M214" i="146"/>
  <c r="L214" i="146"/>
  <c r="K214" i="146"/>
  <c r="J214" i="146"/>
  <c r="I214" i="146"/>
  <c r="H214" i="146"/>
  <c r="G214" i="146"/>
  <c r="F214" i="146"/>
  <c r="E214" i="146"/>
  <c r="D214" i="146"/>
  <c r="C214" i="146"/>
  <c r="B214" i="146"/>
  <c r="N213" i="146"/>
  <c r="M213" i="146"/>
  <c r="L213" i="146"/>
  <c r="K213" i="146"/>
  <c r="J213" i="146"/>
  <c r="I213" i="146"/>
  <c r="H213" i="146"/>
  <c r="G213" i="146"/>
  <c r="F213" i="146"/>
  <c r="E213" i="146"/>
  <c r="D213" i="146"/>
  <c r="C213" i="146"/>
  <c r="B213" i="146"/>
  <c r="N212" i="146"/>
  <c r="M212" i="146"/>
  <c r="L212" i="146"/>
  <c r="K212" i="146"/>
  <c r="J212" i="146"/>
  <c r="I212" i="146"/>
  <c r="H212" i="146"/>
  <c r="G212" i="146"/>
  <c r="F212" i="146"/>
  <c r="E212" i="146"/>
  <c r="D212" i="146"/>
  <c r="C212" i="146"/>
  <c r="B212" i="146"/>
  <c r="N206" i="146"/>
  <c r="M206" i="146"/>
  <c r="L206" i="146"/>
  <c r="K206" i="146"/>
  <c r="J206" i="146"/>
  <c r="I206" i="146"/>
  <c r="H206" i="146"/>
  <c r="G206" i="146"/>
  <c r="F206" i="146"/>
  <c r="E206" i="146"/>
  <c r="D206" i="146"/>
  <c r="C206" i="146"/>
  <c r="A206" i="146"/>
  <c r="N205" i="146"/>
  <c r="M205" i="146"/>
  <c r="L205" i="146"/>
  <c r="K205" i="146"/>
  <c r="J205" i="146"/>
  <c r="I205" i="146"/>
  <c r="H205" i="146"/>
  <c r="G205" i="146"/>
  <c r="F205" i="146"/>
  <c r="E205" i="146"/>
  <c r="D205" i="146"/>
  <c r="C205" i="146"/>
  <c r="B205" i="146"/>
  <c r="N204" i="146"/>
  <c r="M204" i="146"/>
  <c r="L204" i="146"/>
  <c r="K204" i="146"/>
  <c r="J204" i="146"/>
  <c r="I204" i="146"/>
  <c r="H204" i="146"/>
  <c r="G204" i="146"/>
  <c r="F204" i="146"/>
  <c r="E204" i="146"/>
  <c r="D204" i="146"/>
  <c r="C204" i="146"/>
  <c r="B204" i="146"/>
  <c r="N203" i="146"/>
  <c r="M203" i="146"/>
  <c r="L203" i="146"/>
  <c r="K203" i="146"/>
  <c r="J203" i="146"/>
  <c r="I203" i="146"/>
  <c r="H203" i="146"/>
  <c r="G203" i="146"/>
  <c r="F203" i="146"/>
  <c r="E203" i="146"/>
  <c r="D203" i="146"/>
  <c r="C203" i="146"/>
  <c r="B203" i="146"/>
  <c r="N202" i="146"/>
  <c r="M202" i="146"/>
  <c r="L202" i="146"/>
  <c r="K202" i="146"/>
  <c r="J202" i="146"/>
  <c r="I202" i="146"/>
  <c r="H202" i="146"/>
  <c r="G202" i="146"/>
  <c r="F202" i="146"/>
  <c r="E202" i="146"/>
  <c r="D202" i="146"/>
  <c r="C202" i="146"/>
  <c r="B202" i="146"/>
  <c r="N201" i="146"/>
  <c r="M201" i="146"/>
  <c r="L201" i="146"/>
  <c r="K201" i="146"/>
  <c r="J201" i="146"/>
  <c r="I201" i="146"/>
  <c r="H201" i="146"/>
  <c r="G201" i="146"/>
  <c r="F201" i="146"/>
  <c r="E201" i="146"/>
  <c r="D201" i="146"/>
  <c r="C201" i="146"/>
  <c r="B201" i="146"/>
  <c r="N200" i="146"/>
  <c r="M200" i="146"/>
  <c r="L200" i="146"/>
  <c r="K200" i="146"/>
  <c r="J200" i="146"/>
  <c r="I200" i="146"/>
  <c r="H200" i="146"/>
  <c r="G200" i="146"/>
  <c r="F200" i="146"/>
  <c r="E200" i="146"/>
  <c r="D200" i="146"/>
  <c r="C200" i="146"/>
  <c r="B200" i="146"/>
  <c r="N199" i="146"/>
  <c r="M199" i="146"/>
  <c r="L199" i="146"/>
  <c r="K199" i="146"/>
  <c r="J199" i="146"/>
  <c r="I199" i="146"/>
  <c r="H199" i="146"/>
  <c r="G199" i="146"/>
  <c r="F199" i="146"/>
  <c r="E199" i="146"/>
  <c r="D199" i="146"/>
  <c r="C199" i="146"/>
  <c r="B199" i="146"/>
  <c r="N198" i="146"/>
  <c r="M198" i="146"/>
  <c r="L198" i="146"/>
  <c r="K198" i="146"/>
  <c r="J198" i="146"/>
  <c r="I198" i="146"/>
  <c r="H198" i="146"/>
  <c r="G198" i="146"/>
  <c r="F198" i="146"/>
  <c r="E198" i="146"/>
  <c r="D198" i="146"/>
  <c r="C198" i="146"/>
  <c r="B198" i="146"/>
  <c r="N197" i="146"/>
  <c r="M197" i="146"/>
  <c r="L197" i="146"/>
  <c r="K197" i="146"/>
  <c r="J197" i="146"/>
  <c r="I197" i="146"/>
  <c r="H197" i="146"/>
  <c r="G197" i="146"/>
  <c r="F197" i="146"/>
  <c r="E197" i="146"/>
  <c r="D197" i="146"/>
  <c r="C197" i="146"/>
  <c r="B197" i="146"/>
  <c r="N196" i="146"/>
  <c r="M196" i="146"/>
  <c r="L196" i="146"/>
  <c r="K196" i="146"/>
  <c r="J196" i="146"/>
  <c r="I196" i="146"/>
  <c r="H196" i="146"/>
  <c r="G196" i="146"/>
  <c r="F196" i="146"/>
  <c r="E196" i="146"/>
  <c r="D196" i="146"/>
  <c r="C196" i="146"/>
  <c r="B196" i="146"/>
  <c r="N195" i="146"/>
  <c r="M195" i="146"/>
  <c r="L195" i="146"/>
  <c r="K195" i="146"/>
  <c r="J195" i="146"/>
  <c r="I195" i="146"/>
  <c r="H195" i="146"/>
  <c r="G195" i="146"/>
  <c r="F195" i="146"/>
  <c r="E195" i="146"/>
  <c r="D195" i="146"/>
  <c r="C195" i="146"/>
  <c r="B195" i="146"/>
  <c r="N194" i="146"/>
  <c r="M194" i="146"/>
  <c r="L194" i="146"/>
  <c r="K194" i="146"/>
  <c r="J194" i="146"/>
  <c r="I194" i="146"/>
  <c r="H194" i="146"/>
  <c r="G194" i="146"/>
  <c r="F194" i="146"/>
  <c r="E194" i="146"/>
  <c r="D194" i="146"/>
  <c r="C194" i="146"/>
  <c r="B194" i="146"/>
  <c r="N190" i="146"/>
  <c r="M190" i="146"/>
  <c r="L190" i="146"/>
  <c r="K190" i="146"/>
  <c r="J190" i="146"/>
  <c r="I190" i="146"/>
  <c r="H190" i="146"/>
  <c r="G190" i="146"/>
  <c r="F190" i="146"/>
  <c r="E190" i="146"/>
  <c r="D190" i="146"/>
  <c r="C190" i="146"/>
  <c r="A190" i="146"/>
  <c r="N189" i="146"/>
  <c r="M189" i="146"/>
  <c r="L189" i="146"/>
  <c r="K189" i="146"/>
  <c r="J189" i="146"/>
  <c r="I189" i="146"/>
  <c r="H189" i="146"/>
  <c r="G189" i="146"/>
  <c r="F189" i="146"/>
  <c r="E189" i="146"/>
  <c r="D189" i="146"/>
  <c r="C189" i="146"/>
  <c r="B189" i="146"/>
  <c r="N188" i="146"/>
  <c r="M188" i="146"/>
  <c r="L188" i="146"/>
  <c r="K188" i="146"/>
  <c r="J188" i="146"/>
  <c r="I188" i="146"/>
  <c r="H188" i="146"/>
  <c r="G188" i="146"/>
  <c r="F188" i="146"/>
  <c r="E188" i="146"/>
  <c r="D188" i="146"/>
  <c r="C188" i="146"/>
  <c r="B188" i="146"/>
  <c r="N187" i="146"/>
  <c r="M187" i="146"/>
  <c r="L187" i="146"/>
  <c r="K187" i="146"/>
  <c r="J187" i="146"/>
  <c r="I187" i="146"/>
  <c r="H187" i="146"/>
  <c r="G187" i="146"/>
  <c r="F187" i="146"/>
  <c r="E187" i="146"/>
  <c r="D187" i="146"/>
  <c r="C187" i="146"/>
  <c r="B187" i="146"/>
  <c r="N186" i="146"/>
  <c r="M186" i="146"/>
  <c r="L186" i="146"/>
  <c r="K186" i="146"/>
  <c r="J186" i="146"/>
  <c r="I186" i="146"/>
  <c r="H186" i="146"/>
  <c r="G186" i="146"/>
  <c r="F186" i="146"/>
  <c r="E186" i="146"/>
  <c r="D186" i="146"/>
  <c r="C186" i="146"/>
  <c r="B186" i="146"/>
  <c r="N185" i="146"/>
  <c r="M185" i="146"/>
  <c r="L185" i="146"/>
  <c r="K185" i="146"/>
  <c r="J185" i="146"/>
  <c r="I185" i="146"/>
  <c r="H185" i="146"/>
  <c r="G185" i="146"/>
  <c r="F185" i="146"/>
  <c r="E185" i="146"/>
  <c r="D185" i="146"/>
  <c r="C185" i="146"/>
  <c r="B185" i="146"/>
  <c r="N184" i="146"/>
  <c r="M184" i="146"/>
  <c r="L184" i="146"/>
  <c r="K184" i="146"/>
  <c r="J184" i="146"/>
  <c r="I184" i="146"/>
  <c r="H184" i="146"/>
  <c r="G184" i="146"/>
  <c r="F184" i="146"/>
  <c r="E184" i="146"/>
  <c r="D184" i="146"/>
  <c r="C184" i="146"/>
  <c r="B184" i="146"/>
  <c r="N183" i="146"/>
  <c r="M183" i="146"/>
  <c r="L183" i="146"/>
  <c r="K183" i="146"/>
  <c r="J183" i="146"/>
  <c r="I183" i="146"/>
  <c r="H183" i="146"/>
  <c r="G183" i="146"/>
  <c r="F183" i="146"/>
  <c r="E183" i="146"/>
  <c r="D183" i="146"/>
  <c r="C183" i="146"/>
  <c r="B183" i="146"/>
  <c r="N182" i="146"/>
  <c r="M182" i="146"/>
  <c r="L182" i="146"/>
  <c r="K182" i="146"/>
  <c r="J182" i="146"/>
  <c r="I182" i="146"/>
  <c r="H182" i="146"/>
  <c r="G182" i="146"/>
  <c r="F182" i="146"/>
  <c r="E182" i="146"/>
  <c r="D182" i="146"/>
  <c r="C182" i="146"/>
  <c r="B182" i="146"/>
  <c r="N181" i="146"/>
  <c r="M181" i="146"/>
  <c r="L181" i="146"/>
  <c r="K181" i="146"/>
  <c r="J181" i="146"/>
  <c r="I181" i="146"/>
  <c r="H181" i="146"/>
  <c r="G181" i="146"/>
  <c r="F181" i="146"/>
  <c r="E181" i="146"/>
  <c r="D181" i="146"/>
  <c r="C181" i="146"/>
  <c r="B181" i="146"/>
  <c r="N180" i="146"/>
  <c r="M180" i="146"/>
  <c r="L180" i="146"/>
  <c r="K180" i="146"/>
  <c r="J180" i="146"/>
  <c r="I180" i="146"/>
  <c r="H180" i="146"/>
  <c r="G180" i="146"/>
  <c r="F180" i="146"/>
  <c r="E180" i="146"/>
  <c r="D180" i="146"/>
  <c r="C180" i="146"/>
  <c r="B180" i="146"/>
  <c r="N179" i="146"/>
  <c r="M179" i="146"/>
  <c r="L179" i="146"/>
  <c r="K179" i="146"/>
  <c r="J179" i="146"/>
  <c r="I179" i="146"/>
  <c r="H179" i="146"/>
  <c r="G179" i="146"/>
  <c r="F179" i="146"/>
  <c r="E179" i="146"/>
  <c r="D179" i="146"/>
  <c r="C179" i="146"/>
  <c r="B179" i="146"/>
  <c r="N178" i="146"/>
  <c r="M178" i="146"/>
  <c r="L178" i="146"/>
  <c r="K178" i="146"/>
  <c r="J178" i="146"/>
  <c r="I178" i="146"/>
  <c r="H178" i="146"/>
  <c r="G178" i="146"/>
  <c r="F178" i="146"/>
  <c r="E178" i="146"/>
  <c r="D178" i="146"/>
  <c r="C178" i="146"/>
  <c r="B178" i="146"/>
  <c r="N172" i="146"/>
  <c r="M172" i="146"/>
  <c r="L172" i="146"/>
  <c r="K172" i="146"/>
  <c r="J172" i="146"/>
  <c r="I172" i="146"/>
  <c r="H172" i="146"/>
  <c r="G172" i="146"/>
  <c r="F172" i="146"/>
  <c r="E172" i="146"/>
  <c r="D172" i="146"/>
  <c r="C172" i="146"/>
  <c r="A172" i="146"/>
  <c r="N171" i="146"/>
  <c r="M171" i="146"/>
  <c r="L171" i="146"/>
  <c r="K171" i="146"/>
  <c r="J171" i="146"/>
  <c r="I171" i="146"/>
  <c r="H171" i="146"/>
  <c r="G171" i="146"/>
  <c r="F171" i="146"/>
  <c r="E171" i="146"/>
  <c r="D171" i="146"/>
  <c r="C171" i="146"/>
  <c r="B171" i="146"/>
  <c r="N170" i="146"/>
  <c r="M170" i="146"/>
  <c r="L170" i="146"/>
  <c r="K170" i="146"/>
  <c r="J170" i="146"/>
  <c r="I170" i="146"/>
  <c r="H170" i="146"/>
  <c r="G170" i="146"/>
  <c r="F170" i="146"/>
  <c r="E170" i="146"/>
  <c r="D170" i="146"/>
  <c r="C170" i="146"/>
  <c r="B170" i="146"/>
  <c r="N169" i="146"/>
  <c r="M169" i="146"/>
  <c r="L169" i="146"/>
  <c r="K169" i="146"/>
  <c r="J169" i="146"/>
  <c r="I169" i="146"/>
  <c r="H169" i="146"/>
  <c r="G169" i="146"/>
  <c r="F169" i="146"/>
  <c r="E169" i="146"/>
  <c r="D169" i="146"/>
  <c r="C169" i="146"/>
  <c r="B169" i="146"/>
  <c r="N168" i="146"/>
  <c r="M168" i="146"/>
  <c r="L168" i="146"/>
  <c r="K168" i="146"/>
  <c r="J168" i="146"/>
  <c r="I168" i="146"/>
  <c r="H168" i="146"/>
  <c r="G168" i="146"/>
  <c r="F168" i="146"/>
  <c r="E168" i="146"/>
  <c r="D168" i="146"/>
  <c r="C168" i="146"/>
  <c r="B168" i="146"/>
  <c r="N167" i="146"/>
  <c r="M167" i="146"/>
  <c r="L167" i="146"/>
  <c r="K167" i="146"/>
  <c r="J167" i="146"/>
  <c r="I167" i="146"/>
  <c r="H167" i="146"/>
  <c r="G167" i="146"/>
  <c r="F167" i="146"/>
  <c r="E167" i="146"/>
  <c r="D167" i="146"/>
  <c r="C167" i="146"/>
  <c r="B167" i="146"/>
  <c r="N166" i="146"/>
  <c r="M166" i="146"/>
  <c r="L166" i="146"/>
  <c r="K166" i="146"/>
  <c r="J166" i="146"/>
  <c r="I166" i="146"/>
  <c r="H166" i="146"/>
  <c r="G166" i="146"/>
  <c r="F166" i="146"/>
  <c r="E166" i="146"/>
  <c r="D166" i="146"/>
  <c r="C166" i="146"/>
  <c r="B166" i="146"/>
  <c r="N165" i="146"/>
  <c r="M165" i="146"/>
  <c r="L165" i="146"/>
  <c r="K165" i="146"/>
  <c r="J165" i="146"/>
  <c r="I165" i="146"/>
  <c r="H165" i="146"/>
  <c r="G165" i="146"/>
  <c r="F165" i="146"/>
  <c r="E165" i="146"/>
  <c r="D165" i="146"/>
  <c r="C165" i="146"/>
  <c r="B165" i="146"/>
  <c r="N164" i="146"/>
  <c r="M164" i="146"/>
  <c r="L164" i="146"/>
  <c r="K164" i="146"/>
  <c r="J164" i="146"/>
  <c r="I164" i="146"/>
  <c r="H164" i="146"/>
  <c r="G164" i="146"/>
  <c r="F164" i="146"/>
  <c r="E164" i="146"/>
  <c r="D164" i="146"/>
  <c r="C164" i="146"/>
  <c r="B164" i="146"/>
  <c r="N163" i="146"/>
  <c r="M163" i="146"/>
  <c r="L163" i="146"/>
  <c r="K163" i="146"/>
  <c r="J163" i="146"/>
  <c r="I163" i="146"/>
  <c r="H163" i="146"/>
  <c r="G163" i="146"/>
  <c r="F163" i="146"/>
  <c r="E163" i="146"/>
  <c r="D163" i="146"/>
  <c r="C163" i="146"/>
  <c r="B163" i="146"/>
  <c r="N162" i="146"/>
  <c r="M162" i="146"/>
  <c r="L162" i="146"/>
  <c r="K162" i="146"/>
  <c r="J162" i="146"/>
  <c r="I162" i="146"/>
  <c r="H162" i="146"/>
  <c r="G162" i="146"/>
  <c r="F162" i="146"/>
  <c r="E162" i="146"/>
  <c r="D162" i="146"/>
  <c r="C162" i="146"/>
  <c r="B162" i="146"/>
  <c r="N161" i="146"/>
  <c r="M161" i="146"/>
  <c r="L161" i="146"/>
  <c r="K161" i="146"/>
  <c r="J161" i="146"/>
  <c r="I161" i="146"/>
  <c r="H161" i="146"/>
  <c r="G161" i="146"/>
  <c r="F161" i="146"/>
  <c r="E161" i="146"/>
  <c r="D161" i="146"/>
  <c r="C161" i="146"/>
  <c r="B161" i="146"/>
  <c r="N160" i="146"/>
  <c r="M160" i="146"/>
  <c r="L160" i="146"/>
  <c r="K160" i="146"/>
  <c r="J160" i="146"/>
  <c r="I160" i="146"/>
  <c r="H160" i="146"/>
  <c r="G160" i="146"/>
  <c r="F160" i="146"/>
  <c r="E160" i="146"/>
  <c r="D160" i="146"/>
  <c r="C160" i="146"/>
  <c r="B160" i="146"/>
  <c r="N156" i="146"/>
  <c r="M156" i="146"/>
  <c r="L156" i="146"/>
  <c r="K156" i="146"/>
  <c r="J156" i="146"/>
  <c r="I156" i="146"/>
  <c r="H156" i="146"/>
  <c r="G156" i="146"/>
  <c r="F156" i="146"/>
  <c r="E156" i="146"/>
  <c r="D156" i="146"/>
  <c r="C156" i="146"/>
  <c r="A156" i="146"/>
  <c r="N155" i="146"/>
  <c r="M155" i="146"/>
  <c r="L155" i="146"/>
  <c r="K155" i="146"/>
  <c r="J155" i="146"/>
  <c r="I155" i="146"/>
  <c r="H155" i="146"/>
  <c r="G155" i="146"/>
  <c r="F155" i="146"/>
  <c r="E155" i="146"/>
  <c r="D155" i="146"/>
  <c r="C155" i="146"/>
  <c r="B155" i="146"/>
  <c r="N154" i="146"/>
  <c r="M154" i="146"/>
  <c r="L154" i="146"/>
  <c r="K154" i="146"/>
  <c r="J154" i="146"/>
  <c r="I154" i="146"/>
  <c r="H154" i="146"/>
  <c r="G154" i="146"/>
  <c r="F154" i="146"/>
  <c r="E154" i="146"/>
  <c r="D154" i="146"/>
  <c r="C154" i="146"/>
  <c r="B154" i="146"/>
  <c r="N153" i="146"/>
  <c r="M153" i="146"/>
  <c r="L153" i="146"/>
  <c r="K153" i="146"/>
  <c r="J153" i="146"/>
  <c r="I153" i="146"/>
  <c r="H153" i="146"/>
  <c r="G153" i="146"/>
  <c r="F153" i="146"/>
  <c r="E153" i="146"/>
  <c r="D153" i="146"/>
  <c r="C153" i="146"/>
  <c r="B153" i="146"/>
  <c r="N152" i="146"/>
  <c r="M152" i="146"/>
  <c r="L152" i="146"/>
  <c r="K152" i="146"/>
  <c r="J152" i="146"/>
  <c r="I152" i="146"/>
  <c r="H152" i="146"/>
  <c r="G152" i="146"/>
  <c r="F152" i="146"/>
  <c r="E152" i="146"/>
  <c r="D152" i="146"/>
  <c r="C152" i="146"/>
  <c r="B152" i="146"/>
  <c r="N151" i="146"/>
  <c r="M151" i="146"/>
  <c r="L151" i="146"/>
  <c r="K151" i="146"/>
  <c r="J151" i="146"/>
  <c r="I151" i="146"/>
  <c r="H151" i="146"/>
  <c r="G151" i="146"/>
  <c r="F151" i="146"/>
  <c r="E151" i="146"/>
  <c r="D151" i="146"/>
  <c r="C151" i="146"/>
  <c r="B151" i="146"/>
  <c r="N150" i="146"/>
  <c r="M150" i="146"/>
  <c r="L150" i="146"/>
  <c r="K150" i="146"/>
  <c r="J150" i="146"/>
  <c r="I150" i="146"/>
  <c r="H150" i="146"/>
  <c r="G150" i="146"/>
  <c r="F150" i="146"/>
  <c r="E150" i="146"/>
  <c r="D150" i="146"/>
  <c r="C150" i="146"/>
  <c r="B150" i="146"/>
  <c r="N149" i="146"/>
  <c r="M149" i="146"/>
  <c r="L149" i="146"/>
  <c r="K149" i="146"/>
  <c r="J149" i="146"/>
  <c r="I149" i="146"/>
  <c r="H149" i="146"/>
  <c r="G149" i="146"/>
  <c r="F149" i="146"/>
  <c r="E149" i="146"/>
  <c r="D149" i="146"/>
  <c r="C149" i="146"/>
  <c r="B149" i="146"/>
  <c r="N148" i="146"/>
  <c r="M148" i="146"/>
  <c r="L148" i="146"/>
  <c r="K148" i="146"/>
  <c r="J148" i="146"/>
  <c r="I148" i="146"/>
  <c r="H148" i="146"/>
  <c r="G148" i="146"/>
  <c r="F148" i="146"/>
  <c r="E148" i="146"/>
  <c r="D148" i="146"/>
  <c r="C148" i="146"/>
  <c r="B148" i="146"/>
  <c r="N147" i="146"/>
  <c r="M147" i="146"/>
  <c r="L147" i="146"/>
  <c r="K147" i="146"/>
  <c r="J147" i="146"/>
  <c r="I147" i="146"/>
  <c r="H147" i="146"/>
  <c r="G147" i="146"/>
  <c r="F147" i="146"/>
  <c r="E147" i="146"/>
  <c r="D147" i="146"/>
  <c r="C147" i="146"/>
  <c r="B147" i="146"/>
  <c r="N146" i="146"/>
  <c r="M146" i="146"/>
  <c r="L146" i="146"/>
  <c r="K146" i="146"/>
  <c r="J146" i="146"/>
  <c r="I146" i="146"/>
  <c r="H146" i="146"/>
  <c r="G146" i="146"/>
  <c r="F146" i="146"/>
  <c r="E146" i="146"/>
  <c r="D146" i="146"/>
  <c r="C146" i="146"/>
  <c r="B146" i="146"/>
  <c r="N145" i="146"/>
  <c r="M145" i="146"/>
  <c r="L145" i="146"/>
  <c r="K145" i="146"/>
  <c r="J145" i="146"/>
  <c r="I145" i="146"/>
  <c r="H145" i="146"/>
  <c r="G145" i="146"/>
  <c r="F145" i="146"/>
  <c r="E145" i="146"/>
  <c r="D145" i="146"/>
  <c r="C145" i="146"/>
  <c r="B145" i="146"/>
  <c r="N144" i="146"/>
  <c r="M144" i="146"/>
  <c r="L144" i="146"/>
  <c r="K144" i="146"/>
  <c r="J144" i="146"/>
  <c r="I144" i="146"/>
  <c r="H144" i="146"/>
  <c r="G144" i="146"/>
  <c r="F144" i="146"/>
  <c r="E144" i="146"/>
  <c r="D144" i="146"/>
  <c r="C144" i="146"/>
  <c r="B144" i="146"/>
  <c r="N138" i="146"/>
  <c r="M138" i="146"/>
  <c r="L138" i="146"/>
  <c r="K138" i="146"/>
  <c r="J138" i="146"/>
  <c r="I138" i="146"/>
  <c r="H138" i="146"/>
  <c r="G138" i="146"/>
  <c r="F138" i="146"/>
  <c r="E138" i="146"/>
  <c r="D138" i="146"/>
  <c r="C138" i="146"/>
  <c r="A138" i="146"/>
  <c r="N137" i="146"/>
  <c r="M137" i="146"/>
  <c r="L137" i="146"/>
  <c r="K137" i="146"/>
  <c r="J137" i="146"/>
  <c r="I137" i="146"/>
  <c r="H137" i="146"/>
  <c r="G137" i="146"/>
  <c r="F137" i="146"/>
  <c r="E137" i="146"/>
  <c r="D137" i="146"/>
  <c r="C137" i="146"/>
  <c r="B137" i="146"/>
  <c r="N136" i="146"/>
  <c r="M136" i="146"/>
  <c r="L136" i="146"/>
  <c r="K136" i="146"/>
  <c r="J136" i="146"/>
  <c r="I136" i="146"/>
  <c r="H136" i="146"/>
  <c r="G136" i="146"/>
  <c r="F136" i="146"/>
  <c r="E136" i="146"/>
  <c r="D136" i="146"/>
  <c r="C136" i="146"/>
  <c r="B136" i="146"/>
  <c r="N135" i="146"/>
  <c r="M135" i="146"/>
  <c r="L135" i="146"/>
  <c r="K135" i="146"/>
  <c r="J135" i="146"/>
  <c r="I135" i="146"/>
  <c r="H135" i="146"/>
  <c r="G135" i="146"/>
  <c r="F135" i="146"/>
  <c r="E135" i="146"/>
  <c r="D135" i="146"/>
  <c r="C135" i="146"/>
  <c r="B135" i="146"/>
  <c r="N134" i="146"/>
  <c r="M134" i="146"/>
  <c r="L134" i="146"/>
  <c r="K134" i="146"/>
  <c r="J134" i="146"/>
  <c r="I134" i="146"/>
  <c r="H134" i="146"/>
  <c r="G134" i="146"/>
  <c r="F134" i="146"/>
  <c r="E134" i="146"/>
  <c r="D134" i="146"/>
  <c r="C134" i="146"/>
  <c r="B134" i="146"/>
  <c r="N133" i="146"/>
  <c r="M133" i="146"/>
  <c r="L133" i="146"/>
  <c r="K133" i="146"/>
  <c r="J133" i="146"/>
  <c r="I133" i="146"/>
  <c r="H133" i="146"/>
  <c r="G133" i="146"/>
  <c r="F133" i="146"/>
  <c r="E133" i="146"/>
  <c r="D133" i="146"/>
  <c r="C133" i="146"/>
  <c r="B133" i="146"/>
  <c r="N132" i="146"/>
  <c r="M132" i="146"/>
  <c r="L132" i="146"/>
  <c r="K132" i="146"/>
  <c r="J132" i="146"/>
  <c r="I132" i="146"/>
  <c r="H132" i="146"/>
  <c r="G132" i="146"/>
  <c r="F132" i="146"/>
  <c r="E132" i="146"/>
  <c r="D132" i="146"/>
  <c r="C132" i="146"/>
  <c r="B132" i="146"/>
  <c r="N131" i="146"/>
  <c r="M131" i="146"/>
  <c r="L131" i="146"/>
  <c r="K131" i="146"/>
  <c r="J131" i="146"/>
  <c r="I131" i="146"/>
  <c r="H131" i="146"/>
  <c r="G131" i="146"/>
  <c r="F131" i="146"/>
  <c r="E131" i="146"/>
  <c r="D131" i="146"/>
  <c r="C131" i="146"/>
  <c r="B131" i="146"/>
  <c r="N130" i="146"/>
  <c r="M130" i="146"/>
  <c r="L130" i="146"/>
  <c r="K130" i="146"/>
  <c r="J130" i="146"/>
  <c r="I130" i="146"/>
  <c r="H130" i="146"/>
  <c r="G130" i="146"/>
  <c r="F130" i="146"/>
  <c r="E130" i="146"/>
  <c r="D130" i="146"/>
  <c r="C130" i="146"/>
  <c r="B130" i="146"/>
  <c r="N129" i="146"/>
  <c r="M129" i="146"/>
  <c r="L129" i="146"/>
  <c r="K129" i="146"/>
  <c r="J129" i="146"/>
  <c r="I129" i="146"/>
  <c r="H129" i="146"/>
  <c r="G129" i="146"/>
  <c r="F129" i="146"/>
  <c r="E129" i="146"/>
  <c r="D129" i="146"/>
  <c r="C129" i="146"/>
  <c r="B129" i="146"/>
  <c r="N128" i="146"/>
  <c r="M128" i="146"/>
  <c r="L128" i="146"/>
  <c r="K128" i="146"/>
  <c r="J128" i="146"/>
  <c r="I128" i="146"/>
  <c r="H128" i="146"/>
  <c r="G128" i="146"/>
  <c r="F128" i="146"/>
  <c r="E128" i="146"/>
  <c r="D128" i="146"/>
  <c r="C128" i="146"/>
  <c r="B128" i="146"/>
  <c r="N127" i="146"/>
  <c r="M127" i="146"/>
  <c r="L127" i="146"/>
  <c r="K127" i="146"/>
  <c r="J127" i="146"/>
  <c r="I127" i="146"/>
  <c r="H127" i="146"/>
  <c r="G127" i="146"/>
  <c r="F127" i="146"/>
  <c r="E127" i="146"/>
  <c r="D127" i="146"/>
  <c r="C127" i="146"/>
  <c r="B127" i="146"/>
  <c r="N126" i="146"/>
  <c r="M126" i="146"/>
  <c r="L126" i="146"/>
  <c r="K126" i="146"/>
  <c r="J126" i="146"/>
  <c r="I126" i="146"/>
  <c r="H126" i="146"/>
  <c r="G126" i="146"/>
  <c r="F126" i="146"/>
  <c r="E126" i="146"/>
  <c r="D126" i="146"/>
  <c r="C126" i="146"/>
  <c r="B126" i="146"/>
  <c r="N122" i="146"/>
  <c r="M122" i="146"/>
  <c r="L122" i="146"/>
  <c r="K122" i="146"/>
  <c r="J122" i="146"/>
  <c r="I122" i="146"/>
  <c r="H122" i="146"/>
  <c r="G122" i="146"/>
  <c r="F122" i="146"/>
  <c r="E122" i="146"/>
  <c r="D122" i="146"/>
  <c r="C122" i="146"/>
  <c r="A122" i="146"/>
  <c r="N121" i="146"/>
  <c r="M121" i="146"/>
  <c r="L121" i="146"/>
  <c r="K121" i="146"/>
  <c r="J121" i="146"/>
  <c r="I121" i="146"/>
  <c r="H121" i="146"/>
  <c r="G121" i="146"/>
  <c r="F121" i="146"/>
  <c r="E121" i="146"/>
  <c r="D121" i="146"/>
  <c r="C121" i="146"/>
  <c r="B121" i="146"/>
  <c r="N120" i="146"/>
  <c r="M120" i="146"/>
  <c r="L120" i="146"/>
  <c r="K120" i="146"/>
  <c r="J120" i="146"/>
  <c r="I120" i="146"/>
  <c r="H120" i="146"/>
  <c r="G120" i="146"/>
  <c r="F120" i="146"/>
  <c r="E120" i="146"/>
  <c r="D120" i="146"/>
  <c r="C120" i="146"/>
  <c r="B120" i="146"/>
  <c r="N119" i="146"/>
  <c r="M119" i="146"/>
  <c r="L119" i="146"/>
  <c r="K119" i="146"/>
  <c r="J119" i="146"/>
  <c r="I119" i="146"/>
  <c r="H119" i="146"/>
  <c r="G119" i="146"/>
  <c r="F119" i="146"/>
  <c r="E119" i="146"/>
  <c r="D119" i="146"/>
  <c r="C119" i="146"/>
  <c r="B119" i="146"/>
  <c r="N118" i="146"/>
  <c r="M118" i="146"/>
  <c r="L118" i="146"/>
  <c r="K118" i="146"/>
  <c r="J118" i="146"/>
  <c r="I118" i="146"/>
  <c r="H118" i="146"/>
  <c r="G118" i="146"/>
  <c r="F118" i="146"/>
  <c r="E118" i="146"/>
  <c r="D118" i="146"/>
  <c r="C118" i="146"/>
  <c r="B118" i="146"/>
  <c r="N117" i="146"/>
  <c r="M117" i="146"/>
  <c r="L117" i="146"/>
  <c r="K117" i="146"/>
  <c r="J117" i="146"/>
  <c r="I117" i="146"/>
  <c r="H117" i="146"/>
  <c r="G117" i="146"/>
  <c r="F117" i="146"/>
  <c r="E117" i="146"/>
  <c r="D117" i="146"/>
  <c r="C117" i="146"/>
  <c r="B117" i="146"/>
  <c r="N116" i="146"/>
  <c r="M116" i="146"/>
  <c r="L116" i="146"/>
  <c r="K116" i="146"/>
  <c r="J116" i="146"/>
  <c r="I116" i="146"/>
  <c r="H116" i="146"/>
  <c r="G116" i="146"/>
  <c r="F116" i="146"/>
  <c r="E116" i="146"/>
  <c r="D116" i="146"/>
  <c r="C116" i="146"/>
  <c r="B116" i="146"/>
  <c r="N115" i="146"/>
  <c r="M115" i="146"/>
  <c r="L115" i="146"/>
  <c r="K115" i="146"/>
  <c r="J115" i="146"/>
  <c r="I115" i="146"/>
  <c r="H115" i="146"/>
  <c r="G115" i="146"/>
  <c r="F115" i="146"/>
  <c r="E115" i="146"/>
  <c r="D115" i="146"/>
  <c r="C115" i="146"/>
  <c r="B115" i="146"/>
  <c r="N114" i="146"/>
  <c r="M114" i="146"/>
  <c r="L114" i="146"/>
  <c r="K114" i="146"/>
  <c r="J114" i="146"/>
  <c r="I114" i="146"/>
  <c r="H114" i="146"/>
  <c r="G114" i="146"/>
  <c r="F114" i="146"/>
  <c r="E114" i="146"/>
  <c r="D114" i="146"/>
  <c r="C114" i="146"/>
  <c r="B114" i="146"/>
  <c r="N113" i="146"/>
  <c r="M113" i="146"/>
  <c r="L113" i="146"/>
  <c r="K113" i="146"/>
  <c r="J113" i="146"/>
  <c r="I113" i="146"/>
  <c r="H113" i="146"/>
  <c r="G113" i="146"/>
  <c r="F113" i="146"/>
  <c r="E113" i="146"/>
  <c r="D113" i="146"/>
  <c r="C113" i="146"/>
  <c r="B113" i="146"/>
  <c r="N112" i="146"/>
  <c r="M112" i="146"/>
  <c r="L112" i="146"/>
  <c r="K112" i="146"/>
  <c r="J112" i="146"/>
  <c r="I112" i="146"/>
  <c r="H112" i="146"/>
  <c r="G112" i="146"/>
  <c r="F112" i="146"/>
  <c r="E112" i="146"/>
  <c r="D112" i="146"/>
  <c r="C112" i="146"/>
  <c r="B112" i="146"/>
  <c r="N111" i="146"/>
  <c r="M111" i="146"/>
  <c r="L111" i="146"/>
  <c r="K111" i="146"/>
  <c r="J111" i="146"/>
  <c r="I111" i="146"/>
  <c r="H111" i="146"/>
  <c r="G111" i="146"/>
  <c r="F111" i="146"/>
  <c r="E111" i="146"/>
  <c r="D111" i="146"/>
  <c r="C111" i="146"/>
  <c r="B111" i="146"/>
  <c r="N110" i="146"/>
  <c r="M110" i="146"/>
  <c r="L110" i="146"/>
  <c r="K110" i="146"/>
  <c r="J110" i="146"/>
  <c r="I110" i="146"/>
  <c r="H110" i="146"/>
  <c r="G110" i="146"/>
  <c r="F110" i="146"/>
  <c r="E110" i="146"/>
  <c r="D110" i="146"/>
  <c r="C110" i="146"/>
  <c r="B110" i="146"/>
  <c r="N104" i="146"/>
  <c r="M104" i="146"/>
  <c r="L104" i="146"/>
  <c r="K104" i="146"/>
  <c r="J104" i="146"/>
  <c r="I104" i="146"/>
  <c r="H104" i="146"/>
  <c r="G104" i="146"/>
  <c r="F104" i="146"/>
  <c r="E104" i="146"/>
  <c r="D104" i="146"/>
  <c r="C104" i="146"/>
  <c r="A104" i="146"/>
  <c r="N103" i="146"/>
  <c r="M103" i="146"/>
  <c r="L103" i="146"/>
  <c r="K103" i="146"/>
  <c r="J103" i="146"/>
  <c r="I103" i="146"/>
  <c r="H103" i="146"/>
  <c r="G103" i="146"/>
  <c r="F103" i="146"/>
  <c r="E103" i="146"/>
  <c r="D103" i="146"/>
  <c r="C103" i="146"/>
  <c r="B103" i="146"/>
  <c r="N102" i="146"/>
  <c r="M102" i="146"/>
  <c r="L102" i="146"/>
  <c r="K102" i="146"/>
  <c r="J102" i="146"/>
  <c r="I102" i="146"/>
  <c r="H102" i="146"/>
  <c r="G102" i="146"/>
  <c r="F102" i="146"/>
  <c r="E102" i="146"/>
  <c r="D102" i="146"/>
  <c r="C102" i="146"/>
  <c r="B102" i="146"/>
  <c r="N101" i="146"/>
  <c r="M101" i="146"/>
  <c r="L101" i="146"/>
  <c r="K101" i="146"/>
  <c r="J101" i="146"/>
  <c r="I101" i="146"/>
  <c r="H101" i="146"/>
  <c r="G101" i="146"/>
  <c r="F101" i="146"/>
  <c r="E101" i="146"/>
  <c r="D101" i="146"/>
  <c r="C101" i="146"/>
  <c r="B101" i="146"/>
  <c r="N100" i="146"/>
  <c r="M100" i="146"/>
  <c r="L100" i="146"/>
  <c r="K100" i="146"/>
  <c r="J100" i="146"/>
  <c r="I100" i="146"/>
  <c r="H100" i="146"/>
  <c r="G100" i="146"/>
  <c r="F100" i="146"/>
  <c r="E100" i="146"/>
  <c r="D100" i="146"/>
  <c r="C100" i="146"/>
  <c r="B100" i="146"/>
  <c r="N99" i="146"/>
  <c r="M99" i="146"/>
  <c r="L99" i="146"/>
  <c r="K99" i="146"/>
  <c r="J99" i="146"/>
  <c r="I99" i="146"/>
  <c r="H99" i="146"/>
  <c r="G99" i="146"/>
  <c r="F99" i="146"/>
  <c r="E99" i="146"/>
  <c r="D99" i="146"/>
  <c r="C99" i="146"/>
  <c r="B99" i="146"/>
  <c r="N98" i="146"/>
  <c r="M98" i="146"/>
  <c r="L98" i="146"/>
  <c r="K98" i="146"/>
  <c r="J98" i="146"/>
  <c r="I98" i="146"/>
  <c r="H98" i="146"/>
  <c r="G98" i="146"/>
  <c r="F98" i="146"/>
  <c r="E98" i="146"/>
  <c r="D98" i="146"/>
  <c r="C98" i="146"/>
  <c r="B98" i="146"/>
  <c r="N97" i="146"/>
  <c r="M97" i="146"/>
  <c r="L97" i="146"/>
  <c r="K97" i="146"/>
  <c r="J97" i="146"/>
  <c r="I97" i="146"/>
  <c r="H97" i="146"/>
  <c r="G97" i="146"/>
  <c r="F97" i="146"/>
  <c r="E97" i="146"/>
  <c r="D97" i="146"/>
  <c r="C97" i="146"/>
  <c r="B97" i="146"/>
  <c r="N96" i="146"/>
  <c r="M96" i="146"/>
  <c r="L96" i="146"/>
  <c r="K96" i="146"/>
  <c r="J96" i="146"/>
  <c r="I96" i="146"/>
  <c r="H96" i="146"/>
  <c r="G96" i="146"/>
  <c r="F96" i="146"/>
  <c r="E96" i="146"/>
  <c r="D96" i="146"/>
  <c r="C96" i="146"/>
  <c r="B96" i="146"/>
  <c r="N95" i="146"/>
  <c r="M95" i="146"/>
  <c r="L95" i="146"/>
  <c r="K95" i="146"/>
  <c r="J95" i="146"/>
  <c r="I95" i="146"/>
  <c r="H95" i="146"/>
  <c r="G95" i="146"/>
  <c r="F95" i="146"/>
  <c r="E95" i="146"/>
  <c r="D95" i="146"/>
  <c r="C95" i="146"/>
  <c r="B95" i="146"/>
  <c r="N94" i="146"/>
  <c r="M94" i="146"/>
  <c r="L94" i="146"/>
  <c r="K94" i="146"/>
  <c r="J94" i="146"/>
  <c r="I94" i="146"/>
  <c r="H94" i="146"/>
  <c r="G94" i="146"/>
  <c r="F94" i="146"/>
  <c r="E94" i="146"/>
  <c r="D94" i="146"/>
  <c r="C94" i="146"/>
  <c r="B94" i="146"/>
  <c r="N93" i="146"/>
  <c r="M93" i="146"/>
  <c r="L93" i="146"/>
  <c r="K93" i="146"/>
  <c r="J93" i="146"/>
  <c r="I93" i="146"/>
  <c r="H93" i="146"/>
  <c r="G93" i="146"/>
  <c r="F93" i="146"/>
  <c r="E93" i="146"/>
  <c r="D93" i="146"/>
  <c r="C93" i="146"/>
  <c r="B93" i="146"/>
  <c r="N92" i="146"/>
  <c r="M92" i="146"/>
  <c r="L92" i="146"/>
  <c r="K92" i="146"/>
  <c r="J92" i="146"/>
  <c r="I92" i="146"/>
  <c r="H92" i="146"/>
  <c r="G92" i="146"/>
  <c r="F92" i="146"/>
  <c r="E92" i="146"/>
  <c r="D92" i="146"/>
  <c r="C92" i="146"/>
  <c r="B92" i="146"/>
  <c r="N88" i="146"/>
  <c r="M88" i="146"/>
  <c r="L88" i="146"/>
  <c r="K88" i="146"/>
  <c r="J88" i="146"/>
  <c r="I88" i="146"/>
  <c r="H88" i="146"/>
  <c r="G88" i="146"/>
  <c r="F88" i="146"/>
  <c r="E88" i="146"/>
  <c r="D88" i="146"/>
  <c r="C88" i="146"/>
  <c r="A88" i="146"/>
  <c r="N87" i="146"/>
  <c r="M87" i="146"/>
  <c r="L87" i="146"/>
  <c r="K87" i="146"/>
  <c r="J87" i="146"/>
  <c r="I87" i="146"/>
  <c r="H87" i="146"/>
  <c r="G87" i="146"/>
  <c r="F87" i="146"/>
  <c r="E87" i="146"/>
  <c r="D87" i="146"/>
  <c r="C87" i="146"/>
  <c r="B87" i="146"/>
  <c r="N86" i="146"/>
  <c r="M86" i="146"/>
  <c r="L86" i="146"/>
  <c r="K86" i="146"/>
  <c r="J86" i="146"/>
  <c r="I86" i="146"/>
  <c r="H86" i="146"/>
  <c r="G86" i="146"/>
  <c r="F86" i="146"/>
  <c r="E86" i="146"/>
  <c r="D86" i="146"/>
  <c r="C86" i="146"/>
  <c r="B86" i="146"/>
  <c r="N85" i="146"/>
  <c r="M85" i="146"/>
  <c r="L85" i="146"/>
  <c r="K85" i="146"/>
  <c r="J85" i="146"/>
  <c r="I85" i="146"/>
  <c r="H85" i="146"/>
  <c r="G85" i="146"/>
  <c r="F85" i="146"/>
  <c r="E85" i="146"/>
  <c r="D85" i="146"/>
  <c r="C85" i="146"/>
  <c r="B85" i="146"/>
  <c r="N84" i="146"/>
  <c r="M84" i="146"/>
  <c r="L84" i="146"/>
  <c r="K84" i="146"/>
  <c r="J84" i="146"/>
  <c r="I84" i="146"/>
  <c r="H84" i="146"/>
  <c r="G84" i="146"/>
  <c r="F84" i="146"/>
  <c r="E84" i="146"/>
  <c r="D84" i="146"/>
  <c r="C84" i="146"/>
  <c r="B84" i="146"/>
  <c r="N83" i="146"/>
  <c r="M83" i="146"/>
  <c r="L83" i="146"/>
  <c r="K83" i="146"/>
  <c r="J83" i="146"/>
  <c r="I83" i="146"/>
  <c r="H83" i="146"/>
  <c r="G83" i="146"/>
  <c r="F83" i="146"/>
  <c r="E83" i="146"/>
  <c r="D83" i="146"/>
  <c r="C83" i="146"/>
  <c r="B83" i="146"/>
  <c r="N82" i="146"/>
  <c r="M82" i="146"/>
  <c r="L82" i="146"/>
  <c r="K82" i="146"/>
  <c r="J82" i="146"/>
  <c r="I82" i="146"/>
  <c r="H82" i="146"/>
  <c r="G82" i="146"/>
  <c r="F82" i="146"/>
  <c r="E82" i="146"/>
  <c r="D82" i="146"/>
  <c r="C82" i="146"/>
  <c r="B82" i="146"/>
  <c r="N81" i="146"/>
  <c r="M81" i="146"/>
  <c r="L81" i="146"/>
  <c r="K81" i="146"/>
  <c r="J81" i="146"/>
  <c r="I81" i="146"/>
  <c r="H81" i="146"/>
  <c r="G81" i="146"/>
  <c r="F81" i="146"/>
  <c r="E81" i="146"/>
  <c r="D81" i="146"/>
  <c r="C81" i="146"/>
  <c r="B81" i="146"/>
  <c r="N80" i="146"/>
  <c r="M80" i="146"/>
  <c r="L80" i="146"/>
  <c r="K80" i="146"/>
  <c r="J80" i="146"/>
  <c r="I80" i="146"/>
  <c r="H80" i="146"/>
  <c r="G80" i="146"/>
  <c r="F80" i="146"/>
  <c r="E80" i="146"/>
  <c r="D80" i="146"/>
  <c r="C80" i="146"/>
  <c r="B80" i="146"/>
  <c r="N79" i="146"/>
  <c r="M79" i="146"/>
  <c r="L79" i="146"/>
  <c r="K79" i="146"/>
  <c r="J79" i="146"/>
  <c r="I79" i="146"/>
  <c r="H79" i="146"/>
  <c r="G79" i="146"/>
  <c r="F79" i="146"/>
  <c r="E79" i="146"/>
  <c r="D79" i="146"/>
  <c r="C79" i="146"/>
  <c r="B79" i="146"/>
  <c r="N78" i="146"/>
  <c r="M78" i="146"/>
  <c r="L78" i="146"/>
  <c r="K78" i="146"/>
  <c r="J78" i="146"/>
  <c r="I78" i="146"/>
  <c r="H78" i="146"/>
  <c r="G78" i="146"/>
  <c r="F78" i="146"/>
  <c r="E78" i="146"/>
  <c r="D78" i="146"/>
  <c r="C78" i="146"/>
  <c r="B78" i="146"/>
  <c r="N77" i="146"/>
  <c r="M77" i="146"/>
  <c r="L77" i="146"/>
  <c r="K77" i="146"/>
  <c r="J77" i="146"/>
  <c r="I77" i="146"/>
  <c r="H77" i="146"/>
  <c r="G77" i="146"/>
  <c r="F77" i="146"/>
  <c r="E77" i="146"/>
  <c r="D77" i="146"/>
  <c r="C77" i="146"/>
  <c r="B77" i="146"/>
  <c r="N76" i="146"/>
  <c r="M76" i="146"/>
  <c r="L76" i="146"/>
  <c r="K76" i="146"/>
  <c r="J76" i="146"/>
  <c r="I76" i="146"/>
  <c r="H76" i="146"/>
  <c r="G76" i="146"/>
  <c r="F76" i="146"/>
  <c r="E76" i="146"/>
  <c r="D76" i="146"/>
  <c r="C76" i="146"/>
  <c r="B76" i="146"/>
  <c r="N70" i="146"/>
  <c r="M70" i="146"/>
  <c r="L70" i="146"/>
  <c r="K70" i="146"/>
  <c r="J70" i="146"/>
  <c r="I70" i="146"/>
  <c r="H70" i="146"/>
  <c r="G70" i="146"/>
  <c r="F70" i="146"/>
  <c r="E70" i="146"/>
  <c r="D70" i="146"/>
  <c r="C70" i="146"/>
  <c r="A70" i="146"/>
  <c r="N69" i="146"/>
  <c r="M69" i="146"/>
  <c r="L69" i="146"/>
  <c r="K69" i="146"/>
  <c r="J69" i="146"/>
  <c r="I69" i="146"/>
  <c r="H69" i="146"/>
  <c r="G69" i="146"/>
  <c r="F69" i="146"/>
  <c r="E69" i="146"/>
  <c r="D69" i="146"/>
  <c r="C69" i="146"/>
  <c r="B69" i="146"/>
  <c r="N68" i="146"/>
  <c r="M68" i="146"/>
  <c r="L68" i="146"/>
  <c r="K68" i="146"/>
  <c r="J68" i="146"/>
  <c r="I68" i="146"/>
  <c r="H68" i="146"/>
  <c r="G68" i="146"/>
  <c r="F68" i="146"/>
  <c r="E68" i="146"/>
  <c r="D68" i="146"/>
  <c r="C68" i="146"/>
  <c r="B68" i="146"/>
  <c r="N67" i="146"/>
  <c r="M67" i="146"/>
  <c r="L67" i="146"/>
  <c r="K67" i="146"/>
  <c r="J67" i="146"/>
  <c r="I67" i="146"/>
  <c r="H67" i="146"/>
  <c r="G67" i="146"/>
  <c r="F67" i="146"/>
  <c r="E67" i="146"/>
  <c r="D67" i="146"/>
  <c r="C67" i="146"/>
  <c r="B67" i="146"/>
  <c r="N66" i="146"/>
  <c r="M66" i="146"/>
  <c r="L66" i="146"/>
  <c r="K66" i="146"/>
  <c r="J66" i="146"/>
  <c r="I66" i="146"/>
  <c r="H66" i="146"/>
  <c r="G66" i="146"/>
  <c r="F66" i="146"/>
  <c r="E66" i="146"/>
  <c r="D66" i="146"/>
  <c r="C66" i="146"/>
  <c r="B66" i="146"/>
  <c r="N65" i="146"/>
  <c r="M65" i="146"/>
  <c r="L65" i="146"/>
  <c r="K65" i="146"/>
  <c r="J65" i="146"/>
  <c r="I65" i="146"/>
  <c r="H65" i="146"/>
  <c r="G65" i="146"/>
  <c r="F65" i="146"/>
  <c r="E65" i="146"/>
  <c r="D65" i="146"/>
  <c r="C65" i="146"/>
  <c r="B65" i="146"/>
  <c r="N64" i="146"/>
  <c r="M64" i="146"/>
  <c r="L64" i="146"/>
  <c r="K64" i="146"/>
  <c r="J64" i="146"/>
  <c r="I64" i="146"/>
  <c r="H64" i="146"/>
  <c r="G64" i="146"/>
  <c r="F64" i="146"/>
  <c r="E64" i="146"/>
  <c r="D64" i="146"/>
  <c r="C64" i="146"/>
  <c r="B64" i="146"/>
  <c r="N63" i="146"/>
  <c r="M63" i="146"/>
  <c r="L63" i="146"/>
  <c r="K63" i="146"/>
  <c r="J63" i="146"/>
  <c r="I63" i="146"/>
  <c r="H63" i="146"/>
  <c r="G63" i="146"/>
  <c r="F63" i="146"/>
  <c r="E63" i="146"/>
  <c r="D63" i="146"/>
  <c r="C63" i="146"/>
  <c r="B63" i="146"/>
  <c r="N62" i="146"/>
  <c r="M62" i="146"/>
  <c r="L62" i="146"/>
  <c r="K62" i="146"/>
  <c r="J62" i="146"/>
  <c r="I62" i="146"/>
  <c r="H62" i="146"/>
  <c r="G62" i="146"/>
  <c r="F62" i="146"/>
  <c r="E62" i="146"/>
  <c r="D62" i="146"/>
  <c r="C62" i="146"/>
  <c r="B62" i="146"/>
  <c r="N61" i="146"/>
  <c r="M61" i="146"/>
  <c r="L61" i="146"/>
  <c r="K61" i="146"/>
  <c r="J61" i="146"/>
  <c r="I61" i="146"/>
  <c r="H61" i="146"/>
  <c r="G61" i="146"/>
  <c r="F61" i="146"/>
  <c r="E61" i="146"/>
  <c r="D61" i="146"/>
  <c r="C61" i="146"/>
  <c r="B61" i="146"/>
  <c r="N60" i="146"/>
  <c r="M60" i="146"/>
  <c r="L60" i="146"/>
  <c r="K60" i="146"/>
  <c r="J60" i="146"/>
  <c r="I60" i="146"/>
  <c r="H60" i="146"/>
  <c r="G60" i="146"/>
  <c r="F60" i="146"/>
  <c r="E60" i="146"/>
  <c r="D60" i="146"/>
  <c r="C60" i="146"/>
  <c r="B60" i="146"/>
  <c r="N59" i="146"/>
  <c r="M59" i="146"/>
  <c r="L59" i="146"/>
  <c r="K59" i="146"/>
  <c r="J59" i="146"/>
  <c r="I59" i="146"/>
  <c r="H59" i="146"/>
  <c r="G59" i="146"/>
  <c r="F59" i="146"/>
  <c r="E59" i="146"/>
  <c r="D59" i="146"/>
  <c r="C59" i="146"/>
  <c r="B59" i="146"/>
  <c r="N58" i="146"/>
  <c r="M58" i="146"/>
  <c r="L58" i="146"/>
  <c r="K58" i="146"/>
  <c r="J58" i="146"/>
  <c r="I58" i="146"/>
  <c r="H58" i="146"/>
  <c r="G58" i="146"/>
  <c r="F58" i="146"/>
  <c r="E58" i="146"/>
  <c r="D58" i="146"/>
  <c r="C58" i="146"/>
  <c r="B58" i="146"/>
  <c r="N54" i="146"/>
  <c r="M54" i="146"/>
  <c r="L54" i="146"/>
  <c r="K54" i="146"/>
  <c r="J54" i="146"/>
  <c r="I54" i="146"/>
  <c r="H54" i="146"/>
  <c r="G54" i="146"/>
  <c r="F54" i="146"/>
  <c r="E54" i="146"/>
  <c r="D54" i="146"/>
  <c r="C54" i="146"/>
  <c r="A54" i="146"/>
  <c r="N53" i="146"/>
  <c r="M53" i="146"/>
  <c r="L53" i="146"/>
  <c r="K53" i="146"/>
  <c r="J53" i="146"/>
  <c r="I53" i="146"/>
  <c r="H53" i="146"/>
  <c r="G53" i="146"/>
  <c r="F53" i="146"/>
  <c r="E53" i="146"/>
  <c r="D53" i="146"/>
  <c r="C53" i="146"/>
  <c r="B53" i="146"/>
  <c r="N52" i="146"/>
  <c r="M52" i="146"/>
  <c r="L52" i="146"/>
  <c r="K52" i="146"/>
  <c r="J52" i="146"/>
  <c r="I52" i="146"/>
  <c r="H52" i="146"/>
  <c r="G52" i="146"/>
  <c r="F52" i="146"/>
  <c r="E52" i="146"/>
  <c r="D52" i="146"/>
  <c r="C52" i="146"/>
  <c r="B52" i="146"/>
  <c r="N51" i="146"/>
  <c r="M51" i="146"/>
  <c r="L51" i="146"/>
  <c r="K51" i="146"/>
  <c r="J51" i="146"/>
  <c r="I51" i="146"/>
  <c r="H51" i="146"/>
  <c r="G51" i="146"/>
  <c r="F51" i="146"/>
  <c r="E51" i="146"/>
  <c r="D51" i="146"/>
  <c r="C51" i="146"/>
  <c r="B51" i="146"/>
  <c r="N50" i="146"/>
  <c r="M50" i="146"/>
  <c r="L50" i="146"/>
  <c r="K50" i="146"/>
  <c r="J50" i="146"/>
  <c r="I50" i="146"/>
  <c r="H50" i="146"/>
  <c r="G50" i="146"/>
  <c r="F50" i="146"/>
  <c r="E50" i="146"/>
  <c r="D50" i="146"/>
  <c r="C50" i="146"/>
  <c r="B50" i="146"/>
  <c r="N49" i="146"/>
  <c r="M49" i="146"/>
  <c r="L49" i="146"/>
  <c r="K49" i="146"/>
  <c r="J49" i="146"/>
  <c r="I49" i="146"/>
  <c r="H49" i="146"/>
  <c r="G49" i="146"/>
  <c r="F49" i="146"/>
  <c r="E49" i="146"/>
  <c r="D49" i="146"/>
  <c r="C49" i="146"/>
  <c r="B49" i="146"/>
  <c r="N48" i="146"/>
  <c r="M48" i="146"/>
  <c r="L48" i="146"/>
  <c r="K48" i="146"/>
  <c r="J48" i="146"/>
  <c r="I48" i="146"/>
  <c r="H48" i="146"/>
  <c r="G48" i="146"/>
  <c r="F48" i="146"/>
  <c r="E48" i="146"/>
  <c r="D48" i="146"/>
  <c r="C48" i="146"/>
  <c r="B48" i="146"/>
  <c r="N47" i="146"/>
  <c r="M47" i="146"/>
  <c r="L47" i="146"/>
  <c r="K47" i="146"/>
  <c r="J47" i="146"/>
  <c r="I47" i="146"/>
  <c r="H47" i="146"/>
  <c r="G47" i="146"/>
  <c r="F47" i="146"/>
  <c r="E47" i="146"/>
  <c r="D47" i="146"/>
  <c r="C47" i="146"/>
  <c r="B47" i="146"/>
  <c r="N46" i="146"/>
  <c r="M46" i="146"/>
  <c r="L46" i="146"/>
  <c r="K46" i="146"/>
  <c r="J46" i="146"/>
  <c r="I46" i="146"/>
  <c r="H46" i="146"/>
  <c r="G46" i="146"/>
  <c r="F46" i="146"/>
  <c r="E46" i="146"/>
  <c r="D46" i="146"/>
  <c r="C46" i="146"/>
  <c r="B46" i="146"/>
  <c r="N45" i="146"/>
  <c r="M45" i="146"/>
  <c r="L45" i="146"/>
  <c r="K45" i="146"/>
  <c r="J45" i="146"/>
  <c r="I45" i="146"/>
  <c r="H45" i="146"/>
  <c r="G45" i="146"/>
  <c r="F45" i="146"/>
  <c r="E45" i="146"/>
  <c r="D45" i="146"/>
  <c r="C45" i="146"/>
  <c r="B45" i="146"/>
  <c r="N44" i="146"/>
  <c r="M44" i="146"/>
  <c r="L44" i="146"/>
  <c r="K44" i="146"/>
  <c r="J44" i="146"/>
  <c r="I44" i="146"/>
  <c r="H44" i="146"/>
  <c r="G44" i="146"/>
  <c r="F44" i="146"/>
  <c r="E44" i="146"/>
  <c r="D44" i="146"/>
  <c r="C44" i="146"/>
  <c r="B44" i="146"/>
  <c r="N43" i="146"/>
  <c r="M43" i="146"/>
  <c r="L43" i="146"/>
  <c r="K43" i="146"/>
  <c r="J43" i="146"/>
  <c r="I43" i="146"/>
  <c r="H43" i="146"/>
  <c r="G43" i="146"/>
  <c r="F43" i="146"/>
  <c r="E43" i="146"/>
  <c r="D43" i="146"/>
  <c r="C43" i="146"/>
  <c r="B43" i="146"/>
  <c r="N42" i="146"/>
  <c r="M42" i="146"/>
  <c r="L42" i="146"/>
  <c r="K42" i="146"/>
  <c r="J42" i="146"/>
  <c r="I42" i="146"/>
  <c r="H42" i="146"/>
  <c r="G42" i="146"/>
  <c r="F42" i="146"/>
  <c r="E42" i="146"/>
  <c r="D42" i="146"/>
  <c r="C42" i="146"/>
  <c r="B42" i="146"/>
  <c r="N36" i="146"/>
  <c r="M36" i="146"/>
  <c r="L36" i="146"/>
  <c r="K36" i="146"/>
  <c r="J36" i="146"/>
  <c r="I36" i="146"/>
  <c r="H36" i="146"/>
  <c r="G36" i="146"/>
  <c r="F36" i="146"/>
  <c r="E36" i="146"/>
  <c r="D36" i="146"/>
  <c r="C36" i="146"/>
  <c r="B36" i="146"/>
  <c r="N35" i="146"/>
  <c r="M35" i="146"/>
  <c r="L35" i="146"/>
  <c r="K35" i="146"/>
  <c r="J35" i="146"/>
  <c r="I35" i="146"/>
  <c r="H35" i="146"/>
  <c r="G35" i="146"/>
  <c r="F35" i="146"/>
  <c r="E35" i="146"/>
  <c r="D35" i="146"/>
  <c r="C35" i="146"/>
  <c r="B35" i="146"/>
  <c r="I31" i="146"/>
  <c r="H31" i="146"/>
  <c r="G31" i="146"/>
  <c r="E31" i="146"/>
  <c r="D31" i="146"/>
  <c r="C31" i="146"/>
  <c r="B31" i="146"/>
  <c r="A31" i="146"/>
  <c r="D30" i="146"/>
  <c r="C30" i="146"/>
  <c r="B30" i="146"/>
  <c r="D29" i="146"/>
  <c r="C29" i="146"/>
  <c r="B29" i="146"/>
  <c r="D28" i="146"/>
  <c r="C28" i="146"/>
  <c r="B28" i="146"/>
  <c r="D27" i="146"/>
  <c r="C27" i="146"/>
  <c r="B27" i="146"/>
  <c r="D26" i="146"/>
  <c r="C26" i="146"/>
  <c r="B26" i="146"/>
  <c r="D25" i="146"/>
  <c r="C25" i="146"/>
  <c r="B25" i="146"/>
  <c r="D24" i="146"/>
  <c r="C24" i="146"/>
  <c r="B24" i="146"/>
  <c r="D23" i="146"/>
  <c r="C23" i="146"/>
  <c r="B23" i="146"/>
  <c r="D22" i="146"/>
  <c r="C22" i="146"/>
  <c r="B22" i="146"/>
  <c r="D21" i="146"/>
  <c r="C21" i="146"/>
  <c r="B21" i="146"/>
  <c r="D20" i="146"/>
  <c r="C20" i="146"/>
  <c r="C19" i="146"/>
  <c r="B19" i="146"/>
  <c r="N15" i="146"/>
  <c r="M15" i="146"/>
  <c r="L15" i="146"/>
  <c r="K15" i="146"/>
  <c r="J15" i="146"/>
  <c r="I15" i="146"/>
  <c r="H15" i="146"/>
  <c r="G15" i="146"/>
  <c r="F15" i="146"/>
  <c r="E15" i="146"/>
  <c r="D15" i="146"/>
  <c r="C15" i="146"/>
  <c r="B15" i="146"/>
  <c r="N14" i="146"/>
  <c r="M14" i="146"/>
  <c r="L14" i="146"/>
  <c r="K14" i="146"/>
  <c r="J14" i="146"/>
  <c r="I14" i="146"/>
  <c r="H14" i="146"/>
  <c r="G14" i="146"/>
  <c r="F14" i="146"/>
  <c r="E14" i="146"/>
  <c r="D14" i="146"/>
  <c r="C14" i="146"/>
  <c r="B14" i="146"/>
  <c r="A10" i="146"/>
  <c r="A1" i="146"/>
  <c r="N371" i="145"/>
  <c r="M371" i="145"/>
  <c r="L371" i="145"/>
  <c r="K371" i="145"/>
  <c r="J371" i="145"/>
  <c r="I371" i="145"/>
  <c r="H371" i="145"/>
  <c r="G371" i="145"/>
  <c r="F371" i="145"/>
  <c r="E371" i="145"/>
  <c r="D371" i="145"/>
  <c r="C371" i="145"/>
  <c r="A371" i="145"/>
  <c r="N370" i="145"/>
  <c r="M370" i="145"/>
  <c r="L370" i="145"/>
  <c r="K370" i="145"/>
  <c r="J370" i="145"/>
  <c r="I370" i="145"/>
  <c r="H370" i="145"/>
  <c r="G370" i="145"/>
  <c r="F370" i="145"/>
  <c r="E370" i="145"/>
  <c r="D370" i="145"/>
  <c r="C370" i="145"/>
  <c r="A370" i="145"/>
  <c r="N369" i="145"/>
  <c r="M369" i="145"/>
  <c r="L369" i="145"/>
  <c r="K369" i="145"/>
  <c r="J369" i="145"/>
  <c r="I369" i="145"/>
  <c r="H369" i="145"/>
  <c r="G369" i="145"/>
  <c r="F369" i="145"/>
  <c r="E369" i="145"/>
  <c r="D369" i="145"/>
  <c r="C369" i="145"/>
  <c r="N368" i="145"/>
  <c r="M368" i="145"/>
  <c r="L368" i="145"/>
  <c r="K368" i="145"/>
  <c r="J368" i="145"/>
  <c r="I368" i="145"/>
  <c r="H368" i="145"/>
  <c r="G368" i="145"/>
  <c r="F368" i="145"/>
  <c r="E368" i="145"/>
  <c r="D368" i="145"/>
  <c r="C368" i="145"/>
  <c r="N367" i="145"/>
  <c r="M367" i="145"/>
  <c r="L367" i="145"/>
  <c r="K367" i="145"/>
  <c r="J367" i="145"/>
  <c r="I367" i="145"/>
  <c r="H367" i="145"/>
  <c r="G367" i="145"/>
  <c r="F367" i="145"/>
  <c r="E367" i="145"/>
  <c r="D367" i="145"/>
  <c r="C367" i="145"/>
  <c r="A367" i="145"/>
  <c r="N366" i="145"/>
  <c r="M366" i="145"/>
  <c r="L366" i="145"/>
  <c r="K366" i="145"/>
  <c r="J366" i="145"/>
  <c r="I366" i="145"/>
  <c r="H366" i="145"/>
  <c r="G366" i="145"/>
  <c r="F366" i="145"/>
  <c r="E366" i="145"/>
  <c r="D366" i="145"/>
  <c r="C366" i="145"/>
  <c r="B366" i="145"/>
  <c r="N365" i="145"/>
  <c r="M365" i="145"/>
  <c r="L365" i="145"/>
  <c r="K365" i="145"/>
  <c r="J365" i="145"/>
  <c r="I365" i="145"/>
  <c r="H365" i="145"/>
  <c r="G365" i="145"/>
  <c r="F365" i="145"/>
  <c r="E365" i="145"/>
  <c r="D365" i="145"/>
  <c r="C365" i="145"/>
  <c r="B365" i="145"/>
  <c r="N364" i="145"/>
  <c r="M364" i="145"/>
  <c r="L364" i="145"/>
  <c r="K364" i="145"/>
  <c r="J364" i="145"/>
  <c r="I364" i="145"/>
  <c r="H364" i="145"/>
  <c r="G364" i="145"/>
  <c r="F364" i="145"/>
  <c r="E364" i="145"/>
  <c r="D364" i="145"/>
  <c r="C364" i="145"/>
  <c r="B364" i="145"/>
  <c r="N363" i="145"/>
  <c r="M363" i="145"/>
  <c r="L363" i="145"/>
  <c r="K363" i="145"/>
  <c r="J363" i="145"/>
  <c r="I363" i="145"/>
  <c r="H363" i="145"/>
  <c r="G363" i="145"/>
  <c r="F363" i="145"/>
  <c r="E363" i="145"/>
  <c r="D363" i="145"/>
  <c r="C363" i="145"/>
  <c r="B363" i="145"/>
  <c r="N362" i="145"/>
  <c r="M362" i="145"/>
  <c r="L362" i="145"/>
  <c r="K362" i="145"/>
  <c r="J362" i="145"/>
  <c r="I362" i="145"/>
  <c r="H362" i="145"/>
  <c r="G362" i="145"/>
  <c r="F362" i="145"/>
  <c r="E362" i="145"/>
  <c r="D362" i="145"/>
  <c r="C362" i="145"/>
  <c r="B362" i="145"/>
  <c r="N361" i="145"/>
  <c r="M361" i="145"/>
  <c r="L361" i="145"/>
  <c r="K361" i="145"/>
  <c r="J361" i="145"/>
  <c r="I361" i="145"/>
  <c r="H361" i="145"/>
  <c r="G361" i="145"/>
  <c r="F361" i="145"/>
  <c r="E361" i="145"/>
  <c r="D361" i="145"/>
  <c r="C361" i="145"/>
  <c r="B361" i="145"/>
  <c r="N360" i="145"/>
  <c r="M360" i="145"/>
  <c r="L360" i="145"/>
  <c r="K360" i="145"/>
  <c r="J360" i="145"/>
  <c r="I360" i="145"/>
  <c r="H360" i="145"/>
  <c r="G360" i="145"/>
  <c r="F360" i="145"/>
  <c r="E360" i="145"/>
  <c r="D360" i="145"/>
  <c r="C360" i="145"/>
  <c r="B360" i="145"/>
  <c r="N359" i="145"/>
  <c r="M359" i="145"/>
  <c r="L359" i="145"/>
  <c r="K359" i="145"/>
  <c r="J359" i="145"/>
  <c r="I359" i="145"/>
  <c r="H359" i="145"/>
  <c r="G359" i="145"/>
  <c r="F359" i="145"/>
  <c r="E359" i="145"/>
  <c r="D359" i="145"/>
  <c r="C359" i="145"/>
  <c r="B359" i="145"/>
  <c r="N358" i="145"/>
  <c r="M358" i="145"/>
  <c r="L358" i="145"/>
  <c r="K358" i="145"/>
  <c r="J358" i="145"/>
  <c r="I358" i="145"/>
  <c r="H358" i="145"/>
  <c r="G358" i="145"/>
  <c r="F358" i="145"/>
  <c r="E358" i="145"/>
  <c r="D358" i="145"/>
  <c r="C358" i="145"/>
  <c r="B358" i="145"/>
  <c r="N357" i="145"/>
  <c r="M357" i="145"/>
  <c r="L357" i="145"/>
  <c r="K357" i="145"/>
  <c r="J357" i="145"/>
  <c r="I357" i="145"/>
  <c r="H357" i="145"/>
  <c r="G357" i="145"/>
  <c r="F357" i="145"/>
  <c r="E357" i="145"/>
  <c r="D357" i="145"/>
  <c r="C357" i="145"/>
  <c r="B357" i="145"/>
  <c r="N356" i="145"/>
  <c r="M356" i="145"/>
  <c r="L356" i="145"/>
  <c r="K356" i="145"/>
  <c r="J356" i="145"/>
  <c r="I356" i="145"/>
  <c r="H356" i="145"/>
  <c r="G356" i="145"/>
  <c r="F356" i="145"/>
  <c r="E356" i="145"/>
  <c r="D356" i="145"/>
  <c r="C356" i="145"/>
  <c r="B356" i="145"/>
  <c r="N355" i="145"/>
  <c r="M355" i="145"/>
  <c r="L355" i="145"/>
  <c r="K355" i="145"/>
  <c r="J355" i="145"/>
  <c r="I355" i="145"/>
  <c r="H355" i="145"/>
  <c r="G355" i="145"/>
  <c r="F355" i="145"/>
  <c r="E355" i="145"/>
  <c r="D355" i="145"/>
  <c r="C355" i="145"/>
  <c r="B355" i="145"/>
  <c r="N351" i="145"/>
  <c r="M351" i="145"/>
  <c r="L351" i="145"/>
  <c r="K351" i="145"/>
  <c r="J351" i="145"/>
  <c r="I351" i="145"/>
  <c r="H351" i="145"/>
  <c r="G351" i="145"/>
  <c r="F351" i="145"/>
  <c r="E351" i="145"/>
  <c r="D351" i="145"/>
  <c r="C351" i="145"/>
  <c r="A351" i="145"/>
  <c r="N350" i="145"/>
  <c r="M350" i="145"/>
  <c r="L350" i="145"/>
  <c r="K350" i="145"/>
  <c r="J350" i="145"/>
  <c r="I350" i="145"/>
  <c r="H350" i="145"/>
  <c r="G350" i="145"/>
  <c r="F350" i="145"/>
  <c r="E350" i="145"/>
  <c r="D350" i="145"/>
  <c r="C350" i="145"/>
  <c r="B350" i="145"/>
  <c r="N349" i="145"/>
  <c r="M349" i="145"/>
  <c r="L349" i="145"/>
  <c r="K349" i="145"/>
  <c r="J349" i="145"/>
  <c r="I349" i="145"/>
  <c r="H349" i="145"/>
  <c r="G349" i="145"/>
  <c r="F349" i="145"/>
  <c r="E349" i="145"/>
  <c r="D349" i="145"/>
  <c r="C349" i="145"/>
  <c r="B349" i="145"/>
  <c r="N348" i="145"/>
  <c r="M348" i="145"/>
  <c r="L348" i="145"/>
  <c r="K348" i="145"/>
  <c r="J348" i="145"/>
  <c r="I348" i="145"/>
  <c r="H348" i="145"/>
  <c r="G348" i="145"/>
  <c r="F348" i="145"/>
  <c r="E348" i="145"/>
  <c r="D348" i="145"/>
  <c r="C348" i="145"/>
  <c r="B348" i="145"/>
  <c r="N347" i="145"/>
  <c r="M347" i="145"/>
  <c r="L347" i="145"/>
  <c r="K347" i="145"/>
  <c r="J347" i="145"/>
  <c r="I347" i="145"/>
  <c r="H347" i="145"/>
  <c r="G347" i="145"/>
  <c r="F347" i="145"/>
  <c r="E347" i="145"/>
  <c r="D347" i="145"/>
  <c r="C347" i="145"/>
  <c r="B347" i="145"/>
  <c r="N346" i="145"/>
  <c r="M346" i="145"/>
  <c r="L346" i="145"/>
  <c r="K346" i="145"/>
  <c r="J346" i="145"/>
  <c r="I346" i="145"/>
  <c r="H346" i="145"/>
  <c r="G346" i="145"/>
  <c r="F346" i="145"/>
  <c r="E346" i="145"/>
  <c r="D346" i="145"/>
  <c r="C346" i="145"/>
  <c r="B346" i="145"/>
  <c r="N345" i="145"/>
  <c r="M345" i="145"/>
  <c r="L345" i="145"/>
  <c r="K345" i="145"/>
  <c r="J345" i="145"/>
  <c r="I345" i="145"/>
  <c r="H345" i="145"/>
  <c r="G345" i="145"/>
  <c r="F345" i="145"/>
  <c r="E345" i="145"/>
  <c r="D345" i="145"/>
  <c r="C345" i="145"/>
  <c r="B345" i="145"/>
  <c r="N344" i="145"/>
  <c r="M344" i="145"/>
  <c r="L344" i="145"/>
  <c r="K344" i="145"/>
  <c r="J344" i="145"/>
  <c r="I344" i="145"/>
  <c r="H344" i="145"/>
  <c r="G344" i="145"/>
  <c r="F344" i="145"/>
  <c r="E344" i="145"/>
  <c r="D344" i="145"/>
  <c r="C344" i="145"/>
  <c r="B344" i="145"/>
  <c r="N343" i="145"/>
  <c r="M343" i="145"/>
  <c r="L343" i="145"/>
  <c r="K343" i="145"/>
  <c r="J343" i="145"/>
  <c r="I343" i="145"/>
  <c r="H343" i="145"/>
  <c r="G343" i="145"/>
  <c r="F343" i="145"/>
  <c r="E343" i="145"/>
  <c r="D343" i="145"/>
  <c r="C343" i="145"/>
  <c r="B343" i="145"/>
  <c r="N342" i="145"/>
  <c r="M342" i="145"/>
  <c r="L342" i="145"/>
  <c r="K342" i="145"/>
  <c r="J342" i="145"/>
  <c r="I342" i="145"/>
  <c r="H342" i="145"/>
  <c r="G342" i="145"/>
  <c r="F342" i="145"/>
  <c r="E342" i="145"/>
  <c r="D342" i="145"/>
  <c r="C342" i="145"/>
  <c r="B342" i="145"/>
  <c r="N341" i="145"/>
  <c r="M341" i="145"/>
  <c r="L341" i="145"/>
  <c r="K341" i="145"/>
  <c r="J341" i="145"/>
  <c r="I341" i="145"/>
  <c r="H341" i="145"/>
  <c r="G341" i="145"/>
  <c r="F341" i="145"/>
  <c r="E341" i="145"/>
  <c r="D341" i="145"/>
  <c r="C341" i="145"/>
  <c r="B341" i="145"/>
  <c r="N340" i="145"/>
  <c r="M340" i="145"/>
  <c r="L340" i="145"/>
  <c r="K340" i="145"/>
  <c r="J340" i="145"/>
  <c r="I340" i="145"/>
  <c r="H340" i="145"/>
  <c r="G340" i="145"/>
  <c r="F340" i="145"/>
  <c r="E340" i="145"/>
  <c r="D340" i="145"/>
  <c r="C340" i="145"/>
  <c r="B340" i="145"/>
  <c r="N339" i="145"/>
  <c r="M339" i="145"/>
  <c r="L339" i="145"/>
  <c r="K339" i="145"/>
  <c r="J339" i="145"/>
  <c r="I339" i="145"/>
  <c r="H339" i="145"/>
  <c r="G339" i="145"/>
  <c r="F339" i="145"/>
  <c r="E339" i="145"/>
  <c r="D339" i="145"/>
  <c r="C339" i="145"/>
  <c r="B339" i="145"/>
  <c r="N333" i="145"/>
  <c r="M333" i="145"/>
  <c r="L333" i="145"/>
  <c r="K333" i="145"/>
  <c r="J333" i="145"/>
  <c r="I333" i="145"/>
  <c r="H333" i="145"/>
  <c r="G333" i="145"/>
  <c r="F333" i="145"/>
  <c r="E333" i="145"/>
  <c r="D333" i="145"/>
  <c r="C333" i="145"/>
  <c r="A333" i="145"/>
  <c r="N332" i="145"/>
  <c r="M332" i="145"/>
  <c r="L332" i="145"/>
  <c r="K332" i="145"/>
  <c r="J332" i="145"/>
  <c r="I332" i="145"/>
  <c r="H332" i="145"/>
  <c r="G332" i="145"/>
  <c r="F332" i="145"/>
  <c r="E332" i="145"/>
  <c r="D332" i="145"/>
  <c r="C332" i="145"/>
  <c r="N331" i="145"/>
  <c r="M331" i="145"/>
  <c r="L331" i="145"/>
  <c r="K331" i="145"/>
  <c r="J331" i="145"/>
  <c r="I331" i="145"/>
  <c r="H331" i="145"/>
  <c r="G331" i="145"/>
  <c r="F331" i="145"/>
  <c r="E331" i="145"/>
  <c r="D331" i="145"/>
  <c r="C331" i="145"/>
  <c r="N330" i="145"/>
  <c r="M330" i="145"/>
  <c r="L330" i="145"/>
  <c r="K330" i="145"/>
  <c r="J330" i="145"/>
  <c r="I330" i="145"/>
  <c r="H330" i="145"/>
  <c r="G330" i="145"/>
  <c r="F330" i="145"/>
  <c r="E330" i="145"/>
  <c r="D330" i="145"/>
  <c r="C330" i="145"/>
  <c r="A330" i="145"/>
  <c r="N329" i="145"/>
  <c r="M329" i="145"/>
  <c r="L329" i="145"/>
  <c r="K329" i="145"/>
  <c r="J329" i="145"/>
  <c r="I329" i="145"/>
  <c r="H329" i="145"/>
  <c r="G329" i="145"/>
  <c r="F329" i="145"/>
  <c r="E329" i="145"/>
  <c r="D329" i="145"/>
  <c r="C329" i="145"/>
  <c r="B329" i="145"/>
  <c r="N328" i="145"/>
  <c r="M328" i="145"/>
  <c r="L328" i="145"/>
  <c r="K328" i="145"/>
  <c r="J328" i="145"/>
  <c r="I328" i="145"/>
  <c r="H328" i="145"/>
  <c r="G328" i="145"/>
  <c r="F328" i="145"/>
  <c r="E328" i="145"/>
  <c r="D328" i="145"/>
  <c r="C328" i="145"/>
  <c r="B328" i="145"/>
  <c r="N327" i="145"/>
  <c r="M327" i="145"/>
  <c r="L327" i="145"/>
  <c r="K327" i="145"/>
  <c r="J327" i="145"/>
  <c r="I327" i="145"/>
  <c r="H327" i="145"/>
  <c r="G327" i="145"/>
  <c r="F327" i="145"/>
  <c r="E327" i="145"/>
  <c r="D327" i="145"/>
  <c r="C327" i="145"/>
  <c r="B327" i="145"/>
  <c r="N326" i="145"/>
  <c r="M326" i="145"/>
  <c r="L326" i="145"/>
  <c r="K326" i="145"/>
  <c r="J326" i="145"/>
  <c r="I326" i="145"/>
  <c r="H326" i="145"/>
  <c r="G326" i="145"/>
  <c r="F326" i="145"/>
  <c r="E326" i="145"/>
  <c r="D326" i="145"/>
  <c r="C326" i="145"/>
  <c r="B326" i="145"/>
  <c r="N325" i="145"/>
  <c r="M325" i="145"/>
  <c r="L325" i="145"/>
  <c r="K325" i="145"/>
  <c r="J325" i="145"/>
  <c r="I325" i="145"/>
  <c r="H325" i="145"/>
  <c r="G325" i="145"/>
  <c r="F325" i="145"/>
  <c r="E325" i="145"/>
  <c r="D325" i="145"/>
  <c r="C325" i="145"/>
  <c r="B325" i="145"/>
  <c r="N324" i="145"/>
  <c r="M324" i="145"/>
  <c r="L324" i="145"/>
  <c r="K324" i="145"/>
  <c r="J324" i="145"/>
  <c r="I324" i="145"/>
  <c r="H324" i="145"/>
  <c r="G324" i="145"/>
  <c r="F324" i="145"/>
  <c r="E324" i="145"/>
  <c r="D324" i="145"/>
  <c r="C324" i="145"/>
  <c r="B324" i="145"/>
  <c r="N323" i="145"/>
  <c r="M323" i="145"/>
  <c r="L323" i="145"/>
  <c r="K323" i="145"/>
  <c r="J323" i="145"/>
  <c r="I323" i="145"/>
  <c r="H323" i="145"/>
  <c r="G323" i="145"/>
  <c r="F323" i="145"/>
  <c r="E323" i="145"/>
  <c r="D323" i="145"/>
  <c r="C323" i="145"/>
  <c r="B323" i="145"/>
  <c r="N322" i="145"/>
  <c r="M322" i="145"/>
  <c r="L322" i="145"/>
  <c r="K322" i="145"/>
  <c r="J322" i="145"/>
  <c r="I322" i="145"/>
  <c r="H322" i="145"/>
  <c r="G322" i="145"/>
  <c r="F322" i="145"/>
  <c r="E322" i="145"/>
  <c r="D322" i="145"/>
  <c r="C322" i="145"/>
  <c r="B322" i="145"/>
  <c r="N321" i="145"/>
  <c r="M321" i="145"/>
  <c r="L321" i="145"/>
  <c r="K321" i="145"/>
  <c r="J321" i="145"/>
  <c r="I321" i="145"/>
  <c r="H321" i="145"/>
  <c r="G321" i="145"/>
  <c r="F321" i="145"/>
  <c r="E321" i="145"/>
  <c r="D321" i="145"/>
  <c r="C321" i="145"/>
  <c r="B321" i="145"/>
  <c r="N320" i="145"/>
  <c r="M320" i="145"/>
  <c r="L320" i="145"/>
  <c r="K320" i="145"/>
  <c r="J320" i="145"/>
  <c r="I320" i="145"/>
  <c r="H320" i="145"/>
  <c r="G320" i="145"/>
  <c r="F320" i="145"/>
  <c r="E320" i="145"/>
  <c r="D320" i="145"/>
  <c r="C320" i="145"/>
  <c r="B320" i="145"/>
  <c r="N319" i="145"/>
  <c r="M319" i="145"/>
  <c r="L319" i="145"/>
  <c r="K319" i="145"/>
  <c r="J319" i="145"/>
  <c r="I319" i="145"/>
  <c r="H319" i="145"/>
  <c r="G319" i="145"/>
  <c r="F319" i="145"/>
  <c r="E319" i="145"/>
  <c r="D319" i="145"/>
  <c r="C319" i="145"/>
  <c r="B319" i="145"/>
  <c r="N318" i="145"/>
  <c r="M318" i="145"/>
  <c r="L318" i="145"/>
  <c r="K318" i="145"/>
  <c r="J318" i="145"/>
  <c r="I318" i="145"/>
  <c r="H318" i="145"/>
  <c r="G318" i="145"/>
  <c r="F318" i="145"/>
  <c r="E318" i="145"/>
  <c r="D318" i="145"/>
  <c r="C318" i="145"/>
  <c r="B318" i="145"/>
  <c r="N314" i="145"/>
  <c r="M314" i="145"/>
  <c r="L314" i="145"/>
  <c r="K314" i="145"/>
  <c r="J314" i="145"/>
  <c r="I314" i="145"/>
  <c r="H314" i="145"/>
  <c r="G314" i="145"/>
  <c r="F314" i="145"/>
  <c r="E314" i="145"/>
  <c r="D314" i="145"/>
  <c r="C314" i="145"/>
  <c r="A314" i="145"/>
  <c r="N313" i="145"/>
  <c r="M313" i="145"/>
  <c r="L313" i="145"/>
  <c r="K313" i="145"/>
  <c r="J313" i="145"/>
  <c r="I313" i="145"/>
  <c r="H313" i="145"/>
  <c r="G313" i="145"/>
  <c r="F313" i="145"/>
  <c r="E313" i="145"/>
  <c r="D313" i="145"/>
  <c r="C313" i="145"/>
  <c r="B313" i="145"/>
  <c r="N312" i="145"/>
  <c r="M312" i="145"/>
  <c r="L312" i="145"/>
  <c r="K312" i="145"/>
  <c r="J312" i="145"/>
  <c r="I312" i="145"/>
  <c r="H312" i="145"/>
  <c r="G312" i="145"/>
  <c r="F312" i="145"/>
  <c r="E312" i="145"/>
  <c r="D312" i="145"/>
  <c r="C312" i="145"/>
  <c r="B312" i="145"/>
  <c r="N311" i="145"/>
  <c r="M311" i="145"/>
  <c r="L311" i="145"/>
  <c r="K311" i="145"/>
  <c r="J311" i="145"/>
  <c r="I311" i="145"/>
  <c r="H311" i="145"/>
  <c r="G311" i="145"/>
  <c r="F311" i="145"/>
  <c r="E311" i="145"/>
  <c r="D311" i="145"/>
  <c r="C311" i="145"/>
  <c r="B311" i="145"/>
  <c r="N310" i="145"/>
  <c r="M310" i="145"/>
  <c r="L310" i="145"/>
  <c r="K310" i="145"/>
  <c r="J310" i="145"/>
  <c r="I310" i="145"/>
  <c r="H310" i="145"/>
  <c r="G310" i="145"/>
  <c r="F310" i="145"/>
  <c r="E310" i="145"/>
  <c r="D310" i="145"/>
  <c r="C310" i="145"/>
  <c r="B310" i="145"/>
  <c r="N309" i="145"/>
  <c r="M309" i="145"/>
  <c r="L309" i="145"/>
  <c r="K309" i="145"/>
  <c r="J309" i="145"/>
  <c r="I309" i="145"/>
  <c r="H309" i="145"/>
  <c r="G309" i="145"/>
  <c r="F309" i="145"/>
  <c r="E309" i="145"/>
  <c r="D309" i="145"/>
  <c r="C309" i="145"/>
  <c r="B309" i="145"/>
  <c r="N308" i="145"/>
  <c r="M308" i="145"/>
  <c r="L308" i="145"/>
  <c r="K308" i="145"/>
  <c r="J308" i="145"/>
  <c r="I308" i="145"/>
  <c r="H308" i="145"/>
  <c r="G308" i="145"/>
  <c r="F308" i="145"/>
  <c r="E308" i="145"/>
  <c r="D308" i="145"/>
  <c r="C308" i="145"/>
  <c r="B308" i="145"/>
  <c r="N307" i="145"/>
  <c r="M307" i="145"/>
  <c r="L307" i="145"/>
  <c r="K307" i="145"/>
  <c r="J307" i="145"/>
  <c r="I307" i="145"/>
  <c r="H307" i="145"/>
  <c r="G307" i="145"/>
  <c r="F307" i="145"/>
  <c r="E307" i="145"/>
  <c r="D307" i="145"/>
  <c r="C307" i="145"/>
  <c r="B307" i="145"/>
  <c r="N306" i="145"/>
  <c r="M306" i="145"/>
  <c r="L306" i="145"/>
  <c r="K306" i="145"/>
  <c r="J306" i="145"/>
  <c r="I306" i="145"/>
  <c r="H306" i="145"/>
  <c r="G306" i="145"/>
  <c r="F306" i="145"/>
  <c r="E306" i="145"/>
  <c r="D306" i="145"/>
  <c r="C306" i="145"/>
  <c r="B306" i="145"/>
  <c r="N305" i="145"/>
  <c r="M305" i="145"/>
  <c r="L305" i="145"/>
  <c r="K305" i="145"/>
  <c r="J305" i="145"/>
  <c r="I305" i="145"/>
  <c r="H305" i="145"/>
  <c r="G305" i="145"/>
  <c r="F305" i="145"/>
  <c r="E305" i="145"/>
  <c r="D305" i="145"/>
  <c r="C305" i="145"/>
  <c r="B305" i="145"/>
  <c r="N304" i="145"/>
  <c r="M304" i="145"/>
  <c r="L304" i="145"/>
  <c r="K304" i="145"/>
  <c r="J304" i="145"/>
  <c r="I304" i="145"/>
  <c r="H304" i="145"/>
  <c r="G304" i="145"/>
  <c r="F304" i="145"/>
  <c r="E304" i="145"/>
  <c r="D304" i="145"/>
  <c r="C304" i="145"/>
  <c r="B304" i="145"/>
  <c r="N303" i="145"/>
  <c r="M303" i="145"/>
  <c r="L303" i="145"/>
  <c r="K303" i="145"/>
  <c r="J303" i="145"/>
  <c r="I303" i="145"/>
  <c r="H303" i="145"/>
  <c r="G303" i="145"/>
  <c r="F303" i="145"/>
  <c r="E303" i="145"/>
  <c r="D303" i="145"/>
  <c r="C303" i="145"/>
  <c r="B303" i="145"/>
  <c r="N302" i="145"/>
  <c r="M302" i="145"/>
  <c r="L302" i="145"/>
  <c r="K302" i="145"/>
  <c r="J302" i="145"/>
  <c r="I302" i="145"/>
  <c r="H302" i="145"/>
  <c r="G302" i="145"/>
  <c r="F302" i="145"/>
  <c r="E302" i="145"/>
  <c r="D302" i="145"/>
  <c r="C302" i="145"/>
  <c r="B302" i="145"/>
  <c r="N296" i="145"/>
  <c r="M296" i="145"/>
  <c r="L296" i="145"/>
  <c r="K296" i="145"/>
  <c r="J296" i="145"/>
  <c r="I296" i="145"/>
  <c r="H296" i="145"/>
  <c r="G296" i="145"/>
  <c r="F296" i="145"/>
  <c r="E296" i="145"/>
  <c r="D296" i="145"/>
  <c r="C296" i="145"/>
  <c r="N294" i="145"/>
  <c r="M294" i="145"/>
  <c r="L294" i="145"/>
  <c r="K294" i="145"/>
  <c r="J294" i="145"/>
  <c r="I294" i="145"/>
  <c r="H294" i="145"/>
  <c r="G294" i="145"/>
  <c r="F294" i="145"/>
  <c r="E294" i="145"/>
  <c r="D294" i="145"/>
  <c r="C294" i="145"/>
  <c r="N293" i="145"/>
  <c r="M293" i="145"/>
  <c r="L293" i="145"/>
  <c r="K293" i="145"/>
  <c r="J293" i="145"/>
  <c r="I293" i="145"/>
  <c r="H293" i="145"/>
  <c r="G293" i="145"/>
  <c r="F293" i="145"/>
  <c r="E293" i="145"/>
  <c r="D293" i="145"/>
  <c r="C293" i="145"/>
  <c r="L290" i="145"/>
  <c r="K290" i="145"/>
  <c r="J290" i="145"/>
  <c r="I290" i="145"/>
  <c r="H290" i="145"/>
  <c r="G290" i="145"/>
  <c r="F290" i="145"/>
  <c r="E290" i="145"/>
  <c r="D290" i="145"/>
  <c r="C290" i="145"/>
  <c r="L289" i="145"/>
  <c r="K289" i="145"/>
  <c r="J289" i="145"/>
  <c r="I289" i="145"/>
  <c r="H289" i="145"/>
  <c r="G289" i="145"/>
  <c r="F289" i="145"/>
  <c r="E289" i="145"/>
  <c r="D289" i="145"/>
  <c r="C289" i="145"/>
  <c r="N283" i="145"/>
  <c r="M283" i="145"/>
  <c r="L283" i="145"/>
  <c r="K283" i="145"/>
  <c r="J283" i="145"/>
  <c r="I283" i="145"/>
  <c r="H283" i="145"/>
  <c r="G283" i="145"/>
  <c r="F283" i="145"/>
  <c r="E283" i="145"/>
  <c r="D283" i="145"/>
  <c r="C283" i="145"/>
  <c r="A283" i="145"/>
  <c r="N282" i="145"/>
  <c r="M282" i="145"/>
  <c r="L282" i="145"/>
  <c r="K282" i="145"/>
  <c r="J282" i="145"/>
  <c r="I282" i="145"/>
  <c r="H282" i="145"/>
  <c r="G282" i="145"/>
  <c r="F282" i="145"/>
  <c r="E282" i="145"/>
  <c r="D282" i="145"/>
  <c r="C282" i="145"/>
  <c r="N281" i="145"/>
  <c r="M281" i="145"/>
  <c r="L281" i="145"/>
  <c r="K281" i="145"/>
  <c r="J281" i="145"/>
  <c r="I281" i="145"/>
  <c r="H281" i="145"/>
  <c r="G281" i="145"/>
  <c r="F281" i="145"/>
  <c r="E281" i="145"/>
  <c r="D281" i="145"/>
  <c r="C281" i="145"/>
  <c r="N280" i="145"/>
  <c r="M280" i="145"/>
  <c r="L280" i="145"/>
  <c r="K280" i="145"/>
  <c r="J280" i="145"/>
  <c r="I280" i="145"/>
  <c r="H280" i="145"/>
  <c r="G280" i="145"/>
  <c r="F280" i="145"/>
  <c r="E280" i="145"/>
  <c r="D280" i="145"/>
  <c r="C280" i="145"/>
  <c r="N279" i="145"/>
  <c r="M279" i="145"/>
  <c r="L279" i="145"/>
  <c r="K279" i="145"/>
  <c r="J279" i="145"/>
  <c r="I279" i="145"/>
  <c r="H279" i="145"/>
  <c r="G279" i="145"/>
  <c r="F279" i="145"/>
  <c r="E279" i="145"/>
  <c r="D279" i="145"/>
  <c r="C279" i="145"/>
  <c r="N278" i="145"/>
  <c r="M278" i="145"/>
  <c r="L278" i="145"/>
  <c r="K278" i="145"/>
  <c r="J278" i="145"/>
  <c r="I278" i="145"/>
  <c r="H278" i="145"/>
  <c r="G278" i="145"/>
  <c r="F278" i="145"/>
  <c r="E278" i="145"/>
  <c r="D278" i="145"/>
  <c r="C278" i="145"/>
  <c r="N274" i="145"/>
  <c r="M274" i="145"/>
  <c r="L274" i="145"/>
  <c r="K274" i="145"/>
  <c r="J274" i="145"/>
  <c r="I274" i="145"/>
  <c r="H274" i="145"/>
  <c r="G274" i="145"/>
  <c r="F274" i="145"/>
  <c r="E274" i="145"/>
  <c r="D274" i="145"/>
  <c r="C274" i="145"/>
  <c r="A274" i="145"/>
  <c r="N273" i="145"/>
  <c r="M273" i="145"/>
  <c r="L273" i="145"/>
  <c r="K273" i="145"/>
  <c r="J273" i="145"/>
  <c r="I273" i="145"/>
  <c r="H273" i="145"/>
  <c r="G273" i="145"/>
  <c r="F273" i="145"/>
  <c r="E273" i="145"/>
  <c r="D273" i="145"/>
  <c r="C273" i="145"/>
  <c r="B273" i="145"/>
  <c r="N272" i="145"/>
  <c r="M272" i="145"/>
  <c r="L272" i="145"/>
  <c r="K272" i="145"/>
  <c r="J272" i="145"/>
  <c r="I272" i="145"/>
  <c r="H272" i="145"/>
  <c r="G272" i="145"/>
  <c r="F272" i="145"/>
  <c r="E272" i="145"/>
  <c r="D272" i="145"/>
  <c r="C272" i="145"/>
  <c r="B272" i="145"/>
  <c r="N271" i="145"/>
  <c r="M271" i="145"/>
  <c r="L271" i="145"/>
  <c r="K271" i="145"/>
  <c r="J271" i="145"/>
  <c r="I271" i="145"/>
  <c r="H271" i="145"/>
  <c r="G271" i="145"/>
  <c r="F271" i="145"/>
  <c r="E271" i="145"/>
  <c r="D271" i="145"/>
  <c r="C271" i="145"/>
  <c r="B271" i="145"/>
  <c r="N270" i="145"/>
  <c r="M270" i="145"/>
  <c r="L270" i="145"/>
  <c r="K270" i="145"/>
  <c r="J270" i="145"/>
  <c r="I270" i="145"/>
  <c r="H270" i="145"/>
  <c r="G270" i="145"/>
  <c r="F270" i="145"/>
  <c r="E270" i="145"/>
  <c r="D270" i="145"/>
  <c r="C270" i="145"/>
  <c r="B270" i="145"/>
  <c r="N269" i="145"/>
  <c r="M269" i="145"/>
  <c r="L269" i="145"/>
  <c r="K269" i="145"/>
  <c r="J269" i="145"/>
  <c r="I269" i="145"/>
  <c r="H269" i="145"/>
  <c r="G269" i="145"/>
  <c r="F269" i="145"/>
  <c r="E269" i="145"/>
  <c r="D269" i="145"/>
  <c r="C269" i="145"/>
  <c r="B269" i="145"/>
  <c r="N268" i="145"/>
  <c r="M268" i="145"/>
  <c r="L268" i="145"/>
  <c r="K268" i="145"/>
  <c r="J268" i="145"/>
  <c r="I268" i="145"/>
  <c r="H268" i="145"/>
  <c r="G268" i="145"/>
  <c r="F268" i="145"/>
  <c r="E268" i="145"/>
  <c r="D268" i="145"/>
  <c r="C268" i="145"/>
  <c r="B268" i="145"/>
  <c r="N267" i="145"/>
  <c r="M267" i="145"/>
  <c r="L267" i="145"/>
  <c r="K267" i="145"/>
  <c r="J267" i="145"/>
  <c r="I267" i="145"/>
  <c r="H267" i="145"/>
  <c r="G267" i="145"/>
  <c r="F267" i="145"/>
  <c r="E267" i="145"/>
  <c r="D267" i="145"/>
  <c r="C267" i="145"/>
  <c r="B267" i="145"/>
  <c r="N266" i="145"/>
  <c r="M266" i="145"/>
  <c r="L266" i="145"/>
  <c r="K266" i="145"/>
  <c r="J266" i="145"/>
  <c r="I266" i="145"/>
  <c r="H266" i="145"/>
  <c r="G266" i="145"/>
  <c r="F266" i="145"/>
  <c r="E266" i="145"/>
  <c r="D266" i="145"/>
  <c r="C266" i="145"/>
  <c r="B266" i="145"/>
  <c r="N265" i="145"/>
  <c r="M265" i="145"/>
  <c r="L265" i="145"/>
  <c r="K265" i="145"/>
  <c r="J265" i="145"/>
  <c r="I265" i="145"/>
  <c r="H265" i="145"/>
  <c r="G265" i="145"/>
  <c r="F265" i="145"/>
  <c r="E265" i="145"/>
  <c r="D265" i="145"/>
  <c r="C265" i="145"/>
  <c r="B265" i="145"/>
  <c r="N264" i="145"/>
  <c r="M264" i="145"/>
  <c r="L264" i="145"/>
  <c r="K264" i="145"/>
  <c r="J264" i="145"/>
  <c r="I264" i="145"/>
  <c r="H264" i="145"/>
  <c r="G264" i="145"/>
  <c r="F264" i="145"/>
  <c r="E264" i="145"/>
  <c r="D264" i="145"/>
  <c r="C264" i="145"/>
  <c r="B264" i="145"/>
  <c r="N263" i="145"/>
  <c r="M263" i="145"/>
  <c r="L263" i="145"/>
  <c r="K263" i="145"/>
  <c r="J263" i="145"/>
  <c r="I263" i="145"/>
  <c r="H263" i="145"/>
  <c r="G263" i="145"/>
  <c r="F263" i="145"/>
  <c r="E263" i="145"/>
  <c r="D263" i="145"/>
  <c r="C263" i="145"/>
  <c r="B263" i="145"/>
  <c r="N262" i="145"/>
  <c r="M262" i="145"/>
  <c r="L262" i="145"/>
  <c r="K262" i="145"/>
  <c r="J262" i="145"/>
  <c r="I262" i="145"/>
  <c r="H262" i="145"/>
  <c r="G262" i="145"/>
  <c r="F262" i="145"/>
  <c r="E262" i="145"/>
  <c r="D262" i="145"/>
  <c r="C262" i="145"/>
  <c r="B262" i="145"/>
  <c r="N258" i="145"/>
  <c r="M258" i="145"/>
  <c r="L258" i="145"/>
  <c r="K258" i="145"/>
  <c r="J258" i="145"/>
  <c r="I258" i="145"/>
  <c r="H258" i="145"/>
  <c r="G258" i="145"/>
  <c r="F258" i="145"/>
  <c r="E258" i="145"/>
  <c r="D258" i="145"/>
  <c r="C258" i="145"/>
  <c r="A258" i="145"/>
  <c r="N257" i="145"/>
  <c r="M257" i="145"/>
  <c r="L257" i="145"/>
  <c r="K257" i="145"/>
  <c r="J257" i="145"/>
  <c r="I257" i="145"/>
  <c r="H257" i="145"/>
  <c r="G257" i="145"/>
  <c r="F257" i="145"/>
  <c r="E257" i="145"/>
  <c r="D257" i="145"/>
  <c r="C257" i="145"/>
  <c r="B257" i="145"/>
  <c r="N256" i="145"/>
  <c r="M256" i="145"/>
  <c r="L256" i="145"/>
  <c r="K256" i="145"/>
  <c r="J256" i="145"/>
  <c r="I256" i="145"/>
  <c r="H256" i="145"/>
  <c r="G256" i="145"/>
  <c r="F256" i="145"/>
  <c r="E256" i="145"/>
  <c r="D256" i="145"/>
  <c r="C256" i="145"/>
  <c r="B256" i="145"/>
  <c r="N255" i="145"/>
  <c r="M255" i="145"/>
  <c r="L255" i="145"/>
  <c r="K255" i="145"/>
  <c r="J255" i="145"/>
  <c r="I255" i="145"/>
  <c r="H255" i="145"/>
  <c r="G255" i="145"/>
  <c r="F255" i="145"/>
  <c r="E255" i="145"/>
  <c r="D255" i="145"/>
  <c r="C255" i="145"/>
  <c r="B255" i="145"/>
  <c r="N254" i="145"/>
  <c r="M254" i="145"/>
  <c r="L254" i="145"/>
  <c r="K254" i="145"/>
  <c r="J254" i="145"/>
  <c r="I254" i="145"/>
  <c r="H254" i="145"/>
  <c r="G254" i="145"/>
  <c r="F254" i="145"/>
  <c r="E254" i="145"/>
  <c r="D254" i="145"/>
  <c r="C254" i="145"/>
  <c r="B254" i="145"/>
  <c r="N253" i="145"/>
  <c r="M253" i="145"/>
  <c r="L253" i="145"/>
  <c r="K253" i="145"/>
  <c r="J253" i="145"/>
  <c r="I253" i="145"/>
  <c r="H253" i="145"/>
  <c r="G253" i="145"/>
  <c r="F253" i="145"/>
  <c r="E253" i="145"/>
  <c r="D253" i="145"/>
  <c r="C253" i="145"/>
  <c r="B253" i="145"/>
  <c r="N252" i="145"/>
  <c r="M252" i="145"/>
  <c r="L252" i="145"/>
  <c r="K252" i="145"/>
  <c r="J252" i="145"/>
  <c r="I252" i="145"/>
  <c r="H252" i="145"/>
  <c r="G252" i="145"/>
  <c r="F252" i="145"/>
  <c r="E252" i="145"/>
  <c r="D252" i="145"/>
  <c r="C252" i="145"/>
  <c r="B252" i="145"/>
  <c r="N251" i="145"/>
  <c r="M251" i="145"/>
  <c r="L251" i="145"/>
  <c r="K251" i="145"/>
  <c r="J251" i="145"/>
  <c r="I251" i="145"/>
  <c r="H251" i="145"/>
  <c r="G251" i="145"/>
  <c r="F251" i="145"/>
  <c r="E251" i="145"/>
  <c r="D251" i="145"/>
  <c r="C251" i="145"/>
  <c r="B251" i="145"/>
  <c r="N250" i="145"/>
  <c r="M250" i="145"/>
  <c r="L250" i="145"/>
  <c r="K250" i="145"/>
  <c r="J250" i="145"/>
  <c r="I250" i="145"/>
  <c r="H250" i="145"/>
  <c r="G250" i="145"/>
  <c r="F250" i="145"/>
  <c r="E250" i="145"/>
  <c r="D250" i="145"/>
  <c r="C250" i="145"/>
  <c r="B250" i="145"/>
  <c r="N249" i="145"/>
  <c r="M249" i="145"/>
  <c r="L249" i="145"/>
  <c r="K249" i="145"/>
  <c r="J249" i="145"/>
  <c r="I249" i="145"/>
  <c r="H249" i="145"/>
  <c r="G249" i="145"/>
  <c r="F249" i="145"/>
  <c r="E249" i="145"/>
  <c r="D249" i="145"/>
  <c r="C249" i="145"/>
  <c r="B249" i="145"/>
  <c r="N248" i="145"/>
  <c r="M248" i="145"/>
  <c r="L248" i="145"/>
  <c r="K248" i="145"/>
  <c r="J248" i="145"/>
  <c r="I248" i="145"/>
  <c r="H248" i="145"/>
  <c r="G248" i="145"/>
  <c r="F248" i="145"/>
  <c r="E248" i="145"/>
  <c r="D248" i="145"/>
  <c r="C248" i="145"/>
  <c r="B248" i="145"/>
  <c r="N247" i="145"/>
  <c r="M247" i="145"/>
  <c r="L247" i="145"/>
  <c r="K247" i="145"/>
  <c r="J247" i="145"/>
  <c r="I247" i="145"/>
  <c r="H247" i="145"/>
  <c r="G247" i="145"/>
  <c r="F247" i="145"/>
  <c r="E247" i="145"/>
  <c r="D247" i="145"/>
  <c r="C247" i="145"/>
  <c r="B247" i="145"/>
  <c r="N246" i="145"/>
  <c r="M246" i="145"/>
  <c r="L246" i="145"/>
  <c r="K246" i="145"/>
  <c r="J246" i="145"/>
  <c r="I246" i="145"/>
  <c r="H246" i="145"/>
  <c r="G246" i="145"/>
  <c r="F246" i="145"/>
  <c r="E246" i="145"/>
  <c r="D246" i="145"/>
  <c r="C246" i="145"/>
  <c r="B246" i="145"/>
  <c r="N240" i="145"/>
  <c r="M240" i="145"/>
  <c r="L240" i="145"/>
  <c r="K240" i="145"/>
  <c r="J240" i="145"/>
  <c r="I240" i="145"/>
  <c r="H240" i="145"/>
  <c r="G240" i="145"/>
  <c r="F240" i="145"/>
  <c r="E240" i="145"/>
  <c r="D240" i="145"/>
  <c r="C240" i="145"/>
  <c r="A240" i="145"/>
  <c r="N239" i="145"/>
  <c r="M239" i="145"/>
  <c r="L239" i="145"/>
  <c r="K239" i="145"/>
  <c r="J239" i="145"/>
  <c r="I239" i="145"/>
  <c r="H239" i="145"/>
  <c r="G239" i="145"/>
  <c r="F239" i="145"/>
  <c r="E239" i="145"/>
  <c r="D239" i="145"/>
  <c r="C239" i="145"/>
  <c r="B239" i="145"/>
  <c r="N238" i="145"/>
  <c r="M238" i="145"/>
  <c r="L238" i="145"/>
  <c r="K238" i="145"/>
  <c r="J238" i="145"/>
  <c r="I238" i="145"/>
  <c r="H238" i="145"/>
  <c r="G238" i="145"/>
  <c r="F238" i="145"/>
  <c r="E238" i="145"/>
  <c r="D238" i="145"/>
  <c r="C238" i="145"/>
  <c r="B238" i="145"/>
  <c r="N237" i="145"/>
  <c r="M237" i="145"/>
  <c r="L237" i="145"/>
  <c r="K237" i="145"/>
  <c r="J237" i="145"/>
  <c r="I237" i="145"/>
  <c r="H237" i="145"/>
  <c r="G237" i="145"/>
  <c r="F237" i="145"/>
  <c r="E237" i="145"/>
  <c r="D237" i="145"/>
  <c r="C237" i="145"/>
  <c r="B237" i="145"/>
  <c r="N236" i="145"/>
  <c r="M236" i="145"/>
  <c r="L236" i="145"/>
  <c r="K236" i="145"/>
  <c r="J236" i="145"/>
  <c r="I236" i="145"/>
  <c r="H236" i="145"/>
  <c r="G236" i="145"/>
  <c r="F236" i="145"/>
  <c r="E236" i="145"/>
  <c r="D236" i="145"/>
  <c r="C236" i="145"/>
  <c r="B236" i="145"/>
  <c r="N235" i="145"/>
  <c r="M235" i="145"/>
  <c r="L235" i="145"/>
  <c r="K235" i="145"/>
  <c r="J235" i="145"/>
  <c r="I235" i="145"/>
  <c r="H235" i="145"/>
  <c r="G235" i="145"/>
  <c r="F235" i="145"/>
  <c r="E235" i="145"/>
  <c r="D235" i="145"/>
  <c r="C235" i="145"/>
  <c r="B235" i="145"/>
  <c r="N234" i="145"/>
  <c r="M234" i="145"/>
  <c r="L234" i="145"/>
  <c r="K234" i="145"/>
  <c r="J234" i="145"/>
  <c r="I234" i="145"/>
  <c r="H234" i="145"/>
  <c r="G234" i="145"/>
  <c r="F234" i="145"/>
  <c r="E234" i="145"/>
  <c r="D234" i="145"/>
  <c r="C234" i="145"/>
  <c r="B234" i="145"/>
  <c r="N233" i="145"/>
  <c r="M233" i="145"/>
  <c r="L233" i="145"/>
  <c r="K233" i="145"/>
  <c r="J233" i="145"/>
  <c r="I233" i="145"/>
  <c r="H233" i="145"/>
  <c r="G233" i="145"/>
  <c r="F233" i="145"/>
  <c r="E233" i="145"/>
  <c r="D233" i="145"/>
  <c r="C233" i="145"/>
  <c r="B233" i="145"/>
  <c r="N232" i="145"/>
  <c r="M232" i="145"/>
  <c r="L232" i="145"/>
  <c r="K232" i="145"/>
  <c r="J232" i="145"/>
  <c r="I232" i="145"/>
  <c r="H232" i="145"/>
  <c r="G232" i="145"/>
  <c r="F232" i="145"/>
  <c r="E232" i="145"/>
  <c r="D232" i="145"/>
  <c r="C232" i="145"/>
  <c r="B232" i="145"/>
  <c r="N231" i="145"/>
  <c r="M231" i="145"/>
  <c r="L231" i="145"/>
  <c r="K231" i="145"/>
  <c r="J231" i="145"/>
  <c r="I231" i="145"/>
  <c r="H231" i="145"/>
  <c r="G231" i="145"/>
  <c r="F231" i="145"/>
  <c r="E231" i="145"/>
  <c r="D231" i="145"/>
  <c r="C231" i="145"/>
  <c r="B231" i="145"/>
  <c r="N230" i="145"/>
  <c r="M230" i="145"/>
  <c r="L230" i="145"/>
  <c r="K230" i="145"/>
  <c r="J230" i="145"/>
  <c r="I230" i="145"/>
  <c r="H230" i="145"/>
  <c r="G230" i="145"/>
  <c r="F230" i="145"/>
  <c r="E230" i="145"/>
  <c r="D230" i="145"/>
  <c r="C230" i="145"/>
  <c r="B230" i="145"/>
  <c r="N229" i="145"/>
  <c r="M229" i="145"/>
  <c r="L229" i="145"/>
  <c r="K229" i="145"/>
  <c r="J229" i="145"/>
  <c r="I229" i="145"/>
  <c r="H229" i="145"/>
  <c r="G229" i="145"/>
  <c r="F229" i="145"/>
  <c r="E229" i="145"/>
  <c r="D229" i="145"/>
  <c r="C229" i="145"/>
  <c r="B229" i="145"/>
  <c r="N228" i="145"/>
  <c r="M228" i="145"/>
  <c r="L228" i="145"/>
  <c r="K228" i="145"/>
  <c r="J228" i="145"/>
  <c r="I228" i="145"/>
  <c r="H228" i="145"/>
  <c r="G228" i="145"/>
  <c r="F228" i="145"/>
  <c r="E228" i="145"/>
  <c r="D228" i="145"/>
  <c r="C228" i="145"/>
  <c r="B228" i="145"/>
  <c r="N224" i="145"/>
  <c r="M224" i="145"/>
  <c r="L224" i="145"/>
  <c r="K224" i="145"/>
  <c r="J224" i="145"/>
  <c r="I224" i="145"/>
  <c r="H224" i="145"/>
  <c r="G224" i="145"/>
  <c r="F224" i="145"/>
  <c r="E224" i="145"/>
  <c r="D224" i="145"/>
  <c r="C224" i="145"/>
  <c r="A224" i="145"/>
  <c r="N223" i="145"/>
  <c r="M223" i="145"/>
  <c r="L223" i="145"/>
  <c r="K223" i="145"/>
  <c r="J223" i="145"/>
  <c r="I223" i="145"/>
  <c r="H223" i="145"/>
  <c r="G223" i="145"/>
  <c r="F223" i="145"/>
  <c r="E223" i="145"/>
  <c r="D223" i="145"/>
  <c r="C223" i="145"/>
  <c r="B223" i="145"/>
  <c r="N222" i="145"/>
  <c r="M222" i="145"/>
  <c r="L222" i="145"/>
  <c r="K222" i="145"/>
  <c r="J222" i="145"/>
  <c r="I222" i="145"/>
  <c r="H222" i="145"/>
  <c r="G222" i="145"/>
  <c r="F222" i="145"/>
  <c r="E222" i="145"/>
  <c r="D222" i="145"/>
  <c r="C222" i="145"/>
  <c r="B222" i="145"/>
  <c r="N221" i="145"/>
  <c r="M221" i="145"/>
  <c r="L221" i="145"/>
  <c r="K221" i="145"/>
  <c r="J221" i="145"/>
  <c r="I221" i="145"/>
  <c r="H221" i="145"/>
  <c r="G221" i="145"/>
  <c r="F221" i="145"/>
  <c r="E221" i="145"/>
  <c r="D221" i="145"/>
  <c r="C221" i="145"/>
  <c r="B221" i="145"/>
  <c r="N220" i="145"/>
  <c r="M220" i="145"/>
  <c r="L220" i="145"/>
  <c r="K220" i="145"/>
  <c r="J220" i="145"/>
  <c r="I220" i="145"/>
  <c r="H220" i="145"/>
  <c r="G220" i="145"/>
  <c r="F220" i="145"/>
  <c r="E220" i="145"/>
  <c r="D220" i="145"/>
  <c r="C220" i="145"/>
  <c r="B220" i="145"/>
  <c r="N219" i="145"/>
  <c r="M219" i="145"/>
  <c r="L219" i="145"/>
  <c r="K219" i="145"/>
  <c r="J219" i="145"/>
  <c r="I219" i="145"/>
  <c r="H219" i="145"/>
  <c r="G219" i="145"/>
  <c r="F219" i="145"/>
  <c r="E219" i="145"/>
  <c r="D219" i="145"/>
  <c r="C219" i="145"/>
  <c r="B219" i="145"/>
  <c r="N218" i="145"/>
  <c r="M218" i="145"/>
  <c r="L218" i="145"/>
  <c r="K218" i="145"/>
  <c r="J218" i="145"/>
  <c r="I218" i="145"/>
  <c r="H218" i="145"/>
  <c r="G218" i="145"/>
  <c r="F218" i="145"/>
  <c r="E218" i="145"/>
  <c r="D218" i="145"/>
  <c r="C218" i="145"/>
  <c r="B218" i="145"/>
  <c r="N217" i="145"/>
  <c r="M217" i="145"/>
  <c r="L217" i="145"/>
  <c r="K217" i="145"/>
  <c r="J217" i="145"/>
  <c r="I217" i="145"/>
  <c r="H217" i="145"/>
  <c r="G217" i="145"/>
  <c r="F217" i="145"/>
  <c r="E217" i="145"/>
  <c r="D217" i="145"/>
  <c r="C217" i="145"/>
  <c r="B217" i="145"/>
  <c r="N216" i="145"/>
  <c r="M216" i="145"/>
  <c r="L216" i="145"/>
  <c r="K216" i="145"/>
  <c r="J216" i="145"/>
  <c r="I216" i="145"/>
  <c r="H216" i="145"/>
  <c r="G216" i="145"/>
  <c r="F216" i="145"/>
  <c r="E216" i="145"/>
  <c r="D216" i="145"/>
  <c r="C216" i="145"/>
  <c r="B216" i="145"/>
  <c r="N215" i="145"/>
  <c r="M215" i="145"/>
  <c r="L215" i="145"/>
  <c r="K215" i="145"/>
  <c r="J215" i="145"/>
  <c r="I215" i="145"/>
  <c r="H215" i="145"/>
  <c r="G215" i="145"/>
  <c r="F215" i="145"/>
  <c r="E215" i="145"/>
  <c r="D215" i="145"/>
  <c r="C215" i="145"/>
  <c r="B215" i="145"/>
  <c r="N214" i="145"/>
  <c r="M214" i="145"/>
  <c r="L214" i="145"/>
  <c r="K214" i="145"/>
  <c r="J214" i="145"/>
  <c r="I214" i="145"/>
  <c r="H214" i="145"/>
  <c r="G214" i="145"/>
  <c r="F214" i="145"/>
  <c r="E214" i="145"/>
  <c r="D214" i="145"/>
  <c r="C214" i="145"/>
  <c r="B214" i="145"/>
  <c r="N213" i="145"/>
  <c r="M213" i="145"/>
  <c r="L213" i="145"/>
  <c r="K213" i="145"/>
  <c r="J213" i="145"/>
  <c r="I213" i="145"/>
  <c r="H213" i="145"/>
  <c r="G213" i="145"/>
  <c r="F213" i="145"/>
  <c r="E213" i="145"/>
  <c r="D213" i="145"/>
  <c r="C213" i="145"/>
  <c r="B213" i="145"/>
  <c r="N212" i="145"/>
  <c r="M212" i="145"/>
  <c r="L212" i="145"/>
  <c r="K212" i="145"/>
  <c r="J212" i="145"/>
  <c r="I212" i="145"/>
  <c r="H212" i="145"/>
  <c r="G212" i="145"/>
  <c r="F212" i="145"/>
  <c r="E212" i="145"/>
  <c r="D212" i="145"/>
  <c r="C212" i="145"/>
  <c r="B212" i="145"/>
  <c r="N206" i="145"/>
  <c r="M206" i="145"/>
  <c r="L206" i="145"/>
  <c r="K206" i="145"/>
  <c r="J206" i="145"/>
  <c r="I206" i="145"/>
  <c r="H206" i="145"/>
  <c r="G206" i="145"/>
  <c r="F206" i="145"/>
  <c r="E206" i="145"/>
  <c r="D206" i="145"/>
  <c r="C206" i="145"/>
  <c r="A206" i="145"/>
  <c r="N205" i="145"/>
  <c r="M205" i="145"/>
  <c r="L205" i="145"/>
  <c r="K205" i="145"/>
  <c r="J205" i="145"/>
  <c r="I205" i="145"/>
  <c r="H205" i="145"/>
  <c r="G205" i="145"/>
  <c r="F205" i="145"/>
  <c r="E205" i="145"/>
  <c r="D205" i="145"/>
  <c r="C205" i="145"/>
  <c r="B205" i="145"/>
  <c r="N204" i="145"/>
  <c r="M204" i="145"/>
  <c r="L204" i="145"/>
  <c r="K204" i="145"/>
  <c r="J204" i="145"/>
  <c r="I204" i="145"/>
  <c r="H204" i="145"/>
  <c r="G204" i="145"/>
  <c r="F204" i="145"/>
  <c r="E204" i="145"/>
  <c r="D204" i="145"/>
  <c r="C204" i="145"/>
  <c r="B204" i="145"/>
  <c r="N203" i="145"/>
  <c r="M203" i="145"/>
  <c r="L203" i="145"/>
  <c r="K203" i="145"/>
  <c r="J203" i="145"/>
  <c r="I203" i="145"/>
  <c r="H203" i="145"/>
  <c r="G203" i="145"/>
  <c r="F203" i="145"/>
  <c r="E203" i="145"/>
  <c r="D203" i="145"/>
  <c r="C203" i="145"/>
  <c r="B203" i="145"/>
  <c r="N202" i="145"/>
  <c r="M202" i="145"/>
  <c r="L202" i="145"/>
  <c r="K202" i="145"/>
  <c r="J202" i="145"/>
  <c r="I202" i="145"/>
  <c r="H202" i="145"/>
  <c r="G202" i="145"/>
  <c r="F202" i="145"/>
  <c r="E202" i="145"/>
  <c r="D202" i="145"/>
  <c r="C202" i="145"/>
  <c r="B202" i="145"/>
  <c r="N201" i="145"/>
  <c r="M201" i="145"/>
  <c r="L201" i="145"/>
  <c r="K201" i="145"/>
  <c r="J201" i="145"/>
  <c r="I201" i="145"/>
  <c r="H201" i="145"/>
  <c r="G201" i="145"/>
  <c r="F201" i="145"/>
  <c r="E201" i="145"/>
  <c r="D201" i="145"/>
  <c r="C201" i="145"/>
  <c r="B201" i="145"/>
  <c r="N200" i="145"/>
  <c r="M200" i="145"/>
  <c r="L200" i="145"/>
  <c r="K200" i="145"/>
  <c r="J200" i="145"/>
  <c r="I200" i="145"/>
  <c r="H200" i="145"/>
  <c r="G200" i="145"/>
  <c r="F200" i="145"/>
  <c r="E200" i="145"/>
  <c r="D200" i="145"/>
  <c r="C200" i="145"/>
  <c r="B200" i="145"/>
  <c r="N199" i="145"/>
  <c r="M199" i="145"/>
  <c r="L199" i="145"/>
  <c r="K199" i="145"/>
  <c r="J199" i="145"/>
  <c r="I199" i="145"/>
  <c r="H199" i="145"/>
  <c r="G199" i="145"/>
  <c r="F199" i="145"/>
  <c r="E199" i="145"/>
  <c r="D199" i="145"/>
  <c r="C199" i="145"/>
  <c r="B199" i="145"/>
  <c r="N198" i="145"/>
  <c r="M198" i="145"/>
  <c r="L198" i="145"/>
  <c r="K198" i="145"/>
  <c r="J198" i="145"/>
  <c r="I198" i="145"/>
  <c r="H198" i="145"/>
  <c r="G198" i="145"/>
  <c r="F198" i="145"/>
  <c r="E198" i="145"/>
  <c r="D198" i="145"/>
  <c r="C198" i="145"/>
  <c r="B198" i="145"/>
  <c r="N197" i="145"/>
  <c r="M197" i="145"/>
  <c r="L197" i="145"/>
  <c r="K197" i="145"/>
  <c r="J197" i="145"/>
  <c r="I197" i="145"/>
  <c r="H197" i="145"/>
  <c r="G197" i="145"/>
  <c r="F197" i="145"/>
  <c r="E197" i="145"/>
  <c r="D197" i="145"/>
  <c r="C197" i="145"/>
  <c r="B197" i="145"/>
  <c r="N196" i="145"/>
  <c r="M196" i="145"/>
  <c r="L196" i="145"/>
  <c r="K196" i="145"/>
  <c r="J196" i="145"/>
  <c r="I196" i="145"/>
  <c r="H196" i="145"/>
  <c r="G196" i="145"/>
  <c r="F196" i="145"/>
  <c r="E196" i="145"/>
  <c r="D196" i="145"/>
  <c r="C196" i="145"/>
  <c r="B196" i="145"/>
  <c r="N195" i="145"/>
  <c r="M195" i="145"/>
  <c r="L195" i="145"/>
  <c r="K195" i="145"/>
  <c r="J195" i="145"/>
  <c r="I195" i="145"/>
  <c r="H195" i="145"/>
  <c r="G195" i="145"/>
  <c r="F195" i="145"/>
  <c r="E195" i="145"/>
  <c r="D195" i="145"/>
  <c r="C195" i="145"/>
  <c r="B195" i="145"/>
  <c r="N194" i="145"/>
  <c r="M194" i="145"/>
  <c r="L194" i="145"/>
  <c r="K194" i="145"/>
  <c r="J194" i="145"/>
  <c r="I194" i="145"/>
  <c r="H194" i="145"/>
  <c r="G194" i="145"/>
  <c r="F194" i="145"/>
  <c r="E194" i="145"/>
  <c r="D194" i="145"/>
  <c r="C194" i="145"/>
  <c r="B194" i="145"/>
  <c r="N190" i="145"/>
  <c r="M190" i="145"/>
  <c r="L190" i="145"/>
  <c r="K190" i="145"/>
  <c r="J190" i="145"/>
  <c r="I190" i="145"/>
  <c r="H190" i="145"/>
  <c r="G190" i="145"/>
  <c r="F190" i="145"/>
  <c r="E190" i="145"/>
  <c r="D190" i="145"/>
  <c r="C190" i="145"/>
  <c r="A190" i="145"/>
  <c r="N189" i="145"/>
  <c r="M189" i="145"/>
  <c r="L189" i="145"/>
  <c r="K189" i="145"/>
  <c r="J189" i="145"/>
  <c r="I189" i="145"/>
  <c r="H189" i="145"/>
  <c r="G189" i="145"/>
  <c r="F189" i="145"/>
  <c r="E189" i="145"/>
  <c r="D189" i="145"/>
  <c r="C189" i="145"/>
  <c r="B189" i="145"/>
  <c r="N188" i="145"/>
  <c r="M188" i="145"/>
  <c r="L188" i="145"/>
  <c r="K188" i="145"/>
  <c r="J188" i="145"/>
  <c r="I188" i="145"/>
  <c r="H188" i="145"/>
  <c r="G188" i="145"/>
  <c r="F188" i="145"/>
  <c r="E188" i="145"/>
  <c r="D188" i="145"/>
  <c r="C188" i="145"/>
  <c r="B188" i="145"/>
  <c r="N187" i="145"/>
  <c r="M187" i="145"/>
  <c r="L187" i="145"/>
  <c r="K187" i="145"/>
  <c r="J187" i="145"/>
  <c r="I187" i="145"/>
  <c r="H187" i="145"/>
  <c r="G187" i="145"/>
  <c r="F187" i="145"/>
  <c r="E187" i="145"/>
  <c r="D187" i="145"/>
  <c r="C187" i="145"/>
  <c r="B187" i="145"/>
  <c r="N186" i="145"/>
  <c r="M186" i="145"/>
  <c r="L186" i="145"/>
  <c r="K186" i="145"/>
  <c r="J186" i="145"/>
  <c r="I186" i="145"/>
  <c r="H186" i="145"/>
  <c r="G186" i="145"/>
  <c r="F186" i="145"/>
  <c r="E186" i="145"/>
  <c r="D186" i="145"/>
  <c r="C186" i="145"/>
  <c r="B186" i="145"/>
  <c r="N185" i="145"/>
  <c r="M185" i="145"/>
  <c r="L185" i="145"/>
  <c r="K185" i="145"/>
  <c r="J185" i="145"/>
  <c r="I185" i="145"/>
  <c r="H185" i="145"/>
  <c r="G185" i="145"/>
  <c r="F185" i="145"/>
  <c r="E185" i="145"/>
  <c r="D185" i="145"/>
  <c r="C185" i="145"/>
  <c r="B185" i="145"/>
  <c r="N184" i="145"/>
  <c r="M184" i="145"/>
  <c r="L184" i="145"/>
  <c r="K184" i="145"/>
  <c r="J184" i="145"/>
  <c r="I184" i="145"/>
  <c r="H184" i="145"/>
  <c r="G184" i="145"/>
  <c r="F184" i="145"/>
  <c r="E184" i="145"/>
  <c r="D184" i="145"/>
  <c r="C184" i="145"/>
  <c r="B184" i="145"/>
  <c r="N183" i="145"/>
  <c r="M183" i="145"/>
  <c r="L183" i="145"/>
  <c r="K183" i="145"/>
  <c r="J183" i="145"/>
  <c r="I183" i="145"/>
  <c r="H183" i="145"/>
  <c r="G183" i="145"/>
  <c r="F183" i="145"/>
  <c r="E183" i="145"/>
  <c r="D183" i="145"/>
  <c r="C183" i="145"/>
  <c r="B183" i="145"/>
  <c r="N182" i="145"/>
  <c r="M182" i="145"/>
  <c r="L182" i="145"/>
  <c r="K182" i="145"/>
  <c r="J182" i="145"/>
  <c r="I182" i="145"/>
  <c r="H182" i="145"/>
  <c r="G182" i="145"/>
  <c r="F182" i="145"/>
  <c r="E182" i="145"/>
  <c r="D182" i="145"/>
  <c r="C182" i="145"/>
  <c r="B182" i="145"/>
  <c r="N181" i="145"/>
  <c r="M181" i="145"/>
  <c r="L181" i="145"/>
  <c r="K181" i="145"/>
  <c r="J181" i="145"/>
  <c r="I181" i="145"/>
  <c r="H181" i="145"/>
  <c r="G181" i="145"/>
  <c r="F181" i="145"/>
  <c r="E181" i="145"/>
  <c r="D181" i="145"/>
  <c r="C181" i="145"/>
  <c r="B181" i="145"/>
  <c r="N180" i="145"/>
  <c r="M180" i="145"/>
  <c r="L180" i="145"/>
  <c r="K180" i="145"/>
  <c r="J180" i="145"/>
  <c r="I180" i="145"/>
  <c r="H180" i="145"/>
  <c r="G180" i="145"/>
  <c r="F180" i="145"/>
  <c r="E180" i="145"/>
  <c r="D180" i="145"/>
  <c r="C180" i="145"/>
  <c r="B180" i="145"/>
  <c r="N179" i="145"/>
  <c r="M179" i="145"/>
  <c r="L179" i="145"/>
  <c r="K179" i="145"/>
  <c r="J179" i="145"/>
  <c r="I179" i="145"/>
  <c r="H179" i="145"/>
  <c r="G179" i="145"/>
  <c r="F179" i="145"/>
  <c r="E179" i="145"/>
  <c r="D179" i="145"/>
  <c r="C179" i="145"/>
  <c r="B179" i="145"/>
  <c r="N178" i="145"/>
  <c r="M178" i="145"/>
  <c r="L178" i="145"/>
  <c r="K178" i="145"/>
  <c r="J178" i="145"/>
  <c r="I178" i="145"/>
  <c r="H178" i="145"/>
  <c r="G178" i="145"/>
  <c r="F178" i="145"/>
  <c r="E178" i="145"/>
  <c r="D178" i="145"/>
  <c r="C178" i="145"/>
  <c r="B178" i="145"/>
  <c r="N172" i="145"/>
  <c r="M172" i="145"/>
  <c r="L172" i="145"/>
  <c r="K172" i="145"/>
  <c r="J172" i="145"/>
  <c r="I172" i="145"/>
  <c r="H172" i="145"/>
  <c r="G172" i="145"/>
  <c r="F172" i="145"/>
  <c r="E172" i="145"/>
  <c r="D172" i="145"/>
  <c r="C172" i="145"/>
  <c r="A172" i="145"/>
  <c r="N171" i="145"/>
  <c r="M171" i="145"/>
  <c r="L171" i="145"/>
  <c r="K171" i="145"/>
  <c r="J171" i="145"/>
  <c r="I171" i="145"/>
  <c r="H171" i="145"/>
  <c r="G171" i="145"/>
  <c r="F171" i="145"/>
  <c r="E171" i="145"/>
  <c r="D171" i="145"/>
  <c r="C171" i="145"/>
  <c r="B171" i="145"/>
  <c r="N170" i="145"/>
  <c r="M170" i="145"/>
  <c r="L170" i="145"/>
  <c r="K170" i="145"/>
  <c r="J170" i="145"/>
  <c r="I170" i="145"/>
  <c r="H170" i="145"/>
  <c r="G170" i="145"/>
  <c r="F170" i="145"/>
  <c r="E170" i="145"/>
  <c r="D170" i="145"/>
  <c r="C170" i="145"/>
  <c r="B170" i="145"/>
  <c r="N169" i="145"/>
  <c r="M169" i="145"/>
  <c r="L169" i="145"/>
  <c r="K169" i="145"/>
  <c r="J169" i="145"/>
  <c r="I169" i="145"/>
  <c r="H169" i="145"/>
  <c r="G169" i="145"/>
  <c r="F169" i="145"/>
  <c r="E169" i="145"/>
  <c r="D169" i="145"/>
  <c r="C169" i="145"/>
  <c r="B169" i="145"/>
  <c r="N168" i="145"/>
  <c r="M168" i="145"/>
  <c r="L168" i="145"/>
  <c r="K168" i="145"/>
  <c r="J168" i="145"/>
  <c r="I168" i="145"/>
  <c r="H168" i="145"/>
  <c r="G168" i="145"/>
  <c r="F168" i="145"/>
  <c r="E168" i="145"/>
  <c r="D168" i="145"/>
  <c r="C168" i="145"/>
  <c r="B168" i="145"/>
  <c r="N167" i="145"/>
  <c r="M167" i="145"/>
  <c r="L167" i="145"/>
  <c r="K167" i="145"/>
  <c r="J167" i="145"/>
  <c r="I167" i="145"/>
  <c r="H167" i="145"/>
  <c r="G167" i="145"/>
  <c r="F167" i="145"/>
  <c r="E167" i="145"/>
  <c r="D167" i="145"/>
  <c r="C167" i="145"/>
  <c r="B167" i="145"/>
  <c r="N166" i="145"/>
  <c r="M166" i="145"/>
  <c r="L166" i="145"/>
  <c r="K166" i="145"/>
  <c r="J166" i="145"/>
  <c r="I166" i="145"/>
  <c r="H166" i="145"/>
  <c r="G166" i="145"/>
  <c r="F166" i="145"/>
  <c r="E166" i="145"/>
  <c r="D166" i="145"/>
  <c r="C166" i="145"/>
  <c r="B166" i="145"/>
  <c r="N165" i="145"/>
  <c r="M165" i="145"/>
  <c r="L165" i="145"/>
  <c r="K165" i="145"/>
  <c r="J165" i="145"/>
  <c r="I165" i="145"/>
  <c r="H165" i="145"/>
  <c r="G165" i="145"/>
  <c r="F165" i="145"/>
  <c r="E165" i="145"/>
  <c r="D165" i="145"/>
  <c r="C165" i="145"/>
  <c r="B165" i="145"/>
  <c r="N164" i="145"/>
  <c r="M164" i="145"/>
  <c r="L164" i="145"/>
  <c r="K164" i="145"/>
  <c r="J164" i="145"/>
  <c r="I164" i="145"/>
  <c r="H164" i="145"/>
  <c r="G164" i="145"/>
  <c r="F164" i="145"/>
  <c r="E164" i="145"/>
  <c r="D164" i="145"/>
  <c r="C164" i="145"/>
  <c r="B164" i="145"/>
  <c r="N163" i="145"/>
  <c r="M163" i="145"/>
  <c r="L163" i="145"/>
  <c r="K163" i="145"/>
  <c r="J163" i="145"/>
  <c r="I163" i="145"/>
  <c r="H163" i="145"/>
  <c r="G163" i="145"/>
  <c r="F163" i="145"/>
  <c r="E163" i="145"/>
  <c r="D163" i="145"/>
  <c r="C163" i="145"/>
  <c r="B163" i="145"/>
  <c r="N162" i="145"/>
  <c r="M162" i="145"/>
  <c r="L162" i="145"/>
  <c r="K162" i="145"/>
  <c r="J162" i="145"/>
  <c r="I162" i="145"/>
  <c r="H162" i="145"/>
  <c r="G162" i="145"/>
  <c r="F162" i="145"/>
  <c r="E162" i="145"/>
  <c r="D162" i="145"/>
  <c r="C162" i="145"/>
  <c r="B162" i="145"/>
  <c r="N161" i="145"/>
  <c r="M161" i="145"/>
  <c r="L161" i="145"/>
  <c r="K161" i="145"/>
  <c r="J161" i="145"/>
  <c r="I161" i="145"/>
  <c r="H161" i="145"/>
  <c r="G161" i="145"/>
  <c r="F161" i="145"/>
  <c r="E161" i="145"/>
  <c r="D161" i="145"/>
  <c r="C161" i="145"/>
  <c r="B161" i="145"/>
  <c r="N160" i="145"/>
  <c r="M160" i="145"/>
  <c r="L160" i="145"/>
  <c r="K160" i="145"/>
  <c r="J160" i="145"/>
  <c r="I160" i="145"/>
  <c r="H160" i="145"/>
  <c r="G160" i="145"/>
  <c r="F160" i="145"/>
  <c r="E160" i="145"/>
  <c r="D160" i="145"/>
  <c r="C160" i="145"/>
  <c r="B160" i="145"/>
  <c r="N156" i="145"/>
  <c r="M156" i="145"/>
  <c r="L156" i="145"/>
  <c r="K156" i="145"/>
  <c r="J156" i="145"/>
  <c r="I156" i="145"/>
  <c r="H156" i="145"/>
  <c r="G156" i="145"/>
  <c r="F156" i="145"/>
  <c r="E156" i="145"/>
  <c r="D156" i="145"/>
  <c r="C156" i="145"/>
  <c r="A156" i="145"/>
  <c r="N155" i="145"/>
  <c r="M155" i="145"/>
  <c r="L155" i="145"/>
  <c r="K155" i="145"/>
  <c r="J155" i="145"/>
  <c r="I155" i="145"/>
  <c r="H155" i="145"/>
  <c r="G155" i="145"/>
  <c r="F155" i="145"/>
  <c r="E155" i="145"/>
  <c r="D155" i="145"/>
  <c r="C155" i="145"/>
  <c r="B155" i="145"/>
  <c r="N154" i="145"/>
  <c r="M154" i="145"/>
  <c r="L154" i="145"/>
  <c r="K154" i="145"/>
  <c r="J154" i="145"/>
  <c r="I154" i="145"/>
  <c r="H154" i="145"/>
  <c r="G154" i="145"/>
  <c r="F154" i="145"/>
  <c r="E154" i="145"/>
  <c r="D154" i="145"/>
  <c r="C154" i="145"/>
  <c r="B154" i="145"/>
  <c r="N153" i="145"/>
  <c r="M153" i="145"/>
  <c r="L153" i="145"/>
  <c r="K153" i="145"/>
  <c r="J153" i="145"/>
  <c r="I153" i="145"/>
  <c r="H153" i="145"/>
  <c r="G153" i="145"/>
  <c r="F153" i="145"/>
  <c r="E153" i="145"/>
  <c r="D153" i="145"/>
  <c r="C153" i="145"/>
  <c r="B153" i="145"/>
  <c r="N152" i="145"/>
  <c r="M152" i="145"/>
  <c r="L152" i="145"/>
  <c r="K152" i="145"/>
  <c r="J152" i="145"/>
  <c r="I152" i="145"/>
  <c r="H152" i="145"/>
  <c r="G152" i="145"/>
  <c r="F152" i="145"/>
  <c r="E152" i="145"/>
  <c r="D152" i="145"/>
  <c r="C152" i="145"/>
  <c r="B152" i="145"/>
  <c r="N151" i="145"/>
  <c r="M151" i="145"/>
  <c r="L151" i="145"/>
  <c r="K151" i="145"/>
  <c r="J151" i="145"/>
  <c r="I151" i="145"/>
  <c r="H151" i="145"/>
  <c r="G151" i="145"/>
  <c r="F151" i="145"/>
  <c r="E151" i="145"/>
  <c r="D151" i="145"/>
  <c r="C151" i="145"/>
  <c r="B151" i="145"/>
  <c r="N150" i="145"/>
  <c r="M150" i="145"/>
  <c r="L150" i="145"/>
  <c r="K150" i="145"/>
  <c r="J150" i="145"/>
  <c r="I150" i="145"/>
  <c r="H150" i="145"/>
  <c r="G150" i="145"/>
  <c r="F150" i="145"/>
  <c r="E150" i="145"/>
  <c r="D150" i="145"/>
  <c r="C150" i="145"/>
  <c r="B150" i="145"/>
  <c r="N149" i="145"/>
  <c r="M149" i="145"/>
  <c r="L149" i="145"/>
  <c r="K149" i="145"/>
  <c r="J149" i="145"/>
  <c r="I149" i="145"/>
  <c r="H149" i="145"/>
  <c r="G149" i="145"/>
  <c r="F149" i="145"/>
  <c r="E149" i="145"/>
  <c r="D149" i="145"/>
  <c r="C149" i="145"/>
  <c r="B149" i="145"/>
  <c r="N148" i="145"/>
  <c r="M148" i="145"/>
  <c r="L148" i="145"/>
  <c r="K148" i="145"/>
  <c r="J148" i="145"/>
  <c r="I148" i="145"/>
  <c r="H148" i="145"/>
  <c r="G148" i="145"/>
  <c r="F148" i="145"/>
  <c r="E148" i="145"/>
  <c r="D148" i="145"/>
  <c r="C148" i="145"/>
  <c r="B148" i="145"/>
  <c r="N147" i="145"/>
  <c r="M147" i="145"/>
  <c r="L147" i="145"/>
  <c r="K147" i="145"/>
  <c r="J147" i="145"/>
  <c r="I147" i="145"/>
  <c r="H147" i="145"/>
  <c r="G147" i="145"/>
  <c r="F147" i="145"/>
  <c r="E147" i="145"/>
  <c r="D147" i="145"/>
  <c r="C147" i="145"/>
  <c r="B147" i="145"/>
  <c r="N146" i="145"/>
  <c r="M146" i="145"/>
  <c r="L146" i="145"/>
  <c r="K146" i="145"/>
  <c r="J146" i="145"/>
  <c r="I146" i="145"/>
  <c r="H146" i="145"/>
  <c r="G146" i="145"/>
  <c r="F146" i="145"/>
  <c r="E146" i="145"/>
  <c r="D146" i="145"/>
  <c r="C146" i="145"/>
  <c r="B146" i="145"/>
  <c r="N145" i="145"/>
  <c r="M145" i="145"/>
  <c r="L145" i="145"/>
  <c r="K145" i="145"/>
  <c r="J145" i="145"/>
  <c r="I145" i="145"/>
  <c r="H145" i="145"/>
  <c r="G145" i="145"/>
  <c r="F145" i="145"/>
  <c r="E145" i="145"/>
  <c r="D145" i="145"/>
  <c r="C145" i="145"/>
  <c r="B145" i="145"/>
  <c r="N144" i="145"/>
  <c r="M144" i="145"/>
  <c r="L144" i="145"/>
  <c r="K144" i="145"/>
  <c r="J144" i="145"/>
  <c r="I144" i="145"/>
  <c r="H144" i="145"/>
  <c r="G144" i="145"/>
  <c r="F144" i="145"/>
  <c r="E144" i="145"/>
  <c r="D144" i="145"/>
  <c r="C144" i="145"/>
  <c r="B144" i="145"/>
  <c r="N138" i="145"/>
  <c r="M138" i="145"/>
  <c r="L138" i="145"/>
  <c r="K138" i="145"/>
  <c r="J138" i="145"/>
  <c r="I138" i="145"/>
  <c r="H138" i="145"/>
  <c r="G138" i="145"/>
  <c r="F138" i="145"/>
  <c r="E138" i="145"/>
  <c r="D138" i="145"/>
  <c r="C138" i="145"/>
  <c r="A138" i="145"/>
  <c r="N137" i="145"/>
  <c r="M137" i="145"/>
  <c r="L137" i="145"/>
  <c r="K137" i="145"/>
  <c r="J137" i="145"/>
  <c r="I137" i="145"/>
  <c r="H137" i="145"/>
  <c r="G137" i="145"/>
  <c r="F137" i="145"/>
  <c r="E137" i="145"/>
  <c r="D137" i="145"/>
  <c r="C137" i="145"/>
  <c r="B137" i="145"/>
  <c r="N136" i="145"/>
  <c r="M136" i="145"/>
  <c r="L136" i="145"/>
  <c r="K136" i="145"/>
  <c r="J136" i="145"/>
  <c r="I136" i="145"/>
  <c r="H136" i="145"/>
  <c r="G136" i="145"/>
  <c r="F136" i="145"/>
  <c r="E136" i="145"/>
  <c r="D136" i="145"/>
  <c r="C136" i="145"/>
  <c r="B136" i="145"/>
  <c r="N135" i="145"/>
  <c r="M135" i="145"/>
  <c r="L135" i="145"/>
  <c r="K135" i="145"/>
  <c r="J135" i="145"/>
  <c r="I135" i="145"/>
  <c r="H135" i="145"/>
  <c r="G135" i="145"/>
  <c r="F135" i="145"/>
  <c r="E135" i="145"/>
  <c r="D135" i="145"/>
  <c r="C135" i="145"/>
  <c r="B135" i="145"/>
  <c r="N134" i="145"/>
  <c r="M134" i="145"/>
  <c r="L134" i="145"/>
  <c r="K134" i="145"/>
  <c r="J134" i="145"/>
  <c r="I134" i="145"/>
  <c r="H134" i="145"/>
  <c r="G134" i="145"/>
  <c r="F134" i="145"/>
  <c r="E134" i="145"/>
  <c r="D134" i="145"/>
  <c r="C134" i="145"/>
  <c r="B134" i="145"/>
  <c r="N133" i="145"/>
  <c r="M133" i="145"/>
  <c r="L133" i="145"/>
  <c r="K133" i="145"/>
  <c r="J133" i="145"/>
  <c r="I133" i="145"/>
  <c r="H133" i="145"/>
  <c r="G133" i="145"/>
  <c r="F133" i="145"/>
  <c r="E133" i="145"/>
  <c r="D133" i="145"/>
  <c r="C133" i="145"/>
  <c r="B133" i="145"/>
  <c r="N132" i="145"/>
  <c r="M132" i="145"/>
  <c r="L132" i="145"/>
  <c r="K132" i="145"/>
  <c r="J132" i="145"/>
  <c r="I132" i="145"/>
  <c r="H132" i="145"/>
  <c r="G132" i="145"/>
  <c r="F132" i="145"/>
  <c r="E132" i="145"/>
  <c r="D132" i="145"/>
  <c r="C132" i="145"/>
  <c r="B132" i="145"/>
  <c r="N131" i="145"/>
  <c r="M131" i="145"/>
  <c r="L131" i="145"/>
  <c r="K131" i="145"/>
  <c r="J131" i="145"/>
  <c r="I131" i="145"/>
  <c r="H131" i="145"/>
  <c r="G131" i="145"/>
  <c r="F131" i="145"/>
  <c r="E131" i="145"/>
  <c r="D131" i="145"/>
  <c r="C131" i="145"/>
  <c r="B131" i="145"/>
  <c r="N130" i="145"/>
  <c r="M130" i="145"/>
  <c r="L130" i="145"/>
  <c r="K130" i="145"/>
  <c r="J130" i="145"/>
  <c r="I130" i="145"/>
  <c r="H130" i="145"/>
  <c r="G130" i="145"/>
  <c r="F130" i="145"/>
  <c r="E130" i="145"/>
  <c r="D130" i="145"/>
  <c r="C130" i="145"/>
  <c r="B130" i="145"/>
  <c r="N129" i="145"/>
  <c r="M129" i="145"/>
  <c r="L129" i="145"/>
  <c r="K129" i="145"/>
  <c r="J129" i="145"/>
  <c r="I129" i="145"/>
  <c r="H129" i="145"/>
  <c r="G129" i="145"/>
  <c r="F129" i="145"/>
  <c r="E129" i="145"/>
  <c r="D129" i="145"/>
  <c r="C129" i="145"/>
  <c r="B129" i="145"/>
  <c r="N128" i="145"/>
  <c r="M128" i="145"/>
  <c r="L128" i="145"/>
  <c r="K128" i="145"/>
  <c r="J128" i="145"/>
  <c r="I128" i="145"/>
  <c r="H128" i="145"/>
  <c r="G128" i="145"/>
  <c r="F128" i="145"/>
  <c r="E128" i="145"/>
  <c r="D128" i="145"/>
  <c r="C128" i="145"/>
  <c r="B128" i="145"/>
  <c r="N127" i="145"/>
  <c r="M127" i="145"/>
  <c r="L127" i="145"/>
  <c r="K127" i="145"/>
  <c r="J127" i="145"/>
  <c r="I127" i="145"/>
  <c r="H127" i="145"/>
  <c r="G127" i="145"/>
  <c r="F127" i="145"/>
  <c r="E127" i="145"/>
  <c r="D127" i="145"/>
  <c r="C127" i="145"/>
  <c r="B127" i="145"/>
  <c r="N126" i="145"/>
  <c r="M126" i="145"/>
  <c r="L126" i="145"/>
  <c r="K126" i="145"/>
  <c r="J126" i="145"/>
  <c r="I126" i="145"/>
  <c r="H126" i="145"/>
  <c r="G126" i="145"/>
  <c r="F126" i="145"/>
  <c r="E126" i="145"/>
  <c r="D126" i="145"/>
  <c r="C126" i="145"/>
  <c r="B126" i="145"/>
  <c r="N122" i="145"/>
  <c r="M122" i="145"/>
  <c r="L122" i="145"/>
  <c r="K122" i="145"/>
  <c r="J122" i="145"/>
  <c r="I122" i="145"/>
  <c r="H122" i="145"/>
  <c r="G122" i="145"/>
  <c r="F122" i="145"/>
  <c r="E122" i="145"/>
  <c r="D122" i="145"/>
  <c r="C122" i="145"/>
  <c r="A122" i="145"/>
  <c r="N121" i="145"/>
  <c r="M121" i="145"/>
  <c r="L121" i="145"/>
  <c r="K121" i="145"/>
  <c r="J121" i="145"/>
  <c r="I121" i="145"/>
  <c r="H121" i="145"/>
  <c r="G121" i="145"/>
  <c r="F121" i="145"/>
  <c r="E121" i="145"/>
  <c r="D121" i="145"/>
  <c r="C121" i="145"/>
  <c r="B121" i="145"/>
  <c r="N120" i="145"/>
  <c r="M120" i="145"/>
  <c r="L120" i="145"/>
  <c r="K120" i="145"/>
  <c r="J120" i="145"/>
  <c r="I120" i="145"/>
  <c r="H120" i="145"/>
  <c r="G120" i="145"/>
  <c r="F120" i="145"/>
  <c r="E120" i="145"/>
  <c r="D120" i="145"/>
  <c r="C120" i="145"/>
  <c r="B120" i="145"/>
  <c r="N119" i="145"/>
  <c r="M119" i="145"/>
  <c r="L119" i="145"/>
  <c r="K119" i="145"/>
  <c r="J119" i="145"/>
  <c r="I119" i="145"/>
  <c r="H119" i="145"/>
  <c r="G119" i="145"/>
  <c r="F119" i="145"/>
  <c r="E119" i="145"/>
  <c r="D119" i="145"/>
  <c r="C119" i="145"/>
  <c r="B119" i="145"/>
  <c r="N118" i="145"/>
  <c r="M118" i="145"/>
  <c r="L118" i="145"/>
  <c r="K118" i="145"/>
  <c r="J118" i="145"/>
  <c r="I118" i="145"/>
  <c r="H118" i="145"/>
  <c r="G118" i="145"/>
  <c r="F118" i="145"/>
  <c r="E118" i="145"/>
  <c r="D118" i="145"/>
  <c r="C118" i="145"/>
  <c r="B118" i="145"/>
  <c r="N117" i="145"/>
  <c r="M117" i="145"/>
  <c r="L117" i="145"/>
  <c r="K117" i="145"/>
  <c r="J117" i="145"/>
  <c r="I117" i="145"/>
  <c r="H117" i="145"/>
  <c r="G117" i="145"/>
  <c r="F117" i="145"/>
  <c r="E117" i="145"/>
  <c r="D117" i="145"/>
  <c r="C117" i="145"/>
  <c r="B117" i="145"/>
  <c r="N116" i="145"/>
  <c r="M116" i="145"/>
  <c r="L116" i="145"/>
  <c r="K116" i="145"/>
  <c r="J116" i="145"/>
  <c r="I116" i="145"/>
  <c r="H116" i="145"/>
  <c r="G116" i="145"/>
  <c r="F116" i="145"/>
  <c r="E116" i="145"/>
  <c r="D116" i="145"/>
  <c r="C116" i="145"/>
  <c r="B116" i="145"/>
  <c r="N115" i="145"/>
  <c r="M115" i="145"/>
  <c r="L115" i="145"/>
  <c r="K115" i="145"/>
  <c r="J115" i="145"/>
  <c r="I115" i="145"/>
  <c r="H115" i="145"/>
  <c r="G115" i="145"/>
  <c r="F115" i="145"/>
  <c r="E115" i="145"/>
  <c r="D115" i="145"/>
  <c r="C115" i="145"/>
  <c r="B115" i="145"/>
  <c r="N114" i="145"/>
  <c r="M114" i="145"/>
  <c r="L114" i="145"/>
  <c r="K114" i="145"/>
  <c r="J114" i="145"/>
  <c r="I114" i="145"/>
  <c r="H114" i="145"/>
  <c r="G114" i="145"/>
  <c r="F114" i="145"/>
  <c r="E114" i="145"/>
  <c r="D114" i="145"/>
  <c r="C114" i="145"/>
  <c r="B114" i="145"/>
  <c r="N113" i="145"/>
  <c r="M113" i="145"/>
  <c r="L113" i="145"/>
  <c r="K113" i="145"/>
  <c r="J113" i="145"/>
  <c r="I113" i="145"/>
  <c r="H113" i="145"/>
  <c r="G113" i="145"/>
  <c r="F113" i="145"/>
  <c r="E113" i="145"/>
  <c r="D113" i="145"/>
  <c r="C113" i="145"/>
  <c r="B113" i="145"/>
  <c r="N112" i="145"/>
  <c r="M112" i="145"/>
  <c r="L112" i="145"/>
  <c r="K112" i="145"/>
  <c r="J112" i="145"/>
  <c r="I112" i="145"/>
  <c r="H112" i="145"/>
  <c r="G112" i="145"/>
  <c r="F112" i="145"/>
  <c r="E112" i="145"/>
  <c r="D112" i="145"/>
  <c r="C112" i="145"/>
  <c r="B112" i="145"/>
  <c r="N111" i="145"/>
  <c r="M111" i="145"/>
  <c r="L111" i="145"/>
  <c r="K111" i="145"/>
  <c r="J111" i="145"/>
  <c r="I111" i="145"/>
  <c r="H111" i="145"/>
  <c r="G111" i="145"/>
  <c r="F111" i="145"/>
  <c r="E111" i="145"/>
  <c r="D111" i="145"/>
  <c r="C111" i="145"/>
  <c r="B111" i="145"/>
  <c r="N110" i="145"/>
  <c r="M110" i="145"/>
  <c r="L110" i="145"/>
  <c r="K110" i="145"/>
  <c r="J110" i="145"/>
  <c r="I110" i="145"/>
  <c r="H110" i="145"/>
  <c r="G110" i="145"/>
  <c r="F110" i="145"/>
  <c r="E110" i="145"/>
  <c r="D110" i="145"/>
  <c r="C110" i="145"/>
  <c r="B110" i="145"/>
  <c r="N104" i="145"/>
  <c r="M104" i="145"/>
  <c r="L104" i="145"/>
  <c r="K104" i="145"/>
  <c r="J104" i="145"/>
  <c r="I104" i="145"/>
  <c r="H104" i="145"/>
  <c r="G104" i="145"/>
  <c r="F104" i="145"/>
  <c r="E104" i="145"/>
  <c r="D104" i="145"/>
  <c r="C104" i="145"/>
  <c r="A104" i="145"/>
  <c r="N103" i="145"/>
  <c r="M103" i="145"/>
  <c r="L103" i="145"/>
  <c r="K103" i="145"/>
  <c r="J103" i="145"/>
  <c r="I103" i="145"/>
  <c r="H103" i="145"/>
  <c r="G103" i="145"/>
  <c r="F103" i="145"/>
  <c r="E103" i="145"/>
  <c r="D103" i="145"/>
  <c r="C103" i="145"/>
  <c r="B103" i="145"/>
  <c r="N102" i="145"/>
  <c r="M102" i="145"/>
  <c r="L102" i="145"/>
  <c r="K102" i="145"/>
  <c r="J102" i="145"/>
  <c r="I102" i="145"/>
  <c r="H102" i="145"/>
  <c r="G102" i="145"/>
  <c r="F102" i="145"/>
  <c r="E102" i="145"/>
  <c r="D102" i="145"/>
  <c r="C102" i="145"/>
  <c r="B102" i="145"/>
  <c r="N101" i="145"/>
  <c r="M101" i="145"/>
  <c r="L101" i="145"/>
  <c r="K101" i="145"/>
  <c r="J101" i="145"/>
  <c r="I101" i="145"/>
  <c r="H101" i="145"/>
  <c r="G101" i="145"/>
  <c r="F101" i="145"/>
  <c r="E101" i="145"/>
  <c r="D101" i="145"/>
  <c r="C101" i="145"/>
  <c r="B101" i="145"/>
  <c r="N100" i="145"/>
  <c r="M100" i="145"/>
  <c r="L100" i="145"/>
  <c r="K100" i="145"/>
  <c r="J100" i="145"/>
  <c r="I100" i="145"/>
  <c r="H100" i="145"/>
  <c r="G100" i="145"/>
  <c r="F100" i="145"/>
  <c r="E100" i="145"/>
  <c r="D100" i="145"/>
  <c r="C100" i="145"/>
  <c r="B100" i="145"/>
  <c r="N99" i="145"/>
  <c r="M99" i="145"/>
  <c r="L99" i="145"/>
  <c r="K99" i="145"/>
  <c r="J99" i="145"/>
  <c r="I99" i="145"/>
  <c r="H99" i="145"/>
  <c r="G99" i="145"/>
  <c r="F99" i="145"/>
  <c r="E99" i="145"/>
  <c r="D99" i="145"/>
  <c r="C99" i="145"/>
  <c r="B99" i="145"/>
  <c r="N98" i="145"/>
  <c r="M98" i="145"/>
  <c r="L98" i="145"/>
  <c r="K98" i="145"/>
  <c r="J98" i="145"/>
  <c r="I98" i="145"/>
  <c r="H98" i="145"/>
  <c r="G98" i="145"/>
  <c r="F98" i="145"/>
  <c r="E98" i="145"/>
  <c r="D98" i="145"/>
  <c r="C98" i="145"/>
  <c r="B98" i="145"/>
  <c r="N97" i="145"/>
  <c r="M97" i="145"/>
  <c r="L97" i="145"/>
  <c r="K97" i="145"/>
  <c r="J97" i="145"/>
  <c r="I97" i="145"/>
  <c r="H97" i="145"/>
  <c r="G97" i="145"/>
  <c r="F97" i="145"/>
  <c r="E97" i="145"/>
  <c r="D97" i="145"/>
  <c r="C97" i="145"/>
  <c r="B97" i="145"/>
  <c r="N96" i="145"/>
  <c r="M96" i="145"/>
  <c r="L96" i="145"/>
  <c r="K96" i="145"/>
  <c r="J96" i="145"/>
  <c r="I96" i="145"/>
  <c r="H96" i="145"/>
  <c r="G96" i="145"/>
  <c r="F96" i="145"/>
  <c r="E96" i="145"/>
  <c r="D96" i="145"/>
  <c r="C96" i="145"/>
  <c r="B96" i="145"/>
  <c r="N95" i="145"/>
  <c r="M95" i="145"/>
  <c r="L95" i="145"/>
  <c r="K95" i="145"/>
  <c r="J95" i="145"/>
  <c r="I95" i="145"/>
  <c r="H95" i="145"/>
  <c r="G95" i="145"/>
  <c r="F95" i="145"/>
  <c r="E95" i="145"/>
  <c r="D95" i="145"/>
  <c r="C95" i="145"/>
  <c r="B95" i="145"/>
  <c r="N94" i="145"/>
  <c r="M94" i="145"/>
  <c r="L94" i="145"/>
  <c r="K94" i="145"/>
  <c r="J94" i="145"/>
  <c r="I94" i="145"/>
  <c r="H94" i="145"/>
  <c r="G94" i="145"/>
  <c r="F94" i="145"/>
  <c r="E94" i="145"/>
  <c r="D94" i="145"/>
  <c r="C94" i="145"/>
  <c r="B94" i="145"/>
  <c r="N93" i="145"/>
  <c r="M93" i="145"/>
  <c r="L93" i="145"/>
  <c r="K93" i="145"/>
  <c r="J93" i="145"/>
  <c r="I93" i="145"/>
  <c r="H93" i="145"/>
  <c r="G93" i="145"/>
  <c r="F93" i="145"/>
  <c r="E93" i="145"/>
  <c r="D93" i="145"/>
  <c r="C93" i="145"/>
  <c r="B93" i="145"/>
  <c r="N92" i="145"/>
  <c r="M92" i="145"/>
  <c r="L92" i="145"/>
  <c r="K92" i="145"/>
  <c r="J92" i="145"/>
  <c r="I92" i="145"/>
  <c r="H92" i="145"/>
  <c r="G92" i="145"/>
  <c r="F92" i="145"/>
  <c r="E92" i="145"/>
  <c r="D92" i="145"/>
  <c r="C92" i="145"/>
  <c r="B92" i="145"/>
  <c r="N88" i="145"/>
  <c r="M88" i="145"/>
  <c r="L88" i="145"/>
  <c r="K88" i="145"/>
  <c r="J88" i="145"/>
  <c r="I88" i="145"/>
  <c r="H88" i="145"/>
  <c r="G88" i="145"/>
  <c r="F88" i="145"/>
  <c r="E88" i="145"/>
  <c r="D88" i="145"/>
  <c r="C88" i="145"/>
  <c r="A88" i="145"/>
  <c r="N87" i="145"/>
  <c r="M87" i="145"/>
  <c r="L87" i="145"/>
  <c r="K87" i="145"/>
  <c r="J87" i="145"/>
  <c r="I87" i="145"/>
  <c r="H87" i="145"/>
  <c r="G87" i="145"/>
  <c r="F87" i="145"/>
  <c r="E87" i="145"/>
  <c r="D87" i="145"/>
  <c r="C87" i="145"/>
  <c r="B87" i="145"/>
  <c r="N86" i="145"/>
  <c r="M86" i="145"/>
  <c r="L86" i="145"/>
  <c r="K86" i="145"/>
  <c r="J86" i="145"/>
  <c r="I86" i="145"/>
  <c r="H86" i="145"/>
  <c r="G86" i="145"/>
  <c r="F86" i="145"/>
  <c r="E86" i="145"/>
  <c r="D86" i="145"/>
  <c r="C86" i="145"/>
  <c r="B86" i="145"/>
  <c r="N85" i="145"/>
  <c r="M85" i="145"/>
  <c r="L85" i="145"/>
  <c r="K85" i="145"/>
  <c r="J85" i="145"/>
  <c r="I85" i="145"/>
  <c r="H85" i="145"/>
  <c r="G85" i="145"/>
  <c r="F85" i="145"/>
  <c r="E85" i="145"/>
  <c r="D85" i="145"/>
  <c r="C85" i="145"/>
  <c r="B85" i="145"/>
  <c r="N84" i="145"/>
  <c r="M84" i="145"/>
  <c r="L84" i="145"/>
  <c r="K84" i="145"/>
  <c r="J84" i="145"/>
  <c r="I84" i="145"/>
  <c r="H84" i="145"/>
  <c r="G84" i="145"/>
  <c r="F84" i="145"/>
  <c r="E84" i="145"/>
  <c r="D84" i="145"/>
  <c r="C84" i="145"/>
  <c r="B84" i="145"/>
  <c r="N83" i="145"/>
  <c r="M83" i="145"/>
  <c r="L83" i="145"/>
  <c r="K83" i="145"/>
  <c r="J83" i="145"/>
  <c r="I83" i="145"/>
  <c r="H83" i="145"/>
  <c r="G83" i="145"/>
  <c r="F83" i="145"/>
  <c r="E83" i="145"/>
  <c r="D83" i="145"/>
  <c r="C83" i="145"/>
  <c r="B83" i="145"/>
  <c r="N82" i="145"/>
  <c r="M82" i="145"/>
  <c r="L82" i="145"/>
  <c r="K82" i="145"/>
  <c r="J82" i="145"/>
  <c r="I82" i="145"/>
  <c r="H82" i="145"/>
  <c r="G82" i="145"/>
  <c r="F82" i="145"/>
  <c r="E82" i="145"/>
  <c r="D82" i="145"/>
  <c r="C82" i="145"/>
  <c r="B82" i="145"/>
  <c r="N81" i="145"/>
  <c r="M81" i="145"/>
  <c r="L81" i="145"/>
  <c r="K81" i="145"/>
  <c r="J81" i="145"/>
  <c r="I81" i="145"/>
  <c r="H81" i="145"/>
  <c r="G81" i="145"/>
  <c r="F81" i="145"/>
  <c r="E81" i="145"/>
  <c r="D81" i="145"/>
  <c r="C81" i="145"/>
  <c r="B81" i="145"/>
  <c r="N80" i="145"/>
  <c r="M80" i="145"/>
  <c r="L80" i="145"/>
  <c r="K80" i="145"/>
  <c r="J80" i="145"/>
  <c r="I80" i="145"/>
  <c r="H80" i="145"/>
  <c r="G80" i="145"/>
  <c r="F80" i="145"/>
  <c r="E80" i="145"/>
  <c r="D80" i="145"/>
  <c r="C80" i="145"/>
  <c r="B80" i="145"/>
  <c r="N79" i="145"/>
  <c r="M79" i="145"/>
  <c r="L79" i="145"/>
  <c r="K79" i="145"/>
  <c r="J79" i="145"/>
  <c r="I79" i="145"/>
  <c r="H79" i="145"/>
  <c r="G79" i="145"/>
  <c r="F79" i="145"/>
  <c r="E79" i="145"/>
  <c r="D79" i="145"/>
  <c r="C79" i="145"/>
  <c r="B79" i="145"/>
  <c r="N78" i="145"/>
  <c r="M78" i="145"/>
  <c r="L78" i="145"/>
  <c r="K78" i="145"/>
  <c r="J78" i="145"/>
  <c r="I78" i="145"/>
  <c r="H78" i="145"/>
  <c r="G78" i="145"/>
  <c r="F78" i="145"/>
  <c r="E78" i="145"/>
  <c r="D78" i="145"/>
  <c r="C78" i="145"/>
  <c r="B78" i="145"/>
  <c r="N77" i="145"/>
  <c r="M77" i="145"/>
  <c r="L77" i="145"/>
  <c r="K77" i="145"/>
  <c r="J77" i="145"/>
  <c r="I77" i="145"/>
  <c r="H77" i="145"/>
  <c r="G77" i="145"/>
  <c r="F77" i="145"/>
  <c r="E77" i="145"/>
  <c r="D77" i="145"/>
  <c r="C77" i="145"/>
  <c r="B77" i="145"/>
  <c r="N76" i="145"/>
  <c r="M76" i="145"/>
  <c r="L76" i="145"/>
  <c r="K76" i="145"/>
  <c r="J76" i="145"/>
  <c r="I76" i="145"/>
  <c r="H76" i="145"/>
  <c r="G76" i="145"/>
  <c r="F76" i="145"/>
  <c r="E76" i="145"/>
  <c r="D76" i="145"/>
  <c r="C76" i="145"/>
  <c r="B76" i="145"/>
  <c r="N70" i="145"/>
  <c r="M70" i="145"/>
  <c r="L70" i="145"/>
  <c r="K70" i="145"/>
  <c r="J70" i="145"/>
  <c r="I70" i="145"/>
  <c r="H70" i="145"/>
  <c r="G70" i="145"/>
  <c r="F70" i="145"/>
  <c r="E70" i="145"/>
  <c r="D70" i="145"/>
  <c r="C70" i="145"/>
  <c r="A70" i="145"/>
  <c r="N69" i="145"/>
  <c r="M69" i="145"/>
  <c r="L69" i="145"/>
  <c r="K69" i="145"/>
  <c r="J69" i="145"/>
  <c r="I69" i="145"/>
  <c r="H69" i="145"/>
  <c r="G69" i="145"/>
  <c r="F69" i="145"/>
  <c r="E69" i="145"/>
  <c r="D69" i="145"/>
  <c r="C69" i="145"/>
  <c r="B69" i="145"/>
  <c r="N68" i="145"/>
  <c r="M68" i="145"/>
  <c r="L68" i="145"/>
  <c r="K68" i="145"/>
  <c r="J68" i="145"/>
  <c r="I68" i="145"/>
  <c r="H68" i="145"/>
  <c r="G68" i="145"/>
  <c r="F68" i="145"/>
  <c r="E68" i="145"/>
  <c r="D68" i="145"/>
  <c r="C68" i="145"/>
  <c r="B68" i="145"/>
  <c r="N67" i="145"/>
  <c r="M67" i="145"/>
  <c r="L67" i="145"/>
  <c r="K67" i="145"/>
  <c r="J67" i="145"/>
  <c r="I67" i="145"/>
  <c r="H67" i="145"/>
  <c r="G67" i="145"/>
  <c r="F67" i="145"/>
  <c r="E67" i="145"/>
  <c r="D67" i="145"/>
  <c r="C67" i="145"/>
  <c r="B67" i="145"/>
  <c r="N66" i="145"/>
  <c r="M66" i="145"/>
  <c r="L66" i="145"/>
  <c r="K66" i="145"/>
  <c r="J66" i="145"/>
  <c r="I66" i="145"/>
  <c r="H66" i="145"/>
  <c r="G66" i="145"/>
  <c r="F66" i="145"/>
  <c r="E66" i="145"/>
  <c r="D66" i="145"/>
  <c r="C66" i="145"/>
  <c r="B66" i="145"/>
  <c r="N65" i="145"/>
  <c r="M65" i="145"/>
  <c r="L65" i="145"/>
  <c r="K65" i="145"/>
  <c r="J65" i="145"/>
  <c r="I65" i="145"/>
  <c r="H65" i="145"/>
  <c r="G65" i="145"/>
  <c r="F65" i="145"/>
  <c r="E65" i="145"/>
  <c r="D65" i="145"/>
  <c r="C65" i="145"/>
  <c r="B65" i="145"/>
  <c r="N64" i="145"/>
  <c r="M64" i="145"/>
  <c r="L64" i="145"/>
  <c r="K64" i="145"/>
  <c r="J64" i="145"/>
  <c r="I64" i="145"/>
  <c r="H64" i="145"/>
  <c r="G64" i="145"/>
  <c r="F64" i="145"/>
  <c r="E64" i="145"/>
  <c r="D64" i="145"/>
  <c r="C64" i="145"/>
  <c r="B64" i="145"/>
  <c r="N63" i="145"/>
  <c r="M63" i="145"/>
  <c r="L63" i="145"/>
  <c r="K63" i="145"/>
  <c r="J63" i="145"/>
  <c r="I63" i="145"/>
  <c r="H63" i="145"/>
  <c r="G63" i="145"/>
  <c r="F63" i="145"/>
  <c r="E63" i="145"/>
  <c r="D63" i="145"/>
  <c r="C63" i="145"/>
  <c r="B63" i="145"/>
  <c r="N62" i="145"/>
  <c r="M62" i="145"/>
  <c r="L62" i="145"/>
  <c r="K62" i="145"/>
  <c r="J62" i="145"/>
  <c r="I62" i="145"/>
  <c r="H62" i="145"/>
  <c r="G62" i="145"/>
  <c r="F62" i="145"/>
  <c r="E62" i="145"/>
  <c r="D62" i="145"/>
  <c r="C62" i="145"/>
  <c r="B62" i="145"/>
  <c r="N61" i="145"/>
  <c r="M61" i="145"/>
  <c r="L61" i="145"/>
  <c r="K61" i="145"/>
  <c r="J61" i="145"/>
  <c r="I61" i="145"/>
  <c r="H61" i="145"/>
  <c r="G61" i="145"/>
  <c r="F61" i="145"/>
  <c r="E61" i="145"/>
  <c r="D61" i="145"/>
  <c r="C61" i="145"/>
  <c r="B61" i="145"/>
  <c r="N60" i="145"/>
  <c r="M60" i="145"/>
  <c r="L60" i="145"/>
  <c r="K60" i="145"/>
  <c r="J60" i="145"/>
  <c r="I60" i="145"/>
  <c r="H60" i="145"/>
  <c r="G60" i="145"/>
  <c r="F60" i="145"/>
  <c r="E60" i="145"/>
  <c r="D60" i="145"/>
  <c r="C60" i="145"/>
  <c r="B60" i="145"/>
  <c r="N59" i="145"/>
  <c r="M59" i="145"/>
  <c r="L59" i="145"/>
  <c r="K59" i="145"/>
  <c r="J59" i="145"/>
  <c r="I59" i="145"/>
  <c r="H59" i="145"/>
  <c r="G59" i="145"/>
  <c r="F59" i="145"/>
  <c r="E59" i="145"/>
  <c r="D59" i="145"/>
  <c r="C59" i="145"/>
  <c r="B59" i="145"/>
  <c r="N58" i="145"/>
  <c r="M58" i="145"/>
  <c r="L58" i="145"/>
  <c r="K58" i="145"/>
  <c r="J58" i="145"/>
  <c r="I58" i="145"/>
  <c r="H58" i="145"/>
  <c r="G58" i="145"/>
  <c r="F58" i="145"/>
  <c r="E58" i="145"/>
  <c r="D58" i="145"/>
  <c r="C58" i="145"/>
  <c r="B58" i="145"/>
  <c r="N54" i="145"/>
  <c r="M54" i="145"/>
  <c r="L54" i="145"/>
  <c r="K54" i="145"/>
  <c r="J54" i="145"/>
  <c r="I54" i="145"/>
  <c r="H54" i="145"/>
  <c r="G54" i="145"/>
  <c r="F54" i="145"/>
  <c r="E54" i="145"/>
  <c r="D54" i="145"/>
  <c r="C54" i="145"/>
  <c r="A54" i="145"/>
  <c r="N53" i="145"/>
  <c r="M53" i="145"/>
  <c r="L53" i="145"/>
  <c r="K53" i="145"/>
  <c r="J53" i="145"/>
  <c r="I53" i="145"/>
  <c r="H53" i="145"/>
  <c r="G53" i="145"/>
  <c r="F53" i="145"/>
  <c r="E53" i="145"/>
  <c r="D53" i="145"/>
  <c r="C53" i="145"/>
  <c r="B53" i="145"/>
  <c r="N52" i="145"/>
  <c r="M52" i="145"/>
  <c r="L52" i="145"/>
  <c r="K52" i="145"/>
  <c r="J52" i="145"/>
  <c r="I52" i="145"/>
  <c r="H52" i="145"/>
  <c r="G52" i="145"/>
  <c r="F52" i="145"/>
  <c r="E52" i="145"/>
  <c r="D52" i="145"/>
  <c r="C52" i="145"/>
  <c r="B52" i="145"/>
  <c r="N51" i="145"/>
  <c r="M51" i="145"/>
  <c r="L51" i="145"/>
  <c r="K51" i="145"/>
  <c r="J51" i="145"/>
  <c r="I51" i="145"/>
  <c r="H51" i="145"/>
  <c r="G51" i="145"/>
  <c r="F51" i="145"/>
  <c r="E51" i="145"/>
  <c r="D51" i="145"/>
  <c r="C51" i="145"/>
  <c r="B51" i="145"/>
  <c r="N50" i="145"/>
  <c r="M50" i="145"/>
  <c r="L50" i="145"/>
  <c r="K50" i="145"/>
  <c r="J50" i="145"/>
  <c r="I50" i="145"/>
  <c r="H50" i="145"/>
  <c r="G50" i="145"/>
  <c r="F50" i="145"/>
  <c r="E50" i="145"/>
  <c r="D50" i="145"/>
  <c r="C50" i="145"/>
  <c r="B50" i="145"/>
  <c r="N49" i="145"/>
  <c r="M49" i="145"/>
  <c r="L49" i="145"/>
  <c r="K49" i="145"/>
  <c r="J49" i="145"/>
  <c r="I49" i="145"/>
  <c r="H49" i="145"/>
  <c r="G49" i="145"/>
  <c r="F49" i="145"/>
  <c r="E49" i="145"/>
  <c r="D49" i="145"/>
  <c r="C49" i="145"/>
  <c r="B49" i="145"/>
  <c r="N48" i="145"/>
  <c r="M48" i="145"/>
  <c r="L48" i="145"/>
  <c r="K48" i="145"/>
  <c r="J48" i="145"/>
  <c r="I48" i="145"/>
  <c r="H48" i="145"/>
  <c r="G48" i="145"/>
  <c r="F48" i="145"/>
  <c r="E48" i="145"/>
  <c r="D48" i="145"/>
  <c r="C48" i="145"/>
  <c r="B48" i="145"/>
  <c r="N47" i="145"/>
  <c r="M47" i="145"/>
  <c r="L47" i="145"/>
  <c r="K47" i="145"/>
  <c r="J47" i="145"/>
  <c r="I47" i="145"/>
  <c r="H47" i="145"/>
  <c r="G47" i="145"/>
  <c r="F47" i="145"/>
  <c r="E47" i="145"/>
  <c r="D47" i="145"/>
  <c r="C47" i="145"/>
  <c r="B47" i="145"/>
  <c r="N46" i="145"/>
  <c r="M46" i="145"/>
  <c r="L46" i="145"/>
  <c r="K46" i="145"/>
  <c r="J46" i="145"/>
  <c r="I46" i="145"/>
  <c r="H46" i="145"/>
  <c r="G46" i="145"/>
  <c r="F46" i="145"/>
  <c r="E46" i="145"/>
  <c r="D46" i="145"/>
  <c r="C46" i="145"/>
  <c r="B46" i="145"/>
  <c r="N45" i="145"/>
  <c r="M45" i="145"/>
  <c r="L45" i="145"/>
  <c r="K45" i="145"/>
  <c r="J45" i="145"/>
  <c r="I45" i="145"/>
  <c r="H45" i="145"/>
  <c r="G45" i="145"/>
  <c r="F45" i="145"/>
  <c r="E45" i="145"/>
  <c r="D45" i="145"/>
  <c r="C45" i="145"/>
  <c r="B45" i="145"/>
  <c r="N44" i="145"/>
  <c r="M44" i="145"/>
  <c r="L44" i="145"/>
  <c r="K44" i="145"/>
  <c r="J44" i="145"/>
  <c r="I44" i="145"/>
  <c r="H44" i="145"/>
  <c r="G44" i="145"/>
  <c r="F44" i="145"/>
  <c r="E44" i="145"/>
  <c r="D44" i="145"/>
  <c r="C44" i="145"/>
  <c r="B44" i="145"/>
  <c r="N43" i="145"/>
  <c r="M43" i="145"/>
  <c r="L43" i="145"/>
  <c r="K43" i="145"/>
  <c r="J43" i="145"/>
  <c r="I43" i="145"/>
  <c r="H43" i="145"/>
  <c r="G43" i="145"/>
  <c r="F43" i="145"/>
  <c r="E43" i="145"/>
  <c r="D43" i="145"/>
  <c r="C43" i="145"/>
  <c r="B43" i="145"/>
  <c r="N42" i="145"/>
  <c r="M42" i="145"/>
  <c r="L42" i="145"/>
  <c r="K42" i="145"/>
  <c r="J42" i="145"/>
  <c r="I42" i="145"/>
  <c r="H42" i="145"/>
  <c r="G42" i="145"/>
  <c r="F42" i="145"/>
  <c r="E42" i="145"/>
  <c r="D42" i="145"/>
  <c r="C42" i="145"/>
  <c r="B42" i="145"/>
  <c r="N36" i="145"/>
  <c r="M36" i="145"/>
  <c r="L36" i="145"/>
  <c r="K36" i="145"/>
  <c r="J36" i="145"/>
  <c r="I36" i="145"/>
  <c r="H36" i="145"/>
  <c r="G36" i="145"/>
  <c r="F36" i="145"/>
  <c r="E36" i="145"/>
  <c r="D36" i="145"/>
  <c r="C36" i="145"/>
  <c r="B36" i="145"/>
  <c r="N35" i="145"/>
  <c r="M35" i="145"/>
  <c r="L35" i="145"/>
  <c r="K35" i="145"/>
  <c r="J35" i="145"/>
  <c r="I35" i="145"/>
  <c r="H35" i="145"/>
  <c r="G35" i="145"/>
  <c r="F35" i="145"/>
  <c r="E35" i="145"/>
  <c r="D35" i="145"/>
  <c r="C35" i="145"/>
  <c r="B35" i="145"/>
  <c r="I31" i="145"/>
  <c r="H31" i="145"/>
  <c r="G31" i="145"/>
  <c r="E31" i="145"/>
  <c r="D31" i="145"/>
  <c r="C31" i="145"/>
  <c r="B31" i="145"/>
  <c r="A31" i="145"/>
  <c r="D30" i="145"/>
  <c r="C30" i="145"/>
  <c r="B30" i="145"/>
  <c r="D29" i="145"/>
  <c r="C29" i="145"/>
  <c r="B29" i="145"/>
  <c r="D28" i="145"/>
  <c r="C28" i="145"/>
  <c r="B28" i="145"/>
  <c r="D27" i="145"/>
  <c r="C27" i="145"/>
  <c r="B27" i="145"/>
  <c r="D26" i="145"/>
  <c r="C26" i="145"/>
  <c r="B26" i="145"/>
  <c r="D25" i="145"/>
  <c r="C25" i="145"/>
  <c r="B25" i="145"/>
  <c r="D24" i="145"/>
  <c r="C24" i="145"/>
  <c r="B24" i="145"/>
  <c r="D23" i="145"/>
  <c r="C23" i="145"/>
  <c r="B23" i="145"/>
  <c r="D22" i="145"/>
  <c r="C22" i="145"/>
  <c r="B22" i="145"/>
  <c r="D21" i="145"/>
  <c r="C21" i="145"/>
  <c r="B21" i="145"/>
  <c r="D20" i="145"/>
  <c r="C20" i="145"/>
  <c r="C19" i="145"/>
  <c r="B19" i="145"/>
  <c r="N15" i="145"/>
  <c r="M15" i="145"/>
  <c r="L15" i="145"/>
  <c r="K15" i="145"/>
  <c r="J15" i="145"/>
  <c r="I15" i="145"/>
  <c r="H15" i="145"/>
  <c r="G15" i="145"/>
  <c r="F15" i="145"/>
  <c r="E15" i="145"/>
  <c r="D15" i="145"/>
  <c r="C15" i="145"/>
  <c r="B15" i="145"/>
  <c r="N14" i="145"/>
  <c r="M14" i="145"/>
  <c r="L14" i="145"/>
  <c r="K14" i="145"/>
  <c r="J14" i="145"/>
  <c r="I14" i="145"/>
  <c r="H14" i="145"/>
  <c r="G14" i="145"/>
  <c r="F14" i="145"/>
  <c r="E14" i="145"/>
  <c r="D14" i="145"/>
  <c r="C14" i="145"/>
  <c r="B14" i="145"/>
  <c r="A10" i="145"/>
  <c r="A1" i="145"/>
  <c r="N371" i="144"/>
  <c r="M371" i="144"/>
  <c r="L371" i="144"/>
  <c r="K371" i="144"/>
  <c r="J371" i="144"/>
  <c r="I371" i="144"/>
  <c r="H371" i="144"/>
  <c r="G371" i="144"/>
  <c r="F371" i="144"/>
  <c r="E371" i="144"/>
  <c r="D371" i="144"/>
  <c r="C371" i="144"/>
  <c r="A371" i="144"/>
  <c r="N370" i="144"/>
  <c r="M370" i="144"/>
  <c r="L370" i="144"/>
  <c r="K370" i="144"/>
  <c r="J370" i="144"/>
  <c r="I370" i="144"/>
  <c r="H370" i="144"/>
  <c r="G370" i="144"/>
  <c r="F370" i="144"/>
  <c r="E370" i="144"/>
  <c r="D370" i="144"/>
  <c r="C370" i="144"/>
  <c r="A370" i="144"/>
  <c r="N369" i="144"/>
  <c r="M369" i="144"/>
  <c r="L369" i="144"/>
  <c r="K369" i="144"/>
  <c r="J369" i="144"/>
  <c r="I369" i="144"/>
  <c r="H369" i="144"/>
  <c r="G369" i="144"/>
  <c r="F369" i="144"/>
  <c r="E369" i="144"/>
  <c r="D369" i="144"/>
  <c r="C369" i="144"/>
  <c r="N368" i="144"/>
  <c r="M368" i="144"/>
  <c r="L368" i="144"/>
  <c r="K368" i="144"/>
  <c r="J368" i="144"/>
  <c r="I368" i="144"/>
  <c r="H368" i="144"/>
  <c r="G368" i="144"/>
  <c r="F368" i="144"/>
  <c r="E368" i="144"/>
  <c r="D368" i="144"/>
  <c r="C368" i="144"/>
  <c r="N367" i="144"/>
  <c r="M367" i="144"/>
  <c r="L367" i="144"/>
  <c r="K367" i="144"/>
  <c r="J367" i="144"/>
  <c r="I367" i="144"/>
  <c r="H367" i="144"/>
  <c r="G367" i="144"/>
  <c r="F367" i="144"/>
  <c r="E367" i="144"/>
  <c r="D367" i="144"/>
  <c r="C367" i="144"/>
  <c r="A367" i="144"/>
  <c r="N366" i="144"/>
  <c r="M366" i="144"/>
  <c r="L366" i="144"/>
  <c r="K366" i="144"/>
  <c r="J366" i="144"/>
  <c r="I366" i="144"/>
  <c r="H366" i="144"/>
  <c r="G366" i="144"/>
  <c r="F366" i="144"/>
  <c r="E366" i="144"/>
  <c r="D366" i="144"/>
  <c r="C366" i="144"/>
  <c r="B366" i="144"/>
  <c r="N365" i="144"/>
  <c r="M365" i="144"/>
  <c r="L365" i="144"/>
  <c r="K365" i="144"/>
  <c r="J365" i="144"/>
  <c r="I365" i="144"/>
  <c r="H365" i="144"/>
  <c r="G365" i="144"/>
  <c r="F365" i="144"/>
  <c r="E365" i="144"/>
  <c r="D365" i="144"/>
  <c r="C365" i="144"/>
  <c r="B365" i="144"/>
  <c r="N364" i="144"/>
  <c r="M364" i="144"/>
  <c r="L364" i="144"/>
  <c r="K364" i="144"/>
  <c r="J364" i="144"/>
  <c r="I364" i="144"/>
  <c r="H364" i="144"/>
  <c r="G364" i="144"/>
  <c r="F364" i="144"/>
  <c r="E364" i="144"/>
  <c r="D364" i="144"/>
  <c r="C364" i="144"/>
  <c r="B364" i="144"/>
  <c r="N363" i="144"/>
  <c r="M363" i="144"/>
  <c r="L363" i="144"/>
  <c r="K363" i="144"/>
  <c r="J363" i="144"/>
  <c r="I363" i="144"/>
  <c r="H363" i="144"/>
  <c r="G363" i="144"/>
  <c r="F363" i="144"/>
  <c r="E363" i="144"/>
  <c r="D363" i="144"/>
  <c r="C363" i="144"/>
  <c r="B363" i="144"/>
  <c r="N362" i="144"/>
  <c r="M362" i="144"/>
  <c r="L362" i="144"/>
  <c r="K362" i="144"/>
  <c r="J362" i="144"/>
  <c r="I362" i="144"/>
  <c r="H362" i="144"/>
  <c r="G362" i="144"/>
  <c r="F362" i="144"/>
  <c r="E362" i="144"/>
  <c r="D362" i="144"/>
  <c r="C362" i="144"/>
  <c r="B362" i="144"/>
  <c r="N361" i="144"/>
  <c r="M361" i="144"/>
  <c r="L361" i="144"/>
  <c r="K361" i="144"/>
  <c r="J361" i="144"/>
  <c r="I361" i="144"/>
  <c r="H361" i="144"/>
  <c r="G361" i="144"/>
  <c r="F361" i="144"/>
  <c r="E361" i="144"/>
  <c r="D361" i="144"/>
  <c r="C361" i="144"/>
  <c r="B361" i="144"/>
  <c r="N360" i="144"/>
  <c r="M360" i="144"/>
  <c r="L360" i="144"/>
  <c r="K360" i="144"/>
  <c r="J360" i="144"/>
  <c r="I360" i="144"/>
  <c r="H360" i="144"/>
  <c r="G360" i="144"/>
  <c r="F360" i="144"/>
  <c r="E360" i="144"/>
  <c r="D360" i="144"/>
  <c r="C360" i="144"/>
  <c r="B360" i="144"/>
  <c r="N359" i="144"/>
  <c r="M359" i="144"/>
  <c r="L359" i="144"/>
  <c r="K359" i="144"/>
  <c r="J359" i="144"/>
  <c r="I359" i="144"/>
  <c r="H359" i="144"/>
  <c r="G359" i="144"/>
  <c r="F359" i="144"/>
  <c r="E359" i="144"/>
  <c r="D359" i="144"/>
  <c r="C359" i="144"/>
  <c r="B359" i="144"/>
  <c r="N358" i="144"/>
  <c r="M358" i="144"/>
  <c r="L358" i="144"/>
  <c r="K358" i="144"/>
  <c r="J358" i="144"/>
  <c r="I358" i="144"/>
  <c r="H358" i="144"/>
  <c r="G358" i="144"/>
  <c r="F358" i="144"/>
  <c r="E358" i="144"/>
  <c r="D358" i="144"/>
  <c r="C358" i="144"/>
  <c r="B358" i="144"/>
  <c r="N357" i="144"/>
  <c r="M357" i="144"/>
  <c r="L357" i="144"/>
  <c r="K357" i="144"/>
  <c r="J357" i="144"/>
  <c r="I357" i="144"/>
  <c r="H357" i="144"/>
  <c r="G357" i="144"/>
  <c r="F357" i="144"/>
  <c r="E357" i="144"/>
  <c r="D357" i="144"/>
  <c r="C357" i="144"/>
  <c r="B357" i="144"/>
  <c r="N356" i="144"/>
  <c r="M356" i="144"/>
  <c r="L356" i="144"/>
  <c r="K356" i="144"/>
  <c r="J356" i="144"/>
  <c r="I356" i="144"/>
  <c r="H356" i="144"/>
  <c r="G356" i="144"/>
  <c r="F356" i="144"/>
  <c r="E356" i="144"/>
  <c r="D356" i="144"/>
  <c r="C356" i="144"/>
  <c r="B356" i="144"/>
  <c r="N355" i="144"/>
  <c r="M355" i="144"/>
  <c r="L355" i="144"/>
  <c r="K355" i="144"/>
  <c r="J355" i="144"/>
  <c r="I355" i="144"/>
  <c r="H355" i="144"/>
  <c r="G355" i="144"/>
  <c r="F355" i="144"/>
  <c r="E355" i="144"/>
  <c r="D355" i="144"/>
  <c r="C355" i="144"/>
  <c r="B355" i="144"/>
  <c r="N351" i="144"/>
  <c r="M351" i="144"/>
  <c r="L351" i="144"/>
  <c r="K351" i="144"/>
  <c r="J351" i="144"/>
  <c r="I351" i="144"/>
  <c r="H351" i="144"/>
  <c r="G351" i="144"/>
  <c r="F351" i="144"/>
  <c r="E351" i="144"/>
  <c r="D351" i="144"/>
  <c r="C351" i="144"/>
  <c r="A351" i="144"/>
  <c r="N350" i="144"/>
  <c r="M350" i="144"/>
  <c r="L350" i="144"/>
  <c r="K350" i="144"/>
  <c r="J350" i="144"/>
  <c r="I350" i="144"/>
  <c r="H350" i="144"/>
  <c r="G350" i="144"/>
  <c r="F350" i="144"/>
  <c r="E350" i="144"/>
  <c r="D350" i="144"/>
  <c r="C350" i="144"/>
  <c r="B350" i="144"/>
  <c r="N349" i="144"/>
  <c r="M349" i="144"/>
  <c r="L349" i="144"/>
  <c r="K349" i="144"/>
  <c r="J349" i="144"/>
  <c r="I349" i="144"/>
  <c r="H349" i="144"/>
  <c r="G349" i="144"/>
  <c r="F349" i="144"/>
  <c r="E349" i="144"/>
  <c r="D349" i="144"/>
  <c r="C349" i="144"/>
  <c r="B349" i="144"/>
  <c r="N348" i="144"/>
  <c r="M348" i="144"/>
  <c r="L348" i="144"/>
  <c r="K348" i="144"/>
  <c r="J348" i="144"/>
  <c r="I348" i="144"/>
  <c r="H348" i="144"/>
  <c r="G348" i="144"/>
  <c r="F348" i="144"/>
  <c r="E348" i="144"/>
  <c r="D348" i="144"/>
  <c r="C348" i="144"/>
  <c r="B348" i="144"/>
  <c r="N347" i="144"/>
  <c r="M347" i="144"/>
  <c r="L347" i="144"/>
  <c r="K347" i="144"/>
  <c r="J347" i="144"/>
  <c r="I347" i="144"/>
  <c r="H347" i="144"/>
  <c r="G347" i="144"/>
  <c r="F347" i="144"/>
  <c r="E347" i="144"/>
  <c r="D347" i="144"/>
  <c r="C347" i="144"/>
  <c r="B347" i="144"/>
  <c r="N346" i="144"/>
  <c r="M346" i="144"/>
  <c r="L346" i="144"/>
  <c r="K346" i="144"/>
  <c r="J346" i="144"/>
  <c r="I346" i="144"/>
  <c r="H346" i="144"/>
  <c r="G346" i="144"/>
  <c r="F346" i="144"/>
  <c r="E346" i="144"/>
  <c r="D346" i="144"/>
  <c r="C346" i="144"/>
  <c r="B346" i="144"/>
  <c r="N345" i="144"/>
  <c r="M345" i="144"/>
  <c r="L345" i="144"/>
  <c r="K345" i="144"/>
  <c r="J345" i="144"/>
  <c r="I345" i="144"/>
  <c r="H345" i="144"/>
  <c r="G345" i="144"/>
  <c r="F345" i="144"/>
  <c r="E345" i="144"/>
  <c r="D345" i="144"/>
  <c r="C345" i="144"/>
  <c r="B345" i="144"/>
  <c r="N344" i="144"/>
  <c r="M344" i="144"/>
  <c r="L344" i="144"/>
  <c r="K344" i="144"/>
  <c r="J344" i="144"/>
  <c r="I344" i="144"/>
  <c r="H344" i="144"/>
  <c r="G344" i="144"/>
  <c r="F344" i="144"/>
  <c r="E344" i="144"/>
  <c r="D344" i="144"/>
  <c r="C344" i="144"/>
  <c r="B344" i="144"/>
  <c r="N343" i="144"/>
  <c r="M343" i="144"/>
  <c r="L343" i="144"/>
  <c r="K343" i="144"/>
  <c r="J343" i="144"/>
  <c r="I343" i="144"/>
  <c r="H343" i="144"/>
  <c r="G343" i="144"/>
  <c r="F343" i="144"/>
  <c r="E343" i="144"/>
  <c r="D343" i="144"/>
  <c r="C343" i="144"/>
  <c r="B343" i="144"/>
  <c r="N342" i="144"/>
  <c r="M342" i="144"/>
  <c r="L342" i="144"/>
  <c r="K342" i="144"/>
  <c r="J342" i="144"/>
  <c r="I342" i="144"/>
  <c r="H342" i="144"/>
  <c r="G342" i="144"/>
  <c r="F342" i="144"/>
  <c r="E342" i="144"/>
  <c r="D342" i="144"/>
  <c r="C342" i="144"/>
  <c r="B342" i="144"/>
  <c r="N341" i="144"/>
  <c r="M341" i="144"/>
  <c r="L341" i="144"/>
  <c r="K341" i="144"/>
  <c r="J341" i="144"/>
  <c r="I341" i="144"/>
  <c r="H341" i="144"/>
  <c r="G341" i="144"/>
  <c r="F341" i="144"/>
  <c r="E341" i="144"/>
  <c r="D341" i="144"/>
  <c r="C341" i="144"/>
  <c r="B341" i="144"/>
  <c r="N340" i="144"/>
  <c r="M340" i="144"/>
  <c r="L340" i="144"/>
  <c r="K340" i="144"/>
  <c r="J340" i="144"/>
  <c r="I340" i="144"/>
  <c r="H340" i="144"/>
  <c r="G340" i="144"/>
  <c r="F340" i="144"/>
  <c r="E340" i="144"/>
  <c r="D340" i="144"/>
  <c r="C340" i="144"/>
  <c r="B340" i="144"/>
  <c r="N339" i="144"/>
  <c r="M339" i="144"/>
  <c r="L339" i="144"/>
  <c r="K339" i="144"/>
  <c r="J339" i="144"/>
  <c r="I339" i="144"/>
  <c r="H339" i="144"/>
  <c r="G339" i="144"/>
  <c r="F339" i="144"/>
  <c r="E339" i="144"/>
  <c r="D339" i="144"/>
  <c r="C339" i="144"/>
  <c r="B339" i="144"/>
  <c r="N333" i="144"/>
  <c r="M333" i="144"/>
  <c r="L333" i="144"/>
  <c r="K333" i="144"/>
  <c r="J333" i="144"/>
  <c r="I333" i="144"/>
  <c r="H333" i="144"/>
  <c r="G333" i="144"/>
  <c r="F333" i="144"/>
  <c r="E333" i="144"/>
  <c r="D333" i="144"/>
  <c r="C333" i="144"/>
  <c r="A333" i="144"/>
  <c r="N332" i="144"/>
  <c r="M332" i="144"/>
  <c r="L332" i="144"/>
  <c r="K332" i="144"/>
  <c r="J332" i="144"/>
  <c r="I332" i="144"/>
  <c r="H332" i="144"/>
  <c r="G332" i="144"/>
  <c r="F332" i="144"/>
  <c r="E332" i="144"/>
  <c r="D332" i="144"/>
  <c r="C332" i="144"/>
  <c r="N331" i="144"/>
  <c r="M331" i="144"/>
  <c r="L331" i="144"/>
  <c r="K331" i="144"/>
  <c r="J331" i="144"/>
  <c r="I331" i="144"/>
  <c r="H331" i="144"/>
  <c r="G331" i="144"/>
  <c r="F331" i="144"/>
  <c r="E331" i="144"/>
  <c r="D331" i="144"/>
  <c r="C331" i="144"/>
  <c r="N330" i="144"/>
  <c r="M330" i="144"/>
  <c r="L330" i="144"/>
  <c r="K330" i="144"/>
  <c r="J330" i="144"/>
  <c r="I330" i="144"/>
  <c r="H330" i="144"/>
  <c r="G330" i="144"/>
  <c r="F330" i="144"/>
  <c r="E330" i="144"/>
  <c r="D330" i="144"/>
  <c r="C330" i="144"/>
  <c r="A330" i="144"/>
  <c r="N329" i="144"/>
  <c r="M329" i="144"/>
  <c r="L329" i="144"/>
  <c r="K329" i="144"/>
  <c r="J329" i="144"/>
  <c r="I329" i="144"/>
  <c r="H329" i="144"/>
  <c r="G329" i="144"/>
  <c r="F329" i="144"/>
  <c r="E329" i="144"/>
  <c r="D329" i="144"/>
  <c r="C329" i="144"/>
  <c r="B329" i="144"/>
  <c r="N328" i="144"/>
  <c r="M328" i="144"/>
  <c r="L328" i="144"/>
  <c r="K328" i="144"/>
  <c r="J328" i="144"/>
  <c r="I328" i="144"/>
  <c r="H328" i="144"/>
  <c r="G328" i="144"/>
  <c r="F328" i="144"/>
  <c r="E328" i="144"/>
  <c r="D328" i="144"/>
  <c r="C328" i="144"/>
  <c r="B328" i="144"/>
  <c r="N327" i="144"/>
  <c r="M327" i="144"/>
  <c r="L327" i="144"/>
  <c r="K327" i="144"/>
  <c r="J327" i="144"/>
  <c r="I327" i="144"/>
  <c r="H327" i="144"/>
  <c r="G327" i="144"/>
  <c r="F327" i="144"/>
  <c r="E327" i="144"/>
  <c r="D327" i="144"/>
  <c r="C327" i="144"/>
  <c r="B327" i="144"/>
  <c r="N326" i="144"/>
  <c r="M326" i="144"/>
  <c r="L326" i="144"/>
  <c r="K326" i="144"/>
  <c r="J326" i="144"/>
  <c r="I326" i="144"/>
  <c r="H326" i="144"/>
  <c r="G326" i="144"/>
  <c r="F326" i="144"/>
  <c r="E326" i="144"/>
  <c r="D326" i="144"/>
  <c r="C326" i="144"/>
  <c r="B326" i="144"/>
  <c r="N325" i="144"/>
  <c r="M325" i="144"/>
  <c r="L325" i="144"/>
  <c r="K325" i="144"/>
  <c r="J325" i="144"/>
  <c r="I325" i="144"/>
  <c r="H325" i="144"/>
  <c r="G325" i="144"/>
  <c r="F325" i="144"/>
  <c r="E325" i="144"/>
  <c r="D325" i="144"/>
  <c r="C325" i="144"/>
  <c r="B325" i="144"/>
  <c r="N324" i="144"/>
  <c r="M324" i="144"/>
  <c r="L324" i="144"/>
  <c r="K324" i="144"/>
  <c r="J324" i="144"/>
  <c r="I324" i="144"/>
  <c r="H324" i="144"/>
  <c r="G324" i="144"/>
  <c r="F324" i="144"/>
  <c r="E324" i="144"/>
  <c r="D324" i="144"/>
  <c r="C324" i="144"/>
  <c r="B324" i="144"/>
  <c r="N323" i="144"/>
  <c r="M323" i="144"/>
  <c r="L323" i="144"/>
  <c r="K323" i="144"/>
  <c r="J323" i="144"/>
  <c r="I323" i="144"/>
  <c r="H323" i="144"/>
  <c r="G323" i="144"/>
  <c r="F323" i="144"/>
  <c r="E323" i="144"/>
  <c r="D323" i="144"/>
  <c r="C323" i="144"/>
  <c r="B323" i="144"/>
  <c r="N322" i="144"/>
  <c r="M322" i="144"/>
  <c r="L322" i="144"/>
  <c r="K322" i="144"/>
  <c r="J322" i="144"/>
  <c r="I322" i="144"/>
  <c r="H322" i="144"/>
  <c r="G322" i="144"/>
  <c r="F322" i="144"/>
  <c r="E322" i="144"/>
  <c r="D322" i="144"/>
  <c r="C322" i="144"/>
  <c r="B322" i="144"/>
  <c r="N321" i="144"/>
  <c r="M321" i="144"/>
  <c r="L321" i="144"/>
  <c r="K321" i="144"/>
  <c r="J321" i="144"/>
  <c r="I321" i="144"/>
  <c r="H321" i="144"/>
  <c r="G321" i="144"/>
  <c r="F321" i="144"/>
  <c r="E321" i="144"/>
  <c r="D321" i="144"/>
  <c r="C321" i="144"/>
  <c r="B321" i="144"/>
  <c r="N320" i="144"/>
  <c r="M320" i="144"/>
  <c r="L320" i="144"/>
  <c r="K320" i="144"/>
  <c r="J320" i="144"/>
  <c r="I320" i="144"/>
  <c r="H320" i="144"/>
  <c r="G320" i="144"/>
  <c r="F320" i="144"/>
  <c r="E320" i="144"/>
  <c r="D320" i="144"/>
  <c r="C320" i="144"/>
  <c r="B320" i="144"/>
  <c r="N319" i="144"/>
  <c r="M319" i="144"/>
  <c r="L319" i="144"/>
  <c r="K319" i="144"/>
  <c r="J319" i="144"/>
  <c r="I319" i="144"/>
  <c r="H319" i="144"/>
  <c r="G319" i="144"/>
  <c r="F319" i="144"/>
  <c r="E319" i="144"/>
  <c r="D319" i="144"/>
  <c r="C319" i="144"/>
  <c r="B319" i="144"/>
  <c r="N318" i="144"/>
  <c r="M318" i="144"/>
  <c r="L318" i="144"/>
  <c r="K318" i="144"/>
  <c r="J318" i="144"/>
  <c r="I318" i="144"/>
  <c r="H318" i="144"/>
  <c r="G318" i="144"/>
  <c r="F318" i="144"/>
  <c r="E318" i="144"/>
  <c r="D318" i="144"/>
  <c r="C318" i="144"/>
  <c r="B318" i="144"/>
  <c r="N314" i="144"/>
  <c r="M314" i="144"/>
  <c r="L314" i="144"/>
  <c r="K314" i="144"/>
  <c r="J314" i="144"/>
  <c r="I314" i="144"/>
  <c r="H314" i="144"/>
  <c r="G314" i="144"/>
  <c r="F314" i="144"/>
  <c r="E314" i="144"/>
  <c r="D314" i="144"/>
  <c r="C314" i="144"/>
  <c r="A314" i="144"/>
  <c r="N313" i="144"/>
  <c r="M313" i="144"/>
  <c r="L313" i="144"/>
  <c r="K313" i="144"/>
  <c r="J313" i="144"/>
  <c r="I313" i="144"/>
  <c r="H313" i="144"/>
  <c r="G313" i="144"/>
  <c r="F313" i="144"/>
  <c r="E313" i="144"/>
  <c r="D313" i="144"/>
  <c r="C313" i="144"/>
  <c r="B313" i="144"/>
  <c r="N312" i="144"/>
  <c r="M312" i="144"/>
  <c r="L312" i="144"/>
  <c r="K312" i="144"/>
  <c r="J312" i="144"/>
  <c r="I312" i="144"/>
  <c r="H312" i="144"/>
  <c r="G312" i="144"/>
  <c r="F312" i="144"/>
  <c r="E312" i="144"/>
  <c r="D312" i="144"/>
  <c r="C312" i="144"/>
  <c r="B312" i="144"/>
  <c r="N311" i="144"/>
  <c r="M311" i="144"/>
  <c r="L311" i="144"/>
  <c r="K311" i="144"/>
  <c r="J311" i="144"/>
  <c r="I311" i="144"/>
  <c r="H311" i="144"/>
  <c r="G311" i="144"/>
  <c r="F311" i="144"/>
  <c r="E311" i="144"/>
  <c r="D311" i="144"/>
  <c r="C311" i="144"/>
  <c r="B311" i="144"/>
  <c r="N310" i="144"/>
  <c r="M310" i="144"/>
  <c r="L310" i="144"/>
  <c r="K310" i="144"/>
  <c r="J310" i="144"/>
  <c r="I310" i="144"/>
  <c r="H310" i="144"/>
  <c r="G310" i="144"/>
  <c r="F310" i="144"/>
  <c r="E310" i="144"/>
  <c r="D310" i="144"/>
  <c r="C310" i="144"/>
  <c r="B310" i="144"/>
  <c r="N309" i="144"/>
  <c r="M309" i="144"/>
  <c r="L309" i="144"/>
  <c r="K309" i="144"/>
  <c r="J309" i="144"/>
  <c r="I309" i="144"/>
  <c r="H309" i="144"/>
  <c r="G309" i="144"/>
  <c r="F309" i="144"/>
  <c r="E309" i="144"/>
  <c r="D309" i="144"/>
  <c r="C309" i="144"/>
  <c r="B309" i="144"/>
  <c r="N308" i="144"/>
  <c r="M308" i="144"/>
  <c r="L308" i="144"/>
  <c r="K308" i="144"/>
  <c r="J308" i="144"/>
  <c r="I308" i="144"/>
  <c r="H308" i="144"/>
  <c r="G308" i="144"/>
  <c r="F308" i="144"/>
  <c r="E308" i="144"/>
  <c r="D308" i="144"/>
  <c r="C308" i="144"/>
  <c r="B308" i="144"/>
  <c r="N307" i="144"/>
  <c r="M307" i="144"/>
  <c r="L307" i="144"/>
  <c r="K307" i="144"/>
  <c r="J307" i="144"/>
  <c r="I307" i="144"/>
  <c r="H307" i="144"/>
  <c r="G307" i="144"/>
  <c r="F307" i="144"/>
  <c r="E307" i="144"/>
  <c r="D307" i="144"/>
  <c r="C307" i="144"/>
  <c r="B307" i="144"/>
  <c r="N306" i="144"/>
  <c r="M306" i="144"/>
  <c r="L306" i="144"/>
  <c r="K306" i="144"/>
  <c r="J306" i="144"/>
  <c r="I306" i="144"/>
  <c r="H306" i="144"/>
  <c r="G306" i="144"/>
  <c r="F306" i="144"/>
  <c r="E306" i="144"/>
  <c r="D306" i="144"/>
  <c r="C306" i="144"/>
  <c r="B306" i="144"/>
  <c r="N305" i="144"/>
  <c r="M305" i="144"/>
  <c r="L305" i="144"/>
  <c r="K305" i="144"/>
  <c r="J305" i="144"/>
  <c r="I305" i="144"/>
  <c r="H305" i="144"/>
  <c r="G305" i="144"/>
  <c r="F305" i="144"/>
  <c r="E305" i="144"/>
  <c r="D305" i="144"/>
  <c r="C305" i="144"/>
  <c r="B305" i="144"/>
  <c r="N304" i="144"/>
  <c r="M304" i="144"/>
  <c r="L304" i="144"/>
  <c r="K304" i="144"/>
  <c r="J304" i="144"/>
  <c r="I304" i="144"/>
  <c r="H304" i="144"/>
  <c r="G304" i="144"/>
  <c r="F304" i="144"/>
  <c r="E304" i="144"/>
  <c r="D304" i="144"/>
  <c r="C304" i="144"/>
  <c r="B304" i="144"/>
  <c r="N303" i="144"/>
  <c r="M303" i="144"/>
  <c r="L303" i="144"/>
  <c r="K303" i="144"/>
  <c r="J303" i="144"/>
  <c r="I303" i="144"/>
  <c r="H303" i="144"/>
  <c r="G303" i="144"/>
  <c r="F303" i="144"/>
  <c r="E303" i="144"/>
  <c r="D303" i="144"/>
  <c r="C303" i="144"/>
  <c r="B303" i="144"/>
  <c r="N302" i="144"/>
  <c r="M302" i="144"/>
  <c r="L302" i="144"/>
  <c r="K302" i="144"/>
  <c r="J302" i="144"/>
  <c r="I302" i="144"/>
  <c r="H302" i="144"/>
  <c r="G302" i="144"/>
  <c r="F302" i="144"/>
  <c r="E302" i="144"/>
  <c r="D302" i="144"/>
  <c r="C302" i="144"/>
  <c r="B302" i="144"/>
  <c r="N296" i="144"/>
  <c r="M296" i="144"/>
  <c r="L296" i="144"/>
  <c r="K296" i="144"/>
  <c r="J296" i="144"/>
  <c r="I296" i="144"/>
  <c r="H296" i="144"/>
  <c r="G296" i="144"/>
  <c r="F296" i="144"/>
  <c r="E296" i="144"/>
  <c r="D296" i="144"/>
  <c r="C296" i="144"/>
  <c r="N294" i="144"/>
  <c r="M294" i="144"/>
  <c r="L294" i="144"/>
  <c r="K294" i="144"/>
  <c r="J294" i="144"/>
  <c r="I294" i="144"/>
  <c r="H294" i="144"/>
  <c r="G294" i="144"/>
  <c r="F294" i="144"/>
  <c r="E294" i="144"/>
  <c r="D294" i="144"/>
  <c r="C294" i="144"/>
  <c r="N293" i="144"/>
  <c r="M293" i="144"/>
  <c r="L293" i="144"/>
  <c r="K293" i="144"/>
  <c r="J293" i="144"/>
  <c r="I293" i="144"/>
  <c r="H293" i="144"/>
  <c r="G293" i="144"/>
  <c r="F293" i="144"/>
  <c r="E293" i="144"/>
  <c r="D293" i="144"/>
  <c r="C293" i="144"/>
  <c r="N290" i="144"/>
  <c r="M290" i="144"/>
  <c r="L290" i="144"/>
  <c r="K290" i="144"/>
  <c r="J290" i="144"/>
  <c r="I290" i="144"/>
  <c r="H290" i="144"/>
  <c r="G290" i="144"/>
  <c r="F290" i="144"/>
  <c r="E290" i="144"/>
  <c r="D290" i="144"/>
  <c r="C290" i="144"/>
  <c r="N289" i="144"/>
  <c r="M289" i="144"/>
  <c r="L289" i="144"/>
  <c r="K289" i="144"/>
  <c r="J289" i="144"/>
  <c r="I289" i="144"/>
  <c r="H289" i="144"/>
  <c r="G289" i="144"/>
  <c r="F289" i="144"/>
  <c r="E289" i="144"/>
  <c r="D289" i="144"/>
  <c r="C289" i="144"/>
  <c r="N283" i="144"/>
  <c r="M283" i="144"/>
  <c r="L283" i="144"/>
  <c r="K283" i="144"/>
  <c r="J283" i="144"/>
  <c r="I283" i="144"/>
  <c r="H283" i="144"/>
  <c r="G283" i="144"/>
  <c r="F283" i="144"/>
  <c r="E283" i="144"/>
  <c r="D283" i="144"/>
  <c r="C283" i="144"/>
  <c r="A283" i="144"/>
  <c r="N282" i="144"/>
  <c r="M282" i="144"/>
  <c r="L282" i="144"/>
  <c r="K282" i="144"/>
  <c r="J282" i="144"/>
  <c r="I282" i="144"/>
  <c r="H282" i="144"/>
  <c r="G282" i="144"/>
  <c r="F282" i="144"/>
  <c r="E282" i="144"/>
  <c r="D282" i="144"/>
  <c r="C282" i="144"/>
  <c r="N281" i="144"/>
  <c r="M281" i="144"/>
  <c r="L281" i="144"/>
  <c r="K281" i="144"/>
  <c r="J281" i="144"/>
  <c r="I281" i="144"/>
  <c r="H281" i="144"/>
  <c r="G281" i="144"/>
  <c r="F281" i="144"/>
  <c r="E281" i="144"/>
  <c r="D281" i="144"/>
  <c r="C281" i="144"/>
  <c r="N280" i="144"/>
  <c r="M280" i="144"/>
  <c r="L280" i="144"/>
  <c r="K280" i="144"/>
  <c r="J280" i="144"/>
  <c r="I280" i="144"/>
  <c r="H280" i="144"/>
  <c r="G280" i="144"/>
  <c r="F280" i="144"/>
  <c r="E280" i="144"/>
  <c r="D280" i="144"/>
  <c r="C280" i="144"/>
  <c r="N279" i="144"/>
  <c r="M279" i="144"/>
  <c r="L279" i="144"/>
  <c r="K279" i="144"/>
  <c r="J279" i="144"/>
  <c r="I279" i="144"/>
  <c r="H279" i="144"/>
  <c r="G279" i="144"/>
  <c r="F279" i="144"/>
  <c r="E279" i="144"/>
  <c r="D279" i="144"/>
  <c r="C279" i="144"/>
  <c r="N278" i="144"/>
  <c r="M278" i="144"/>
  <c r="L278" i="144"/>
  <c r="K278" i="144"/>
  <c r="J278" i="144"/>
  <c r="I278" i="144"/>
  <c r="H278" i="144"/>
  <c r="G278" i="144"/>
  <c r="F278" i="144"/>
  <c r="E278" i="144"/>
  <c r="D278" i="144"/>
  <c r="C278" i="144"/>
  <c r="N274" i="144"/>
  <c r="M274" i="144"/>
  <c r="L274" i="144"/>
  <c r="K274" i="144"/>
  <c r="J274" i="144"/>
  <c r="I274" i="144"/>
  <c r="H274" i="144"/>
  <c r="G274" i="144"/>
  <c r="F274" i="144"/>
  <c r="E274" i="144"/>
  <c r="D274" i="144"/>
  <c r="C274" i="144"/>
  <c r="A274" i="144"/>
  <c r="N273" i="144"/>
  <c r="M273" i="144"/>
  <c r="L273" i="144"/>
  <c r="K273" i="144"/>
  <c r="J273" i="144"/>
  <c r="I273" i="144"/>
  <c r="H273" i="144"/>
  <c r="G273" i="144"/>
  <c r="F273" i="144"/>
  <c r="E273" i="144"/>
  <c r="D273" i="144"/>
  <c r="C273" i="144"/>
  <c r="B273" i="144"/>
  <c r="N272" i="144"/>
  <c r="M272" i="144"/>
  <c r="L272" i="144"/>
  <c r="K272" i="144"/>
  <c r="J272" i="144"/>
  <c r="I272" i="144"/>
  <c r="H272" i="144"/>
  <c r="G272" i="144"/>
  <c r="F272" i="144"/>
  <c r="E272" i="144"/>
  <c r="D272" i="144"/>
  <c r="C272" i="144"/>
  <c r="B272" i="144"/>
  <c r="N271" i="144"/>
  <c r="M271" i="144"/>
  <c r="L271" i="144"/>
  <c r="K271" i="144"/>
  <c r="J271" i="144"/>
  <c r="I271" i="144"/>
  <c r="H271" i="144"/>
  <c r="G271" i="144"/>
  <c r="F271" i="144"/>
  <c r="E271" i="144"/>
  <c r="D271" i="144"/>
  <c r="C271" i="144"/>
  <c r="B271" i="144"/>
  <c r="N270" i="144"/>
  <c r="M270" i="144"/>
  <c r="L270" i="144"/>
  <c r="K270" i="144"/>
  <c r="J270" i="144"/>
  <c r="I270" i="144"/>
  <c r="H270" i="144"/>
  <c r="G270" i="144"/>
  <c r="F270" i="144"/>
  <c r="E270" i="144"/>
  <c r="D270" i="144"/>
  <c r="C270" i="144"/>
  <c r="B270" i="144"/>
  <c r="N269" i="144"/>
  <c r="M269" i="144"/>
  <c r="L269" i="144"/>
  <c r="K269" i="144"/>
  <c r="J269" i="144"/>
  <c r="I269" i="144"/>
  <c r="H269" i="144"/>
  <c r="G269" i="144"/>
  <c r="F269" i="144"/>
  <c r="E269" i="144"/>
  <c r="D269" i="144"/>
  <c r="C269" i="144"/>
  <c r="B269" i="144"/>
  <c r="N268" i="144"/>
  <c r="M268" i="144"/>
  <c r="L268" i="144"/>
  <c r="K268" i="144"/>
  <c r="J268" i="144"/>
  <c r="I268" i="144"/>
  <c r="H268" i="144"/>
  <c r="G268" i="144"/>
  <c r="F268" i="144"/>
  <c r="E268" i="144"/>
  <c r="D268" i="144"/>
  <c r="C268" i="144"/>
  <c r="B268" i="144"/>
  <c r="N267" i="144"/>
  <c r="M267" i="144"/>
  <c r="L267" i="144"/>
  <c r="K267" i="144"/>
  <c r="J267" i="144"/>
  <c r="I267" i="144"/>
  <c r="H267" i="144"/>
  <c r="G267" i="144"/>
  <c r="F267" i="144"/>
  <c r="E267" i="144"/>
  <c r="D267" i="144"/>
  <c r="C267" i="144"/>
  <c r="B267" i="144"/>
  <c r="N266" i="144"/>
  <c r="M266" i="144"/>
  <c r="L266" i="144"/>
  <c r="K266" i="144"/>
  <c r="J266" i="144"/>
  <c r="I266" i="144"/>
  <c r="H266" i="144"/>
  <c r="G266" i="144"/>
  <c r="F266" i="144"/>
  <c r="E266" i="144"/>
  <c r="D266" i="144"/>
  <c r="C266" i="144"/>
  <c r="B266" i="144"/>
  <c r="N265" i="144"/>
  <c r="M265" i="144"/>
  <c r="L265" i="144"/>
  <c r="K265" i="144"/>
  <c r="J265" i="144"/>
  <c r="I265" i="144"/>
  <c r="H265" i="144"/>
  <c r="G265" i="144"/>
  <c r="F265" i="144"/>
  <c r="E265" i="144"/>
  <c r="D265" i="144"/>
  <c r="C265" i="144"/>
  <c r="B265" i="144"/>
  <c r="N264" i="144"/>
  <c r="M264" i="144"/>
  <c r="L264" i="144"/>
  <c r="K264" i="144"/>
  <c r="J264" i="144"/>
  <c r="I264" i="144"/>
  <c r="H264" i="144"/>
  <c r="G264" i="144"/>
  <c r="F264" i="144"/>
  <c r="E264" i="144"/>
  <c r="D264" i="144"/>
  <c r="C264" i="144"/>
  <c r="B264" i="144"/>
  <c r="N263" i="144"/>
  <c r="M263" i="144"/>
  <c r="L263" i="144"/>
  <c r="K263" i="144"/>
  <c r="J263" i="144"/>
  <c r="I263" i="144"/>
  <c r="H263" i="144"/>
  <c r="G263" i="144"/>
  <c r="F263" i="144"/>
  <c r="E263" i="144"/>
  <c r="D263" i="144"/>
  <c r="C263" i="144"/>
  <c r="B263" i="144"/>
  <c r="N262" i="144"/>
  <c r="M262" i="144"/>
  <c r="L262" i="144"/>
  <c r="K262" i="144"/>
  <c r="J262" i="144"/>
  <c r="I262" i="144"/>
  <c r="H262" i="144"/>
  <c r="G262" i="144"/>
  <c r="F262" i="144"/>
  <c r="E262" i="144"/>
  <c r="D262" i="144"/>
  <c r="C262" i="144"/>
  <c r="B262" i="144"/>
  <c r="N258" i="144"/>
  <c r="M258" i="144"/>
  <c r="L258" i="144"/>
  <c r="K258" i="144"/>
  <c r="J258" i="144"/>
  <c r="I258" i="144"/>
  <c r="H258" i="144"/>
  <c r="G258" i="144"/>
  <c r="F258" i="144"/>
  <c r="E258" i="144"/>
  <c r="D258" i="144"/>
  <c r="C258" i="144"/>
  <c r="A258" i="144"/>
  <c r="N257" i="144"/>
  <c r="M257" i="144"/>
  <c r="L257" i="144"/>
  <c r="K257" i="144"/>
  <c r="J257" i="144"/>
  <c r="I257" i="144"/>
  <c r="H257" i="144"/>
  <c r="G257" i="144"/>
  <c r="F257" i="144"/>
  <c r="E257" i="144"/>
  <c r="D257" i="144"/>
  <c r="C257" i="144"/>
  <c r="B257" i="144"/>
  <c r="N256" i="144"/>
  <c r="M256" i="144"/>
  <c r="L256" i="144"/>
  <c r="K256" i="144"/>
  <c r="J256" i="144"/>
  <c r="I256" i="144"/>
  <c r="H256" i="144"/>
  <c r="G256" i="144"/>
  <c r="F256" i="144"/>
  <c r="E256" i="144"/>
  <c r="D256" i="144"/>
  <c r="C256" i="144"/>
  <c r="B256" i="144"/>
  <c r="N255" i="144"/>
  <c r="M255" i="144"/>
  <c r="L255" i="144"/>
  <c r="K255" i="144"/>
  <c r="J255" i="144"/>
  <c r="I255" i="144"/>
  <c r="H255" i="144"/>
  <c r="G255" i="144"/>
  <c r="F255" i="144"/>
  <c r="E255" i="144"/>
  <c r="D255" i="144"/>
  <c r="C255" i="144"/>
  <c r="B255" i="144"/>
  <c r="N254" i="144"/>
  <c r="M254" i="144"/>
  <c r="L254" i="144"/>
  <c r="K254" i="144"/>
  <c r="J254" i="144"/>
  <c r="I254" i="144"/>
  <c r="H254" i="144"/>
  <c r="G254" i="144"/>
  <c r="F254" i="144"/>
  <c r="E254" i="144"/>
  <c r="D254" i="144"/>
  <c r="C254" i="144"/>
  <c r="B254" i="144"/>
  <c r="N253" i="144"/>
  <c r="M253" i="144"/>
  <c r="L253" i="144"/>
  <c r="K253" i="144"/>
  <c r="J253" i="144"/>
  <c r="I253" i="144"/>
  <c r="H253" i="144"/>
  <c r="G253" i="144"/>
  <c r="F253" i="144"/>
  <c r="E253" i="144"/>
  <c r="D253" i="144"/>
  <c r="C253" i="144"/>
  <c r="B253" i="144"/>
  <c r="N252" i="144"/>
  <c r="M252" i="144"/>
  <c r="L252" i="144"/>
  <c r="K252" i="144"/>
  <c r="J252" i="144"/>
  <c r="I252" i="144"/>
  <c r="H252" i="144"/>
  <c r="G252" i="144"/>
  <c r="F252" i="144"/>
  <c r="E252" i="144"/>
  <c r="D252" i="144"/>
  <c r="C252" i="144"/>
  <c r="B252" i="144"/>
  <c r="N251" i="144"/>
  <c r="M251" i="144"/>
  <c r="L251" i="144"/>
  <c r="K251" i="144"/>
  <c r="J251" i="144"/>
  <c r="I251" i="144"/>
  <c r="H251" i="144"/>
  <c r="G251" i="144"/>
  <c r="F251" i="144"/>
  <c r="E251" i="144"/>
  <c r="D251" i="144"/>
  <c r="C251" i="144"/>
  <c r="B251" i="144"/>
  <c r="N250" i="144"/>
  <c r="M250" i="144"/>
  <c r="L250" i="144"/>
  <c r="K250" i="144"/>
  <c r="J250" i="144"/>
  <c r="I250" i="144"/>
  <c r="H250" i="144"/>
  <c r="G250" i="144"/>
  <c r="F250" i="144"/>
  <c r="E250" i="144"/>
  <c r="D250" i="144"/>
  <c r="C250" i="144"/>
  <c r="B250" i="144"/>
  <c r="N249" i="144"/>
  <c r="M249" i="144"/>
  <c r="L249" i="144"/>
  <c r="K249" i="144"/>
  <c r="J249" i="144"/>
  <c r="I249" i="144"/>
  <c r="H249" i="144"/>
  <c r="G249" i="144"/>
  <c r="F249" i="144"/>
  <c r="E249" i="144"/>
  <c r="D249" i="144"/>
  <c r="C249" i="144"/>
  <c r="B249" i="144"/>
  <c r="N248" i="144"/>
  <c r="M248" i="144"/>
  <c r="L248" i="144"/>
  <c r="K248" i="144"/>
  <c r="J248" i="144"/>
  <c r="I248" i="144"/>
  <c r="H248" i="144"/>
  <c r="G248" i="144"/>
  <c r="F248" i="144"/>
  <c r="E248" i="144"/>
  <c r="D248" i="144"/>
  <c r="C248" i="144"/>
  <c r="B248" i="144"/>
  <c r="N247" i="144"/>
  <c r="M247" i="144"/>
  <c r="L247" i="144"/>
  <c r="K247" i="144"/>
  <c r="J247" i="144"/>
  <c r="I247" i="144"/>
  <c r="H247" i="144"/>
  <c r="G247" i="144"/>
  <c r="F247" i="144"/>
  <c r="E247" i="144"/>
  <c r="D247" i="144"/>
  <c r="C247" i="144"/>
  <c r="B247" i="144"/>
  <c r="N246" i="144"/>
  <c r="M246" i="144"/>
  <c r="L246" i="144"/>
  <c r="K246" i="144"/>
  <c r="J246" i="144"/>
  <c r="I246" i="144"/>
  <c r="H246" i="144"/>
  <c r="G246" i="144"/>
  <c r="F246" i="144"/>
  <c r="E246" i="144"/>
  <c r="D246" i="144"/>
  <c r="C246" i="144"/>
  <c r="B246" i="144"/>
  <c r="N240" i="144"/>
  <c r="M240" i="144"/>
  <c r="L240" i="144"/>
  <c r="K240" i="144"/>
  <c r="J240" i="144"/>
  <c r="I240" i="144"/>
  <c r="H240" i="144"/>
  <c r="G240" i="144"/>
  <c r="F240" i="144"/>
  <c r="E240" i="144"/>
  <c r="D240" i="144"/>
  <c r="C240" i="144"/>
  <c r="A240" i="144"/>
  <c r="N239" i="144"/>
  <c r="M239" i="144"/>
  <c r="L239" i="144"/>
  <c r="K239" i="144"/>
  <c r="J239" i="144"/>
  <c r="I239" i="144"/>
  <c r="H239" i="144"/>
  <c r="G239" i="144"/>
  <c r="F239" i="144"/>
  <c r="E239" i="144"/>
  <c r="D239" i="144"/>
  <c r="C239" i="144"/>
  <c r="B239" i="144"/>
  <c r="N238" i="144"/>
  <c r="M238" i="144"/>
  <c r="L238" i="144"/>
  <c r="K238" i="144"/>
  <c r="J238" i="144"/>
  <c r="I238" i="144"/>
  <c r="H238" i="144"/>
  <c r="G238" i="144"/>
  <c r="F238" i="144"/>
  <c r="E238" i="144"/>
  <c r="D238" i="144"/>
  <c r="C238" i="144"/>
  <c r="B238" i="144"/>
  <c r="N237" i="144"/>
  <c r="M237" i="144"/>
  <c r="L237" i="144"/>
  <c r="K237" i="144"/>
  <c r="J237" i="144"/>
  <c r="I237" i="144"/>
  <c r="H237" i="144"/>
  <c r="G237" i="144"/>
  <c r="F237" i="144"/>
  <c r="E237" i="144"/>
  <c r="D237" i="144"/>
  <c r="C237" i="144"/>
  <c r="B237" i="144"/>
  <c r="N236" i="144"/>
  <c r="M236" i="144"/>
  <c r="L236" i="144"/>
  <c r="K236" i="144"/>
  <c r="J236" i="144"/>
  <c r="I236" i="144"/>
  <c r="H236" i="144"/>
  <c r="G236" i="144"/>
  <c r="F236" i="144"/>
  <c r="E236" i="144"/>
  <c r="D236" i="144"/>
  <c r="C236" i="144"/>
  <c r="B236" i="144"/>
  <c r="N235" i="144"/>
  <c r="M235" i="144"/>
  <c r="L235" i="144"/>
  <c r="K235" i="144"/>
  <c r="J235" i="144"/>
  <c r="I235" i="144"/>
  <c r="H235" i="144"/>
  <c r="G235" i="144"/>
  <c r="F235" i="144"/>
  <c r="E235" i="144"/>
  <c r="D235" i="144"/>
  <c r="C235" i="144"/>
  <c r="B235" i="144"/>
  <c r="N234" i="144"/>
  <c r="M234" i="144"/>
  <c r="L234" i="144"/>
  <c r="K234" i="144"/>
  <c r="J234" i="144"/>
  <c r="I234" i="144"/>
  <c r="H234" i="144"/>
  <c r="G234" i="144"/>
  <c r="F234" i="144"/>
  <c r="E234" i="144"/>
  <c r="D234" i="144"/>
  <c r="C234" i="144"/>
  <c r="B234" i="144"/>
  <c r="N233" i="144"/>
  <c r="M233" i="144"/>
  <c r="L233" i="144"/>
  <c r="K233" i="144"/>
  <c r="J233" i="144"/>
  <c r="I233" i="144"/>
  <c r="H233" i="144"/>
  <c r="G233" i="144"/>
  <c r="F233" i="144"/>
  <c r="E233" i="144"/>
  <c r="D233" i="144"/>
  <c r="C233" i="144"/>
  <c r="B233" i="144"/>
  <c r="N232" i="144"/>
  <c r="M232" i="144"/>
  <c r="L232" i="144"/>
  <c r="K232" i="144"/>
  <c r="J232" i="144"/>
  <c r="I232" i="144"/>
  <c r="H232" i="144"/>
  <c r="G232" i="144"/>
  <c r="F232" i="144"/>
  <c r="E232" i="144"/>
  <c r="D232" i="144"/>
  <c r="C232" i="144"/>
  <c r="B232" i="144"/>
  <c r="N231" i="144"/>
  <c r="M231" i="144"/>
  <c r="L231" i="144"/>
  <c r="K231" i="144"/>
  <c r="J231" i="144"/>
  <c r="I231" i="144"/>
  <c r="H231" i="144"/>
  <c r="G231" i="144"/>
  <c r="F231" i="144"/>
  <c r="E231" i="144"/>
  <c r="D231" i="144"/>
  <c r="C231" i="144"/>
  <c r="B231" i="144"/>
  <c r="N230" i="144"/>
  <c r="M230" i="144"/>
  <c r="L230" i="144"/>
  <c r="K230" i="144"/>
  <c r="J230" i="144"/>
  <c r="I230" i="144"/>
  <c r="H230" i="144"/>
  <c r="G230" i="144"/>
  <c r="F230" i="144"/>
  <c r="E230" i="144"/>
  <c r="D230" i="144"/>
  <c r="C230" i="144"/>
  <c r="B230" i="144"/>
  <c r="N229" i="144"/>
  <c r="M229" i="144"/>
  <c r="L229" i="144"/>
  <c r="K229" i="144"/>
  <c r="J229" i="144"/>
  <c r="I229" i="144"/>
  <c r="H229" i="144"/>
  <c r="G229" i="144"/>
  <c r="F229" i="144"/>
  <c r="E229" i="144"/>
  <c r="D229" i="144"/>
  <c r="C229" i="144"/>
  <c r="B229" i="144"/>
  <c r="N228" i="144"/>
  <c r="M228" i="144"/>
  <c r="L228" i="144"/>
  <c r="K228" i="144"/>
  <c r="J228" i="144"/>
  <c r="I228" i="144"/>
  <c r="H228" i="144"/>
  <c r="G228" i="144"/>
  <c r="F228" i="144"/>
  <c r="E228" i="144"/>
  <c r="D228" i="144"/>
  <c r="C228" i="144"/>
  <c r="B228" i="144"/>
  <c r="N224" i="144"/>
  <c r="M224" i="144"/>
  <c r="L224" i="144"/>
  <c r="K224" i="144"/>
  <c r="J224" i="144"/>
  <c r="I224" i="144"/>
  <c r="H224" i="144"/>
  <c r="G224" i="144"/>
  <c r="F224" i="144"/>
  <c r="E224" i="144"/>
  <c r="D224" i="144"/>
  <c r="C224" i="144"/>
  <c r="A224" i="144"/>
  <c r="N223" i="144"/>
  <c r="M223" i="144"/>
  <c r="L223" i="144"/>
  <c r="K223" i="144"/>
  <c r="J223" i="144"/>
  <c r="I223" i="144"/>
  <c r="H223" i="144"/>
  <c r="G223" i="144"/>
  <c r="F223" i="144"/>
  <c r="E223" i="144"/>
  <c r="D223" i="144"/>
  <c r="C223" i="144"/>
  <c r="B223" i="144"/>
  <c r="N222" i="144"/>
  <c r="M222" i="144"/>
  <c r="L222" i="144"/>
  <c r="K222" i="144"/>
  <c r="J222" i="144"/>
  <c r="I222" i="144"/>
  <c r="H222" i="144"/>
  <c r="G222" i="144"/>
  <c r="F222" i="144"/>
  <c r="E222" i="144"/>
  <c r="D222" i="144"/>
  <c r="C222" i="144"/>
  <c r="B222" i="144"/>
  <c r="N221" i="144"/>
  <c r="M221" i="144"/>
  <c r="L221" i="144"/>
  <c r="K221" i="144"/>
  <c r="J221" i="144"/>
  <c r="I221" i="144"/>
  <c r="H221" i="144"/>
  <c r="G221" i="144"/>
  <c r="F221" i="144"/>
  <c r="E221" i="144"/>
  <c r="D221" i="144"/>
  <c r="C221" i="144"/>
  <c r="B221" i="144"/>
  <c r="N220" i="144"/>
  <c r="M220" i="144"/>
  <c r="L220" i="144"/>
  <c r="K220" i="144"/>
  <c r="J220" i="144"/>
  <c r="I220" i="144"/>
  <c r="H220" i="144"/>
  <c r="G220" i="144"/>
  <c r="F220" i="144"/>
  <c r="E220" i="144"/>
  <c r="D220" i="144"/>
  <c r="C220" i="144"/>
  <c r="B220" i="144"/>
  <c r="N219" i="144"/>
  <c r="M219" i="144"/>
  <c r="L219" i="144"/>
  <c r="K219" i="144"/>
  <c r="J219" i="144"/>
  <c r="I219" i="144"/>
  <c r="H219" i="144"/>
  <c r="G219" i="144"/>
  <c r="F219" i="144"/>
  <c r="E219" i="144"/>
  <c r="D219" i="144"/>
  <c r="C219" i="144"/>
  <c r="B219" i="144"/>
  <c r="N218" i="144"/>
  <c r="M218" i="144"/>
  <c r="L218" i="144"/>
  <c r="K218" i="144"/>
  <c r="J218" i="144"/>
  <c r="I218" i="144"/>
  <c r="H218" i="144"/>
  <c r="G218" i="144"/>
  <c r="F218" i="144"/>
  <c r="E218" i="144"/>
  <c r="D218" i="144"/>
  <c r="C218" i="144"/>
  <c r="B218" i="144"/>
  <c r="N217" i="144"/>
  <c r="M217" i="144"/>
  <c r="L217" i="144"/>
  <c r="K217" i="144"/>
  <c r="J217" i="144"/>
  <c r="I217" i="144"/>
  <c r="H217" i="144"/>
  <c r="G217" i="144"/>
  <c r="F217" i="144"/>
  <c r="E217" i="144"/>
  <c r="D217" i="144"/>
  <c r="C217" i="144"/>
  <c r="B217" i="144"/>
  <c r="N216" i="144"/>
  <c r="M216" i="144"/>
  <c r="L216" i="144"/>
  <c r="K216" i="144"/>
  <c r="J216" i="144"/>
  <c r="I216" i="144"/>
  <c r="H216" i="144"/>
  <c r="G216" i="144"/>
  <c r="F216" i="144"/>
  <c r="E216" i="144"/>
  <c r="D216" i="144"/>
  <c r="C216" i="144"/>
  <c r="B216" i="144"/>
  <c r="N215" i="144"/>
  <c r="M215" i="144"/>
  <c r="L215" i="144"/>
  <c r="K215" i="144"/>
  <c r="J215" i="144"/>
  <c r="I215" i="144"/>
  <c r="H215" i="144"/>
  <c r="G215" i="144"/>
  <c r="F215" i="144"/>
  <c r="E215" i="144"/>
  <c r="D215" i="144"/>
  <c r="C215" i="144"/>
  <c r="B215" i="144"/>
  <c r="N214" i="144"/>
  <c r="M214" i="144"/>
  <c r="L214" i="144"/>
  <c r="K214" i="144"/>
  <c r="J214" i="144"/>
  <c r="I214" i="144"/>
  <c r="H214" i="144"/>
  <c r="G214" i="144"/>
  <c r="F214" i="144"/>
  <c r="E214" i="144"/>
  <c r="D214" i="144"/>
  <c r="C214" i="144"/>
  <c r="B214" i="144"/>
  <c r="N213" i="144"/>
  <c r="M213" i="144"/>
  <c r="L213" i="144"/>
  <c r="K213" i="144"/>
  <c r="J213" i="144"/>
  <c r="I213" i="144"/>
  <c r="H213" i="144"/>
  <c r="G213" i="144"/>
  <c r="F213" i="144"/>
  <c r="E213" i="144"/>
  <c r="D213" i="144"/>
  <c r="C213" i="144"/>
  <c r="B213" i="144"/>
  <c r="N212" i="144"/>
  <c r="M212" i="144"/>
  <c r="L212" i="144"/>
  <c r="K212" i="144"/>
  <c r="J212" i="144"/>
  <c r="I212" i="144"/>
  <c r="H212" i="144"/>
  <c r="G212" i="144"/>
  <c r="F212" i="144"/>
  <c r="E212" i="144"/>
  <c r="D212" i="144"/>
  <c r="C212" i="144"/>
  <c r="B212" i="144"/>
  <c r="N206" i="144"/>
  <c r="M206" i="144"/>
  <c r="L206" i="144"/>
  <c r="K206" i="144"/>
  <c r="J206" i="144"/>
  <c r="I206" i="144"/>
  <c r="H206" i="144"/>
  <c r="G206" i="144"/>
  <c r="F206" i="144"/>
  <c r="E206" i="144"/>
  <c r="D206" i="144"/>
  <c r="C206" i="144"/>
  <c r="A206" i="144"/>
  <c r="N205" i="144"/>
  <c r="M205" i="144"/>
  <c r="L205" i="144"/>
  <c r="K205" i="144"/>
  <c r="J205" i="144"/>
  <c r="I205" i="144"/>
  <c r="H205" i="144"/>
  <c r="G205" i="144"/>
  <c r="F205" i="144"/>
  <c r="E205" i="144"/>
  <c r="D205" i="144"/>
  <c r="C205" i="144"/>
  <c r="B205" i="144"/>
  <c r="N204" i="144"/>
  <c r="M204" i="144"/>
  <c r="L204" i="144"/>
  <c r="K204" i="144"/>
  <c r="J204" i="144"/>
  <c r="I204" i="144"/>
  <c r="H204" i="144"/>
  <c r="G204" i="144"/>
  <c r="F204" i="144"/>
  <c r="E204" i="144"/>
  <c r="D204" i="144"/>
  <c r="C204" i="144"/>
  <c r="B204" i="144"/>
  <c r="N203" i="144"/>
  <c r="M203" i="144"/>
  <c r="L203" i="144"/>
  <c r="K203" i="144"/>
  <c r="J203" i="144"/>
  <c r="I203" i="144"/>
  <c r="H203" i="144"/>
  <c r="G203" i="144"/>
  <c r="F203" i="144"/>
  <c r="E203" i="144"/>
  <c r="D203" i="144"/>
  <c r="C203" i="144"/>
  <c r="B203" i="144"/>
  <c r="N202" i="144"/>
  <c r="M202" i="144"/>
  <c r="L202" i="144"/>
  <c r="K202" i="144"/>
  <c r="J202" i="144"/>
  <c r="I202" i="144"/>
  <c r="H202" i="144"/>
  <c r="G202" i="144"/>
  <c r="F202" i="144"/>
  <c r="E202" i="144"/>
  <c r="D202" i="144"/>
  <c r="C202" i="144"/>
  <c r="B202" i="144"/>
  <c r="N201" i="144"/>
  <c r="M201" i="144"/>
  <c r="L201" i="144"/>
  <c r="K201" i="144"/>
  <c r="J201" i="144"/>
  <c r="I201" i="144"/>
  <c r="H201" i="144"/>
  <c r="G201" i="144"/>
  <c r="F201" i="144"/>
  <c r="E201" i="144"/>
  <c r="D201" i="144"/>
  <c r="C201" i="144"/>
  <c r="B201" i="144"/>
  <c r="N200" i="144"/>
  <c r="M200" i="144"/>
  <c r="L200" i="144"/>
  <c r="K200" i="144"/>
  <c r="J200" i="144"/>
  <c r="I200" i="144"/>
  <c r="H200" i="144"/>
  <c r="G200" i="144"/>
  <c r="F200" i="144"/>
  <c r="E200" i="144"/>
  <c r="D200" i="144"/>
  <c r="C200" i="144"/>
  <c r="B200" i="144"/>
  <c r="N199" i="144"/>
  <c r="M199" i="144"/>
  <c r="L199" i="144"/>
  <c r="K199" i="144"/>
  <c r="J199" i="144"/>
  <c r="I199" i="144"/>
  <c r="H199" i="144"/>
  <c r="G199" i="144"/>
  <c r="F199" i="144"/>
  <c r="E199" i="144"/>
  <c r="D199" i="144"/>
  <c r="C199" i="144"/>
  <c r="B199" i="144"/>
  <c r="N198" i="144"/>
  <c r="M198" i="144"/>
  <c r="L198" i="144"/>
  <c r="K198" i="144"/>
  <c r="J198" i="144"/>
  <c r="I198" i="144"/>
  <c r="H198" i="144"/>
  <c r="G198" i="144"/>
  <c r="F198" i="144"/>
  <c r="E198" i="144"/>
  <c r="D198" i="144"/>
  <c r="C198" i="144"/>
  <c r="B198" i="144"/>
  <c r="N197" i="144"/>
  <c r="M197" i="144"/>
  <c r="L197" i="144"/>
  <c r="K197" i="144"/>
  <c r="J197" i="144"/>
  <c r="I197" i="144"/>
  <c r="H197" i="144"/>
  <c r="G197" i="144"/>
  <c r="F197" i="144"/>
  <c r="E197" i="144"/>
  <c r="D197" i="144"/>
  <c r="C197" i="144"/>
  <c r="B197" i="144"/>
  <c r="N196" i="144"/>
  <c r="M196" i="144"/>
  <c r="L196" i="144"/>
  <c r="K196" i="144"/>
  <c r="J196" i="144"/>
  <c r="I196" i="144"/>
  <c r="H196" i="144"/>
  <c r="G196" i="144"/>
  <c r="F196" i="144"/>
  <c r="E196" i="144"/>
  <c r="D196" i="144"/>
  <c r="C196" i="144"/>
  <c r="B196" i="144"/>
  <c r="N195" i="144"/>
  <c r="M195" i="144"/>
  <c r="L195" i="144"/>
  <c r="K195" i="144"/>
  <c r="J195" i="144"/>
  <c r="I195" i="144"/>
  <c r="H195" i="144"/>
  <c r="G195" i="144"/>
  <c r="F195" i="144"/>
  <c r="E195" i="144"/>
  <c r="D195" i="144"/>
  <c r="C195" i="144"/>
  <c r="B195" i="144"/>
  <c r="N194" i="144"/>
  <c r="M194" i="144"/>
  <c r="L194" i="144"/>
  <c r="K194" i="144"/>
  <c r="J194" i="144"/>
  <c r="I194" i="144"/>
  <c r="H194" i="144"/>
  <c r="G194" i="144"/>
  <c r="F194" i="144"/>
  <c r="E194" i="144"/>
  <c r="D194" i="144"/>
  <c r="C194" i="144"/>
  <c r="B194" i="144"/>
  <c r="N190" i="144"/>
  <c r="M190" i="144"/>
  <c r="L190" i="144"/>
  <c r="K190" i="144"/>
  <c r="J190" i="144"/>
  <c r="I190" i="144"/>
  <c r="H190" i="144"/>
  <c r="G190" i="144"/>
  <c r="F190" i="144"/>
  <c r="E190" i="144"/>
  <c r="D190" i="144"/>
  <c r="C190" i="144"/>
  <c r="A190" i="144"/>
  <c r="N189" i="144"/>
  <c r="M189" i="144"/>
  <c r="L189" i="144"/>
  <c r="K189" i="144"/>
  <c r="J189" i="144"/>
  <c r="I189" i="144"/>
  <c r="H189" i="144"/>
  <c r="G189" i="144"/>
  <c r="F189" i="144"/>
  <c r="E189" i="144"/>
  <c r="D189" i="144"/>
  <c r="C189" i="144"/>
  <c r="B189" i="144"/>
  <c r="N188" i="144"/>
  <c r="M188" i="144"/>
  <c r="L188" i="144"/>
  <c r="K188" i="144"/>
  <c r="J188" i="144"/>
  <c r="I188" i="144"/>
  <c r="H188" i="144"/>
  <c r="G188" i="144"/>
  <c r="F188" i="144"/>
  <c r="E188" i="144"/>
  <c r="D188" i="144"/>
  <c r="C188" i="144"/>
  <c r="B188" i="144"/>
  <c r="N187" i="144"/>
  <c r="M187" i="144"/>
  <c r="L187" i="144"/>
  <c r="K187" i="144"/>
  <c r="J187" i="144"/>
  <c r="I187" i="144"/>
  <c r="H187" i="144"/>
  <c r="G187" i="144"/>
  <c r="F187" i="144"/>
  <c r="E187" i="144"/>
  <c r="D187" i="144"/>
  <c r="C187" i="144"/>
  <c r="B187" i="144"/>
  <c r="N186" i="144"/>
  <c r="M186" i="144"/>
  <c r="L186" i="144"/>
  <c r="K186" i="144"/>
  <c r="J186" i="144"/>
  <c r="I186" i="144"/>
  <c r="H186" i="144"/>
  <c r="G186" i="144"/>
  <c r="F186" i="144"/>
  <c r="E186" i="144"/>
  <c r="D186" i="144"/>
  <c r="C186" i="144"/>
  <c r="B186" i="144"/>
  <c r="N185" i="144"/>
  <c r="M185" i="144"/>
  <c r="L185" i="144"/>
  <c r="K185" i="144"/>
  <c r="J185" i="144"/>
  <c r="I185" i="144"/>
  <c r="H185" i="144"/>
  <c r="G185" i="144"/>
  <c r="F185" i="144"/>
  <c r="E185" i="144"/>
  <c r="D185" i="144"/>
  <c r="C185" i="144"/>
  <c r="B185" i="144"/>
  <c r="N184" i="144"/>
  <c r="M184" i="144"/>
  <c r="L184" i="144"/>
  <c r="K184" i="144"/>
  <c r="J184" i="144"/>
  <c r="I184" i="144"/>
  <c r="H184" i="144"/>
  <c r="G184" i="144"/>
  <c r="F184" i="144"/>
  <c r="E184" i="144"/>
  <c r="D184" i="144"/>
  <c r="C184" i="144"/>
  <c r="B184" i="144"/>
  <c r="N183" i="144"/>
  <c r="M183" i="144"/>
  <c r="L183" i="144"/>
  <c r="K183" i="144"/>
  <c r="J183" i="144"/>
  <c r="I183" i="144"/>
  <c r="H183" i="144"/>
  <c r="G183" i="144"/>
  <c r="F183" i="144"/>
  <c r="E183" i="144"/>
  <c r="D183" i="144"/>
  <c r="C183" i="144"/>
  <c r="B183" i="144"/>
  <c r="N182" i="144"/>
  <c r="M182" i="144"/>
  <c r="L182" i="144"/>
  <c r="K182" i="144"/>
  <c r="J182" i="144"/>
  <c r="I182" i="144"/>
  <c r="H182" i="144"/>
  <c r="G182" i="144"/>
  <c r="F182" i="144"/>
  <c r="E182" i="144"/>
  <c r="D182" i="144"/>
  <c r="C182" i="144"/>
  <c r="B182" i="144"/>
  <c r="N181" i="144"/>
  <c r="M181" i="144"/>
  <c r="L181" i="144"/>
  <c r="K181" i="144"/>
  <c r="J181" i="144"/>
  <c r="I181" i="144"/>
  <c r="H181" i="144"/>
  <c r="G181" i="144"/>
  <c r="F181" i="144"/>
  <c r="E181" i="144"/>
  <c r="D181" i="144"/>
  <c r="C181" i="144"/>
  <c r="B181" i="144"/>
  <c r="N180" i="144"/>
  <c r="M180" i="144"/>
  <c r="L180" i="144"/>
  <c r="K180" i="144"/>
  <c r="J180" i="144"/>
  <c r="I180" i="144"/>
  <c r="H180" i="144"/>
  <c r="G180" i="144"/>
  <c r="F180" i="144"/>
  <c r="E180" i="144"/>
  <c r="D180" i="144"/>
  <c r="C180" i="144"/>
  <c r="B180" i="144"/>
  <c r="N179" i="144"/>
  <c r="M179" i="144"/>
  <c r="L179" i="144"/>
  <c r="K179" i="144"/>
  <c r="J179" i="144"/>
  <c r="I179" i="144"/>
  <c r="H179" i="144"/>
  <c r="G179" i="144"/>
  <c r="F179" i="144"/>
  <c r="E179" i="144"/>
  <c r="D179" i="144"/>
  <c r="C179" i="144"/>
  <c r="B179" i="144"/>
  <c r="N178" i="144"/>
  <c r="M178" i="144"/>
  <c r="L178" i="144"/>
  <c r="K178" i="144"/>
  <c r="J178" i="144"/>
  <c r="I178" i="144"/>
  <c r="H178" i="144"/>
  <c r="G178" i="144"/>
  <c r="F178" i="144"/>
  <c r="E178" i="144"/>
  <c r="D178" i="144"/>
  <c r="C178" i="144"/>
  <c r="B178" i="144"/>
  <c r="N172" i="144"/>
  <c r="M172" i="144"/>
  <c r="L172" i="144"/>
  <c r="K172" i="144"/>
  <c r="J172" i="144"/>
  <c r="I172" i="144"/>
  <c r="H172" i="144"/>
  <c r="G172" i="144"/>
  <c r="F172" i="144"/>
  <c r="E172" i="144"/>
  <c r="D172" i="144"/>
  <c r="C172" i="144"/>
  <c r="A172" i="144"/>
  <c r="N171" i="144"/>
  <c r="M171" i="144"/>
  <c r="L171" i="144"/>
  <c r="K171" i="144"/>
  <c r="J171" i="144"/>
  <c r="I171" i="144"/>
  <c r="H171" i="144"/>
  <c r="G171" i="144"/>
  <c r="F171" i="144"/>
  <c r="E171" i="144"/>
  <c r="D171" i="144"/>
  <c r="C171" i="144"/>
  <c r="B171" i="144"/>
  <c r="N170" i="144"/>
  <c r="M170" i="144"/>
  <c r="L170" i="144"/>
  <c r="K170" i="144"/>
  <c r="J170" i="144"/>
  <c r="I170" i="144"/>
  <c r="H170" i="144"/>
  <c r="G170" i="144"/>
  <c r="F170" i="144"/>
  <c r="E170" i="144"/>
  <c r="D170" i="144"/>
  <c r="C170" i="144"/>
  <c r="B170" i="144"/>
  <c r="N169" i="144"/>
  <c r="M169" i="144"/>
  <c r="L169" i="144"/>
  <c r="K169" i="144"/>
  <c r="J169" i="144"/>
  <c r="I169" i="144"/>
  <c r="H169" i="144"/>
  <c r="G169" i="144"/>
  <c r="F169" i="144"/>
  <c r="E169" i="144"/>
  <c r="D169" i="144"/>
  <c r="C169" i="144"/>
  <c r="B169" i="144"/>
  <c r="N168" i="144"/>
  <c r="M168" i="144"/>
  <c r="L168" i="144"/>
  <c r="K168" i="144"/>
  <c r="J168" i="144"/>
  <c r="I168" i="144"/>
  <c r="H168" i="144"/>
  <c r="G168" i="144"/>
  <c r="F168" i="144"/>
  <c r="E168" i="144"/>
  <c r="D168" i="144"/>
  <c r="C168" i="144"/>
  <c r="B168" i="144"/>
  <c r="N167" i="144"/>
  <c r="M167" i="144"/>
  <c r="L167" i="144"/>
  <c r="K167" i="144"/>
  <c r="J167" i="144"/>
  <c r="I167" i="144"/>
  <c r="H167" i="144"/>
  <c r="G167" i="144"/>
  <c r="F167" i="144"/>
  <c r="E167" i="144"/>
  <c r="D167" i="144"/>
  <c r="C167" i="144"/>
  <c r="B167" i="144"/>
  <c r="N166" i="144"/>
  <c r="M166" i="144"/>
  <c r="L166" i="144"/>
  <c r="K166" i="144"/>
  <c r="J166" i="144"/>
  <c r="I166" i="144"/>
  <c r="H166" i="144"/>
  <c r="G166" i="144"/>
  <c r="F166" i="144"/>
  <c r="E166" i="144"/>
  <c r="D166" i="144"/>
  <c r="C166" i="144"/>
  <c r="B166" i="144"/>
  <c r="N165" i="144"/>
  <c r="M165" i="144"/>
  <c r="L165" i="144"/>
  <c r="K165" i="144"/>
  <c r="J165" i="144"/>
  <c r="I165" i="144"/>
  <c r="H165" i="144"/>
  <c r="G165" i="144"/>
  <c r="F165" i="144"/>
  <c r="E165" i="144"/>
  <c r="D165" i="144"/>
  <c r="C165" i="144"/>
  <c r="B165" i="144"/>
  <c r="N164" i="144"/>
  <c r="M164" i="144"/>
  <c r="L164" i="144"/>
  <c r="K164" i="144"/>
  <c r="J164" i="144"/>
  <c r="I164" i="144"/>
  <c r="H164" i="144"/>
  <c r="G164" i="144"/>
  <c r="F164" i="144"/>
  <c r="E164" i="144"/>
  <c r="D164" i="144"/>
  <c r="C164" i="144"/>
  <c r="B164" i="144"/>
  <c r="N163" i="144"/>
  <c r="M163" i="144"/>
  <c r="L163" i="144"/>
  <c r="K163" i="144"/>
  <c r="J163" i="144"/>
  <c r="I163" i="144"/>
  <c r="H163" i="144"/>
  <c r="G163" i="144"/>
  <c r="F163" i="144"/>
  <c r="E163" i="144"/>
  <c r="D163" i="144"/>
  <c r="C163" i="144"/>
  <c r="B163" i="144"/>
  <c r="N162" i="144"/>
  <c r="M162" i="144"/>
  <c r="L162" i="144"/>
  <c r="K162" i="144"/>
  <c r="J162" i="144"/>
  <c r="I162" i="144"/>
  <c r="H162" i="144"/>
  <c r="G162" i="144"/>
  <c r="F162" i="144"/>
  <c r="E162" i="144"/>
  <c r="D162" i="144"/>
  <c r="C162" i="144"/>
  <c r="B162" i="144"/>
  <c r="N161" i="144"/>
  <c r="M161" i="144"/>
  <c r="L161" i="144"/>
  <c r="K161" i="144"/>
  <c r="J161" i="144"/>
  <c r="I161" i="144"/>
  <c r="H161" i="144"/>
  <c r="G161" i="144"/>
  <c r="F161" i="144"/>
  <c r="E161" i="144"/>
  <c r="D161" i="144"/>
  <c r="C161" i="144"/>
  <c r="B161" i="144"/>
  <c r="N160" i="144"/>
  <c r="M160" i="144"/>
  <c r="L160" i="144"/>
  <c r="K160" i="144"/>
  <c r="J160" i="144"/>
  <c r="I160" i="144"/>
  <c r="H160" i="144"/>
  <c r="G160" i="144"/>
  <c r="F160" i="144"/>
  <c r="E160" i="144"/>
  <c r="D160" i="144"/>
  <c r="C160" i="144"/>
  <c r="B160" i="144"/>
  <c r="N156" i="144"/>
  <c r="M156" i="144"/>
  <c r="L156" i="144"/>
  <c r="K156" i="144"/>
  <c r="J156" i="144"/>
  <c r="I156" i="144"/>
  <c r="H156" i="144"/>
  <c r="G156" i="144"/>
  <c r="F156" i="144"/>
  <c r="E156" i="144"/>
  <c r="D156" i="144"/>
  <c r="C156" i="144"/>
  <c r="A156" i="144"/>
  <c r="N155" i="144"/>
  <c r="M155" i="144"/>
  <c r="L155" i="144"/>
  <c r="K155" i="144"/>
  <c r="J155" i="144"/>
  <c r="I155" i="144"/>
  <c r="H155" i="144"/>
  <c r="G155" i="144"/>
  <c r="F155" i="144"/>
  <c r="E155" i="144"/>
  <c r="D155" i="144"/>
  <c r="C155" i="144"/>
  <c r="B155" i="144"/>
  <c r="N154" i="144"/>
  <c r="M154" i="144"/>
  <c r="L154" i="144"/>
  <c r="K154" i="144"/>
  <c r="J154" i="144"/>
  <c r="I154" i="144"/>
  <c r="H154" i="144"/>
  <c r="G154" i="144"/>
  <c r="F154" i="144"/>
  <c r="E154" i="144"/>
  <c r="D154" i="144"/>
  <c r="C154" i="144"/>
  <c r="B154" i="144"/>
  <c r="N153" i="144"/>
  <c r="M153" i="144"/>
  <c r="L153" i="144"/>
  <c r="K153" i="144"/>
  <c r="J153" i="144"/>
  <c r="I153" i="144"/>
  <c r="H153" i="144"/>
  <c r="G153" i="144"/>
  <c r="F153" i="144"/>
  <c r="E153" i="144"/>
  <c r="D153" i="144"/>
  <c r="C153" i="144"/>
  <c r="B153" i="144"/>
  <c r="N152" i="144"/>
  <c r="M152" i="144"/>
  <c r="L152" i="144"/>
  <c r="K152" i="144"/>
  <c r="J152" i="144"/>
  <c r="I152" i="144"/>
  <c r="H152" i="144"/>
  <c r="G152" i="144"/>
  <c r="F152" i="144"/>
  <c r="E152" i="144"/>
  <c r="D152" i="144"/>
  <c r="C152" i="144"/>
  <c r="B152" i="144"/>
  <c r="N151" i="144"/>
  <c r="M151" i="144"/>
  <c r="L151" i="144"/>
  <c r="K151" i="144"/>
  <c r="J151" i="144"/>
  <c r="I151" i="144"/>
  <c r="H151" i="144"/>
  <c r="G151" i="144"/>
  <c r="F151" i="144"/>
  <c r="E151" i="144"/>
  <c r="D151" i="144"/>
  <c r="C151" i="144"/>
  <c r="B151" i="144"/>
  <c r="N150" i="144"/>
  <c r="M150" i="144"/>
  <c r="L150" i="144"/>
  <c r="K150" i="144"/>
  <c r="J150" i="144"/>
  <c r="I150" i="144"/>
  <c r="H150" i="144"/>
  <c r="G150" i="144"/>
  <c r="F150" i="144"/>
  <c r="E150" i="144"/>
  <c r="D150" i="144"/>
  <c r="C150" i="144"/>
  <c r="B150" i="144"/>
  <c r="N149" i="144"/>
  <c r="M149" i="144"/>
  <c r="L149" i="144"/>
  <c r="K149" i="144"/>
  <c r="J149" i="144"/>
  <c r="I149" i="144"/>
  <c r="H149" i="144"/>
  <c r="G149" i="144"/>
  <c r="F149" i="144"/>
  <c r="E149" i="144"/>
  <c r="D149" i="144"/>
  <c r="C149" i="144"/>
  <c r="B149" i="144"/>
  <c r="N148" i="144"/>
  <c r="M148" i="144"/>
  <c r="L148" i="144"/>
  <c r="K148" i="144"/>
  <c r="J148" i="144"/>
  <c r="I148" i="144"/>
  <c r="H148" i="144"/>
  <c r="G148" i="144"/>
  <c r="F148" i="144"/>
  <c r="E148" i="144"/>
  <c r="D148" i="144"/>
  <c r="C148" i="144"/>
  <c r="B148" i="144"/>
  <c r="N147" i="144"/>
  <c r="M147" i="144"/>
  <c r="L147" i="144"/>
  <c r="K147" i="144"/>
  <c r="J147" i="144"/>
  <c r="I147" i="144"/>
  <c r="H147" i="144"/>
  <c r="G147" i="144"/>
  <c r="F147" i="144"/>
  <c r="E147" i="144"/>
  <c r="D147" i="144"/>
  <c r="C147" i="144"/>
  <c r="B147" i="144"/>
  <c r="N146" i="144"/>
  <c r="M146" i="144"/>
  <c r="L146" i="144"/>
  <c r="K146" i="144"/>
  <c r="J146" i="144"/>
  <c r="I146" i="144"/>
  <c r="H146" i="144"/>
  <c r="G146" i="144"/>
  <c r="F146" i="144"/>
  <c r="E146" i="144"/>
  <c r="D146" i="144"/>
  <c r="C146" i="144"/>
  <c r="B146" i="144"/>
  <c r="N145" i="144"/>
  <c r="M145" i="144"/>
  <c r="L145" i="144"/>
  <c r="K145" i="144"/>
  <c r="J145" i="144"/>
  <c r="I145" i="144"/>
  <c r="H145" i="144"/>
  <c r="G145" i="144"/>
  <c r="F145" i="144"/>
  <c r="E145" i="144"/>
  <c r="D145" i="144"/>
  <c r="C145" i="144"/>
  <c r="B145" i="144"/>
  <c r="N144" i="144"/>
  <c r="M144" i="144"/>
  <c r="L144" i="144"/>
  <c r="K144" i="144"/>
  <c r="J144" i="144"/>
  <c r="I144" i="144"/>
  <c r="H144" i="144"/>
  <c r="G144" i="144"/>
  <c r="F144" i="144"/>
  <c r="E144" i="144"/>
  <c r="D144" i="144"/>
  <c r="C144" i="144"/>
  <c r="B144" i="144"/>
  <c r="N138" i="144"/>
  <c r="M138" i="144"/>
  <c r="L138" i="144"/>
  <c r="K138" i="144"/>
  <c r="J138" i="144"/>
  <c r="I138" i="144"/>
  <c r="H138" i="144"/>
  <c r="G138" i="144"/>
  <c r="F138" i="144"/>
  <c r="E138" i="144"/>
  <c r="D138" i="144"/>
  <c r="C138" i="144"/>
  <c r="A138" i="144"/>
  <c r="N137" i="144"/>
  <c r="M137" i="144"/>
  <c r="L137" i="144"/>
  <c r="K137" i="144"/>
  <c r="J137" i="144"/>
  <c r="I137" i="144"/>
  <c r="H137" i="144"/>
  <c r="G137" i="144"/>
  <c r="F137" i="144"/>
  <c r="E137" i="144"/>
  <c r="D137" i="144"/>
  <c r="C137" i="144"/>
  <c r="B137" i="144"/>
  <c r="N136" i="144"/>
  <c r="M136" i="144"/>
  <c r="L136" i="144"/>
  <c r="K136" i="144"/>
  <c r="J136" i="144"/>
  <c r="I136" i="144"/>
  <c r="H136" i="144"/>
  <c r="G136" i="144"/>
  <c r="F136" i="144"/>
  <c r="E136" i="144"/>
  <c r="D136" i="144"/>
  <c r="C136" i="144"/>
  <c r="B136" i="144"/>
  <c r="N135" i="144"/>
  <c r="M135" i="144"/>
  <c r="L135" i="144"/>
  <c r="K135" i="144"/>
  <c r="J135" i="144"/>
  <c r="I135" i="144"/>
  <c r="H135" i="144"/>
  <c r="G135" i="144"/>
  <c r="F135" i="144"/>
  <c r="E135" i="144"/>
  <c r="D135" i="144"/>
  <c r="C135" i="144"/>
  <c r="B135" i="144"/>
  <c r="N134" i="144"/>
  <c r="M134" i="144"/>
  <c r="L134" i="144"/>
  <c r="K134" i="144"/>
  <c r="J134" i="144"/>
  <c r="I134" i="144"/>
  <c r="H134" i="144"/>
  <c r="G134" i="144"/>
  <c r="F134" i="144"/>
  <c r="E134" i="144"/>
  <c r="D134" i="144"/>
  <c r="C134" i="144"/>
  <c r="B134" i="144"/>
  <c r="N133" i="144"/>
  <c r="M133" i="144"/>
  <c r="L133" i="144"/>
  <c r="K133" i="144"/>
  <c r="J133" i="144"/>
  <c r="I133" i="144"/>
  <c r="H133" i="144"/>
  <c r="G133" i="144"/>
  <c r="F133" i="144"/>
  <c r="E133" i="144"/>
  <c r="D133" i="144"/>
  <c r="C133" i="144"/>
  <c r="B133" i="144"/>
  <c r="N132" i="144"/>
  <c r="M132" i="144"/>
  <c r="L132" i="144"/>
  <c r="K132" i="144"/>
  <c r="J132" i="144"/>
  <c r="I132" i="144"/>
  <c r="H132" i="144"/>
  <c r="G132" i="144"/>
  <c r="F132" i="144"/>
  <c r="E132" i="144"/>
  <c r="D132" i="144"/>
  <c r="C132" i="144"/>
  <c r="B132" i="144"/>
  <c r="N131" i="144"/>
  <c r="M131" i="144"/>
  <c r="L131" i="144"/>
  <c r="K131" i="144"/>
  <c r="J131" i="144"/>
  <c r="I131" i="144"/>
  <c r="H131" i="144"/>
  <c r="G131" i="144"/>
  <c r="F131" i="144"/>
  <c r="E131" i="144"/>
  <c r="D131" i="144"/>
  <c r="C131" i="144"/>
  <c r="B131" i="144"/>
  <c r="N130" i="144"/>
  <c r="M130" i="144"/>
  <c r="L130" i="144"/>
  <c r="K130" i="144"/>
  <c r="J130" i="144"/>
  <c r="I130" i="144"/>
  <c r="H130" i="144"/>
  <c r="G130" i="144"/>
  <c r="F130" i="144"/>
  <c r="E130" i="144"/>
  <c r="D130" i="144"/>
  <c r="C130" i="144"/>
  <c r="B130" i="144"/>
  <c r="N129" i="144"/>
  <c r="M129" i="144"/>
  <c r="L129" i="144"/>
  <c r="K129" i="144"/>
  <c r="J129" i="144"/>
  <c r="I129" i="144"/>
  <c r="H129" i="144"/>
  <c r="G129" i="144"/>
  <c r="F129" i="144"/>
  <c r="E129" i="144"/>
  <c r="D129" i="144"/>
  <c r="C129" i="144"/>
  <c r="B129" i="144"/>
  <c r="N128" i="144"/>
  <c r="M128" i="144"/>
  <c r="L128" i="144"/>
  <c r="K128" i="144"/>
  <c r="J128" i="144"/>
  <c r="I128" i="144"/>
  <c r="H128" i="144"/>
  <c r="G128" i="144"/>
  <c r="F128" i="144"/>
  <c r="E128" i="144"/>
  <c r="D128" i="144"/>
  <c r="C128" i="144"/>
  <c r="B128" i="144"/>
  <c r="N127" i="144"/>
  <c r="M127" i="144"/>
  <c r="L127" i="144"/>
  <c r="K127" i="144"/>
  <c r="J127" i="144"/>
  <c r="I127" i="144"/>
  <c r="H127" i="144"/>
  <c r="G127" i="144"/>
  <c r="F127" i="144"/>
  <c r="E127" i="144"/>
  <c r="D127" i="144"/>
  <c r="C127" i="144"/>
  <c r="B127" i="144"/>
  <c r="N126" i="144"/>
  <c r="M126" i="144"/>
  <c r="L126" i="144"/>
  <c r="K126" i="144"/>
  <c r="J126" i="144"/>
  <c r="I126" i="144"/>
  <c r="H126" i="144"/>
  <c r="G126" i="144"/>
  <c r="F126" i="144"/>
  <c r="E126" i="144"/>
  <c r="D126" i="144"/>
  <c r="C126" i="144"/>
  <c r="B126" i="144"/>
  <c r="N122" i="144"/>
  <c r="M122" i="144"/>
  <c r="L122" i="144"/>
  <c r="K122" i="144"/>
  <c r="J122" i="144"/>
  <c r="I122" i="144"/>
  <c r="H122" i="144"/>
  <c r="G122" i="144"/>
  <c r="F122" i="144"/>
  <c r="E122" i="144"/>
  <c r="D122" i="144"/>
  <c r="C122" i="144"/>
  <c r="A122" i="144"/>
  <c r="N121" i="144"/>
  <c r="M121" i="144"/>
  <c r="L121" i="144"/>
  <c r="K121" i="144"/>
  <c r="J121" i="144"/>
  <c r="I121" i="144"/>
  <c r="H121" i="144"/>
  <c r="G121" i="144"/>
  <c r="F121" i="144"/>
  <c r="E121" i="144"/>
  <c r="D121" i="144"/>
  <c r="C121" i="144"/>
  <c r="B121" i="144"/>
  <c r="N120" i="144"/>
  <c r="M120" i="144"/>
  <c r="L120" i="144"/>
  <c r="K120" i="144"/>
  <c r="J120" i="144"/>
  <c r="I120" i="144"/>
  <c r="H120" i="144"/>
  <c r="G120" i="144"/>
  <c r="F120" i="144"/>
  <c r="E120" i="144"/>
  <c r="D120" i="144"/>
  <c r="C120" i="144"/>
  <c r="B120" i="144"/>
  <c r="N119" i="144"/>
  <c r="M119" i="144"/>
  <c r="L119" i="144"/>
  <c r="K119" i="144"/>
  <c r="J119" i="144"/>
  <c r="I119" i="144"/>
  <c r="H119" i="144"/>
  <c r="G119" i="144"/>
  <c r="F119" i="144"/>
  <c r="E119" i="144"/>
  <c r="D119" i="144"/>
  <c r="C119" i="144"/>
  <c r="B119" i="144"/>
  <c r="N118" i="144"/>
  <c r="M118" i="144"/>
  <c r="L118" i="144"/>
  <c r="K118" i="144"/>
  <c r="J118" i="144"/>
  <c r="I118" i="144"/>
  <c r="H118" i="144"/>
  <c r="G118" i="144"/>
  <c r="F118" i="144"/>
  <c r="E118" i="144"/>
  <c r="D118" i="144"/>
  <c r="C118" i="144"/>
  <c r="B118" i="144"/>
  <c r="N117" i="144"/>
  <c r="M117" i="144"/>
  <c r="L117" i="144"/>
  <c r="K117" i="144"/>
  <c r="J117" i="144"/>
  <c r="I117" i="144"/>
  <c r="H117" i="144"/>
  <c r="G117" i="144"/>
  <c r="F117" i="144"/>
  <c r="E117" i="144"/>
  <c r="D117" i="144"/>
  <c r="C117" i="144"/>
  <c r="B117" i="144"/>
  <c r="N116" i="144"/>
  <c r="M116" i="144"/>
  <c r="L116" i="144"/>
  <c r="K116" i="144"/>
  <c r="J116" i="144"/>
  <c r="I116" i="144"/>
  <c r="H116" i="144"/>
  <c r="G116" i="144"/>
  <c r="F116" i="144"/>
  <c r="E116" i="144"/>
  <c r="D116" i="144"/>
  <c r="C116" i="144"/>
  <c r="B116" i="144"/>
  <c r="N115" i="144"/>
  <c r="M115" i="144"/>
  <c r="L115" i="144"/>
  <c r="K115" i="144"/>
  <c r="J115" i="144"/>
  <c r="I115" i="144"/>
  <c r="H115" i="144"/>
  <c r="G115" i="144"/>
  <c r="F115" i="144"/>
  <c r="E115" i="144"/>
  <c r="D115" i="144"/>
  <c r="C115" i="144"/>
  <c r="B115" i="144"/>
  <c r="N114" i="144"/>
  <c r="M114" i="144"/>
  <c r="L114" i="144"/>
  <c r="K114" i="144"/>
  <c r="J114" i="144"/>
  <c r="I114" i="144"/>
  <c r="H114" i="144"/>
  <c r="G114" i="144"/>
  <c r="F114" i="144"/>
  <c r="E114" i="144"/>
  <c r="D114" i="144"/>
  <c r="C114" i="144"/>
  <c r="B114" i="144"/>
  <c r="N113" i="144"/>
  <c r="M113" i="144"/>
  <c r="L113" i="144"/>
  <c r="K113" i="144"/>
  <c r="J113" i="144"/>
  <c r="I113" i="144"/>
  <c r="H113" i="144"/>
  <c r="G113" i="144"/>
  <c r="F113" i="144"/>
  <c r="E113" i="144"/>
  <c r="D113" i="144"/>
  <c r="C113" i="144"/>
  <c r="B113" i="144"/>
  <c r="N112" i="144"/>
  <c r="M112" i="144"/>
  <c r="L112" i="144"/>
  <c r="K112" i="144"/>
  <c r="J112" i="144"/>
  <c r="I112" i="144"/>
  <c r="H112" i="144"/>
  <c r="G112" i="144"/>
  <c r="F112" i="144"/>
  <c r="E112" i="144"/>
  <c r="D112" i="144"/>
  <c r="C112" i="144"/>
  <c r="B112" i="144"/>
  <c r="N111" i="144"/>
  <c r="M111" i="144"/>
  <c r="L111" i="144"/>
  <c r="K111" i="144"/>
  <c r="J111" i="144"/>
  <c r="I111" i="144"/>
  <c r="H111" i="144"/>
  <c r="G111" i="144"/>
  <c r="F111" i="144"/>
  <c r="E111" i="144"/>
  <c r="D111" i="144"/>
  <c r="C111" i="144"/>
  <c r="B111" i="144"/>
  <c r="N110" i="144"/>
  <c r="M110" i="144"/>
  <c r="L110" i="144"/>
  <c r="K110" i="144"/>
  <c r="J110" i="144"/>
  <c r="I110" i="144"/>
  <c r="H110" i="144"/>
  <c r="G110" i="144"/>
  <c r="F110" i="144"/>
  <c r="E110" i="144"/>
  <c r="D110" i="144"/>
  <c r="C110" i="144"/>
  <c r="B110" i="144"/>
  <c r="N104" i="144"/>
  <c r="M104" i="144"/>
  <c r="L104" i="144"/>
  <c r="K104" i="144"/>
  <c r="J104" i="144"/>
  <c r="I104" i="144"/>
  <c r="H104" i="144"/>
  <c r="G104" i="144"/>
  <c r="F104" i="144"/>
  <c r="E104" i="144"/>
  <c r="D104" i="144"/>
  <c r="C104" i="144"/>
  <c r="A104" i="144"/>
  <c r="N103" i="144"/>
  <c r="M103" i="144"/>
  <c r="L103" i="144"/>
  <c r="K103" i="144"/>
  <c r="J103" i="144"/>
  <c r="I103" i="144"/>
  <c r="H103" i="144"/>
  <c r="G103" i="144"/>
  <c r="F103" i="144"/>
  <c r="E103" i="144"/>
  <c r="D103" i="144"/>
  <c r="C103" i="144"/>
  <c r="B103" i="144"/>
  <c r="N102" i="144"/>
  <c r="M102" i="144"/>
  <c r="L102" i="144"/>
  <c r="K102" i="144"/>
  <c r="J102" i="144"/>
  <c r="I102" i="144"/>
  <c r="H102" i="144"/>
  <c r="G102" i="144"/>
  <c r="F102" i="144"/>
  <c r="E102" i="144"/>
  <c r="D102" i="144"/>
  <c r="C102" i="144"/>
  <c r="B102" i="144"/>
  <c r="N101" i="144"/>
  <c r="M101" i="144"/>
  <c r="L101" i="144"/>
  <c r="K101" i="144"/>
  <c r="J101" i="144"/>
  <c r="I101" i="144"/>
  <c r="H101" i="144"/>
  <c r="G101" i="144"/>
  <c r="F101" i="144"/>
  <c r="E101" i="144"/>
  <c r="D101" i="144"/>
  <c r="C101" i="144"/>
  <c r="B101" i="144"/>
  <c r="N100" i="144"/>
  <c r="M100" i="144"/>
  <c r="L100" i="144"/>
  <c r="K100" i="144"/>
  <c r="J100" i="144"/>
  <c r="I100" i="144"/>
  <c r="H100" i="144"/>
  <c r="G100" i="144"/>
  <c r="F100" i="144"/>
  <c r="E100" i="144"/>
  <c r="D100" i="144"/>
  <c r="C100" i="144"/>
  <c r="B100" i="144"/>
  <c r="N99" i="144"/>
  <c r="M99" i="144"/>
  <c r="L99" i="144"/>
  <c r="K99" i="144"/>
  <c r="J99" i="144"/>
  <c r="I99" i="144"/>
  <c r="H99" i="144"/>
  <c r="G99" i="144"/>
  <c r="F99" i="144"/>
  <c r="E99" i="144"/>
  <c r="D99" i="144"/>
  <c r="C99" i="144"/>
  <c r="B99" i="144"/>
  <c r="N98" i="144"/>
  <c r="M98" i="144"/>
  <c r="L98" i="144"/>
  <c r="K98" i="144"/>
  <c r="J98" i="144"/>
  <c r="I98" i="144"/>
  <c r="H98" i="144"/>
  <c r="G98" i="144"/>
  <c r="F98" i="144"/>
  <c r="E98" i="144"/>
  <c r="D98" i="144"/>
  <c r="C98" i="144"/>
  <c r="B98" i="144"/>
  <c r="N97" i="144"/>
  <c r="M97" i="144"/>
  <c r="L97" i="144"/>
  <c r="K97" i="144"/>
  <c r="J97" i="144"/>
  <c r="I97" i="144"/>
  <c r="H97" i="144"/>
  <c r="G97" i="144"/>
  <c r="F97" i="144"/>
  <c r="E97" i="144"/>
  <c r="D97" i="144"/>
  <c r="C97" i="144"/>
  <c r="B97" i="144"/>
  <c r="N96" i="144"/>
  <c r="M96" i="144"/>
  <c r="L96" i="144"/>
  <c r="K96" i="144"/>
  <c r="J96" i="144"/>
  <c r="I96" i="144"/>
  <c r="H96" i="144"/>
  <c r="G96" i="144"/>
  <c r="F96" i="144"/>
  <c r="E96" i="144"/>
  <c r="D96" i="144"/>
  <c r="C96" i="144"/>
  <c r="B96" i="144"/>
  <c r="N95" i="144"/>
  <c r="M95" i="144"/>
  <c r="L95" i="144"/>
  <c r="K95" i="144"/>
  <c r="J95" i="144"/>
  <c r="I95" i="144"/>
  <c r="H95" i="144"/>
  <c r="G95" i="144"/>
  <c r="F95" i="144"/>
  <c r="E95" i="144"/>
  <c r="D95" i="144"/>
  <c r="C95" i="144"/>
  <c r="B95" i="144"/>
  <c r="N94" i="144"/>
  <c r="M94" i="144"/>
  <c r="L94" i="144"/>
  <c r="K94" i="144"/>
  <c r="J94" i="144"/>
  <c r="I94" i="144"/>
  <c r="H94" i="144"/>
  <c r="G94" i="144"/>
  <c r="F94" i="144"/>
  <c r="E94" i="144"/>
  <c r="D94" i="144"/>
  <c r="C94" i="144"/>
  <c r="B94" i="144"/>
  <c r="N93" i="144"/>
  <c r="M93" i="144"/>
  <c r="L93" i="144"/>
  <c r="K93" i="144"/>
  <c r="J93" i="144"/>
  <c r="I93" i="144"/>
  <c r="H93" i="144"/>
  <c r="G93" i="144"/>
  <c r="F93" i="144"/>
  <c r="E93" i="144"/>
  <c r="D93" i="144"/>
  <c r="C93" i="144"/>
  <c r="B93" i="144"/>
  <c r="N92" i="144"/>
  <c r="M92" i="144"/>
  <c r="L92" i="144"/>
  <c r="K92" i="144"/>
  <c r="J92" i="144"/>
  <c r="I92" i="144"/>
  <c r="H92" i="144"/>
  <c r="G92" i="144"/>
  <c r="F92" i="144"/>
  <c r="E92" i="144"/>
  <c r="D92" i="144"/>
  <c r="C92" i="144"/>
  <c r="B92" i="144"/>
  <c r="N88" i="144"/>
  <c r="M88" i="144"/>
  <c r="L88" i="144"/>
  <c r="K88" i="144"/>
  <c r="J88" i="144"/>
  <c r="I88" i="144"/>
  <c r="H88" i="144"/>
  <c r="G88" i="144"/>
  <c r="F88" i="144"/>
  <c r="E88" i="144"/>
  <c r="D88" i="144"/>
  <c r="C88" i="144"/>
  <c r="A88" i="144"/>
  <c r="N87" i="144"/>
  <c r="M87" i="144"/>
  <c r="L87" i="144"/>
  <c r="K87" i="144"/>
  <c r="J87" i="144"/>
  <c r="I87" i="144"/>
  <c r="H87" i="144"/>
  <c r="G87" i="144"/>
  <c r="F87" i="144"/>
  <c r="E87" i="144"/>
  <c r="D87" i="144"/>
  <c r="C87" i="144"/>
  <c r="B87" i="144"/>
  <c r="N86" i="144"/>
  <c r="M86" i="144"/>
  <c r="L86" i="144"/>
  <c r="K86" i="144"/>
  <c r="J86" i="144"/>
  <c r="I86" i="144"/>
  <c r="H86" i="144"/>
  <c r="G86" i="144"/>
  <c r="F86" i="144"/>
  <c r="E86" i="144"/>
  <c r="D86" i="144"/>
  <c r="C86" i="144"/>
  <c r="B86" i="144"/>
  <c r="N85" i="144"/>
  <c r="M85" i="144"/>
  <c r="L85" i="144"/>
  <c r="K85" i="144"/>
  <c r="J85" i="144"/>
  <c r="I85" i="144"/>
  <c r="H85" i="144"/>
  <c r="G85" i="144"/>
  <c r="F85" i="144"/>
  <c r="E85" i="144"/>
  <c r="D85" i="144"/>
  <c r="C85" i="144"/>
  <c r="B85" i="144"/>
  <c r="N84" i="144"/>
  <c r="M84" i="144"/>
  <c r="L84" i="144"/>
  <c r="K84" i="144"/>
  <c r="J84" i="144"/>
  <c r="I84" i="144"/>
  <c r="H84" i="144"/>
  <c r="G84" i="144"/>
  <c r="F84" i="144"/>
  <c r="E84" i="144"/>
  <c r="D84" i="144"/>
  <c r="C84" i="144"/>
  <c r="B84" i="144"/>
  <c r="N83" i="144"/>
  <c r="M83" i="144"/>
  <c r="L83" i="144"/>
  <c r="K83" i="144"/>
  <c r="J83" i="144"/>
  <c r="I83" i="144"/>
  <c r="H83" i="144"/>
  <c r="G83" i="144"/>
  <c r="F83" i="144"/>
  <c r="E83" i="144"/>
  <c r="D83" i="144"/>
  <c r="C83" i="144"/>
  <c r="B83" i="144"/>
  <c r="N82" i="144"/>
  <c r="M82" i="144"/>
  <c r="L82" i="144"/>
  <c r="K82" i="144"/>
  <c r="J82" i="144"/>
  <c r="I82" i="144"/>
  <c r="H82" i="144"/>
  <c r="G82" i="144"/>
  <c r="F82" i="144"/>
  <c r="E82" i="144"/>
  <c r="D82" i="144"/>
  <c r="C82" i="144"/>
  <c r="B82" i="144"/>
  <c r="N81" i="144"/>
  <c r="M81" i="144"/>
  <c r="L81" i="144"/>
  <c r="K81" i="144"/>
  <c r="J81" i="144"/>
  <c r="I81" i="144"/>
  <c r="H81" i="144"/>
  <c r="G81" i="144"/>
  <c r="F81" i="144"/>
  <c r="E81" i="144"/>
  <c r="D81" i="144"/>
  <c r="C81" i="144"/>
  <c r="B81" i="144"/>
  <c r="N80" i="144"/>
  <c r="M80" i="144"/>
  <c r="L80" i="144"/>
  <c r="K80" i="144"/>
  <c r="J80" i="144"/>
  <c r="I80" i="144"/>
  <c r="H80" i="144"/>
  <c r="G80" i="144"/>
  <c r="F80" i="144"/>
  <c r="E80" i="144"/>
  <c r="D80" i="144"/>
  <c r="C80" i="144"/>
  <c r="B80" i="144"/>
  <c r="N79" i="144"/>
  <c r="M79" i="144"/>
  <c r="L79" i="144"/>
  <c r="K79" i="144"/>
  <c r="J79" i="144"/>
  <c r="I79" i="144"/>
  <c r="H79" i="144"/>
  <c r="G79" i="144"/>
  <c r="F79" i="144"/>
  <c r="E79" i="144"/>
  <c r="D79" i="144"/>
  <c r="C79" i="144"/>
  <c r="B79" i="144"/>
  <c r="N78" i="144"/>
  <c r="M78" i="144"/>
  <c r="L78" i="144"/>
  <c r="K78" i="144"/>
  <c r="J78" i="144"/>
  <c r="I78" i="144"/>
  <c r="H78" i="144"/>
  <c r="G78" i="144"/>
  <c r="F78" i="144"/>
  <c r="E78" i="144"/>
  <c r="D78" i="144"/>
  <c r="C78" i="144"/>
  <c r="B78" i="144"/>
  <c r="N77" i="144"/>
  <c r="M77" i="144"/>
  <c r="L77" i="144"/>
  <c r="K77" i="144"/>
  <c r="J77" i="144"/>
  <c r="I77" i="144"/>
  <c r="H77" i="144"/>
  <c r="G77" i="144"/>
  <c r="F77" i="144"/>
  <c r="E77" i="144"/>
  <c r="D77" i="144"/>
  <c r="C77" i="144"/>
  <c r="B77" i="144"/>
  <c r="N76" i="144"/>
  <c r="M76" i="144"/>
  <c r="L76" i="144"/>
  <c r="K76" i="144"/>
  <c r="J76" i="144"/>
  <c r="I76" i="144"/>
  <c r="H76" i="144"/>
  <c r="G76" i="144"/>
  <c r="F76" i="144"/>
  <c r="E76" i="144"/>
  <c r="D76" i="144"/>
  <c r="C76" i="144"/>
  <c r="B76" i="144"/>
  <c r="N70" i="144"/>
  <c r="M70" i="144"/>
  <c r="L70" i="144"/>
  <c r="K70" i="144"/>
  <c r="J70" i="144"/>
  <c r="I70" i="144"/>
  <c r="H70" i="144"/>
  <c r="G70" i="144"/>
  <c r="F70" i="144"/>
  <c r="E70" i="144"/>
  <c r="D70" i="144"/>
  <c r="C70" i="144"/>
  <c r="A70" i="144"/>
  <c r="N69" i="144"/>
  <c r="M69" i="144"/>
  <c r="L69" i="144"/>
  <c r="K69" i="144"/>
  <c r="J69" i="144"/>
  <c r="I69" i="144"/>
  <c r="H69" i="144"/>
  <c r="G69" i="144"/>
  <c r="F69" i="144"/>
  <c r="E69" i="144"/>
  <c r="D69" i="144"/>
  <c r="C69" i="144"/>
  <c r="B69" i="144"/>
  <c r="N68" i="144"/>
  <c r="M68" i="144"/>
  <c r="L68" i="144"/>
  <c r="K68" i="144"/>
  <c r="J68" i="144"/>
  <c r="I68" i="144"/>
  <c r="H68" i="144"/>
  <c r="G68" i="144"/>
  <c r="F68" i="144"/>
  <c r="E68" i="144"/>
  <c r="D68" i="144"/>
  <c r="C68" i="144"/>
  <c r="B68" i="144"/>
  <c r="N67" i="144"/>
  <c r="M67" i="144"/>
  <c r="L67" i="144"/>
  <c r="K67" i="144"/>
  <c r="J67" i="144"/>
  <c r="I67" i="144"/>
  <c r="H67" i="144"/>
  <c r="G67" i="144"/>
  <c r="F67" i="144"/>
  <c r="E67" i="144"/>
  <c r="D67" i="144"/>
  <c r="C67" i="144"/>
  <c r="B67" i="144"/>
  <c r="N66" i="144"/>
  <c r="M66" i="144"/>
  <c r="L66" i="144"/>
  <c r="K66" i="144"/>
  <c r="J66" i="144"/>
  <c r="I66" i="144"/>
  <c r="H66" i="144"/>
  <c r="G66" i="144"/>
  <c r="F66" i="144"/>
  <c r="E66" i="144"/>
  <c r="D66" i="144"/>
  <c r="C66" i="144"/>
  <c r="B66" i="144"/>
  <c r="N65" i="144"/>
  <c r="M65" i="144"/>
  <c r="L65" i="144"/>
  <c r="K65" i="144"/>
  <c r="J65" i="144"/>
  <c r="I65" i="144"/>
  <c r="H65" i="144"/>
  <c r="G65" i="144"/>
  <c r="F65" i="144"/>
  <c r="E65" i="144"/>
  <c r="D65" i="144"/>
  <c r="C65" i="144"/>
  <c r="B65" i="144"/>
  <c r="N64" i="144"/>
  <c r="M64" i="144"/>
  <c r="L64" i="144"/>
  <c r="K64" i="144"/>
  <c r="J64" i="144"/>
  <c r="I64" i="144"/>
  <c r="H64" i="144"/>
  <c r="G64" i="144"/>
  <c r="F64" i="144"/>
  <c r="E64" i="144"/>
  <c r="D64" i="144"/>
  <c r="C64" i="144"/>
  <c r="B64" i="144"/>
  <c r="N63" i="144"/>
  <c r="M63" i="144"/>
  <c r="L63" i="144"/>
  <c r="K63" i="144"/>
  <c r="J63" i="144"/>
  <c r="I63" i="144"/>
  <c r="H63" i="144"/>
  <c r="G63" i="144"/>
  <c r="F63" i="144"/>
  <c r="E63" i="144"/>
  <c r="D63" i="144"/>
  <c r="C63" i="144"/>
  <c r="B63" i="144"/>
  <c r="N62" i="144"/>
  <c r="M62" i="144"/>
  <c r="L62" i="144"/>
  <c r="K62" i="144"/>
  <c r="J62" i="144"/>
  <c r="I62" i="144"/>
  <c r="H62" i="144"/>
  <c r="G62" i="144"/>
  <c r="F62" i="144"/>
  <c r="E62" i="144"/>
  <c r="D62" i="144"/>
  <c r="C62" i="144"/>
  <c r="B62" i="144"/>
  <c r="N61" i="144"/>
  <c r="M61" i="144"/>
  <c r="L61" i="144"/>
  <c r="K61" i="144"/>
  <c r="J61" i="144"/>
  <c r="I61" i="144"/>
  <c r="H61" i="144"/>
  <c r="G61" i="144"/>
  <c r="F61" i="144"/>
  <c r="E61" i="144"/>
  <c r="D61" i="144"/>
  <c r="C61" i="144"/>
  <c r="B61" i="144"/>
  <c r="N60" i="144"/>
  <c r="M60" i="144"/>
  <c r="L60" i="144"/>
  <c r="K60" i="144"/>
  <c r="J60" i="144"/>
  <c r="I60" i="144"/>
  <c r="H60" i="144"/>
  <c r="G60" i="144"/>
  <c r="F60" i="144"/>
  <c r="E60" i="144"/>
  <c r="D60" i="144"/>
  <c r="C60" i="144"/>
  <c r="B60" i="144"/>
  <c r="N59" i="144"/>
  <c r="M59" i="144"/>
  <c r="L59" i="144"/>
  <c r="K59" i="144"/>
  <c r="J59" i="144"/>
  <c r="I59" i="144"/>
  <c r="H59" i="144"/>
  <c r="G59" i="144"/>
  <c r="F59" i="144"/>
  <c r="E59" i="144"/>
  <c r="D59" i="144"/>
  <c r="C59" i="144"/>
  <c r="B59" i="144"/>
  <c r="N58" i="144"/>
  <c r="M58" i="144"/>
  <c r="L58" i="144"/>
  <c r="K58" i="144"/>
  <c r="J58" i="144"/>
  <c r="I58" i="144"/>
  <c r="H58" i="144"/>
  <c r="G58" i="144"/>
  <c r="F58" i="144"/>
  <c r="E58" i="144"/>
  <c r="D58" i="144"/>
  <c r="C58" i="144"/>
  <c r="B58" i="144"/>
  <c r="N54" i="144"/>
  <c r="M54" i="144"/>
  <c r="L54" i="144"/>
  <c r="K54" i="144"/>
  <c r="J54" i="144"/>
  <c r="I54" i="144"/>
  <c r="H54" i="144"/>
  <c r="G54" i="144"/>
  <c r="F54" i="144"/>
  <c r="E54" i="144"/>
  <c r="D54" i="144"/>
  <c r="C54" i="144"/>
  <c r="A54" i="144"/>
  <c r="N53" i="144"/>
  <c r="M53" i="144"/>
  <c r="L53" i="144"/>
  <c r="K53" i="144"/>
  <c r="J53" i="144"/>
  <c r="I53" i="144"/>
  <c r="H53" i="144"/>
  <c r="G53" i="144"/>
  <c r="F53" i="144"/>
  <c r="E53" i="144"/>
  <c r="D53" i="144"/>
  <c r="C53" i="144"/>
  <c r="B53" i="144"/>
  <c r="N52" i="144"/>
  <c r="M52" i="144"/>
  <c r="L52" i="144"/>
  <c r="K52" i="144"/>
  <c r="J52" i="144"/>
  <c r="I52" i="144"/>
  <c r="H52" i="144"/>
  <c r="G52" i="144"/>
  <c r="F52" i="144"/>
  <c r="E52" i="144"/>
  <c r="D52" i="144"/>
  <c r="C52" i="144"/>
  <c r="B52" i="144"/>
  <c r="N51" i="144"/>
  <c r="M51" i="144"/>
  <c r="L51" i="144"/>
  <c r="K51" i="144"/>
  <c r="J51" i="144"/>
  <c r="I51" i="144"/>
  <c r="H51" i="144"/>
  <c r="G51" i="144"/>
  <c r="F51" i="144"/>
  <c r="E51" i="144"/>
  <c r="D51" i="144"/>
  <c r="C51" i="144"/>
  <c r="B51" i="144"/>
  <c r="N50" i="144"/>
  <c r="M50" i="144"/>
  <c r="L50" i="144"/>
  <c r="K50" i="144"/>
  <c r="J50" i="144"/>
  <c r="I50" i="144"/>
  <c r="H50" i="144"/>
  <c r="G50" i="144"/>
  <c r="F50" i="144"/>
  <c r="E50" i="144"/>
  <c r="D50" i="144"/>
  <c r="C50" i="144"/>
  <c r="B50" i="144"/>
  <c r="N49" i="144"/>
  <c r="M49" i="144"/>
  <c r="L49" i="144"/>
  <c r="K49" i="144"/>
  <c r="J49" i="144"/>
  <c r="I49" i="144"/>
  <c r="H49" i="144"/>
  <c r="G49" i="144"/>
  <c r="F49" i="144"/>
  <c r="E49" i="144"/>
  <c r="D49" i="144"/>
  <c r="C49" i="144"/>
  <c r="B49" i="144"/>
  <c r="N48" i="144"/>
  <c r="M48" i="144"/>
  <c r="L48" i="144"/>
  <c r="K48" i="144"/>
  <c r="J48" i="144"/>
  <c r="I48" i="144"/>
  <c r="H48" i="144"/>
  <c r="G48" i="144"/>
  <c r="F48" i="144"/>
  <c r="E48" i="144"/>
  <c r="D48" i="144"/>
  <c r="C48" i="144"/>
  <c r="B48" i="144"/>
  <c r="N47" i="144"/>
  <c r="M47" i="144"/>
  <c r="L47" i="144"/>
  <c r="K47" i="144"/>
  <c r="J47" i="144"/>
  <c r="I47" i="144"/>
  <c r="H47" i="144"/>
  <c r="G47" i="144"/>
  <c r="F47" i="144"/>
  <c r="E47" i="144"/>
  <c r="D47" i="144"/>
  <c r="C47" i="144"/>
  <c r="B47" i="144"/>
  <c r="N46" i="144"/>
  <c r="M46" i="144"/>
  <c r="L46" i="144"/>
  <c r="K46" i="144"/>
  <c r="J46" i="144"/>
  <c r="I46" i="144"/>
  <c r="H46" i="144"/>
  <c r="G46" i="144"/>
  <c r="F46" i="144"/>
  <c r="E46" i="144"/>
  <c r="D46" i="144"/>
  <c r="C46" i="144"/>
  <c r="B46" i="144"/>
  <c r="N45" i="144"/>
  <c r="M45" i="144"/>
  <c r="L45" i="144"/>
  <c r="K45" i="144"/>
  <c r="J45" i="144"/>
  <c r="I45" i="144"/>
  <c r="H45" i="144"/>
  <c r="G45" i="144"/>
  <c r="F45" i="144"/>
  <c r="E45" i="144"/>
  <c r="D45" i="144"/>
  <c r="C45" i="144"/>
  <c r="B45" i="144"/>
  <c r="N44" i="144"/>
  <c r="M44" i="144"/>
  <c r="L44" i="144"/>
  <c r="K44" i="144"/>
  <c r="J44" i="144"/>
  <c r="I44" i="144"/>
  <c r="H44" i="144"/>
  <c r="G44" i="144"/>
  <c r="F44" i="144"/>
  <c r="E44" i="144"/>
  <c r="D44" i="144"/>
  <c r="C44" i="144"/>
  <c r="B44" i="144"/>
  <c r="N43" i="144"/>
  <c r="M43" i="144"/>
  <c r="L43" i="144"/>
  <c r="K43" i="144"/>
  <c r="J43" i="144"/>
  <c r="I43" i="144"/>
  <c r="H43" i="144"/>
  <c r="G43" i="144"/>
  <c r="F43" i="144"/>
  <c r="E43" i="144"/>
  <c r="D43" i="144"/>
  <c r="C43" i="144"/>
  <c r="B43" i="144"/>
  <c r="N42" i="144"/>
  <c r="M42" i="144"/>
  <c r="L42" i="144"/>
  <c r="K42" i="144"/>
  <c r="J42" i="144"/>
  <c r="I42" i="144"/>
  <c r="H42" i="144"/>
  <c r="G42" i="144"/>
  <c r="F42" i="144"/>
  <c r="E42" i="144"/>
  <c r="D42" i="144"/>
  <c r="C42" i="144"/>
  <c r="B42" i="144"/>
  <c r="N36" i="144"/>
  <c r="M36" i="144"/>
  <c r="L36" i="144"/>
  <c r="K36" i="144"/>
  <c r="J36" i="144"/>
  <c r="I36" i="144"/>
  <c r="H36" i="144"/>
  <c r="G36" i="144"/>
  <c r="F36" i="144"/>
  <c r="E36" i="144"/>
  <c r="D36" i="144"/>
  <c r="C36" i="144"/>
  <c r="B36" i="144"/>
  <c r="N35" i="144"/>
  <c r="M35" i="144"/>
  <c r="L35" i="144"/>
  <c r="K35" i="144"/>
  <c r="J35" i="144"/>
  <c r="I35" i="144"/>
  <c r="H35" i="144"/>
  <c r="G35" i="144"/>
  <c r="F35" i="144"/>
  <c r="E35" i="144"/>
  <c r="D35" i="144"/>
  <c r="C35" i="144"/>
  <c r="B35" i="144"/>
  <c r="I31" i="144"/>
  <c r="H31" i="144"/>
  <c r="G31" i="144"/>
  <c r="E31" i="144"/>
  <c r="D31" i="144"/>
  <c r="C31" i="144"/>
  <c r="B31" i="144"/>
  <c r="A31" i="144"/>
  <c r="D30" i="144"/>
  <c r="C30" i="144"/>
  <c r="B30" i="144"/>
  <c r="D29" i="144"/>
  <c r="C29" i="144"/>
  <c r="B29" i="144"/>
  <c r="D28" i="144"/>
  <c r="C28" i="144"/>
  <c r="B28" i="144"/>
  <c r="D27" i="144"/>
  <c r="C27" i="144"/>
  <c r="B27" i="144"/>
  <c r="D26" i="144"/>
  <c r="C26" i="144"/>
  <c r="B26" i="144"/>
  <c r="D25" i="144"/>
  <c r="C25" i="144"/>
  <c r="B25" i="144"/>
  <c r="D24" i="144"/>
  <c r="C24" i="144"/>
  <c r="B24" i="144"/>
  <c r="D23" i="144"/>
  <c r="C23" i="144"/>
  <c r="B23" i="144"/>
  <c r="D22" i="144"/>
  <c r="C22" i="144"/>
  <c r="B22" i="144"/>
  <c r="D21" i="144"/>
  <c r="C21" i="144"/>
  <c r="B21" i="144"/>
  <c r="D20" i="144"/>
  <c r="C20" i="144"/>
  <c r="C19" i="144"/>
  <c r="B19" i="144"/>
  <c r="N15" i="144"/>
  <c r="M15" i="144"/>
  <c r="L15" i="144"/>
  <c r="K15" i="144"/>
  <c r="J15" i="144"/>
  <c r="I15" i="144"/>
  <c r="H15" i="144"/>
  <c r="G15" i="144"/>
  <c r="F15" i="144"/>
  <c r="E15" i="144"/>
  <c r="D15" i="144"/>
  <c r="C15" i="144"/>
  <c r="B15" i="144"/>
  <c r="N14" i="144"/>
  <c r="M14" i="144"/>
  <c r="L14" i="144"/>
  <c r="K14" i="144"/>
  <c r="J14" i="144"/>
  <c r="I14" i="144"/>
  <c r="H14" i="144"/>
  <c r="G14" i="144"/>
  <c r="F14" i="144"/>
  <c r="E14" i="144"/>
  <c r="D14" i="144"/>
  <c r="C14" i="144"/>
  <c r="B14" i="144"/>
  <c r="A10" i="144"/>
  <c r="A1" i="144"/>
  <c r="N371" i="143"/>
  <c r="M371" i="143"/>
  <c r="L371" i="143"/>
  <c r="K371" i="143"/>
  <c r="J371" i="143"/>
  <c r="I371" i="143"/>
  <c r="H371" i="143"/>
  <c r="G371" i="143"/>
  <c r="F371" i="143"/>
  <c r="E371" i="143"/>
  <c r="D371" i="143"/>
  <c r="C371" i="143"/>
  <c r="A371" i="143"/>
  <c r="N370" i="143"/>
  <c r="M370" i="143"/>
  <c r="L370" i="143"/>
  <c r="K370" i="143"/>
  <c r="J370" i="143"/>
  <c r="I370" i="143"/>
  <c r="H370" i="143"/>
  <c r="G370" i="143"/>
  <c r="F370" i="143"/>
  <c r="E370" i="143"/>
  <c r="D370" i="143"/>
  <c r="C370" i="143"/>
  <c r="A370" i="143"/>
  <c r="N369" i="143"/>
  <c r="M369" i="143"/>
  <c r="L369" i="143"/>
  <c r="K369" i="143"/>
  <c r="J369" i="143"/>
  <c r="I369" i="143"/>
  <c r="H369" i="143"/>
  <c r="G369" i="143"/>
  <c r="F369" i="143"/>
  <c r="E369" i="143"/>
  <c r="D369" i="143"/>
  <c r="C369" i="143"/>
  <c r="N368" i="143"/>
  <c r="M368" i="143"/>
  <c r="L368" i="143"/>
  <c r="K368" i="143"/>
  <c r="J368" i="143"/>
  <c r="I368" i="143"/>
  <c r="H368" i="143"/>
  <c r="G368" i="143"/>
  <c r="F368" i="143"/>
  <c r="E368" i="143"/>
  <c r="D368" i="143"/>
  <c r="C368" i="143"/>
  <c r="N367" i="143"/>
  <c r="M367" i="143"/>
  <c r="L367" i="143"/>
  <c r="K367" i="143"/>
  <c r="J367" i="143"/>
  <c r="I367" i="143"/>
  <c r="H367" i="143"/>
  <c r="G367" i="143"/>
  <c r="F367" i="143"/>
  <c r="E367" i="143"/>
  <c r="D367" i="143"/>
  <c r="C367" i="143"/>
  <c r="A367" i="143"/>
  <c r="N366" i="143"/>
  <c r="M366" i="143"/>
  <c r="L366" i="143"/>
  <c r="K366" i="143"/>
  <c r="J366" i="143"/>
  <c r="I366" i="143"/>
  <c r="H366" i="143"/>
  <c r="G366" i="143"/>
  <c r="F366" i="143"/>
  <c r="E366" i="143"/>
  <c r="D366" i="143"/>
  <c r="C366" i="143"/>
  <c r="B366" i="143"/>
  <c r="N365" i="143"/>
  <c r="M365" i="143"/>
  <c r="L365" i="143"/>
  <c r="K365" i="143"/>
  <c r="J365" i="143"/>
  <c r="I365" i="143"/>
  <c r="H365" i="143"/>
  <c r="G365" i="143"/>
  <c r="F365" i="143"/>
  <c r="E365" i="143"/>
  <c r="D365" i="143"/>
  <c r="C365" i="143"/>
  <c r="B365" i="143"/>
  <c r="N364" i="143"/>
  <c r="M364" i="143"/>
  <c r="L364" i="143"/>
  <c r="K364" i="143"/>
  <c r="J364" i="143"/>
  <c r="I364" i="143"/>
  <c r="H364" i="143"/>
  <c r="G364" i="143"/>
  <c r="F364" i="143"/>
  <c r="E364" i="143"/>
  <c r="D364" i="143"/>
  <c r="C364" i="143"/>
  <c r="B364" i="143"/>
  <c r="N363" i="143"/>
  <c r="M363" i="143"/>
  <c r="L363" i="143"/>
  <c r="K363" i="143"/>
  <c r="J363" i="143"/>
  <c r="I363" i="143"/>
  <c r="H363" i="143"/>
  <c r="G363" i="143"/>
  <c r="F363" i="143"/>
  <c r="E363" i="143"/>
  <c r="D363" i="143"/>
  <c r="C363" i="143"/>
  <c r="B363" i="143"/>
  <c r="N362" i="143"/>
  <c r="M362" i="143"/>
  <c r="L362" i="143"/>
  <c r="K362" i="143"/>
  <c r="J362" i="143"/>
  <c r="I362" i="143"/>
  <c r="H362" i="143"/>
  <c r="G362" i="143"/>
  <c r="F362" i="143"/>
  <c r="E362" i="143"/>
  <c r="D362" i="143"/>
  <c r="C362" i="143"/>
  <c r="B362" i="143"/>
  <c r="N361" i="143"/>
  <c r="M361" i="143"/>
  <c r="L361" i="143"/>
  <c r="K361" i="143"/>
  <c r="J361" i="143"/>
  <c r="I361" i="143"/>
  <c r="H361" i="143"/>
  <c r="G361" i="143"/>
  <c r="F361" i="143"/>
  <c r="E361" i="143"/>
  <c r="D361" i="143"/>
  <c r="C361" i="143"/>
  <c r="B361" i="143"/>
  <c r="N360" i="143"/>
  <c r="M360" i="143"/>
  <c r="L360" i="143"/>
  <c r="K360" i="143"/>
  <c r="J360" i="143"/>
  <c r="I360" i="143"/>
  <c r="H360" i="143"/>
  <c r="G360" i="143"/>
  <c r="F360" i="143"/>
  <c r="E360" i="143"/>
  <c r="D360" i="143"/>
  <c r="C360" i="143"/>
  <c r="B360" i="143"/>
  <c r="N359" i="143"/>
  <c r="M359" i="143"/>
  <c r="L359" i="143"/>
  <c r="K359" i="143"/>
  <c r="J359" i="143"/>
  <c r="I359" i="143"/>
  <c r="H359" i="143"/>
  <c r="G359" i="143"/>
  <c r="F359" i="143"/>
  <c r="E359" i="143"/>
  <c r="D359" i="143"/>
  <c r="C359" i="143"/>
  <c r="B359" i="143"/>
  <c r="N358" i="143"/>
  <c r="M358" i="143"/>
  <c r="L358" i="143"/>
  <c r="K358" i="143"/>
  <c r="J358" i="143"/>
  <c r="I358" i="143"/>
  <c r="H358" i="143"/>
  <c r="G358" i="143"/>
  <c r="F358" i="143"/>
  <c r="E358" i="143"/>
  <c r="D358" i="143"/>
  <c r="C358" i="143"/>
  <c r="B358" i="143"/>
  <c r="N357" i="143"/>
  <c r="M357" i="143"/>
  <c r="L357" i="143"/>
  <c r="K357" i="143"/>
  <c r="J357" i="143"/>
  <c r="I357" i="143"/>
  <c r="H357" i="143"/>
  <c r="G357" i="143"/>
  <c r="F357" i="143"/>
  <c r="E357" i="143"/>
  <c r="D357" i="143"/>
  <c r="C357" i="143"/>
  <c r="B357" i="143"/>
  <c r="N356" i="143"/>
  <c r="M356" i="143"/>
  <c r="L356" i="143"/>
  <c r="K356" i="143"/>
  <c r="J356" i="143"/>
  <c r="I356" i="143"/>
  <c r="H356" i="143"/>
  <c r="G356" i="143"/>
  <c r="F356" i="143"/>
  <c r="E356" i="143"/>
  <c r="D356" i="143"/>
  <c r="C356" i="143"/>
  <c r="B356" i="143"/>
  <c r="N355" i="143"/>
  <c r="M355" i="143"/>
  <c r="L355" i="143"/>
  <c r="K355" i="143"/>
  <c r="J355" i="143"/>
  <c r="I355" i="143"/>
  <c r="H355" i="143"/>
  <c r="G355" i="143"/>
  <c r="F355" i="143"/>
  <c r="E355" i="143"/>
  <c r="D355" i="143"/>
  <c r="C355" i="143"/>
  <c r="B355" i="143"/>
  <c r="N351" i="143"/>
  <c r="M351" i="143"/>
  <c r="L351" i="143"/>
  <c r="K351" i="143"/>
  <c r="J351" i="143"/>
  <c r="I351" i="143"/>
  <c r="H351" i="143"/>
  <c r="G351" i="143"/>
  <c r="F351" i="143"/>
  <c r="E351" i="143"/>
  <c r="D351" i="143"/>
  <c r="C351" i="143"/>
  <c r="A351" i="143"/>
  <c r="N350" i="143"/>
  <c r="M350" i="143"/>
  <c r="L350" i="143"/>
  <c r="K350" i="143"/>
  <c r="J350" i="143"/>
  <c r="I350" i="143"/>
  <c r="H350" i="143"/>
  <c r="G350" i="143"/>
  <c r="F350" i="143"/>
  <c r="E350" i="143"/>
  <c r="D350" i="143"/>
  <c r="C350" i="143"/>
  <c r="B350" i="143"/>
  <c r="N349" i="143"/>
  <c r="M349" i="143"/>
  <c r="L349" i="143"/>
  <c r="K349" i="143"/>
  <c r="J349" i="143"/>
  <c r="I349" i="143"/>
  <c r="H349" i="143"/>
  <c r="G349" i="143"/>
  <c r="F349" i="143"/>
  <c r="E349" i="143"/>
  <c r="D349" i="143"/>
  <c r="C349" i="143"/>
  <c r="B349" i="143"/>
  <c r="N348" i="143"/>
  <c r="M348" i="143"/>
  <c r="L348" i="143"/>
  <c r="K348" i="143"/>
  <c r="J348" i="143"/>
  <c r="I348" i="143"/>
  <c r="H348" i="143"/>
  <c r="G348" i="143"/>
  <c r="F348" i="143"/>
  <c r="E348" i="143"/>
  <c r="D348" i="143"/>
  <c r="C348" i="143"/>
  <c r="B348" i="143"/>
  <c r="N347" i="143"/>
  <c r="M347" i="143"/>
  <c r="L347" i="143"/>
  <c r="K347" i="143"/>
  <c r="J347" i="143"/>
  <c r="I347" i="143"/>
  <c r="H347" i="143"/>
  <c r="G347" i="143"/>
  <c r="F347" i="143"/>
  <c r="E347" i="143"/>
  <c r="D347" i="143"/>
  <c r="C347" i="143"/>
  <c r="B347" i="143"/>
  <c r="N346" i="143"/>
  <c r="M346" i="143"/>
  <c r="L346" i="143"/>
  <c r="K346" i="143"/>
  <c r="J346" i="143"/>
  <c r="I346" i="143"/>
  <c r="H346" i="143"/>
  <c r="G346" i="143"/>
  <c r="F346" i="143"/>
  <c r="E346" i="143"/>
  <c r="D346" i="143"/>
  <c r="C346" i="143"/>
  <c r="B346" i="143"/>
  <c r="N345" i="143"/>
  <c r="M345" i="143"/>
  <c r="L345" i="143"/>
  <c r="K345" i="143"/>
  <c r="J345" i="143"/>
  <c r="I345" i="143"/>
  <c r="H345" i="143"/>
  <c r="G345" i="143"/>
  <c r="F345" i="143"/>
  <c r="E345" i="143"/>
  <c r="D345" i="143"/>
  <c r="C345" i="143"/>
  <c r="B345" i="143"/>
  <c r="N344" i="143"/>
  <c r="M344" i="143"/>
  <c r="L344" i="143"/>
  <c r="K344" i="143"/>
  <c r="J344" i="143"/>
  <c r="I344" i="143"/>
  <c r="H344" i="143"/>
  <c r="G344" i="143"/>
  <c r="F344" i="143"/>
  <c r="E344" i="143"/>
  <c r="D344" i="143"/>
  <c r="C344" i="143"/>
  <c r="B344" i="143"/>
  <c r="N343" i="143"/>
  <c r="M343" i="143"/>
  <c r="L343" i="143"/>
  <c r="K343" i="143"/>
  <c r="J343" i="143"/>
  <c r="I343" i="143"/>
  <c r="H343" i="143"/>
  <c r="G343" i="143"/>
  <c r="F343" i="143"/>
  <c r="E343" i="143"/>
  <c r="D343" i="143"/>
  <c r="C343" i="143"/>
  <c r="B343" i="143"/>
  <c r="N342" i="143"/>
  <c r="M342" i="143"/>
  <c r="L342" i="143"/>
  <c r="K342" i="143"/>
  <c r="J342" i="143"/>
  <c r="I342" i="143"/>
  <c r="H342" i="143"/>
  <c r="G342" i="143"/>
  <c r="F342" i="143"/>
  <c r="E342" i="143"/>
  <c r="D342" i="143"/>
  <c r="C342" i="143"/>
  <c r="B342" i="143"/>
  <c r="N341" i="143"/>
  <c r="M341" i="143"/>
  <c r="L341" i="143"/>
  <c r="K341" i="143"/>
  <c r="J341" i="143"/>
  <c r="I341" i="143"/>
  <c r="H341" i="143"/>
  <c r="G341" i="143"/>
  <c r="F341" i="143"/>
  <c r="E341" i="143"/>
  <c r="D341" i="143"/>
  <c r="C341" i="143"/>
  <c r="B341" i="143"/>
  <c r="N340" i="143"/>
  <c r="M340" i="143"/>
  <c r="L340" i="143"/>
  <c r="K340" i="143"/>
  <c r="J340" i="143"/>
  <c r="I340" i="143"/>
  <c r="H340" i="143"/>
  <c r="G340" i="143"/>
  <c r="F340" i="143"/>
  <c r="E340" i="143"/>
  <c r="D340" i="143"/>
  <c r="C340" i="143"/>
  <c r="B340" i="143"/>
  <c r="N339" i="143"/>
  <c r="M339" i="143"/>
  <c r="L339" i="143"/>
  <c r="K339" i="143"/>
  <c r="J339" i="143"/>
  <c r="I339" i="143"/>
  <c r="H339" i="143"/>
  <c r="G339" i="143"/>
  <c r="F339" i="143"/>
  <c r="E339" i="143"/>
  <c r="D339" i="143"/>
  <c r="C339" i="143"/>
  <c r="B339" i="143"/>
  <c r="N333" i="143"/>
  <c r="M333" i="143"/>
  <c r="L333" i="143"/>
  <c r="K333" i="143"/>
  <c r="J333" i="143"/>
  <c r="I333" i="143"/>
  <c r="H333" i="143"/>
  <c r="G333" i="143"/>
  <c r="F333" i="143"/>
  <c r="E333" i="143"/>
  <c r="D333" i="143"/>
  <c r="C333" i="143"/>
  <c r="A333" i="143"/>
  <c r="N332" i="143"/>
  <c r="M332" i="143"/>
  <c r="L332" i="143"/>
  <c r="K332" i="143"/>
  <c r="J332" i="143"/>
  <c r="I332" i="143"/>
  <c r="H332" i="143"/>
  <c r="G332" i="143"/>
  <c r="F332" i="143"/>
  <c r="E332" i="143"/>
  <c r="D332" i="143"/>
  <c r="C332" i="143"/>
  <c r="N331" i="143"/>
  <c r="M331" i="143"/>
  <c r="L331" i="143"/>
  <c r="K331" i="143"/>
  <c r="J331" i="143"/>
  <c r="I331" i="143"/>
  <c r="H331" i="143"/>
  <c r="G331" i="143"/>
  <c r="F331" i="143"/>
  <c r="E331" i="143"/>
  <c r="D331" i="143"/>
  <c r="C331" i="143"/>
  <c r="N330" i="143"/>
  <c r="M330" i="143"/>
  <c r="L330" i="143"/>
  <c r="K330" i="143"/>
  <c r="J330" i="143"/>
  <c r="I330" i="143"/>
  <c r="H330" i="143"/>
  <c r="G330" i="143"/>
  <c r="F330" i="143"/>
  <c r="E330" i="143"/>
  <c r="D330" i="143"/>
  <c r="C330" i="143"/>
  <c r="A330" i="143"/>
  <c r="N329" i="143"/>
  <c r="M329" i="143"/>
  <c r="L329" i="143"/>
  <c r="K329" i="143"/>
  <c r="J329" i="143"/>
  <c r="I329" i="143"/>
  <c r="H329" i="143"/>
  <c r="G329" i="143"/>
  <c r="F329" i="143"/>
  <c r="E329" i="143"/>
  <c r="D329" i="143"/>
  <c r="C329" i="143"/>
  <c r="B329" i="143"/>
  <c r="N328" i="143"/>
  <c r="M328" i="143"/>
  <c r="L328" i="143"/>
  <c r="K328" i="143"/>
  <c r="J328" i="143"/>
  <c r="I328" i="143"/>
  <c r="H328" i="143"/>
  <c r="G328" i="143"/>
  <c r="F328" i="143"/>
  <c r="E328" i="143"/>
  <c r="D328" i="143"/>
  <c r="C328" i="143"/>
  <c r="B328" i="143"/>
  <c r="N327" i="143"/>
  <c r="M327" i="143"/>
  <c r="L327" i="143"/>
  <c r="K327" i="143"/>
  <c r="J327" i="143"/>
  <c r="I327" i="143"/>
  <c r="H327" i="143"/>
  <c r="G327" i="143"/>
  <c r="F327" i="143"/>
  <c r="E327" i="143"/>
  <c r="D327" i="143"/>
  <c r="C327" i="143"/>
  <c r="B327" i="143"/>
  <c r="N326" i="143"/>
  <c r="M326" i="143"/>
  <c r="L326" i="143"/>
  <c r="K326" i="143"/>
  <c r="J326" i="143"/>
  <c r="I326" i="143"/>
  <c r="H326" i="143"/>
  <c r="G326" i="143"/>
  <c r="F326" i="143"/>
  <c r="E326" i="143"/>
  <c r="D326" i="143"/>
  <c r="C326" i="143"/>
  <c r="B326" i="143"/>
  <c r="N325" i="143"/>
  <c r="M325" i="143"/>
  <c r="L325" i="143"/>
  <c r="K325" i="143"/>
  <c r="J325" i="143"/>
  <c r="I325" i="143"/>
  <c r="H325" i="143"/>
  <c r="G325" i="143"/>
  <c r="F325" i="143"/>
  <c r="E325" i="143"/>
  <c r="D325" i="143"/>
  <c r="C325" i="143"/>
  <c r="B325" i="143"/>
  <c r="N324" i="143"/>
  <c r="M324" i="143"/>
  <c r="L324" i="143"/>
  <c r="K324" i="143"/>
  <c r="J324" i="143"/>
  <c r="I324" i="143"/>
  <c r="H324" i="143"/>
  <c r="G324" i="143"/>
  <c r="F324" i="143"/>
  <c r="E324" i="143"/>
  <c r="D324" i="143"/>
  <c r="C324" i="143"/>
  <c r="B324" i="143"/>
  <c r="N323" i="143"/>
  <c r="M323" i="143"/>
  <c r="L323" i="143"/>
  <c r="K323" i="143"/>
  <c r="J323" i="143"/>
  <c r="I323" i="143"/>
  <c r="H323" i="143"/>
  <c r="G323" i="143"/>
  <c r="F323" i="143"/>
  <c r="E323" i="143"/>
  <c r="D323" i="143"/>
  <c r="C323" i="143"/>
  <c r="B323" i="143"/>
  <c r="N322" i="143"/>
  <c r="M322" i="143"/>
  <c r="L322" i="143"/>
  <c r="K322" i="143"/>
  <c r="J322" i="143"/>
  <c r="I322" i="143"/>
  <c r="H322" i="143"/>
  <c r="G322" i="143"/>
  <c r="F322" i="143"/>
  <c r="E322" i="143"/>
  <c r="D322" i="143"/>
  <c r="C322" i="143"/>
  <c r="B322" i="143"/>
  <c r="N321" i="143"/>
  <c r="M321" i="143"/>
  <c r="L321" i="143"/>
  <c r="K321" i="143"/>
  <c r="J321" i="143"/>
  <c r="I321" i="143"/>
  <c r="H321" i="143"/>
  <c r="G321" i="143"/>
  <c r="F321" i="143"/>
  <c r="E321" i="143"/>
  <c r="D321" i="143"/>
  <c r="C321" i="143"/>
  <c r="B321" i="143"/>
  <c r="N320" i="143"/>
  <c r="M320" i="143"/>
  <c r="L320" i="143"/>
  <c r="K320" i="143"/>
  <c r="J320" i="143"/>
  <c r="I320" i="143"/>
  <c r="H320" i="143"/>
  <c r="G320" i="143"/>
  <c r="F320" i="143"/>
  <c r="E320" i="143"/>
  <c r="D320" i="143"/>
  <c r="C320" i="143"/>
  <c r="B320" i="143"/>
  <c r="N319" i="143"/>
  <c r="M319" i="143"/>
  <c r="L319" i="143"/>
  <c r="K319" i="143"/>
  <c r="J319" i="143"/>
  <c r="I319" i="143"/>
  <c r="H319" i="143"/>
  <c r="G319" i="143"/>
  <c r="F319" i="143"/>
  <c r="E319" i="143"/>
  <c r="D319" i="143"/>
  <c r="C319" i="143"/>
  <c r="B319" i="143"/>
  <c r="N318" i="143"/>
  <c r="M318" i="143"/>
  <c r="L318" i="143"/>
  <c r="K318" i="143"/>
  <c r="J318" i="143"/>
  <c r="I318" i="143"/>
  <c r="H318" i="143"/>
  <c r="G318" i="143"/>
  <c r="F318" i="143"/>
  <c r="E318" i="143"/>
  <c r="D318" i="143"/>
  <c r="C318" i="143"/>
  <c r="B318" i="143"/>
  <c r="N314" i="143"/>
  <c r="M314" i="143"/>
  <c r="L314" i="143"/>
  <c r="K314" i="143"/>
  <c r="J314" i="143"/>
  <c r="I314" i="143"/>
  <c r="H314" i="143"/>
  <c r="G314" i="143"/>
  <c r="F314" i="143"/>
  <c r="E314" i="143"/>
  <c r="D314" i="143"/>
  <c r="C314" i="143"/>
  <c r="A314" i="143"/>
  <c r="N313" i="143"/>
  <c r="M313" i="143"/>
  <c r="L313" i="143"/>
  <c r="K313" i="143"/>
  <c r="J313" i="143"/>
  <c r="I313" i="143"/>
  <c r="H313" i="143"/>
  <c r="G313" i="143"/>
  <c r="F313" i="143"/>
  <c r="E313" i="143"/>
  <c r="D313" i="143"/>
  <c r="C313" i="143"/>
  <c r="B313" i="143"/>
  <c r="N312" i="143"/>
  <c r="M312" i="143"/>
  <c r="L312" i="143"/>
  <c r="K312" i="143"/>
  <c r="J312" i="143"/>
  <c r="I312" i="143"/>
  <c r="H312" i="143"/>
  <c r="G312" i="143"/>
  <c r="F312" i="143"/>
  <c r="E312" i="143"/>
  <c r="D312" i="143"/>
  <c r="C312" i="143"/>
  <c r="B312" i="143"/>
  <c r="N311" i="143"/>
  <c r="M311" i="143"/>
  <c r="L311" i="143"/>
  <c r="K311" i="143"/>
  <c r="J311" i="143"/>
  <c r="I311" i="143"/>
  <c r="H311" i="143"/>
  <c r="G311" i="143"/>
  <c r="F311" i="143"/>
  <c r="E311" i="143"/>
  <c r="D311" i="143"/>
  <c r="C311" i="143"/>
  <c r="B311" i="143"/>
  <c r="N310" i="143"/>
  <c r="M310" i="143"/>
  <c r="L310" i="143"/>
  <c r="K310" i="143"/>
  <c r="J310" i="143"/>
  <c r="I310" i="143"/>
  <c r="H310" i="143"/>
  <c r="G310" i="143"/>
  <c r="F310" i="143"/>
  <c r="E310" i="143"/>
  <c r="D310" i="143"/>
  <c r="C310" i="143"/>
  <c r="B310" i="143"/>
  <c r="N309" i="143"/>
  <c r="M309" i="143"/>
  <c r="L309" i="143"/>
  <c r="K309" i="143"/>
  <c r="J309" i="143"/>
  <c r="I309" i="143"/>
  <c r="H309" i="143"/>
  <c r="G309" i="143"/>
  <c r="F309" i="143"/>
  <c r="E309" i="143"/>
  <c r="D309" i="143"/>
  <c r="C309" i="143"/>
  <c r="B309" i="143"/>
  <c r="N308" i="143"/>
  <c r="M308" i="143"/>
  <c r="L308" i="143"/>
  <c r="K308" i="143"/>
  <c r="J308" i="143"/>
  <c r="I308" i="143"/>
  <c r="H308" i="143"/>
  <c r="G308" i="143"/>
  <c r="F308" i="143"/>
  <c r="E308" i="143"/>
  <c r="D308" i="143"/>
  <c r="C308" i="143"/>
  <c r="B308" i="143"/>
  <c r="N307" i="143"/>
  <c r="M307" i="143"/>
  <c r="L307" i="143"/>
  <c r="K307" i="143"/>
  <c r="J307" i="143"/>
  <c r="I307" i="143"/>
  <c r="H307" i="143"/>
  <c r="G307" i="143"/>
  <c r="F307" i="143"/>
  <c r="E307" i="143"/>
  <c r="D307" i="143"/>
  <c r="C307" i="143"/>
  <c r="B307" i="143"/>
  <c r="N306" i="143"/>
  <c r="M306" i="143"/>
  <c r="L306" i="143"/>
  <c r="K306" i="143"/>
  <c r="J306" i="143"/>
  <c r="I306" i="143"/>
  <c r="H306" i="143"/>
  <c r="G306" i="143"/>
  <c r="F306" i="143"/>
  <c r="E306" i="143"/>
  <c r="D306" i="143"/>
  <c r="C306" i="143"/>
  <c r="B306" i="143"/>
  <c r="N305" i="143"/>
  <c r="M305" i="143"/>
  <c r="L305" i="143"/>
  <c r="K305" i="143"/>
  <c r="J305" i="143"/>
  <c r="I305" i="143"/>
  <c r="H305" i="143"/>
  <c r="G305" i="143"/>
  <c r="F305" i="143"/>
  <c r="E305" i="143"/>
  <c r="D305" i="143"/>
  <c r="C305" i="143"/>
  <c r="B305" i="143"/>
  <c r="N304" i="143"/>
  <c r="M304" i="143"/>
  <c r="L304" i="143"/>
  <c r="K304" i="143"/>
  <c r="J304" i="143"/>
  <c r="I304" i="143"/>
  <c r="H304" i="143"/>
  <c r="G304" i="143"/>
  <c r="F304" i="143"/>
  <c r="E304" i="143"/>
  <c r="D304" i="143"/>
  <c r="C304" i="143"/>
  <c r="B304" i="143"/>
  <c r="N303" i="143"/>
  <c r="M303" i="143"/>
  <c r="L303" i="143"/>
  <c r="K303" i="143"/>
  <c r="J303" i="143"/>
  <c r="I303" i="143"/>
  <c r="H303" i="143"/>
  <c r="G303" i="143"/>
  <c r="F303" i="143"/>
  <c r="E303" i="143"/>
  <c r="D303" i="143"/>
  <c r="C303" i="143"/>
  <c r="B303" i="143"/>
  <c r="N302" i="143"/>
  <c r="M302" i="143"/>
  <c r="L302" i="143"/>
  <c r="K302" i="143"/>
  <c r="J302" i="143"/>
  <c r="I302" i="143"/>
  <c r="H302" i="143"/>
  <c r="G302" i="143"/>
  <c r="F302" i="143"/>
  <c r="E302" i="143"/>
  <c r="D302" i="143"/>
  <c r="C302" i="143"/>
  <c r="B302" i="143"/>
  <c r="N296" i="143"/>
  <c r="M296" i="143"/>
  <c r="L296" i="143"/>
  <c r="K296" i="143"/>
  <c r="J296" i="143"/>
  <c r="I296" i="143"/>
  <c r="H296" i="143"/>
  <c r="G296" i="143"/>
  <c r="F296" i="143"/>
  <c r="E296" i="143"/>
  <c r="D296" i="143"/>
  <c r="C296" i="143"/>
  <c r="N294" i="143"/>
  <c r="M294" i="143"/>
  <c r="L294" i="143"/>
  <c r="K294" i="143"/>
  <c r="J294" i="143"/>
  <c r="I294" i="143"/>
  <c r="H294" i="143"/>
  <c r="G294" i="143"/>
  <c r="F294" i="143"/>
  <c r="E294" i="143"/>
  <c r="D294" i="143"/>
  <c r="C294" i="143"/>
  <c r="N293" i="143"/>
  <c r="M293" i="143"/>
  <c r="L293" i="143"/>
  <c r="K293" i="143"/>
  <c r="J293" i="143"/>
  <c r="I293" i="143"/>
  <c r="H293" i="143"/>
  <c r="G293" i="143"/>
  <c r="F293" i="143"/>
  <c r="E293" i="143"/>
  <c r="D293" i="143"/>
  <c r="C293" i="143"/>
  <c r="N290" i="143"/>
  <c r="M290" i="143"/>
  <c r="L290" i="143"/>
  <c r="K290" i="143"/>
  <c r="J290" i="143"/>
  <c r="I290" i="143"/>
  <c r="H290" i="143"/>
  <c r="G290" i="143"/>
  <c r="F290" i="143"/>
  <c r="E290" i="143"/>
  <c r="D290" i="143"/>
  <c r="C290" i="143"/>
  <c r="N289" i="143"/>
  <c r="M289" i="143"/>
  <c r="L289" i="143"/>
  <c r="K289" i="143"/>
  <c r="J289" i="143"/>
  <c r="I289" i="143"/>
  <c r="H289" i="143"/>
  <c r="G289" i="143"/>
  <c r="F289" i="143"/>
  <c r="E289" i="143"/>
  <c r="D289" i="143"/>
  <c r="C289" i="143"/>
  <c r="N283" i="143"/>
  <c r="M283" i="143"/>
  <c r="L283" i="143"/>
  <c r="K283" i="143"/>
  <c r="J283" i="143"/>
  <c r="I283" i="143"/>
  <c r="H283" i="143"/>
  <c r="G283" i="143"/>
  <c r="F283" i="143"/>
  <c r="E283" i="143"/>
  <c r="D283" i="143"/>
  <c r="C283" i="143"/>
  <c r="A283" i="143"/>
  <c r="N282" i="143"/>
  <c r="M282" i="143"/>
  <c r="L282" i="143"/>
  <c r="K282" i="143"/>
  <c r="J282" i="143"/>
  <c r="I282" i="143"/>
  <c r="H282" i="143"/>
  <c r="G282" i="143"/>
  <c r="F282" i="143"/>
  <c r="E282" i="143"/>
  <c r="D282" i="143"/>
  <c r="C282" i="143"/>
  <c r="N281" i="143"/>
  <c r="M281" i="143"/>
  <c r="L281" i="143"/>
  <c r="K281" i="143"/>
  <c r="J281" i="143"/>
  <c r="I281" i="143"/>
  <c r="H281" i="143"/>
  <c r="G281" i="143"/>
  <c r="F281" i="143"/>
  <c r="E281" i="143"/>
  <c r="D281" i="143"/>
  <c r="C281" i="143"/>
  <c r="N280" i="143"/>
  <c r="M280" i="143"/>
  <c r="L280" i="143"/>
  <c r="K280" i="143"/>
  <c r="J280" i="143"/>
  <c r="I280" i="143"/>
  <c r="H280" i="143"/>
  <c r="G280" i="143"/>
  <c r="F280" i="143"/>
  <c r="E280" i="143"/>
  <c r="D280" i="143"/>
  <c r="C280" i="143"/>
  <c r="N279" i="143"/>
  <c r="M279" i="143"/>
  <c r="L279" i="143"/>
  <c r="K279" i="143"/>
  <c r="J279" i="143"/>
  <c r="I279" i="143"/>
  <c r="H279" i="143"/>
  <c r="G279" i="143"/>
  <c r="F279" i="143"/>
  <c r="E279" i="143"/>
  <c r="D279" i="143"/>
  <c r="C279" i="143"/>
  <c r="N278" i="143"/>
  <c r="M278" i="143"/>
  <c r="L278" i="143"/>
  <c r="K278" i="143"/>
  <c r="J278" i="143"/>
  <c r="I278" i="143"/>
  <c r="H278" i="143"/>
  <c r="G278" i="143"/>
  <c r="F278" i="143"/>
  <c r="E278" i="143"/>
  <c r="D278" i="143"/>
  <c r="C278" i="143"/>
  <c r="N274" i="143"/>
  <c r="M274" i="143"/>
  <c r="L274" i="143"/>
  <c r="K274" i="143"/>
  <c r="J274" i="143"/>
  <c r="I274" i="143"/>
  <c r="H274" i="143"/>
  <c r="G274" i="143"/>
  <c r="F274" i="143"/>
  <c r="E274" i="143"/>
  <c r="D274" i="143"/>
  <c r="C274" i="143"/>
  <c r="A274" i="143"/>
  <c r="N273" i="143"/>
  <c r="M273" i="143"/>
  <c r="L273" i="143"/>
  <c r="K273" i="143"/>
  <c r="J273" i="143"/>
  <c r="I273" i="143"/>
  <c r="H273" i="143"/>
  <c r="G273" i="143"/>
  <c r="F273" i="143"/>
  <c r="E273" i="143"/>
  <c r="D273" i="143"/>
  <c r="C273" i="143"/>
  <c r="B273" i="143"/>
  <c r="N272" i="143"/>
  <c r="M272" i="143"/>
  <c r="L272" i="143"/>
  <c r="K272" i="143"/>
  <c r="J272" i="143"/>
  <c r="I272" i="143"/>
  <c r="H272" i="143"/>
  <c r="G272" i="143"/>
  <c r="F272" i="143"/>
  <c r="E272" i="143"/>
  <c r="D272" i="143"/>
  <c r="C272" i="143"/>
  <c r="B272" i="143"/>
  <c r="N271" i="143"/>
  <c r="M271" i="143"/>
  <c r="L271" i="143"/>
  <c r="K271" i="143"/>
  <c r="J271" i="143"/>
  <c r="I271" i="143"/>
  <c r="H271" i="143"/>
  <c r="G271" i="143"/>
  <c r="F271" i="143"/>
  <c r="E271" i="143"/>
  <c r="D271" i="143"/>
  <c r="C271" i="143"/>
  <c r="B271" i="143"/>
  <c r="N270" i="143"/>
  <c r="M270" i="143"/>
  <c r="L270" i="143"/>
  <c r="K270" i="143"/>
  <c r="J270" i="143"/>
  <c r="I270" i="143"/>
  <c r="H270" i="143"/>
  <c r="G270" i="143"/>
  <c r="F270" i="143"/>
  <c r="E270" i="143"/>
  <c r="D270" i="143"/>
  <c r="C270" i="143"/>
  <c r="B270" i="143"/>
  <c r="N269" i="143"/>
  <c r="M269" i="143"/>
  <c r="L269" i="143"/>
  <c r="K269" i="143"/>
  <c r="J269" i="143"/>
  <c r="I269" i="143"/>
  <c r="H269" i="143"/>
  <c r="G269" i="143"/>
  <c r="F269" i="143"/>
  <c r="E269" i="143"/>
  <c r="D269" i="143"/>
  <c r="C269" i="143"/>
  <c r="B269" i="143"/>
  <c r="N268" i="143"/>
  <c r="M268" i="143"/>
  <c r="L268" i="143"/>
  <c r="K268" i="143"/>
  <c r="J268" i="143"/>
  <c r="I268" i="143"/>
  <c r="H268" i="143"/>
  <c r="G268" i="143"/>
  <c r="F268" i="143"/>
  <c r="E268" i="143"/>
  <c r="D268" i="143"/>
  <c r="C268" i="143"/>
  <c r="B268" i="143"/>
  <c r="N267" i="143"/>
  <c r="M267" i="143"/>
  <c r="L267" i="143"/>
  <c r="K267" i="143"/>
  <c r="J267" i="143"/>
  <c r="I267" i="143"/>
  <c r="H267" i="143"/>
  <c r="G267" i="143"/>
  <c r="F267" i="143"/>
  <c r="E267" i="143"/>
  <c r="D267" i="143"/>
  <c r="C267" i="143"/>
  <c r="B267" i="143"/>
  <c r="N266" i="143"/>
  <c r="M266" i="143"/>
  <c r="L266" i="143"/>
  <c r="K266" i="143"/>
  <c r="J266" i="143"/>
  <c r="I266" i="143"/>
  <c r="H266" i="143"/>
  <c r="G266" i="143"/>
  <c r="F266" i="143"/>
  <c r="E266" i="143"/>
  <c r="D266" i="143"/>
  <c r="C266" i="143"/>
  <c r="B266" i="143"/>
  <c r="N265" i="143"/>
  <c r="M265" i="143"/>
  <c r="L265" i="143"/>
  <c r="K265" i="143"/>
  <c r="J265" i="143"/>
  <c r="I265" i="143"/>
  <c r="H265" i="143"/>
  <c r="G265" i="143"/>
  <c r="F265" i="143"/>
  <c r="E265" i="143"/>
  <c r="D265" i="143"/>
  <c r="C265" i="143"/>
  <c r="B265" i="143"/>
  <c r="N264" i="143"/>
  <c r="M264" i="143"/>
  <c r="L264" i="143"/>
  <c r="K264" i="143"/>
  <c r="J264" i="143"/>
  <c r="I264" i="143"/>
  <c r="H264" i="143"/>
  <c r="G264" i="143"/>
  <c r="F264" i="143"/>
  <c r="E264" i="143"/>
  <c r="D264" i="143"/>
  <c r="C264" i="143"/>
  <c r="B264" i="143"/>
  <c r="N263" i="143"/>
  <c r="M263" i="143"/>
  <c r="L263" i="143"/>
  <c r="K263" i="143"/>
  <c r="J263" i="143"/>
  <c r="I263" i="143"/>
  <c r="H263" i="143"/>
  <c r="G263" i="143"/>
  <c r="F263" i="143"/>
  <c r="E263" i="143"/>
  <c r="D263" i="143"/>
  <c r="C263" i="143"/>
  <c r="B263" i="143"/>
  <c r="N262" i="143"/>
  <c r="M262" i="143"/>
  <c r="L262" i="143"/>
  <c r="K262" i="143"/>
  <c r="J262" i="143"/>
  <c r="I262" i="143"/>
  <c r="H262" i="143"/>
  <c r="G262" i="143"/>
  <c r="F262" i="143"/>
  <c r="E262" i="143"/>
  <c r="D262" i="143"/>
  <c r="C262" i="143"/>
  <c r="B262" i="143"/>
  <c r="N258" i="143"/>
  <c r="M258" i="143"/>
  <c r="L258" i="143"/>
  <c r="K258" i="143"/>
  <c r="J258" i="143"/>
  <c r="I258" i="143"/>
  <c r="H258" i="143"/>
  <c r="G258" i="143"/>
  <c r="F258" i="143"/>
  <c r="E258" i="143"/>
  <c r="D258" i="143"/>
  <c r="C258" i="143"/>
  <c r="A258" i="143"/>
  <c r="N257" i="143"/>
  <c r="M257" i="143"/>
  <c r="L257" i="143"/>
  <c r="K257" i="143"/>
  <c r="J257" i="143"/>
  <c r="I257" i="143"/>
  <c r="H257" i="143"/>
  <c r="G257" i="143"/>
  <c r="F257" i="143"/>
  <c r="E257" i="143"/>
  <c r="D257" i="143"/>
  <c r="C257" i="143"/>
  <c r="B257" i="143"/>
  <c r="N256" i="143"/>
  <c r="M256" i="143"/>
  <c r="L256" i="143"/>
  <c r="K256" i="143"/>
  <c r="J256" i="143"/>
  <c r="I256" i="143"/>
  <c r="H256" i="143"/>
  <c r="G256" i="143"/>
  <c r="F256" i="143"/>
  <c r="E256" i="143"/>
  <c r="D256" i="143"/>
  <c r="C256" i="143"/>
  <c r="B256" i="143"/>
  <c r="N255" i="143"/>
  <c r="M255" i="143"/>
  <c r="L255" i="143"/>
  <c r="K255" i="143"/>
  <c r="J255" i="143"/>
  <c r="I255" i="143"/>
  <c r="H255" i="143"/>
  <c r="G255" i="143"/>
  <c r="F255" i="143"/>
  <c r="E255" i="143"/>
  <c r="D255" i="143"/>
  <c r="C255" i="143"/>
  <c r="B255" i="143"/>
  <c r="N254" i="143"/>
  <c r="M254" i="143"/>
  <c r="L254" i="143"/>
  <c r="K254" i="143"/>
  <c r="J254" i="143"/>
  <c r="I254" i="143"/>
  <c r="H254" i="143"/>
  <c r="G254" i="143"/>
  <c r="F254" i="143"/>
  <c r="E254" i="143"/>
  <c r="D254" i="143"/>
  <c r="C254" i="143"/>
  <c r="B254" i="143"/>
  <c r="N253" i="143"/>
  <c r="M253" i="143"/>
  <c r="L253" i="143"/>
  <c r="K253" i="143"/>
  <c r="J253" i="143"/>
  <c r="I253" i="143"/>
  <c r="H253" i="143"/>
  <c r="G253" i="143"/>
  <c r="F253" i="143"/>
  <c r="E253" i="143"/>
  <c r="D253" i="143"/>
  <c r="C253" i="143"/>
  <c r="B253" i="143"/>
  <c r="N252" i="143"/>
  <c r="M252" i="143"/>
  <c r="L252" i="143"/>
  <c r="K252" i="143"/>
  <c r="J252" i="143"/>
  <c r="I252" i="143"/>
  <c r="H252" i="143"/>
  <c r="G252" i="143"/>
  <c r="F252" i="143"/>
  <c r="E252" i="143"/>
  <c r="D252" i="143"/>
  <c r="C252" i="143"/>
  <c r="B252" i="143"/>
  <c r="N251" i="143"/>
  <c r="M251" i="143"/>
  <c r="L251" i="143"/>
  <c r="K251" i="143"/>
  <c r="J251" i="143"/>
  <c r="I251" i="143"/>
  <c r="H251" i="143"/>
  <c r="G251" i="143"/>
  <c r="F251" i="143"/>
  <c r="E251" i="143"/>
  <c r="D251" i="143"/>
  <c r="C251" i="143"/>
  <c r="B251" i="143"/>
  <c r="N250" i="143"/>
  <c r="M250" i="143"/>
  <c r="L250" i="143"/>
  <c r="K250" i="143"/>
  <c r="J250" i="143"/>
  <c r="I250" i="143"/>
  <c r="H250" i="143"/>
  <c r="G250" i="143"/>
  <c r="F250" i="143"/>
  <c r="E250" i="143"/>
  <c r="D250" i="143"/>
  <c r="C250" i="143"/>
  <c r="B250" i="143"/>
  <c r="N249" i="143"/>
  <c r="M249" i="143"/>
  <c r="L249" i="143"/>
  <c r="K249" i="143"/>
  <c r="J249" i="143"/>
  <c r="I249" i="143"/>
  <c r="H249" i="143"/>
  <c r="G249" i="143"/>
  <c r="F249" i="143"/>
  <c r="E249" i="143"/>
  <c r="D249" i="143"/>
  <c r="C249" i="143"/>
  <c r="B249" i="143"/>
  <c r="N248" i="143"/>
  <c r="M248" i="143"/>
  <c r="L248" i="143"/>
  <c r="K248" i="143"/>
  <c r="J248" i="143"/>
  <c r="I248" i="143"/>
  <c r="H248" i="143"/>
  <c r="G248" i="143"/>
  <c r="F248" i="143"/>
  <c r="E248" i="143"/>
  <c r="D248" i="143"/>
  <c r="C248" i="143"/>
  <c r="B248" i="143"/>
  <c r="N247" i="143"/>
  <c r="M247" i="143"/>
  <c r="L247" i="143"/>
  <c r="K247" i="143"/>
  <c r="J247" i="143"/>
  <c r="I247" i="143"/>
  <c r="H247" i="143"/>
  <c r="G247" i="143"/>
  <c r="F247" i="143"/>
  <c r="E247" i="143"/>
  <c r="D247" i="143"/>
  <c r="C247" i="143"/>
  <c r="B247" i="143"/>
  <c r="N246" i="143"/>
  <c r="M246" i="143"/>
  <c r="L246" i="143"/>
  <c r="K246" i="143"/>
  <c r="J246" i="143"/>
  <c r="I246" i="143"/>
  <c r="H246" i="143"/>
  <c r="G246" i="143"/>
  <c r="F246" i="143"/>
  <c r="E246" i="143"/>
  <c r="D246" i="143"/>
  <c r="C246" i="143"/>
  <c r="B246" i="143"/>
  <c r="N240" i="143"/>
  <c r="M240" i="143"/>
  <c r="L240" i="143"/>
  <c r="K240" i="143"/>
  <c r="J240" i="143"/>
  <c r="I240" i="143"/>
  <c r="H240" i="143"/>
  <c r="G240" i="143"/>
  <c r="F240" i="143"/>
  <c r="E240" i="143"/>
  <c r="D240" i="143"/>
  <c r="C240" i="143"/>
  <c r="A240" i="143"/>
  <c r="N239" i="143"/>
  <c r="M239" i="143"/>
  <c r="L239" i="143"/>
  <c r="K239" i="143"/>
  <c r="J239" i="143"/>
  <c r="I239" i="143"/>
  <c r="H239" i="143"/>
  <c r="G239" i="143"/>
  <c r="F239" i="143"/>
  <c r="E239" i="143"/>
  <c r="D239" i="143"/>
  <c r="C239" i="143"/>
  <c r="B239" i="143"/>
  <c r="N238" i="143"/>
  <c r="M238" i="143"/>
  <c r="L238" i="143"/>
  <c r="K238" i="143"/>
  <c r="J238" i="143"/>
  <c r="I238" i="143"/>
  <c r="H238" i="143"/>
  <c r="G238" i="143"/>
  <c r="F238" i="143"/>
  <c r="E238" i="143"/>
  <c r="D238" i="143"/>
  <c r="C238" i="143"/>
  <c r="B238" i="143"/>
  <c r="N237" i="143"/>
  <c r="M237" i="143"/>
  <c r="L237" i="143"/>
  <c r="K237" i="143"/>
  <c r="J237" i="143"/>
  <c r="I237" i="143"/>
  <c r="H237" i="143"/>
  <c r="G237" i="143"/>
  <c r="F237" i="143"/>
  <c r="E237" i="143"/>
  <c r="D237" i="143"/>
  <c r="C237" i="143"/>
  <c r="B237" i="143"/>
  <c r="N236" i="143"/>
  <c r="M236" i="143"/>
  <c r="L236" i="143"/>
  <c r="K236" i="143"/>
  <c r="J236" i="143"/>
  <c r="I236" i="143"/>
  <c r="H236" i="143"/>
  <c r="G236" i="143"/>
  <c r="F236" i="143"/>
  <c r="E236" i="143"/>
  <c r="D236" i="143"/>
  <c r="C236" i="143"/>
  <c r="B236" i="143"/>
  <c r="N235" i="143"/>
  <c r="M235" i="143"/>
  <c r="L235" i="143"/>
  <c r="K235" i="143"/>
  <c r="J235" i="143"/>
  <c r="I235" i="143"/>
  <c r="H235" i="143"/>
  <c r="G235" i="143"/>
  <c r="F235" i="143"/>
  <c r="E235" i="143"/>
  <c r="D235" i="143"/>
  <c r="C235" i="143"/>
  <c r="B235" i="143"/>
  <c r="N234" i="143"/>
  <c r="M234" i="143"/>
  <c r="L234" i="143"/>
  <c r="K234" i="143"/>
  <c r="J234" i="143"/>
  <c r="I234" i="143"/>
  <c r="H234" i="143"/>
  <c r="G234" i="143"/>
  <c r="F234" i="143"/>
  <c r="E234" i="143"/>
  <c r="D234" i="143"/>
  <c r="C234" i="143"/>
  <c r="B234" i="143"/>
  <c r="N233" i="143"/>
  <c r="M233" i="143"/>
  <c r="L233" i="143"/>
  <c r="K233" i="143"/>
  <c r="J233" i="143"/>
  <c r="I233" i="143"/>
  <c r="H233" i="143"/>
  <c r="G233" i="143"/>
  <c r="F233" i="143"/>
  <c r="E233" i="143"/>
  <c r="D233" i="143"/>
  <c r="C233" i="143"/>
  <c r="B233" i="143"/>
  <c r="N232" i="143"/>
  <c r="M232" i="143"/>
  <c r="L232" i="143"/>
  <c r="K232" i="143"/>
  <c r="J232" i="143"/>
  <c r="I232" i="143"/>
  <c r="H232" i="143"/>
  <c r="G232" i="143"/>
  <c r="F232" i="143"/>
  <c r="E232" i="143"/>
  <c r="D232" i="143"/>
  <c r="C232" i="143"/>
  <c r="B232" i="143"/>
  <c r="N231" i="143"/>
  <c r="M231" i="143"/>
  <c r="L231" i="143"/>
  <c r="K231" i="143"/>
  <c r="J231" i="143"/>
  <c r="I231" i="143"/>
  <c r="H231" i="143"/>
  <c r="G231" i="143"/>
  <c r="F231" i="143"/>
  <c r="E231" i="143"/>
  <c r="D231" i="143"/>
  <c r="C231" i="143"/>
  <c r="B231" i="143"/>
  <c r="N230" i="143"/>
  <c r="M230" i="143"/>
  <c r="L230" i="143"/>
  <c r="K230" i="143"/>
  <c r="J230" i="143"/>
  <c r="I230" i="143"/>
  <c r="H230" i="143"/>
  <c r="G230" i="143"/>
  <c r="F230" i="143"/>
  <c r="E230" i="143"/>
  <c r="D230" i="143"/>
  <c r="C230" i="143"/>
  <c r="B230" i="143"/>
  <c r="N229" i="143"/>
  <c r="M229" i="143"/>
  <c r="L229" i="143"/>
  <c r="K229" i="143"/>
  <c r="J229" i="143"/>
  <c r="I229" i="143"/>
  <c r="H229" i="143"/>
  <c r="G229" i="143"/>
  <c r="F229" i="143"/>
  <c r="E229" i="143"/>
  <c r="D229" i="143"/>
  <c r="C229" i="143"/>
  <c r="B229" i="143"/>
  <c r="N228" i="143"/>
  <c r="M228" i="143"/>
  <c r="L228" i="143"/>
  <c r="K228" i="143"/>
  <c r="J228" i="143"/>
  <c r="I228" i="143"/>
  <c r="H228" i="143"/>
  <c r="G228" i="143"/>
  <c r="F228" i="143"/>
  <c r="E228" i="143"/>
  <c r="D228" i="143"/>
  <c r="C228" i="143"/>
  <c r="B228" i="143"/>
  <c r="N224" i="143"/>
  <c r="M224" i="143"/>
  <c r="L224" i="143"/>
  <c r="K224" i="143"/>
  <c r="J224" i="143"/>
  <c r="I224" i="143"/>
  <c r="H224" i="143"/>
  <c r="G224" i="143"/>
  <c r="F224" i="143"/>
  <c r="E224" i="143"/>
  <c r="D224" i="143"/>
  <c r="C224" i="143"/>
  <c r="A224" i="143"/>
  <c r="N223" i="143"/>
  <c r="M223" i="143"/>
  <c r="L223" i="143"/>
  <c r="K223" i="143"/>
  <c r="J223" i="143"/>
  <c r="I223" i="143"/>
  <c r="H223" i="143"/>
  <c r="G223" i="143"/>
  <c r="F223" i="143"/>
  <c r="E223" i="143"/>
  <c r="D223" i="143"/>
  <c r="C223" i="143"/>
  <c r="B223" i="143"/>
  <c r="N222" i="143"/>
  <c r="M222" i="143"/>
  <c r="L222" i="143"/>
  <c r="K222" i="143"/>
  <c r="J222" i="143"/>
  <c r="I222" i="143"/>
  <c r="H222" i="143"/>
  <c r="G222" i="143"/>
  <c r="F222" i="143"/>
  <c r="E222" i="143"/>
  <c r="D222" i="143"/>
  <c r="C222" i="143"/>
  <c r="B222" i="143"/>
  <c r="N221" i="143"/>
  <c r="M221" i="143"/>
  <c r="L221" i="143"/>
  <c r="K221" i="143"/>
  <c r="J221" i="143"/>
  <c r="I221" i="143"/>
  <c r="H221" i="143"/>
  <c r="G221" i="143"/>
  <c r="F221" i="143"/>
  <c r="E221" i="143"/>
  <c r="D221" i="143"/>
  <c r="C221" i="143"/>
  <c r="B221" i="143"/>
  <c r="N220" i="143"/>
  <c r="M220" i="143"/>
  <c r="L220" i="143"/>
  <c r="K220" i="143"/>
  <c r="J220" i="143"/>
  <c r="I220" i="143"/>
  <c r="H220" i="143"/>
  <c r="G220" i="143"/>
  <c r="F220" i="143"/>
  <c r="E220" i="143"/>
  <c r="D220" i="143"/>
  <c r="C220" i="143"/>
  <c r="B220" i="143"/>
  <c r="N219" i="143"/>
  <c r="M219" i="143"/>
  <c r="L219" i="143"/>
  <c r="K219" i="143"/>
  <c r="J219" i="143"/>
  <c r="I219" i="143"/>
  <c r="H219" i="143"/>
  <c r="G219" i="143"/>
  <c r="F219" i="143"/>
  <c r="E219" i="143"/>
  <c r="D219" i="143"/>
  <c r="C219" i="143"/>
  <c r="B219" i="143"/>
  <c r="N218" i="143"/>
  <c r="M218" i="143"/>
  <c r="L218" i="143"/>
  <c r="K218" i="143"/>
  <c r="J218" i="143"/>
  <c r="I218" i="143"/>
  <c r="H218" i="143"/>
  <c r="G218" i="143"/>
  <c r="F218" i="143"/>
  <c r="E218" i="143"/>
  <c r="D218" i="143"/>
  <c r="C218" i="143"/>
  <c r="B218" i="143"/>
  <c r="N217" i="143"/>
  <c r="M217" i="143"/>
  <c r="L217" i="143"/>
  <c r="K217" i="143"/>
  <c r="J217" i="143"/>
  <c r="I217" i="143"/>
  <c r="H217" i="143"/>
  <c r="G217" i="143"/>
  <c r="F217" i="143"/>
  <c r="E217" i="143"/>
  <c r="D217" i="143"/>
  <c r="C217" i="143"/>
  <c r="B217" i="143"/>
  <c r="N216" i="143"/>
  <c r="M216" i="143"/>
  <c r="L216" i="143"/>
  <c r="K216" i="143"/>
  <c r="J216" i="143"/>
  <c r="I216" i="143"/>
  <c r="H216" i="143"/>
  <c r="G216" i="143"/>
  <c r="F216" i="143"/>
  <c r="E216" i="143"/>
  <c r="D216" i="143"/>
  <c r="C216" i="143"/>
  <c r="B216" i="143"/>
  <c r="N215" i="143"/>
  <c r="M215" i="143"/>
  <c r="L215" i="143"/>
  <c r="K215" i="143"/>
  <c r="J215" i="143"/>
  <c r="I215" i="143"/>
  <c r="H215" i="143"/>
  <c r="G215" i="143"/>
  <c r="F215" i="143"/>
  <c r="E215" i="143"/>
  <c r="D215" i="143"/>
  <c r="C215" i="143"/>
  <c r="B215" i="143"/>
  <c r="N214" i="143"/>
  <c r="M214" i="143"/>
  <c r="L214" i="143"/>
  <c r="K214" i="143"/>
  <c r="J214" i="143"/>
  <c r="I214" i="143"/>
  <c r="H214" i="143"/>
  <c r="G214" i="143"/>
  <c r="F214" i="143"/>
  <c r="E214" i="143"/>
  <c r="D214" i="143"/>
  <c r="C214" i="143"/>
  <c r="B214" i="143"/>
  <c r="N213" i="143"/>
  <c r="M213" i="143"/>
  <c r="L213" i="143"/>
  <c r="K213" i="143"/>
  <c r="J213" i="143"/>
  <c r="I213" i="143"/>
  <c r="H213" i="143"/>
  <c r="G213" i="143"/>
  <c r="F213" i="143"/>
  <c r="E213" i="143"/>
  <c r="D213" i="143"/>
  <c r="C213" i="143"/>
  <c r="B213" i="143"/>
  <c r="N212" i="143"/>
  <c r="M212" i="143"/>
  <c r="L212" i="143"/>
  <c r="K212" i="143"/>
  <c r="J212" i="143"/>
  <c r="I212" i="143"/>
  <c r="H212" i="143"/>
  <c r="G212" i="143"/>
  <c r="F212" i="143"/>
  <c r="E212" i="143"/>
  <c r="D212" i="143"/>
  <c r="C212" i="143"/>
  <c r="B212" i="143"/>
  <c r="N206" i="143"/>
  <c r="M206" i="143"/>
  <c r="L206" i="143"/>
  <c r="K206" i="143"/>
  <c r="J206" i="143"/>
  <c r="I206" i="143"/>
  <c r="H206" i="143"/>
  <c r="G206" i="143"/>
  <c r="F206" i="143"/>
  <c r="E206" i="143"/>
  <c r="D206" i="143"/>
  <c r="C206" i="143"/>
  <c r="A206" i="143"/>
  <c r="N205" i="143"/>
  <c r="M205" i="143"/>
  <c r="L205" i="143"/>
  <c r="K205" i="143"/>
  <c r="J205" i="143"/>
  <c r="I205" i="143"/>
  <c r="H205" i="143"/>
  <c r="G205" i="143"/>
  <c r="F205" i="143"/>
  <c r="E205" i="143"/>
  <c r="D205" i="143"/>
  <c r="C205" i="143"/>
  <c r="B205" i="143"/>
  <c r="N204" i="143"/>
  <c r="M204" i="143"/>
  <c r="L204" i="143"/>
  <c r="K204" i="143"/>
  <c r="J204" i="143"/>
  <c r="I204" i="143"/>
  <c r="H204" i="143"/>
  <c r="G204" i="143"/>
  <c r="F204" i="143"/>
  <c r="E204" i="143"/>
  <c r="D204" i="143"/>
  <c r="C204" i="143"/>
  <c r="B204" i="143"/>
  <c r="N203" i="143"/>
  <c r="M203" i="143"/>
  <c r="L203" i="143"/>
  <c r="K203" i="143"/>
  <c r="J203" i="143"/>
  <c r="I203" i="143"/>
  <c r="H203" i="143"/>
  <c r="G203" i="143"/>
  <c r="F203" i="143"/>
  <c r="E203" i="143"/>
  <c r="D203" i="143"/>
  <c r="C203" i="143"/>
  <c r="B203" i="143"/>
  <c r="N202" i="143"/>
  <c r="M202" i="143"/>
  <c r="L202" i="143"/>
  <c r="K202" i="143"/>
  <c r="J202" i="143"/>
  <c r="I202" i="143"/>
  <c r="H202" i="143"/>
  <c r="G202" i="143"/>
  <c r="F202" i="143"/>
  <c r="E202" i="143"/>
  <c r="D202" i="143"/>
  <c r="C202" i="143"/>
  <c r="B202" i="143"/>
  <c r="N201" i="143"/>
  <c r="M201" i="143"/>
  <c r="L201" i="143"/>
  <c r="K201" i="143"/>
  <c r="J201" i="143"/>
  <c r="I201" i="143"/>
  <c r="H201" i="143"/>
  <c r="G201" i="143"/>
  <c r="F201" i="143"/>
  <c r="E201" i="143"/>
  <c r="D201" i="143"/>
  <c r="C201" i="143"/>
  <c r="B201" i="143"/>
  <c r="N200" i="143"/>
  <c r="M200" i="143"/>
  <c r="L200" i="143"/>
  <c r="K200" i="143"/>
  <c r="J200" i="143"/>
  <c r="I200" i="143"/>
  <c r="H200" i="143"/>
  <c r="G200" i="143"/>
  <c r="F200" i="143"/>
  <c r="E200" i="143"/>
  <c r="D200" i="143"/>
  <c r="C200" i="143"/>
  <c r="B200" i="143"/>
  <c r="N199" i="143"/>
  <c r="M199" i="143"/>
  <c r="L199" i="143"/>
  <c r="K199" i="143"/>
  <c r="J199" i="143"/>
  <c r="I199" i="143"/>
  <c r="H199" i="143"/>
  <c r="G199" i="143"/>
  <c r="F199" i="143"/>
  <c r="E199" i="143"/>
  <c r="D199" i="143"/>
  <c r="C199" i="143"/>
  <c r="B199" i="143"/>
  <c r="N198" i="143"/>
  <c r="M198" i="143"/>
  <c r="L198" i="143"/>
  <c r="K198" i="143"/>
  <c r="J198" i="143"/>
  <c r="I198" i="143"/>
  <c r="H198" i="143"/>
  <c r="G198" i="143"/>
  <c r="F198" i="143"/>
  <c r="E198" i="143"/>
  <c r="D198" i="143"/>
  <c r="C198" i="143"/>
  <c r="B198" i="143"/>
  <c r="N197" i="143"/>
  <c r="M197" i="143"/>
  <c r="L197" i="143"/>
  <c r="K197" i="143"/>
  <c r="J197" i="143"/>
  <c r="I197" i="143"/>
  <c r="H197" i="143"/>
  <c r="G197" i="143"/>
  <c r="F197" i="143"/>
  <c r="E197" i="143"/>
  <c r="D197" i="143"/>
  <c r="C197" i="143"/>
  <c r="B197" i="143"/>
  <c r="N196" i="143"/>
  <c r="M196" i="143"/>
  <c r="L196" i="143"/>
  <c r="K196" i="143"/>
  <c r="J196" i="143"/>
  <c r="I196" i="143"/>
  <c r="H196" i="143"/>
  <c r="G196" i="143"/>
  <c r="F196" i="143"/>
  <c r="E196" i="143"/>
  <c r="D196" i="143"/>
  <c r="C196" i="143"/>
  <c r="B196" i="143"/>
  <c r="N195" i="143"/>
  <c r="M195" i="143"/>
  <c r="L195" i="143"/>
  <c r="K195" i="143"/>
  <c r="J195" i="143"/>
  <c r="I195" i="143"/>
  <c r="H195" i="143"/>
  <c r="G195" i="143"/>
  <c r="F195" i="143"/>
  <c r="E195" i="143"/>
  <c r="D195" i="143"/>
  <c r="C195" i="143"/>
  <c r="B195" i="143"/>
  <c r="N194" i="143"/>
  <c r="M194" i="143"/>
  <c r="L194" i="143"/>
  <c r="K194" i="143"/>
  <c r="J194" i="143"/>
  <c r="I194" i="143"/>
  <c r="H194" i="143"/>
  <c r="G194" i="143"/>
  <c r="F194" i="143"/>
  <c r="E194" i="143"/>
  <c r="D194" i="143"/>
  <c r="C194" i="143"/>
  <c r="B194" i="143"/>
  <c r="N190" i="143"/>
  <c r="M190" i="143"/>
  <c r="L190" i="143"/>
  <c r="K190" i="143"/>
  <c r="J190" i="143"/>
  <c r="I190" i="143"/>
  <c r="H190" i="143"/>
  <c r="G190" i="143"/>
  <c r="F190" i="143"/>
  <c r="E190" i="143"/>
  <c r="D190" i="143"/>
  <c r="C190" i="143"/>
  <c r="A190" i="143"/>
  <c r="N189" i="143"/>
  <c r="M189" i="143"/>
  <c r="L189" i="143"/>
  <c r="K189" i="143"/>
  <c r="J189" i="143"/>
  <c r="I189" i="143"/>
  <c r="H189" i="143"/>
  <c r="G189" i="143"/>
  <c r="F189" i="143"/>
  <c r="E189" i="143"/>
  <c r="D189" i="143"/>
  <c r="C189" i="143"/>
  <c r="B189" i="143"/>
  <c r="N188" i="143"/>
  <c r="M188" i="143"/>
  <c r="L188" i="143"/>
  <c r="K188" i="143"/>
  <c r="J188" i="143"/>
  <c r="I188" i="143"/>
  <c r="H188" i="143"/>
  <c r="G188" i="143"/>
  <c r="F188" i="143"/>
  <c r="E188" i="143"/>
  <c r="D188" i="143"/>
  <c r="C188" i="143"/>
  <c r="B188" i="143"/>
  <c r="N187" i="143"/>
  <c r="M187" i="143"/>
  <c r="L187" i="143"/>
  <c r="K187" i="143"/>
  <c r="J187" i="143"/>
  <c r="I187" i="143"/>
  <c r="H187" i="143"/>
  <c r="G187" i="143"/>
  <c r="F187" i="143"/>
  <c r="E187" i="143"/>
  <c r="D187" i="143"/>
  <c r="C187" i="143"/>
  <c r="B187" i="143"/>
  <c r="N186" i="143"/>
  <c r="M186" i="143"/>
  <c r="L186" i="143"/>
  <c r="K186" i="143"/>
  <c r="J186" i="143"/>
  <c r="I186" i="143"/>
  <c r="H186" i="143"/>
  <c r="G186" i="143"/>
  <c r="F186" i="143"/>
  <c r="E186" i="143"/>
  <c r="D186" i="143"/>
  <c r="C186" i="143"/>
  <c r="B186" i="143"/>
  <c r="N185" i="143"/>
  <c r="M185" i="143"/>
  <c r="L185" i="143"/>
  <c r="K185" i="143"/>
  <c r="J185" i="143"/>
  <c r="I185" i="143"/>
  <c r="H185" i="143"/>
  <c r="G185" i="143"/>
  <c r="F185" i="143"/>
  <c r="E185" i="143"/>
  <c r="D185" i="143"/>
  <c r="C185" i="143"/>
  <c r="B185" i="143"/>
  <c r="N184" i="143"/>
  <c r="M184" i="143"/>
  <c r="L184" i="143"/>
  <c r="K184" i="143"/>
  <c r="J184" i="143"/>
  <c r="I184" i="143"/>
  <c r="H184" i="143"/>
  <c r="G184" i="143"/>
  <c r="F184" i="143"/>
  <c r="E184" i="143"/>
  <c r="D184" i="143"/>
  <c r="C184" i="143"/>
  <c r="B184" i="143"/>
  <c r="N183" i="143"/>
  <c r="M183" i="143"/>
  <c r="L183" i="143"/>
  <c r="K183" i="143"/>
  <c r="J183" i="143"/>
  <c r="I183" i="143"/>
  <c r="H183" i="143"/>
  <c r="G183" i="143"/>
  <c r="F183" i="143"/>
  <c r="E183" i="143"/>
  <c r="D183" i="143"/>
  <c r="C183" i="143"/>
  <c r="B183" i="143"/>
  <c r="N182" i="143"/>
  <c r="M182" i="143"/>
  <c r="L182" i="143"/>
  <c r="K182" i="143"/>
  <c r="J182" i="143"/>
  <c r="I182" i="143"/>
  <c r="H182" i="143"/>
  <c r="G182" i="143"/>
  <c r="F182" i="143"/>
  <c r="E182" i="143"/>
  <c r="D182" i="143"/>
  <c r="C182" i="143"/>
  <c r="B182" i="143"/>
  <c r="N181" i="143"/>
  <c r="M181" i="143"/>
  <c r="L181" i="143"/>
  <c r="K181" i="143"/>
  <c r="J181" i="143"/>
  <c r="I181" i="143"/>
  <c r="H181" i="143"/>
  <c r="G181" i="143"/>
  <c r="F181" i="143"/>
  <c r="E181" i="143"/>
  <c r="D181" i="143"/>
  <c r="C181" i="143"/>
  <c r="B181" i="143"/>
  <c r="N180" i="143"/>
  <c r="M180" i="143"/>
  <c r="L180" i="143"/>
  <c r="K180" i="143"/>
  <c r="J180" i="143"/>
  <c r="I180" i="143"/>
  <c r="H180" i="143"/>
  <c r="G180" i="143"/>
  <c r="F180" i="143"/>
  <c r="E180" i="143"/>
  <c r="D180" i="143"/>
  <c r="C180" i="143"/>
  <c r="B180" i="143"/>
  <c r="N179" i="143"/>
  <c r="M179" i="143"/>
  <c r="L179" i="143"/>
  <c r="K179" i="143"/>
  <c r="J179" i="143"/>
  <c r="I179" i="143"/>
  <c r="H179" i="143"/>
  <c r="G179" i="143"/>
  <c r="F179" i="143"/>
  <c r="E179" i="143"/>
  <c r="D179" i="143"/>
  <c r="C179" i="143"/>
  <c r="B179" i="143"/>
  <c r="N178" i="143"/>
  <c r="M178" i="143"/>
  <c r="L178" i="143"/>
  <c r="K178" i="143"/>
  <c r="J178" i="143"/>
  <c r="I178" i="143"/>
  <c r="H178" i="143"/>
  <c r="G178" i="143"/>
  <c r="F178" i="143"/>
  <c r="E178" i="143"/>
  <c r="D178" i="143"/>
  <c r="C178" i="143"/>
  <c r="B178" i="143"/>
  <c r="N172" i="143"/>
  <c r="M172" i="143"/>
  <c r="L172" i="143"/>
  <c r="K172" i="143"/>
  <c r="J172" i="143"/>
  <c r="I172" i="143"/>
  <c r="H172" i="143"/>
  <c r="G172" i="143"/>
  <c r="F172" i="143"/>
  <c r="E172" i="143"/>
  <c r="D172" i="143"/>
  <c r="C172" i="143"/>
  <c r="A172" i="143"/>
  <c r="N171" i="143"/>
  <c r="M171" i="143"/>
  <c r="L171" i="143"/>
  <c r="K171" i="143"/>
  <c r="J171" i="143"/>
  <c r="I171" i="143"/>
  <c r="H171" i="143"/>
  <c r="G171" i="143"/>
  <c r="F171" i="143"/>
  <c r="E171" i="143"/>
  <c r="D171" i="143"/>
  <c r="C171" i="143"/>
  <c r="B171" i="143"/>
  <c r="N170" i="143"/>
  <c r="M170" i="143"/>
  <c r="L170" i="143"/>
  <c r="K170" i="143"/>
  <c r="J170" i="143"/>
  <c r="I170" i="143"/>
  <c r="H170" i="143"/>
  <c r="G170" i="143"/>
  <c r="F170" i="143"/>
  <c r="E170" i="143"/>
  <c r="D170" i="143"/>
  <c r="C170" i="143"/>
  <c r="B170" i="143"/>
  <c r="N169" i="143"/>
  <c r="M169" i="143"/>
  <c r="L169" i="143"/>
  <c r="K169" i="143"/>
  <c r="J169" i="143"/>
  <c r="I169" i="143"/>
  <c r="H169" i="143"/>
  <c r="G169" i="143"/>
  <c r="F169" i="143"/>
  <c r="E169" i="143"/>
  <c r="D169" i="143"/>
  <c r="C169" i="143"/>
  <c r="B169" i="143"/>
  <c r="N168" i="143"/>
  <c r="M168" i="143"/>
  <c r="L168" i="143"/>
  <c r="K168" i="143"/>
  <c r="J168" i="143"/>
  <c r="I168" i="143"/>
  <c r="H168" i="143"/>
  <c r="G168" i="143"/>
  <c r="F168" i="143"/>
  <c r="E168" i="143"/>
  <c r="D168" i="143"/>
  <c r="C168" i="143"/>
  <c r="B168" i="143"/>
  <c r="N167" i="143"/>
  <c r="M167" i="143"/>
  <c r="L167" i="143"/>
  <c r="K167" i="143"/>
  <c r="J167" i="143"/>
  <c r="I167" i="143"/>
  <c r="H167" i="143"/>
  <c r="G167" i="143"/>
  <c r="F167" i="143"/>
  <c r="E167" i="143"/>
  <c r="D167" i="143"/>
  <c r="C167" i="143"/>
  <c r="B167" i="143"/>
  <c r="N166" i="143"/>
  <c r="M166" i="143"/>
  <c r="L166" i="143"/>
  <c r="K166" i="143"/>
  <c r="J166" i="143"/>
  <c r="I166" i="143"/>
  <c r="H166" i="143"/>
  <c r="G166" i="143"/>
  <c r="F166" i="143"/>
  <c r="E166" i="143"/>
  <c r="D166" i="143"/>
  <c r="C166" i="143"/>
  <c r="B166" i="143"/>
  <c r="N165" i="143"/>
  <c r="M165" i="143"/>
  <c r="L165" i="143"/>
  <c r="K165" i="143"/>
  <c r="J165" i="143"/>
  <c r="I165" i="143"/>
  <c r="H165" i="143"/>
  <c r="G165" i="143"/>
  <c r="F165" i="143"/>
  <c r="E165" i="143"/>
  <c r="D165" i="143"/>
  <c r="C165" i="143"/>
  <c r="B165" i="143"/>
  <c r="N164" i="143"/>
  <c r="M164" i="143"/>
  <c r="L164" i="143"/>
  <c r="K164" i="143"/>
  <c r="J164" i="143"/>
  <c r="I164" i="143"/>
  <c r="H164" i="143"/>
  <c r="G164" i="143"/>
  <c r="F164" i="143"/>
  <c r="E164" i="143"/>
  <c r="D164" i="143"/>
  <c r="C164" i="143"/>
  <c r="B164" i="143"/>
  <c r="N163" i="143"/>
  <c r="M163" i="143"/>
  <c r="L163" i="143"/>
  <c r="K163" i="143"/>
  <c r="J163" i="143"/>
  <c r="I163" i="143"/>
  <c r="H163" i="143"/>
  <c r="G163" i="143"/>
  <c r="F163" i="143"/>
  <c r="E163" i="143"/>
  <c r="D163" i="143"/>
  <c r="C163" i="143"/>
  <c r="B163" i="143"/>
  <c r="N162" i="143"/>
  <c r="M162" i="143"/>
  <c r="L162" i="143"/>
  <c r="K162" i="143"/>
  <c r="J162" i="143"/>
  <c r="I162" i="143"/>
  <c r="H162" i="143"/>
  <c r="G162" i="143"/>
  <c r="F162" i="143"/>
  <c r="E162" i="143"/>
  <c r="D162" i="143"/>
  <c r="C162" i="143"/>
  <c r="B162" i="143"/>
  <c r="N161" i="143"/>
  <c r="M161" i="143"/>
  <c r="L161" i="143"/>
  <c r="K161" i="143"/>
  <c r="J161" i="143"/>
  <c r="I161" i="143"/>
  <c r="H161" i="143"/>
  <c r="G161" i="143"/>
  <c r="F161" i="143"/>
  <c r="E161" i="143"/>
  <c r="D161" i="143"/>
  <c r="C161" i="143"/>
  <c r="B161" i="143"/>
  <c r="N160" i="143"/>
  <c r="M160" i="143"/>
  <c r="L160" i="143"/>
  <c r="K160" i="143"/>
  <c r="J160" i="143"/>
  <c r="I160" i="143"/>
  <c r="H160" i="143"/>
  <c r="G160" i="143"/>
  <c r="F160" i="143"/>
  <c r="E160" i="143"/>
  <c r="D160" i="143"/>
  <c r="C160" i="143"/>
  <c r="B160" i="143"/>
  <c r="N156" i="143"/>
  <c r="M156" i="143"/>
  <c r="L156" i="143"/>
  <c r="K156" i="143"/>
  <c r="J156" i="143"/>
  <c r="I156" i="143"/>
  <c r="H156" i="143"/>
  <c r="G156" i="143"/>
  <c r="F156" i="143"/>
  <c r="E156" i="143"/>
  <c r="D156" i="143"/>
  <c r="C156" i="143"/>
  <c r="A156" i="143"/>
  <c r="N155" i="143"/>
  <c r="M155" i="143"/>
  <c r="L155" i="143"/>
  <c r="K155" i="143"/>
  <c r="J155" i="143"/>
  <c r="I155" i="143"/>
  <c r="H155" i="143"/>
  <c r="G155" i="143"/>
  <c r="F155" i="143"/>
  <c r="E155" i="143"/>
  <c r="D155" i="143"/>
  <c r="C155" i="143"/>
  <c r="B155" i="143"/>
  <c r="N154" i="143"/>
  <c r="M154" i="143"/>
  <c r="L154" i="143"/>
  <c r="K154" i="143"/>
  <c r="J154" i="143"/>
  <c r="I154" i="143"/>
  <c r="H154" i="143"/>
  <c r="G154" i="143"/>
  <c r="F154" i="143"/>
  <c r="E154" i="143"/>
  <c r="D154" i="143"/>
  <c r="C154" i="143"/>
  <c r="B154" i="143"/>
  <c r="N153" i="143"/>
  <c r="M153" i="143"/>
  <c r="L153" i="143"/>
  <c r="K153" i="143"/>
  <c r="J153" i="143"/>
  <c r="I153" i="143"/>
  <c r="H153" i="143"/>
  <c r="G153" i="143"/>
  <c r="F153" i="143"/>
  <c r="E153" i="143"/>
  <c r="D153" i="143"/>
  <c r="C153" i="143"/>
  <c r="B153" i="143"/>
  <c r="N152" i="143"/>
  <c r="M152" i="143"/>
  <c r="L152" i="143"/>
  <c r="K152" i="143"/>
  <c r="J152" i="143"/>
  <c r="I152" i="143"/>
  <c r="H152" i="143"/>
  <c r="G152" i="143"/>
  <c r="F152" i="143"/>
  <c r="E152" i="143"/>
  <c r="D152" i="143"/>
  <c r="C152" i="143"/>
  <c r="B152" i="143"/>
  <c r="N151" i="143"/>
  <c r="M151" i="143"/>
  <c r="L151" i="143"/>
  <c r="K151" i="143"/>
  <c r="J151" i="143"/>
  <c r="I151" i="143"/>
  <c r="H151" i="143"/>
  <c r="G151" i="143"/>
  <c r="F151" i="143"/>
  <c r="E151" i="143"/>
  <c r="D151" i="143"/>
  <c r="C151" i="143"/>
  <c r="B151" i="143"/>
  <c r="N150" i="143"/>
  <c r="M150" i="143"/>
  <c r="L150" i="143"/>
  <c r="K150" i="143"/>
  <c r="J150" i="143"/>
  <c r="I150" i="143"/>
  <c r="H150" i="143"/>
  <c r="G150" i="143"/>
  <c r="F150" i="143"/>
  <c r="E150" i="143"/>
  <c r="D150" i="143"/>
  <c r="C150" i="143"/>
  <c r="B150" i="143"/>
  <c r="N149" i="143"/>
  <c r="M149" i="143"/>
  <c r="L149" i="143"/>
  <c r="K149" i="143"/>
  <c r="J149" i="143"/>
  <c r="I149" i="143"/>
  <c r="H149" i="143"/>
  <c r="G149" i="143"/>
  <c r="F149" i="143"/>
  <c r="E149" i="143"/>
  <c r="D149" i="143"/>
  <c r="C149" i="143"/>
  <c r="B149" i="143"/>
  <c r="N148" i="143"/>
  <c r="M148" i="143"/>
  <c r="L148" i="143"/>
  <c r="K148" i="143"/>
  <c r="J148" i="143"/>
  <c r="I148" i="143"/>
  <c r="H148" i="143"/>
  <c r="G148" i="143"/>
  <c r="F148" i="143"/>
  <c r="E148" i="143"/>
  <c r="D148" i="143"/>
  <c r="C148" i="143"/>
  <c r="B148" i="143"/>
  <c r="N147" i="143"/>
  <c r="M147" i="143"/>
  <c r="L147" i="143"/>
  <c r="K147" i="143"/>
  <c r="J147" i="143"/>
  <c r="I147" i="143"/>
  <c r="H147" i="143"/>
  <c r="G147" i="143"/>
  <c r="F147" i="143"/>
  <c r="E147" i="143"/>
  <c r="D147" i="143"/>
  <c r="C147" i="143"/>
  <c r="B147" i="143"/>
  <c r="N146" i="143"/>
  <c r="M146" i="143"/>
  <c r="L146" i="143"/>
  <c r="K146" i="143"/>
  <c r="J146" i="143"/>
  <c r="I146" i="143"/>
  <c r="H146" i="143"/>
  <c r="G146" i="143"/>
  <c r="F146" i="143"/>
  <c r="E146" i="143"/>
  <c r="D146" i="143"/>
  <c r="C146" i="143"/>
  <c r="B146" i="143"/>
  <c r="N145" i="143"/>
  <c r="M145" i="143"/>
  <c r="L145" i="143"/>
  <c r="K145" i="143"/>
  <c r="J145" i="143"/>
  <c r="I145" i="143"/>
  <c r="H145" i="143"/>
  <c r="G145" i="143"/>
  <c r="F145" i="143"/>
  <c r="E145" i="143"/>
  <c r="D145" i="143"/>
  <c r="C145" i="143"/>
  <c r="B145" i="143"/>
  <c r="N144" i="143"/>
  <c r="M144" i="143"/>
  <c r="L144" i="143"/>
  <c r="K144" i="143"/>
  <c r="J144" i="143"/>
  <c r="I144" i="143"/>
  <c r="H144" i="143"/>
  <c r="G144" i="143"/>
  <c r="F144" i="143"/>
  <c r="E144" i="143"/>
  <c r="D144" i="143"/>
  <c r="C144" i="143"/>
  <c r="B144" i="143"/>
  <c r="N138" i="143"/>
  <c r="M138" i="143"/>
  <c r="L138" i="143"/>
  <c r="K138" i="143"/>
  <c r="J138" i="143"/>
  <c r="I138" i="143"/>
  <c r="H138" i="143"/>
  <c r="G138" i="143"/>
  <c r="F138" i="143"/>
  <c r="E138" i="143"/>
  <c r="D138" i="143"/>
  <c r="C138" i="143"/>
  <c r="A138" i="143"/>
  <c r="N137" i="143"/>
  <c r="M137" i="143"/>
  <c r="L137" i="143"/>
  <c r="K137" i="143"/>
  <c r="J137" i="143"/>
  <c r="I137" i="143"/>
  <c r="H137" i="143"/>
  <c r="G137" i="143"/>
  <c r="F137" i="143"/>
  <c r="E137" i="143"/>
  <c r="D137" i="143"/>
  <c r="C137" i="143"/>
  <c r="B137" i="143"/>
  <c r="N136" i="143"/>
  <c r="M136" i="143"/>
  <c r="L136" i="143"/>
  <c r="K136" i="143"/>
  <c r="J136" i="143"/>
  <c r="I136" i="143"/>
  <c r="H136" i="143"/>
  <c r="G136" i="143"/>
  <c r="F136" i="143"/>
  <c r="E136" i="143"/>
  <c r="D136" i="143"/>
  <c r="C136" i="143"/>
  <c r="B136" i="143"/>
  <c r="N135" i="143"/>
  <c r="M135" i="143"/>
  <c r="L135" i="143"/>
  <c r="K135" i="143"/>
  <c r="J135" i="143"/>
  <c r="I135" i="143"/>
  <c r="H135" i="143"/>
  <c r="G135" i="143"/>
  <c r="F135" i="143"/>
  <c r="E135" i="143"/>
  <c r="D135" i="143"/>
  <c r="C135" i="143"/>
  <c r="B135" i="143"/>
  <c r="N134" i="143"/>
  <c r="M134" i="143"/>
  <c r="L134" i="143"/>
  <c r="K134" i="143"/>
  <c r="J134" i="143"/>
  <c r="I134" i="143"/>
  <c r="H134" i="143"/>
  <c r="G134" i="143"/>
  <c r="F134" i="143"/>
  <c r="E134" i="143"/>
  <c r="D134" i="143"/>
  <c r="C134" i="143"/>
  <c r="B134" i="143"/>
  <c r="N133" i="143"/>
  <c r="M133" i="143"/>
  <c r="L133" i="143"/>
  <c r="K133" i="143"/>
  <c r="J133" i="143"/>
  <c r="I133" i="143"/>
  <c r="H133" i="143"/>
  <c r="G133" i="143"/>
  <c r="F133" i="143"/>
  <c r="E133" i="143"/>
  <c r="D133" i="143"/>
  <c r="C133" i="143"/>
  <c r="B133" i="143"/>
  <c r="N132" i="143"/>
  <c r="M132" i="143"/>
  <c r="L132" i="143"/>
  <c r="K132" i="143"/>
  <c r="J132" i="143"/>
  <c r="I132" i="143"/>
  <c r="H132" i="143"/>
  <c r="G132" i="143"/>
  <c r="F132" i="143"/>
  <c r="E132" i="143"/>
  <c r="D132" i="143"/>
  <c r="C132" i="143"/>
  <c r="B132" i="143"/>
  <c r="N131" i="143"/>
  <c r="M131" i="143"/>
  <c r="L131" i="143"/>
  <c r="K131" i="143"/>
  <c r="J131" i="143"/>
  <c r="I131" i="143"/>
  <c r="H131" i="143"/>
  <c r="G131" i="143"/>
  <c r="F131" i="143"/>
  <c r="E131" i="143"/>
  <c r="D131" i="143"/>
  <c r="C131" i="143"/>
  <c r="B131" i="143"/>
  <c r="N130" i="143"/>
  <c r="M130" i="143"/>
  <c r="L130" i="143"/>
  <c r="K130" i="143"/>
  <c r="J130" i="143"/>
  <c r="I130" i="143"/>
  <c r="H130" i="143"/>
  <c r="G130" i="143"/>
  <c r="F130" i="143"/>
  <c r="E130" i="143"/>
  <c r="D130" i="143"/>
  <c r="C130" i="143"/>
  <c r="B130" i="143"/>
  <c r="N129" i="143"/>
  <c r="M129" i="143"/>
  <c r="L129" i="143"/>
  <c r="K129" i="143"/>
  <c r="J129" i="143"/>
  <c r="I129" i="143"/>
  <c r="H129" i="143"/>
  <c r="G129" i="143"/>
  <c r="F129" i="143"/>
  <c r="E129" i="143"/>
  <c r="D129" i="143"/>
  <c r="C129" i="143"/>
  <c r="B129" i="143"/>
  <c r="N128" i="143"/>
  <c r="M128" i="143"/>
  <c r="L128" i="143"/>
  <c r="K128" i="143"/>
  <c r="J128" i="143"/>
  <c r="I128" i="143"/>
  <c r="H128" i="143"/>
  <c r="G128" i="143"/>
  <c r="F128" i="143"/>
  <c r="E128" i="143"/>
  <c r="D128" i="143"/>
  <c r="C128" i="143"/>
  <c r="B128" i="143"/>
  <c r="N127" i="143"/>
  <c r="M127" i="143"/>
  <c r="L127" i="143"/>
  <c r="K127" i="143"/>
  <c r="J127" i="143"/>
  <c r="I127" i="143"/>
  <c r="H127" i="143"/>
  <c r="G127" i="143"/>
  <c r="F127" i="143"/>
  <c r="E127" i="143"/>
  <c r="D127" i="143"/>
  <c r="C127" i="143"/>
  <c r="B127" i="143"/>
  <c r="N126" i="143"/>
  <c r="M126" i="143"/>
  <c r="L126" i="143"/>
  <c r="K126" i="143"/>
  <c r="J126" i="143"/>
  <c r="I126" i="143"/>
  <c r="H126" i="143"/>
  <c r="G126" i="143"/>
  <c r="F126" i="143"/>
  <c r="E126" i="143"/>
  <c r="D126" i="143"/>
  <c r="C126" i="143"/>
  <c r="B126" i="143"/>
  <c r="N122" i="143"/>
  <c r="M122" i="143"/>
  <c r="L122" i="143"/>
  <c r="K122" i="143"/>
  <c r="J122" i="143"/>
  <c r="I122" i="143"/>
  <c r="H122" i="143"/>
  <c r="G122" i="143"/>
  <c r="F122" i="143"/>
  <c r="E122" i="143"/>
  <c r="D122" i="143"/>
  <c r="C122" i="143"/>
  <c r="A122" i="143"/>
  <c r="N121" i="143"/>
  <c r="M121" i="143"/>
  <c r="L121" i="143"/>
  <c r="K121" i="143"/>
  <c r="J121" i="143"/>
  <c r="I121" i="143"/>
  <c r="H121" i="143"/>
  <c r="G121" i="143"/>
  <c r="F121" i="143"/>
  <c r="E121" i="143"/>
  <c r="D121" i="143"/>
  <c r="C121" i="143"/>
  <c r="B121" i="143"/>
  <c r="N120" i="143"/>
  <c r="M120" i="143"/>
  <c r="L120" i="143"/>
  <c r="K120" i="143"/>
  <c r="J120" i="143"/>
  <c r="I120" i="143"/>
  <c r="H120" i="143"/>
  <c r="G120" i="143"/>
  <c r="F120" i="143"/>
  <c r="E120" i="143"/>
  <c r="D120" i="143"/>
  <c r="C120" i="143"/>
  <c r="B120" i="143"/>
  <c r="N119" i="143"/>
  <c r="M119" i="143"/>
  <c r="L119" i="143"/>
  <c r="K119" i="143"/>
  <c r="J119" i="143"/>
  <c r="I119" i="143"/>
  <c r="H119" i="143"/>
  <c r="G119" i="143"/>
  <c r="F119" i="143"/>
  <c r="E119" i="143"/>
  <c r="D119" i="143"/>
  <c r="C119" i="143"/>
  <c r="B119" i="143"/>
  <c r="N118" i="143"/>
  <c r="M118" i="143"/>
  <c r="L118" i="143"/>
  <c r="K118" i="143"/>
  <c r="J118" i="143"/>
  <c r="I118" i="143"/>
  <c r="H118" i="143"/>
  <c r="G118" i="143"/>
  <c r="F118" i="143"/>
  <c r="E118" i="143"/>
  <c r="D118" i="143"/>
  <c r="C118" i="143"/>
  <c r="B118" i="143"/>
  <c r="N117" i="143"/>
  <c r="M117" i="143"/>
  <c r="L117" i="143"/>
  <c r="K117" i="143"/>
  <c r="J117" i="143"/>
  <c r="I117" i="143"/>
  <c r="H117" i="143"/>
  <c r="G117" i="143"/>
  <c r="F117" i="143"/>
  <c r="E117" i="143"/>
  <c r="D117" i="143"/>
  <c r="C117" i="143"/>
  <c r="B117" i="143"/>
  <c r="N116" i="143"/>
  <c r="M116" i="143"/>
  <c r="L116" i="143"/>
  <c r="K116" i="143"/>
  <c r="J116" i="143"/>
  <c r="I116" i="143"/>
  <c r="H116" i="143"/>
  <c r="G116" i="143"/>
  <c r="F116" i="143"/>
  <c r="E116" i="143"/>
  <c r="D116" i="143"/>
  <c r="C116" i="143"/>
  <c r="B116" i="143"/>
  <c r="N115" i="143"/>
  <c r="M115" i="143"/>
  <c r="L115" i="143"/>
  <c r="K115" i="143"/>
  <c r="J115" i="143"/>
  <c r="I115" i="143"/>
  <c r="H115" i="143"/>
  <c r="G115" i="143"/>
  <c r="F115" i="143"/>
  <c r="E115" i="143"/>
  <c r="D115" i="143"/>
  <c r="C115" i="143"/>
  <c r="B115" i="143"/>
  <c r="N114" i="143"/>
  <c r="M114" i="143"/>
  <c r="L114" i="143"/>
  <c r="K114" i="143"/>
  <c r="J114" i="143"/>
  <c r="I114" i="143"/>
  <c r="H114" i="143"/>
  <c r="G114" i="143"/>
  <c r="F114" i="143"/>
  <c r="E114" i="143"/>
  <c r="D114" i="143"/>
  <c r="C114" i="143"/>
  <c r="B114" i="143"/>
  <c r="N113" i="143"/>
  <c r="M113" i="143"/>
  <c r="L113" i="143"/>
  <c r="K113" i="143"/>
  <c r="J113" i="143"/>
  <c r="I113" i="143"/>
  <c r="H113" i="143"/>
  <c r="G113" i="143"/>
  <c r="F113" i="143"/>
  <c r="E113" i="143"/>
  <c r="D113" i="143"/>
  <c r="C113" i="143"/>
  <c r="B113" i="143"/>
  <c r="N112" i="143"/>
  <c r="M112" i="143"/>
  <c r="L112" i="143"/>
  <c r="K112" i="143"/>
  <c r="J112" i="143"/>
  <c r="I112" i="143"/>
  <c r="H112" i="143"/>
  <c r="G112" i="143"/>
  <c r="F112" i="143"/>
  <c r="E112" i="143"/>
  <c r="D112" i="143"/>
  <c r="C112" i="143"/>
  <c r="B112" i="143"/>
  <c r="N111" i="143"/>
  <c r="M111" i="143"/>
  <c r="L111" i="143"/>
  <c r="K111" i="143"/>
  <c r="J111" i="143"/>
  <c r="I111" i="143"/>
  <c r="H111" i="143"/>
  <c r="G111" i="143"/>
  <c r="F111" i="143"/>
  <c r="E111" i="143"/>
  <c r="D111" i="143"/>
  <c r="C111" i="143"/>
  <c r="B111" i="143"/>
  <c r="N110" i="143"/>
  <c r="M110" i="143"/>
  <c r="L110" i="143"/>
  <c r="K110" i="143"/>
  <c r="J110" i="143"/>
  <c r="I110" i="143"/>
  <c r="H110" i="143"/>
  <c r="G110" i="143"/>
  <c r="F110" i="143"/>
  <c r="E110" i="143"/>
  <c r="D110" i="143"/>
  <c r="C110" i="143"/>
  <c r="B110" i="143"/>
  <c r="N104" i="143"/>
  <c r="M104" i="143"/>
  <c r="L104" i="143"/>
  <c r="K104" i="143"/>
  <c r="J104" i="143"/>
  <c r="I104" i="143"/>
  <c r="H104" i="143"/>
  <c r="G104" i="143"/>
  <c r="F104" i="143"/>
  <c r="E104" i="143"/>
  <c r="D104" i="143"/>
  <c r="C104" i="143"/>
  <c r="A104" i="143"/>
  <c r="N103" i="143"/>
  <c r="M103" i="143"/>
  <c r="L103" i="143"/>
  <c r="K103" i="143"/>
  <c r="J103" i="143"/>
  <c r="I103" i="143"/>
  <c r="H103" i="143"/>
  <c r="G103" i="143"/>
  <c r="F103" i="143"/>
  <c r="E103" i="143"/>
  <c r="D103" i="143"/>
  <c r="C103" i="143"/>
  <c r="B103" i="143"/>
  <c r="N102" i="143"/>
  <c r="M102" i="143"/>
  <c r="L102" i="143"/>
  <c r="K102" i="143"/>
  <c r="J102" i="143"/>
  <c r="I102" i="143"/>
  <c r="H102" i="143"/>
  <c r="G102" i="143"/>
  <c r="F102" i="143"/>
  <c r="E102" i="143"/>
  <c r="D102" i="143"/>
  <c r="C102" i="143"/>
  <c r="B102" i="143"/>
  <c r="N101" i="143"/>
  <c r="M101" i="143"/>
  <c r="L101" i="143"/>
  <c r="K101" i="143"/>
  <c r="J101" i="143"/>
  <c r="I101" i="143"/>
  <c r="H101" i="143"/>
  <c r="G101" i="143"/>
  <c r="F101" i="143"/>
  <c r="E101" i="143"/>
  <c r="D101" i="143"/>
  <c r="C101" i="143"/>
  <c r="B101" i="143"/>
  <c r="N100" i="143"/>
  <c r="M100" i="143"/>
  <c r="L100" i="143"/>
  <c r="K100" i="143"/>
  <c r="J100" i="143"/>
  <c r="I100" i="143"/>
  <c r="H100" i="143"/>
  <c r="G100" i="143"/>
  <c r="F100" i="143"/>
  <c r="E100" i="143"/>
  <c r="D100" i="143"/>
  <c r="C100" i="143"/>
  <c r="B100" i="143"/>
  <c r="N99" i="143"/>
  <c r="M99" i="143"/>
  <c r="L99" i="143"/>
  <c r="K99" i="143"/>
  <c r="J99" i="143"/>
  <c r="I99" i="143"/>
  <c r="H99" i="143"/>
  <c r="G99" i="143"/>
  <c r="F99" i="143"/>
  <c r="E99" i="143"/>
  <c r="D99" i="143"/>
  <c r="C99" i="143"/>
  <c r="B99" i="143"/>
  <c r="N98" i="143"/>
  <c r="M98" i="143"/>
  <c r="L98" i="143"/>
  <c r="K98" i="143"/>
  <c r="J98" i="143"/>
  <c r="I98" i="143"/>
  <c r="H98" i="143"/>
  <c r="G98" i="143"/>
  <c r="F98" i="143"/>
  <c r="E98" i="143"/>
  <c r="D98" i="143"/>
  <c r="C98" i="143"/>
  <c r="B98" i="143"/>
  <c r="N97" i="143"/>
  <c r="M97" i="143"/>
  <c r="L97" i="143"/>
  <c r="K97" i="143"/>
  <c r="J97" i="143"/>
  <c r="I97" i="143"/>
  <c r="H97" i="143"/>
  <c r="G97" i="143"/>
  <c r="F97" i="143"/>
  <c r="E97" i="143"/>
  <c r="D97" i="143"/>
  <c r="C97" i="143"/>
  <c r="B97" i="143"/>
  <c r="N96" i="143"/>
  <c r="M96" i="143"/>
  <c r="L96" i="143"/>
  <c r="K96" i="143"/>
  <c r="J96" i="143"/>
  <c r="I96" i="143"/>
  <c r="H96" i="143"/>
  <c r="G96" i="143"/>
  <c r="F96" i="143"/>
  <c r="E96" i="143"/>
  <c r="D96" i="143"/>
  <c r="C96" i="143"/>
  <c r="B96" i="143"/>
  <c r="N95" i="143"/>
  <c r="M95" i="143"/>
  <c r="L95" i="143"/>
  <c r="K95" i="143"/>
  <c r="J95" i="143"/>
  <c r="I95" i="143"/>
  <c r="H95" i="143"/>
  <c r="G95" i="143"/>
  <c r="F95" i="143"/>
  <c r="E95" i="143"/>
  <c r="D95" i="143"/>
  <c r="C95" i="143"/>
  <c r="B95" i="143"/>
  <c r="N94" i="143"/>
  <c r="M94" i="143"/>
  <c r="L94" i="143"/>
  <c r="K94" i="143"/>
  <c r="J94" i="143"/>
  <c r="I94" i="143"/>
  <c r="H94" i="143"/>
  <c r="G94" i="143"/>
  <c r="F94" i="143"/>
  <c r="E94" i="143"/>
  <c r="D94" i="143"/>
  <c r="C94" i="143"/>
  <c r="B94" i="143"/>
  <c r="N93" i="143"/>
  <c r="M93" i="143"/>
  <c r="L93" i="143"/>
  <c r="K93" i="143"/>
  <c r="J93" i="143"/>
  <c r="I93" i="143"/>
  <c r="H93" i="143"/>
  <c r="G93" i="143"/>
  <c r="F93" i="143"/>
  <c r="E93" i="143"/>
  <c r="D93" i="143"/>
  <c r="C93" i="143"/>
  <c r="B93" i="143"/>
  <c r="N92" i="143"/>
  <c r="M92" i="143"/>
  <c r="L92" i="143"/>
  <c r="K92" i="143"/>
  <c r="J92" i="143"/>
  <c r="I92" i="143"/>
  <c r="H92" i="143"/>
  <c r="G92" i="143"/>
  <c r="F92" i="143"/>
  <c r="E92" i="143"/>
  <c r="D92" i="143"/>
  <c r="C92" i="143"/>
  <c r="B92" i="143"/>
  <c r="N88" i="143"/>
  <c r="M88" i="143"/>
  <c r="L88" i="143"/>
  <c r="K88" i="143"/>
  <c r="J88" i="143"/>
  <c r="I88" i="143"/>
  <c r="H88" i="143"/>
  <c r="G88" i="143"/>
  <c r="F88" i="143"/>
  <c r="E88" i="143"/>
  <c r="D88" i="143"/>
  <c r="C88" i="143"/>
  <c r="A88" i="143"/>
  <c r="N87" i="143"/>
  <c r="M87" i="143"/>
  <c r="L87" i="143"/>
  <c r="K87" i="143"/>
  <c r="J87" i="143"/>
  <c r="I87" i="143"/>
  <c r="H87" i="143"/>
  <c r="G87" i="143"/>
  <c r="F87" i="143"/>
  <c r="E87" i="143"/>
  <c r="D87" i="143"/>
  <c r="C87" i="143"/>
  <c r="B87" i="143"/>
  <c r="N86" i="143"/>
  <c r="M86" i="143"/>
  <c r="L86" i="143"/>
  <c r="K86" i="143"/>
  <c r="J86" i="143"/>
  <c r="I86" i="143"/>
  <c r="H86" i="143"/>
  <c r="G86" i="143"/>
  <c r="F86" i="143"/>
  <c r="E86" i="143"/>
  <c r="D86" i="143"/>
  <c r="C86" i="143"/>
  <c r="B86" i="143"/>
  <c r="N85" i="143"/>
  <c r="M85" i="143"/>
  <c r="L85" i="143"/>
  <c r="K85" i="143"/>
  <c r="J85" i="143"/>
  <c r="I85" i="143"/>
  <c r="H85" i="143"/>
  <c r="G85" i="143"/>
  <c r="F85" i="143"/>
  <c r="E85" i="143"/>
  <c r="D85" i="143"/>
  <c r="C85" i="143"/>
  <c r="B85" i="143"/>
  <c r="N84" i="143"/>
  <c r="M84" i="143"/>
  <c r="L84" i="143"/>
  <c r="K84" i="143"/>
  <c r="J84" i="143"/>
  <c r="I84" i="143"/>
  <c r="H84" i="143"/>
  <c r="G84" i="143"/>
  <c r="F84" i="143"/>
  <c r="E84" i="143"/>
  <c r="D84" i="143"/>
  <c r="C84" i="143"/>
  <c r="B84" i="143"/>
  <c r="N83" i="143"/>
  <c r="M83" i="143"/>
  <c r="L83" i="143"/>
  <c r="K83" i="143"/>
  <c r="J83" i="143"/>
  <c r="I83" i="143"/>
  <c r="H83" i="143"/>
  <c r="G83" i="143"/>
  <c r="F83" i="143"/>
  <c r="E83" i="143"/>
  <c r="D83" i="143"/>
  <c r="C83" i="143"/>
  <c r="B83" i="143"/>
  <c r="N82" i="143"/>
  <c r="M82" i="143"/>
  <c r="L82" i="143"/>
  <c r="K82" i="143"/>
  <c r="J82" i="143"/>
  <c r="I82" i="143"/>
  <c r="H82" i="143"/>
  <c r="G82" i="143"/>
  <c r="F82" i="143"/>
  <c r="E82" i="143"/>
  <c r="D82" i="143"/>
  <c r="C82" i="143"/>
  <c r="B82" i="143"/>
  <c r="N81" i="143"/>
  <c r="M81" i="143"/>
  <c r="L81" i="143"/>
  <c r="K81" i="143"/>
  <c r="J81" i="143"/>
  <c r="I81" i="143"/>
  <c r="H81" i="143"/>
  <c r="G81" i="143"/>
  <c r="F81" i="143"/>
  <c r="E81" i="143"/>
  <c r="D81" i="143"/>
  <c r="C81" i="143"/>
  <c r="B81" i="143"/>
  <c r="N80" i="143"/>
  <c r="M80" i="143"/>
  <c r="L80" i="143"/>
  <c r="K80" i="143"/>
  <c r="J80" i="143"/>
  <c r="I80" i="143"/>
  <c r="H80" i="143"/>
  <c r="G80" i="143"/>
  <c r="F80" i="143"/>
  <c r="E80" i="143"/>
  <c r="D80" i="143"/>
  <c r="C80" i="143"/>
  <c r="B80" i="143"/>
  <c r="N79" i="143"/>
  <c r="M79" i="143"/>
  <c r="L79" i="143"/>
  <c r="K79" i="143"/>
  <c r="J79" i="143"/>
  <c r="I79" i="143"/>
  <c r="H79" i="143"/>
  <c r="G79" i="143"/>
  <c r="F79" i="143"/>
  <c r="E79" i="143"/>
  <c r="D79" i="143"/>
  <c r="C79" i="143"/>
  <c r="B79" i="143"/>
  <c r="N78" i="143"/>
  <c r="M78" i="143"/>
  <c r="L78" i="143"/>
  <c r="K78" i="143"/>
  <c r="J78" i="143"/>
  <c r="I78" i="143"/>
  <c r="H78" i="143"/>
  <c r="G78" i="143"/>
  <c r="F78" i="143"/>
  <c r="E78" i="143"/>
  <c r="D78" i="143"/>
  <c r="C78" i="143"/>
  <c r="B78" i="143"/>
  <c r="N77" i="143"/>
  <c r="M77" i="143"/>
  <c r="L77" i="143"/>
  <c r="K77" i="143"/>
  <c r="J77" i="143"/>
  <c r="I77" i="143"/>
  <c r="H77" i="143"/>
  <c r="G77" i="143"/>
  <c r="F77" i="143"/>
  <c r="E77" i="143"/>
  <c r="D77" i="143"/>
  <c r="C77" i="143"/>
  <c r="B77" i="143"/>
  <c r="N76" i="143"/>
  <c r="M76" i="143"/>
  <c r="L76" i="143"/>
  <c r="K76" i="143"/>
  <c r="J76" i="143"/>
  <c r="I76" i="143"/>
  <c r="H76" i="143"/>
  <c r="G76" i="143"/>
  <c r="F76" i="143"/>
  <c r="E76" i="143"/>
  <c r="D76" i="143"/>
  <c r="C76" i="143"/>
  <c r="B76" i="143"/>
  <c r="N70" i="143"/>
  <c r="M70" i="143"/>
  <c r="L70" i="143"/>
  <c r="K70" i="143"/>
  <c r="J70" i="143"/>
  <c r="I70" i="143"/>
  <c r="H70" i="143"/>
  <c r="G70" i="143"/>
  <c r="F70" i="143"/>
  <c r="E70" i="143"/>
  <c r="D70" i="143"/>
  <c r="C70" i="143"/>
  <c r="A70" i="143"/>
  <c r="N69" i="143"/>
  <c r="M69" i="143"/>
  <c r="L69" i="143"/>
  <c r="K69" i="143"/>
  <c r="J69" i="143"/>
  <c r="I69" i="143"/>
  <c r="H69" i="143"/>
  <c r="G69" i="143"/>
  <c r="F69" i="143"/>
  <c r="E69" i="143"/>
  <c r="D69" i="143"/>
  <c r="C69" i="143"/>
  <c r="B69" i="143"/>
  <c r="N68" i="143"/>
  <c r="M68" i="143"/>
  <c r="L68" i="143"/>
  <c r="K68" i="143"/>
  <c r="J68" i="143"/>
  <c r="I68" i="143"/>
  <c r="H68" i="143"/>
  <c r="G68" i="143"/>
  <c r="F68" i="143"/>
  <c r="E68" i="143"/>
  <c r="D68" i="143"/>
  <c r="C68" i="143"/>
  <c r="B68" i="143"/>
  <c r="N67" i="143"/>
  <c r="M67" i="143"/>
  <c r="L67" i="143"/>
  <c r="K67" i="143"/>
  <c r="J67" i="143"/>
  <c r="I67" i="143"/>
  <c r="H67" i="143"/>
  <c r="G67" i="143"/>
  <c r="F67" i="143"/>
  <c r="E67" i="143"/>
  <c r="D67" i="143"/>
  <c r="C67" i="143"/>
  <c r="B67" i="143"/>
  <c r="N66" i="143"/>
  <c r="M66" i="143"/>
  <c r="L66" i="143"/>
  <c r="K66" i="143"/>
  <c r="J66" i="143"/>
  <c r="I66" i="143"/>
  <c r="H66" i="143"/>
  <c r="G66" i="143"/>
  <c r="F66" i="143"/>
  <c r="E66" i="143"/>
  <c r="D66" i="143"/>
  <c r="C66" i="143"/>
  <c r="B66" i="143"/>
  <c r="N65" i="143"/>
  <c r="M65" i="143"/>
  <c r="L65" i="143"/>
  <c r="K65" i="143"/>
  <c r="J65" i="143"/>
  <c r="I65" i="143"/>
  <c r="H65" i="143"/>
  <c r="G65" i="143"/>
  <c r="F65" i="143"/>
  <c r="E65" i="143"/>
  <c r="D65" i="143"/>
  <c r="C65" i="143"/>
  <c r="B65" i="143"/>
  <c r="N64" i="143"/>
  <c r="M64" i="143"/>
  <c r="L64" i="143"/>
  <c r="K64" i="143"/>
  <c r="J64" i="143"/>
  <c r="I64" i="143"/>
  <c r="H64" i="143"/>
  <c r="G64" i="143"/>
  <c r="F64" i="143"/>
  <c r="E64" i="143"/>
  <c r="D64" i="143"/>
  <c r="C64" i="143"/>
  <c r="B64" i="143"/>
  <c r="N63" i="143"/>
  <c r="M63" i="143"/>
  <c r="L63" i="143"/>
  <c r="K63" i="143"/>
  <c r="J63" i="143"/>
  <c r="I63" i="143"/>
  <c r="H63" i="143"/>
  <c r="G63" i="143"/>
  <c r="F63" i="143"/>
  <c r="E63" i="143"/>
  <c r="D63" i="143"/>
  <c r="C63" i="143"/>
  <c r="B63" i="143"/>
  <c r="N62" i="143"/>
  <c r="M62" i="143"/>
  <c r="L62" i="143"/>
  <c r="K62" i="143"/>
  <c r="J62" i="143"/>
  <c r="I62" i="143"/>
  <c r="H62" i="143"/>
  <c r="G62" i="143"/>
  <c r="F62" i="143"/>
  <c r="E62" i="143"/>
  <c r="D62" i="143"/>
  <c r="C62" i="143"/>
  <c r="B62" i="143"/>
  <c r="N61" i="143"/>
  <c r="M61" i="143"/>
  <c r="L61" i="143"/>
  <c r="K61" i="143"/>
  <c r="J61" i="143"/>
  <c r="I61" i="143"/>
  <c r="H61" i="143"/>
  <c r="G61" i="143"/>
  <c r="F61" i="143"/>
  <c r="E61" i="143"/>
  <c r="D61" i="143"/>
  <c r="C61" i="143"/>
  <c r="B61" i="143"/>
  <c r="N60" i="143"/>
  <c r="M60" i="143"/>
  <c r="L60" i="143"/>
  <c r="K60" i="143"/>
  <c r="J60" i="143"/>
  <c r="I60" i="143"/>
  <c r="H60" i="143"/>
  <c r="G60" i="143"/>
  <c r="F60" i="143"/>
  <c r="E60" i="143"/>
  <c r="D60" i="143"/>
  <c r="C60" i="143"/>
  <c r="B60" i="143"/>
  <c r="N59" i="143"/>
  <c r="M59" i="143"/>
  <c r="L59" i="143"/>
  <c r="K59" i="143"/>
  <c r="J59" i="143"/>
  <c r="I59" i="143"/>
  <c r="H59" i="143"/>
  <c r="G59" i="143"/>
  <c r="F59" i="143"/>
  <c r="E59" i="143"/>
  <c r="D59" i="143"/>
  <c r="C59" i="143"/>
  <c r="B59" i="143"/>
  <c r="N58" i="143"/>
  <c r="M58" i="143"/>
  <c r="L58" i="143"/>
  <c r="K58" i="143"/>
  <c r="J58" i="143"/>
  <c r="I58" i="143"/>
  <c r="H58" i="143"/>
  <c r="G58" i="143"/>
  <c r="F58" i="143"/>
  <c r="E58" i="143"/>
  <c r="D58" i="143"/>
  <c r="C58" i="143"/>
  <c r="B58" i="143"/>
  <c r="N54" i="143"/>
  <c r="M54" i="143"/>
  <c r="L54" i="143"/>
  <c r="K54" i="143"/>
  <c r="J54" i="143"/>
  <c r="I54" i="143"/>
  <c r="H54" i="143"/>
  <c r="G54" i="143"/>
  <c r="F54" i="143"/>
  <c r="E54" i="143"/>
  <c r="D54" i="143"/>
  <c r="C54" i="143"/>
  <c r="A54" i="143"/>
  <c r="N53" i="143"/>
  <c r="M53" i="143"/>
  <c r="L53" i="143"/>
  <c r="K53" i="143"/>
  <c r="J53" i="143"/>
  <c r="I53" i="143"/>
  <c r="H53" i="143"/>
  <c r="G53" i="143"/>
  <c r="F53" i="143"/>
  <c r="E53" i="143"/>
  <c r="D53" i="143"/>
  <c r="C53" i="143"/>
  <c r="B53" i="143"/>
  <c r="N52" i="143"/>
  <c r="M52" i="143"/>
  <c r="L52" i="143"/>
  <c r="K52" i="143"/>
  <c r="J52" i="143"/>
  <c r="I52" i="143"/>
  <c r="H52" i="143"/>
  <c r="G52" i="143"/>
  <c r="F52" i="143"/>
  <c r="E52" i="143"/>
  <c r="D52" i="143"/>
  <c r="C52" i="143"/>
  <c r="B52" i="143"/>
  <c r="N51" i="143"/>
  <c r="M51" i="143"/>
  <c r="L51" i="143"/>
  <c r="K51" i="143"/>
  <c r="J51" i="143"/>
  <c r="I51" i="143"/>
  <c r="H51" i="143"/>
  <c r="G51" i="143"/>
  <c r="F51" i="143"/>
  <c r="E51" i="143"/>
  <c r="D51" i="143"/>
  <c r="C51" i="143"/>
  <c r="B51" i="143"/>
  <c r="N50" i="143"/>
  <c r="M50" i="143"/>
  <c r="L50" i="143"/>
  <c r="K50" i="143"/>
  <c r="J50" i="143"/>
  <c r="I50" i="143"/>
  <c r="H50" i="143"/>
  <c r="G50" i="143"/>
  <c r="F50" i="143"/>
  <c r="E50" i="143"/>
  <c r="D50" i="143"/>
  <c r="C50" i="143"/>
  <c r="B50" i="143"/>
  <c r="N49" i="143"/>
  <c r="M49" i="143"/>
  <c r="L49" i="143"/>
  <c r="K49" i="143"/>
  <c r="J49" i="143"/>
  <c r="I49" i="143"/>
  <c r="H49" i="143"/>
  <c r="G49" i="143"/>
  <c r="F49" i="143"/>
  <c r="E49" i="143"/>
  <c r="D49" i="143"/>
  <c r="C49" i="143"/>
  <c r="B49" i="143"/>
  <c r="N48" i="143"/>
  <c r="M48" i="143"/>
  <c r="L48" i="143"/>
  <c r="K48" i="143"/>
  <c r="J48" i="143"/>
  <c r="I48" i="143"/>
  <c r="H48" i="143"/>
  <c r="G48" i="143"/>
  <c r="F48" i="143"/>
  <c r="E48" i="143"/>
  <c r="D48" i="143"/>
  <c r="C48" i="143"/>
  <c r="B48" i="143"/>
  <c r="N47" i="143"/>
  <c r="M47" i="143"/>
  <c r="L47" i="143"/>
  <c r="K47" i="143"/>
  <c r="J47" i="143"/>
  <c r="I47" i="143"/>
  <c r="H47" i="143"/>
  <c r="G47" i="143"/>
  <c r="F47" i="143"/>
  <c r="E47" i="143"/>
  <c r="D47" i="143"/>
  <c r="C47" i="143"/>
  <c r="B47" i="143"/>
  <c r="N46" i="143"/>
  <c r="M46" i="143"/>
  <c r="L46" i="143"/>
  <c r="K46" i="143"/>
  <c r="J46" i="143"/>
  <c r="I46" i="143"/>
  <c r="H46" i="143"/>
  <c r="G46" i="143"/>
  <c r="F46" i="143"/>
  <c r="E46" i="143"/>
  <c r="D46" i="143"/>
  <c r="C46" i="143"/>
  <c r="B46" i="143"/>
  <c r="N45" i="143"/>
  <c r="M45" i="143"/>
  <c r="L45" i="143"/>
  <c r="K45" i="143"/>
  <c r="J45" i="143"/>
  <c r="I45" i="143"/>
  <c r="H45" i="143"/>
  <c r="G45" i="143"/>
  <c r="F45" i="143"/>
  <c r="E45" i="143"/>
  <c r="D45" i="143"/>
  <c r="C45" i="143"/>
  <c r="B45" i="143"/>
  <c r="N44" i="143"/>
  <c r="M44" i="143"/>
  <c r="L44" i="143"/>
  <c r="K44" i="143"/>
  <c r="J44" i="143"/>
  <c r="I44" i="143"/>
  <c r="H44" i="143"/>
  <c r="G44" i="143"/>
  <c r="F44" i="143"/>
  <c r="E44" i="143"/>
  <c r="D44" i="143"/>
  <c r="C44" i="143"/>
  <c r="B44" i="143"/>
  <c r="N43" i="143"/>
  <c r="M43" i="143"/>
  <c r="L43" i="143"/>
  <c r="K43" i="143"/>
  <c r="J43" i="143"/>
  <c r="I43" i="143"/>
  <c r="H43" i="143"/>
  <c r="G43" i="143"/>
  <c r="F43" i="143"/>
  <c r="E43" i="143"/>
  <c r="D43" i="143"/>
  <c r="C43" i="143"/>
  <c r="B43" i="143"/>
  <c r="N42" i="143"/>
  <c r="M42" i="143"/>
  <c r="L42" i="143"/>
  <c r="K42" i="143"/>
  <c r="J42" i="143"/>
  <c r="I42" i="143"/>
  <c r="H42" i="143"/>
  <c r="G42" i="143"/>
  <c r="F42" i="143"/>
  <c r="E42" i="143"/>
  <c r="D42" i="143"/>
  <c r="C42" i="143"/>
  <c r="B42" i="143"/>
  <c r="N36" i="143"/>
  <c r="M36" i="143"/>
  <c r="L36" i="143"/>
  <c r="K36" i="143"/>
  <c r="J36" i="143"/>
  <c r="I36" i="143"/>
  <c r="H36" i="143"/>
  <c r="G36" i="143"/>
  <c r="F36" i="143"/>
  <c r="E36" i="143"/>
  <c r="D36" i="143"/>
  <c r="C36" i="143"/>
  <c r="B36" i="143"/>
  <c r="N35" i="143"/>
  <c r="M35" i="143"/>
  <c r="L35" i="143"/>
  <c r="K35" i="143"/>
  <c r="J35" i="143"/>
  <c r="I35" i="143"/>
  <c r="H35" i="143"/>
  <c r="G35" i="143"/>
  <c r="F35" i="143"/>
  <c r="E35" i="143"/>
  <c r="D35" i="143"/>
  <c r="C35" i="143"/>
  <c r="B35" i="143"/>
  <c r="I31" i="143"/>
  <c r="H31" i="143"/>
  <c r="G31" i="143"/>
  <c r="E31" i="143"/>
  <c r="D31" i="143"/>
  <c r="C31" i="143"/>
  <c r="B31" i="143"/>
  <c r="A31" i="143"/>
  <c r="D30" i="143"/>
  <c r="C30" i="143"/>
  <c r="B30" i="143"/>
  <c r="D29" i="143"/>
  <c r="C29" i="143"/>
  <c r="B29" i="143"/>
  <c r="D28" i="143"/>
  <c r="C28" i="143"/>
  <c r="B28" i="143"/>
  <c r="D27" i="143"/>
  <c r="C27" i="143"/>
  <c r="B27" i="143"/>
  <c r="D26" i="143"/>
  <c r="C26" i="143"/>
  <c r="B26" i="143"/>
  <c r="D25" i="143"/>
  <c r="C25" i="143"/>
  <c r="B25" i="143"/>
  <c r="D24" i="143"/>
  <c r="C24" i="143"/>
  <c r="B24" i="143"/>
  <c r="D23" i="143"/>
  <c r="C23" i="143"/>
  <c r="B23" i="143"/>
  <c r="D22" i="143"/>
  <c r="C22" i="143"/>
  <c r="B22" i="143"/>
  <c r="D21" i="143"/>
  <c r="C21" i="143"/>
  <c r="B21" i="143"/>
  <c r="D20" i="143"/>
  <c r="C20" i="143"/>
  <c r="C19" i="143"/>
  <c r="B19" i="143"/>
  <c r="N15" i="143"/>
  <c r="M15" i="143"/>
  <c r="L15" i="143"/>
  <c r="K15" i="143"/>
  <c r="J15" i="143"/>
  <c r="I15" i="143"/>
  <c r="H15" i="143"/>
  <c r="G15" i="143"/>
  <c r="F15" i="143"/>
  <c r="E15" i="143"/>
  <c r="D15" i="143"/>
  <c r="C15" i="143"/>
  <c r="B15" i="143"/>
  <c r="N14" i="143"/>
  <c r="M14" i="143"/>
  <c r="L14" i="143"/>
  <c r="K14" i="143"/>
  <c r="J14" i="143"/>
  <c r="I14" i="143"/>
  <c r="H14" i="143"/>
  <c r="G14" i="143"/>
  <c r="F14" i="143"/>
  <c r="E14" i="143"/>
  <c r="D14" i="143"/>
  <c r="C14" i="143"/>
  <c r="B14" i="143"/>
  <c r="A10" i="143"/>
  <c r="A1" i="143"/>
  <c r="N371" i="162"/>
  <c r="M371" i="162"/>
  <c r="L371" i="162"/>
  <c r="K371" i="162"/>
  <c r="J371" i="162"/>
  <c r="I371" i="162"/>
  <c r="H371" i="162"/>
  <c r="G371" i="162"/>
  <c r="F371" i="162"/>
  <c r="E371" i="162"/>
  <c r="D371" i="162"/>
  <c r="C371" i="162"/>
  <c r="A371" i="162"/>
  <c r="N370" i="162"/>
  <c r="M370" i="162"/>
  <c r="L370" i="162"/>
  <c r="K370" i="162"/>
  <c r="J370" i="162"/>
  <c r="I370" i="162"/>
  <c r="H370" i="162"/>
  <c r="G370" i="162"/>
  <c r="F370" i="162"/>
  <c r="E370" i="162"/>
  <c r="D370" i="162"/>
  <c r="C370" i="162"/>
  <c r="A370" i="162"/>
  <c r="N369" i="162"/>
  <c r="M369" i="162"/>
  <c r="L369" i="162"/>
  <c r="K369" i="162"/>
  <c r="J369" i="162"/>
  <c r="I369" i="162"/>
  <c r="H369" i="162"/>
  <c r="G369" i="162"/>
  <c r="F369" i="162"/>
  <c r="E369" i="162"/>
  <c r="D369" i="162"/>
  <c r="C369" i="162"/>
  <c r="N368" i="162"/>
  <c r="M368" i="162"/>
  <c r="L368" i="162"/>
  <c r="K368" i="162"/>
  <c r="J368" i="162"/>
  <c r="I368" i="162"/>
  <c r="H368" i="162"/>
  <c r="G368" i="162"/>
  <c r="F368" i="162"/>
  <c r="E368" i="162"/>
  <c r="D368" i="162"/>
  <c r="C368" i="162"/>
  <c r="N367" i="162"/>
  <c r="M367" i="162"/>
  <c r="L367" i="162"/>
  <c r="K367" i="162"/>
  <c r="J367" i="162"/>
  <c r="I367" i="162"/>
  <c r="H367" i="162"/>
  <c r="G367" i="162"/>
  <c r="F367" i="162"/>
  <c r="E367" i="162"/>
  <c r="D367" i="162"/>
  <c r="C367" i="162"/>
  <c r="A367" i="162"/>
  <c r="N366" i="162"/>
  <c r="M366" i="162"/>
  <c r="L366" i="162"/>
  <c r="K366" i="162"/>
  <c r="J366" i="162"/>
  <c r="I366" i="162"/>
  <c r="H366" i="162"/>
  <c r="G366" i="162"/>
  <c r="F366" i="162"/>
  <c r="E366" i="162"/>
  <c r="D366" i="162"/>
  <c r="C366" i="162"/>
  <c r="B366" i="162"/>
  <c r="N365" i="162"/>
  <c r="M365" i="162"/>
  <c r="L365" i="162"/>
  <c r="K365" i="162"/>
  <c r="J365" i="162"/>
  <c r="I365" i="162"/>
  <c r="H365" i="162"/>
  <c r="G365" i="162"/>
  <c r="F365" i="162"/>
  <c r="E365" i="162"/>
  <c r="D365" i="162"/>
  <c r="C365" i="162"/>
  <c r="B365" i="162"/>
  <c r="N364" i="162"/>
  <c r="M364" i="162"/>
  <c r="L364" i="162"/>
  <c r="K364" i="162"/>
  <c r="J364" i="162"/>
  <c r="I364" i="162"/>
  <c r="H364" i="162"/>
  <c r="G364" i="162"/>
  <c r="F364" i="162"/>
  <c r="E364" i="162"/>
  <c r="D364" i="162"/>
  <c r="C364" i="162"/>
  <c r="B364" i="162"/>
  <c r="N363" i="162"/>
  <c r="M363" i="162"/>
  <c r="L363" i="162"/>
  <c r="K363" i="162"/>
  <c r="J363" i="162"/>
  <c r="I363" i="162"/>
  <c r="H363" i="162"/>
  <c r="G363" i="162"/>
  <c r="F363" i="162"/>
  <c r="E363" i="162"/>
  <c r="D363" i="162"/>
  <c r="C363" i="162"/>
  <c r="B363" i="162"/>
  <c r="N362" i="162"/>
  <c r="M362" i="162"/>
  <c r="L362" i="162"/>
  <c r="K362" i="162"/>
  <c r="J362" i="162"/>
  <c r="I362" i="162"/>
  <c r="H362" i="162"/>
  <c r="G362" i="162"/>
  <c r="F362" i="162"/>
  <c r="E362" i="162"/>
  <c r="D362" i="162"/>
  <c r="C362" i="162"/>
  <c r="B362" i="162"/>
  <c r="N361" i="162"/>
  <c r="M361" i="162"/>
  <c r="L361" i="162"/>
  <c r="K361" i="162"/>
  <c r="J361" i="162"/>
  <c r="I361" i="162"/>
  <c r="H361" i="162"/>
  <c r="G361" i="162"/>
  <c r="F361" i="162"/>
  <c r="E361" i="162"/>
  <c r="D361" i="162"/>
  <c r="C361" i="162"/>
  <c r="B361" i="162"/>
  <c r="N360" i="162"/>
  <c r="M360" i="162"/>
  <c r="L360" i="162"/>
  <c r="K360" i="162"/>
  <c r="J360" i="162"/>
  <c r="I360" i="162"/>
  <c r="H360" i="162"/>
  <c r="G360" i="162"/>
  <c r="F360" i="162"/>
  <c r="E360" i="162"/>
  <c r="D360" i="162"/>
  <c r="C360" i="162"/>
  <c r="B360" i="162"/>
  <c r="N359" i="162"/>
  <c r="M359" i="162"/>
  <c r="L359" i="162"/>
  <c r="K359" i="162"/>
  <c r="J359" i="162"/>
  <c r="I359" i="162"/>
  <c r="H359" i="162"/>
  <c r="G359" i="162"/>
  <c r="F359" i="162"/>
  <c r="E359" i="162"/>
  <c r="D359" i="162"/>
  <c r="C359" i="162"/>
  <c r="B359" i="162"/>
  <c r="N358" i="162"/>
  <c r="M358" i="162"/>
  <c r="L358" i="162"/>
  <c r="K358" i="162"/>
  <c r="J358" i="162"/>
  <c r="I358" i="162"/>
  <c r="H358" i="162"/>
  <c r="G358" i="162"/>
  <c r="F358" i="162"/>
  <c r="E358" i="162"/>
  <c r="D358" i="162"/>
  <c r="C358" i="162"/>
  <c r="B358" i="162"/>
  <c r="N357" i="162"/>
  <c r="M357" i="162"/>
  <c r="L357" i="162"/>
  <c r="K357" i="162"/>
  <c r="J357" i="162"/>
  <c r="I357" i="162"/>
  <c r="H357" i="162"/>
  <c r="G357" i="162"/>
  <c r="F357" i="162"/>
  <c r="E357" i="162"/>
  <c r="D357" i="162"/>
  <c r="C357" i="162"/>
  <c r="B357" i="162"/>
  <c r="N356" i="162"/>
  <c r="M356" i="162"/>
  <c r="L356" i="162"/>
  <c r="K356" i="162"/>
  <c r="J356" i="162"/>
  <c r="I356" i="162"/>
  <c r="H356" i="162"/>
  <c r="G356" i="162"/>
  <c r="F356" i="162"/>
  <c r="E356" i="162"/>
  <c r="D356" i="162"/>
  <c r="C356" i="162"/>
  <c r="B356" i="162"/>
  <c r="N355" i="162"/>
  <c r="M355" i="162"/>
  <c r="L355" i="162"/>
  <c r="K355" i="162"/>
  <c r="J355" i="162"/>
  <c r="I355" i="162"/>
  <c r="H355" i="162"/>
  <c r="G355" i="162"/>
  <c r="F355" i="162"/>
  <c r="E355" i="162"/>
  <c r="D355" i="162"/>
  <c r="C355" i="162"/>
  <c r="B355" i="162"/>
  <c r="N351" i="162"/>
  <c r="M351" i="162"/>
  <c r="L351" i="162"/>
  <c r="K351" i="162"/>
  <c r="J351" i="162"/>
  <c r="I351" i="162"/>
  <c r="H351" i="162"/>
  <c r="G351" i="162"/>
  <c r="F351" i="162"/>
  <c r="E351" i="162"/>
  <c r="D351" i="162"/>
  <c r="C351" i="162"/>
  <c r="A351" i="162"/>
  <c r="N350" i="162"/>
  <c r="M350" i="162"/>
  <c r="L350" i="162"/>
  <c r="K350" i="162"/>
  <c r="J350" i="162"/>
  <c r="I350" i="162"/>
  <c r="H350" i="162"/>
  <c r="G350" i="162"/>
  <c r="F350" i="162"/>
  <c r="E350" i="162"/>
  <c r="D350" i="162"/>
  <c r="C350" i="162"/>
  <c r="B350" i="162"/>
  <c r="N349" i="162"/>
  <c r="M349" i="162"/>
  <c r="L349" i="162"/>
  <c r="K349" i="162"/>
  <c r="J349" i="162"/>
  <c r="I349" i="162"/>
  <c r="H349" i="162"/>
  <c r="G349" i="162"/>
  <c r="F349" i="162"/>
  <c r="E349" i="162"/>
  <c r="D349" i="162"/>
  <c r="C349" i="162"/>
  <c r="B349" i="162"/>
  <c r="N348" i="162"/>
  <c r="M348" i="162"/>
  <c r="L348" i="162"/>
  <c r="K348" i="162"/>
  <c r="J348" i="162"/>
  <c r="I348" i="162"/>
  <c r="H348" i="162"/>
  <c r="G348" i="162"/>
  <c r="F348" i="162"/>
  <c r="E348" i="162"/>
  <c r="D348" i="162"/>
  <c r="C348" i="162"/>
  <c r="B348" i="162"/>
  <c r="N347" i="162"/>
  <c r="M347" i="162"/>
  <c r="L347" i="162"/>
  <c r="K347" i="162"/>
  <c r="J347" i="162"/>
  <c r="I347" i="162"/>
  <c r="H347" i="162"/>
  <c r="G347" i="162"/>
  <c r="F347" i="162"/>
  <c r="E347" i="162"/>
  <c r="D347" i="162"/>
  <c r="C347" i="162"/>
  <c r="B347" i="162"/>
  <c r="N346" i="162"/>
  <c r="M346" i="162"/>
  <c r="L346" i="162"/>
  <c r="K346" i="162"/>
  <c r="J346" i="162"/>
  <c r="I346" i="162"/>
  <c r="H346" i="162"/>
  <c r="G346" i="162"/>
  <c r="F346" i="162"/>
  <c r="E346" i="162"/>
  <c r="D346" i="162"/>
  <c r="C346" i="162"/>
  <c r="B346" i="162"/>
  <c r="N345" i="162"/>
  <c r="M345" i="162"/>
  <c r="L345" i="162"/>
  <c r="K345" i="162"/>
  <c r="J345" i="162"/>
  <c r="I345" i="162"/>
  <c r="H345" i="162"/>
  <c r="G345" i="162"/>
  <c r="F345" i="162"/>
  <c r="E345" i="162"/>
  <c r="D345" i="162"/>
  <c r="C345" i="162"/>
  <c r="B345" i="162"/>
  <c r="N344" i="162"/>
  <c r="M344" i="162"/>
  <c r="L344" i="162"/>
  <c r="K344" i="162"/>
  <c r="J344" i="162"/>
  <c r="I344" i="162"/>
  <c r="H344" i="162"/>
  <c r="G344" i="162"/>
  <c r="F344" i="162"/>
  <c r="E344" i="162"/>
  <c r="D344" i="162"/>
  <c r="C344" i="162"/>
  <c r="B344" i="162"/>
  <c r="N343" i="162"/>
  <c r="M343" i="162"/>
  <c r="L343" i="162"/>
  <c r="K343" i="162"/>
  <c r="J343" i="162"/>
  <c r="I343" i="162"/>
  <c r="H343" i="162"/>
  <c r="G343" i="162"/>
  <c r="F343" i="162"/>
  <c r="E343" i="162"/>
  <c r="D343" i="162"/>
  <c r="C343" i="162"/>
  <c r="B343" i="162"/>
  <c r="N342" i="162"/>
  <c r="M342" i="162"/>
  <c r="L342" i="162"/>
  <c r="K342" i="162"/>
  <c r="J342" i="162"/>
  <c r="I342" i="162"/>
  <c r="H342" i="162"/>
  <c r="G342" i="162"/>
  <c r="F342" i="162"/>
  <c r="E342" i="162"/>
  <c r="D342" i="162"/>
  <c r="C342" i="162"/>
  <c r="B342" i="162"/>
  <c r="N341" i="162"/>
  <c r="M341" i="162"/>
  <c r="L341" i="162"/>
  <c r="K341" i="162"/>
  <c r="J341" i="162"/>
  <c r="I341" i="162"/>
  <c r="H341" i="162"/>
  <c r="G341" i="162"/>
  <c r="F341" i="162"/>
  <c r="E341" i="162"/>
  <c r="D341" i="162"/>
  <c r="C341" i="162"/>
  <c r="B341" i="162"/>
  <c r="N340" i="162"/>
  <c r="M340" i="162"/>
  <c r="L340" i="162"/>
  <c r="K340" i="162"/>
  <c r="J340" i="162"/>
  <c r="I340" i="162"/>
  <c r="H340" i="162"/>
  <c r="G340" i="162"/>
  <c r="F340" i="162"/>
  <c r="E340" i="162"/>
  <c r="D340" i="162"/>
  <c r="C340" i="162"/>
  <c r="B340" i="162"/>
  <c r="N339" i="162"/>
  <c r="M339" i="162"/>
  <c r="L339" i="162"/>
  <c r="K339" i="162"/>
  <c r="J339" i="162"/>
  <c r="I339" i="162"/>
  <c r="H339" i="162"/>
  <c r="G339" i="162"/>
  <c r="F339" i="162"/>
  <c r="E339" i="162"/>
  <c r="D339" i="162"/>
  <c r="C339" i="162"/>
  <c r="B339" i="162"/>
  <c r="N333" i="162"/>
  <c r="M333" i="162"/>
  <c r="L333" i="162"/>
  <c r="K333" i="162"/>
  <c r="J333" i="162"/>
  <c r="I333" i="162"/>
  <c r="H333" i="162"/>
  <c r="G333" i="162"/>
  <c r="F333" i="162"/>
  <c r="E333" i="162"/>
  <c r="D333" i="162"/>
  <c r="C333" i="162"/>
  <c r="A333" i="162"/>
  <c r="N332" i="162"/>
  <c r="M332" i="162"/>
  <c r="L332" i="162"/>
  <c r="K332" i="162"/>
  <c r="J332" i="162"/>
  <c r="I332" i="162"/>
  <c r="H332" i="162"/>
  <c r="G332" i="162"/>
  <c r="F332" i="162"/>
  <c r="E332" i="162"/>
  <c r="D332" i="162"/>
  <c r="C332" i="162"/>
  <c r="N331" i="162"/>
  <c r="M331" i="162"/>
  <c r="L331" i="162"/>
  <c r="K331" i="162"/>
  <c r="J331" i="162"/>
  <c r="I331" i="162"/>
  <c r="H331" i="162"/>
  <c r="G331" i="162"/>
  <c r="F331" i="162"/>
  <c r="E331" i="162"/>
  <c r="D331" i="162"/>
  <c r="C331" i="162"/>
  <c r="N330" i="162"/>
  <c r="M330" i="162"/>
  <c r="L330" i="162"/>
  <c r="K330" i="162"/>
  <c r="J330" i="162"/>
  <c r="I330" i="162"/>
  <c r="H330" i="162"/>
  <c r="G330" i="162"/>
  <c r="F330" i="162"/>
  <c r="E330" i="162"/>
  <c r="D330" i="162"/>
  <c r="C330" i="162"/>
  <c r="A330" i="162"/>
  <c r="N329" i="162"/>
  <c r="M329" i="162"/>
  <c r="L329" i="162"/>
  <c r="K329" i="162"/>
  <c r="J329" i="162"/>
  <c r="I329" i="162"/>
  <c r="H329" i="162"/>
  <c r="G329" i="162"/>
  <c r="F329" i="162"/>
  <c r="E329" i="162"/>
  <c r="D329" i="162"/>
  <c r="C329" i="162"/>
  <c r="B329" i="162"/>
  <c r="N328" i="162"/>
  <c r="M328" i="162"/>
  <c r="L328" i="162"/>
  <c r="K328" i="162"/>
  <c r="J328" i="162"/>
  <c r="I328" i="162"/>
  <c r="H328" i="162"/>
  <c r="G328" i="162"/>
  <c r="F328" i="162"/>
  <c r="E328" i="162"/>
  <c r="D328" i="162"/>
  <c r="C328" i="162"/>
  <c r="B328" i="162"/>
  <c r="N327" i="162"/>
  <c r="M327" i="162"/>
  <c r="L327" i="162"/>
  <c r="K327" i="162"/>
  <c r="J327" i="162"/>
  <c r="I327" i="162"/>
  <c r="H327" i="162"/>
  <c r="G327" i="162"/>
  <c r="F327" i="162"/>
  <c r="E327" i="162"/>
  <c r="D327" i="162"/>
  <c r="C327" i="162"/>
  <c r="B327" i="162"/>
  <c r="N326" i="162"/>
  <c r="M326" i="162"/>
  <c r="L326" i="162"/>
  <c r="K326" i="162"/>
  <c r="J326" i="162"/>
  <c r="I326" i="162"/>
  <c r="H326" i="162"/>
  <c r="G326" i="162"/>
  <c r="F326" i="162"/>
  <c r="E326" i="162"/>
  <c r="D326" i="162"/>
  <c r="C326" i="162"/>
  <c r="B326" i="162"/>
  <c r="N325" i="162"/>
  <c r="M325" i="162"/>
  <c r="L325" i="162"/>
  <c r="K325" i="162"/>
  <c r="J325" i="162"/>
  <c r="I325" i="162"/>
  <c r="H325" i="162"/>
  <c r="G325" i="162"/>
  <c r="F325" i="162"/>
  <c r="E325" i="162"/>
  <c r="D325" i="162"/>
  <c r="C325" i="162"/>
  <c r="B325" i="162"/>
  <c r="N324" i="162"/>
  <c r="M324" i="162"/>
  <c r="L324" i="162"/>
  <c r="K324" i="162"/>
  <c r="J324" i="162"/>
  <c r="I324" i="162"/>
  <c r="H324" i="162"/>
  <c r="G324" i="162"/>
  <c r="F324" i="162"/>
  <c r="E324" i="162"/>
  <c r="D324" i="162"/>
  <c r="C324" i="162"/>
  <c r="B324" i="162"/>
  <c r="N323" i="162"/>
  <c r="M323" i="162"/>
  <c r="L323" i="162"/>
  <c r="K323" i="162"/>
  <c r="J323" i="162"/>
  <c r="I323" i="162"/>
  <c r="H323" i="162"/>
  <c r="G323" i="162"/>
  <c r="F323" i="162"/>
  <c r="E323" i="162"/>
  <c r="D323" i="162"/>
  <c r="C323" i="162"/>
  <c r="B323" i="162"/>
  <c r="N322" i="162"/>
  <c r="M322" i="162"/>
  <c r="L322" i="162"/>
  <c r="K322" i="162"/>
  <c r="J322" i="162"/>
  <c r="I322" i="162"/>
  <c r="H322" i="162"/>
  <c r="G322" i="162"/>
  <c r="F322" i="162"/>
  <c r="E322" i="162"/>
  <c r="D322" i="162"/>
  <c r="C322" i="162"/>
  <c r="B322" i="162"/>
  <c r="N321" i="162"/>
  <c r="M321" i="162"/>
  <c r="L321" i="162"/>
  <c r="K321" i="162"/>
  <c r="J321" i="162"/>
  <c r="I321" i="162"/>
  <c r="H321" i="162"/>
  <c r="G321" i="162"/>
  <c r="F321" i="162"/>
  <c r="E321" i="162"/>
  <c r="D321" i="162"/>
  <c r="C321" i="162"/>
  <c r="B321" i="162"/>
  <c r="N320" i="162"/>
  <c r="M320" i="162"/>
  <c r="L320" i="162"/>
  <c r="K320" i="162"/>
  <c r="J320" i="162"/>
  <c r="I320" i="162"/>
  <c r="H320" i="162"/>
  <c r="G320" i="162"/>
  <c r="F320" i="162"/>
  <c r="E320" i="162"/>
  <c r="D320" i="162"/>
  <c r="C320" i="162"/>
  <c r="B320" i="162"/>
  <c r="N319" i="162"/>
  <c r="M319" i="162"/>
  <c r="L319" i="162"/>
  <c r="K319" i="162"/>
  <c r="J319" i="162"/>
  <c r="I319" i="162"/>
  <c r="H319" i="162"/>
  <c r="G319" i="162"/>
  <c r="F319" i="162"/>
  <c r="E319" i="162"/>
  <c r="D319" i="162"/>
  <c r="C319" i="162"/>
  <c r="B319" i="162"/>
  <c r="N318" i="162"/>
  <c r="M318" i="162"/>
  <c r="L318" i="162"/>
  <c r="K318" i="162"/>
  <c r="J318" i="162"/>
  <c r="I318" i="162"/>
  <c r="H318" i="162"/>
  <c r="G318" i="162"/>
  <c r="F318" i="162"/>
  <c r="E318" i="162"/>
  <c r="D318" i="162"/>
  <c r="C318" i="162"/>
  <c r="B318" i="162"/>
  <c r="N314" i="162"/>
  <c r="M314" i="162"/>
  <c r="L314" i="162"/>
  <c r="K314" i="162"/>
  <c r="J314" i="162"/>
  <c r="I314" i="162"/>
  <c r="H314" i="162"/>
  <c r="G314" i="162"/>
  <c r="F314" i="162"/>
  <c r="E314" i="162"/>
  <c r="D314" i="162"/>
  <c r="C314" i="162"/>
  <c r="A314" i="162"/>
  <c r="N313" i="162"/>
  <c r="M313" i="162"/>
  <c r="L313" i="162"/>
  <c r="K313" i="162"/>
  <c r="J313" i="162"/>
  <c r="I313" i="162"/>
  <c r="H313" i="162"/>
  <c r="G313" i="162"/>
  <c r="F313" i="162"/>
  <c r="E313" i="162"/>
  <c r="D313" i="162"/>
  <c r="C313" i="162"/>
  <c r="B313" i="162"/>
  <c r="N312" i="162"/>
  <c r="M312" i="162"/>
  <c r="L312" i="162"/>
  <c r="K312" i="162"/>
  <c r="J312" i="162"/>
  <c r="I312" i="162"/>
  <c r="H312" i="162"/>
  <c r="G312" i="162"/>
  <c r="F312" i="162"/>
  <c r="E312" i="162"/>
  <c r="D312" i="162"/>
  <c r="C312" i="162"/>
  <c r="B312" i="162"/>
  <c r="N311" i="162"/>
  <c r="M311" i="162"/>
  <c r="L311" i="162"/>
  <c r="K311" i="162"/>
  <c r="J311" i="162"/>
  <c r="I311" i="162"/>
  <c r="H311" i="162"/>
  <c r="G311" i="162"/>
  <c r="F311" i="162"/>
  <c r="E311" i="162"/>
  <c r="D311" i="162"/>
  <c r="C311" i="162"/>
  <c r="B311" i="162"/>
  <c r="N310" i="162"/>
  <c r="M310" i="162"/>
  <c r="L310" i="162"/>
  <c r="K310" i="162"/>
  <c r="J310" i="162"/>
  <c r="I310" i="162"/>
  <c r="H310" i="162"/>
  <c r="G310" i="162"/>
  <c r="F310" i="162"/>
  <c r="E310" i="162"/>
  <c r="D310" i="162"/>
  <c r="C310" i="162"/>
  <c r="B310" i="162"/>
  <c r="N309" i="162"/>
  <c r="M309" i="162"/>
  <c r="L309" i="162"/>
  <c r="K309" i="162"/>
  <c r="J309" i="162"/>
  <c r="I309" i="162"/>
  <c r="H309" i="162"/>
  <c r="G309" i="162"/>
  <c r="F309" i="162"/>
  <c r="E309" i="162"/>
  <c r="D309" i="162"/>
  <c r="C309" i="162"/>
  <c r="B309" i="162"/>
  <c r="N308" i="162"/>
  <c r="M308" i="162"/>
  <c r="L308" i="162"/>
  <c r="K308" i="162"/>
  <c r="J308" i="162"/>
  <c r="I308" i="162"/>
  <c r="H308" i="162"/>
  <c r="G308" i="162"/>
  <c r="F308" i="162"/>
  <c r="E308" i="162"/>
  <c r="D308" i="162"/>
  <c r="C308" i="162"/>
  <c r="B308" i="162"/>
  <c r="N307" i="162"/>
  <c r="M307" i="162"/>
  <c r="L307" i="162"/>
  <c r="K307" i="162"/>
  <c r="J307" i="162"/>
  <c r="I307" i="162"/>
  <c r="H307" i="162"/>
  <c r="G307" i="162"/>
  <c r="F307" i="162"/>
  <c r="E307" i="162"/>
  <c r="D307" i="162"/>
  <c r="C307" i="162"/>
  <c r="B307" i="162"/>
  <c r="N306" i="162"/>
  <c r="M306" i="162"/>
  <c r="L306" i="162"/>
  <c r="K306" i="162"/>
  <c r="J306" i="162"/>
  <c r="I306" i="162"/>
  <c r="H306" i="162"/>
  <c r="G306" i="162"/>
  <c r="F306" i="162"/>
  <c r="E306" i="162"/>
  <c r="D306" i="162"/>
  <c r="C306" i="162"/>
  <c r="B306" i="162"/>
  <c r="N305" i="162"/>
  <c r="M305" i="162"/>
  <c r="L305" i="162"/>
  <c r="K305" i="162"/>
  <c r="J305" i="162"/>
  <c r="I305" i="162"/>
  <c r="H305" i="162"/>
  <c r="G305" i="162"/>
  <c r="F305" i="162"/>
  <c r="E305" i="162"/>
  <c r="D305" i="162"/>
  <c r="C305" i="162"/>
  <c r="B305" i="162"/>
  <c r="N304" i="162"/>
  <c r="M304" i="162"/>
  <c r="L304" i="162"/>
  <c r="K304" i="162"/>
  <c r="J304" i="162"/>
  <c r="I304" i="162"/>
  <c r="H304" i="162"/>
  <c r="G304" i="162"/>
  <c r="F304" i="162"/>
  <c r="E304" i="162"/>
  <c r="D304" i="162"/>
  <c r="C304" i="162"/>
  <c r="B304" i="162"/>
  <c r="N303" i="162"/>
  <c r="M303" i="162"/>
  <c r="L303" i="162"/>
  <c r="K303" i="162"/>
  <c r="J303" i="162"/>
  <c r="I303" i="162"/>
  <c r="H303" i="162"/>
  <c r="G303" i="162"/>
  <c r="F303" i="162"/>
  <c r="E303" i="162"/>
  <c r="D303" i="162"/>
  <c r="C303" i="162"/>
  <c r="B303" i="162"/>
  <c r="N302" i="162"/>
  <c r="M302" i="162"/>
  <c r="L302" i="162"/>
  <c r="K302" i="162"/>
  <c r="J302" i="162"/>
  <c r="I302" i="162"/>
  <c r="H302" i="162"/>
  <c r="G302" i="162"/>
  <c r="F302" i="162"/>
  <c r="E302" i="162"/>
  <c r="D302" i="162"/>
  <c r="C302" i="162"/>
  <c r="B302" i="162"/>
  <c r="N296" i="162"/>
  <c r="M296" i="162"/>
  <c r="L296" i="162"/>
  <c r="K296" i="162"/>
  <c r="J296" i="162"/>
  <c r="I296" i="162"/>
  <c r="H296" i="162"/>
  <c r="G296" i="162"/>
  <c r="F296" i="162"/>
  <c r="E296" i="162"/>
  <c r="D296" i="162"/>
  <c r="C296" i="162"/>
  <c r="N294" i="162"/>
  <c r="M294" i="162"/>
  <c r="L294" i="162"/>
  <c r="K294" i="162"/>
  <c r="J294" i="162"/>
  <c r="I294" i="162"/>
  <c r="H294" i="162"/>
  <c r="G294" i="162"/>
  <c r="F294" i="162"/>
  <c r="E294" i="162"/>
  <c r="D294" i="162"/>
  <c r="C294" i="162"/>
  <c r="N293" i="162"/>
  <c r="M293" i="162"/>
  <c r="L293" i="162"/>
  <c r="K293" i="162"/>
  <c r="J293" i="162"/>
  <c r="I293" i="162"/>
  <c r="H293" i="162"/>
  <c r="G293" i="162"/>
  <c r="F293" i="162"/>
  <c r="E293" i="162"/>
  <c r="D293" i="162"/>
  <c r="C293" i="162"/>
  <c r="N290" i="162"/>
  <c r="M290" i="162"/>
  <c r="L290" i="162"/>
  <c r="K290" i="162"/>
  <c r="J290" i="162"/>
  <c r="I290" i="162"/>
  <c r="H290" i="162"/>
  <c r="G290" i="162"/>
  <c r="F290" i="162"/>
  <c r="E290" i="162"/>
  <c r="D290" i="162"/>
  <c r="C290" i="162"/>
  <c r="N289" i="162"/>
  <c r="M289" i="162"/>
  <c r="L289" i="162"/>
  <c r="K289" i="162"/>
  <c r="J289" i="162"/>
  <c r="I289" i="162"/>
  <c r="H289" i="162"/>
  <c r="G289" i="162"/>
  <c r="F289" i="162"/>
  <c r="E289" i="162"/>
  <c r="D289" i="162"/>
  <c r="C289" i="162"/>
  <c r="N283" i="162"/>
  <c r="M283" i="162"/>
  <c r="L283" i="162"/>
  <c r="K283" i="162"/>
  <c r="J283" i="162"/>
  <c r="I283" i="162"/>
  <c r="H283" i="162"/>
  <c r="G283" i="162"/>
  <c r="F283" i="162"/>
  <c r="E283" i="162"/>
  <c r="D283" i="162"/>
  <c r="C283" i="162"/>
  <c r="A283" i="162"/>
  <c r="N282" i="162"/>
  <c r="M282" i="162"/>
  <c r="L282" i="162"/>
  <c r="K282" i="162"/>
  <c r="J282" i="162"/>
  <c r="I282" i="162"/>
  <c r="H282" i="162"/>
  <c r="G282" i="162"/>
  <c r="F282" i="162"/>
  <c r="E282" i="162"/>
  <c r="D282" i="162"/>
  <c r="C282" i="162"/>
  <c r="N281" i="162"/>
  <c r="M281" i="162"/>
  <c r="L281" i="162"/>
  <c r="K281" i="162"/>
  <c r="J281" i="162"/>
  <c r="I281" i="162"/>
  <c r="H281" i="162"/>
  <c r="G281" i="162"/>
  <c r="F281" i="162"/>
  <c r="E281" i="162"/>
  <c r="D281" i="162"/>
  <c r="C281" i="162"/>
  <c r="N280" i="162"/>
  <c r="M280" i="162"/>
  <c r="L280" i="162"/>
  <c r="K280" i="162"/>
  <c r="J280" i="162"/>
  <c r="I280" i="162"/>
  <c r="H280" i="162"/>
  <c r="G280" i="162"/>
  <c r="F280" i="162"/>
  <c r="E280" i="162"/>
  <c r="D280" i="162"/>
  <c r="C280" i="162"/>
  <c r="N279" i="162"/>
  <c r="M279" i="162"/>
  <c r="L279" i="162"/>
  <c r="K279" i="162"/>
  <c r="J279" i="162"/>
  <c r="I279" i="162"/>
  <c r="H279" i="162"/>
  <c r="G279" i="162"/>
  <c r="F279" i="162"/>
  <c r="E279" i="162"/>
  <c r="D279" i="162"/>
  <c r="C279" i="162"/>
  <c r="N278" i="162"/>
  <c r="M278" i="162"/>
  <c r="L278" i="162"/>
  <c r="K278" i="162"/>
  <c r="J278" i="162"/>
  <c r="I278" i="162"/>
  <c r="H278" i="162"/>
  <c r="G278" i="162"/>
  <c r="F278" i="162"/>
  <c r="E278" i="162"/>
  <c r="D278" i="162"/>
  <c r="C278" i="162"/>
  <c r="N274" i="162"/>
  <c r="M274" i="162"/>
  <c r="L274" i="162"/>
  <c r="K274" i="162"/>
  <c r="J274" i="162"/>
  <c r="I274" i="162"/>
  <c r="H274" i="162"/>
  <c r="G274" i="162"/>
  <c r="F274" i="162"/>
  <c r="E274" i="162"/>
  <c r="D274" i="162"/>
  <c r="C274" i="162"/>
  <c r="A274" i="162"/>
  <c r="N273" i="162"/>
  <c r="M273" i="162"/>
  <c r="L273" i="162"/>
  <c r="K273" i="162"/>
  <c r="J273" i="162"/>
  <c r="I273" i="162"/>
  <c r="H273" i="162"/>
  <c r="G273" i="162"/>
  <c r="F273" i="162"/>
  <c r="E273" i="162"/>
  <c r="D273" i="162"/>
  <c r="C273" i="162"/>
  <c r="B273" i="162"/>
  <c r="N272" i="162"/>
  <c r="M272" i="162"/>
  <c r="L272" i="162"/>
  <c r="K272" i="162"/>
  <c r="J272" i="162"/>
  <c r="I272" i="162"/>
  <c r="H272" i="162"/>
  <c r="G272" i="162"/>
  <c r="F272" i="162"/>
  <c r="E272" i="162"/>
  <c r="D272" i="162"/>
  <c r="C272" i="162"/>
  <c r="B272" i="162"/>
  <c r="N271" i="162"/>
  <c r="M271" i="162"/>
  <c r="L271" i="162"/>
  <c r="K271" i="162"/>
  <c r="J271" i="162"/>
  <c r="I271" i="162"/>
  <c r="H271" i="162"/>
  <c r="G271" i="162"/>
  <c r="F271" i="162"/>
  <c r="E271" i="162"/>
  <c r="D271" i="162"/>
  <c r="C271" i="162"/>
  <c r="B271" i="162"/>
  <c r="N270" i="162"/>
  <c r="M270" i="162"/>
  <c r="L270" i="162"/>
  <c r="K270" i="162"/>
  <c r="J270" i="162"/>
  <c r="I270" i="162"/>
  <c r="H270" i="162"/>
  <c r="G270" i="162"/>
  <c r="F270" i="162"/>
  <c r="E270" i="162"/>
  <c r="D270" i="162"/>
  <c r="C270" i="162"/>
  <c r="B270" i="162"/>
  <c r="N269" i="162"/>
  <c r="M269" i="162"/>
  <c r="L269" i="162"/>
  <c r="K269" i="162"/>
  <c r="J269" i="162"/>
  <c r="I269" i="162"/>
  <c r="H269" i="162"/>
  <c r="G269" i="162"/>
  <c r="F269" i="162"/>
  <c r="E269" i="162"/>
  <c r="D269" i="162"/>
  <c r="C269" i="162"/>
  <c r="B269" i="162"/>
  <c r="N268" i="162"/>
  <c r="M268" i="162"/>
  <c r="L268" i="162"/>
  <c r="K268" i="162"/>
  <c r="J268" i="162"/>
  <c r="I268" i="162"/>
  <c r="H268" i="162"/>
  <c r="G268" i="162"/>
  <c r="F268" i="162"/>
  <c r="E268" i="162"/>
  <c r="D268" i="162"/>
  <c r="C268" i="162"/>
  <c r="B268" i="162"/>
  <c r="N267" i="162"/>
  <c r="M267" i="162"/>
  <c r="L267" i="162"/>
  <c r="K267" i="162"/>
  <c r="J267" i="162"/>
  <c r="I267" i="162"/>
  <c r="H267" i="162"/>
  <c r="G267" i="162"/>
  <c r="F267" i="162"/>
  <c r="E267" i="162"/>
  <c r="D267" i="162"/>
  <c r="C267" i="162"/>
  <c r="B267" i="162"/>
  <c r="N266" i="162"/>
  <c r="M266" i="162"/>
  <c r="L266" i="162"/>
  <c r="K266" i="162"/>
  <c r="J266" i="162"/>
  <c r="I266" i="162"/>
  <c r="H266" i="162"/>
  <c r="G266" i="162"/>
  <c r="F266" i="162"/>
  <c r="E266" i="162"/>
  <c r="D266" i="162"/>
  <c r="C266" i="162"/>
  <c r="B266" i="162"/>
  <c r="N265" i="162"/>
  <c r="M265" i="162"/>
  <c r="L265" i="162"/>
  <c r="K265" i="162"/>
  <c r="J265" i="162"/>
  <c r="I265" i="162"/>
  <c r="H265" i="162"/>
  <c r="G265" i="162"/>
  <c r="F265" i="162"/>
  <c r="E265" i="162"/>
  <c r="D265" i="162"/>
  <c r="C265" i="162"/>
  <c r="B265" i="162"/>
  <c r="N264" i="162"/>
  <c r="M264" i="162"/>
  <c r="L264" i="162"/>
  <c r="K264" i="162"/>
  <c r="J264" i="162"/>
  <c r="I264" i="162"/>
  <c r="H264" i="162"/>
  <c r="G264" i="162"/>
  <c r="F264" i="162"/>
  <c r="E264" i="162"/>
  <c r="D264" i="162"/>
  <c r="C264" i="162"/>
  <c r="B264" i="162"/>
  <c r="N263" i="162"/>
  <c r="M263" i="162"/>
  <c r="L263" i="162"/>
  <c r="K263" i="162"/>
  <c r="J263" i="162"/>
  <c r="I263" i="162"/>
  <c r="H263" i="162"/>
  <c r="G263" i="162"/>
  <c r="F263" i="162"/>
  <c r="E263" i="162"/>
  <c r="D263" i="162"/>
  <c r="C263" i="162"/>
  <c r="B263" i="162"/>
  <c r="N262" i="162"/>
  <c r="M262" i="162"/>
  <c r="L262" i="162"/>
  <c r="K262" i="162"/>
  <c r="J262" i="162"/>
  <c r="I262" i="162"/>
  <c r="H262" i="162"/>
  <c r="G262" i="162"/>
  <c r="F262" i="162"/>
  <c r="E262" i="162"/>
  <c r="D262" i="162"/>
  <c r="C262" i="162"/>
  <c r="B262" i="162"/>
  <c r="N258" i="162"/>
  <c r="M258" i="162"/>
  <c r="L258" i="162"/>
  <c r="K258" i="162"/>
  <c r="J258" i="162"/>
  <c r="I258" i="162"/>
  <c r="H258" i="162"/>
  <c r="G258" i="162"/>
  <c r="F258" i="162"/>
  <c r="E258" i="162"/>
  <c r="D258" i="162"/>
  <c r="C258" i="162"/>
  <c r="A258" i="162"/>
  <c r="N257" i="162"/>
  <c r="M257" i="162"/>
  <c r="L257" i="162"/>
  <c r="K257" i="162"/>
  <c r="J257" i="162"/>
  <c r="I257" i="162"/>
  <c r="H257" i="162"/>
  <c r="G257" i="162"/>
  <c r="F257" i="162"/>
  <c r="E257" i="162"/>
  <c r="D257" i="162"/>
  <c r="C257" i="162"/>
  <c r="B257" i="162"/>
  <c r="N256" i="162"/>
  <c r="M256" i="162"/>
  <c r="L256" i="162"/>
  <c r="K256" i="162"/>
  <c r="J256" i="162"/>
  <c r="I256" i="162"/>
  <c r="H256" i="162"/>
  <c r="G256" i="162"/>
  <c r="F256" i="162"/>
  <c r="E256" i="162"/>
  <c r="D256" i="162"/>
  <c r="C256" i="162"/>
  <c r="B256" i="162"/>
  <c r="N255" i="162"/>
  <c r="M255" i="162"/>
  <c r="L255" i="162"/>
  <c r="K255" i="162"/>
  <c r="J255" i="162"/>
  <c r="I255" i="162"/>
  <c r="H255" i="162"/>
  <c r="G255" i="162"/>
  <c r="F255" i="162"/>
  <c r="E255" i="162"/>
  <c r="D255" i="162"/>
  <c r="C255" i="162"/>
  <c r="B255" i="162"/>
  <c r="N254" i="162"/>
  <c r="M254" i="162"/>
  <c r="L254" i="162"/>
  <c r="K254" i="162"/>
  <c r="J254" i="162"/>
  <c r="I254" i="162"/>
  <c r="H254" i="162"/>
  <c r="G254" i="162"/>
  <c r="F254" i="162"/>
  <c r="E254" i="162"/>
  <c r="D254" i="162"/>
  <c r="C254" i="162"/>
  <c r="B254" i="162"/>
  <c r="N253" i="162"/>
  <c r="M253" i="162"/>
  <c r="L253" i="162"/>
  <c r="K253" i="162"/>
  <c r="J253" i="162"/>
  <c r="I253" i="162"/>
  <c r="H253" i="162"/>
  <c r="G253" i="162"/>
  <c r="F253" i="162"/>
  <c r="E253" i="162"/>
  <c r="D253" i="162"/>
  <c r="C253" i="162"/>
  <c r="B253" i="162"/>
  <c r="N252" i="162"/>
  <c r="M252" i="162"/>
  <c r="L252" i="162"/>
  <c r="K252" i="162"/>
  <c r="J252" i="162"/>
  <c r="I252" i="162"/>
  <c r="H252" i="162"/>
  <c r="G252" i="162"/>
  <c r="F252" i="162"/>
  <c r="E252" i="162"/>
  <c r="D252" i="162"/>
  <c r="C252" i="162"/>
  <c r="B252" i="162"/>
  <c r="N251" i="162"/>
  <c r="M251" i="162"/>
  <c r="L251" i="162"/>
  <c r="K251" i="162"/>
  <c r="J251" i="162"/>
  <c r="I251" i="162"/>
  <c r="H251" i="162"/>
  <c r="G251" i="162"/>
  <c r="F251" i="162"/>
  <c r="E251" i="162"/>
  <c r="D251" i="162"/>
  <c r="C251" i="162"/>
  <c r="B251" i="162"/>
  <c r="N250" i="162"/>
  <c r="M250" i="162"/>
  <c r="L250" i="162"/>
  <c r="K250" i="162"/>
  <c r="J250" i="162"/>
  <c r="I250" i="162"/>
  <c r="H250" i="162"/>
  <c r="G250" i="162"/>
  <c r="F250" i="162"/>
  <c r="E250" i="162"/>
  <c r="D250" i="162"/>
  <c r="C250" i="162"/>
  <c r="B250" i="162"/>
  <c r="N249" i="162"/>
  <c r="M249" i="162"/>
  <c r="L249" i="162"/>
  <c r="K249" i="162"/>
  <c r="J249" i="162"/>
  <c r="I249" i="162"/>
  <c r="H249" i="162"/>
  <c r="G249" i="162"/>
  <c r="F249" i="162"/>
  <c r="E249" i="162"/>
  <c r="D249" i="162"/>
  <c r="C249" i="162"/>
  <c r="B249" i="162"/>
  <c r="N248" i="162"/>
  <c r="M248" i="162"/>
  <c r="L248" i="162"/>
  <c r="K248" i="162"/>
  <c r="J248" i="162"/>
  <c r="I248" i="162"/>
  <c r="H248" i="162"/>
  <c r="G248" i="162"/>
  <c r="F248" i="162"/>
  <c r="E248" i="162"/>
  <c r="D248" i="162"/>
  <c r="C248" i="162"/>
  <c r="B248" i="162"/>
  <c r="N247" i="162"/>
  <c r="M247" i="162"/>
  <c r="L247" i="162"/>
  <c r="K247" i="162"/>
  <c r="J247" i="162"/>
  <c r="I247" i="162"/>
  <c r="H247" i="162"/>
  <c r="G247" i="162"/>
  <c r="F247" i="162"/>
  <c r="E247" i="162"/>
  <c r="D247" i="162"/>
  <c r="C247" i="162"/>
  <c r="B247" i="162"/>
  <c r="N246" i="162"/>
  <c r="M246" i="162"/>
  <c r="L246" i="162"/>
  <c r="K246" i="162"/>
  <c r="J246" i="162"/>
  <c r="I246" i="162"/>
  <c r="H246" i="162"/>
  <c r="G246" i="162"/>
  <c r="F246" i="162"/>
  <c r="E246" i="162"/>
  <c r="D246" i="162"/>
  <c r="C246" i="162"/>
  <c r="B246" i="162"/>
  <c r="N240" i="162"/>
  <c r="M240" i="162"/>
  <c r="L240" i="162"/>
  <c r="K240" i="162"/>
  <c r="J240" i="162"/>
  <c r="I240" i="162"/>
  <c r="H240" i="162"/>
  <c r="G240" i="162"/>
  <c r="F240" i="162"/>
  <c r="E240" i="162"/>
  <c r="D240" i="162"/>
  <c r="C240" i="162"/>
  <c r="A240" i="162"/>
  <c r="N239" i="162"/>
  <c r="M239" i="162"/>
  <c r="L239" i="162"/>
  <c r="K239" i="162"/>
  <c r="J239" i="162"/>
  <c r="I239" i="162"/>
  <c r="H239" i="162"/>
  <c r="G239" i="162"/>
  <c r="F239" i="162"/>
  <c r="E239" i="162"/>
  <c r="D239" i="162"/>
  <c r="C239" i="162"/>
  <c r="B239" i="162"/>
  <c r="N238" i="162"/>
  <c r="M238" i="162"/>
  <c r="L238" i="162"/>
  <c r="K238" i="162"/>
  <c r="J238" i="162"/>
  <c r="I238" i="162"/>
  <c r="H238" i="162"/>
  <c r="G238" i="162"/>
  <c r="F238" i="162"/>
  <c r="E238" i="162"/>
  <c r="D238" i="162"/>
  <c r="C238" i="162"/>
  <c r="B238" i="162"/>
  <c r="N237" i="162"/>
  <c r="M237" i="162"/>
  <c r="L237" i="162"/>
  <c r="K237" i="162"/>
  <c r="J237" i="162"/>
  <c r="I237" i="162"/>
  <c r="H237" i="162"/>
  <c r="G237" i="162"/>
  <c r="F237" i="162"/>
  <c r="E237" i="162"/>
  <c r="D237" i="162"/>
  <c r="C237" i="162"/>
  <c r="B237" i="162"/>
  <c r="N236" i="162"/>
  <c r="M236" i="162"/>
  <c r="L236" i="162"/>
  <c r="K236" i="162"/>
  <c r="J236" i="162"/>
  <c r="I236" i="162"/>
  <c r="H236" i="162"/>
  <c r="G236" i="162"/>
  <c r="F236" i="162"/>
  <c r="E236" i="162"/>
  <c r="D236" i="162"/>
  <c r="C236" i="162"/>
  <c r="B236" i="162"/>
  <c r="N235" i="162"/>
  <c r="M235" i="162"/>
  <c r="L235" i="162"/>
  <c r="K235" i="162"/>
  <c r="J235" i="162"/>
  <c r="I235" i="162"/>
  <c r="H235" i="162"/>
  <c r="G235" i="162"/>
  <c r="F235" i="162"/>
  <c r="E235" i="162"/>
  <c r="D235" i="162"/>
  <c r="C235" i="162"/>
  <c r="B235" i="162"/>
  <c r="N234" i="162"/>
  <c r="M234" i="162"/>
  <c r="L234" i="162"/>
  <c r="K234" i="162"/>
  <c r="J234" i="162"/>
  <c r="I234" i="162"/>
  <c r="H234" i="162"/>
  <c r="G234" i="162"/>
  <c r="F234" i="162"/>
  <c r="E234" i="162"/>
  <c r="D234" i="162"/>
  <c r="C234" i="162"/>
  <c r="B234" i="162"/>
  <c r="N233" i="162"/>
  <c r="M233" i="162"/>
  <c r="L233" i="162"/>
  <c r="K233" i="162"/>
  <c r="J233" i="162"/>
  <c r="I233" i="162"/>
  <c r="H233" i="162"/>
  <c r="G233" i="162"/>
  <c r="F233" i="162"/>
  <c r="E233" i="162"/>
  <c r="D233" i="162"/>
  <c r="C233" i="162"/>
  <c r="B233" i="162"/>
  <c r="N232" i="162"/>
  <c r="M232" i="162"/>
  <c r="L232" i="162"/>
  <c r="K232" i="162"/>
  <c r="J232" i="162"/>
  <c r="I232" i="162"/>
  <c r="H232" i="162"/>
  <c r="G232" i="162"/>
  <c r="F232" i="162"/>
  <c r="E232" i="162"/>
  <c r="D232" i="162"/>
  <c r="C232" i="162"/>
  <c r="B232" i="162"/>
  <c r="N231" i="162"/>
  <c r="M231" i="162"/>
  <c r="L231" i="162"/>
  <c r="K231" i="162"/>
  <c r="J231" i="162"/>
  <c r="I231" i="162"/>
  <c r="H231" i="162"/>
  <c r="G231" i="162"/>
  <c r="F231" i="162"/>
  <c r="E231" i="162"/>
  <c r="D231" i="162"/>
  <c r="C231" i="162"/>
  <c r="B231" i="162"/>
  <c r="N230" i="162"/>
  <c r="M230" i="162"/>
  <c r="L230" i="162"/>
  <c r="K230" i="162"/>
  <c r="J230" i="162"/>
  <c r="I230" i="162"/>
  <c r="H230" i="162"/>
  <c r="G230" i="162"/>
  <c r="F230" i="162"/>
  <c r="E230" i="162"/>
  <c r="D230" i="162"/>
  <c r="C230" i="162"/>
  <c r="B230" i="162"/>
  <c r="N229" i="162"/>
  <c r="M229" i="162"/>
  <c r="L229" i="162"/>
  <c r="K229" i="162"/>
  <c r="J229" i="162"/>
  <c r="I229" i="162"/>
  <c r="H229" i="162"/>
  <c r="G229" i="162"/>
  <c r="F229" i="162"/>
  <c r="E229" i="162"/>
  <c r="D229" i="162"/>
  <c r="C229" i="162"/>
  <c r="B229" i="162"/>
  <c r="N228" i="162"/>
  <c r="M228" i="162"/>
  <c r="L228" i="162"/>
  <c r="K228" i="162"/>
  <c r="J228" i="162"/>
  <c r="I228" i="162"/>
  <c r="H228" i="162"/>
  <c r="G228" i="162"/>
  <c r="F228" i="162"/>
  <c r="E228" i="162"/>
  <c r="D228" i="162"/>
  <c r="C228" i="162"/>
  <c r="B228" i="162"/>
  <c r="N224" i="162"/>
  <c r="M224" i="162"/>
  <c r="L224" i="162"/>
  <c r="K224" i="162"/>
  <c r="J224" i="162"/>
  <c r="I224" i="162"/>
  <c r="H224" i="162"/>
  <c r="G224" i="162"/>
  <c r="F224" i="162"/>
  <c r="E224" i="162"/>
  <c r="D224" i="162"/>
  <c r="C224" i="162"/>
  <c r="A224" i="162"/>
  <c r="N223" i="162"/>
  <c r="M223" i="162"/>
  <c r="L223" i="162"/>
  <c r="K223" i="162"/>
  <c r="J223" i="162"/>
  <c r="I223" i="162"/>
  <c r="H223" i="162"/>
  <c r="G223" i="162"/>
  <c r="F223" i="162"/>
  <c r="E223" i="162"/>
  <c r="D223" i="162"/>
  <c r="C223" i="162"/>
  <c r="B223" i="162"/>
  <c r="N222" i="162"/>
  <c r="M222" i="162"/>
  <c r="L222" i="162"/>
  <c r="K222" i="162"/>
  <c r="J222" i="162"/>
  <c r="I222" i="162"/>
  <c r="H222" i="162"/>
  <c r="G222" i="162"/>
  <c r="F222" i="162"/>
  <c r="E222" i="162"/>
  <c r="D222" i="162"/>
  <c r="C222" i="162"/>
  <c r="B222" i="162"/>
  <c r="N221" i="162"/>
  <c r="M221" i="162"/>
  <c r="L221" i="162"/>
  <c r="K221" i="162"/>
  <c r="J221" i="162"/>
  <c r="I221" i="162"/>
  <c r="H221" i="162"/>
  <c r="G221" i="162"/>
  <c r="F221" i="162"/>
  <c r="E221" i="162"/>
  <c r="D221" i="162"/>
  <c r="C221" i="162"/>
  <c r="B221" i="162"/>
  <c r="N220" i="162"/>
  <c r="M220" i="162"/>
  <c r="L220" i="162"/>
  <c r="K220" i="162"/>
  <c r="J220" i="162"/>
  <c r="I220" i="162"/>
  <c r="H220" i="162"/>
  <c r="G220" i="162"/>
  <c r="F220" i="162"/>
  <c r="E220" i="162"/>
  <c r="D220" i="162"/>
  <c r="C220" i="162"/>
  <c r="B220" i="162"/>
  <c r="N219" i="162"/>
  <c r="M219" i="162"/>
  <c r="L219" i="162"/>
  <c r="K219" i="162"/>
  <c r="J219" i="162"/>
  <c r="I219" i="162"/>
  <c r="H219" i="162"/>
  <c r="G219" i="162"/>
  <c r="F219" i="162"/>
  <c r="E219" i="162"/>
  <c r="D219" i="162"/>
  <c r="C219" i="162"/>
  <c r="B219" i="162"/>
  <c r="N218" i="162"/>
  <c r="M218" i="162"/>
  <c r="L218" i="162"/>
  <c r="K218" i="162"/>
  <c r="J218" i="162"/>
  <c r="I218" i="162"/>
  <c r="H218" i="162"/>
  <c r="G218" i="162"/>
  <c r="F218" i="162"/>
  <c r="E218" i="162"/>
  <c r="D218" i="162"/>
  <c r="C218" i="162"/>
  <c r="B218" i="162"/>
  <c r="N217" i="162"/>
  <c r="M217" i="162"/>
  <c r="L217" i="162"/>
  <c r="K217" i="162"/>
  <c r="J217" i="162"/>
  <c r="I217" i="162"/>
  <c r="H217" i="162"/>
  <c r="G217" i="162"/>
  <c r="F217" i="162"/>
  <c r="E217" i="162"/>
  <c r="D217" i="162"/>
  <c r="C217" i="162"/>
  <c r="B217" i="162"/>
  <c r="N216" i="162"/>
  <c r="M216" i="162"/>
  <c r="L216" i="162"/>
  <c r="K216" i="162"/>
  <c r="J216" i="162"/>
  <c r="I216" i="162"/>
  <c r="H216" i="162"/>
  <c r="G216" i="162"/>
  <c r="F216" i="162"/>
  <c r="E216" i="162"/>
  <c r="D216" i="162"/>
  <c r="C216" i="162"/>
  <c r="B216" i="162"/>
  <c r="N215" i="162"/>
  <c r="M215" i="162"/>
  <c r="L215" i="162"/>
  <c r="K215" i="162"/>
  <c r="J215" i="162"/>
  <c r="I215" i="162"/>
  <c r="H215" i="162"/>
  <c r="G215" i="162"/>
  <c r="F215" i="162"/>
  <c r="E215" i="162"/>
  <c r="D215" i="162"/>
  <c r="C215" i="162"/>
  <c r="B215" i="162"/>
  <c r="N214" i="162"/>
  <c r="M214" i="162"/>
  <c r="L214" i="162"/>
  <c r="K214" i="162"/>
  <c r="J214" i="162"/>
  <c r="I214" i="162"/>
  <c r="H214" i="162"/>
  <c r="G214" i="162"/>
  <c r="F214" i="162"/>
  <c r="E214" i="162"/>
  <c r="D214" i="162"/>
  <c r="C214" i="162"/>
  <c r="B214" i="162"/>
  <c r="N213" i="162"/>
  <c r="M213" i="162"/>
  <c r="L213" i="162"/>
  <c r="K213" i="162"/>
  <c r="J213" i="162"/>
  <c r="I213" i="162"/>
  <c r="H213" i="162"/>
  <c r="G213" i="162"/>
  <c r="F213" i="162"/>
  <c r="E213" i="162"/>
  <c r="D213" i="162"/>
  <c r="C213" i="162"/>
  <c r="B213" i="162"/>
  <c r="N212" i="162"/>
  <c r="M212" i="162"/>
  <c r="L212" i="162"/>
  <c r="K212" i="162"/>
  <c r="J212" i="162"/>
  <c r="I212" i="162"/>
  <c r="H212" i="162"/>
  <c r="G212" i="162"/>
  <c r="F212" i="162"/>
  <c r="E212" i="162"/>
  <c r="D212" i="162"/>
  <c r="C212" i="162"/>
  <c r="B212" i="162"/>
  <c r="N206" i="162"/>
  <c r="M206" i="162"/>
  <c r="L206" i="162"/>
  <c r="K206" i="162"/>
  <c r="J206" i="162"/>
  <c r="I206" i="162"/>
  <c r="H206" i="162"/>
  <c r="G206" i="162"/>
  <c r="F206" i="162"/>
  <c r="E206" i="162"/>
  <c r="D206" i="162"/>
  <c r="C206" i="162"/>
  <c r="A206" i="162"/>
  <c r="N205" i="162"/>
  <c r="M205" i="162"/>
  <c r="L205" i="162"/>
  <c r="K205" i="162"/>
  <c r="J205" i="162"/>
  <c r="I205" i="162"/>
  <c r="H205" i="162"/>
  <c r="G205" i="162"/>
  <c r="F205" i="162"/>
  <c r="E205" i="162"/>
  <c r="D205" i="162"/>
  <c r="C205" i="162"/>
  <c r="B205" i="162"/>
  <c r="N204" i="162"/>
  <c r="M204" i="162"/>
  <c r="L204" i="162"/>
  <c r="K204" i="162"/>
  <c r="J204" i="162"/>
  <c r="I204" i="162"/>
  <c r="H204" i="162"/>
  <c r="G204" i="162"/>
  <c r="F204" i="162"/>
  <c r="E204" i="162"/>
  <c r="D204" i="162"/>
  <c r="C204" i="162"/>
  <c r="B204" i="162"/>
  <c r="N203" i="162"/>
  <c r="M203" i="162"/>
  <c r="L203" i="162"/>
  <c r="K203" i="162"/>
  <c r="J203" i="162"/>
  <c r="I203" i="162"/>
  <c r="H203" i="162"/>
  <c r="G203" i="162"/>
  <c r="F203" i="162"/>
  <c r="E203" i="162"/>
  <c r="D203" i="162"/>
  <c r="C203" i="162"/>
  <c r="B203" i="162"/>
  <c r="N202" i="162"/>
  <c r="M202" i="162"/>
  <c r="L202" i="162"/>
  <c r="K202" i="162"/>
  <c r="J202" i="162"/>
  <c r="I202" i="162"/>
  <c r="H202" i="162"/>
  <c r="G202" i="162"/>
  <c r="F202" i="162"/>
  <c r="E202" i="162"/>
  <c r="D202" i="162"/>
  <c r="C202" i="162"/>
  <c r="B202" i="162"/>
  <c r="N201" i="162"/>
  <c r="M201" i="162"/>
  <c r="L201" i="162"/>
  <c r="K201" i="162"/>
  <c r="J201" i="162"/>
  <c r="I201" i="162"/>
  <c r="H201" i="162"/>
  <c r="G201" i="162"/>
  <c r="F201" i="162"/>
  <c r="E201" i="162"/>
  <c r="D201" i="162"/>
  <c r="C201" i="162"/>
  <c r="B201" i="162"/>
  <c r="N200" i="162"/>
  <c r="M200" i="162"/>
  <c r="L200" i="162"/>
  <c r="K200" i="162"/>
  <c r="J200" i="162"/>
  <c r="I200" i="162"/>
  <c r="H200" i="162"/>
  <c r="G200" i="162"/>
  <c r="F200" i="162"/>
  <c r="E200" i="162"/>
  <c r="D200" i="162"/>
  <c r="C200" i="162"/>
  <c r="B200" i="162"/>
  <c r="N199" i="162"/>
  <c r="M199" i="162"/>
  <c r="L199" i="162"/>
  <c r="K199" i="162"/>
  <c r="J199" i="162"/>
  <c r="I199" i="162"/>
  <c r="H199" i="162"/>
  <c r="G199" i="162"/>
  <c r="F199" i="162"/>
  <c r="E199" i="162"/>
  <c r="D199" i="162"/>
  <c r="C199" i="162"/>
  <c r="B199" i="162"/>
  <c r="N198" i="162"/>
  <c r="M198" i="162"/>
  <c r="L198" i="162"/>
  <c r="K198" i="162"/>
  <c r="J198" i="162"/>
  <c r="I198" i="162"/>
  <c r="H198" i="162"/>
  <c r="G198" i="162"/>
  <c r="F198" i="162"/>
  <c r="E198" i="162"/>
  <c r="D198" i="162"/>
  <c r="C198" i="162"/>
  <c r="B198" i="162"/>
  <c r="N197" i="162"/>
  <c r="M197" i="162"/>
  <c r="L197" i="162"/>
  <c r="K197" i="162"/>
  <c r="J197" i="162"/>
  <c r="I197" i="162"/>
  <c r="H197" i="162"/>
  <c r="G197" i="162"/>
  <c r="F197" i="162"/>
  <c r="E197" i="162"/>
  <c r="D197" i="162"/>
  <c r="C197" i="162"/>
  <c r="B197" i="162"/>
  <c r="N196" i="162"/>
  <c r="M196" i="162"/>
  <c r="L196" i="162"/>
  <c r="K196" i="162"/>
  <c r="J196" i="162"/>
  <c r="I196" i="162"/>
  <c r="H196" i="162"/>
  <c r="G196" i="162"/>
  <c r="F196" i="162"/>
  <c r="E196" i="162"/>
  <c r="D196" i="162"/>
  <c r="C196" i="162"/>
  <c r="B196" i="162"/>
  <c r="N195" i="162"/>
  <c r="M195" i="162"/>
  <c r="L195" i="162"/>
  <c r="K195" i="162"/>
  <c r="J195" i="162"/>
  <c r="I195" i="162"/>
  <c r="H195" i="162"/>
  <c r="G195" i="162"/>
  <c r="F195" i="162"/>
  <c r="E195" i="162"/>
  <c r="D195" i="162"/>
  <c r="C195" i="162"/>
  <c r="B195" i="162"/>
  <c r="N194" i="162"/>
  <c r="M194" i="162"/>
  <c r="L194" i="162"/>
  <c r="K194" i="162"/>
  <c r="J194" i="162"/>
  <c r="I194" i="162"/>
  <c r="H194" i="162"/>
  <c r="G194" i="162"/>
  <c r="F194" i="162"/>
  <c r="E194" i="162"/>
  <c r="D194" i="162"/>
  <c r="C194" i="162"/>
  <c r="B194" i="162"/>
  <c r="N190" i="162"/>
  <c r="M190" i="162"/>
  <c r="L190" i="162"/>
  <c r="K190" i="162"/>
  <c r="J190" i="162"/>
  <c r="I190" i="162"/>
  <c r="H190" i="162"/>
  <c r="G190" i="162"/>
  <c r="F190" i="162"/>
  <c r="E190" i="162"/>
  <c r="D190" i="162"/>
  <c r="C190" i="162"/>
  <c r="A190" i="162"/>
  <c r="N189" i="162"/>
  <c r="M189" i="162"/>
  <c r="L189" i="162"/>
  <c r="K189" i="162"/>
  <c r="J189" i="162"/>
  <c r="I189" i="162"/>
  <c r="H189" i="162"/>
  <c r="G189" i="162"/>
  <c r="F189" i="162"/>
  <c r="E189" i="162"/>
  <c r="D189" i="162"/>
  <c r="C189" i="162"/>
  <c r="B189" i="162"/>
  <c r="N188" i="162"/>
  <c r="M188" i="162"/>
  <c r="L188" i="162"/>
  <c r="K188" i="162"/>
  <c r="J188" i="162"/>
  <c r="I188" i="162"/>
  <c r="H188" i="162"/>
  <c r="G188" i="162"/>
  <c r="F188" i="162"/>
  <c r="E188" i="162"/>
  <c r="D188" i="162"/>
  <c r="C188" i="162"/>
  <c r="B188" i="162"/>
  <c r="N187" i="162"/>
  <c r="M187" i="162"/>
  <c r="L187" i="162"/>
  <c r="K187" i="162"/>
  <c r="J187" i="162"/>
  <c r="I187" i="162"/>
  <c r="H187" i="162"/>
  <c r="G187" i="162"/>
  <c r="F187" i="162"/>
  <c r="E187" i="162"/>
  <c r="D187" i="162"/>
  <c r="C187" i="162"/>
  <c r="B187" i="162"/>
  <c r="N186" i="162"/>
  <c r="M186" i="162"/>
  <c r="L186" i="162"/>
  <c r="K186" i="162"/>
  <c r="J186" i="162"/>
  <c r="I186" i="162"/>
  <c r="H186" i="162"/>
  <c r="G186" i="162"/>
  <c r="F186" i="162"/>
  <c r="E186" i="162"/>
  <c r="D186" i="162"/>
  <c r="C186" i="162"/>
  <c r="B186" i="162"/>
  <c r="N185" i="162"/>
  <c r="M185" i="162"/>
  <c r="L185" i="162"/>
  <c r="K185" i="162"/>
  <c r="J185" i="162"/>
  <c r="I185" i="162"/>
  <c r="H185" i="162"/>
  <c r="G185" i="162"/>
  <c r="F185" i="162"/>
  <c r="E185" i="162"/>
  <c r="D185" i="162"/>
  <c r="C185" i="162"/>
  <c r="B185" i="162"/>
  <c r="N184" i="162"/>
  <c r="M184" i="162"/>
  <c r="L184" i="162"/>
  <c r="K184" i="162"/>
  <c r="J184" i="162"/>
  <c r="I184" i="162"/>
  <c r="H184" i="162"/>
  <c r="G184" i="162"/>
  <c r="F184" i="162"/>
  <c r="E184" i="162"/>
  <c r="D184" i="162"/>
  <c r="C184" i="162"/>
  <c r="B184" i="162"/>
  <c r="N183" i="162"/>
  <c r="M183" i="162"/>
  <c r="L183" i="162"/>
  <c r="K183" i="162"/>
  <c r="J183" i="162"/>
  <c r="I183" i="162"/>
  <c r="H183" i="162"/>
  <c r="G183" i="162"/>
  <c r="F183" i="162"/>
  <c r="E183" i="162"/>
  <c r="D183" i="162"/>
  <c r="C183" i="162"/>
  <c r="B183" i="162"/>
  <c r="N182" i="162"/>
  <c r="M182" i="162"/>
  <c r="L182" i="162"/>
  <c r="K182" i="162"/>
  <c r="J182" i="162"/>
  <c r="I182" i="162"/>
  <c r="H182" i="162"/>
  <c r="G182" i="162"/>
  <c r="F182" i="162"/>
  <c r="E182" i="162"/>
  <c r="D182" i="162"/>
  <c r="C182" i="162"/>
  <c r="B182" i="162"/>
  <c r="N181" i="162"/>
  <c r="M181" i="162"/>
  <c r="L181" i="162"/>
  <c r="K181" i="162"/>
  <c r="J181" i="162"/>
  <c r="I181" i="162"/>
  <c r="H181" i="162"/>
  <c r="G181" i="162"/>
  <c r="F181" i="162"/>
  <c r="E181" i="162"/>
  <c r="D181" i="162"/>
  <c r="C181" i="162"/>
  <c r="B181" i="162"/>
  <c r="N180" i="162"/>
  <c r="M180" i="162"/>
  <c r="L180" i="162"/>
  <c r="K180" i="162"/>
  <c r="J180" i="162"/>
  <c r="I180" i="162"/>
  <c r="H180" i="162"/>
  <c r="G180" i="162"/>
  <c r="F180" i="162"/>
  <c r="E180" i="162"/>
  <c r="D180" i="162"/>
  <c r="C180" i="162"/>
  <c r="B180" i="162"/>
  <c r="N179" i="162"/>
  <c r="M179" i="162"/>
  <c r="L179" i="162"/>
  <c r="K179" i="162"/>
  <c r="J179" i="162"/>
  <c r="I179" i="162"/>
  <c r="H179" i="162"/>
  <c r="G179" i="162"/>
  <c r="F179" i="162"/>
  <c r="E179" i="162"/>
  <c r="D179" i="162"/>
  <c r="C179" i="162"/>
  <c r="B179" i="162"/>
  <c r="N178" i="162"/>
  <c r="M178" i="162"/>
  <c r="L178" i="162"/>
  <c r="K178" i="162"/>
  <c r="J178" i="162"/>
  <c r="I178" i="162"/>
  <c r="H178" i="162"/>
  <c r="G178" i="162"/>
  <c r="F178" i="162"/>
  <c r="E178" i="162"/>
  <c r="D178" i="162"/>
  <c r="C178" i="162"/>
  <c r="B178" i="162"/>
  <c r="N172" i="162"/>
  <c r="M172" i="162"/>
  <c r="L172" i="162"/>
  <c r="K172" i="162"/>
  <c r="J172" i="162"/>
  <c r="I172" i="162"/>
  <c r="H172" i="162"/>
  <c r="G172" i="162"/>
  <c r="F172" i="162"/>
  <c r="E172" i="162"/>
  <c r="D172" i="162"/>
  <c r="C172" i="162"/>
  <c r="A172" i="162"/>
  <c r="N171" i="162"/>
  <c r="M171" i="162"/>
  <c r="L171" i="162"/>
  <c r="K171" i="162"/>
  <c r="J171" i="162"/>
  <c r="I171" i="162"/>
  <c r="H171" i="162"/>
  <c r="G171" i="162"/>
  <c r="F171" i="162"/>
  <c r="E171" i="162"/>
  <c r="D171" i="162"/>
  <c r="C171" i="162"/>
  <c r="B171" i="162"/>
  <c r="N170" i="162"/>
  <c r="M170" i="162"/>
  <c r="L170" i="162"/>
  <c r="K170" i="162"/>
  <c r="J170" i="162"/>
  <c r="I170" i="162"/>
  <c r="H170" i="162"/>
  <c r="G170" i="162"/>
  <c r="F170" i="162"/>
  <c r="E170" i="162"/>
  <c r="D170" i="162"/>
  <c r="C170" i="162"/>
  <c r="B170" i="162"/>
  <c r="N169" i="162"/>
  <c r="M169" i="162"/>
  <c r="L169" i="162"/>
  <c r="K169" i="162"/>
  <c r="J169" i="162"/>
  <c r="I169" i="162"/>
  <c r="H169" i="162"/>
  <c r="G169" i="162"/>
  <c r="F169" i="162"/>
  <c r="E169" i="162"/>
  <c r="D169" i="162"/>
  <c r="C169" i="162"/>
  <c r="B169" i="162"/>
  <c r="N168" i="162"/>
  <c r="M168" i="162"/>
  <c r="L168" i="162"/>
  <c r="K168" i="162"/>
  <c r="J168" i="162"/>
  <c r="I168" i="162"/>
  <c r="H168" i="162"/>
  <c r="G168" i="162"/>
  <c r="F168" i="162"/>
  <c r="E168" i="162"/>
  <c r="D168" i="162"/>
  <c r="C168" i="162"/>
  <c r="B168" i="162"/>
  <c r="N167" i="162"/>
  <c r="M167" i="162"/>
  <c r="L167" i="162"/>
  <c r="K167" i="162"/>
  <c r="J167" i="162"/>
  <c r="I167" i="162"/>
  <c r="H167" i="162"/>
  <c r="G167" i="162"/>
  <c r="F167" i="162"/>
  <c r="E167" i="162"/>
  <c r="D167" i="162"/>
  <c r="C167" i="162"/>
  <c r="B167" i="162"/>
  <c r="N166" i="162"/>
  <c r="M166" i="162"/>
  <c r="L166" i="162"/>
  <c r="K166" i="162"/>
  <c r="J166" i="162"/>
  <c r="I166" i="162"/>
  <c r="H166" i="162"/>
  <c r="G166" i="162"/>
  <c r="F166" i="162"/>
  <c r="E166" i="162"/>
  <c r="D166" i="162"/>
  <c r="C166" i="162"/>
  <c r="B166" i="162"/>
  <c r="N165" i="162"/>
  <c r="M165" i="162"/>
  <c r="L165" i="162"/>
  <c r="K165" i="162"/>
  <c r="J165" i="162"/>
  <c r="I165" i="162"/>
  <c r="H165" i="162"/>
  <c r="G165" i="162"/>
  <c r="F165" i="162"/>
  <c r="E165" i="162"/>
  <c r="D165" i="162"/>
  <c r="C165" i="162"/>
  <c r="B165" i="162"/>
  <c r="N164" i="162"/>
  <c r="M164" i="162"/>
  <c r="L164" i="162"/>
  <c r="K164" i="162"/>
  <c r="J164" i="162"/>
  <c r="I164" i="162"/>
  <c r="H164" i="162"/>
  <c r="G164" i="162"/>
  <c r="F164" i="162"/>
  <c r="E164" i="162"/>
  <c r="D164" i="162"/>
  <c r="C164" i="162"/>
  <c r="B164" i="162"/>
  <c r="N163" i="162"/>
  <c r="M163" i="162"/>
  <c r="L163" i="162"/>
  <c r="K163" i="162"/>
  <c r="J163" i="162"/>
  <c r="I163" i="162"/>
  <c r="H163" i="162"/>
  <c r="G163" i="162"/>
  <c r="F163" i="162"/>
  <c r="E163" i="162"/>
  <c r="D163" i="162"/>
  <c r="C163" i="162"/>
  <c r="B163" i="162"/>
  <c r="N162" i="162"/>
  <c r="M162" i="162"/>
  <c r="L162" i="162"/>
  <c r="K162" i="162"/>
  <c r="J162" i="162"/>
  <c r="I162" i="162"/>
  <c r="H162" i="162"/>
  <c r="G162" i="162"/>
  <c r="F162" i="162"/>
  <c r="E162" i="162"/>
  <c r="D162" i="162"/>
  <c r="C162" i="162"/>
  <c r="B162" i="162"/>
  <c r="N161" i="162"/>
  <c r="M161" i="162"/>
  <c r="L161" i="162"/>
  <c r="K161" i="162"/>
  <c r="J161" i="162"/>
  <c r="I161" i="162"/>
  <c r="H161" i="162"/>
  <c r="G161" i="162"/>
  <c r="F161" i="162"/>
  <c r="E161" i="162"/>
  <c r="D161" i="162"/>
  <c r="C161" i="162"/>
  <c r="B161" i="162"/>
  <c r="N160" i="162"/>
  <c r="M160" i="162"/>
  <c r="L160" i="162"/>
  <c r="K160" i="162"/>
  <c r="J160" i="162"/>
  <c r="I160" i="162"/>
  <c r="H160" i="162"/>
  <c r="G160" i="162"/>
  <c r="F160" i="162"/>
  <c r="E160" i="162"/>
  <c r="D160" i="162"/>
  <c r="C160" i="162"/>
  <c r="B160" i="162"/>
  <c r="N156" i="162"/>
  <c r="M156" i="162"/>
  <c r="L156" i="162"/>
  <c r="K156" i="162"/>
  <c r="J156" i="162"/>
  <c r="I156" i="162"/>
  <c r="H156" i="162"/>
  <c r="G156" i="162"/>
  <c r="F156" i="162"/>
  <c r="E156" i="162"/>
  <c r="D156" i="162"/>
  <c r="C156" i="162"/>
  <c r="A156" i="162"/>
  <c r="N155" i="162"/>
  <c r="M155" i="162"/>
  <c r="L155" i="162"/>
  <c r="K155" i="162"/>
  <c r="J155" i="162"/>
  <c r="I155" i="162"/>
  <c r="H155" i="162"/>
  <c r="G155" i="162"/>
  <c r="F155" i="162"/>
  <c r="E155" i="162"/>
  <c r="D155" i="162"/>
  <c r="C155" i="162"/>
  <c r="B155" i="162"/>
  <c r="N154" i="162"/>
  <c r="M154" i="162"/>
  <c r="L154" i="162"/>
  <c r="K154" i="162"/>
  <c r="J154" i="162"/>
  <c r="I154" i="162"/>
  <c r="H154" i="162"/>
  <c r="G154" i="162"/>
  <c r="F154" i="162"/>
  <c r="E154" i="162"/>
  <c r="D154" i="162"/>
  <c r="C154" i="162"/>
  <c r="B154" i="162"/>
  <c r="N153" i="162"/>
  <c r="M153" i="162"/>
  <c r="L153" i="162"/>
  <c r="K153" i="162"/>
  <c r="J153" i="162"/>
  <c r="I153" i="162"/>
  <c r="H153" i="162"/>
  <c r="G153" i="162"/>
  <c r="F153" i="162"/>
  <c r="E153" i="162"/>
  <c r="D153" i="162"/>
  <c r="C153" i="162"/>
  <c r="B153" i="162"/>
  <c r="N152" i="162"/>
  <c r="M152" i="162"/>
  <c r="L152" i="162"/>
  <c r="K152" i="162"/>
  <c r="J152" i="162"/>
  <c r="I152" i="162"/>
  <c r="H152" i="162"/>
  <c r="G152" i="162"/>
  <c r="F152" i="162"/>
  <c r="E152" i="162"/>
  <c r="D152" i="162"/>
  <c r="C152" i="162"/>
  <c r="B152" i="162"/>
  <c r="N151" i="162"/>
  <c r="M151" i="162"/>
  <c r="L151" i="162"/>
  <c r="K151" i="162"/>
  <c r="J151" i="162"/>
  <c r="I151" i="162"/>
  <c r="H151" i="162"/>
  <c r="G151" i="162"/>
  <c r="F151" i="162"/>
  <c r="E151" i="162"/>
  <c r="D151" i="162"/>
  <c r="C151" i="162"/>
  <c r="B151" i="162"/>
  <c r="N150" i="162"/>
  <c r="M150" i="162"/>
  <c r="L150" i="162"/>
  <c r="K150" i="162"/>
  <c r="J150" i="162"/>
  <c r="I150" i="162"/>
  <c r="H150" i="162"/>
  <c r="G150" i="162"/>
  <c r="F150" i="162"/>
  <c r="E150" i="162"/>
  <c r="D150" i="162"/>
  <c r="C150" i="162"/>
  <c r="B150" i="162"/>
  <c r="N149" i="162"/>
  <c r="M149" i="162"/>
  <c r="L149" i="162"/>
  <c r="K149" i="162"/>
  <c r="J149" i="162"/>
  <c r="I149" i="162"/>
  <c r="H149" i="162"/>
  <c r="G149" i="162"/>
  <c r="F149" i="162"/>
  <c r="E149" i="162"/>
  <c r="D149" i="162"/>
  <c r="C149" i="162"/>
  <c r="B149" i="162"/>
  <c r="N148" i="162"/>
  <c r="M148" i="162"/>
  <c r="L148" i="162"/>
  <c r="K148" i="162"/>
  <c r="J148" i="162"/>
  <c r="I148" i="162"/>
  <c r="H148" i="162"/>
  <c r="G148" i="162"/>
  <c r="F148" i="162"/>
  <c r="E148" i="162"/>
  <c r="D148" i="162"/>
  <c r="C148" i="162"/>
  <c r="B148" i="162"/>
  <c r="N147" i="162"/>
  <c r="M147" i="162"/>
  <c r="L147" i="162"/>
  <c r="K147" i="162"/>
  <c r="J147" i="162"/>
  <c r="I147" i="162"/>
  <c r="H147" i="162"/>
  <c r="G147" i="162"/>
  <c r="F147" i="162"/>
  <c r="E147" i="162"/>
  <c r="D147" i="162"/>
  <c r="C147" i="162"/>
  <c r="B147" i="162"/>
  <c r="N146" i="162"/>
  <c r="M146" i="162"/>
  <c r="L146" i="162"/>
  <c r="K146" i="162"/>
  <c r="J146" i="162"/>
  <c r="I146" i="162"/>
  <c r="H146" i="162"/>
  <c r="G146" i="162"/>
  <c r="F146" i="162"/>
  <c r="E146" i="162"/>
  <c r="D146" i="162"/>
  <c r="C146" i="162"/>
  <c r="B146" i="162"/>
  <c r="N145" i="162"/>
  <c r="M145" i="162"/>
  <c r="L145" i="162"/>
  <c r="K145" i="162"/>
  <c r="J145" i="162"/>
  <c r="I145" i="162"/>
  <c r="H145" i="162"/>
  <c r="G145" i="162"/>
  <c r="F145" i="162"/>
  <c r="E145" i="162"/>
  <c r="D145" i="162"/>
  <c r="C145" i="162"/>
  <c r="B145" i="162"/>
  <c r="N144" i="162"/>
  <c r="M144" i="162"/>
  <c r="L144" i="162"/>
  <c r="K144" i="162"/>
  <c r="J144" i="162"/>
  <c r="I144" i="162"/>
  <c r="H144" i="162"/>
  <c r="G144" i="162"/>
  <c r="F144" i="162"/>
  <c r="E144" i="162"/>
  <c r="D144" i="162"/>
  <c r="C144" i="162"/>
  <c r="B144" i="162"/>
  <c r="N138" i="162"/>
  <c r="M138" i="162"/>
  <c r="L138" i="162"/>
  <c r="K138" i="162"/>
  <c r="J138" i="162"/>
  <c r="I138" i="162"/>
  <c r="H138" i="162"/>
  <c r="G138" i="162"/>
  <c r="F138" i="162"/>
  <c r="E138" i="162"/>
  <c r="D138" i="162"/>
  <c r="C138" i="162"/>
  <c r="A138" i="162"/>
  <c r="N137" i="162"/>
  <c r="M137" i="162"/>
  <c r="L137" i="162"/>
  <c r="K137" i="162"/>
  <c r="J137" i="162"/>
  <c r="I137" i="162"/>
  <c r="H137" i="162"/>
  <c r="G137" i="162"/>
  <c r="F137" i="162"/>
  <c r="E137" i="162"/>
  <c r="D137" i="162"/>
  <c r="C137" i="162"/>
  <c r="B137" i="162"/>
  <c r="N136" i="162"/>
  <c r="M136" i="162"/>
  <c r="L136" i="162"/>
  <c r="K136" i="162"/>
  <c r="J136" i="162"/>
  <c r="I136" i="162"/>
  <c r="H136" i="162"/>
  <c r="G136" i="162"/>
  <c r="F136" i="162"/>
  <c r="E136" i="162"/>
  <c r="D136" i="162"/>
  <c r="C136" i="162"/>
  <c r="B136" i="162"/>
  <c r="N135" i="162"/>
  <c r="M135" i="162"/>
  <c r="L135" i="162"/>
  <c r="K135" i="162"/>
  <c r="J135" i="162"/>
  <c r="I135" i="162"/>
  <c r="H135" i="162"/>
  <c r="G135" i="162"/>
  <c r="F135" i="162"/>
  <c r="E135" i="162"/>
  <c r="D135" i="162"/>
  <c r="C135" i="162"/>
  <c r="B135" i="162"/>
  <c r="N134" i="162"/>
  <c r="M134" i="162"/>
  <c r="L134" i="162"/>
  <c r="K134" i="162"/>
  <c r="J134" i="162"/>
  <c r="I134" i="162"/>
  <c r="H134" i="162"/>
  <c r="G134" i="162"/>
  <c r="F134" i="162"/>
  <c r="E134" i="162"/>
  <c r="D134" i="162"/>
  <c r="C134" i="162"/>
  <c r="B134" i="162"/>
  <c r="N133" i="162"/>
  <c r="M133" i="162"/>
  <c r="L133" i="162"/>
  <c r="K133" i="162"/>
  <c r="J133" i="162"/>
  <c r="I133" i="162"/>
  <c r="H133" i="162"/>
  <c r="G133" i="162"/>
  <c r="F133" i="162"/>
  <c r="E133" i="162"/>
  <c r="D133" i="162"/>
  <c r="C133" i="162"/>
  <c r="B133" i="162"/>
  <c r="N132" i="162"/>
  <c r="M132" i="162"/>
  <c r="L132" i="162"/>
  <c r="K132" i="162"/>
  <c r="J132" i="162"/>
  <c r="I132" i="162"/>
  <c r="H132" i="162"/>
  <c r="G132" i="162"/>
  <c r="F132" i="162"/>
  <c r="E132" i="162"/>
  <c r="D132" i="162"/>
  <c r="C132" i="162"/>
  <c r="B132" i="162"/>
  <c r="N131" i="162"/>
  <c r="M131" i="162"/>
  <c r="L131" i="162"/>
  <c r="K131" i="162"/>
  <c r="J131" i="162"/>
  <c r="I131" i="162"/>
  <c r="H131" i="162"/>
  <c r="G131" i="162"/>
  <c r="F131" i="162"/>
  <c r="E131" i="162"/>
  <c r="D131" i="162"/>
  <c r="C131" i="162"/>
  <c r="B131" i="162"/>
  <c r="N130" i="162"/>
  <c r="M130" i="162"/>
  <c r="L130" i="162"/>
  <c r="K130" i="162"/>
  <c r="J130" i="162"/>
  <c r="I130" i="162"/>
  <c r="H130" i="162"/>
  <c r="G130" i="162"/>
  <c r="F130" i="162"/>
  <c r="E130" i="162"/>
  <c r="D130" i="162"/>
  <c r="C130" i="162"/>
  <c r="B130" i="162"/>
  <c r="N129" i="162"/>
  <c r="M129" i="162"/>
  <c r="L129" i="162"/>
  <c r="K129" i="162"/>
  <c r="J129" i="162"/>
  <c r="I129" i="162"/>
  <c r="H129" i="162"/>
  <c r="G129" i="162"/>
  <c r="F129" i="162"/>
  <c r="E129" i="162"/>
  <c r="D129" i="162"/>
  <c r="C129" i="162"/>
  <c r="B129" i="162"/>
  <c r="N128" i="162"/>
  <c r="M128" i="162"/>
  <c r="L128" i="162"/>
  <c r="K128" i="162"/>
  <c r="J128" i="162"/>
  <c r="I128" i="162"/>
  <c r="H128" i="162"/>
  <c r="G128" i="162"/>
  <c r="F128" i="162"/>
  <c r="E128" i="162"/>
  <c r="D128" i="162"/>
  <c r="C128" i="162"/>
  <c r="B128" i="162"/>
  <c r="N127" i="162"/>
  <c r="M127" i="162"/>
  <c r="L127" i="162"/>
  <c r="K127" i="162"/>
  <c r="J127" i="162"/>
  <c r="I127" i="162"/>
  <c r="H127" i="162"/>
  <c r="G127" i="162"/>
  <c r="F127" i="162"/>
  <c r="E127" i="162"/>
  <c r="D127" i="162"/>
  <c r="C127" i="162"/>
  <c r="B127" i="162"/>
  <c r="N126" i="162"/>
  <c r="M126" i="162"/>
  <c r="L126" i="162"/>
  <c r="K126" i="162"/>
  <c r="J126" i="162"/>
  <c r="I126" i="162"/>
  <c r="H126" i="162"/>
  <c r="G126" i="162"/>
  <c r="F126" i="162"/>
  <c r="E126" i="162"/>
  <c r="D126" i="162"/>
  <c r="C126" i="162"/>
  <c r="B126" i="162"/>
  <c r="N122" i="162"/>
  <c r="M122" i="162"/>
  <c r="L122" i="162"/>
  <c r="K122" i="162"/>
  <c r="J122" i="162"/>
  <c r="I122" i="162"/>
  <c r="H122" i="162"/>
  <c r="G122" i="162"/>
  <c r="F122" i="162"/>
  <c r="E122" i="162"/>
  <c r="D122" i="162"/>
  <c r="C122" i="162"/>
  <c r="A122" i="162"/>
  <c r="N121" i="162"/>
  <c r="M121" i="162"/>
  <c r="L121" i="162"/>
  <c r="K121" i="162"/>
  <c r="J121" i="162"/>
  <c r="I121" i="162"/>
  <c r="H121" i="162"/>
  <c r="G121" i="162"/>
  <c r="F121" i="162"/>
  <c r="E121" i="162"/>
  <c r="D121" i="162"/>
  <c r="C121" i="162"/>
  <c r="B121" i="162"/>
  <c r="N120" i="162"/>
  <c r="M120" i="162"/>
  <c r="L120" i="162"/>
  <c r="K120" i="162"/>
  <c r="J120" i="162"/>
  <c r="I120" i="162"/>
  <c r="H120" i="162"/>
  <c r="G120" i="162"/>
  <c r="F120" i="162"/>
  <c r="E120" i="162"/>
  <c r="D120" i="162"/>
  <c r="C120" i="162"/>
  <c r="B120" i="162"/>
  <c r="N119" i="162"/>
  <c r="M119" i="162"/>
  <c r="L119" i="162"/>
  <c r="K119" i="162"/>
  <c r="J119" i="162"/>
  <c r="I119" i="162"/>
  <c r="H119" i="162"/>
  <c r="G119" i="162"/>
  <c r="F119" i="162"/>
  <c r="E119" i="162"/>
  <c r="D119" i="162"/>
  <c r="C119" i="162"/>
  <c r="B119" i="162"/>
  <c r="N118" i="162"/>
  <c r="M118" i="162"/>
  <c r="L118" i="162"/>
  <c r="K118" i="162"/>
  <c r="J118" i="162"/>
  <c r="I118" i="162"/>
  <c r="H118" i="162"/>
  <c r="G118" i="162"/>
  <c r="F118" i="162"/>
  <c r="E118" i="162"/>
  <c r="D118" i="162"/>
  <c r="C118" i="162"/>
  <c r="B118" i="162"/>
  <c r="N117" i="162"/>
  <c r="M117" i="162"/>
  <c r="L117" i="162"/>
  <c r="K117" i="162"/>
  <c r="J117" i="162"/>
  <c r="I117" i="162"/>
  <c r="H117" i="162"/>
  <c r="G117" i="162"/>
  <c r="F117" i="162"/>
  <c r="E117" i="162"/>
  <c r="D117" i="162"/>
  <c r="C117" i="162"/>
  <c r="B117" i="162"/>
  <c r="N116" i="162"/>
  <c r="M116" i="162"/>
  <c r="L116" i="162"/>
  <c r="K116" i="162"/>
  <c r="J116" i="162"/>
  <c r="I116" i="162"/>
  <c r="H116" i="162"/>
  <c r="G116" i="162"/>
  <c r="F116" i="162"/>
  <c r="E116" i="162"/>
  <c r="D116" i="162"/>
  <c r="C116" i="162"/>
  <c r="B116" i="162"/>
  <c r="N115" i="162"/>
  <c r="M115" i="162"/>
  <c r="L115" i="162"/>
  <c r="K115" i="162"/>
  <c r="J115" i="162"/>
  <c r="I115" i="162"/>
  <c r="H115" i="162"/>
  <c r="G115" i="162"/>
  <c r="F115" i="162"/>
  <c r="E115" i="162"/>
  <c r="D115" i="162"/>
  <c r="C115" i="162"/>
  <c r="B115" i="162"/>
  <c r="N114" i="162"/>
  <c r="M114" i="162"/>
  <c r="L114" i="162"/>
  <c r="K114" i="162"/>
  <c r="J114" i="162"/>
  <c r="I114" i="162"/>
  <c r="H114" i="162"/>
  <c r="G114" i="162"/>
  <c r="F114" i="162"/>
  <c r="E114" i="162"/>
  <c r="D114" i="162"/>
  <c r="C114" i="162"/>
  <c r="B114" i="162"/>
  <c r="N113" i="162"/>
  <c r="M113" i="162"/>
  <c r="L113" i="162"/>
  <c r="K113" i="162"/>
  <c r="J113" i="162"/>
  <c r="I113" i="162"/>
  <c r="H113" i="162"/>
  <c r="G113" i="162"/>
  <c r="F113" i="162"/>
  <c r="E113" i="162"/>
  <c r="D113" i="162"/>
  <c r="C113" i="162"/>
  <c r="B113" i="162"/>
  <c r="N112" i="162"/>
  <c r="M112" i="162"/>
  <c r="L112" i="162"/>
  <c r="K112" i="162"/>
  <c r="J112" i="162"/>
  <c r="I112" i="162"/>
  <c r="H112" i="162"/>
  <c r="G112" i="162"/>
  <c r="F112" i="162"/>
  <c r="E112" i="162"/>
  <c r="D112" i="162"/>
  <c r="C112" i="162"/>
  <c r="B112" i="162"/>
  <c r="N111" i="162"/>
  <c r="M111" i="162"/>
  <c r="L111" i="162"/>
  <c r="K111" i="162"/>
  <c r="J111" i="162"/>
  <c r="I111" i="162"/>
  <c r="H111" i="162"/>
  <c r="G111" i="162"/>
  <c r="F111" i="162"/>
  <c r="E111" i="162"/>
  <c r="D111" i="162"/>
  <c r="C111" i="162"/>
  <c r="B111" i="162"/>
  <c r="N110" i="162"/>
  <c r="M110" i="162"/>
  <c r="L110" i="162"/>
  <c r="K110" i="162"/>
  <c r="J110" i="162"/>
  <c r="I110" i="162"/>
  <c r="H110" i="162"/>
  <c r="G110" i="162"/>
  <c r="F110" i="162"/>
  <c r="E110" i="162"/>
  <c r="D110" i="162"/>
  <c r="C110" i="162"/>
  <c r="B110" i="162"/>
  <c r="N104" i="162"/>
  <c r="M104" i="162"/>
  <c r="L104" i="162"/>
  <c r="K104" i="162"/>
  <c r="J104" i="162"/>
  <c r="I104" i="162"/>
  <c r="H104" i="162"/>
  <c r="G104" i="162"/>
  <c r="F104" i="162"/>
  <c r="E104" i="162"/>
  <c r="D104" i="162"/>
  <c r="C104" i="162"/>
  <c r="A104" i="162"/>
  <c r="N103" i="162"/>
  <c r="M103" i="162"/>
  <c r="L103" i="162"/>
  <c r="K103" i="162"/>
  <c r="J103" i="162"/>
  <c r="I103" i="162"/>
  <c r="H103" i="162"/>
  <c r="G103" i="162"/>
  <c r="F103" i="162"/>
  <c r="E103" i="162"/>
  <c r="D103" i="162"/>
  <c r="C103" i="162"/>
  <c r="B103" i="162"/>
  <c r="N102" i="162"/>
  <c r="M102" i="162"/>
  <c r="L102" i="162"/>
  <c r="K102" i="162"/>
  <c r="J102" i="162"/>
  <c r="I102" i="162"/>
  <c r="H102" i="162"/>
  <c r="G102" i="162"/>
  <c r="F102" i="162"/>
  <c r="E102" i="162"/>
  <c r="D102" i="162"/>
  <c r="C102" i="162"/>
  <c r="B102" i="162"/>
  <c r="N101" i="162"/>
  <c r="M101" i="162"/>
  <c r="L101" i="162"/>
  <c r="K101" i="162"/>
  <c r="J101" i="162"/>
  <c r="I101" i="162"/>
  <c r="H101" i="162"/>
  <c r="G101" i="162"/>
  <c r="F101" i="162"/>
  <c r="E101" i="162"/>
  <c r="D101" i="162"/>
  <c r="C101" i="162"/>
  <c r="B101" i="162"/>
  <c r="N100" i="162"/>
  <c r="M100" i="162"/>
  <c r="L100" i="162"/>
  <c r="K100" i="162"/>
  <c r="J100" i="162"/>
  <c r="I100" i="162"/>
  <c r="H100" i="162"/>
  <c r="G100" i="162"/>
  <c r="F100" i="162"/>
  <c r="E100" i="162"/>
  <c r="D100" i="162"/>
  <c r="C100" i="162"/>
  <c r="B100" i="162"/>
  <c r="N99" i="162"/>
  <c r="M99" i="162"/>
  <c r="L99" i="162"/>
  <c r="K99" i="162"/>
  <c r="J99" i="162"/>
  <c r="I99" i="162"/>
  <c r="H99" i="162"/>
  <c r="G99" i="162"/>
  <c r="F99" i="162"/>
  <c r="E99" i="162"/>
  <c r="D99" i="162"/>
  <c r="C99" i="162"/>
  <c r="B99" i="162"/>
  <c r="N98" i="162"/>
  <c r="M98" i="162"/>
  <c r="L98" i="162"/>
  <c r="K98" i="162"/>
  <c r="J98" i="162"/>
  <c r="I98" i="162"/>
  <c r="H98" i="162"/>
  <c r="G98" i="162"/>
  <c r="F98" i="162"/>
  <c r="E98" i="162"/>
  <c r="D98" i="162"/>
  <c r="C98" i="162"/>
  <c r="B98" i="162"/>
  <c r="N97" i="162"/>
  <c r="M97" i="162"/>
  <c r="L97" i="162"/>
  <c r="K97" i="162"/>
  <c r="J97" i="162"/>
  <c r="I97" i="162"/>
  <c r="H97" i="162"/>
  <c r="G97" i="162"/>
  <c r="F97" i="162"/>
  <c r="E97" i="162"/>
  <c r="D97" i="162"/>
  <c r="C97" i="162"/>
  <c r="B97" i="162"/>
  <c r="N96" i="162"/>
  <c r="M96" i="162"/>
  <c r="L96" i="162"/>
  <c r="K96" i="162"/>
  <c r="J96" i="162"/>
  <c r="I96" i="162"/>
  <c r="H96" i="162"/>
  <c r="G96" i="162"/>
  <c r="F96" i="162"/>
  <c r="E96" i="162"/>
  <c r="D96" i="162"/>
  <c r="C96" i="162"/>
  <c r="B96" i="162"/>
  <c r="N95" i="162"/>
  <c r="M95" i="162"/>
  <c r="L95" i="162"/>
  <c r="K95" i="162"/>
  <c r="J95" i="162"/>
  <c r="I95" i="162"/>
  <c r="H95" i="162"/>
  <c r="G95" i="162"/>
  <c r="F95" i="162"/>
  <c r="E95" i="162"/>
  <c r="D95" i="162"/>
  <c r="C95" i="162"/>
  <c r="B95" i="162"/>
  <c r="N94" i="162"/>
  <c r="M94" i="162"/>
  <c r="L94" i="162"/>
  <c r="K94" i="162"/>
  <c r="J94" i="162"/>
  <c r="I94" i="162"/>
  <c r="H94" i="162"/>
  <c r="G94" i="162"/>
  <c r="F94" i="162"/>
  <c r="E94" i="162"/>
  <c r="D94" i="162"/>
  <c r="C94" i="162"/>
  <c r="B94" i="162"/>
  <c r="N93" i="162"/>
  <c r="M93" i="162"/>
  <c r="L93" i="162"/>
  <c r="K93" i="162"/>
  <c r="J93" i="162"/>
  <c r="I93" i="162"/>
  <c r="H93" i="162"/>
  <c r="G93" i="162"/>
  <c r="F93" i="162"/>
  <c r="E93" i="162"/>
  <c r="D93" i="162"/>
  <c r="C93" i="162"/>
  <c r="B93" i="162"/>
  <c r="N92" i="162"/>
  <c r="M92" i="162"/>
  <c r="L92" i="162"/>
  <c r="K92" i="162"/>
  <c r="J92" i="162"/>
  <c r="I92" i="162"/>
  <c r="H92" i="162"/>
  <c r="G92" i="162"/>
  <c r="F92" i="162"/>
  <c r="E92" i="162"/>
  <c r="D92" i="162"/>
  <c r="C92" i="162"/>
  <c r="B92" i="162"/>
  <c r="N88" i="162"/>
  <c r="M88" i="162"/>
  <c r="L88" i="162"/>
  <c r="K88" i="162"/>
  <c r="J88" i="162"/>
  <c r="I88" i="162"/>
  <c r="H88" i="162"/>
  <c r="G88" i="162"/>
  <c r="F88" i="162"/>
  <c r="E88" i="162"/>
  <c r="D88" i="162"/>
  <c r="C88" i="162"/>
  <c r="A88" i="162"/>
  <c r="N87" i="162"/>
  <c r="M87" i="162"/>
  <c r="L87" i="162"/>
  <c r="K87" i="162"/>
  <c r="J87" i="162"/>
  <c r="I87" i="162"/>
  <c r="H87" i="162"/>
  <c r="G87" i="162"/>
  <c r="F87" i="162"/>
  <c r="E87" i="162"/>
  <c r="D87" i="162"/>
  <c r="C87" i="162"/>
  <c r="B87" i="162"/>
  <c r="N86" i="162"/>
  <c r="M86" i="162"/>
  <c r="L86" i="162"/>
  <c r="K86" i="162"/>
  <c r="J86" i="162"/>
  <c r="I86" i="162"/>
  <c r="H86" i="162"/>
  <c r="G86" i="162"/>
  <c r="F86" i="162"/>
  <c r="E86" i="162"/>
  <c r="D86" i="162"/>
  <c r="C86" i="162"/>
  <c r="B86" i="162"/>
  <c r="N85" i="162"/>
  <c r="M85" i="162"/>
  <c r="L85" i="162"/>
  <c r="K85" i="162"/>
  <c r="J85" i="162"/>
  <c r="I85" i="162"/>
  <c r="H85" i="162"/>
  <c r="G85" i="162"/>
  <c r="F85" i="162"/>
  <c r="E85" i="162"/>
  <c r="D85" i="162"/>
  <c r="C85" i="162"/>
  <c r="B85" i="162"/>
  <c r="N84" i="162"/>
  <c r="M84" i="162"/>
  <c r="L84" i="162"/>
  <c r="K84" i="162"/>
  <c r="J84" i="162"/>
  <c r="I84" i="162"/>
  <c r="H84" i="162"/>
  <c r="G84" i="162"/>
  <c r="F84" i="162"/>
  <c r="E84" i="162"/>
  <c r="D84" i="162"/>
  <c r="C84" i="162"/>
  <c r="B84" i="162"/>
  <c r="N83" i="162"/>
  <c r="M83" i="162"/>
  <c r="L83" i="162"/>
  <c r="K83" i="162"/>
  <c r="J83" i="162"/>
  <c r="I83" i="162"/>
  <c r="H83" i="162"/>
  <c r="G83" i="162"/>
  <c r="F83" i="162"/>
  <c r="E83" i="162"/>
  <c r="D83" i="162"/>
  <c r="C83" i="162"/>
  <c r="B83" i="162"/>
  <c r="N82" i="162"/>
  <c r="M82" i="162"/>
  <c r="L82" i="162"/>
  <c r="K82" i="162"/>
  <c r="J82" i="162"/>
  <c r="I82" i="162"/>
  <c r="H82" i="162"/>
  <c r="G82" i="162"/>
  <c r="F82" i="162"/>
  <c r="E82" i="162"/>
  <c r="D82" i="162"/>
  <c r="C82" i="162"/>
  <c r="B82" i="162"/>
  <c r="N81" i="162"/>
  <c r="M81" i="162"/>
  <c r="L81" i="162"/>
  <c r="K81" i="162"/>
  <c r="J81" i="162"/>
  <c r="I81" i="162"/>
  <c r="H81" i="162"/>
  <c r="G81" i="162"/>
  <c r="F81" i="162"/>
  <c r="E81" i="162"/>
  <c r="D81" i="162"/>
  <c r="C81" i="162"/>
  <c r="B81" i="162"/>
  <c r="N80" i="162"/>
  <c r="M80" i="162"/>
  <c r="L80" i="162"/>
  <c r="K80" i="162"/>
  <c r="J80" i="162"/>
  <c r="I80" i="162"/>
  <c r="H80" i="162"/>
  <c r="G80" i="162"/>
  <c r="F80" i="162"/>
  <c r="E80" i="162"/>
  <c r="D80" i="162"/>
  <c r="C80" i="162"/>
  <c r="B80" i="162"/>
  <c r="N79" i="162"/>
  <c r="M79" i="162"/>
  <c r="L79" i="162"/>
  <c r="K79" i="162"/>
  <c r="J79" i="162"/>
  <c r="I79" i="162"/>
  <c r="H79" i="162"/>
  <c r="G79" i="162"/>
  <c r="F79" i="162"/>
  <c r="E79" i="162"/>
  <c r="D79" i="162"/>
  <c r="C79" i="162"/>
  <c r="B79" i="162"/>
  <c r="N78" i="162"/>
  <c r="M78" i="162"/>
  <c r="L78" i="162"/>
  <c r="K78" i="162"/>
  <c r="J78" i="162"/>
  <c r="I78" i="162"/>
  <c r="H78" i="162"/>
  <c r="G78" i="162"/>
  <c r="F78" i="162"/>
  <c r="E78" i="162"/>
  <c r="D78" i="162"/>
  <c r="C78" i="162"/>
  <c r="B78" i="162"/>
  <c r="N77" i="162"/>
  <c r="M77" i="162"/>
  <c r="L77" i="162"/>
  <c r="K77" i="162"/>
  <c r="J77" i="162"/>
  <c r="I77" i="162"/>
  <c r="H77" i="162"/>
  <c r="G77" i="162"/>
  <c r="F77" i="162"/>
  <c r="E77" i="162"/>
  <c r="D77" i="162"/>
  <c r="C77" i="162"/>
  <c r="B77" i="162"/>
  <c r="N76" i="162"/>
  <c r="M76" i="162"/>
  <c r="L76" i="162"/>
  <c r="K76" i="162"/>
  <c r="J76" i="162"/>
  <c r="I76" i="162"/>
  <c r="H76" i="162"/>
  <c r="G76" i="162"/>
  <c r="F76" i="162"/>
  <c r="E76" i="162"/>
  <c r="D76" i="162"/>
  <c r="C76" i="162"/>
  <c r="B76" i="162"/>
  <c r="N70" i="162"/>
  <c r="M70" i="162"/>
  <c r="L70" i="162"/>
  <c r="K70" i="162"/>
  <c r="J70" i="162"/>
  <c r="I70" i="162"/>
  <c r="H70" i="162"/>
  <c r="G70" i="162"/>
  <c r="F70" i="162"/>
  <c r="E70" i="162"/>
  <c r="D70" i="162"/>
  <c r="C70" i="162"/>
  <c r="A70" i="162"/>
  <c r="N69" i="162"/>
  <c r="M69" i="162"/>
  <c r="L69" i="162"/>
  <c r="K69" i="162"/>
  <c r="J69" i="162"/>
  <c r="I69" i="162"/>
  <c r="H69" i="162"/>
  <c r="G69" i="162"/>
  <c r="F69" i="162"/>
  <c r="E69" i="162"/>
  <c r="D69" i="162"/>
  <c r="C69" i="162"/>
  <c r="B69" i="162"/>
  <c r="N68" i="162"/>
  <c r="M68" i="162"/>
  <c r="L68" i="162"/>
  <c r="K68" i="162"/>
  <c r="J68" i="162"/>
  <c r="I68" i="162"/>
  <c r="H68" i="162"/>
  <c r="G68" i="162"/>
  <c r="F68" i="162"/>
  <c r="E68" i="162"/>
  <c r="D68" i="162"/>
  <c r="C68" i="162"/>
  <c r="B68" i="162"/>
  <c r="N67" i="162"/>
  <c r="M67" i="162"/>
  <c r="L67" i="162"/>
  <c r="K67" i="162"/>
  <c r="J67" i="162"/>
  <c r="I67" i="162"/>
  <c r="H67" i="162"/>
  <c r="G67" i="162"/>
  <c r="F67" i="162"/>
  <c r="E67" i="162"/>
  <c r="D67" i="162"/>
  <c r="C67" i="162"/>
  <c r="B67" i="162"/>
  <c r="N66" i="162"/>
  <c r="M66" i="162"/>
  <c r="L66" i="162"/>
  <c r="K66" i="162"/>
  <c r="J66" i="162"/>
  <c r="I66" i="162"/>
  <c r="H66" i="162"/>
  <c r="G66" i="162"/>
  <c r="F66" i="162"/>
  <c r="E66" i="162"/>
  <c r="D66" i="162"/>
  <c r="C66" i="162"/>
  <c r="B66" i="162"/>
  <c r="N65" i="162"/>
  <c r="M65" i="162"/>
  <c r="L65" i="162"/>
  <c r="K65" i="162"/>
  <c r="J65" i="162"/>
  <c r="I65" i="162"/>
  <c r="H65" i="162"/>
  <c r="G65" i="162"/>
  <c r="F65" i="162"/>
  <c r="E65" i="162"/>
  <c r="D65" i="162"/>
  <c r="C65" i="162"/>
  <c r="B65" i="162"/>
  <c r="N64" i="162"/>
  <c r="M64" i="162"/>
  <c r="L64" i="162"/>
  <c r="K64" i="162"/>
  <c r="J64" i="162"/>
  <c r="I64" i="162"/>
  <c r="H64" i="162"/>
  <c r="G64" i="162"/>
  <c r="F64" i="162"/>
  <c r="E64" i="162"/>
  <c r="D64" i="162"/>
  <c r="C64" i="162"/>
  <c r="B64" i="162"/>
  <c r="N63" i="162"/>
  <c r="M63" i="162"/>
  <c r="L63" i="162"/>
  <c r="K63" i="162"/>
  <c r="J63" i="162"/>
  <c r="I63" i="162"/>
  <c r="H63" i="162"/>
  <c r="G63" i="162"/>
  <c r="F63" i="162"/>
  <c r="E63" i="162"/>
  <c r="D63" i="162"/>
  <c r="C63" i="162"/>
  <c r="B63" i="162"/>
  <c r="N62" i="162"/>
  <c r="M62" i="162"/>
  <c r="L62" i="162"/>
  <c r="K62" i="162"/>
  <c r="J62" i="162"/>
  <c r="I62" i="162"/>
  <c r="H62" i="162"/>
  <c r="G62" i="162"/>
  <c r="F62" i="162"/>
  <c r="E62" i="162"/>
  <c r="D62" i="162"/>
  <c r="C62" i="162"/>
  <c r="B62" i="162"/>
  <c r="N61" i="162"/>
  <c r="M61" i="162"/>
  <c r="L61" i="162"/>
  <c r="K61" i="162"/>
  <c r="J61" i="162"/>
  <c r="I61" i="162"/>
  <c r="H61" i="162"/>
  <c r="G61" i="162"/>
  <c r="F61" i="162"/>
  <c r="E61" i="162"/>
  <c r="D61" i="162"/>
  <c r="C61" i="162"/>
  <c r="B61" i="162"/>
  <c r="N60" i="162"/>
  <c r="M60" i="162"/>
  <c r="L60" i="162"/>
  <c r="K60" i="162"/>
  <c r="J60" i="162"/>
  <c r="I60" i="162"/>
  <c r="H60" i="162"/>
  <c r="G60" i="162"/>
  <c r="F60" i="162"/>
  <c r="E60" i="162"/>
  <c r="D60" i="162"/>
  <c r="C60" i="162"/>
  <c r="B60" i="162"/>
  <c r="N59" i="162"/>
  <c r="M59" i="162"/>
  <c r="L59" i="162"/>
  <c r="K59" i="162"/>
  <c r="J59" i="162"/>
  <c r="I59" i="162"/>
  <c r="H59" i="162"/>
  <c r="G59" i="162"/>
  <c r="F59" i="162"/>
  <c r="E59" i="162"/>
  <c r="D59" i="162"/>
  <c r="C59" i="162"/>
  <c r="B59" i="162"/>
  <c r="N58" i="162"/>
  <c r="M58" i="162"/>
  <c r="L58" i="162"/>
  <c r="K58" i="162"/>
  <c r="J58" i="162"/>
  <c r="I58" i="162"/>
  <c r="H58" i="162"/>
  <c r="G58" i="162"/>
  <c r="F58" i="162"/>
  <c r="E58" i="162"/>
  <c r="D58" i="162"/>
  <c r="C58" i="162"/>
  <c r="B58" i="162"/>
  <c r="N54" i="162"/>
  <c r="M54" i="162"/>
  <c r="L54" i="162"/>
  <c r="K54" i="162"/>
  <c r="J54" i="162"/>
  <c r="I54" i="162"/>
  <c r="H54" i="162"/>
  <c r="G54" i="162"/>
  <c r="F54" i="162"/>
  <c r="E54" i="162"/>
  <c r="D54" i="162"/>
  <c r="C54" i="162"/>
  <c r="A54" i="162"/>
  <c r="N53" i="162"/>
  <c r="M53" i="162"/>
  <c r="L53" i="162"/>
  <c r="K53" i="162"/>
  <c r="J53" i="162"/>
  <c r="I53" i="162"/>
  <c r="H53" i="162"/>
  <c r="G53" i="162"/>
  <c r="F53" i="162"/>
  <c r="E53" i="162"/>
  <c r="D53" i="162"/>
  <c r="C53" i="162"/>
  <c r="B53" i="162"/>
  <c r="N52" i="162"/>
  <c r="M52" i="162"/>
  <c r="L52" i="162"/>
  <c r="K52" i="162"/>
  <c r="J52" i="162"/>
  <c r="I52" i="162"/>
  <c r="H52" i="162"/>
  <c r="G52" i="162"/>
  <c r="F52" i="162"/>
  <c r="E52" i="162"/>
  <c r="D52" i="162"/>
  <c r="C52" i="162"/>
  <c r="B52" i="162"/>
  <c r="N51" i="162"/>
  <c r="M51" i="162"/>
  <c r="L51" i="162"/>
  <c r="K51" i="162"/>
  <c r="J51" i="162"/>
  <c r="I51" i="162"/>
  <c r="H51" i="162"/>
  <c r="G51" i="162"/>
  <c r="F51" i="162"/>
  <c r="E51" i="162"/>
  <c r="D51" i="162"/>
  <c r="C51" i="162"/>
  <c r="B51" i="162"/>
  <c r="N50" i="162"/>
  <c r="M50" i="162"/>
  <c r="L50" i="162"/>
  <c r="K50" i="162"/>
  <c r="J50" i="162"/>
  <c r="I50" i="162"/>
  <c r="H50" i="162"/>
  <c r="G50" i="162"/>
  <c r="F50" i="162"/>
  <c r="E50" i="162"/>
  <c r="D50" i="162"/>
  <c r="C50" i="162"/>
  <c r="B50" i="162"/>
  <c r="N49" i="162"/>
  <c r="M49" i="162"/>
  <c r="L49" i="162"/>
  <c r="K49" i="162"/>
  <c r="J49" i="162"/>
  <c r="I49" i="162"/>
  <c r="H49" i="162"/>
  <c r="G49" i="162"/>
  <c r="F49" i="162"/>
  <c r="E49" i="162"/>
  <c r="D49" i="162"/>
  <c r="C49" i="162"/>
  <c r="B49" i="162"/>
  <c r="N48" i="162"/>
  <c r="M48" i="162"/>
  <c r="L48" i="162"/>
  <c r="K48" i="162"/>
  <c r="J48" i="162"/>
  <c r="I48" i="162"/>
  <c r="H48" i="162"/>
  <c r="G48" i="162"/>
  <c r="F48" i="162"/>
  <c r="E48" i="162"/>
  <c r="D48" i="162"/>
  <c r="C48" i="162"/>
  <c r="B48" i="162"/>
  <c r="N47" i="162"/>
  <c r="M47" i="162"/>
  <c r="L47" i="162"/>
  <c r="K47" i="162"/>
  <c r="J47" i="162"/>
  <c r="I47" i="162"/>
  <c r="H47" i="162"/>
  <c r="G47" i="162"/>
  <c r="F47" i="162"/>
  <c r="E47" i="162"/>
  <c r="D47" i="162"/>
  <c r="C47" i="162"/>
  <c r="B47" i="162"/>
  <c r="N46" i="162"/>
  <c r="M46" i="162"/>
  <c r="L46" i="162"/>
  <c r="K46" i="162"/>
  <c r="J46" i="162"/>
  <c r="I46" i="162"/>
  <c r="H46" i="162"/>
  <c r="G46" i="162"/>
  <c r="F46" i="162"/>
  <c r="E46" i="162"/>
  <c r="D46" i="162"/>
  <c r="C46" i="162"/>
  <c r="B46" i="162"/>
  <c r="N45" i="162"/>
  <c r="M45" i="162"/>
  <c r="L45" i="162"/>
  <c r="K45" i="162"/>
  <c r="J45" i="162"/>
  <c r="I45" i="162"/>
  <c r="H45" i="162"/>
  <c r="G45" i="162"/>
  <c r="F45" i="162"/>
  <c r="E45" i="162"/>
  <c r="D45" i="162"/>
  <c r="C45" i="162"/>
  <c r="B45" i="162"/>
  <c r="N44" i="162"/>
  <c r="M44" i="162"/>
  <c r="L44" i="162"/>
  <c r="K44" i="162"/>
  <c r="J44" i="162"/>
  <c r="I44" i="162"/>
  <c r="H44" i="162"/>
  <c r="G44" i="162"/>
  <c r="F44" i="162"/>
  <c r="E44" i="162"/>
  <c r="D44" i="162"/>
  <c r="C44" i="162"/>
  <c r="B44" i="162"/>
  <c r="N43" i="162"/>
  <c r="M43" i="162"/>
  <c r="L43" i="162"/>
  <c r="K43" i="162"/>
  <c r="J43" i="162"/>
  <c r="I43" i="162"/>
  <c r="H43" i="162"/>
  <c r="G43" i="162"/>
  <c r="F43" i="162"/>
  <c r="E43" i="162"/>
  <c r="D43" i="162"/>
  <c r="C43" i="162"/>
  <c r="B43" i="162"/>
  <c r="N42" i="162"/>
  <c r="M42" i="162"/>
  <c r="L42" i="162"/>
  <c r="K42" i="162"/>
  <c r="J42" i="162"/>
  <c r="I42" i="162"/>
  <c r="H42" i="162"/>
  <c r="G42" i="162"/>
  <c r="F42" i="162"/>
  <c r="E42" i="162"/>
  <c r="D42" i="162"/>
  <c r="C42" i="162"/>
  <c r="B42" i="162"/>
  <c r="N36" i="162"/>
  <c r="M36" i="162"/>
  <c r="L36" i="162"/>
  <c r="K36" i="162"/>
  <c r="J36" i="162"/>
  <c r="I36" i="162"/>
  <c r="H36" i="162"/>
  <c r="G36" i="162"/>
  <c r="F36" i="162"/>
  <c r="E36" i="162"/>
  <c r="D36" i="162"/>
  <c r="C36" i="162"/>
  <c r="B36" i="162"/>
  <c r="N35" i="162"/>
  <c r="M35" i="162"/>
  <c r="L35" i="162"/>
  <c r="K35" i="162"/>
  <c r="J35" i="162"/>
  <c r="I35" i="162"/>
  <c r="H35" i="162"/>
  <c r="G35" i="162"/>
  <c r="F35" i="162"/>
  <c r="E35" i="162"/>
  <c r="D35" i="162"/>
  <c r="C35" i="162"/>
  <c r="B35" i="162"/>
  <c r="I31" i="162"/>
  <c r="H31" i="162"/>
  <c r="G31" i="162"/>
  <c r="E31" i="162"/>
  <c r="D31" i="162"/>
  <c r="C31" i="162"/>
  <c r="B31" i="162"/>
  <c r="A31" i="162"/>
  <c r="D30" i="162"/>
  <c r="C30" i="162"/>
  <c r="B30" i="162"/>
  <c r="D29" i="162"/>
  <c r="C29" i="162"/>
  <c r="B29" i="162"/>
  <c r="D28" i="162"/>
  <c r="C28" i="162"/>
  <c r="B28" i="162"/>
  <c r="D27" i="162"/>
  <c r="C27" i="162"/>
  <c r="B27" i="162"/>
  <c r="D26" i="162"/>
  <c r="C26" i="162"/>
  <c r="B26" i="162"/>
  <c r="D25" i="162"/>
  <c r="C25" i="162"/>
  <c r="B25" i="162"/>
  <c r="D24" i="162"/>
  <c r="C24" i="162"/>
  <c r="B24" i="162"/>
  <c r="D23" i="162"/>
  <c r="C23" i="162"/>
  <c r="B23" i="162"/>
  <c r="D22" i="162"/>
  <c r="C22" i="162"/>
  <c r="B22" i="162"/>
  <c r="D21" i="162"/>
  <c r="C21" i="162"/>
  <c r="B21" i="162"/>
  <c r="D20" i="162"/>
  <c r="C20" i="162"/>
  <c r="C19" i="162"/>
  <c r="B19" i="162"/>
  <c r="N15" i="162"/>
  <c r="M15" i="162"/>
  <c r="L15" i="162"/>
  <c r="K15" i="162"/>
  <c r="J15" i="162"/>
  <c r="I15" i="162"/>
  <c r="H15" i="162"/>
  <c r="G15" i="162"/>
  <c r="F15" i="162"/>
  <c r="E15" i="162"/>
  <c r="D15" i="162"/>
  <c r="C15" i="162"/>
  <c r="B15" i="162"/>
  <c r="N14" i="162"/>
  <c r="M14" i="162"/>
  <c r="L14" i="162"/>
  <c r="K14" i="162"/>
  <c r="J14" i="162"/>
  <c r="I14" i="162"/>
  <c r="H14" i="162"/>
  <c r="G14" i="162"/>
  <c r="F14" i="162"/>
  <c r="E14" i="162"/>
  <c r="D14" i="162"/>
  <c r="C14" i="162"/>
  <c r="B14" i="162"/>
  <c r="A10" i="162"/>
  <c r="A1" i="162"/>
  <c r="N371" i="142"/>
  <c r="M371" i="142"/>
  <c r="L371" i="142"/>
  <c r="K371" i="142"/>
  <c r="J371" i="142"/>
  <c r="I371" i="142"/>
  <c r="H371" i="142"/>
  <c r="G371" i="142"/>
  <c r="F371" i="142"/>
  <c r="E371" i="142"/>
  <c r="D371" i="142"/>
  <c r="C371" i="142"/>
  <c r="A371" i="142"/>
  <c r="N370" i="142"/>
  <c r="M370" i="142"/>
  <c r="L370" i="142"/>
  <c r="K370" i="142"/>
  <c r="J370" i="142"/>
  <c r="I370" i="142"/>
  <c r="H370" i="142"/>
  <c r="G370" i="142"/>
  <c r="F370" i="142"/>
  <c r="E370" i="142"/>
  <c r="D370" i="142"/>
  <c r="C370" i="142"/>
  <c r="A370" i="142"/>
  <c r="N369" i="142"/>
  <c r="M369" i="142"/>
  <c r="L369" i="142"/>
  <c r="K369" i="142"/>
  <c r="J369" i="142"/>
  <c r="I369" i="142"/>
  <c r="H369" i="142"/>
  <c r="G369" i="142"/>
  <c r="F369" i="142"/>
  <c r="E369" i="142"/>
  <c r="D369" i="142"/>
  <c r="C369" i="142"/>
  <c r="N368" i="142"/>
  <c r="M368" i="142"/>
  <c r="L368" i="142"/>
  <c r="K368" i="142"/>
  <c r="J368" i="142"/>
  <c r="I368" i="142"/>
  <c r="H368" i="142"/>
  <c r="G368" i="142"/>
  <c r="F368" i="142"/>
  <c r="E368" i="142"/>
  <c r="D368" i="142"/>
  <c r="C368" i="142"/>
  <c r="N367" i="142"/>
  <c r="M367" i="142"/>
  <c r="L367" i="142"/>
  <c r="K367" i="142"/>
  <c r="J367" i="142"/>
  <c r="I367" i="142"/>
  <c r="H367" i="142"/>
  <c r="G367" i="142"/>
  <c r="F367" i="142"/>
  <c r="E367" i="142"/>
  <c r="D367" i="142"/>
  <c r="C367" i="142"/>
  <c r="A367" i="142"/>
  <c r="N366" i="142"/>
  <c r="M366" i="142"/>
  <c r="L366" i="142"/>
  <c r="K366" i="142"/>
  <c r="J366" i="142"/>
  <c r="I366" i="142"/>
  <c r="H366" i="142"/>
  <c r="G366" i="142"/>
  <c r="F366" i="142"/>
  <c r="E366" i="142"/>
  <c r="D366" i="142"/>
  <c r="C366" i="142"/>
  <c r="B366" i="142"/>
  <c r="N365" i="142"/>
  <c r="M365" i="142"/>
  <c r="L365" i="142"/>
  <c r="K365" i="142"/>
  <c r="J365" i="142"/>
  <c r="I365" i="142"/>
  <c r="H365" i="142"/>
  <c r="G365" i="142"/>
  <c r="F365" i="142"/>
  <c r="E365" i="142"/>
  <c r="D365" i="142"/>
  <c r="C365" i="142"/>
  <c r="B365" i="142"/>
  <c r="N364" i="142"/>
  <c r="M364" i="142"/>
  <c r="L364" i="142"/>
  <c r="K364" i="142"/>
  <c r="J364" i="142"/>
  <c r="I364" i="142"/>
  <c r="H364" i="142"/>
  <c r="G364" i="142"/>
  <c r="F364" i="142"/>
  <c r="E364" i="142"/>
  <c r="D364" i="142"/>
  <c r="C364" i="142"/>
  <c r="B364" i="142"/>
  <c r="N363" i="142"/>
  <c r="M363" i="142"/>
  <c r="L363" i="142"/>
  <c r="K363" i="142"/>
  <c r="J363" i="142"/>
  <c r="I363" i="142"/>
  <c r="H363" i="142"/>
  <c r="G363" i="142"/>
  <c r="F363" i="142"/>
  <c r="E363" i="142"/>
  <c r="D363" i="142"/>
  <c r="C363" i="142"/>
  <c r="B363" i="142"/>
  <c r="N362" i="142"/>
  <c r="M362" i="142"/>
  <c r="L362" i="142"/>
  <c r="K362" i="142"/>
  <c r="J362" i="142"/>
  <c r="I362" i="142"/>
  <c r="H362" i="142"/>
  <c r="G362" i="142"/>
  <c r="F362" i="142"/>
  <c r="E362" i="142"/>
  <c r="D362" i="142"/>
  <c r="C362" i="142"/>
  <c r="B362" i="142"/>
  <c r="N361" i="142"/>
  <c r="M361" i="142"/>
  <c r="L361" i="142"/>
  <c r="K361" i="142"/>
  <c r="J361" i="142"/>
  <c r="I361" i="142"/>
  <c r="H361" i="142"/>
  <c r="G361" i="142"/>
  <c r="F361" i="142"/>
  <c r="E361" i="142"/>
  <c r="D361" i="142"/>
  <c r="C361" i="142"/>
  <c r="B361" i="142"/>
  <c r="N360" i="142"/>
  <c r="M360" i="142"/>
  <c r="L360" i="142"/>
  <c r="K360" i="142"/>
  <c r="J360" i="142"/>
  <c r="I360" i="142"/>
  <c r="H360" i="142"/>
  <c r="G360" i="142"/>
  <c r="F360" i="142"/>
  <c r="E360" i="142"/>
  <c r="D360" i="142"/>
  <c r="C360" i="142"/>
  <c r="B360" i="142"/>
  <c r="N359" i="142"/>
  <c r="M359" i="142"/>
  <c r="L359" i="142"/>
  <c r="K359" i="142"/>
  <c r="J359" i="142"/>
  <c r="I359" i="142"/>
  <c r="H359" i="142"/>
  <c r="G359" i="142"/>
  <c r="F359" i="142"/>
  <c r="E359" i="142"/>
  <c r="D359" i="142"/>
  <c r="C359" i="142"/>
  <c r="B359" i="142"/>
  <c r="N358" i="142"/>
  <c r="M358" i="142"/>
  <c r="L358" i="142"/>
  <c r="K358" i="142"/>
  <c r="J358" i="142"/>
  <c r="I358" i="142"/>
  <c r="H358" i="142"/>
  <c r="G358" i="142"/>
  <c r="F358" i="142"/>
  <c r="E358" i="142"/>
  <c r="D358" i="142"/>
  <c r="C358" i="142"/>
  <c r="B358" i="142"/>
  <c r="N357" i="142"/>
  <c r="M357" i="142"/>
  <c r="L357" i="142"/>
  <c r="K357" i="142"/>
  <c r="J357" i="142"/>
  <c r="I357" i="142"/>
  <c r="H357" i="142"/>
  <c r="G357" i="142"/>
  <c r="F357" i="142"/>
  <c r="E357" i="142"/>
  <c r="D357" i="142"/>
  <c r="C357" i="142"/>
  <c r="B357" i="142"/>
  <c r="N356" i="142"/>
  <c r="M356" i="142"/>
  <c r="L356" i="142"/>
  <c r="K356" i="142"/>
  <c r="J356" i="142"/>
  <c r="I356" i="142"/>
  <c r="H356" i="142"/>
  <c r="G356" i="142"/>
  <c r="F356" i="142"/>
  <c r="E356" i="142"/>
  <c r="D356" i="142"/>
  <c r="C356" i="142"/>
  <c r="B356" i="142"/>
  <c r="N355" i="142"/>
  <c r="M355" i="142"/>
  <c r="L355" i="142"/>
  <c r="K355" i="142"/>
  <c r="J355" i="142"/>
  <c r="I355" i="142"/>
  <c r="H355" i="142"/>
  <c r="G355" i="142"/>
  <c r="F355" i="142"/>
  <c r="E355" i="142"/>
  <c r="D355" i="142"/>
  <c r="C355" i="142"/>
  <c r="B355" i="142"/>
  <c r="N351" i="142"/>
  <c r="M351" i="142"/>
  <c r="L351" i="142"/>
  <c r="K351" i="142"/>
  <c r="J351" i="142"/>
  <c r="I351" i="142"/>
  <c r="H351" i="142"/>
  <c r="G351" i="142"/>
  <c r="F351" i="142"/>
  <c r="E351" i="142"/>
  <c r="D351" i="142"/>
  <c r="C351" i="142"/>
  <c r="A351" i="142"/>
  <c r="N350" i="142"/>
  <c r="M350" i="142"/>
  <c r="L350" i="142"/>
  <c r="K350" i="142"/>
  <c r="J350" i="142"/>
  <c r="I350" i="142"/>
  <c r="H350" i="142"/>
  <c r="G350" i="142"/>
  <c r="F350" i="142"/>
  <c r="E350" i="142"/>
  <c r="D350" i="142"/>
  <c r="C350" i="142"/>
  <c r="B350" i="142"/>
  <c r="N349" i="142"/>
  <c r="M349" i="142"/>
  <c r="L349" i="142"/>
  <c r="K349" i="142"/>
  <c r="J349" i="142"/>
  <c r="I349" i="142"/>
  <c r="H349" i="142"/>
  <c r="G349" i="142"/>
  <c r="F349" i="142"/>
  <c r="E349" i="142"/>
  <c r="D349" i="142"/>
  <c r="C349" i="142"/>
  <c r="B349" i="142"/>
  <c r="N348" i="142"/>
  <c r="M348" i="142"/>
  <c r="L348" i="142"/>
  <c r="K348" i="142"/>
  <c r="J348" i="142"/>
  <c r="I348" i="142"/>
  <c r="H348" i="142"/>
  <c r="G348" i="142"/>
  <c r="F348" i="142"/>
  <c r="E348" i="142"/>
  <c r="D348" i="142"/>
  <c r="C348" i="142"/>
  <c r="B348" i="142"/>
  <c r="N347" i="142"/>
  <c r="M347" i="142"/>
  <c r="L347" i="142"/>
  <c r="K347" i="142"/>
  <c r="J347" i="142"/>
  <c r="I347" i="142"/>
  <c r="H347" i="142"/>
  <c r="G347" i="142"/>
  <c r="F347" i="142"/>
  <c r="E347" i="142"/>
  <c r="D347" i="142"/>
  <c r="C347" i="142"/>
  <c r="B347" i="142"/>
  <c r="N346" i="142"/>
  <c r="M346" i="142"/>
  <c r="L346" i="142"/>
  <c r="K346" i="142"/>
  <c r="J346" i="142"/>
  <c r="I346" i="142"/>
  <c r="H346" i="142"/>
  <c r="G346" i="142"/>
  <c r="F346" i="142"/>
  <c r="E346" i="142"/>
  <c r="D346" i="142"/>
  <c r="C346" i="142"/>
  <c r="B346" i="142"/>
  <c r="N345" i="142"/>
  <c r="M345" i="142"/>
  <c r="L345" i="142"/>
  <c r="K345" i="142"/>
  <c r="J345" i="142"/>
  <c r="I345" i="142"/>
  <c r="H345" i="142"/>
  <c r="G345" i="142"/>
  <c r="F345" i="142"/>
  <c r="E345" i="142"/>
  <c r="D345" i="142"/>
  <c r="C345" i="142"/>
  <c r="B345" i="142"/>
  <c r="N344" i="142"/>
  <c r="M344" i="142"/>
  <c r="L344" i="142"/>
  <c r="K344" i="142"/>
  <c r="J344" i="142"/>
  <c r="I344" i="142"/>
  <c r="H344" i="142"/>
  <c r="G344" i="142"/>
  <c r="F344" i="142"/>
  <c r="E344" i="142"/>
  <c r="D344" i="142"/>
  <c r="C344" i="142"/>
  <c r="B344" i="142"/>
  <c r="N343" i="142"/>
  <c r="M343" i="142"/>
  <c r="L343" i="142"/>
  <c r="K343" i="142"/>
  <c r="J343" i="142"/>
  <c r="I343" i="142"/>
  <c r="H343" i="142"/>
  <c r="G343" i="142"/>
  <c r="F343" i="142"/>
  <c r="E343" i="142"/>
  <c r="D343" i="142"/>
  <c r="C343" i="142"/>
  <c r="B343" i="142"/>
  <c r="N342" i="142"/>
  <c r="M342" i="142"/>
  <c r="L342" i="142"/>
  <c r="K342" i="142"/>
  <c r="J342" i="142"/>
  <c r="I342" i="142"/>
  <c r="H342" i="142"/>
  <c r="G342" i="142"/>
  <c r="F342" i="142"/>
  <c r="E342" i="142"/>
  <c r="D342" i="142"/>
  <c r="C342" i="142"/>
  <c r="B342" i="142"/>
  <c r="N341" i="142"/>
  <c r="M341" i="142"/>
  <c r="L341" i="142"/>
  <c r="K341" i="142"/>
  <c r="J341" i="142"/>
  <c r="I341" i="142"/>
  <c r="H341" i="142"/>
  <c r="G341" i="142"/>
  <c r="F341" i="142"/>
  <c r="E341" i="142"/>
  <c r="D341" i="142"/>
  <c r="C341" i="142"/>
  <c r="B341" i="142"/>
  <c r="N340" i="142"/>
  <c r="M340" i="142"/>
  <c r="L340" i="142"/>
  <c r="K340" i="142"/>
  <c r="J340" i="142"/>
  <c r="I340" i="142"/>
  <c r="H340" i="142"/>
  <c r="G340" i="142"/>
  <c r="F340" i="142"/>
  <c r="E340" i="142"/>
  <c r="D340" i="142"/>
  <c r="C340" i="142"/>
  <c r="B340" i="142"/>
  <c r="N339" i="142"/>
  <c r="M339" i="142"/>
  <c r="L339" i="142"/>
  <c r="K339" i="142"/>
  <c r="J339" i="142"/>
  <c r="I339" i="142"/>
  <c r="H339" i="142"/>
  <c r="G339" i="142"/>
  <c r="F339" i="142"/>
  <c r="E339" i="142"/>
  <c r="D339" i="142"/>
  <c r="C339" i="142"/>
  <c r="B339" i="142"/>
  <c r="N333" i="142"/>
  <c r="M333" i="142"/>
  <c r="L333" i="142"/>
  <c r="K333" i="142"/>
  <c r="J333" i="142"/>
  <c r="I333" i="142"/>
  <c r="H333" i="142"/>
  <c r="G333" i="142"/>
  <c r="F333" i="142"/>
  <c r="E333" i="142"/>
  <c r="D333" i="142"/>
  <c r="C333" i="142"/>
  <c r="A333" i="142"/>
  <c r="N332" i="142"/>
  <c r="M332" i="142"/>
  <c r="L332" i="142"/>
  <c r="K332" i="142"/>
  <c r="J332" i="142"/>
  <c r="I332" i="142"/>
  <c r="H332" i="142"/>
  <c r="G332" i="142"/>
  <c r="F332" i="142"/>
  <c r="E332" i="142"/>
  <c r="D332" i="142"/>
  <c r="C332" i="142"/>
  <c r="N331" i="142"/>
  <c r="M331" i="142"/>
  <c r="L331" i="142"/>
  <c r="K331" i="142"/>
  <c r="J331" i="142"/>
  <c r="I331" i="142"/>
  <c r="H331" i="142"/>
  <c r="G331" i="142"/>
  <c r="F331" i="142"/>
  <c r="E331" i="142"/>
  <c r="D331" i="142"/>
  <c r="C331" i="142"/>
  <c r="N330" i="142"/>
  <c r="M330" i="142"/>
  <c r="L330" i="142"/>
  <c r="K330" i="142"/>
  <c r="J330" i="142"/>
  <c r="I330" i="142"/>
  <c r="H330" i="142"/>
  <c r="G330" i="142"/>
  <c r="F330" i="142"/>
  <c r="E330" i="142"/>
  <c r="D330" i="142"/>
  <c r="C330" i="142"/>
  <c r="A330" i="142"/>
  <c r="N329" i="142"/>
  <c r="M329" i="142"/>
  <c r="L329" i="142"/>
  <c r="K329" i="142"/>
  <c r="J329" i="142"/>
  <c r="I329" i="142"/>
  <c r="H329" i="142"/>
  <c r="G329" i="142"/>
  <c r="F329" i="142"/>
  <c r="E329" i="142"/>
  <c r="D329" i="142"/>
  <c r="C329" i="142"/>
  <c r="B329" i="142"/>
  <c r="N328" i="142"/>
  <c r="M328" i="142"/>
  <c r="L328" i="142"/>
  <c r="K328" i="142"/>
  <c r="J328" i="142"/>
  <c r="I328" i="142"/>
  <c r="H328" i="142"/>
  <c r="G328" i="142"/>
  <c r="F328" i="142"/>
  <c r="E328" i="142"/>
  <c r="D328" i="142"/>
  <c r="C328" i="142"/>
  <c r="B328" i="142"/>
  <c r="N327" i="142"/>
  <c r="M327" i="142"/>
  <c r="L327" i="142"/>
  <c r="K327" i="142"/>
  <c r="J327" i="142"/>
  <c r="I327" i="142"/>
  <c r="H327" i="142"/>
  <c r="G327" i="142"/>
  <c r="F327" i="142"/>
  <c r="E327" i="142"/>
  <c r="D327" i="142"/>
  <c r="C327" i="142"/>
  <c r="B327" i="142"/>
  <c r="N326" i="142"/>
  <c r="M326" i="142"/>
  <c r="L326" i="142"/>
  <c r="K326" i="142"/>
  <c r="J326" i="142"/>
  <c r="I326" i="142"/>
  <c r="H326" i="142"/>
  <c r="G326" i="142"/>
  <c r="F326" i="142"/>
  <c r="E326" i="142"/>
  <c r="D326" i="142"/>
  <c r="C326" i="142"/>
  <c r="B326" i="142"/>
  <c r="N325" i="142"/>
  <c r="M325" i="142"/>
  <c r="L325" i="142"/>
  <c r="K325" i="142"/>
  <c r="J325" i="142"/>
  <c r="I325" i="142"/>
  <c r="H325" i="142"/>
  <c r="G325" i="142"/>
  <c r="F325" i="142"/>
  <c r="E325" i="142"/>
  <c r="D325" i="142"/>
  <c r="C325" i="142"/>
  <c r="B325" i="142"/>
  <c r="N324" i="142"/>
  <c r="M324" i="142"/>
  <c r="L324" i="142"/>
  <c r="K324" i="142"/>
  <c r="J324" i="142"/>
  <c r="I324" i="142"/>
  <c r="H324" i="142"/>
  <c r="G324" i="142"/>
  <c r="F324" i="142"/>
  <c r="E324" i="142"/>
  <c r="D324" i="142"/>
  <c r="C324" i="142"/>
  <c r="B324" i="142"/>
  <c r="N323" i="142"/>
  <c r="M323" i="142"/>
  <c r="L323" i="142"/>
  <c r="K323" i="142"/>
  <c r="J323" i="142"/>
  <c r="I323" i="142"/>
  <c r="H323" i="142"/>
  <c r="G323" i="142"/>
  <c r="F323" i="142"/>
  <c r="E323" i="142"/>
  <c r="D323" i="142"/>
  <c r="C323" i="142"/>
  <c r="B323" i="142"/>
  <c r="N322" i="142"/>
  <c r="M322" i="142"/>
  <c r="L322" i="142"/>
  <c r="K322" i="142"/>
  <c r="J322" i="142"/>
  <c r="I322" i="142"/>
  <c r="H322" i="142"/>
  <c r="G322" i="142"/>
  <c r="F322" i="142"/>
  <c r="E322" i="142"/>
  <c r="D322" i="142"/>
  <c r="C322" i="142"/>
  <c r="B322" i="142"/>
  <c r="N321" i="142"/>
  <c r="M321" i="142"/>
  <c r="L321" i="142"/>
  <c r="K321" i="142"/>
  <c r="J321" i="142"/>
  <c r="I321" i="142"/>
  <c r="H321" i="142"/>
  <c r="G321" i="142"/>
  <c r="F321" i="142"/>
  <c r="E321" i="142"/>
  <c r="D321" i="142"/>
  <c r="C321" i="142"/>
  <c r="B321" i="142"/>
  <c r="N320" i="142"/>
  <c r="M320" i="142"/>
  <c r="L320" i="142"/>
  <c r="K320" i="142"/>
  <c r="J320" i="142"/>
  <c r="I320" i="142"/>
  <c r="H320" i="142"/>
  <c r="G320" i="142"/>
  <c r="F320" i="142"/>
  <c r="E320" i="142"/>
  <c r="D320" i="142"/>
  <c r="C320" i="142"/>
  <c r="B320" i="142"/>
  <c r="N319" i="142"/>
  <c r="M319" i="142"/>
  <c r="L319" i="142"/>
  <c r="K319" i="142"/>
  <c r="J319" i="142"/>
  <c r="I319" i="142"/>
  <c r="H319" i="142"/>
  <c r="G319" i="142"/>
  <c r="F319" i="142"/>
  <c r="E319" i="142"/>
  <c r="D319" i="142"/>
  <c r="C319" i="142"/>
  <c r="B319" i="142"/>
  <c r="N318" i="142"/>
  <c r="M318" i="142"/>
  <c r="L318" i="142"/>
  <c r="K318" i="142"/>
  <c r="J318" i="142"/>
  <c r="I318" i="142"/>
  <c r="H318" i="142"/>
  <c r="G318" i="142"/>
  <c r="F318" i="142"/>
  <c r="E318" i="142"/>
  <c r="D318" i="142"/>
  <c r="C318" i="142"/>
  <c r="B318" i="142"/>
  <c r="N314" i="142"/>
  <c r="M314" i="142"/>
  <c r="L314" i="142"/>
  <c r="K314" i="142"/>
  <c r="J314" i="142"/>
  <c r="I314" i="142"/>
  <c r="H314" i="142"/>
  <c r="G314" i="142"/>
  <c r="F314" i="142"/>
  <c r="E314" i="142"/>
  <c r="D314" i="142"/>
  <c r="C314" i="142"/>
  <c r="A314" i="142"/>
  <c r="N313" i="142"/>
  <c r="M313" i="142"/>
  <c r="L313" i="142"/>
  <c r="K313" i="142"/>
  <c r="J313" i="142"/>
  <c r="I313" i="142"/>
  <c r="H313" i="142"/>
  <c r="G313" i="142"/>
  <c r="F313" i="142"/>
  <c r="E313" i="142"/>
  <c r="D313" i="142"/>
  <c r="C313" i="142"/>
  <c r="B313" i="142"/>
  <c r="N312" i="142"/>
  <c r="M312" i="142"/>
  <c r="L312" i="142"/>
  <c r="K312" i="142"/>
  <c r="J312" i="142"/>
  <c r="I312" i="142"/>
  <c r="H312" i="142"/>
  <c r="G312" i="142"/>
  <c r="F312" i="142"/>
  <c r="E312" i="142"/>
  <c r="D312" i="142"/>
  <c r="C312" i="142"/>
  <c r="B312" i="142"/>
  <c r="N311" i="142"/>
  <c r="M311" i="142"/>
  <c r="L311" i="142"/>
  <c r="K311" i="142"/>
  <c r="J311" i="142"/>
  <c r="I311" i="142"/>
  <c r="H311" i="142"/>
  <c r="G311" i="142"/>
  <c r="F311" i="142"/>
  <c r="E311" i="142"/>
  <c r="D311" i="142"/>
  <c r="C311" i="142"/>
  <c r="B311" i="142"/>
  <c r="N310" i="142"/>
  <c r="M310" i="142"/>
  <c r="L310" i="142"/>
  <c r="K310" i="142"/>
  <c r="J310" i="142"/>
  <c r="I310" i="142"/>
  <c r="H310" i="142"/>
  <c r="G310" i="142"/>
  <c r="F310" i="142"/>
  <c r="E310" i="142"/>
  <c r="D310" i="142"/>
  <c r="C310" i="142"/>
  <c r="B310" i="142"/>
  <c r="N309" i="142"/>
  <c r="M309" i="142"/>
  <c r="L309" i="142"/>
  <c r="K309" i="142"/>
  <c r="J309" i="142"/>
  <c r="I309" i="142"/>
  <c r="H309" i="142"/>
  <c r="G309" i="142"/>
  <c r="F309" i="142"/>
  <c r="E309" i="142"/>
  <c r="D309" i="142"/>
  <c r="C309" i="142"/>
  <c r="B309" i="142"/>
  <c r="N308" i="142"/>
  <c r="M308" i="142"/>
  <c r="L308" i="142"/>
  <c r="K308" i="142"/>
  <c r="J308" i="142"/>
  <c r="I308" i="142"/>
  <c r="H308" i="142"/>
  <c r="G308" i="142"/>
  <c r="F308" i="142"/>
  <c r="E308" i="142"/>
  <c r="D308" i="142"/>
  <c r="C308" i="142"/>
  <c r="B308" i="142"/>
  <c r="N307" i="142"/>
  <c r="M307" i="142"/>
  <c r="L307" i="142"/>
  <c r="K307" i="142"/>
  <c r="J307" i="142"/>
  <c r="I307" i="142"/>
  <c r="H307" i="142"/>
  <c r="G307" i="142"/>
  <c r="F307" i="142"/>
  <c r="E307" i="142"/>
  <c r="D307" i="142"/>
  <c r="C307" i="142"/>
  <c r="B307" i="142"/>
  <c r="N306" i="142"/>
  <c r="M306" i="142"/>
  <c r="L306" i="142"/>
  <c r="K306" i="142"/>
  <c r="J306" i="142"/>
  <c r="I306" i="142"/>
  <c r="H306" i="142"/>
  <c r="G306" i="142"/>
  <c r="F306" i="142"/>
  <c r="E306" i="142"/>
  <c r="D306" i="142"/>
  <c r="C306" i="142"/>
  <c r="B306" i="142"/>
  <c r="N305" i="142"/>
  <c r="M305" i="142"/>
  <c r="L305" i="142"/>
  <c r="K305" i="142"/>
  <c r="J305" i="142"/>
  <c r="I305" i="142"/>
  <c r="H305" i="142"/>
  <c r="G305" i="142"/>
  <c r="F305" i="142"/>
  <c r="E305" i="142"/>
  <c r="D305" i="142"/>
  <c r="C305" i="142"/>
  <c r="B305" i="142"/>
  <c r="N304" i="142"/>
  <c r="M304" i="142"/>
  <c r="L304" i="142"/>
  <c r="K304" i="142"/>
  <c r="J304" i="142"/>
  <c r="I304" i="142"/>
  <c r="H304" i="142"/>
  <c r="G304" i="142"/>
  <c r="F304" i="142"/>
  <c r="E304" i="142"/>
  <c r="D304" i="142"/>
  <c r="C304" i="142"/>
  <c r="B304" i="142"/>
  <c r="N303" i="142"/>
  <c r="M303" i="142"/>
  <c r="L303" i="142"/>
  <c r="K303" i="142"/>
  <c r="J303" i="142"/>
  <c r="I303" i="142"/>
  <c r="H303" i="142"/>
  <c r="G303" i="142"/>
  <c r="F303" i="142"/>
  <c r="E303" i="142"/>
  <c r="D303" i="142"/>
  <c r="C303" i="142"/>
  <c r="B303" i="142"/>
  <c r="N302" i="142"/>
  <c r="M302" i="142"/>
  <c r="L302" i="142"/>
  <c r="K302" i="142"/>
  <c r="J302" i="142"/>
  <c r="I302" i="142"/>
  <c r="H302" i="142"/>
  <c r="G302" i="142"/>
  <c r="F302" i="142"/>
  <c r="E302" i="142"/>
  <c r="D302" i="142"/>
  <c r="C302" i="142"/>
  <c r="B302" i="142"/>
  <c r="N296" i="142"/>
  <c r="M296" i="142"/>
  <c r="L296" i="142"/>
  <c r="K296" i="142"/>
  <c r="J296" i="142"/>
  <c r="I296" i="142"/>
  <c r="H296" i="142"/>
  <c r="G296" i="142"/>
  <c r="F296" i="142"/>
  <c r="E296" i="142"/>
  <c r="D296" i="142"/>
  <c r="C296" i="142"/>
  <c r="N294" i="142"/>
  <c r="M294" i="142"/>
  <c r="L294" i="142"/>
  <c r="K294" i="142"/>
  <c r="J294" i="142"/>
  <c r="I294" i="142"/>
  <c r="H294" i="142"/>
  <c r="G294" i="142"/>
  <c r="F294" i="142"/>
  <c r="E294" i="142"/>
  <c r="D294" i="142"/>
  <c r="C294" i="142"/>
  <c r="N293" i="142"/>
  <c r="M293" i="142"/>
  <c r="L293" i="142"/>
  <c r="K293" i="142"/>
  <c r="J293" i="142"/>
  <c r="I293" i="142"/>
  <c r="H293" i="142"/>
  <c r="G293" i="142"/>
  <c r="F293" i="142"/>
  <c r="E293" i="142"/>
  <c r="D293" i="142"/>
  <c r="C293" i="142"/>
  <c r="N290" i="142"/>
  <c r="M290" i="142"/>
  <c r="L290" i="142"/>
  <c r="K290" i="142"/>
  <c r="J290" i="142"/>
  <c r="I290" i="142"/>
  <c r="H290" i="142"/>
  <c r="G290" i="142"/>
  <c r="F290" i="142"/>
  <c r="E290" i="142"/>
  <c r="D290" i="142"/>
  <c r="C290" i="142"/>
  <c r="N289" i="142"/>
  <c r="M289" i="142"/>
  <c r="L289" i="142"/>
  <c r="K289" i="142"/>
  <c r="J289" i="142"/>
  <c r="I289" i="142"/>
  <c r="H289" i="142"/>
  <c r="G289" i="142"/>
  <c r="F289" i="142"/>
  <c r="E289" i="142"/>
  <c r="D289" i="142"/>
  <c r="C289" i="142"/>
  <c r="N283" i="142"/>
  <c r="M283" i="142"/>
  <c r="L283" i="142"/>
  <c r="K283" i="142"/>
  <c r="J283" i="142"/>
  <c r="I283" i="142"/>
  <c r="H283" i="142"/>
  <c r="G283" i="142"/>
  <c r="F283" i="142"/>
  <c r="E283" i="142"/>
  <c r="D283" i="142"/>
  <c r="C283" i="142"/>
  <c r="A283" i="142"/>
  <c r="N282" i="142"/>
  <c r="M282" i="142"/>
  <c r="L282" i="142"/>
  <c r="K282" i="142"/>
  <c r="J282" i="142"/>
  <c r="I282" i="142"/>
  <c r="H282" i="142"/>
  <c r="G282" i="142"/>
  <c r="F282" i="142"/>
  <c r="E282" i="142"/>
  <c r="D282" i="142"/>
  <c r="C282" i="142"/>
  <c r="N281" i="142"/>
  <c r="M281" i="142"/>
  <c r="L281" i="142"/>
  <c r="K281" i="142"/>
  <c r="J281" i="142"/>
  <c r="I281" i="142"/>
  <c r="H281" i="142"/>
  <c r="G281" i="142"/>
  <c r="F281" i="142"/>
  <c r="E281" i="142"/>
  <c r="D281" i="142"/>
  <c r="C281" i="142"/>
  <c r="N280" i="142"/>
  <c r="M280" i="142"/>
  <c r="L280" i="142"/>
  <c r="K280" i="142"/>
  <c r="J280" i="142"/>
  <c r="I280" i="142"/>
  <c r="H280" i="142"/>
  <c r="G280" i="142"/>
  <c r="F280" i="142"/>
  <c r="E280" i="142"/>
  <c r="D280" i="142"/>
  <c r="C280" i="142"/>
  <c r="N279" i="142"/>
  <c r="M279" i="142"/>
  <c r="L279" i="142"/>
  <c r="K279" i="142"/>
  <c r="J279" i="142"/>
  <c r="I279" i="142"/>
  <c r="H279" i="142"/>
  <c r="G279" i="142"/>
  <c r="F279" i="142"/>
  <c r="E279" i="142"/>
  <c r="D279" i="142"/>
  <c r="C279" i="142"/>
  <c r="N278" i="142"/>
  <c r="M278" i="142"/>
  <c r="L278" i="142"/>
  <c r="K278" i="142"/>
  <c r="J278" i="142"/>
  <c r="I278" i="142"/>
  <c r="H278" i="142"/>
  <c r="G278" i="142"/>
  <c r="F278" i="142"/>
  <c r="E278" i="142"/>
  <c r="D278" i="142"/>
  <c r="C278" i="142"/>
  <c r="N274" i="142"/>
  <c r="M274" i="142"/>
  <c r="L274" i="142"/>
  <c r="K274" i="142"/>
  <c r="J274" i="142"/>
  <c r="I274" i="142"/>
  <c r="H274" i="142"/>
  <c r="G274" i="142"/>
  <c r="F274" i="142"/>
  <c r="E274" i="142"/>
  <c r="D274" i="142"/>
  <c r="C274" i="142"/>
  <c r="A274" i="142"/>
  <c r="N273" i="142"/>
  <c r="M273" i="142"/>
  <c r="L273" i="142"/>
  <c r="K273" i="142"/>
  <c r="J273" i="142"/>
  <c r="I273" i="142"/>
  <c r="H273" i="142"/>
  <c r="G273" i="142"/>
  <c r="F273" i="142"/>
  <c r="E273" i="142"/>
  <c r="D273" i="142"/>
  <c r="C273" i="142"/>
  <c r="B273" i="142"/>
  <c r="N272" i="142"/>
  <c r="M272" i="142"/>
  <c r="L272" i="142"/>
  <c r="K272" i="142"/>
  <c r="J272" i="142"/>
  <c r="I272" i="142"/>
  <c r="H272" i="142"/>
  <c r="G272" i="142"/>
  <c r="F272" i="142"/>
  <c r="E272" i="142"/>
  <c r="D272" i="142"/>
  <c r="C272" i="142"/>
  <c r="B272" i="142"/>
  <c r="N271" i="142"/>
  <c r="M271" i="142"/>
  <c r="L271" i="142"/>
  <c r="K271" i="142"/>
  <c r="J271" i="142"/>
  <c r="I271" i="142"/>
  <c r="H271" i="142"/>
  <c r="G271" i="142"/>
  <c r="F271" i="142"/>
  <c r="E271" i="142"/>
  <c r="D271" i="142"/>
  <c r="C271" i="142"/>
  <c r="B271" i="142"/>
  <c r="N270" i="142"/>
  <c r="M270" i="142"/>
  <c r="L270" i="142"/>
  <c r="K270" i="142"/>
  <c r="J270" i="142"/>
  <c r="I270" i="142"/>
  <c r="H270" i="142"/>
  <c r="G270" i="142"/>
  <c r="F270" i="142"/>
  <c r="E270" i="142"/>
  <c r="D270" i="142"/>
  <c r="C270" i="142"/>
  <c r="B270" i="142"/>
  <c r="N269" i="142"/>
  <c r="M269" i="142"/>
  <c r="L269" i="142"/>
  <c r="K269" i="142"/>
  <c r="J269" i="142"/>
  <c r="I269" i="142"/>
  <c r="H269" i="142"/>
  <c r="G269" i="142"/>
  <c r="F269" i="142"/>
  <c r="E269" i="142"/>
  <c r="D269" i="142"/>
  <c r="C269" i="142"/>
  <c r="B269" i="142"/>
  <c r="N268" i="142"/>
  <c r="M268" i="142"/>
  <c r="L268" i="142"/>
  <c r="K268" i="142"/>
  <c r="J268" i="142"/>
  <c r="I268" i="142"/>
  <c r="H268" i="142"/>
  <c r="G268" i="142"/>
  <c r="F268" i="142"/>
  <c r="E268" i="142"/>
  <c r="D268" i="142"/>
  <c r="C268" i="142"/>
  <c r="B268" i="142"/>
  <c r="N267" i="142"/>
  <c r="M267" i="142"/>
  <c r="L267" i="142"/>
  <c r="K267" i="142"/>
  <c r="J267" i="142"/>
  <c r="I267" i="142"/>
  <c r="H267" i="142"/>
  <c r="G267" i="142"/>
  <c r="F267" i="142"/>
  <c r="E267" i="142"/>
  <c r="D267" i="142"/>
  <c r="C267" i="142"/>
  <c r="B267" i="142"/>
  <c r="N266" i="142"/>
  <c r="M266" i="142"/>
  <c r="L266" i="142"/>
  <c r="K266" i="142"/>
  <c r="J266" i="142"/>
  <c r="I266" i="142"/>
  <c r="H266" i="142"/>
  <c r="G266" i="142"/>
  <c r="F266" i="142"/>
  <c r="E266" i="142"/>
  <c r="D266" i="142"/>
  <c r="C266" i="142"/>
  <c r="B266" i="142"/>
  <c r="N265" i="142"/>
  <c r="M265" i="142"/>
  <c r="L265" i="142"/>
  <c r="K265" i="142"/>
  <c r="J265" i="142"/>
  <c r="I265" i="142"/>
  <c r="H265" i="142"/>
  <c r="G265" i="142"/>
  <c r="F265" i="142"/>
  <c r="E265" i="142"/>
  <c r="D265" i="142"/>
  <c r="C265" i="142"/>
  <c r="B265" i="142"/>
  <c r="N264" i="142"/>
  <c r="M264" i="142"/>
  <c r="L264" i="142"/>
  <c r="K264" i="142"/>
  <c r="J264" i="142"/>
  <c r="I264" i="142"/>
  <c r="H264" i="142"/>
  <c r="G264" i="142"/>
  <c r="F264" i="142"/>
  <c r="E264" i="142"/>
  <c r="D264" i="142"/>
  <c r="C264" i="142"/>
  <c r="B264" i="142"/>
  <c r="N263" i="142"/>
  <c r="M263" i="142"/>
  <c r="L263" i="142"/>
  <c r="K263" i="142"/>
  <c r="J263" i="142"/>
  <c r="I263" i="142"/>
  <c r="H263" i="142"/>
  <c r="G263" i="142"/>
  <c r="F263" i="142"/>
  <c r="E263" i="142"/>
  <c r="D263" i="142"/>
  <c r="C263" i="142"/>
  <c r="B263" i="142"/>
  <c r="N262" i="142"/>
  <c r="M262" i="142"/>
  <c r="L262" i="142"/>
  <c r="K262" i="142"/>
  <c r="J262" i="142"/>
  <c r="I262" i="142"/>
  <c r="H262" i="142"/>
  <c r="G262" i="142"/>
  <c r="F262" i="142"/>
  <c r="E262" i="142"/>
  <c r="D262" i="142"/>
  <c r="C262" i="142"/>
  <c r="B262" i="142"/>
  <c r="N258" i="142"/>
  <c r="M258" i="142"/>
  <c r="L258" i="142"/>
  <c r="K258" i="142"/>
  <c r="J258" i="142"/>
  <c r="I258" i="142"/>
  <c r="H258" i="142"/>
  <c r="G258" i="142"/>
  <c r="F258" i="142"/>
  <c r="E258" i="142"/>
  <c r="D258" i="142"/>
  <c r="C258" i="142"/>
  <c r="A258" i="142"/>
  <c r="N257" i="142"/>
  <c r="M257" i="142"/>
  <c r="L257" i="142"/>
  <c r="K257" i="142"/>
  <c r="J257" i="142"/>
  <c r="I257" i="142"/>
  <c r="H257" i="142"/>
  <c r="G257" i="142"/>
  <c r="F257" i="142"/>
  <c r="E257" i="142"/>
  <c r="D257" i="142"/>
  <c r="C257" i="142"/>
  <c r="B257" i="142"/>
  <c r="N256" i="142"/>
  <c r="M256" i="142"/>
  <c r="L256" i="142"/>
  <c r="K256" i="142"/>
  <c r="J256" i="142"/>
  <c r="I256" i="142"/>
  <c r="H256" i="142"/>
  <c r="G256" i="142"/>
  <c r="F256" i="142"/>
  <c r="E256" i="142"/>
  <c r="D256" i="142"/>
  <c r="C256" i="142"/>
  <c r="B256" i="142"/>
  <c r="N255" i="142"/>
  <c r="M255" i="142"/>
  <c r="L255" i="142"/>
  <c r="K255" i="142"/>
  <c r="J255" i="142"/>
  <c r="I255" i="142"/>
  <c r="H255" i="142"/>
  <c r="G255" i="142"/>
  <c r="F255" i="142"/>
  <c r="E255" i="142"/>
  <c r="D255" i="142"/>
  <c r="C255" i="142"/>
  <c r="B255" i="142"/>
  <c r="N254" i="142"/>
  <c r="M254" i="142"/>
  <c r="L254" i="142"/>
  <c r="K254" i="142"/>
  <c r="J254" i="142"/>
  <c r="I254" i="142"/>
  <c r="H254" i="142"/>
  <c r="G254" i="142"/>
  <c r="F254" i="142"/>
  <c r="E254" i="142"/>
  <c r="D254" i="142"/>
  <c r="C254" i="142"/>
  <c r="B254" i="142"/>
  <c r="N253" i="142"/>
  <c r="M253" i="142"/>
  <c r="L253" i="142"/>
  <c r="K253" i="142"/>
  <c r="J253" i="142"/>
  <c r="I253" i="142"/>
  <c r="H253" i="142"/>
  <c r="G253" i="142"/>
  <c r="F253" i="142"/>
  <c r="E253" i="142"/>
  <c r="D253" i="142"/>
  <c r="C253" i="142"/>
  <c r="B253" i="142"/>
  <c r="N252" i="142"/>
  <c r="M252" i="142"/>
  <c r="L252" i="142"/>
  <c r="K252" i="142"/>
  <c r="J252" i="142"/>
  <c r="I252" i="142"/>
  <c r="H252" i="142"/>
  <c r="G252" i="142"/>
  <c r="F252" i="142"/>
  <c r="E252" i="142"/>
  <c r="D252" i="142"/>
  <c r="C252" i="142"/>
  <c r="B252" i="142"/>
  <c r="N251" i="142"/>
  <c r="M251" i="142"/>
  <c r="L251" i="142"/>
  <c r="K251" i="142"/>
  <c r="J251" i="142"/>
  <c r="I251" i="142"/>
  <c r="H251" i="142"/>
  <c r="G251" i="142"/>
  <c r="F251" i="142"/>
  <c r="E251" i="142"/>
  <c r="D251" i="142"/>
  <c r="C251" i="142"/>
  <c r="B251" i="142"/>
  <c r="N250" i="142"/>
  <c r="M250" i="142"/>
  <c r="L250" i="142"/>
  <c r="K250" i="142"/>
  <c r="J250" i="142"/>
  <c r="I250" i="142"/>
  <c r="H250" i="142"/>
  <c r="G250" i="142"/>
  <c r="F250" i="142"/>
  <c r="E250" i="142"/>
  <c r="D250" i="142"/>
  <c r="C250" i="142"/>
  <c r="B250" i="142"/>
  <c r="N249" i="142"/>
  <c r="M249" i="142"/>
  <c r="L249" i="142"/>
  <c r="K249" i="142"/>
  <c r="J249" i="142"/>
  <c r="I249" i="142"/>
  <c r="H249" i="142"/>
  <c r="G249" i="142"/>
  <c r="F249" i="142"/>
  <c r="E249" i="142"/>
  <c r="D249" i="142"/>
  <c r="C249" i="142"/>
  <c r="B249" i="142"/>
  <c r="N248" i="142"/>
  <c r="M248" i="142"/>
  <c r="L248" i="142"/>
  <c r="K248" i="142"/>
  <c r="J248" i="142"/>
  <c r="I248" i="142"/>
  <c r="H248" i="142"/>
  <c r="G248" i="142"/>
  <c r="F248" i="142"/>
  <c r="E248" i="142"/>
  <c r="D248" i="142"/>
  <c r="C248" i="142"/>
  <c r="B248" i="142"/>
  <c r="N247" i="142"/>
  <c r="M247" i="142"/>
  <c r="L247" i="142"/>
  <c r="K247" i="142"/>
  <c r="J247" i="142"/>
  <c r="I247" i="142"/>
  <c r="H247" i="142"/>
  <c r="G247" i="142"/>
  <c r="F247" i="142"/>
  <c r="E247" i="142"/>
  <c r="D247" i="142"/>
  <c r="C247" i="142"/>
  <c r="B247" i="142"/>
  <c r="N246" i="142"/>
  <c r="M246" i="142"/>
  <c r="L246" i="142"/>
  <c r="K246" i="142"/>
  <c r="J246" i="142"/>
  <c r="I246" i="142"/>
  <c r="H246" i="142"/>
  <c r="G246" i="142"/>
  <c r="F246" i="142"/>
  <c r="E246" i="142"/>
  <c r="D246" i="142"/>
  <c r="C246" i="142"/>
  <c r="B246" i="142"/>
  <c r="N240" i="142"/>
  <c r="M240" i="142"/>
  <c r="L240" i="142"/>
  <c r="K240" i="142"/>
  <c r="J240" i="142"/>
  <c r="I240" i="142"/>
  <c r="H240" i="142"/>
  <c r="G240" i="142"/>
  <c r="F240" i="142"/>
  <c r="E240" i="142"/>
  <c r="D240" i="142"/>
  <c r="C240" i="142"/>
  <c r="A240" i="142"/>
  <c r="N239" i="142"/>
  <c r="M239" i="142"/>
  <c r="L239" i="142"/>
  <c r="K239" i="142"/>
  <c r="J239" i="142"/>
  <c r="I239" i="142"/>
  <c r="H239" i="142"/>
  <c r="G239" i="142"/>
  <c r="F239" i="142"/>
  <c r="E239" i="142"/>
  <c r="D239" i="142"/>
  <c r="C239" i="142"/>
  <c r="B239" i="142"/>
  <c r="N238" i="142"/>
  <c r="M238" i="142"/>
  <c r="L238" i="142"/>
  <c r="K238" i="142"/>
  <c r="J238" i="142"/>
  <c r="I238" i="142"/>
  <c r="H238" i="142"/>
  <c r="G238" i="142"/>
  <c r="F238" i="142"/>
  <c r="E238" i="142"/>
  <c r="D238" i="142"/>
  <c r="C238" i="142"/>
  <c r="B238" i="142"/>
  <c r="N237" i="142"/>
  <c r="M237" i="142"/>
  <c r="L237" i="142"/>
  <c r="K237" i="142"/>
  <c r="J237" i="142"/>
  <c r="I237" i="142"/>
  <c r="H237" i="142"/>
  <c r="G237" i="142"/>
  <c r="F237" i="142"/>
  <c r="E237" i="142"/>
  <c r="D237" i="142"/>
  <c r="C237" i="142"/>
  <c r="B237" i="142"/>
  <c r="N236" i="142"/>
  <c r="M236" i="142"/>
  <c r="L236" i="142"/>
  <c r="K236" i="142"/>
  <c r="J236" i="142"/>
  <c r="I236" i="142"/>
  <c r="H236" i="142"/>
  <c r="G236" i="142"/>
  <c r="F236" i="142"/>
  <c r="E236" i="142"/>
  <c r="D236" i="142"/>
  <c r="C236" i="142"/>
  <c r="B236" i="142"/>
  <c r="N235" i="142"/>
  <c r="M235" i="142"/>
  <c r="L235" i="142"/>
  <c r="K235" i="142"/>
  <c r="J235" i="142"/>
  <c r="I235" i="142"/>
  <c r="H235" i="142"/>
  <c r="G235" i="142"/>
  <c r="F235" i="142"/>
  <c r="E235" i="142"/>
  <c r="D235" i="142"/>
  <c r="C235" i="142"/>
  <c r="B235" i="142"/>
  <c r="N234" i="142"/>
  <c r="M234" i="142"/>
  <c r="L234" i="142"/>
  <c r="K234" i="142"/>
  <c r="J234" i="142"/>
  <c r="I234" i="142"/>
  <c r="H234" i="142"/>
  <c r="G234" i="142"/>
  <c r="F234" i="142"/>
  <c r="E234" i="142"/>
  <c r="D234" i="142"/>
  <c r="C234" i="142"/>
  <c r="B234" i="142"/>
  <c r="N233" i="142"/>
  <c r="M233" i="142"/>
  <c r="L233" i="142"/>
  <c r="K233" i="142"/>
  <c r="J233" i="142"/>
  <c r="I233" i="142"/>
  <c r="H233" i="142"/>
  <c r="G233" i="142"/>
  <c r="F233" i="142"/>
  <c r="E233" i="142"/>
  <c r="D233" i="142"/>
  <c r="C233" i="142"/>
  <c r="B233" i="142"/>
  <c r="N232" i="142"/>
  <c r="M232" i="142"/>
  <c r="L232" i="142"/>
  <c r="K232" i="142"/>
  <c r="J232" i="142"/>
  <c r="I232" i="142"/>
  <c r="H232" i="142"/>
  <c r="G232" i="142"/>
  <c r="F232" i="142"/>
  <c r="E232" i="142"/>
  <c r="D232" i="142"/>
  <c r="C232" i="142"/>
  <c r="B232" i="142"/>
  <c r="N231" i="142"/>
  <c r="M231" i="142"/>
  <c r="L231" i="142"/>
  <c r="K231" i="142"/>
  <c r="J231" i="142"/>
  <c r="I231" i="142"/>
  <c r="H231" i="142"/>
  <c r="G231" i="142"/>
  <c r="F231" i="142"/>
  <c r="E231" i="142"/>
  <c r="D231" i="142"/>
  <c r="C231" i="142"/>
  <c r="B231" i="142"/>
  <c r="N230" i="142"/>
  <c r="M230" i="142"/>
  <c r="L230" i="142"/>
  <c r="K230" i="142"/>
  <c r="J230" i="142"/>
  <c r="I230" i="142"/>
  <c r="H230" i="142"/>
  <c r="G230" i="142"/>
  <c r="F230" i="142"/>
  <c r="E230" i="142"/>
  <c r="D230" i="142"/>
  <c r="C230" i="142"/>
  <c r="B230" i="142"/>
  <c r="N229" i="142"/>
  <c r="M229" i="142"/>
  <c r="L229" i="142"/>
  <c r="K229" i="142"/>
  <c r="J229" i="142"/>
  <c r="I229" i="142"/>
  <c r="H229" i="142"/>
  <c r="G229" i="142"/>
  <c r="F229" i="142"/>
  <c r="E229" i="142"/>
  <c r="D229" i="142"/>
  <c r="C229" i="142"/>
  <c r="B229" i="142"/>
  <c r="N228" i="142"/>
  <c r="M228" i="142"/>
  <c r="L228" i="142"/>
  <c r="K228" i="142"/>
  <c r="J228" i="142"/>
  <c r="I228" i="142"/>
  <c r="H228" i="142"/>
  <c r="G228" i="142"/>
  <c r="F228" i="142"/>
  <c r="E228" i="142"/>
  <c r="D228" i="142"/>
  <c r="C228" i="142"/>
  <c r="B228" i="142"/>
  <c r="N224" i="142"/>
  <c r="M224" i="142"/>
  <c r="L224" i="142"/>
  <c r="K224" i="142"/>
  <c r="J224" i="142"/>
  <c r="I224" i="142"/>
  <c r="H224" i="142"/>
  <c r="G224" i="142"/>
  <c r="F224" i="142"/>
  <c r="E224" i="142"/>
  <c r="D224" i="142"/>
  <c r="C224" i="142"/>
  <c r="A224" i="142"/>
  <c r="N223" i="142"/>
  <c r="M223" i="142"/>
  <c r="L223" i="142"/>
  <c r="K223" i="142"/>
  <c r="J223" i="142"/>
  <c r="I223" i="142"/>
  <c r="H223" i="142"/>
  <c r="G223" i="142"/>
  <c r="F223" i="142"/>
  <c r="E223" i="142"/>
  <c r="D223" i="142"/>
  <c r="C223" i="142"/>
  <c r="B223" i="142"/>
  <c r="N222" i="142"/>
  <c r="M222" i="142"/>
  <c r="L222" i="142"/>
  <c r="K222" i="142"/>
  <c r="J222" i="142"/>
  <c r="I222" i="142"/>
  <c r="H222" i="142"/>
  <c r="G222" i="142"/>
  <c r="F222" i="142"/>
  <c r="E222" i="142"/>
  <c r="D222" i="142"/>
  <c r="C222" i="142"/>
  <c r="B222" i="142"/>
  <c r="N221" i="142"/>
  <c r="M221" i="142"/>
  <c r="L221" i="142"/>
  <c r="K221" i="142"/>
  <c r="J221" i="142"/>
  <c r="I221" i="142"/>
  <c r="H221" i="142"/>
  <c r="G221" i="142"/>
  <c r="F221" i="142"/>
  <c r="E221" i="142"/>
  <c r="D221" i="142"/>
  <c r="C221" i="142"/>
  <c r="B221" i="142"/>
  <c r="N220" i="142"/>
  <c r="M220" i="142"/>
  <c r="L220" i="142"/>
  <c r="K220" i="142"/>
  <c r="J220" i="142"/>
  <c r="I220" i="142"/>
  <c r="H220" i="142"/>
  <c r="G220" i="142"/>
  <c r="F220" i="142"/>
  <c r="E220" i="142"/>
  <c r="D220" i="142"/>
  <c r="C220" i="142"/>
  <c r="B220" i="142"/>
  <c r="N219" i="142"/>
  <c r="M219" i="142"/>
  <c r="L219" i="142"/>
  <c r="K219" i="142"/>
  <c r="J219" i="142"/>
  <c r="I219" i="142"/>
  <c r="H219" i="142"/>
  <c r="G219" i="142"/>
  <c r="F219" i="142"/>
  <c r="E219" i="142"/>
  <c r="D219" i="142"/>
  <c r="C219" i="142"/>
  <c r="B219" i="142"/>
  <c r="N218" i="142"/>
  <c r="M218" i="142"/>
  <c r="L218" i="142"/>
  <c r="K218" i="142"/>
  <c r="J218" i="142"/>
  <c r="I218" i="142"/>
  <c r="H218" i="142"/>
  <c r="G218" i="142"/>
  <c r="F218" i="142"/>
  <c r="E218" i="142"/>
  <c r="D218" i="142"/>
  <c r="C218" i="142"/>
  <c r="B218" i="142"/>
  <c r="N217" i="142"/>
  <c r="M217" i="142"/>
  <c r="L217" i="142"/>
  <c r="K217" i="142"/>
  <c r="J217" i="142"/>
  <c r="I217" i="142"/>
  <c r="H217" i="142"/>
  <c r="G217" i="142"/>
  <c r="F217" i="142"/>
  <c r="E217" i="142"/>
  <c r="D217" i="142"/>
  <c r="C217" i="142"/>
  <c r="B217" i="142"/>
  <c r="N216" i="142"/>
  <c r="M216" i="142"/>
  <c r="L216" i="142"/>
  <c r="K216" i="142"/>
  <c r="J216" i="142"/>
  <c r="I216" i="142"/>
  <c r="H216" i="142"/>
  <c r="G216" i="142"/>
  <c r="F216" i="142"/>
  <c r="E216" i="142"/>
  <c r="D216" i="142"/>
  <c r="C216" i="142"/>
  <c r="B216" i="142"/>
  <c r="N215" i="142"/>
  <c r="M215" i="142"/>
  <c r="L215" i="142"/>
  <c r="K215" i="142"/>
  <c r="J215" i="142"/>
  <c r="I215" i="142"/>
  <c r="H215" i="142"/>
  <c r="G215" i="142"/>
  <c r="F215" i="142"/>
  <c r="E215" i="142"/>
  <c r="D215" i="142"/>
  <c r="C215" i="142"/>
  <c r="B215" i="142"/>
  <c r="N214" i="142"/>
  <c r="M214" i="142"/>
  <c r="L214" i="142"/>
  <c r="K214" i="142"/>
  <c r="J214" i="142"/>
  <c r="I214" i="142"/>
  <c r="H214" i="142"/>
  <c r="G214" i="142"/>
  <c r="F214" i="142"/>
  <c r="E214" i="142"/>
  <c r="D214" i="142"/>
  <c r="C214" i="142"/>
  <c r="B214" i="142"/>
  <c r="N213" i="142"/>
  <c r="M213" i="142"/>
  <c r="L213" i="142"/>
  <c r="K213" i="142"/>
  <c r="J213" i="142"/>
  <c r="I213" i="142"/>
  <c r="H213" i="142"/>
  <c r="G213" i="142"/>
  <c r="F213" i="142"/>
  <c r="E213" i="142"/>
  <c r="D213" i="142"/>
  <c r="C213" i="142"/>
  <c r="B213" i="142"/>
  <c r="N212" i="142"/>
  <c r="M212" i="142"/>
  <c r="L212" i="142"/>
  <c r="K212" i="142"/>
  <c r="J212" i="142"/>
  <c r="I212" i="142"/>
  <c r="H212" i="142"/>
  <c r="G212" i="142"/>
  <c r="F212" i="142"/>
  <c r="E212" i="142"/>
  <c r="D212" i="142"/>
  <c r="C212" i="142"/>
  <c r="B212" i="142"/>
  <c r="N206" i="142"/>
  <c r="M206" i="142"/>
  <c r="L206" i="142"/>
  <c r="K206" i="142"/>
  <c r="J206" i="142"/>
  <c r="I206" i="142"/>
  <c r="H206" i="142"/>
  <c r="G206" i="142"/>
  <c r="F206" i="142"/>
  <c r="E206" i="142"/>
  <c r="D206" i="142"/>
  <c r="C206" i="142"/>
  <c r="A206" i="142"/>
  <c r="N205" i="142"/>
  <c r="M205" i="142"/>
  <c r="L205" i="142"/>
  <c r="K205" i="142"/>
  <c r="J205" i="142"/>
  <c r="I205" i="142"/>
  <c r="H205" i="142"/>
  <c r="G205" i="142"/>
  <c r="F205" i="142"/>
  <c r="E205" i="142"/>
  <c r="D205" i="142"/>
  <c r="C205" i="142"/>
  <c r="B205" i="142"/>
  <c r="N204" i="142"/>
  <c r="M204" i="142"/>
  <c r="L204" i="142"/>
  <c r="K204" i="142"/>
  <c r="J204" i="142"/>
  <c r="I204" i="142"/>
  <c r="H204" i="142"/>
  <c r="G204" i="142"/>
  <c r="F204" i="142"/>
  <c r="E204" i="142"/>
  <c r="D204" i="142"/>
  <c r="C204" i="142"/>
  <c r="B204" i="142"/>
  <c r="N203" i="142"/>
  <c r="M203" i="142"/>
  <c r="L203" i="142"/>
  <c r="K203" i="142"/>
  <c r="J203" i="142"/>
  <c r="I203" i="142"/>
  <c r="H203" i="142"/>
  <c r="G203" i="142"/>
  <c r="F203" i="142"/>
  <c r="E203" i="142"/>
  <c r="D203" i="142"/>
  <c r="C203" i="142"/>
  <c r="B203" i="142"/>
  <c r="N202" i="142"/>
  <c r="M202" i="142"/>
  <c r="L202" i="142"/>
  <c r="K202" i="142"/>
  <c r="J202" i="142"/>
  <c r="I202" i="142"/>
  <c r="H202" i="142"/>
  <c r="G202" i="142"/>
  <c r="F202" i="142"/>
  <c r="E202" i="142"/>
  <c r="D202" i="142"/>
  <c r="C202" i="142"/>
  <c r="B202" i="142"/>
  <c r="N201" i="142"/>
  <c r="M201" i="142"/>
  <c r="L201" i="142"/>
  <c r="K201" i="142"/>
  <c r="J201" i="142"/>
  <c r="I201" i="142"/>
  <c r="H201" i="142"/>
  <c r="G201" i="142"/>
  <c r="F201" i="142"/>
  <c r="E201" i="142"/>
  <c r="D201" i="142"/>
  <c r="C201" i="142"/>
  <c r="B201" i="142"/>
  <c r="N200" i="142"/>
  <c r="M200" i="142"/>
  <c r="L200" i="142"/>
  <c r="K200" i="142"/>
  <c r="J200" i="142"/>
  <c r="I200" i="142"/>
  <c r="H200" i="142"/>
  <c r="G200" i="142"/>
  <c r="F200" i="142"/>
  <c r="E200" i="142"/>
  <c r="D200" i="142"/>
  <c r="C200" i="142"/>
  <c r="B200" i="142"/>
  <c r="N199" i="142"/>
  <c r="M199" i="142"/>
  <c r="L199" i="142"/>
  <c r="K199" i="142"/>
  <c r="J199" i="142"/>
  <c r="I199" i="142"/>
  <c r="H199" i="142"/>
  <c r="G199" i="142"/>
  <c r="F199" i="142"/>
  <c r="E199" i="142"/>
  <c r="D199" i="142"/>
  <c r="C199" i="142"/>
  <c r="B199" i="142"/>
  <c r="N198" i="142"/>
  <c r="M198" i="142"/>
  <c r="L198" i="142"/>
  <c r="K198" i="142"/>
  <c r="J198" i="142"/>
  <c r="I198" i="142"/>
  <c r="H198" i="142"/>
  <c r="G198" i="142"/>
  <c r="F198" i="142"/>
  <c r="E198" i="142"/>
  <c r="D198" i="142"/>
  <c r="C198" i="142"/>
  <c r="B198" i="142"/>
  <c r="N197" i="142"/>
  <c r="M197" i="142"/>
  <c r="L197" i="142"/>
  <c r="K197" i="142"/>
  <c r="J197" i="142"/>
  <c r="I197" i="142"/>
  <c r="H197" i="142"/>
  <c r="G197" i="142"/>
  <c r="F197" i="142"/>
  <c r="E197" i="142"/>
  <c r="D197" i="142"/>
  <c r="C197" i="142"/>
  <c r="B197" i="142"/>
  <c r="N196" i="142"/>
  <c r="M196" i="142"/>
  <c r="L196" i="142"/>
  <c r="K196" i="142"/>
  <c r="J196" i="142"/>
  <c r="I196" i="142"/>
  <c r="H196" i="142"/>
  <c r="G196" i="142"/>
  <c r="F196" i="142"/>
  <c r="E196" i="142"/>
  <c r="D196" i="142"/>
  <c r="C196" i="142"/>
  <c r="B196" i="142"/>
  <c r="N195" i="142"/>
  <c r="M195" i="142"/>
  <c r="L195" i="142"/>
  <c r="K195" i="142"/>
  <c r="J195" i="142"/>
  <c r="I195" i="142"/>
  <c r="H195" i="142"/>
  <c r="G195" i="142"/>
  <c r="F195" i="142"/>
  <c r="E195" i="142"/>
  <c r="D195" i="142"/>
  <c r="C195" i="142"/>
  <c r="B195" i="142"/>
  <c r="N194" i="142"/>
  <c r="M194" i="142"/>
  <c r="L194" i="142"/>
  <c r="K194" i="142"/>
  <c r="J194" i="142"/>
  <c r="I194" i="142"/>
  <c r="H194" i="142"/>
  <c r="G194" i="142"/>
  <c r="F194" i="142"/>
  <c r="E194" i="142"/>
  <c r="D194" i="142"/>
  <c r="C194" i="142"/>
  <c r="B194" i="142"/>
  <c r="N190" i="142"/>
  <c r="M190" i="142"/>
  <c r="L190" i="142"/>
  <c r="K190" i="142"/>
  <c r="J190" i="142"/>
  <c r="I190" i="142"/>
  <c r="H190" i="142"/>
  <c r="G190" i="142"/>
  <c r="F190" i="142"/>
  <c r="E190" i="142"/>
  <c r="D190" i="142"/>
  <c r="C190" i="142"/>
  <c r="A190" i="142"/>
  <c r="N189" i="142"/>
  <c r="M189" i="142"/>
  <c r="L189" i="142"/>
  <c r="K189" i="142"/>
  <c r="J189" i="142"/>
  <c r="I189" i="142"/>
  <c r="H189" i="142"/>
  <c r="G189" i="142"/>
  <c r="F189" i="142"/>
  <c r="E189" i="142"/>
  <c r="D189" i="142"/>
  <c r="C189" i="142"/>
  <c r="B189" i="142"/>
  <c r="N188" i="142"/>
  <c r="M188" i="142"/>
  <c r="L188" i="142"/>
  <c r="K188" i="142"/>
  <c r="J188" i="142"/>
  <c r="I188" i="142"/>
  <c r="H188" i="142"/>
  <c r="G188" i="142"/>
  <c r="F188" i="142"/>
  <c r="E188" i="142"/>
  <c r="D188" i="142"/>
  <c r="C188" i="142"/>
  <c r="B188" i="142"/>
  <c r="N187" i="142"/>
  <c r="M187" i="142"/>
  <c r="L187" i="142"/>
  <c r="K187" i="142"/>
  <c r="J187" i="142"/>
  <c r="I187" i="142"/>
  <c r="H187" i="142"/>
  <c r="G187" i="142"/>
  <c r="F187" i="142"/>
  <c r="E187" i="142"/>
  <c r="D187" i="142"/>
  <c r="C187" i="142"/>
  <c r="B187" i="142"/>
  <c r="N186" i="142"/>
  <c r="M186" i="142"/>
  <c r="L186" i="142"/>
  <c r="K186" i="142"/>
  <c r="J186" i="142"/>
  <c r="I186" i="142"/>
  <c r="H186" i="142"/>
  <c r="G186" i="142"/>
  <c r="F186" i="142"/>
  <c r="E186" i="142"/>
  <c r="D186" i="142"/>
  <c r="C186" i="142"/>
  <c r="B186" i="142"/>
  <c r="N185" i="142"/>
  <c r="M185" i="142"/>
  <c r="L185" i="142"/>
  <c r="K185" i="142"/>
  <c r="J185" i="142"/>
  <c r="I185" i="142"/>
  <c r="H185" i="142"/>
  <c r="G185" i="142"/>
  <c r="F185" i="142"/>
  <c r="E185" i="142"/>
  <c r="D185" i="142"/>
  <c r="C185" i="142"/>
  <c r="B185" i="142"/>
  <c r="N184" i="142"/>
  <c r="M184" i="142"/>
  <c r="L184" i="142"/>
  <c r="K184" i="142"/>
  <c r="J184" i="142"/>
  <c r="I184" i="142"/>
  <c r="H184" i="142"/>
  <c r="G184" i="142"/>
  <c r="F184" i="142"/>
  <c r="E184" i="142"/>
  <c r="D184" i="142"/>
  <c r="C184" i="142"/>
  <c r="B184" i="142"/>
  <c r="N183" i="142"/>
  <c r="M183" i="142"/>
  <c r="L183" i="142"/>
  <c r="K183" i="142"/>
  <c r="J183" i="142"/>
  <c r="I183" i="142"/>
  <c r="H183" i="142"/>
  <c r="G183" i="142"/>
  <c r="F183" i="142"/>
  <c r="E183" i="142"/>
  <c r="D183" i="142"/>
  <c r="C183" i="142"/>
  <c r="B183" i="142"/>
  <c r="N182" i="142"/>
  <c r="M182" i="142"/>
  <c r="L182" i="142"/>
  <c r="K182" i="142"/>
  <c r="J182" i="142"/>
  <c r="I182" i="142"/>
  <c r="H182" i="142"/>
  <c r="G182" i="142"/>
  <c r="F182" i="142"/>
  <c r="E182" i="142"/>
  <c r="D182" i="142"/>
  <c r="C182" i="142"/>
  <c r="B182" i="142"/>
  <c r="N181" i="142"/>
  <c r="M181" i="142"/>
  <c r="L181" i="142"/>
  <c r="K181" i="142"/>
  <c r="J181" i="142"/>
  <c r="I181" i="142"/>
  <c r="H181" i="142"/>
  <c r="G181" i="142"/>
  <c r="F181" i="142"/>
  <c r="E181" i="142"/>
  <c r="D181" i="142"/>
  <c r="C181" i="142"/>
  <c r="B181" i="142"/>
  <c r="N180" i="142"/>
  <c r="M180" i="142"/>
  <c r="L180" i="142"/>
  <c r="K180" i="142"/>
  <c r="J180" i="142"/>
  <c r="I180" i="142"/>
  <c r="H180" i="142"/>
  <c r="G180" i="142"/>
  <c r="F180" i="142"/>
  <c r="E180" i="142"/>
  <c r="D180" i="142"/>
  <c r="C180" i="142"/>
  <c r="B180" i="142"/>
  <c r="N179" i="142"/>
  <c r="M179" i="142"/>
  <c r="L179" i="142"/>
  <c r="K179" i="142"/>
  <c r="J179" i="142"/>
  <c r="I179" i="142"/>
  <c r="H179" i="142"/>
  <c r="G179" i="142"/>
  <c r="F179" i="142"/>
  <c r="E179" i="142"/>
  <c r="D179" i="142"/>
  <c r="C179" i="142"/>
  <c r="B179" i="142"/>
  <c r="N178" i="142"/>
  <c r="M178" i="142"/>
  <c r="L178" i="142"/>
  <c r="K178" i="142"/>
  <c r="J178" i="142"/>
  <c r="I178" i="142"/>
  <c r="H178" i="142"/>
  <c r="G178" i="142"/>
  <c r="F178" i="142"/>
  <c r="E178" i="142"/>
  <c r="D178" i="142"/>
  <c r="C178" i="142"/>
  <c r="B178" i="142"/>
  <c r="N172" i="142"/>
  <c r="M172" i="142"/>
  <c r="L172" i="142"/>
  <c r="K172" i="142"/>
  <c r="J172" i="142"/>
  <c r="I172" i="142"/>
  <c r="H172" i="142"/>
  <c r="G172" i="142"/>
  <c r="F172" i="142"/>
  <c r="E172" i="142"/>
  <c r="D172" i="142"/>
  <c r="C172" i="142"/>
  <c r="A172" i="142"/>
  <c r="N171" i="142"/>
  <c r="M171" i="142"/>
  <c r="L171" i="142"/>
  <c r="K171" i="142"/>
  <c r="J171" i="142"/>
  <c r="I171" i="142"/>
  <c r="H171" i="142"/>
  <c r="G171" i="142"/>
  <c r="F171" i="142"/>
  <c r="E171" i="142"/>
  <c r="D171" i="142"/>
  <c r="C171" i="142"/>
  <c r="B171" i="142"/>
  <c r="N170" i="142"/>
  <c r="M170" i="142"/>
  <c r="L170" i="142"/>
  <c r="K170" i="142"/>
  <c r="J170" i="142"/>
  <c r="I170" i="142"/>
  <c r="H170" i="142"/>
  <c r="G170" i="142"/>
  <c r="F170" i="142"/>
  <c r="E170" i="142"/>
  <c r="D170" i="142"/>
  <c r="C170" i="142"/>
  <c r="B170" i="142"/>
  <c r="N169" i="142"/>
  <c r="M169" i="142"/>
  <c r="L169" i="142"/>
  <c r="K169" i="142"/>
  <c r="J169" i="142"/>
  <c r="I169" i="142"/>
  <c r="H169" i="142"/>
  <c r="G169" i="142"/>
  <c r="F169" i="142"/>
  <c r="E169" i="142"/>
  <c r="D169" i="142"/>
  <c r="C169" i="142"/>
  <c r="B169" i="142"/>
  <c r="N168" i="142"/>
  <c r="M168" i="142"/>
  <c r="L168" i="142"/>
  <c r="K168" i="142"/>
  <c r="J168" i="142"/>
  <c r="I168" i="142"/>
  <c r="H168" i="142"/>
  <c r="G168" i="142"/>
  <c r="F168" i="142"/>
  <c r="E168" i="142"/>
  <c r="D168" i="142"/>
  <c r="C168" i="142"/>
  <c r="B168" i="142"/>
  <c r="N167" i="142"/>
  <c r="M167" i="142"/>
  <c r="L167" i="142"/>
  <c r="K167" i="142"/>
  <c r="J167" i="142"/>
  <c r="I167" i="142"/>
  <c r="H167" i="142"/>
  <c r="G167" i="142"/>
  <c r="F167" i="142"/>
  <c r="E167" i="142"/>
  <c r="D167" i="142"/>
  <c r="C167" i="142"/>
  <c r="B167" i="142"/>
  <c r="N166" i="142"/>
  <c r="M166" i="142"/>
  <c r="L166" i="142"/>
  <c r="K166" i="142"/>
  <c r="J166" i="142"/>
  <c r="I166" i="142"/>
  <c r="H166" i="142"/>
  <c r="G166" i="142"/>
  <c r="F166" i="142"/>
  <c r="E166" i="142"/>
  <c r="D166" i="142"/>
  <c r="C166" i="142"/>
  <c r="B166" i="142"/>
  <c r="N165" i="142"/>
  <c r="M165" i="142"/>
  <c r="L165" i="142"/>
  <c r="K165" i="142"/>
  <c r="J165" i="142"/>
  <c r="I165" i="142"/>
  <c r="H165" i="142"/>
  <c r="G165" i="142"/>
  <c r="F165" i="142"/>
  <c r="E165" i="142"/>
  <c r="D165" i="142"/>
  <c r="C165" i="142"/>
  <c r="B165" i="142"/>
  <c r="N164" i="142"/>
  <c r="M164" i="142"/>
  <c r="L164" i="142"/>
  <c r="K164" i="142"/>
  <c r="J164" i="142"/>
  <c r="I164" i="142"/>
  <c r="H164" i="142"/>
  <c r="G164" i="142"/>
  <c r="F164" i="142"/>
  <c r="E164" i="142"/>
  <c r="D164" i="142"/>
  <c r="C164" i="142"/>
  <c r="B164" i="142"/>
  <c r="N163" i="142"/>
  <c r="M163" i="142"/>
  <c r="L163" i="142"/>
  <c r="K163" i="142"/>
  <c r="J163" i="142"/>
  <c r="I163" i="142"/>
  <c r="H163" i="142"/>
  <c r="G163" i="142"/>
  <c r="F163" i="142"/>
  <c r="E163" i="142"/>
  <c r="D163" i="142"/>
  <c r="C163" i="142"/>
  <c r="B163" i="142"/>
  <c r="N162" i="142"/>
  <c r="M162" i="142"/>
  <c r="L162" i="142"/>
  <c r="K162" i="142"/>
  <c r="J162" i="142"/>
  <c r="I162" i="142"/>
  <c r="H162" i="142"/>
  <c r="G162" i="142"/>
  <c r="F162" i="142"/>
  <c r="E162" i="142"/>
  <c r="D162" i="142"/>
  <c r="C162" i="142"/>
  <c r="B162" i="142"/>
  <c r="N161" i="142"/>
  <c r="M161" i="142"/>
  <c r="L161" i="142"/>
  <c r="K161" i="142"/>
  <c r="J161" i="142"/>
  <c r="I161" i="142"/>
  <c r="H161" i="142"/>
  <c r="G161" i="142"/>
  <c r="F161" i="142"/>
  <c r="E161" i="142"/>
  <c r="D161" i="142"/>
  <c r="C161" i="142"/>
  <c r="B161" i="142"/>
  <c r="N160" i="142"/>
  <c r="M160" i="142"/>
  <c r="L160" i="142"/>
  <c r="K160" i="142"/>
  <c r="J160" i="142"/>
  <c r="I160" i="142"/>
  <c r="H160" i="142"/>
  <c r="G160" i="142"/>
  <c r="F160" i="142"/>
  <c r="E160" i="142"/>
  <c r="D160" i="142"/>
  <c r="C160" i="142"/>
  <c r="B160" i="142"/>
  <c r="N156" i="142"/>
  <c r="M156" i="142"/>
  <c r="L156" i="142"/>
  <c r="K156" i="142"/>
  <c r="J156" i="142"/>
  <c r="I156" i="142"/>
  <c r="H156" i="142"/>
  <c r="G156" i="142"/>
  <c r="F156" i="142"/>
  <c r="E156" i="142"/>
  <c r="D156" i="142"/>
  <c r="C156" i="142"/>
  <c r="A156" i="142"/>
  <c r="N155" i="142"/>
  <c r="M155" i="142"/>
  <c r="L155" i="142"/>
  <c r="K155" i="142"/>
  <c r="J155" i="142"/>
  <c r="I155" i="142"/>
  <c r="H155" i="142"/>
  <c r="G155" i="142"/>
  <c r="F155" i="142"/>
  <c r="E155" i="142"/>
  <c r="D155" i="142"/>
  <c r="C155" i="142"/>
  <c r="B155" i="142"/>
  <c r="N154" i="142"/>
  <c r="M154" i="142"/>
  <c r="L154" i="142"/>
  <c r="K154" i="142"/>
  <c r="J154" i="142"/>
  <c r="I154" i="142"/>
  <c r="H154" i="142"/>
  <c r="G154" i="142"/>
  <c r="F154" i="142"/>
  <c r="E154" i="142"/>
  <c r="D154" i="142"/>
  <c r="C154" i="142"/>
  <c r="B154" i="142"/>
  <c r="N153" i="142"/>
  <c r="M153" i="142"/>
  <c r="L153" i="142"/>
  <c r="K153" i="142"/>
  <c r="J153" i="142"/>
  <c r="I153" i="142"/>
  <c r="H153" i="142"/>
  <c r="G153" i="142"/>
  <c r="F153" i="142"/>
  <c r="E153" i="142"/>
  <c r="D153" i="142"/>
  <c r="C153" i="142"/>
  <c r="B153" i="142"/>
  <c r="N152" i="142"/>
  <c r="M152" i="142"/>
  <c r="L152" i="142"/>
  <c r="K152" i="142"/>
  <c r="J152" i="142"/>
  <c r="I152" i="142"/>
  <c r="H152" i="142"/>
  <c r="G152" i="142"/>
  <c r="F152" i="142"/>
  <c r="E152" i="142"/>
  <c r="D152" i="142"/>
  <c r="C152" i="142"/>
  <c r="B152" i="142"/>
  <c r="N151" i="142"/>
  <c r="M151" i="142"/>
  <c r="L151" i="142"/>
  <c r="K151" i="142"/>
  <c r="J151" i="142"/>
  <c r="I151" i="142"/>
  <c r="H151" i="142"/>
  <c r="G151" i="142"/>
  <c r="F151" i="142"/>
  <c r="E151" i="142"/>
  <c r="D151" i="142"/>
  <c r="C151" i="142"/>
  <c r="B151" i="142"/>
  <c r="N150" i="142"/>
  <c r="M150" i="142"/>
  <c r="L150" i="142"/>
  <c r="K150" i="142"/>
  <c r="J150" i="142"/>
  <c r="I150" i="142"/>
  <c r="H150" i="142"/>
  <c r="G150" i="142"/>
  <c r="F150" i="142"/>
  <c r="E150" i="142"/>
  <c r="D150" i="142"/>
  <c r="C150" i="142"/>
  <c r="B150" i="142"/>
  <c r="N149" i="142"/>
  <c r="M149" i="142"/>
  <c r="L149" i="142"/>
  <c r="K149" i="142"/>
  <c r="J149" i="142"/>
  <c r="I149" i="142"/>
  <c r="H149" i="142"/>
  <c r="G149" i="142"/>
  <c r="F149" i="142"/>
  <c r="E149" i="142"/>
  <c r="D149" i="142"/>
  <c r="C149" i="142"/>
  <c r="B149" i="142"/>
  <c r="N148" i="142"/>
  <c r="M148" i="142"/>
  <c r="L148" i="142"/>
  <c r="K148" i="142"/>
  <c r="J148" i="142"/>
  <c r="I148" i="142"/>
  <c r="H148" i="142"/>
  <c r="G148" i="142"/>
  <c r="F148" i="142"/>
  <c r="E148" i="142"/>
  <c r="D148" i="142"/>
  <c r="C148" i="142"/>
  <c r="B148" i="142"/>
  <c r="N147" i="142"/>
  <c r="M147" i="142"/>
  <c r="L147" i="142"/>
  <c r="K147" i="142"/>
  <c r="J147" i="142"/>
  <c r="I147" i="142"/>
  <c r="H147" i="142"/>
  <c r="G147" i="142"/>
  <c r="F147" i="142"/>
  <c r="E147" i="142"/>
  <c r="D147" i="142"/>
  <c r="C147" i="142"/>
  <c r="B147" i="142"/>
  <c r="N146" i="142"/>
  <c r="M146" i="142"/>
  <c r="L146" i="142"/>
  <c r="K146" i="142"/>
  <c r="J146" i="142"/>
  <c r="I146" i="142"/>
  <c r="H146" i="142"/>
  <c r="G146" i="142"/>
  <c r="F146" i="142"/>
  <c r="E146" i="142"/>
  <c r="D146" i="142"/>
  <c r="C146" i="142"/>
  <c r="B146" i="142"/>
  <c r="N145" i="142"/>
  <c r="M145" i="142"/>
  <c r="L145" i="142"/>
  <c r="K145" i="142"/>
  <c r="J145" i="142"/>
  <c r="I145" i="142"/>
  <c r="H145" i="142"/>
  <c r="G145" i="142"/>
  <c r="F145" i="142"/>
  <c r="E145" i="142"/>
  <c r="D145" i="142"/>
  <c r="C145" i="142"/>
  <c r="B145" i="142"/>
  <c r="N144" i="142"/>
  <c r="M144" i="142"/>
  <c r="L144" i="142"/>
  <c r="K144" i="142"/>
  <c r="J144" i="142"/>
  <c r="I144" i="142"/>
  <c r="H144" i="142"/>
  <c r="G144" i="142"/>
  <c r="F144" i="142"/>
  <c r="E144" i="142"/>
  <c r="D144" i="142"/>
  <c r="C144" i="142"/>
  <c r="B144" i="142"/>
  <c r="N138" i="142"/>
  <c r="M138" i="142"/>
  <c r="L138" i="142"/>
  <c r="K138" i="142"/>
  <c r="J138" i="142"/>
  <c r="I138" i="142"/>
  <c r="H138" i="142"/>
  <c r="G138" i="142"/>
  <c r="F138" i="142"/>
  <c r="E138" i="142"/>
  <c r="D138" i="142"/>
  <c r="C138" i="142"/>
  <c r="A138" i="142"/>
  <c r="N137" i="142"/>
  <c r="M137" i="142"/>
  <c r="L137" i="142"/>
  <c r="K137" i="142"/>
  <c r="J137" i="142"/>
  <c r="I137" i="142"/>
  <c r="H137" i="142"/>
  <c r="G137" i="142"/>
  <c r="F137" i="142"/>
  <c r="E137" i="142"/>
  <c r="D137" i="142"/>
  <c r="C137" i="142"/>
  <c r="B137" i="142"/>
  <c r="N136" i="142"/>
  <c r="M136" i="142"/>
  <c r="L136" i="142"/>
  <c r="K136" i="142"/>
  <c r="J136" i="142"/>
  <c r="I136" i="142"/>
  <c r="H136" i="142"/>
  <c r="G136" i="142"/>
  <c r="F136" i="142"/>
  <c r="E136" i="142"/>
  <c r="D136" i="142"/>
  <c r="C136" i="142"/>
  <c r="B136" i="142"/>
  <c r="N135" i="142"/>
  <c r="M135" i="142"/>
  <c r="L135" i="142"/>
  <c r="K135" i="142"/>
  <c r="J135" i="142"/>
  <c r="I135" i="142"/>
  <c r="H135" i="142"/>
  <c r="G135" i="142"/>
  <c r="F135" i="142"/>
  <c r="E135" i="142"/>
  <c r="D135" i="142"/>
  <c r="C135" i="142"/>
  <c r="B135" i="142"/>
  <c r="N134" i="142"/>
  <c r="M134" i="142"/>
  <c r="L134" i="142"/>
  <c r="K134" i="142"/>
  <c r="J134" i="142"/>
  <c r="I134" i="142"/>
  <c r="H134" i="142"/>
  <c r="G134" i="142"/>
  <c r="F134" i="142"/>
  <c r="E134" i="142"/>
  <c r="D134" i="142"/>
  <c r="C134" i="142"/>
  <c r="B134" i="142"/>
  <c r="N133" i="142"/>
  <c r="M133" i="142"/>
  <c r="L133" i="142"/>
  <c r="K133" i="142"/>
  <c r="J133" i="142"/>
  <c r="I133" i="142"/>
  <c r="H133" i="142"/>
  <c r="G133" i="142"/>
  <c r="F133" i="142"/>
  <c r="E133" i="142"/>
  <c r="D133" i="142"/>
  <c r="C133" i="142"/>
  <c r="B133" i="142"/>
  <c r="N132" i="142"/>
  <c r="M132" i="142"/>
  <c r="L132" i="142"/>
  <c r="K132" i="142"/>
  <c r="J132" i="142"/>
  <c r="I132" i="142"/>
  <c r="H132" i="142"/>
  <c r="G132" i="142"/>
  <c r="F132" i="142"/>
  <c r="E132" i="142"/>
  <c r="D132" i="142"/>
  <c r="C132" i="142"/>
  <c r="B132" i="142"/>
  <c r="N131" i="142"/>
  <c r="M131" i="142"/>
  <c r="L131" i="142"/>
  <c r="K131" i="142"/>
  <c r="J131" i="142"/>
  <c r="I131" i="142"/>
  <c r="H131" i="142"/>
  <c r="G131" i="142"/>
  <c r="F131" i="142"/>
  <c r="E131" i="142"/>
  <c r="D131" i="142"/>
  <c r="C131" i="142"/>
  <c r="B131" i="142"/>
  <c r="N130" i="142"/>
  <c r="M130" i="142"/>
  <c r="L130" i="142"/>
  <c r="K130" i="142"/>
  <c r="J130" i="142"/>
  <c r="I130" i="142"/>
  <c r="H130" i="142"/>
  <c r="G130" i="142"/>
  <c r="F130" i="142"/>
  <c r="E130" i="142"/>
  <c r="D130" i="142"/>
  <c r="C130" i="142"/>
  <c r="B130" i="142"/>
  <c r="N129" i="142"/>
  <c r="M129" i="142"/>
  <c r="L129" i="142"/>
  <c r="K129" i="142"/>
  <c r="J129" i="142"/>
  <c r="I129" i="142"/>
  <c r="H129" i="142"/>
  <c r="G129" i="142"/>
  <c r="F129" i="142"/>
  <c r="E129" i="142"/>
  <c r="D129" i="142"/>
  <c r="C129" i="142"/>
  <c r="B129" i="142"/>
  <c r="N128" i="142"/>
  <c r="M128" i="142"/>
  <c r="L128" i="142"/>
  <c r="K128" i="142"/>
  <c r="J128" i="142"/>
  <c r="I128" i="142"/>
  <c r="H128" i="142"/>
  <c r="G128" i="142"/>
  <c r="F128" i="142"/>
  <c r="E128" i="142"/>
  <c r="D128" i="142"/>
  <c r="C128" i="142"/>
  <c r="B128" i="142"/>
  <c r="N127" i="142"/>
  <c r="M127" i="142"/>
  <c r="L127" i="142"/>
  <c r="K127" i="142"/>
  <c r="J127" i="142"/>
  <c r="I127" i="142"/>
  <c r="H127" i="142"/>
  <c r="G127" i="142"/>
  <c r="F127" i="142"/>
  <c r="E127" i="142"/>
  <c r="D127" i="142"/>
  <c r="C127" i="142"/>
  <c r="B127" i="142"/>
  <c r="N126" i="142"/>
  <c r="M126" i="142"/>
  <c r="L126" i="142"/>
  <c r="K126" i="142"/>
  <c r="J126" i="142"/>
  <c r="I126" i="142"/>
  <c r="H126" i="142"/>
  <c r="G126" i="142"/>
  <c r="F126" i="142"/>
  <c r="E126" i="142"/>
  <c r="D126" i="142"/>
  <c r="C126" i="142"/>
  <c r="B126" i="142"/>
  <c r="N122" i="142"/>
  <c r="M122" i="142"/>
  <c r="L122" i="142"/>
  <c r="K122" i="142"/>
  <c r="J122" i="142"/>
  <c r="I122" i="142"/>
  <c r="H122" i="142"/>
  <c r="G122" i="142"/>
  <c r="F122" i="142"/>
  <c r="E122" i="142"/>
  <c r="D122" i="142"/>
  <c r="C122" i="142"/>
  <c r="A122" i="142"/>
  <c r="N121" i="142"/>
  <c r="M121" i="142"/>
  <c r="L121" i="142"/>
  <c r="K121" i="142"/>
  <c r="J121" i="142"/>
  <c r="I121" i="142"/>
  <c r="H121" i="142"/>
  <c r="G121" i="142"/>
  <c r="F121" i="142"/>
  <c r="E121" i="142"/>
  <c r="D121" i="142"/>
  <c r="C121" i="142"/>
  <c r="B121" i="142"/>
  <c r="N120" i="142"/>
  <c r="M120" i="142"/>
  <c r="L120" i="142"/>
  <c r="K120" i="142"/>
  <c r="J120" i="142"/>
  <c r="I120" i="142"/>
  <c r="H120" i="142"/>
  <c r="G120" i="142"/>
  <c r="F120" i="142"/>
  <c r="E120" i="142"/>
  <c r="D120" i="142"/>
  <c r="C120" i="142"/>
  <c r="B120" i="142"/>
  <c r="N119" i="142"/>
  <c r="M119" i="142"/>
  <c r="L119" i="142"/>
  <c r="K119" i="142"/>
  <c r="J119" i="142"/>
  <c r="I119" i="142"/>
  <c r="H119" i="142"/>
  <c r="G119" i="142"/>
  <c r="F119" i="142"/>
  <c r="E119" i="142"/>
  <c r="D119" i="142"/>
  <c r="C119" i="142"/>
  <c r="B119" i="142"/>
  <c r="N118" i="142"/>
  <c r="M118" i="142"/>
  <c r="L118" i="142"/>
  <c r="K118" i="142"/>
  <c r="J118" i="142"/>
  <c r="I118" i="142"/>
  <c r="H118" i="142"/>
  <c r="G118" i="142"/>
  <c r="F118" i="142"/>
  <c r="E118" i="142"/>
  <c r="D118" i="142"/>
  <c r="C118" i="142"/>
  <c r="B118" i="142"/>
  <c r="N117" i="142"/>
  <c r="M117" i="142"/>
  <c r="L117" i="142"/>
  <c r="K117" i="142"/>
  <c r="J117" i="142"/>
  <c r="I117" i="142"/>
  <c r="H117" i="142"/>
  <c r="G117" i="142"/>
  <c r="F117" i="142"/>
  <c r="E117" i="142"/>
  <c r="D117" i="142"/>
  <c r="C117" i="142"/>
  <c r="B117" i="142"/>
  <c r="N116" i="142"/>
  <c r="M116" i="142"/>
  <c r="L116" i="142"/>
  <c r="K116" i="142"/>
  <c r="J116" i="142"/>
  <c r="I116" i="142"/>
  <c r="H116" i="142"/>
  <c r="G116" i="142"/>
  <c r="F116" i="142"/>
  <c r="E116" i="142"/>
  <c r="D116" i="142"/>
  <c r="C116" i="142"/>
  <c r="B116" i="142"/>
  <c r="N115" i="142"/>
  <c r="M115" i="142"/>
  <c r="L115" i="142"/>
  <c r="K115" i="142"/>
  <c r="J115" i="142"/>
  <c r="I115" i="142"/>
  <c r="H115" i="142"/>
  <c r="G115" i="142"/>
  <c r="F115" i="142"/>
  <c r="E115" i="142"/>
  <c r="D115" i="142"/>
  <c r="C115" i="142"/>
  <c r="B115" i="142"/>
  <c r="N114" i="142"/>
  <c r="M114" i="142"/>
  <c r="L114" i="142"/>
  <c r="K114" i="142"/>
  <c r="J114" i="142"/>
  <c r="I114" i="142"/>
  <c r="H114" i="142"/>
  <c r="G114" i="142"/>
  <c r="F114" i="142"/>
  <c r="E114" i="142"/>
  <c r="D114" i="142"/>
  <c r="C114" i="142"/>
  <c r="B114" i="142"/>
  <c r="N113" i="142"/>
  <c r="M113" i="142"/>
  <c r="L113" i="142"/>
  <c r="K113" i="142"/>
  <c r="J113" i="142"/>
  <c r="I113" i="142"/>
  <c r="H113" i="142"/>
  <c r="G113" i="142"/>
  <c r="F113" i="142"/>
  <c r="E113" i="142"/>
  <c r="D113" i="142"/>
  <c r="C113" i="142"/>
  <c r="B113" i="142"/>
  <c r="N112" i="142"/>
  <c r="M112" i="142"/>
  <c r="L112" i="142"/>
  <c r="K112" i="142"/>
  <c r="J112" i="142"/>
  <c r="I112" i="142"/>
  <c r="H112" i="142"/>
  <c r="G112" i="142"/>
  <c r="F112" i="142"/>
  <c r="E112" i="142"/>
  <c r="D112" i="142"/>
  <c r="C112" i="142"/>
  <c r="B112" i="142"/>
  <c r="N111" i="142"/>
  <c r="M111" i="142"/>
  <c r="L111" i="142"/>
  <c r="K111" i="142"/>
  <c r="J111" i="142"/>
  <c r="I111" i="142"/>
  <c r="H111" i="142"/>
  <c r="G111" i="142"/>
  <c r="F111" i="142"/>
  <c r="E111" i="142"/>
  <c r="D111" i="142"/>
  <c r="C111" i="142"/>
  <c r="B111" i="142"/>
  <c r="N110" i="142"/>
  <c r="M110" i="142"/>
  <c r="L110" i="142"/>
  <c r="K110" i="142"/>
  <c r="J110" i="142"/>
  <c r="I110" i="142"/>
  <c r="H110" i="142"/>
  <c r="G110" i="142"/>
  <c r="F110" i="142"/>
  <c r="E110" i="142"/>
  <c r="D110" i="142"/>
  <c r="C110" i="142"/>
  <c r="B110" i="142"/>
  <c r="N104" i="142"/>
  <c r="M104" i="142"/>
  <c r="L104" i="142"/>
  <c r="K104" i="142"/>
  <c r="J104" i="142"/>
  <c r="I104" i="142"/>
  <c r="H104" i="142"/>
  <c r="G104" i="142"/>
  <c r="F104" i="142"/>
  <c r="E104" i="142"/>
  <c r="D104" i="142"/>
  <c r="C104" i="142"/>
  <c r="A104" i="142"/>
  <c r="N103" i="142"/>
  <c r="M103" i="142"/>
  <c r="L103" i="142"/>
  <c r="K103" i="142"/>
  <c r="J103" i="142"/>
  <c r="I103" i="142"/>
  <c r="H103" i="142"/>
  <c r="G103" i="142"/>
  <c r="F103" i="142"/>
  <c r="E103" i="142"/>
  <c r="D103" i="142"/>
  <c r="C103" i="142"/>
  <c r="B103" i="142"/>
  <c r="N102" i="142"/>
  <c r="M102" i="142"/>
  <c r="L102" i="142"/>
  <c r="K102" i="142"/>
  <c r="J102" i="142"/>
  <c r="I102" i="142"/>
  <c r="H102" i="142"/>
  <c r="G102" i="142"/>
  <c r="F102" i="142"/>
  <c r="E102" i="142"/>
  <c r="D102" i="142"/>
  <c r="C102" i="142"/>
  <c r="B102" i="142"/>
  <c r="N101" i="142"/>
  <c r="M101" i="142"/>
  <c r="L101" i="142"/>
  <c r="K101" i="142"/>
  <c r="J101" i="142"/>
  <c r="I101" i="142"/>
  <c r="H101" i="142"/>
  <c r="G101" i="142"/>
  <c r="F101" i="142"/>
  <c r="E101" i="142"/>
  <c r="D101" i="142"/>
  <c r="C101" i="142"/>
  <c r="B101" i="142"/>
  <c r="N100" i="142"/>
  <c r="M100" i="142"/>
  <c r="L100" i="142"/>
  <c r="K100" i="142"/>
  <c r="J100" i="142"/>
  <c r="I100" i="142"/>
  <c r="H100" i="142"/>
  <c r="G100" i="142"/>
  <c r="F100" i="142"/>
  <c r="E100" i="142"/>
  <c r="D100" i="142"/>
  <c r="C100" i="142"/>
  <c r="B100" i="142"/>
  <c r="N99" i="142"/>
  <c r="M99" i="142"/>
  <c r="L99" i="142"/>
  <c r="K99" i="142"/>
  <c r="J99" i="142"/>
  <c r="I99" i="142"/>
  <c r="H99" i="142"/>
  <c r="G99" i="142"/>
  <c r="F99" i="142"/>
  <c r="E99" i="142"/>
  <c r="D99" i="142"/>
  <c r="C99" i="142"/>
  <c r="B99" i="142"/>
  <c r="N98" i="142"/>
  <c r="M98" i="142"/>
  <c r="L98" i="142"/>
  <c r="K98" i="142"/>
  <c r="J98" i="142"/>
  <c r="I98" i="142"/>
  <c r="H98" i="142"/>
  <c r="G98" i="142"/>
  <c r="F98" i="142"/>
  <c r="E98" i="142"/>
  <c r="D98" i="142"/>
  <c r="C98" i="142"/>
  <c r="B98" i="142"/>
  <c r="N97" i="142"/>
  <c r="M97" i="142"/>
  <c r="L97" i="142"/>
  <c r="K97" i="142"/>
  <c r="J97" i="142"/>
  <c r="I97" i="142"/>
  <c r="H97" i="142"/>
  <c r="G97" i="142"/>
  <c r="F97" i="142"/>
  <c r="E97" i="142"/>
  <c r="D97" i="142"/>
  <c r="C97" i="142"/>
  <c r="B97" i="142"/>
  <c r="N96" i="142"/>
  <c r="M96" i="142"/>
  <c r="L96" i="142"/>
  <c r="K96" i="142"/>
  <c r="J96" i="142"/>
  <c r="I96" i="142"/>
  <c r="H96" i="142"/>
  <c r="G96" i="142"/>
  <c r="F96" i="142"/>
  <c r="E96" i="142"/>
  <c r="D96" i="142"/>
  <c r="C96" i="142"/>
  <c r="B96" i="142"/>
  <c r="N95" i="142"/>
  <c r="M95" i="142"/>
  <c r="L95" i="142"/>
  <c r="K95" i="142"/>
  <c r="J95" i="142"/>
  <c r="I95" i="142"/>
  <c r="H95" i="142"/>
  <c r="G95" i="142"/>
  <c r="F95" i="142"/>
  <c r="E95" i="142"/>
  <c r="D95" i="142"/>
  <c r="C95" i="142"/>
  <c r="B95" i="142"/>
  <c r="N94" i="142"/>
  <c r="M94" i="142"/>
  <c r="L94" i="142"/>
  <c r="K94" i="142"/>
  <c r="J94" i="142"/>
  <c r="I94" i="142"/>
  <c r="H94" i="142"/>
  <c r="G94" i="142"/>
  <c r="F94" i="142"/>
  <c r="E94" i="142"/>
  <c r="D94" i="142"/>
  <c r="C94" i="142"/>
  <c r="B94" i="142"/>
  <c r="N93" i="142"/>
  <c r="M93" i="142"/>
  <c r="L93" i="142"/>
  <c r="K93" i="142"/>
  <c r="J93" i="142"/>
  <c r="I93" i="142"/>
  <c r="H93" i="142"/>
  <c r="G93" i="142"/>
  <c r="F93" i="142"/>
  <c r="E93" i="142"/>
  <c r="D93" i="142"/>
  <c r="C93" i="142"/>
  <c r="B93" i="142"/>
  <c r="N92" i="142"/>
  <c r="M92" i="142"/>
  <c r="L92" i="142"/>
  <c r="K92" i="142"/>
  <c r="J92" i="142"/>
  <c r="I92" i="142"/>
  <c r="H92" i="142"/>
  <c r="G92" i="142"/>
  <c r="F92" i="142"/>
  <c r="E92" i="142"/>
  <c r="D92" i="142"/>
  <c r="C92" i="142"/>
  <c r="B92" i="142"/>
  <c r="N88" i="142"/>
  <c r="M88" i="142"/>
  <c r="L88" i="142"/>
  <c r="K88" i="142"/>
  <c r="J88" i="142"/>
  <c r="I88" i="142"/>
  <c r="H88" i="142"/>
  <c r="G88" i="142"/>
  <c r="F88" i="142"/>
  <c r="E88" i="142"/>
  <c r="D88" i="142"/>
  <c r="C88" i="142"/>
  <c r="A88" i="142"/>
  <c r="N87" i="142"/>
  <c r="M87" i="142"/>
  <c r="L87" i="142"/>
  <c r="K87" i="142"/>
  <c r="J87" i="142"/>
  <c r="I87" i="142"/>
  <c r="H87" i="142"/>
  <c r="G87" i="142"/>
  <c r="F87" i="142"/>
  <c r="E87" i="142"/>
  <c r="D87" i="142"/>
  <c r="C87" i="142"/>
  <c r="B87" i="142"/>
  <c r="N86" i="142"/>
  <c r="M86" i="142"/>
  <c r="L86" i="142"/>
  <c r="K86" i="142"/>
  <c r="J86" i="142"/>
  <c r="I86" i="142"/>
  <c r="H86" i="142"/>
  <c r="G86" i="142"/>
  <c r="F86" i="142"/>
  <c r="E86" i="142"/>
  <c r="D86" i="142"/>
  <c r="C86" i="142"/>
  <c r="B86" i="142"/>
  <c r="N85" i="142"/>
  <c r="M85" i="142"/>
  <c r="L85" i="142"/>
  <c r="K85" i="142"/>
  <c r="J85" i="142"/>
  <c r="I85" i="142"/>
  <c r="H85" i="142"/>
  <c r="G85" i="142"/>
  <c r="F85" i="142"/>
  <c r="E85" i="142"/>
  <c r="D85" i="142"/>
  <c r="C85" i="142"/>
  <c r="B85" i="142"/>
  <c r="N84" i="142"/>
  <c r="M84" i="142"/>
  <c r="L84" i="142"/>
  <c r="K84" i="142"/>
  <c r="J84" i="142"/>
  <c r="I84" i="142"/>
  <c r="H84" i="142"/>
  <c r="G84" i="142"/>
  <c r="F84" i="142"/>
  <c r="E84" i="142"/>
  <c r="D84" i="142"/>
  <c r="C84" i="142"/>
  <c r="B84" i="142"/>
  <c r="N83" i="142"/>
  <c r="M83" i="142"/>
  <c r="L83" i="142"/>
  <c r="K83" i="142"/>
  <c r="J83" i="142"/>
  <c r="I83" i="142"/>
  <c r="H83" i="142"/>
  <c r="G83" i="142"/>
  <c r="F83" i="142"/>
  <c r="E83" i="142"/>
  <c r="D83" i="142"/>
  <c r="C83" i="142"/>
  <c r="B83" i="142"/>
  <c r="N82" i="142"/>
  <c r="M82" i="142"/>
  <c r="L82" i="142"/>
  <c r="K82" i="142"/>
  <c r="J82" i="142"/>
  <c r="I82" i="142"/>
  <c r="H82" i="142"/>
  <c r="G82" i="142"/>
  <c r="F82" i="142"/>
  <c r="E82" i="142"/>
  <c r="D82" i="142"/>
  <c r="C82" i="142"/>
  <c r="B82" i="142"/>
  <c r="N81" i="142"/>
  <c r="M81" i="142"/>
  <c r="L81" i="142"/>
  <c r="K81" i="142"/>
  <c r="J81" i="142"/>
  <c r="I81" i="142"/>
  <c r="H81" i="142"/>
  <c r="G81" i="142"/>
  <c r="F81" i="142"/>
  <c r="E81" i="142"/>
  <c r="D81" i="142"/>
  <c r="C81" i="142"/>
  <c r="B81" i="142"/>
  <c r="N80" i="142"/>
  <c r="M80" i="142"/>
  <c r="L80" i="142"/>
  <c r="K80" i="142"/>
  <c r="J80" i="142"/>
  <c r="I80" i="142"/>
  <c r="H80" i="142"/>
  <c r="G80" i="142"/>
  <c r="F80" i="142"/>
  <c r="E80" i="142"/>
  <c r="D80" i="142"/>
  <c r="C80" i="142"/>
  <c r="B80" i="142"/>
  <c r="N79" i="142"/>
  <c r="M79" i="142"/>
  <c r="L79" i="142"/>
  <c r="K79" i="142"/>
  <c r="J79" i="142"/>
  <c r="I79" i="142"/>
  <c r="H79" i="142"/>
  <c r="G79" i="142"/>
  <c r="F79" i="142"/>
  <c r="E79" i="142"/>
  <c r="D79" i="142"/>
  <c r="C79" i="142"/>
  <c r="B79" i="142"/>
  <c r="N78" i="142"/>
  <c r="M78" i="142"/>
  <c r="L78" i="142"/>
  <c r="K78" i="142"/>
  <c r="J78" i="142"/>
  <c r="I78" i="142"/>
  <c r="H78" i="142"/>
  <c r="G78" i="142"/>
  <c r="F78" i="142"/>
  <c r="E78" i="142"/>
  <c r="D78" i="142"/>
  <c r="C78" i="142"/>
  <c r="B78" i="142"/>
  <c r="N77" i="142"/>
  <c r="M77" i="142"/>
  <c r="L77" i="142"/>
  <c r="K77" i="142"/>
  <c r="J77" i="142"/>
  <c r="I77" i="142"/>
  <c r="H77" i="142"/>
  <c r="G77" i="142"/>
  <c r="F77" i="142"/>
  <c r="E77" i="142"/>
  <c r="D77" i="142"/>
  <c r="C77" i="142"/>
  <c r="B77" i="142"/>
  <c r="N76" i="142"/>
  <c r="M76" i="142"/>
  <c r="L76" i="142"/>
  <c r="K76" i="142"/>
  <c r="J76" i="142"/>
  <c r="I76" i="142"/>
  <c r="H76" i="142"/>
  <c r="G76" i="142"/>
  <c r="F76" i="142"/>
  <c r="E76" i="142"/>
  <c r="D76" i="142"/>
  <c r="C76" i="142"/>
  <c r="B76" i="142"/>
  <c r="N70" i="142"/>
  <c r="M70" i="142"/>
  <c r="L70" i="142"/>
  <c r="K70" i="142"/>
  <c r="J70" i="142"/>
  <c r="I70" i="142"/>
  <c r="H70" i="142"/>
  <c r="G70" i="142"/>
  <c r="F70" i="142"/>
  <c r="E70" i="142"/>
  <c r="D70" i="142"/>
  <c r="C70" i="142"/>
  <c r="A70" i="142"/>
  <c r="N69" i="142"/>
  <c r="M69" i="142"/>
  <c r="L69" i="142"/>
  <c r="K69" i="142"/>
  <c r="J69" i="142"/>
  <c r="I69" i="142"/>
  <c r="H69" i="142"/>
  <c r="G69" i="142"/>
  <c r="F69" i="142"/>
  <c r="E69" i="142"/>
  <c r="D69" i="142"/>
  <c r="C69" i="142"/>
  <c r="B69" i="142"/>
  <c r="N68" i="142"/>
  <c r="M68" i="142"/>
  <c r="L68" i="142"/>
  <c r="K68" i="142"/>
  <c r="J68" i="142"/>
  <c r="I68" i="142"/>
  <c r="H68" i="142"/>
  <c r="G68" i="142"/>
  <c r="F68" i="142"/>
  <c r="E68" i="142"/>
  <c r="D68" i="142"/>
  <c r="C68" i="142"/>
  <c r="B68" i="142"/>
  <c r="N67" i="142"/>
  <c r="M67" i="142"/>
  <c r="L67" i="142"/>
  <c r="K67" i="142"/>
  <c r="J67" i="142"/>
  <c r="I67" i="142"/>
  <c r="H67" i="142"/>
  <c r="G67" i="142"/>
  <c r="F67" i="142"/>
  <c r="E67" i="142"/>
  <c r="D67" i="142"/>
  <c r="C67" i="142"/>
  <c r="B67" i="142"/>
  <c r="N66" i="142"/>
  <c r="M66" i="142"/>
  <c r="L66" i="142"/>
  <c r="K66" i="142"/>
  <c r="J66" i="142"/>
  <c r="I66" i="142"/>
  <c r="H66" i="142"/>
  <c r="G66" i="142"/>
  <c r="F66" i="142"/>
  <c r="E66" i="142"/>
  <c r="D66" i="142"/>
  <c r="C66" i="142"/>
  <c r="B66" i="142"/>
  <c r="N65" i="142"/>
  <c r="M65" i="142"/>
  <c r="L65" i="142"/>
  <c r="K65" i="142"/>
  <c r="J65" i="142"/>
  <c r="I65" i="142"/>
  <c r="H65" i="142"/>
  <c r="G65" i="142"/>
  <c r="F65" i="142"/>
  <c r="E65" i="142"/>
  <c r="D65" i="142"/>
  <c r="C65" i="142"/>
  <c r="B65" i="142"/>
  <c r="N64" i="142"/>
  <c r="M64" i="142"/>
  <c r="L64" i="142"/>
  <c r="K64" i="142"/>
  <c r="J64" i="142"/>
  <c r="I64" i="142"/>
  <c r="H64" i="142"/>
  <c r="G64" i="142"/>
  <c r="F64" i="142"/>
  <c r="E64" i="142"/>
  <c r="D64" i="142"/>
  <c r="C64" i="142"/>
  <c r="B64" i="142"/>
  <c r="N63" i="142"/>
  <c r="M63" i="142"/>
  <c r="L63" i="142"/>
  <c r="K63" i="142"/>
  <c r="J63" i="142"/>
  <c r="I63" i="142"/>
  <c r="H63" i="142"/>
  <c r="G63" i="142"/>
  <c r="F63" i="142"/>
  <c r="E63" i="142"/>
  <c r="D63" i="142"/>
  <c r="C63" i="142"/>
  <c r="B63" i="142"/>
  <c r="N62" i="142"/>
  <c r="M62" i="142"/>
  <c r="L62" i="142"/>
  <c r="K62" i="142"/>
  <c r="J62" i="142"/>
  <c r="I62" i="142"/>
  <c r="H62" i="142"/>
  <c r="G62" i="142"/>
  <c r="F62" i="142"/>
  <c r="E62" i="142"/>
  <c r="D62" i="142"/>
  <c r="C62" i="142"/>
  <c r="B62" i="142"/>
  <c r="N61" i="142"/>
  <c r="M61" i="142"/>
  <c r="L61" i="142"/>
  <c r="K61" i="142"/>
  <c r="J61" i="142"/>
  <c r="I61" i="142"/>
  <c r="H61" i="142"/>
  <c r="G61" i="142"/>
  <c r="F61" i="142"/>
  <c r="E61" i="142"/>
  <c r="D61" i="142"/>
  <c r="C61" i="142"/>
  <c r="B61" i="142"/>
  <c r="N60" i="142"/>
  <c r="M60" i="142"/>
  <c r="L60" i="142"/>
  <c r="K60" i="142"/>
  <c r="J60" i="142"/>
  <c r="I60" i="142"/>
  <c r="H60" i="142"/>
  <c r="G60" i="142"/>
  <c r="F60" i="142"/>
  <c r="E60" i="142"/>
  <c r="D60" i="142"/>
  <c r="C60" i="142"/>
  <c r="B60" i="142"/>
  <c r="N59" i="142"/>
  <c r="M59" i="142"/>
  <c r="L59" i="142"/>
  <c r="K59" i="142"/>
  <c r="J59" i="142"/>
  <c r="I59" i="142"/>
  <c r="H59" i="142"/>
  <c r="G59" i="142"/>
  <c r="F59" i="142"/>
  <c r="E59" i="142"/>
  <c r="D59" i="142"/>
  <c r="C59" i="142"/>
  <c r="B59" i="142"/>
  <c r="N58" i="142"/>
  <c r="M58" i="142"/>
  <c r="L58" i="142"/>
  <c r="K58" i="142"/>
  <c r="J58" i="142"/>
  <c r="I58" i="142"/>
  <c r="H58" i="142"/>
  <c r="G58" i="142"/>
  <c r="F58" i="142"/>
  <c r="E58" i="142"/>
  <c r="D58" i="142"/>
  <c r="C58" i="142"/>
  <c r="B58" i="142"/>
  <c r="N54" i="142"/>
  <c r="M54" i="142"/>
  <c r="L54" i="142"/>
  <c r="K54" i="142"/>
  <c r="J54" i="142"/>
  <c r="I54" i="142"/>
  <c r="H54" i="142"/>
  <c r="G54" i="142"/>
  <c r="F54" i="142"/>
  <c r="E54" i="142"/>
  <c r="D54" i="142"/>
  <c r="C54" i="142"/>
  <c r="A54" i="142"/>
  <c r="N53" i="142"/>
  <c r="M53" i="142"/>
  <c r="L53" i="142"/>
  <c r="K53" i="142"/>
  <c r="J53" i="142"/>
  <c r="I53" i="142"/>
  <c r="H53" i="142"/>
  <c r="G53" i="142"/>
  <c r="F53" i="142"/>
  <c r="E53" i="142"/>
  <c r="D53" i="142"/>
  <c r="C53" i="142"/>
  <c r="B53" i="142"/>
  <c r="N52" i="142"/>
  <c r="M52" i="142"/>
  <c r="L52" i="142"/>
  <c r="K52" i="142"/>
  <c r="J52" i="142"/>
  <c r="I52" i="142"/>
  <c r="H52" i="142"/>
  <c r="G52" i="142"/>
  <c r="F52" i="142"/>
  <c r="E52" i="142"/>
  <c r="D52" i="142"/>
  <c r="C52" i="142"/>
  <c r="B52" i="142"/>
  <c r="N51" i="142"/>
  <c r="M51" i="142"/>
  <c r="L51" i="142"/>
  <c r="K51" i="142"/>
  <c r="J51" i="142"/>
  <c r="I51" i="142"/>
  <c r="H51" i="142"/>
  <c r="G51" i="142"/>
  <c r="F51" i="142"/>
  <c r="E51" i="142"/>
  <c r="D51" i="142"/>
  <c r="C51" i="142"/>
  <c r="B51" i="142"/>
  <c r="N50" i="142"/>
  <c r="M50" i="142"/>
  <c r="L50" i="142"/>
  <c r="K50" i="142"/>
  <c r="J50" i="142"/>
  <c r="I50" i="142"/>
  <c r="H50" i="142"/>
  <c r="G50" i="142"/>
  <c r="F50" i="142"/>
  <c r="E50" i="142"/>
  <c r="D50" i="142"/>
  <c r="C50" i="142"/>
  <c r="B50" i="142"/>
  <c r="N49" i="142"/>
  <c r="M49" i="142"/>
  <c r="L49" i="142"/>
  <c r="K49" i="142"/>
  <c r="J49" i="142"/>
  <c r="I49" i="142"/>
  <c r="H49" i="142"/>
  <c r="G49" i="142"/>
  <c r="F49" i="142"/>
  <c r="E49" i="142"/>
  <c r="D49" i="142"/>
  <c r="C49" i="142"/>
  <c r="B49" i="142"/>
  <c r="N48" i="142"/>
  <c r="M48" i="142"/>
  <c r="L48" i="142"/>
  <c r="K48" i="142"/>
  <c r="J48" i="142"/>
  <c r="I48" i="142"/>
  <c r="H48" i="142"/>
  <c r="G48" i="142"/>
  <c r="F48" i="142"/>
  <c r="E48" i="142"/>
  <c r="D48" i="142"/>
  <c r="C48" i="142"/>
  <c r="B48" i="142"/>
  <c r="N47" i="142"/>
  <c r="M47" i="142"/>
  <c r="L47" i="142"/>
  <c r="K47" i="142"/>
  <c r="J47" i="142"/>
  <c r="I47" i="142"/>
  <c r="H47" i="142"/>
  <c r="G47" i="142"/>
  <c r="F47" i="142"/>
  <c r="E47" i="142"/>
  <c r="D47" i="142"/>
  <c r="C47" i="142"/>
  <c r="B47" i="142"/>
  <c r="N46" i="142"/>
  <c r="M46" i="142"/>
  <c r="L46" i="142"/>
  <c r="K46" i="142"/>
  <c r="J46" i="142"/>
  <c r="I46" i="142"/>
  <c r="H46" i="142"/>
  <c r="G46" i="142"/>
  <c r="F46" i="142"/>
  <c r="E46" i="142"/>
  <c r="D46" i="142"/>
  <c r="C46" i="142"/>
  <c r="B46" i="142"/>
  <c r="N45" i="142"/>
  <c r="M45" i="142"/>
  <c r="L45" i="142"/>
  <c r="K45" i="142"/>
  <c r="J45" i="142"/>
  <c r="I45" i="142"/>
  <c r="H45" i="142"/>
  <c r="G45" i="142"/>
  <c r="F45" i="142"/>
  <c r="E45" i="142"/>
  <c r="D45" i="142"/>
  <c r="C45" i="142"/>
  <c r="B45" i="142"/>
  <c r="N44" i="142"/>
  <c r="M44" i="142"/>
  <c r="L44" i="142"/>
  <c r="K44" i="142"/>
  <c r="J44" i="142"/>
  <c r="I44" i="142"/>
  <c r="H44" i="142"/>
  <c r="G44" i="142"/>
  <c r="F44" i="142"/>
  <c r="E44" i="142"/>
  <c r="D44" i="142"/>
  <c r="C44" i="142"/>
  <c r="B44" i="142"/>
  <c r="N43" i="142"/>
  <c r="M43" i="142"/>
  <c r="L43" i="142"/>
  <c r="K43" i="142"/>
  <c r="J43" i="142"/>
  <c r="I43" i="142"/>
  <c r="H43" i="142"/>
  <c r="G43" i="142"/>
  <c r="F43" i="142"/>
  <c r="E43" i="142"/>
  <c r="D43" i="142"/>
  <c r="C43" i="142"/>
  <c r="B43" i="142"/>
  <c r="N42" i="142"/>
  <c r="M42" i="142"/>
  <c r="L42" i="142"/>
  <c r="K42" i="142"/>
  <c r="J42" i="142"/>
  <c r="I42" i="142"/>
  <c r="H42" i="142"/>
  <c r="G42" i="142"/>
  <c r="F42" i="142"/>
  <c r="E42" i="142"/>
  <c r="D42" i="142"/>
  <c r="C42" i="142"/>
  <c r="B42" i="142"/>
  <c r="N36" i="142"/>
  <c r="M36" i="142"/>
  <c r="L36" i="142"/>
  <c r="K36" i="142"/>
  <c r="J36" i="142"/>
  <c r="I36" i="142"/>
  <c r="H36" i="142"/>
  <c r="G36" i="142"/>
  <c r="F36" i="142"/>
  <c r="E36" i="142"/>
  <c r="D36" i="142"/>
  <c r="C36" i="142"/>
  <c r="B36" i="142"/>
  <c r="N35" i="142"/>
  <c r="M35" i="142"/>
  <c r="L35" i="142"/>
  <c r="K35" i="142"/>
  <c r="J35" i="142"/>
  <c r="I35" i="142"/>
  <c r="H35" i="142"/>
  <c r="G35" i="142"/>
  <c r="F35" i="142"/>
  <c r="E35" i="142"/>
  <c r="D35" i="142"/>
  <c r="C35" i="142"/>
  <c r="B35" i="142"/>
  <c r="I31" i="142"/>
  <c r="H31" i="142"/>
  <c r="G31" i="142"/>
  <c r="E31" i="142"/>
  <c r="D31" i="142"/>
  <c r="C31" i="142"/>
  <c r="B31" i="142"/>
  <c r="A31" i="142"/>
  <c r="D30" i="142"/>
  <c r="C30" i="142"/>
  <c r="B30" i="142"/>
  <c r="D29" i="142"/>
  <c r="C29" i="142"/>
  <c r="B29" i="142"/>
  <c r="D28" i="142"/>
  <c r="C28" i="142"/>
  <c r="B28" i="142"/>
  <c r="D27" i="142"/>
  <c r="C27" i="142"/>
  <c r="B27" i="142"/>
  <c r="D26" i="142"/>
  <c r="C26" i="142"/>
  <c r="B26" i="142"/>
  <c r="D25" i="142"/>
  <c r="C25" i="142"/>
  <c r="B25" i="142"/>
  <c r="D24" i="142"/>
  <c r="C24" i="142"/>
  <c r="B24" i="142"/>
  <c r="D23" i="142"/>
  <c r="C23" i="142"/>
  <c r="B23" i="142"/>
  <c r="D22" i="142"/>
  <c r="C22" i="142"/>
  <c r="B22" i="142"/>
  <c r="D21" i="142"/>
  <c r="C21" i="142"/>
  <c r="B21" i="142"/>
  <c r="D20" i="142"/>
  <c r="C20" i="142"/>
  <c r="C19" i="142"/>
  <c r="B19" i="142"/>
  <c r="N15" i="142"/>
  <c r="M15" i="142"/>
  <c r="L15" i="142"/>
  <c r="K15" i="142"/>
  <c r="J15" i="142"/>
  <c r="I15" i="142"/>
  <c r="H15" i="142"/>
  <c r="G15" i="142"/>
  <c r="F15" i="142"/>
  <c r="E15" i="142"/>
  <c r="D15" i="142"/>
  <c r="C15" i="142"/>
  <c r="B15" i="142"/>
  <c r="N14" i="142"/>
  <c r="M14" i="142"/>
  <c r="L14" i="142"/>
  <c r="K14" i="142"/>
  <c r="J14" i="142"/>
  <c r="I14" i="142"/>
  <c r="H14" i="142"/>
  <c r="G14" i="142"/>
  <c r="F14" i="142"/>
  <c r="E14" i="142"/>
  <c r="D14" i="142"/>
  <c r="C14" i="142"/>
  <c r="B14" i="142"/>
  <c r="A10" i="142"/>
  <c r="A1" i="142"/>
  <c r="N371" i="141"/>
  <c r="M371" i="141"/>
  <c r="L371" i="141"/>
  <c r="K371" i="141"/>
  <c r="J371" i="141"/>
  <c r="I371" i="141"/>
  <c r="H371" i="141"/>
  <c r="G371" i="141"/>
  <c r="F371" i="141"/>
  <c r="E371" i="141"/>
  <c r="D371" i="141"/>
  <c r="C371" i="141"/>
  <c r="A371" i="141"/>
  <c r="N370" i="141"/>
  <c r="M370" i="141"/>
  <c r="L370" i="141"/>
  <c r="K370" i="141"/>
  <c r="J370" i="141"/>
  <c r="I370" i="141"/>
  <c r="H370" i="141"/>
  <c r="G370" i="141"/>
  <c r="F370" i="141"/>
  <c r="E370" i="141"/>
  <c r="D370" i="141"/>
  <c r="C370" i="141"/>
  <c r="A370" i="141"/>
  <c r="N369" i="141"/>
  <c r="M369" i="141"/>
  <c r="L369" i="141"/>
  <c r="K369" i="141"/>
  <c r="J369" i="141"/>
  <c r="I369" i="141"/>
  <c r="H369" i="141"/>
  <c r="G369" i="141"/>
  <c r="F369" i="141"/>
  <c r="E369" i="141"/>
  <c r="D369" i="141"/>
  <c r="C369" i="141"/>
  <c r="N368" i="141"/>
  <c r="M368" i="141"/>
  <c r="L368" i="141"/>
  <c r="K368" i="141"/>
  <c r="J368" i="141"/>
  <c r="I368" i="141"/>
  <c r="H368" i="141"/>
  <c r="G368" i="141"/>
  <c r="F368" i="141"/>
  <c r="E368" i="141"/>
  <c r="D368" i="141"/>
  <c r="C368" i="141"/>
  <c r="N367" i="141"/>
  <c r="M367" i="141"/>
  <c r="L367" i="141"/>
  <c r="K367" i="141"/>
  <c r="J367" i="141"/>
  <c r="I367" i="141"/>
  <c r="H367" i="141"/>
  <c r="G367" i="141"/>
  <c r="F367" i="141"/>
  <c r="E367" i="141"/>
  <c r="D367" i="141"/>
  <c r="C367" i="141"/>
  <c r="A367" i="141"/>
  <c r="N366" i="141"/>
  <c r="M366" i="141"/>
  <c r="L366" i="141"/>
  <c r="K366" i="141"/>
  <c r="J366" i="141"/>
  <c r="I366" i="141"/>
  <c r="H366" i="141"/>
  <c r="G366" i="141"/>
  <c r="F366" i="141"/>
  <c r="E366" i="141"/>
  <c r="D366" i="141"/>
  <c r="C366" i="141"/>
  <c r="B366" i="141"/>
  <c r="N365" i="141"/>
  <c r="M365" i="141"/>
  <c r="L365" i="141"/>
  <c r="K365" i="141"/>
  <c r="J365" i="141"/>
  <c r="I365" i="141"/>
  <c r="H365" i="141"/>
  <c r="G365" i="141"/>
  <c r="F365" i="141"/>
  <c r="E365" i="141"/>
  <c r="D365" i="141"/>
  <c r="C365" i="141"/>
  <c r="B365" i="141"/>
  <c r="N364" i="141"/>
  <c r="M364" i="141"/>
  <c r="L364" i="141"/>
  <c r="K364" i="141"/>
  <c r="J364" i="141"/>
  <c r="I364" i="141"/>
  <c r="H364" i="141"/>
  <c r="G364" i="141"/>
  <c r="F364" i="141"/>
  <c r="E364" i="141"/>
  <c r="D364" i="141"/>
  <c r="C364" i="141"/>
  <c r="B364" i="141"/>
  <c r="N363" i="141"/>
  <c r="M363" i="141"/>
  <c r="L363" i="141"/>
  <c r="K363" i="141"/>
  <c r="J363" i="141"/>
  <c r="I363" i="141"/>
  <c r="H363" i="141"/>
  <c r="G363" i="141"/>
  <c r="F363" i="141"/>
  <c r="E363" i="141"/>
  <c r="D363" i="141"/>
  <c r="C363" i="141"/>
  <c r="B363" i="141"/>
  <c r="N362" i="141"/>
  <c r="M362" i="141"/>
  <c r="L362" i="141"/>
  <c r="K362" i="141"/>
  <c r="J362" i="141"/>
  <c r="I362" i="141"/>
  <c r="H362" i="141"/>
  <c r="G362" i="141"/>
  <c r="F362" i="141"/>
  <c r="E362" i="141"/>
  <c r="D362" i="141"/>
  <c r="C362" i="141"/>
  <c r="B362" i="141"/>
  <c r="N361" i="141"/>
  <c r="M361" i="141"/>
  <c r="L361" i="141"/>
  <c r="K361" i="141"/>
  <c r="J361" i="141"/>
  <c r="I361" i="141"/>
  <c r="H361" i="141"/>
  <c r="G361" i="141"/>
  <c r="F361" i="141"/>
  <c r="E361" i="141"/>
  <c r="D361" i="141"/>
  <c r="C361" i="141"/>
  <c r="B361" i="141"/>
  <c r="N360" i="141"/>
  <c r="M360" i="141"/>
  <c r="L360" i="141"/>
  <c r="K360" i="141"/>
  <c r="J360" i="141"/>
  <c r="I360" i="141"/>
  <c r="H360" i="141"/>
  <c r="G360" i="141"/>
  <c r="F360" i="141"/>
  <c r="E360" i="141"/>
  <c r="D360" i="141"/>
  <c r="C360" i="141"/>
  <c r="B360" i="141"/>
  <c r="N359" i="141"/>
  <c r="M359" i="141"/>
  <c r="L359" i="141"/>
  <c r="K359" i="141"/>
  <c r="J359" i="141"/>
  <c r="I359" i="141"/>
  <c r="H359" i="141"/>
  <c r="G359" i="141"/>
  <c r="F359" i="141"/>
  <c r="E359" i="141"/>
  <c r="D359" i="141"/>
  <c r="C359" i="141"/>
  <c r="B359" i="141"/>
  <c r="N358" i="141"/>
  <c r="M358" i="141"/>
  <c r="L358" i="141"/>
  <c r="K358" i="141"/>
  <c r="J358" i="141"/>
  <c r="I358" i="141"/>
  <c r="H358" i="141"/>
  <c r="G358" i="141"/>
  <c r="F358" i="141"/>
  <c r="E358" i="141"/>
  <c r="D358" i="141"/>
  <c r="C358" i="141"/>
  <c r="B358" i="141"/>
  <c r="N357" i="141"/>
  <c r="M357" i="141"/>
  <c r="L357" i="141"/>
  <c r="K357" i="141"/>
  <c r="J357" i="141"/>
  <c r="I357" i="141"/>
  <c r="H357" i="141"/>
  <c r="G357" i="141"/>
  <c r="F357" i="141"/>
  <c r="E357" i="141"/>
  <c r="D357" i="141"/>
  <c r="C357" i="141"/>
  <c r="B357" i="141"/>
  <c r="N356" i="141"/>
  <c r="M356" i="141"/>
  <c r="L356" i="141"/>
  <c r="K356" i="141"/>
  <c r="J356" i="141"/>
  <c r="I356" i="141"/>
  <c r="H356" i="141"/>
  <c r="G356" i="141"/>
  <c r="F356" i="141"/>
  <c r="E356" i="141"/>
  <c r="D356" i="141"/>
  <c r="C356" i="141"/>
  <c r="B356" i="141"/>
  <c r="N355" i="141"/>
  <c r="M355" i="141"/>
  <c r="L355" i="141"/>
  <c r="K355" i="141"/>
  <c r="J355" i="141"/>
  <c r="I355" i="141"/>
  <c r="H355" i="141"/>
  <c r="G355" i="141"/>
  <c r="F355" i="141"/>
  <c r="E355" i="141"/>
  <c r="D355" i="141"/>
  <c r="C355" i="141"/>
  <c r="B355" i="141"/>
  <c r="N351" i="141"/>
  <c r="M351" i="141"/>
  <c r="L351" i="141"/>
  <c r="K351" i="141"/>
  <c r="J351" i="141"/>
  <c r="I351" i="141"/>
  <c r="H351" i="141"/>
  <c r="G351" i="141"/>
  <c r="F351" i="141"/>
  <c r="E351" i="141"/>
  <c r="D351" i="141"/>
  <c r="C351" i="141"/>
  <c r="A351" i="141"/>
  <c r="N350" i="141"/>
  <c r="M350" i="141"/>
  <c r="L350" i="141"/>
  <c r="K350" i="141"/>
  <c r="J350" i="141"/>
  <c r="I350" i="141"/>
  <c r="H350" i="141"/>
  <c r="G350" i="141"/>
  <c r="F350" i="141"/>
  <c r="E350" i="141"/>
  <c r="D350" i="141"/>
  <c r="C350" i="141"/>
  <c r="B350" i="141"/>
  <c r="N349" i="141"/>
  <c r="M349" i="141"/>
  <c r="L349" i="141"/>
  <c r="K349" i="141"/>
  <c r="J349" i="141"/>
  <c r="I349" i="141"/>
  <c r="H349" i="141"/>
  <c r="G349" i="141"/>
  <c r="F349" i="141"/>
  <c r="E349" i="141"/>
  <c r="D349" i="141"/>
  <c r="C349" i="141"/>
  <c r="B349" i="141"/>
  <c r="N348" i="141"/>
  <c r="M348" i="141"/>
  <c r="L348" i="141"/>
  <c r="K348" i="141"/>
  <c r="J348" i="141"/>
  <c r="I348" i="141"/>
  <c r="H348" i="141"/>
  <c r="G348" i="141"/>
  <c r="F348" i="141"/>
  <c r="E348" i="141"/>
  <c r="D348" i="141"/>
  <c r="C348" i="141"/>
  <c r="B348" i="141"/>
  <c r="N347" i="141"/>
  <c r="M347" i="141"/>
  <c r="L347" i="141"/>
  <c r="K347" i="141"/>
  <c r="J347" i="141"/>
  <c r="I347" i="141"/>
  <c r="H347" i="141"/>
  <c r="G347" i="141"/>
  <c r="F347" i="141"/>
  <c r="E347" i="141"/>
  <c r="D347" i="141"/>
  <c r="C347" i="141"/>
  <c r="B347" i="141"/>
  <c r="N346" i="141"/>
  <c r="M346" i="141"/>
  <c r="L346" i="141"/>
  <c r="K346" i="141"/>
  <c r="J346" i="141"/>
  <c r="I346" i="141"/>
  <c r="H346" i="141"/>
  <c r="G346" i="141"/>
  <c r="F346" i="141"/>
  <c r="E346" i="141"/>
  <c r="D346" i="141"/>
  <c r="C346" i="141"/>
  <c r="B346" i="141"/>
  <c r="N345" i="141"/>
  <c r="M345" i="141"/>
  <c r="L345" i="141"/>
  <c r="K345" i="141"/>
  <c r="J345" i="141"/>
  <c r="I345" i="141"/>
  <c r="H345" i="141"/>
  <c r="G345" i="141"/>
  <c r="F345" i="141"/>
  <c r="E345" i="141"/>
  <c r="D345" i="141"/>
  <c r="C345" i="141"/>
  <c r="B345" i="141"/>
  <c r="N344" i="141"/>
  <c r="M344" i="141"/>
  <c r="L344" i="141"/>
  <c r="K344" i="141"/>
  <c r="J344" i="141"/>
  <c r="I344" i="141"/>
  <c r="H344" i="141"/>
  <c r="G344" i="141"/>
  <c r="F344" i="141"/>
  <c r="E344" i="141"/>
  <c r="D344" i="141"/>
  <c r="C344" i="141"/>
  <c r="B344" i="141"/>
  <c r="N343" i="141"/>
  <c r="M343" i="141"/>
  <c r="L343" i="141"/>
  <c r="K343" i="141"/>
  <c r="J343" i="141"/>
  <c r="I343" i="141"/>
  <c r="H343" i="141"/>
  <c r="G343" i="141"/>
  <c r="F343" i="141"/>
  <c r="E343" i="141"/>
  <c r="D343" i="141"/>
  <c r="C343" i="141"/>
  <c r="B343" i="141"/>
  <c r="N342" i="141"/>
  <c r="M342" i="141"/>
  <c r="L342" i="141"/>
  <c r="K342" i="141"/>
  <c r="J342" i="141"/>
  <c r="I342" i="141"/>
  <c r="H342" i="141"/>
  <c r="G342" i="141"/>
  <c r="F342" i="141"/>
  <c r="E342" i="141"/>
  <c r="D342" i="141"/>
  <c r="C342" i="141"/>
  <c r="B342" i="141"/>
  <c r="N341" i="141"/>
  <c r="M341" i="141"/>
  <c r="L341" i="141"/>
  <c r="K341" i="141"/>
  <c r="J341" i="141"/>
  <c r="I341" i="141"/>
  <c r="H341" i="141"/>
  <c r="G341" i="141"/>
  <c r="F341" i="141"/>
  <c r="E341" i="141"/>
  <c r="D341" i="141"/>
  <c r="C341" i="141"/>
  <c r="B341" i="141"/>
  <c r="N340" i="141"/>
  <c r="M340" i="141"/>
  <c r="L340" i="141"/>
  <c r="K340" i="141"/>
  <c r="J340" i="141"/>
  <c r="I340" i="141"/>
  <c r="H340" i="141"/>
  <c r="G340" i="141"/>
  <c r="F340" i="141"/>
  <c r="E340" i="141"/>
  <c r="D340" i="141"/>
  <c r="C340" i="141"/>
  <c r="B340" i="141"/>
  <c r="N339" i="141"/>
  <c r="M339" i="141"/>
  <c r="L339" i="141"/>
  <c r="K339" i="141"/>
  <c r="J339" i="141"/>
  <c r="I339" i="141"/>
  <c r="H339" i="141"/>
  <c r="G339" i="141"/>
  <c r="F339" i="141"/>
  <c r="E339" i="141"/>
  <c r="D339" i="141"/>
  <c r="C339" i="141"/>
  <c r="B339" i="141"/>
  <c r="N333" i="141"/>
  <c r="M333" i="141"/>
  <c r="L333" i="141"/>
  <c r="K333" i="141"/>
  <c r="J333" i="141"/>
  <c r="I333" i="141"/>
  <c r="H333" i="141"/>
  <c r="G333" i="141"/>
  <c r="F333" i="141"/>
  <c r="E333" i="141"/>
  <c r="D333" i="141"/>
  <c r="C333" i="141"/>
  <c r="A333" i="141"/>
  <c r="N332" i="141"/>
  <c r="M332" i="141"/>
  <c r="L332" i="141"/>
  <c r="K332" i="141"/>
  <c r="J332" i="141"/>
  <c r="I332" i="141"/>
  <c r="H332" i="141"/>
  <c r="G332" i="141"/>
  <c r="F332" i="141"/>
  <c r="E332" i="141"/>
  <c r="D332" i="141"/>
  <c r="C332" i="141"/>
  <c r="N331" i="141"/>
  <c r="M331" i="141"/>
  <c r="L331" i="141"/>
  <c r="K331" i="141"/>
  <c r="J331" i="141"/>
  <c r="I331" i="141"/>
  <c r="H331" i="141"/>
  <c r="G331" i="141"/>
  <c r="F331" i="141"/>
  <c r="E331" i="141"/>
  <c r="D331" i="141"/>
  <c r="C331" i="141"/>
  <c r="N330" i="141"/>
  <c r="M330" i="141"/>
  <c r="L330" i="141"/>
  <c r="K330" i="141"/>
  <c r="J330" i="141"/>
  <c r="I330" i="141"/>
  <c r="H330" i="141"/>
  <c r="G330" i="141"/>
  <c r="F330" i="141"/>
  <c r="E330" i="141"/>
  <c r="D330" i="141"/>
  <c r="C330" i="141"/>
  <c r="A330" i="141"/>
  <c r="N329" i="141"/>
  <c r="M329" i="141"/>
  <c r="L329" i="141"/>
  <c r="K329" i="141"/>
  <c r="J329" i="141"/>
  <c r="I329" i="141"/>
  <c r="H329" i="141"/>
  <c r="G329" i="141"/>
  <c r="F329" i="141"/>
  <c r="E329" i="141"/>
  <c r="D329" i="141"/>
  <c r="C329" i="141"/>
  <c r="B329" i="141"/>
  <c r="N328" i="141"/>
  <c r="M328" i="141"/>
  <c r="L328" i="141"/>
  <c r="K328" i="141"/>
  <c r="J328" i="141"/>
  <c r="I328" i="141"/>
  <c r="H328" i="141"/>
  <c r="G328" i="141"/>
  <c r="F328" i="141"/>
  <c r="E328" i="141"/>
  <c r="D328" i="141"/>
  <c r="C328" i="141"/>
  <c r="B328" i="141"/>
  <c r="N327" i="141"/>
  <c r="M327" i="141"/>
  <c r="L327" i="141"/>
  <c r="K327" i="141"/>
  <c r="J327" i="141"/>
  <c r="I327" i="141"/>
  <c r="H327" i="141"/>
  <c r="G327" i="141"/>
  <c r="F327" i="141"/>
  <c r="E327" i="141"/>
  <c r="D327" i="141"/>
  <c r="C327" i="141"/>
  <c r="B327" i="141"/>
  <c r="N326" i="141"/>
  <c r="M326" i="141"/>
  <c r="L326" i="141"/>
  <c r="K326" i="141"/>
  <c r="J326" i="141"/>
  <c r="I326" i="141"/>
  <c r="H326" i="141"/>
  <c r="G326" i="141"/>
  <c r="F326" i="141"/>
  <c r="E326" i="141"/>
  <c r="D326" i="141"/>
  <c r="C326" i="141"/>
  <c r="B326" i="141"/>
  <c r="N325" i="141"/>
  <c r="M325" i="141"/>
  <c r="L325" i="141"/>
  <c r="K325" i="141"/>
  <c r="J325" i="141"/>
  <c r="I325" i="141"/>
  <c r="H325" i="141"/>
  <c r="G325" i="141"/>
  <c r="F325" i="141"/>
  <c r="E325" i="141"/>
  <c r="D325" i="141"/>
  <c r="C325" i="141"/>
  <c r="B325" i="141"/>
  <c r="N324" i="141"/>
  <c r="M324" i="141"/>
  <c r="L324" i="141"/>
  <c r="K324" i="141"/>
  <c r="J324" i="141"/>
  <c r="I324" i="141"/>
  <c r="H324" i="141"/>
  <c r="G324" i="141"/>
  <c r="F324" i="141"/>
  <c r="E324" i="141"/>
  <c r="D324" i="141"/>
  <c r="C324" i="141"/>
  <c r="B324" i="141"/>
  <c r="N323" i="141"/>
  <c r="M323" i="141"/>
  <c r="L323" i="141"/>
  <c r="K323" i="141"/>
  <c r="J323" i="141"/>
  <c r="I323" i="141"/>
  <c r="H323" i="141"/>
  <c r="G323" i="141"/>
  <c r="F323" i="141"/>
  <c r="E323" i="141"/>
  <c r="D323" i="141"/>
  <c r="C323" i="141"/>
  <c r="B323" i="141"/>
  <c r="N322" i="141"/>
  <c r="M322" i="141"/>
  <c r="L322" i="141"/>
  <c r="K322" i="141"/>
  <c r="J322" i="141"/>
  <c r="I322" i="141"/>
  <c r="H322" i="141"/>
  <c r="G322" i="141"/>
  <c r="F322" i="141"/>
  <c r="E322" i="141"/>
  <c r="D322" i="141"/>
  <c r="C322" i="141"/>
  <c r="B322" i="141"/>
  <c r="N321" i="141"/>
  <c r="M321" i="141"/>
  <c r="L321" i="141"/>
  <c r="K321" i="141"/>
  <c r="J321" i="141"/>
  <c r="I321" i="141"/>
  <c r="H321" i="141"/>
  <c r="G321" i="141"/>
  <c r="F321" i="141"/>
  <c r="E321" i="141"/>
  <c r="D321" i="141"/>
  <c r="C321" i="141"/>
  <c r="B321" i="141"/>
  <c r="N320" i="141"/>
  <c r="M320" i="141"/>
  <c r="L320" i="141"/>
  <c r="K320" i="141"/>
  <c r="J320" i="141"/>
  <c r="I320" i="141"/>
  <c r="H320" i="141"/>
  <c r="G320" i="141"/>
  <c r="F320" i="141"/>
  <c r="E320" i="141"/>
  <c r="D320" i="141"/>
  <c r="C320" i="141"/>
  <c r="B320" i="141"/>
  <c r="N319" i="141"/>
  <c r="M319" i="141"/>
  <c r="L319" i="141"/>
  <c r="K319" i="141"/>
  <c r="J319" i="141"/>
  <c r="I319" i="141"/>
  <c r="H319" i="141"/>
  <c r="G319" i="141"/>
  <c r="F319" i="141"/>
  <c r="E319" i="141"/>
  <c r="D319" i="141"/>
  <c r="C319" i="141"/>
  <c r="B319" i="141"/>
  <c r="N318" i="141"/>
  <c r="M318" i="141"/>
  <c r="L318" i="141"/>
  <c r="K318" i="141"/>
  <c r="J318" i="141"/>
  <c r="I318" i="141"/>
  <c r="H318" i="141"/>
  <c r="G318" i="141"/>
  <c r="F318" i="141"/>
  <c r="E318" i="141"/>
  <c r="D318" i="141"/>
  <c r="C318" i="141"/>
  <c r="B318" i="141"/>
  <c r="N314" i="141"/>
  <c r="M314" i="141"/>
  <c r="L314" i="141"/>
  <c r="K314" i="141"/>
  <c r="J314" i="141"/>
  <c r="I314" i="141"/>
  <c r="H314" i="141"/>
  <c r="G314" i="141"/>
  <c r="F314" i="141"/>
  <c r="E314" i="141"/>
  <c r="D314" i="141"/>
  <c r="C314" i="141"/>
  <c r="A314" i="141"/>
  <c r="N313" i="141"/>
  <c r="M313" i="141"/>
  <c r="L313" i="141"/>
  <c r="K313" i="141"/>
  <c r="J313" i="141"/>
  <c r="I313" i="141"/>
  <c r="H313" i="141"/>
  <c r="G313" i="141"/>
  <c r="F313" i="141"/>
  <c r="E313" i="141"/>
  <c r="D313" i="141"/>
  <c r="C313" i="141"/>
  <c r="B313" i="141"/>
  <c r="N312" i="141"/>
  <c r="M312" i="141"/>
  <c r="L312" i="141"/>
  <c r="K312" i="141"/>
  <c r="J312" i="141"/>
  <c r="I312" i="141"/>
  <c r="H312" i="141"/>
  <c r="G312" i="141"/>
  <c r="F312" i="141"/>
  <c r="E312" i="141"/>
  <c r="D312" i="141"/>
  <c r="C312" i="141"/>
  <c r="B312" i="141"/>
  <c r="N311" i="141"/>
  <c r="M311" i="141"/>
  <c r="L311" i="141"/>
  <c r="K311" i="141"/>
  <c r="J311" i="141"/>
  <c r="I311" i="141"/>
  <c r="H311" i="141"/>
  <c r="G311" i="141"/>
  <c r="F311" i="141"/>
  <c r="E311" i="141"/>
  <c r="D311" i="141"/>
  <c r="C311" i="141"/>
  <c r="B311" i="141"/>
  <c r="N310" i="141"/>
  <c r="M310" i="141"/>
  <c r="L310" i="141"/>
  <c r="K310" i="141"/>
  <c r="J310" i="141"/>
  <c r="I310" i="141"/>
  <c r="H310" i="141"/>
  <c r="G310" i="141"/>
  <c r="F310" i="141"/>
  <c r="E310" i="141"/>
  <c r="D310" i="141"/>
  <c r="C310" i="141"/>
  <c r="B310" i="141"/>
  <c r="N309" i="141"/>
  <c r="M309" i="141"/>
  <c r="L309" i="141"/>
  <c r="K309" i="141"/>
  <c r="J309" i="141"/>
  <c r="I309" i="141"/>
  <c r="H309" i="141"/>
  <c r="G309" i="141"/>
  <c r="F309" i="141"/>
  <c r="E309" i="141"/>
  <c r="D309" i="141"/>
  <c r="C309" i="141"/>
  <c r="B309" i="141"/>
  <c r="N308" i="141"/>
  <c r="M308" i="141"/>
  <c r="L308" i="141"/>
  <c r="K308" i="141"/>
  <c r="J308" i="141"/>
  <c r="I308" i="141"/>
  <c r="H308" i="141"/>
  <c r="G308" i="141"/>
  <c r="F308" i="141"/>
  <c r="E308" i="141"/>
  <c r="D308" i="141"/>
  <c r="C308" i="141"/>
  <c r="B308" i="141"/>
  <c r="N307" i="141"/>
  <c r="M307" i="141"/>
  <c r="L307" i="141"/>
  <c r="K307" i="141"/>
  <c r="J307" i="141"/>
  <c r="I307" i="141"/>
  <c r="H307" i="141"/>
  <c r="G307" i="141"/>
  <c r="F307" i="141"/>
  <c r="E307" i="141"/>
  <c r="D307" i="141"/>
  <c r="C307" i="141"/>
  <c r="B307" i="141"/>
  <c r="N306" i="141"/>
  <c r="M306" i="141"/>
  <c r="L306" i="141"/>
  <c r="K306" i="141"/>
  <c r="J306" i="141"/>
  <c r="I306" i="141"/>
  <c r="H306" i="141"/>
  <c r="G306" i="141"/>
  <c r="F306" i="141"/>
  <c r="E306" i="141"/>
  <c r="D306" i="141"/>
  <c r="C306" i="141"/>
  <c r="B306" i="141"/>
  <c r="N305" i="141"/>
  <c r="M305" i="141"/>
  <c r="L305" i="141"/>
  <c r="K305" i="141"/>
  <c r="J305" i="141"/>
  <c r="I305" i="141"/>
  <c r="H305" i="141"/>
  <c r="G305" i="141"/>
  <c r="F305" i="141"/>
  <c r="E305" i="141"/>
  <c r="D305" i="141"/>
  <c r="C305" i="141"/>
  <c r="B305" i="141"/>
  <c r="N304" i="141"/>
  <c r="M304" i="141"/>
  <c r="L304" i="141"/>
  <c r="K304" i="141"/>
  <c r="J304" i="141"/>
  <c r="I304" i="141"/>
  <c r="H304" i="141"/>
  <c r="G304" i="141"/>
  <c r="F304" i="141"/>
  <c r="E304" i="141"/>
  <c r="D304" i="141"/>
  <c r="C304" i="141"/>
  <c r="B304" i="141"/>
  <c r="N303" i="141"/>
  <c r="M303" i="141"/>
  <c r="L303" i="141"/>
  <c r="K303" i="141"/>
  <c r="J303" i="141"/>
  <c r="I303" i="141"/>
  <c r="H303" i="141"/>
  <c r="G303" i="141"/>
  <c r="F303" i="141"/>
  <c r="E303" i="141"/>
  <c r="D303" i="141"/>
  <c r="C303" i="141"/>
  <c r="B303" i="141"/>
  <c r="N302" i="141"/>
  <c r="M302" i="141"/>
  <c r="L302" i="141"/>
  <c r="K302" i="141"/>
  <c r="J302" i="141"/>
  <c r="I302" i="141"/>
  <c r="H302" i="141"/>
  <c r="G302" i="141"/>
  <c r="F302" i="141"/>
  <c r="E302" i="141"/>
  <c r="D302" i="141"/>
  <c r="C302" i="141"/>
  <c r="B302" i="141"/>
  <c r="N296" i="141"/>
  <c r="M296" i="141"/>
  <c r="L296" i="141"/>
  <c r="K296" i="141"/>
  <c r="J296" i="141"/>
  <c r="I296" i="141"/>
  <c r="H296" i="141"/>
  <c r="G296" i="141"/>
  <c r="F296" i="141"/>
  <c r="E296" i="141"/>
  <c r="D296" i="141"/>
  <c r="C296" i="141"/>
  <c r="N294" i="141"/>
  <c r="M294" i="141"/>
  <c r="L294" i="141"/>
  <c r="K294" i="141"/>
  <c r="J294" i="141"/>
  <c r="I294" i="141"/>
  <c r="H294" i="141"/>
  <c r="G294" i="141"/>
  <c r="F294" i="141"/>
  <c r="E294" i="141"/>
  <c r="D294" i="141"/>
  <c r="C294" i="141"/>
  <c r="N293" i="141"/>
  <c r="M293" i="141"/>
  <c r="L293" i="141"/>
  <c r="K293" i="141"/>
  <c r="J293" i="141"/>
  <c r="I293" i="141"/>
  <c r="H293" i="141"/>
  <c r="G293" i="141"/>
  <c r="F293" i="141"/>
  <c r="E293" i="141"/>
  <c r="D293" i="141"/>
  <c r="C293" i="141"/>
  <c r="N290" i="141"/>
  <c r="M290" i="141"/>
  <c r="L290" i="141"/>
  <c r="K290" i="141"/>
  <c r="J290" i="141"/>
  <c r="I290" i="141"/>
  <c r="H290" i="141"/>
  <c r="G290" i="141"/>
  <c r="F290" i="141"/>
  <c r="E290" i="141"/>
  <c r="D290" i="141"/>
  <c r="C290" i="141"/>
  <c r="N289" i="141"/>
  <c r="M289" i="141"/>
  <c r="L289" i="141"/>
  <c r="K289" i="141"/>
  <c r="J289" i="141"/>
  <c r="I289" i="141"/>
  <c r="H289" i="141"/>
  <c r="G289" i="141"/>
  <c r="F289" i="141"/>
  <c r="E289" i="141"/>
  <c r="D289" i="141"/>
  <c r="C289" i="141"/>
  <c r="N283" i="141"/>
  <c r="M283" i="141"/>
  <c r="L283" i="141"/>
  <c r="K283" i="141"/>
  <c r="J283" i="141"/>
  <c r="I283" i="141"/>
  <c r="H283" i="141"/>
  <c r="G283" i="141"/>
  <c r="F283" i="141"/>
  <c r="E283" i="141"/>
  <c r="D283" i="141"/>
  <c r="C283" i="141"/>
  <c r="A283" i="141"/>
  <c r="N282" i="141"/>
  <c r="M282" i="141"/>
  <c r="L282" i="141"/>
  <c r="K282" i="141"/>
  <c r="J282" i="141"/>
  <c r="I282" i="141"/>
  <c r="H282" i="141"/>
  <c r="G282" i="141"/>
  <c r="F282" i="141"/>
  <c r="E282" i="141"/>
  <c r="D282" i="141"/>
  <c r="C282" i="141"/>
  <c r="N281" i="141"/>
  <c r="M281" i="141"/>
  <c r="L281" i="141"/>
  <c r="K281" i="141"/>
  <c r="J281" i="141"/>
  <c r="I281" i="141"/>
  <c r="H281" i="141"/>
  <c r="G281" i="141"/>
  <c r="F281" i="141"/>
  <c r="E281" i="141"/>
  <c r="D281" i="141"/>
  <c r="C281" i="141"/>
  <c r="N280" i="141"/>
  <c r="M280" i="141"/>
  <c r="L280" i="141"/>
  <c r="K280" i="141"/>
  <c r="J280" i="141"/>
  <c r="I280" i="141"/>
  <c r="H280" i="141"/>
  <c r="G280" i="141"/>
  <c r="F280" i="141"/>
  <c r="E280" i="141"/>
  <c r="D280" i="141"/>
  <c r="C280" i="141"/>
  <c r="N279" i="141"/>
  <c r="M279" i="141"/>
  <c r="L279" i="141"/>
  <c r="K279" i="141"/>
  <c r="J279" i="141"/>
  <c r="I279" i="141"/>
  <c r="H279" i="141"/>
  <c r="G279" i="141"/>
  <c r="F279" i="141"/>
  <c r="E279" i="141"/>
  <c r="D279" i="141"/>
  <c r="C279" i="141"/>
  <c r="N278" i="141"/>
  <c r="M278" i="141"/>
  <c r="L278" i="141"/>
  <c r="K278" i="141"/>
  <c r="J278" i="141"/>
  <c r="I278" i="141"/>
  <c r="H278" i="141"/>
  <c r="G278" i="141"/>
  <c r="F278" i="141"/>
  <c r="E278" i="141"/>
  <c r="D278" i="141"/>
  <c r="C278" i="141"/>
  <c r="N274" i="141"/>
  <c r="M274" i="141"/>
  <c r="L274" i="141"/>
  <c r="K274" i="141"/>
  <c r="J274" i="141"/>
  <c r="I274" i="141"/>
  <c r="H274" i="141"/>
  <c r="G274" i="141"/>
  <c r="F274" i="141"/>
  <c r="E274" i="141"/>
  <c r="D274" i="141"/>
  <c r="C274" i="141"/>
  <c r="A274" i="141"/>
  <c r="N273" i="141"/>
  <c r="M273" i="141"/>
  <c r="L273" i="141"/>
  <c r="K273" i="141"/>
  <c r="J273" i="141"/>
  <c r="I273" i="141"/>
  <c r="H273" i="141"/>
  <c r="G273" i="141"/>
  <c r="F273" i="141"/>
  <c r="E273" i="141"/>
  <c r="D273" i="141"/>
  <c r="C273" i="141"/>
  <c r="B273" i="141"/>
  <c r="N272" i="141"/>
  <c r="M272" i="141"/>
  <c r="L272" i="141"/>
  <c r="K272" i="141"/>
  <c r="J272" i="141"/>
  <c r="I272" i="141"/>
  <c r="H272" i="141"/>
  <c r="G272" i="141"/>
  <c r="F272" i="141"/>
  <c r="E272" i="141"/>
  <c r="D272" i="141"/>
  <c r="C272" i="141"/>
  <c r="B272" i="141"/>
  <c r="N271" i="141"/>
  <c r="M271" i="141"/>
  <c r="L271" i="141"/>
  <c r="K271" i="141"/>
  <c r="J271" i="141"/>
  <c r="I271" i="141"/>
  <c r="H271" i="141"/>
  <c r="G271" i="141"/>
  <c r="F271" i="141"/>
  <c r="E271" i="141"/>
  <c r="D271" i="141"/>
  <c r="C271" i="141"/>
  <c r="B271" i="141"/>
  <c r="N270" i="141"/>
  <c r="M270" i="141"/>
  <c r="L270" i="141"/>
  <c r="K270" i="141"/>
  <c r="J270" i="141"/>
  <c r="I270" i="141"/>
  <c r="H270" i="141"/>
  <c r="G270" i="141"/>
  <c r="F270" i="141"/>
  <c r="E270" i="141"/>
  <c r="D270" i="141"/>
  <c r="C270" i="141"/>
  <c r="B270" i="141"/>
  <c r="N269" i="141"/>
  <c r="M269" i="141"/>
  <c r="L269" i="141"/>
  <c r="K269" i="141"/>
  <c r="J269" i="141"/>
  <c r="I269" i="141"/>
  <c r="H269" i="141"/>
  <c r="G269" i="141"/>
  <c r="F269" i="141"/>
  <c r="E269" i="141"/>
  <c r="D269" i="141"/>
  <c r="C269" i="141"/>
  <c r="B269" i="141"/>
  <c r="N268" i="141"/>
  <c r="M268" i="141"/>
  <c r="L268" i="141"/>
  <c r="K268" i="141"/>
  <c r="J268" i="141"/>
  <c r="I268" i="141"/>
  <c r="H268" i="141"/>
  <c r="G268" i="141"/>
  <c r="F268" i="141"/>
  <c r="E268" i="141"/>
  <c r="D268" i="141"/>
  <c r="C268" i="141"/>
  <c r="B268" i="141"/>
  <c r="N267" i="141"/>
  <c r="M267" i="141"/>
  <c r="L267" i="141"/>
  <c r="K267" i="141"/>
  <c r="J267" i="141"/>
  <c r="I267" i="141"/>
  <c r="H267" i="141"/>
  <c r="G267" i="141"/>
  <c r="F267" i="141"/>
  <c r="E267" i="141"/>
  <c r="D267" i="141"/>
  <c r="C267" i="141"/>
  <c r="B267" i="141"/>
  <c r="N266" i="141"/>
  <c r="M266" i="141"/>
  <c r="L266" i="141"/>
  <c r="K266" i="141"/>
  <c r="J266" i="141"/>
  <c r="I266" i="141"/>
  <c r="H266" i="141"/>
  <c r="G266" i="141"/>
  <c r="F266" i="141"/>
  <c r="E266" i="141"/>
  <c r="D266" i="141"/>
  <c r="C266" i="141"/>
  <c r="B266" i="141"/>
  <c r="N265" i="141"/>
  <c r="M265" i="141"/>
  <c r="L265" i="141"/>
  <c r="K265" i="141"/>
  <c r="J265" i="141"/>
  <c r="I265" i="141"/>
  <c r="H265" i="141"/>
  <c r="G265" i="141"/>
  <c r="F265" i="141"/>
  <c r="E265" i="141"/>
  <c r="D265" i="141"/>
  <c r="C265" i="141"/>
  <c r="B265" i="141"/>
  <c r="N264" i="141"/>
  <c r="M264" i="141"/>
  <c r="L264" i="141"/>
  <c r="K264" i="141"/>
  <c r="J264" i="141"/>
  <c r="I264" i="141"/>
  <c r="H264" i="141"/>
  <c r="G264" i="141"/>
  <c r="F264" i="141"/>
  <c r="E264" i="141"/>
  <c r="D264" i="141"/>
  <c r="C264" i="141"/>
  <c r="B264" i="141"/>
  <c r="N263" i="141"/>
  <c r="M263" i="141"/>
  <c r="L263" i="141"/>
  <c r="K263" i="141"/>
  <c r="J263" i="141"/>
  <c r="I263" i="141"/>
  <c r="H263" i="141"/>
  <c r="G263" i="141"/>
  <c r="F263" i="141"/>
  <c r="E263" i="141"/>
  <c r="D263" i="141"/>
  <c r="C263" i="141"/>
  <c r="B263" i="141"/>
  <c r="N262" i="141"/>
  <c r="M262" i="141"/>
  <c r="L262" i="141"/>
  <c r="K262" i="141"/>
  <c r="J262" i="141"/>
  <c r="I262" i="141"/>
  <c r="H262" i="141"/>
  <c r="G262" i="141"/>
  <c r="F262" i="141"/>
  <c r="E262" i="141"/>
  <c r="D262" i="141"/>
  <c r="C262" i="141"/>
  <c r="B262" i="141"/>
  <c r="N258" i="141"/>
  <c r="M258" i="141"/>
  <c r="L258" i="141"/>
  <c r="K258" i="141"/>
  <c r="J258" i="141"/>
  <c r="I258" i="141"/>
  <c r="H258" i="141"/>
  <c r="G258" i="141"/>
  <c r="F258" i="141"/>
  <c r="E258" i="141"/>
  <c r="D258" i="141"/>
  <c r="C258" i="141"/>
  <c r="A258" i="141"/>
  <c r="N257" i="141"/>
  <c r="M257" i="141"/>
  <c r="L257" i="141"/>
  <c r="K257" i="141"/>
  <c r="J257" i="141"/>
  <c r="I257" i="141"/>
  <c r="H257" i="141"/>
  <c r="G257" i="141"/>
  <c r="F257" i="141"/>
  <c r="E257" i="141"/>
  <c r="D257" i="141"/>
  <c r="C257" i="141"/>
  <c r="B257" i="141"/>
  <c r="N256" i="141"/>
  <c r="M256" i="141"/>
  <c r="L256" i="141"/>
  <c r="K256" i="141"/>
  <c r="J256" i="141"/>
  <c r="I256" i="141"/>
  <c r="H256" i="141"/>
  <c r="G256" i="141"/>
  <c r="F256" i="141"/>
  <c r="E256" i="141"/>
  <c r="D256" i="141"/>
  <c r="C256" i="141"/>
  <c r="B256" i="141"/>
  <c r="N255" i="141"/>
  <c r="M255" i="141"/>
  <c r="L255" i="141"/>
  <c r="K255" i="141"/>
  <c r="J255" i="141"/>
  <c r="I255" i="141"/>
  <c r="H255" i="141"/>
  <c r="G255" i="141"/>
  <c r="F255" i="141"/>
  <c r="E255" i="141"/>
  <c r="D255" i="141"/>
  <c r="C255" i="141"/>
  <c r="B255" i="141"/>
  <c r="N254" i="141"/>
  <c r="M254" i="141"/>
  <c r="L254" i="141"/>
  <c r="K254" i="141"/>
  <c r="J254" i="141"/>
  <c r="I254" i="141"/>
  <c r="H254" i="141"/>
  <c r="G254" i="141"/>
  <c r="F254" i="141"/>
  <c r="E254" i="141"/>
  <c r="D254" i="141"/>
  <c r="C254" i="141"/>
  <c r="B254" i="141"/>
  <c r="N253" i="141"/>
  <c r="M253" i="141"/>
  <c r="L253" i="141"/>
  <c r="K253" i="141"/>
  <c r="J253" i="141"/>
  <c r="I253" i="141"/>
  <c r="H253" i="141"/>
  <c r="G253" i="141"/>
  <c r="F253" i="141"/>
  <c r="E253" i="141"/>
  <c r="D253" i="141"/>
  <c r="C253" i="141"/>
  <c r="B253" i="141"/>
  <c r="N252" i="141"/>
  <c r="M252" i="141"/>
  <c r="L252" i="141"/>
  <c r="K252" i="141"/>
  <c r="J252" i="141"/>
  <c r="I252" i="141"/>
  <c r="H252" i="141"/>
  <c r="G252" i="141"/>
  <c r="F252" i="141"/>
  <c r="E252" i="141"/>
  <c r="D252" i="141"/>
  <c r="C252" i="141"/>
  <c r="B252" i="141"/>
  <c r="N251" i="141"/>
  <c r="M251" i="141"/>
  <c r="L251" i="141"/>
  <c r="K251" i="141"/>
  <c r="J251" i="141"/>
  <c r="I251" i="141"/>
  <c r="H251" i="141"/>
  <c r="G251" i="141"/>
  <c r="F251" i="141"/>
  <c r="E251" i="141"/>
  <c r="D251" i="141"/>
  <c r="C251" i="141"/>
  <c r="B251" i="141"/>
  <c r="N250" i="141"/>
  <c r="M250" i="141"/>
  <c r="L250" i="141"/>
  <c r="K250" i="141"/>
  <c r="J250" i="141"/>
  <c r="I250" i="141"/>
  <c r="H250" i="141"/>
  <c r="G250" i="141"/>
  <c r="F250" i="141"/>
  <c r="E250" i="141"/>
  <c r="D250" i="141"/>
  <c r="C250" i="141"/>
  <c r="B250" i="141"/>
  <c r="N249" i="141"/>
  <c r="M249" i="141"/>
  <c r="L249" i="141"/>
  <c r="K249" i="141"/>
  <c r="J249" i="141"/>
  <c r="I249" i="141"/>
  <c r="H249" i="141"/>
  <c r="G249" i="141"/>
  <c r="F249" i="141"/>
  <c r="E249" i="141"/>
  <c r="D249" i="141"/>
  <c r="C249" i="141"/>
  <c r="B249" i="141"/>
  <c r="N248" i="141"/>
  <c r="M248" i="141"/>
  <c r="L248" i="141"/>
  <c r="K248" i="141"/>
  <c r="J248" i="141"/>
  <c r="I248" i="141"/>
  <c r="H248" i="141"/>
  <c r="G248" i="141"/>
  <c r="F248" i="141"/>
  <c r="E248" i="141"/>
  <c r="D248" i="141"/>
  <c r="C248" i="141"/>
  <c r="B248" i="141"/>
  <c r="N247" i="141"/>
  <c r="M247" i="141"/>
  <c r="L247" i="141"/>
  <c r="K247" i="141"/>
  <c r="J247" i="141"/>
  <c r="I247" i="141"/>
  <c r="H247" i="141"/>
  <c r="G247" i="141"/>
  <c r="F247" i="141"/>
  <c r="E247" i="141"/>
  <c r="D247" i="141"/>
  <c r="C247" i="141"/>
  <c r="B247" i="141"/>
  <c r="N246" i="141"/>
  <c r="M246" i="141"/>
  <c r="L246" i="141"/>
  <c r="K246" i="141"/>
  <c r="J246" i="141"/>
  <c r="I246" i="141"/>
  <c r="H246" i="141"/>
  <c r="G246" i="141"/>
  <c r="F246" i="141"/>
  <c r="E246" i="141"/>
  <c r="D246" i="141"/>
  <c r="C246" i="141"/>
  <c r="B246" i="141"/>
  <c r="N240" i="141"/>
  <c r="M240" i="141"/>
  <c r="L240" i="141"/>
  <c r="K240" i="141"/>
  <c r="J240" i="141"/>
  <c r="I240" i="141"/>
  <c r="H240" i="141"/>
  <c r="G240" i="141"/>
  <c r="F240" i="141"/>
  <c r="E240" i="141"/>
  <c r="D240" i="141"/>
  <c r="C240" i="141"/>
  <c r="A240" i="141"/>
  <c r="N239" i="141"/>
  <c r="M239" i="141"/>
  <c r="L239" i="141"/>
  <c r="K239" i="141"/>
  <c r="J239" i="141"/>
  <c r="I239" i="141"/>
  <c r="H239" i="141"/>
  <c r="G239" i="141"/>
  <c r="F239" i="141"/>
  <c r="E239" i="141"/>
  <c r="D239" i="141"/>
  <c r="C239" i="141"/>
  <c r="B239" i="141"/>
  <c r="N238" i="141"/>
  <c r="M238" i="141"/>
  <c r="L238" i="141"/>
  <c r="K238" i="141"/>
  <c r="J238" i="141"/>
  <c r="I238" i="141"/>
  <c r="H238" i="141"/>
  <c r="G238" i="141"/>
  <c r="F238" i="141"/>
  <c r="E238" i="141"/>
  <c r="D238" i="141"/>
  <c r="C238" i="141"/>
  <c r="B238" i="141"/>
  <c r="N237" i="141"/>
  <c r="M237" i="141"/>
  <c r="L237" i="141"/>
  <c r="K237" i="141"/>
  <c r="J237" i="141"/>
  <c r="I237" i="141"/>
  <c r="H237" i="141"/>
  <c r="G237" i="141"/>
  <c r="F237" i="141"/>
  <c r="E237" i="141"/>
  <c r="D237" i="141"/>
  <c r="C237" i="141"/>
  <c r="B237" i="141"/>
  <c r="N236" i="141"/>
  <c r="M236" i="141"/>
  <c r="L236" i="141"/>
  <c r="K236" i="141"/>
  <c r="J236" i="141"/>
  <c r="I236" i="141"/>
  <c r="H236" i="141"/>
  <c r="G236" i="141"/>
  <c r="F236" i="141"/>
  <c r="E236" i="141"/>
  <c r="D236" i="141"/>
  <c r="C236" i="141"/>
  <c r="B236" i="141"/>
  <c r="N235" i="141"/>
  <c r="M235" i="141"/>
  <c r="L235" i="141"/>
  <c r="K235" i="141"/>
  <c r="J235" i="141"/>
  <c r="I235" i="141"/>
  <c r="H235" i="141"/>
  <c r="G235" i="141"/>
  <c r="F235" i="141"/>
  <c r="E235" i="141"/>
  <c r="D235" i="141"/>
  <c r="C235" i="141"/>
  <c r="B235" i="141"/>
  <c r="N234" i="141"/>
  <c r="M234" i="141"/>
  <c r="L234" i="141"/>
  <c r="K234" i="141"/>
  <c r="J234" i="141"/>
  <c r="I234" i="141"/>
  <c r="H234" i="141"/>
  <c r="G234" i="141"/>
  <c r="F234" i="141"/>
  <c r="E234" i="141"/>
  <c r="D234" i="141"/>
  <c r="C234" i="141"/>
  <c r="B234" i="141"/>
  <c r="N233" i="141"/>
  <c r="M233" i="141"/>
  <c r="L233" i="141"/>
  <c r="K233" i="141"/>
  <c r="J233" i="141"/>
  <c r="I233" i="141"/>
  <c r="H233" i="141"/>
  <c r="G233" i="141"/>
  <c r="F233" i="141"/>
  <c r="E233" i="141"/>
  <c r="D233" i="141"/>
  <c r="C233" i="141"/>
  <c r="B233" i="141"/>
  <c r="N232" i="141"/>
  <c r="M232" i="141"/>
  <c r="L232" i="141"/>
  <c r="K232" i="141"/>
  <c r="J232" i="141"/>
  <c r="I232" i="141"/>
  <c r="H232" i="141"/>
  <c r="G232" i="141"/>
  <c r="F232" i="141"/>
  <c r="E232" i="141"/>
  <c r="D232" i="141"/>
  <c r="C232" i="141"/>
  <c r="B232" i="141"/>
  <c r="N231" i="141"/>
  <c r="M231" i="141"/>
  <c r="L231" i="141"/>
  <c r="K231" i="141"/>
  <c r="J231" i="141"/>
  <c r="I231" i="141"/>
  <c r="H231" i="141"/>
  <c r="G231" i="141"/>
  <c r="F231" i="141"/>
  <c r="E231" i="141"/>
  <c r="D231" i="141"/>
  <c r="C231" i="141"/>
  <c r="B231" i="141"/>
  <c r="N230" i="141"/>
  <c r="M230" i="141"/>
  <c r="L230" i="141"/>
  <c r="K230" i="141"/>
  <c r="J230" i="141"/>
  <c r="I230" i="141"/>
  <c r="H230" i="141"/>
  <c r="G230" i="141"/>
  <c r="F230" i="141"/>
  <c r="E230" i="141"/>
  <c r="D230" i="141"/>
  <c r="C230" i="141"/>
  <c r="B230" i="141"/>
  <c r="N229" i="141"/>
  <c r="M229" i="141"/>
  <c r="L229" i="141"/>
  <c r="K229" i="141"/>
  <c r="J229" i="141"/>
  <c r="I229" i="141"/>
  <c r="H229" i="141"/>
  <c r="G229" i="141"/>
  <c r="F229" i="141"/>
  <c r="E229" i="141"/>
  <c r="D229" i="141"/>
  <c r="C229" i="141"/>
  <c r="B229" i="141"/>
  <c r="N228" i="141"/>
  <c r="M228" i="141"/>
  <c r="L228" i="141"/>
  <c r="K228" i="141"/>
  <c r="J228" i="141"/>
  <c r="I228" i="141"/>
  <c r="H228" i="141"/>
  <c r="G228" i="141"/>
  <c r="F228" i="141"/>
  <c r="E228" i="141"/>
  <c r="D228" i="141"/>
  <c r="C228" i="141"/>
  <c r="B228" i="141"/>
  <c r="N224" i="141"/>
  <c r="M224" i="141"/>
  <c r="L224" i="141"/>
  <c r="K224" i="141"/>
  <c r="J224" i="141"/>
  <c r="I224" i="141"/>
  <c r="H224" i="141"/>
  <c r="G224" i="141"/>
  <c r="F224" i="141"/>
  <c r="E224" i="141"/>
  <c r="D224" i="141"/>
  <c r="C224" i="141"/>
  <c r="A224" i="141"/>
  <c r="N223" i="141"/>
  <c r="M223" i="141"/>
  <c r="L223" i="141"/>
  <c r="K223" i="141"/>
  <c r="J223" i="141"/>
  <c r="I223" i="141"/>
  <c r="H223" i="141"/>
  <c r="G223" i="141"/>
  <c r="F223" i="141"/>
  <c r="E223" i="141"/>
  <c r="D223" i="141"/>
  <c r="C223" i="141"/>
  <c r="B223" i="141"/>
  <c r="N222" i="141"/>
  <c r="M222" i="141"/>
  <c r="L222" i="141"/>
  <c r="K222" i="141"/>
  <c r="J222" i="141"/>
  <c r="I222" i="141"/>
  <c r="H222" i="141"/>
  <c r="G222" i="141"/>
  <c r="F222" i="141"/>
  <c r="E222" i="141"/>
  <c r="D222" i="141"/>
  <c r="C222" i="141"/>
  <c r="B222" i="141"/>
  <c r="N221" i="141"/>
  <c r="M221" i="141"/>
  <c r="L221" i="141"/>
  <c r="K221" i="141"/>
  <c r="J221" i="141"/>
  <c r="I221" i="141"/>
  <c r="H221" i="141"/>
  <c r="G221" i="141"/>
  <c r="F221" i="141"/>
  <c r="E221" i="141"/>
  <c r="D221" i="141"/>
  <c r="C221" i="141"/>
  <c r="B221" i="141"/>
  <c r="N220" i="141"/>
  <c r="M220" i="141"/>
  <c r="L220" i="141"/>
  <c r="K220" i="141"/>
  <c r="J220" i="141"/>
  <c r="I220" i="141"/>
  <c r="H220" i="141"/>
  <c r="G220" i="141"/>
  <c r="F220" i="141"/>
  <c r="E220" i="141"/>
  <c r="D220" i="141"/>
  <c r="C220" i="141"/>
  <c r="B220" i="141"/>
  <c r="N219" i="141"/>
  <c r="M219" i="141"/>
  <c r="L219" i="141"/>
  <c r="K219" i="141"/>
  <c r="J219" i="141"/>
  <c r="I219" i="141"/>
  <c r="H219" i="141"/>
  <c r="G219" i="141"/>
  <c r="F219" i="141"/>
  <c r="E219" i="141"/>
  <c r="D219" i="141"/>
  <c r="C219" i="141"/>
  <c r="B219" i="141"/>
  <c r="N218" i="141"/>
  <c r="M218" i="141"/>
  <c r="L218" i="141"/>
  <c r="K218" i="141"/>
  <c r="J218" i="141"/>
  <c r="I218" i="141"/>
  <c r="H218" i="141"/>
  <c r="G218" i="141"/>
  <c r="F218" i="141"/>
  <c r="E218" i="141"/>
  <c r="D218" i="141"/>
  <c r="C218" i="141"/>
  <c r="B218" i="141"/>
  <c r="N217" i="141"/>
  <c r="M217" i="141"/>
  <c r="L217" i="141"/>
  <c r="K217" i="141"/>
  <c r="J217" i="141"/>
  <c r="I217" i="141"/>
  <c r="H217" i="141"/>
  <c r="G217" i="141"/>
  <c r="F217" i="141"/>
  <c r="E217" i="141"/>
  <c r="D217" i="141"/>
  <c r="C217" i="141"/>
  <c r="B217" i="141"/>
  <c r="N216" i="141"/>
  <c r="M216" i="141"/>
  <c r="L216" i="141"/>
  <c r="K216" i="141"/>
  <c r="J216" i="141"/>
  <c r="I216" i="141"/>
  <c r="H216" i="141"/>
  <c r="G216" i="141"/>
  <c r="F216" i="141"/>
  <c r="E216" i="141"/>
  <c r="D216" i="141"/>
  <c r="C216" i="141"/>
  <c r="B216" i="141"/>
  <c r="N215" i="141"/>
  <c r="M215" i="141"/>
  <c r="L215" i="141"/>
  <c r="K215" i="141"/>
  <c r="J215" i="141"/>
  <c r="I215" i="141"/>
  <c r="H215" i="141"/>
  <c r="G215" i="141"/>
  <c r="F215" i="141"/>
  <c r="E215" i="141"/>
  <c r="D215" i="141"/>
  <c r="C215" i="141"/>
  <c r="B215" i="141"/>
  <c r="N214" i="141"/>
  <c r="M214" i="141"/>
  <c r="L214" i="141"/>
  <c r="K214" i="141"/>
  <c r="J214" i="141"/>
  <c r="I214" i="141"/>
  <c r="H214" i="141"/>
  <c r="G214" i="141"/>
  <c r="F214" i="141"/>
  <c r="E214" i="141"/>
  <c r="D214" i="141"/>
  <c r="C214" i="141"/>
  <c r="B214" i="141"/>
  <c r="N213" i="141"/>
  <c r="M213" i="141"/>
  <c r="L213" i="141"/>
  <c r="K213" i="141"/>
  <c r="J213" i="141"/>
  <c r="I213" i="141"/>
  <c r="H213" i="141"/>
  <c r="G213" i="141"/>
  <c r="F213" i="141"/>
  <c r="E213" i="141"/>
  <c r="D213" i="141"/>
  <c r="C213" i="141"/>
  <c r="B213" i="141"/>
  <c r="N212" i="141"/>
  <c r="M212" i="141"/>
  <c r="L212" i="141"/>
  <c r="K212" i="141"/>
  <c r="J212" i="141"/>
  <c r="I212" i="141"/>
  <c r="H212" i="141"/>
  <c r="G212" i="141"/>
  <c r="F212" i="141"/>
  <c r="E212" i="141"/>
  <c r="D212" i="141"/>
  <c r="C212" i="141"/>
  <c r="B212" i="141"/>
  <c r="N206" i="141"/>
  <c r="M206" i="141"/>
  <c r="L206" i="141"/>
  <c r="K206" i="141"/>
  <c r="J206" i="141"/>
  <c r="I206" i="141"/>
  <c r="H206" i="141"/>
  <c r="G206" i="141"/>
  <c r="F206" i="141"/>
  <c r="E206" i="141"/>
  <c r="D206" i="141"/>
  <c r="C206" i="141"/>
  <c r="A206" i="141"/>
  <c r="N205" i="141"/>
  <c r="M205" i="141"/>
  <c r="L205" i="141"/>
  <c r="K205" i="141"/>
  <c r="J205" i="141"/>
  <c r="I205" i="141"/>
  <c r="H205" i="141"/>
  <c r="G205" i="141"/>
  <c r="F205" i="141"/>
  <c r="E205" i="141"/>
  <c r="D205" i="141"/>
  <c r="C205" i="141"/>
  <c r="B205" i="141"/>
  <c r="N204" i="141"/>
  <c r="M204" i="141"/>
  <c r="L204" i="141"/>
  <c r="K204" i="141"/>
  <c r="J204" i="141"/>
  <c r="I204" i="141"/>
  <c r="H204" i="141"/>
  <c r="G204" i="141"/>
  <c r="F204" i="141"/>
  <c r="E204" i="141"/>
  <c r="D204" i="141"/>
  <c r="C204" i="141"/>
  <c r="B204" i="141"/>
  <c r="N203" i="141"/>
  <c r="M203" i="141"/>
  <c r="L203" i="141"/>
  <c r="K203" i="141"/>
  <c r="J203" i="141"/>
  <c r="I203" i="141"/>
  <c r="H203" i="141"/>
  <c r="G203" i="141"/>
  <c r="F203" i="141"/>
  <c r="E203" i="141"/>
  <c r="D203" i="141"/>
  <c r="C203" i="141"/>
  <c r="B203" i="141"/>
  <c r="N202" i="141"/>
  <c r="M202" i="141"/>
  <c r="L202" i="141"/>
  <c r="K202" i="141"/>
  <c r="J202" i="141"/>
  <c r="I202" i="141"/>
  <c r="H202" i="141"/>
  <c r="G202" i="141"/>
  <c r="F202" i="141"/>
  <c r="E202" i="141"/>
  <c r="D202" i="141"/>
  <c r="C202" i="141"/>
  <c r="B202" i="141"/>
  <c r="N201" i="141"/>
  <c r="M201" i="141"/>
  <c r="L201" i="141"/>
  <c r="K201" i="141"/>
  <c r="J201" i="141"/>
  <c r="I201" i="141"/>
  <c r="H201" i="141"/>
  <c r="G201" i="141"/>
  <c r="F201" i="141"/>
  <c r="E201" i="141"/>
  <c r="D201" i="141"/>
  <c r="C201" i="141"/>
  <c r="B201" i="141"/>
  <c r="N200" i="141"/>
  <c r="M200" i="141"/>
  <c r="L200" i="141"/>
  <c r="K200" i="141"/>
  <c r="J200" i="141"/>
  <c r="I200" i="141"/>
  <c r="H200" i="141"/>
  <c r="G200" i="141"/>
  <c r="F200" i="141"/>
  <c r="E200" i="141"/>
  <c r="D200" i="141"/>
  <c r="C200" i="141"/>
  <c r="B200" i="141"/>
  <c r="N199" i="141"/>
  <c r="M199" i="141"/>
  <c r="L199" i="141"/>
  <c r="K199" i="141"/>
  <c r="J199" i="141"/>
  <c r="I199" i="141"/>
  <c r="H199" i="141"/>
  <c r="G199" i="141"/>
  <c r="F199" i="141"/>
  <c r="E199" i="141"/>
  <c r="D199" i="141"/>
  <c r="C199" i="141"/>
  <c r="B199" i="141"/>
  <c r="N198" i="141"/>
  <c r="M198" i="141"/>
  <c r="L198" i="141"/>
  <c r="K198" i="141"/>
  <c r="J198" i="141"/>
  <c r="I198" i="141"/>
  <c r="H198" i="141"/>
  <c r="G198" i="141"/>
  <c r="F198" i="141"/>
  <c r="E198" i="141"/>
  <c r="D198" i="141"/>
  <c r="C198" i="141"/>
  <c r="B198" i="141"/>
  <c r="N197" i="141"/>
  <c r="M197" i="141"/>
  <c r="L197" i="141"/>
  <c r="K197" i="141"/>
  <c r="J197" i="141"/>
  <c r="I197" i="141"/>
  <c r="H197" i="141"/>
  <c r="G197" i="141"/>
  <c r="F197" i="141"/>
  <c r="E197" i="141"/>
  <c r="D197" i="141"/>
  <c r="C197" i="141"/>
  <c r="B197" i="141"/>
  <c r="N196" i="141"/>
  <c r="M196" i="141"/>
  <c r="L196" i="141"/>
  <c r="K196" i="141"/>
  <c r="J196" i="141"/>
  <c r="I196" i="141"/>
  <c r="H196" i="141"/>
  <c r="G196" i="141"/>
  <c r="F196" i="141"/>
  <c r="E196" i="141"/>
  <c r="D196" i="141"/>
  <c r="C196" i="141"/>
  <c r="B196" i="141"/>
  <c r="N195" i="141"/>
  <c r="M195" i="141"/>
  <c r="L195" i="141"/>
  <c r="K195" i="141"/>
  <c r="J195" i="141"/>
  <c r="I195" i="141"/>
  <c r="H195" i="141"/>
  <c r="G195" i="141"/>
  <c r="F195" i="141"/>
  <c r="E195" i="141"/>
  <c r="D195" i="141"/>
  <c r="C195" i="141"/>
  <c r="B195" i="141"/>
  <c r="N194" i="141"/>
  <c r="M194" i="141"/>
  <c r="L194" i="141"/>
  <c r="K194" i="141"/>
  <c r="J194" i="141"/>
  <c r="I194" i="141"/>
  <c r="H194" i="141"/>
  <c r="G194" i="141"/>
  <c r="F194" i="141"/>
  <c r="E194" i="141"/>
  <c r="D194" i="141"/>
  <c r="C194" i="141"/>
  <c r="B194" i="141"/>
  <c r="N190" i="141"/>
  <c r="M190" i="141"/>
  <c r="L190" i="141"/>
  <c r="K190" i="141"/>
  <c r="J190" i="141"/>
  <c r="I190" i="141"/>
  <c r="H190" i="141"/>
  <c r="G190" i="141"/>
  <c r="F190" i="141"/>
  <c r="E190" i="141"/>
  <c r="D190" i="141"/>
  <c r="C190" i="141"/>
  <c r="A190" i="141"/>
  <c r="N189" i="141"/>
  <c r="M189" i="141"/>
  <c r="L189" i="141"/>
  <c r="K189" i="141"/>
  <c r="J189" i="141"/>
  <c r="I189" i="141"/>
  <c r="H189" i="141"/>
  <c r="G189" i="141"/>
  <c r="F189" i="141"/>
  <c r="E189" i="141"/>
  <c r="D189" i="141"/>
  <c r="C189" i="141"/>
  <c r="B189" i="141"/>
  <c r="N188" i="141"/>
  <c r="M188" i="141"/>
  <c r="L188" i="141"/>
  <c r="K188" i="141"/>
  <c r="J188" i="141"/>
  <c r="I188" i="141"/>
  <c r="H188" i="141"/>
  <c r="G188" i="141"/>
  <c r="F188" i="141"/>
  <c r="E188" i="141"/>
  <c r="D188" i="141"/>
  <c r="C188" i="141"/>
  <c r="B188" i="141"/>
  <c r="N187" i="141"/>
  <c r="M187" i="141"/>
  <c r="L187" i="141"/>
  <c r="K187" i="141"/>
  <c r="J187" i="141"/>
  <c r="I187" i="141"/>
  <c r="H187" i="141"/>
  <c r="G187" i="141"/>
  <c r="F187" i="141"/>
  <c r="E187" i="141"/>
  <c r="D187" i="141"/>
  <c r="C187" i="141"/>
  <c r="B187" i="141"/>
  <c r="N186" i="141"/>
  <c r="M186" i="141"/>
  <c r="L186" i="141"/>
  <c r="K186" i="141"/>
  <c r="J186" i="141"/>
  <c r="I186" i="141"/>
  <c r="H186" i="141"/>
  <c r="G186" i="141"/>
  <c r="F186" i="141"/>
  <c r="E186" i="141"/>
  <c r="D186" i="141"/>
  <c r="C186" i="141"/>
  <c r="B186" i="141"/>
  <c r="N185" i="141"/>
  <c r="M185" i="141"/>
  <c r="L185" i="141"/>
  <c r="K185" i="141"/>
  <c r="J185" i="141"/>
  <c r="I185" i="141"/>
  <c r="H185" i="141"/>
  <c r="G185" i="141"/>
  <c r="F185" i="141"/>
  <c r="E185" i="141"/>
  <c r="D185" i="141"/>
  <c r="C185" i="141"/>
  <c r="B185" i="141"/>
  <c r="N184" i="141"/>
  <c r="M184" i="141"/>
  <c r="L184" i="141"/>
  <c r="K184" i="141"/>
  <c r="J184" i="141"/>
  <c r="I184" i="141"/>
  <c r="H184" i="141"/>
  <c r="G184" i="141"/>
  <c r="F184" i="141"/>
  <c r="E184" i="141"/>
  <c r="D184" i="141"/>
  <c r="C184" i="141"/>
  <c r="B184" i="141"/>
  <c r="N183" i="141"/>
  <c r="M183" i="141"/>
  <c r="L183" i="141"/>
  <c r="K183" i="141"/>
  <c r="J183" i="141"/>
  <c r="I183" i="141"/>
  <c r="H183" i="141"/>
  <c r="G183" i="141"/>
  <c r="F183" i="141"/>
  <c r="E183" i="141"/>
  <c r="D183" i="141"/>
  <c r="C183" i="141"/>
  <c r="B183" i="141"/>
  <c r="N182" i="141"/>
  <c r="M182" i="141"/>
  <c r="L182" i="141"/>
  <c r="K182" i="141"/>
  <c r="J182" i="141"/>
  <c r="I182" i="141"/>
  <c r="H182" i="141"/>
  <c r="G182" i="141"/>
  <c r="F182" i="141"/>
  <c r="E182" i="141"/>
  <c r="D182" i="141"/>
  <c r="C182" i="141"/>
  <c r="B182" i="141"/>
  <c r="N181" i="141"/>
  <c r="M181" i="141"/>
  <c r="L181" i="141"/>
  <c r="K181" i="141"/>
  <c r="J181" i="141"/>
  <c r="I181" i="141"/>
  <c r="H181" i="141"/>
  <c r="G181" i="141"/>
  <c r="F181" i="141"/>
  <c r="E181" i="141"/>
  <c r="D181" i="141"/>
  <c r="C181" i="141"/>
  <c r="B181" i="141"/>
  <c r="N180" i="141"/>
  <c r="M180" i="141"/>
  <c r="L180" i="141"/>
  <c r="K180" i="141"/>
  <c r="J180" i="141"/>
  <c r="I180" i="141"/>
  <c r="H180" i="141"/>
  <c r="G180" i="141"/>
  <c r="F180" i="141"/>
  <c r="E180" i="141"/>
  <c r="D180" i="141"/>
  <c r="C180" i="141"/>
  <c r="B180" i="141"/>
  <c r="N179" i="141"/>
  <c r="M179" i="141"/>
  <c r="L179" i="141"/>
  <c r="K179" i="141"/>
  <c r="J179" i="141"/>
  <c r="I179" i="141"/>
  <c r="H179" i="141"/>
  <c r="G179" i="141"/>
  <c r="F179" i="141"/>
  <c r="E179" i="141"/>
  <c r="D179" i="141"/>
  <c r="C179" i="141"/>
  <c r="B179" i="141"/>
  <c r="N178" i="141"/>
  <c r="M178" i="141"/>
  <c r="L178" i="141"/>
  <c r="K178" i="141"/>
  <c r="J178" i="141"/>
  <c r="I178" i="141"/>
  <c r="H178" i="141"/>
  <c r="G178" i="141"/>
  <c r="F178" i="141"/>
  <c r="E178" i="141"/>
  <c r="D178" i="141"/>
  <c r="C178" i="141"/>
  <c r="B178" i="141"/>
  <c r="N172" i="141"/>
  <c r="M172" i="141"/>
  <c r="L172" i="141"/>
  <c r="K172" i="141"/>
  <c r="J172" i="141"/>
  <c r="I172" i="141"/>
  <c r="H172" i="141"/>
  <c r="G172" i="141"/>
  <c r="F172" i="141"/>
  <c r="E172" i="141"/>
  <c r="D172" i="141"/>
  <c r="C172" i="141"/>
  <c r="A172" i="141"/>
  <c r="N171" i="141"/>
  <c r="M171" i="141"/>
  <c r="L171" i="141"/>
  <c r="K171" i="141"/>
  <c r="J171" i="141"/>
  <c r="I171" i="141"/>
  <c r="H171" i="141"/>
  <c r="G171" i="141"/>
  <c r="F171" i="141"/>
  <c r="E171" i="141"/>
  <c r="D171" i="141"/>
  <c r="C171" i="141"/>
  <c r="B171" i="141"/>
  <c r="N170" i="141"/>
  <c r="M170" i="141"/>
  <c r="L170" i="141"/>
  <c r="K170" i="141"/>
  <c r="J170" i="141"/>
  <c r="I170" i="141"/>
  <c r="H170" i="141"/>
  <c r="G170" i="141"/>
  <c r="F170" i="141"/>
  <c r="E170" i="141"/>
  <c r="D170" i="141"/>
  <c r="C170" i="141"/>
  <c r="B170" i="141"/>
  <c r="N169" i="141"/>
  <c r="M169" i="141"/>
  <c r="L169" i="141"/>
  <c r="K169" i="141"/>
  <c r="J169" i="141"/>
  <c r="I169" i="141"/>
  <c r="H169" i="141"/>
  <c r="G169" i="141"/>
  <c r="F169" i="141"/>
  <c r="E169" i="141"/>
  <c r="D169" i="141"/>
  <c r="C169" i="141"/>
  <c r="B169" i="141"/>
  <c r="N168" i="141"/>
  <c r="M168" i="141"/>
  <c r="L168" i="141"/>
  <c r="K168" i="141"/>
  <c r="J168" i="141"/>
  <c r="I168" i="141"/>
  <c r="H168" i="141"/>
  <c r="G168" i="141"/>
  <c r="F168" i="141"/>
  <c r="E168" i="141"/>
  <c r="D168" i="141"/>
  <c r="C168" i="141"/>
  <c r="B168" i="141"/>
  <c r="N167" i="141"/>
  <c r="M167" i="141"/>
  <c r="L167" i="141"/>
  <c r="K167" i="141"/>
  <c r="J167" i="141"/>
  <c r="I167" i="141"/>
  <c r="H167" i="141"/>
  <c r="G167" i="141"/>
  <c r="F167" i="141"/>
  <c r="E167" i="141"/>
  <c r="D167" i="141"/>
  <c r="C167" i="141"/>
  <c r="B167" i="141"/>
  <c r="N166" i="141"/>
  <c r="M166" i="141"/>
  <c r="L166" i="141"/>
  <c r="K166" i="141"/>
  <c r="J166" i="141"/>
  <c r="I166" i="141"/>
  <c r="H166" i="141"/>
  <c r="G166" i="141"/>
  <c r="F166" i="141"/>
  <c r="E166" i="141"/>
  <c r="D166" i="141"/>
  <c r="C166" i="141"/>
  <c r="B166" i="141"/>
  <c r="N165" i="141"/>
  <c r="M165" i="141"/>
  <c r="L165" i="141"/>
  <c r="K165" i="141"/>
  <c r="J165" i="141"/>
  <c r="I165" i="141"/>
  <c r="H165" i="141"/>
  <c r="G165" i="141"/>
  <c r="F165" i="141"/>
  <c r="E165" i="141"/>
  <c r="D165" i="141"/>
  <c r="C165" i="141"/>
  <c r="B165" i="141"/>
  <c r="N164" i="141"/>
  <c r="M164" i="141"/>
  <c r="L164" i="141"/>
  <c r="K164" i="141"/>
  <c r="J164" i="141"/>
  <c r="I164" i="141"/>
  <c r="H164" i="141"/>
  <c r="G164" i="141"/>
  <c r="F164" i="141"/>
  <c r="E164" i="141"/>
  <c r="D164" i="141"/>
  <c r="C164" i="141"/>
  <c r="B164" i="141"/>
  <c r="N163" i="141"/>
  <c r="M163" i="141"/>
  <c r="L163" i="141"/>
  <c r="K163" i="141"/>
  <c r="J163" i="141"/>
  <c r="I163" i="141"/>
  <c r="H163" i="141"/>
  <c r="G163" i="141"/>
  <c r="F163" i="141"/>
  <c r="E163" i="141"/>
  <c r="D163" i="141"/>
  <c r="C163" i="141"/>
  <c r="B163" i="141"/>
  <c r="N162" i="141"/>
  <c r="M162" i="141"/>
  <c r="L162" i="141"/>
  <c r="K162" i="141"/>
  <c r="J162" i="141"/>
  <c r="I162" i="141"/>
  <c r="H162" i="141"/>
  <c r="G162" i="141"/>
  <c r="F162" i="141"/>
  <c r="E162" i="141"/>
  <c r="D162" i="141"/>
  <c r="C162" i="141"/>
  <c r="B162" i="141"/>
  <c r="N161" i="141"/>
  <c r="M161" i="141"/>
  <c r="L161" i="141"/>
  <c r="K161" i="141"/>
  <c r="J161" i="141"/>
  <c r="I161" i="141"/>
  <c r="H161" i="141"/>
  <c r="G161" i="141"/>
  <c r="F161" i="141"/>
  <c r="E161" i="141"/>
  <c r="D161" i="141"/>
  <c r="C161" i="141"/>
  <c r="B161" i="141"/>
  <c r="N160" i="141"/>
  <c r="M160" i="141"/>
  <c r="L160" i="141"/>
  <c r="K160" i="141"/>
  <c r="J160" i="141"/>
  <c r="I160" i="141"/>
  <c r="H160" i="141"/>
  <c r="G160" i="141"/>
  <c r="F160" i="141"/>
  <c r="E160" i="141"/>
  <c r="D160" i="141"/>
  <c r="C160" i="141"/>
  <c r="B160" i="141"/>
  <c r="N156" i="141"/>
  <c r="M156" i="141"/>
  <c r="L156" i="141"/>
  <c r="K156" i="141"/>
  <c r="J156" i="141"/>
  <c r="I156" i="141"/>
  <c r="H156" i="141"/>
  <c r="G156" i="141"/>
  <c r="F156" i="141"/>
  <c r="E156" i="141"/>
  <c r="D156" i="141"/>
  <c r="C156" i="141"/>
  <c r="A156" i="141"/>
  <c r="N155" i="141"/>
  <c r="M155" i="141"/>
  <c r="L155" i="141"/>
  <c r="K155" i="141"/>
  <c r="J155" i="141"/>
  <c r="I155" i="141"/>
  <c r="H155" i="141"/>
  <c r="G155" i="141"/>
  <c r="F155" i="141"/>
  <c r="E155" i="141"/>
  <c r="D155" i="141"/>
  <c r="C155" i="141"/>
  <c r="B155" i="141"/>
  <c r="N154" i="141"/>
  <c r="M154" i="141"/>
  <c r="L154" i="141"/>
  <c r="K154" i="141"/>
  <c r="J154" i="141"/>
  <c r="I154" i="141"/>
  <c r="H154" i="141"/>
  <c r="G154" i="141"/>
  <c r="F154" i="141"/>
  <c r="E154" i="141"/>
  <c r="D154" i="141"/>
  <c r="C154" i="141"/>
  <c r="B154" i="141"/>
  <c r="N153" i="141"/>
  <c r="M153" i="141"/>
  <c r="L153" i="141"/>
  <c r="K153" i="141"/>
  <c r="J153" i="141"/>
  <c r="I153" i="141"/>
  <c r="H153" i="141"/>
  <c r="G153" i="141"/>
  <c r="F153" i="141"/>
  <c r="E153" i="141"/>
  <c r="D153" i="141"/>
  <c r="C153" i="141"/>
  <c r="B153" i="141"/>
  <c r="N152" i="141"/>
  <c r="M152" i="141"/>
  <c r="L152" i="141"/>
  <c r="K152" i="141"/>
  <c r="J152" i="141"/>
  <c r="I152" i="141"/>
  <c r="H152" i="141"/>
  <c r="G152" i="141"/>
  <c r="F152" i="141"/>
  <c r="E152" i="141"/>
  <c r="D152" i="141"/>
  <c r="C152" i="141"/>
  <c r="B152" i="141"/>
  <c r="N151" i="141"/>
  <c r="M151" i="141"/>
  <c r="L151" i="141"/>
  <c r="K151" i="141"/>
  <c r="J151" i="141"/>
  <c r="I151" i="141"/>
  <c r="H151" i="141"/>
  <c r="G151" i="141"/>
  <c r="F151" i="141"/>
  <c r="E151" i="141"/>
  <c r="D151" i="141"/>
  <c r="C151" i="141"/>
  <c r="B151" i="141"/>
  <c r="N150" i="141"/>
  <c r="M150" i="141"/>
  <c r="L150" i="141"/>
  <c r="K150" i="141"/>
  <c r="J150" i="141"/>
  <c r="I150" i="141"/>
  <c r="H150" i="141"/>
  <c r="G150" i="141"/>
  <c r="F150" i="141"/>
  <c r="E150" i="141"/>
  <c r="D150" i="141"/>
  <c r="C150" i="141"/>
  <c r="B150" i="141"/>
  <c r="N149" i="141"/>
  <c r="M149" i="141"/>
  <c r="L149" i="141"/>
  <c r="K149" i="141"/>
  <c r="J149" i="141"/>
  <c r="I149" i="141"/>
  <c r="H149" i="141"/>
  <c r="G149" i="141"/>
  <c r="F149" i="141"/>
  <c r="E149" i="141"/>
  <c r="D149" i="141"/>
  <c r="C149" i="141"/>
  <c r="B149" i="141"/>
  <c r="N148" i="141"/>
  <c r="M148" i="141"/>
  <c r="L148" i="141"/>
  <c r="K148" i="141"/>
  <c r="J148" i="141"/>
  <c r="I148" i="141"/>
  <c r="H148" i="141"/>
  <c r="G148" i="141"/>
  <c r="F148" i="141"/>
  <c r="E148" i="141"/>
  <c r="D148" i="141"/>
  <c r="C148" i="141"/>
  <c r="B148" i="141"/>
  <c r="N147" i="141"/>
  <c r="M147" i="141"/>
  <c r="L147" i="141"/>
  <c r="K147" i="141"/>
  <c r="J147" i="141"/>
  <c r="I147" i="141"/>
  <c r="H147" i="141"/>
  <c r="G147" i="141"/>
  <c r="F147" i="141"/>
  <c r="E147" i="141"/>
  <c r="D147" i="141"/>
  <c r="C147" i="141"/>
  <c r="B147" i="141"/>
  <c r="N146" i="141"/>
  <c r="M146" i="141"/>
  <c r="L146" i="141"/>
  <c r="K146" i="141"/>
  <c r="J146" i="141"/>
  <c r="I146" i="141"/>
  <c r="H146" i="141"/>
  <c r="G146" i="141"/>
  <c r="F146" i="141"/>
  <c r="E146" i="141"/>
  <c r="D146" i="141"/>
  <c r="C146" i="141"/>
  <c r="B146" i="141"/>
  <c r="N145" i="141"/>
  <c r="M145" i="141"/>
  <c r="L145" i="141"/>
  <c r="K145" i="141"/>
  <c r="J145" i="141"/>
  <c r="I145" i="141"/>
  <c r="H145" i="141"/>
  <c r="G145" i="141"/>
  <c r="F145" i="141"/>
  <c r="E145" i="141"/>
  <c r="D145" i="141"/>
  <c r="C145" i="141"/>
  <c r="B145" i="141"/>
  <c r="N144" i="141"/>
  <c r="M144" i="141"/>
  <c r="L144" i="141"/>
  <c r="K144" i="141"/>
  <c r="J144" i="141"/>
  <c r="I144" i="141"/>
  <c r="H144" i="141"/>
  <c r="G144" i="141"/>
  <c r="F144" i="141"/>
  <c r="E144" i="141"/>
  <c r="D144" i="141"/>
  <c r="C144" i="141"/>
  <c r="B144" i="141"/>
  <c r="N138" i="141"/>
  <c r="M138" i="141"/>
  <c r="L138" i="141"/>
  <c r="K138" i="141"/>
  <c r="J138" i="141"/>
  <c r="I138" i="141"/>
  <c r="H138" i="141"/>
  <c r="G138" i="141"/>
  <c r="F138" i="141"/>
  <c r="E138" i="141"/>
  <c r="D138" i="141"/>
  <c r="C138" i="141"/>
  <c r="A138" i="141"/>
  <c r="N137" i="141"/>
  <c r="M137" i="141"/>
  <c r="L137" i="141"/>
  <c r="K137" i="141"/>
  <c r="J137" i="141"/>
  <c r="I137" i="141"/>
  <c r="H137" i="141"/>
  <c r="G137" i="141"/>
  <c r="F137" i="141"/>
  <c r="E137" i="141"/>
  <c r="D137" i="141"/>
  <c r="C137" i="141"/>
  <c r="B137" i="141"/>
  <c r="N136" i="141"/>
  <c r="M136" i="141"/>
  <c r="L136" i="141"/>
  <c r="K136" i="141"/>
  <c r="J136" i="141"/>
  <c r="I136" i="141"/>
  <c r="H136" i="141"/>
  <c r="G136" i="141"/>
  <c r="F136" i="141"/>
  <c r="E136" i="141"/>
  <c r="D136" i="141"/>
  <c r="C136" i="141"/>
  <c r="B136" i="141"/>
  <c r="N135" i="141"/>
  <c r="M135" i="141"/>
  <c r="L135" i="141"/>
  <c r="K135" i="141"/>
  <c r="J135" i="141"/>
  <c r="I135" i="141"/>
  <c r="H135" i="141"/>
  <c r="G135" i="141"/>
  <c r="F135" i="141"/>
  <c r="E135" i="141"/>
  <c r="D135" i="141"/>
  <c r="C135" i="141"/>
  <c r="B135" i="141"/>
  <c r="N134" i="141"/>
  <c r="M134" i="141"/>
  <c r="L134" i="141"/>
  <c r="K134" i="141"/>
  <c r="J134" i="141"/>
  <c r="I134" i="141"/>
  <c r="H134" i="141"/>
  <c r="G134" i="141"/>
  <c r="F134" i="141"/>
  <c r="E134" i="141"/>
  <c r="D134" i="141"/>
  <c r="C134" i="141"/>
  <c r="B134" i="141"/>
  <c r="N133" i="141"/>
  <c r="M133" i="141"/>
  <c r="L133" i="141"/>
  <c r="K133" i="141"/>
  <c r="J133" i="141"/>
  <c r="I133" i="141"/>
  <c r="H133" i="141"/>
  <c r="G133" i="141"/>
  <c r="F133" i="141"/>
  <c r="E133" i="141"/>
  <c r="D133" i="141"/>
  <c r="C133" i="141"/>
  <c r="B133" i="141"/>
  <c r="N132" i="141"/>
  <c r="M132" i="141"/>
  <c r="L132" i="141"/>
  <c r="K132" i="141"/>
  <c r="J132" i="141"/>
  <c r="I132" i="141"/>
  <c r="H132" i="141"/>
  <c r="G132" i="141"/>
  <c r="F132" i="141"/>
  <c r="E132" i="141"/>
  <c r="D132" i="141"/>
  <c r="C132" i="141"/>
  <c r="B132" i="141"/>
  <c r="N131" i="141"/>
  <c r="M131" i="141"/>
  <c r="L131" i="141"/>
  <c r="K131" i="141"/>
  <c r="J131" i="141"/>
  <c r="I131" i="141"/>
  <c r="H131" i="141"/>
  <c r="G131" i="141"/>
  <c r="F131" i="141"/>
  <c r="E131" i="141"/>
  <c r="D131" i="141"/>
  <c r="C131" i="141"/>
  <c r="B131" i="141"/>
  <c r="N130" i="141"/>
  <c r="M130" i="141"/>
  <c r="L130" i="141"/>
  <c r="K130" i="141"/>
  <c r="J130" i="141"/>
  <c r="I130" i="141"/>
  <c r="H130" i="141"/>
  <c r="G130" i="141"/>
  <c r="F130" i="141"/>
  <c r="E130" i="141"/>
  <c r="D130" i="141"/>
  <c r="C130" i="141"/>
  <c r="B130" i="141"/>
  <c r="N129" i="141"/>
  <c r="M129" i="141"/>
  <c r="L129" i="141"/>
  <c r="K129" i="141"/>
  <c r="J129" i="141"/>
  <c r="I129" i="141"/>
  <c r="H129" i="141"/>
  <c r="G129" i="141"/>
  <c r="F129" i="141"/>
  <c r="E129" i="141"/>
  <c r="D129" i="141"/>
  <c r="C129" i="141"/>
  <c r="B129" i="141"/>
  <c r="N128" i="141"/>
  <c r="M128" i="141"/>
  <c r="L128" i="141"/>
  <c r="K128" i="141"/>
  <c r="J128" i="141"/>
  <c r="I128" i="141"/>
  <c r="H128" i="141"/>
  <c r="G128" i="141"/>
  <c r="F128" i="141"/>
  <c r="E128" i="141"/>
  <c r="D128" i="141"/>
  <c r="C128" i="141"/>
  <c r="B128" i="141"/>
  <c r="N127" i="141"/>
  <c r="M127" i="141"/>
  <c r="L127" i="141"/>
  <c r="K127" i="141"/>
  <c r="J127" i="141"/>
  <c r="I127" i="141"/>
  <c r="H127" i="141"/>
  <c r="G127" i="141"/>
  <c r="F127" i="141"/>
  <c r="E127" i="141"/>
  <c r="D127" i="141"/>
  <c r="C127" i="141"/>
  <c r="B127" i="141"/>
  <c r="N126" i="141"/>
  <c r="M126" i="141"/>
  <c r="L126" i="141"/>
  <c r="K126" i="141"/>
  <c r="J126" i="141"/>
  <c r="I126" i="141"/>
  <c r="H126" i="141"/>
  <c r="G126" i="141"/>
  <c r="F126" i="141"/>
  <c r="E126" i="141"/>
  <c r="D126" i="141"/>
  <c r="C126" i="141"/>
  <c r="B126" i="141"/>
  <c r="N122" i="141"/>
  <c r="M122" i="141"/>
  <c r="L122" i="141"/>
  <c r="K122" i="141"/>
  <c r="J122" i="141"/>
  <c r="I122" i="141"/>
  <c r="H122" i="141"/>
  <c r="G122" i="141"/>
  <c r="F122" i="141"/>
  <c r="E122" i="141"/>
  <c r="D122" i="141"/>
  <c r="C122" i="141"/>
  <c r="A122" i="141"/>
  <c r="N121" i="141"/>
  <c r="M121" i="141"/>
  <c r="L121" i="141"/>
  <c r="K121" i="141"/>
  <c r="J121" i="141"/>
  <c r="I121" i="141"/>
  <c r="H121" i="141"/>
  <c r="G121" i="141"/>
  <c r="F121" i="141"/>
  <c r="E121" i="141"/>
  <c r="D121" i="141"/>
  <c r="C121" i="141"/>
  <c r="B121" i="141"/>
  <c r="N120" i="141"/>
  <c r="M120" i="141"/>
  <c r="L120" i="141"/>
  <c r="K120" i="141"/>
  <c r="J120" i="141"/>
  <c r="I120" i="141"/>
  <c r="H120" i="141"/>
  <c r="G120" i="141"/>
  <c r="F120" i="141"/>
  <c r="E120" i="141"/>
  <c r="D120" i="141"/>
  <c r="C120" i="141"/>
  <c r="B120" i="141"/>
  <c r="N119" i="141"/>
  <c r="M119" i="141"/>
  <c r="L119" i="141"/>
  <c r="K119" i="141"/>
  <c r="J119" i="141"/>
  <c r="I119" i="141"/>
  <c r="H119" i="141"/>
  <c r="G119" i="141"/>
  <c r="F119" i="141"/>
  <c r="E119" i="141"/>
  <c r="D119" i="141"/>
  <c r="C119" i="141"/>
  <c r="B119" i="141"/>
  <c r="N118" i="141"/>
  <c r="M118" i="141"/>
  <c r="L118" i="141"/>
  <c r="K118" i="141"/>
  <c r="J118" i="141"/>
  <c r="I118" i="141"/>
  <c r="H118" i="141"/>
  <c r="G118" i="141"/>
  <c r="F118" i="141"/>
  <c r="E118" i="141"/>
  <c r="D118" i="141"/>
  <c r="C118" i="141"/>
  <c r="B118" i="141"/>
  <c r="N117" i="141"/>
  <c r="M117" i="141"/>
  <c r="L117" i="141"/>
  <c r="K117" i="141"/>
  <c r="J117" i="141"/>
  <c r="I117" i="141"/>
  <c r="H117" i="141"/>
  <c r="G117" i="141"/>
  <c r="F117" i="141"/>
  <c r="E117" i="141"/>
  <c r="D117" i="141"/>
  <c r="C117" i="141"/>
  <c r="B117" i="141"/>
  <c r="N116" i="141"/>
  <c r="M116" i="141"/>
  <c r="L116" i="141"/>
  <c r="K116" i="141"/>
  <c r="J116" i="141"/>
  <c r="I116" i="141"/>
  <c r="H116" i="141"/>
  <c r="G116" i="141"/>
  <c r="F116" i="141"/>
  <c r="E116" i="141"/>
  <c r="D116" i="141"/>
  <c r="C116" i="141"/>
  <c r="B116" i="141"/>
  <c r="N115" i="141"/>
  <c r="M115" i="141"/>
  <c r="L115" i="141"/>
  <c r="K115" i="141"/>
  <c r="J115" i="141"/>
  <c r="I115" i="141"/>
  <c r="H115" i="141"/>
  <c r="G115" i="141"/>
  <c r="F115" i="141"/>
  <c r="E115" i="141"/>
  <c r="D115" i="141"/>
  <c r="C115" i="141"/>
  <c r="B115" i="141"/>
  <c r="N114" i="141"/>
  <c r="M114" i="141"/>
  <c r="L114" i="141"/>
  <c r="K114" i="141"/>
  <c r="J114" i="141"/>
  <c r="I114" i="141"/>
  <c r="H114" i="141"/>
  <c r="G114" i="141"/>
  <c r="F114" i="141"/>
  <c r="E114" i="141"/>
  <c r="D114" i="141"/>
  <c r="C114" i="141"/>
  <c r="B114" i="141"/>
  <c r="N113" i="141"/>
  <c r="M113" i="141"/>
  <c r="L113" i="141"/>
  <c r="K113" i="141"/>
  <c r="J113" i="141"/>
  <c r="I113" i="141"/>
  <c r="H113" i="141"/>
  <c r="G113" i="141"/>
  <c r="F113" i="141"/>
  <c r="E113" i="141"/>
  <c r="D113" i="141"/>
  <c r="C113" i="141"/>
  <c r="B113" i="141"/>
  <c r="N112" i="141"/>
  <c r="M112" i="141"/>
  <c r="L112" i="141"/>
  <c r="K112" i="141"/>
  <c r="J112" i="141"/>
  <c r="I112" i="141"/>
  <c r="H112" i="141"/>
  <c r="G112" i="141"/>
  <c r="F112" i="141"/>
  <c r="E112" i="141"/>
  <c r="D112" i="141"/>
  <c r="C112" i="141"/>
  <c r="B112" i="141"/>
  <c r="N111" i="141"/>
  <c r="M111" i="141"/>
  <c r="L111" i="141"/>
  <c r="K111" i="141"/>
  <c r="J111" i="141"/>
  <c r="I111" i="141"/>
  <c r="H111" i="141"/>
  <c r="G111" i="141"/>
  <c r="F111" i="141"/>
  <c r="E111" i="141"/>
  <c r="D111" i="141"/>
  <c r="C111" i="141"/>
  <c r="B111" i="141"/>
  <c r="N110" i="141"/>
  <c r="M110" i="141"/>
  <c r="L110" i="141"/>
  <c r="K110" i="141"/>
  <c r="J110" i="141"/>
  <c r="I110" i="141"/>
  <c r="H110" i="141"/>
  <c r="G110" i="141"/>
  <c r="F110" i="141"/>
  <c r="E110" i="141"/>
  <c r="D110" i="141"/>
  <c r="C110" i="141"/>
  <c r="B110" i="141"/>
  <c r="N104" i="141"/>
  <c r="M104" i="141"/>
  <c r="L104" i="141"/>
  <c r="K104" i="141"/>
  <c r="J104" i="141"/>
  <c r="I104" i="141"/>
  <c r="H104" i="141"/>
  <c r="G104" i="141"/>
  <c r="F104" i="141"/>
  <c r="E104" i="141"/>
  <c r="D104" i="141"/>
  <c r="C104" i="141"/>
  <c r="A104" i="141"/>
  <c r="N103" i="141"/>
  <c r="M103" i="141"/>
  <c r="L103" i="141"/>
  <c r="K103" i="141"/>
  <c r="J103" i="141"/>
  <c r="I103" i="141"/>
  <c r="H103" i="141"/>
  <c r="G103" i="141"/>
  <c r="F103" i="141"/>
  <c r="E103" i="141"/>
  <c r="D103" i="141"/>
  <c r="C103" i="141"/>
  <c r="B103" i="141"/>
  <c r="N102" i="141"/>
  <c r="M102" i="141"/>
  <c r="L102" i="141"/>
  <c r="K102" i="141"/>
  <c r="J102" i="141"/>
  <c r="I102" i="141"/>
  <c r="H102" i="141"/>
  <c r="G102" i="141"/>
  <c r="F102" i="141"/>
  <c r="E102" i="141"/>
  <c r="D102" i="141"/>
  <c r="C102" i="141"/>
  <c r="B102" i="141"/>
  <c r="N101" i="141"/>
  <c r="M101" i="141"/>
  <c r="L101" i="141"/>
  <c r="K101" i="141"/>
  <c r="J101" i="141"/>
  <c r="I101" i="141"/>
  <c r="H101" i="141"/>
  <c r="G101" i="141"/>
  <c r="F101" i="141"/>
  <c r="E101" i="141"/>
  <c r="D101" i="141"/>
  <c r="C101" i="141"/>
  <c r="B101" i="141"/>
  <c r="N100" i="141"/>
  <c r="M100" i="141"/>
  <c r="L100" i="141"/>
  <c r="K100" i="141"/>
  <c r="J100" i="141"/>
  <c r="I100" i="141"/>
  <c r="H100" i="141"/>
  <c r="G100" i="141"/>
  <c r="F100" i="141"/>
  <c r="E100" i="141"/>
  <c r="D100" i="141"/>
  <c r="C100" i="141"/>
  <c r="B100" i="141"/>
  <c r="N99" i="141"/>
  <c r="M99" i="141"/>
  <c r="L99" i="141"/>
  <c r="K99" i="141"/>
  <c r="J99" i="141"/>
  <c r="I99" i="141"/>
  <c r="H99" i="141"/>
  <c r="G99" i="141"/>
  <c r="F99" i="141"/>
  <c r="E99" i="141"/>
  <c r="D99" i="141"/>
  <c r="C99" i="141"/>
  <c r="B99" i="141"/>
  <c r="N98" i="141"/>
  <c r="M98" i="141"/>
  <c r="L98" i="141"/>
  <c r="K98" i="141"/>
  <c r="J98" i="141"/>
  <c r="I98" i="141"/>
  <c r="H98" i="141"/>
  <c r="G98" i="141"/>
  <c r="F98" i="141"/>
  <c r="E98" i="141"/>
  <c r="D98" i="141"/>
  <c r="C98" i="141"/>
  <c r="B98" i="141"/>
  <c r="N97" i="141"/>
  <c r="M97" i="141"/>
  <c r="L97" i="141"/>
  <c r="K97" i="141"/>
  <c r="J97" i="141"/>
  <c r="I97" i="141"/>
  <c r="H97" i="141"/>
  <c r="G97" i="141"/>
  <c r="F97" i="141"/>
  <c r="E97" i="141"/>
  <c r="D97" i="141"/>
  <c r="C97" i="141"/>
  <c r="B97" i="141"/>
  <c r="N96" i="141"/>
  <c r="M96" i="141"/>
  <c r="L96" i="141"/>
  <c r="K96" i="141"/>
  <c r="J96" i="141"/>
  <c r="I96" i="141"/>
  <c r="H96" i="141"/>
  <c r="G96" i="141"/>
  <c r="F96" i="141"/>
  <c r="E96" i="141"/>
  <c r="D96" i="141"/>
  <c r="C96" i="141"/>
  <c r="B96" i="141"/>
  <c r="N95" i="141"/>
  <c r="M95" i="141"/>
  <c r="L95" i="141"/>
  <c r="K95" i="141"/>
  <c r="J95" i="141"/>
  <c r="I95" i="141"/>
  <c r="H95" i="141"/>
  <c r="G95" i="141"/>
  <c r="F95" i="141"/>
  <c r="E95" i="141"/>
  <c r="D95" i="141"/>
  <c r="C95" i="141"/>
  <c r="B95" i="141"/>
  <c r="N94" i="141"/>
  <c r="M94" i="141"/>
  <c r="L94" i="141"/>
  <c r="K94" i="141"/>
  <c r="J94" i="141"/>
  <c r="I94" i="141"/>
  <c r="H94" i="141"/>
  <c r="G94" i="141"/>
  <c r="F94" i="141"/>
  <c r="E94" i="141"/>
  <c r="D94" i="141"/>
  <c r="C94" i="141"/>
  <c r="B94" i="141"/>
  <c r="N93" i="141"/>
  <c r="M93" i="141"/>
  <c r="L93" i="141"/>
  <c r="K93" i="141"/>
  <c r="J93" i="141"/>
  <c r="I93" i="141"/>
  <c r="H93" i="141"/>
  <c r="G93" i="141"/>
  <c r="F93" i="141"/>
  <c r="E93" i="141"/>
  <c r="D93" i="141"/>
  <c r="C93" i="141"/>
  <c r="B93" i="141"/>
  <c r="N92" i="141"/>
  <c r="M92" i="141"/>
  <c r="L92" i="141"/>
  <c r="K92" i="141"/>
  <c r="J92" i="141"/>
  <c r="I92" i="141"/>
  <c r="H92" i="141"/>
  <c r="G92" i="141"/>
  <c r="F92" i="141"/>
  <c r="E92" i="141"/>
  <c r="D92" i="141"/>
  <c r="C92" i="141"/>
  <c r="B92" i="141"/>
  <c r="N88" i="141"/>
  <c r="M88" i="141"/>
  <c r="L88" i="141"/>
  <c r="K88" i="141"/>
  <c r="J88" i="141"/>
  <c r="I88" i="141"/>
  <c r="H88" i="141"/>
  <c r="G88" i="141"/>
  <c r="F88" i="141"/>
  <c r="E88" i="141"/>
  <c r="D88" i="141"/>
  <c r="C88" i="141"/>
  <c r="A88" i="141"/>
  <c r="N87" i="141"/>
  <c r="M87" i="141"/>
  <c r="L87" i="141"/>
  <c r="K87" i="141"/>
  <c r="J87" i="141"/>
  <c r="I87" i="141"/>
  <c r="H87" i="141"/>
  <c r="G87" i="141"/>
  <c r="F87" i="141"/>
  <c r="E87" i="141"/>
  <c r="D87" i="141"/>
  <c r="C87" i="141"/>
  <c r="B87" i="141"/>
  <c r="N86" i="141"/>
  <c r="M86" i="141"/>
  <c r="L86" i="141"/>
  <c r="K86" i="141"/>
  <c r="J86" i="141"/>
  <c r="I86" i="141"/>
  <c r="H86" i="141"/>
  <c r="G86" i="141"/>
  <c r="F86" i="141"/>
  <c r="E86" i="141"/>
  <c r="D86" i="141"/>
  <c r="C86" i="141"/>
  <c r="B86" i="141"/>
  <c r="N85" i="141"/>
  <c r="M85" i="141"/>
  <c r="L85" i="141"/>
  <c r="K85" i="141"/>
  <c r="J85" i="141"/>
  <c r="I85" i="141"/>
  <c r="H85" i="141"/>
  <c r="G85" i="141"/>
  <c r="F85" i="141"/>
  <c r="E85" i="141"/>
  <c r="D85" i="141"/>
  <c r="C85" i="141"/>
  <c r="B85" i="141"/>
  <c r="N84" i="141"/>
  <c r="M84" i="141"/>
  <c r="L84" i="141"/>
  <c r="K84" i="141"/>
  <c r="J84" i="141"/>
  <c r="I84" i="141"/>
  <c r="H84" i="141"/>
  <c r="G84" i="141"/>
  <c r="F84" i="141"/>
  <c r="E84" i="141"/>
  <c r="D84" i="141"/>
  <c r="C84" i="141"/>
  <c r="B84" i="141"/>
  <c r="N83" i="141"/>
  <c r="M83" i="141"/>
  <c r="L83" i="141"/>
  <c r="K83" i="141"/>
  <c r="J83" i="141"/>
  <c r="I83" i="141"/>
  <c r="H83" i="141"/>
  <c r="G83" i="141"/>
  <c r="F83" i="141"/>
  <c r="E83" i="141"/>
  <c r="D83" i="141"/>
  <c r="C83" i="141"/>
  <c r="B83" i="141"/>
  <c r="N82" i="141"/>
  <c r="M82" i="141"/>
  <c r="L82" i="141"/>
  <c r="K82" i="141"/>
  <c r="J82" i="141"/>
  <c r="I82" i="141"/>
  <c r="H82" i="141"/>
  <c r="G82" i="141"/>
  <c r="F82" i="141"/>
  <c r="E82" i="141"/>
  <c r="D82" i="141"/>
  <c r="C82" i="141"/>
  <c r="B82" i="141"/>
  <c r="N81" i="141"/>
  <c r="M81" i="141"/>
  <c r="L81" i="141"/>
  <c r="K81" i="141"/>
  <c r="J81" i="141"/>
  <c r="I81" i="141"/>
  <c r="H81" i="141"/>
  <c r="G81" i="141"/>
  <c r="F81" i="141"/>
  <c r="E81" i="141"/>
  <c r="D81" i="141"/>
  <c r="C81" i="141"/>
  <c r="B81" i="141"/>
  <c r="N80" i="141"/>
  <c r="M80" i="141"/>
  <c r="L80" i="141"/>
  <c r="K80" i="141"/>
  <c r="J80" i="141"/>
  <c r="I80" i="141"/>
  <c r="H80" i="141"/>
  <c r="G80" i="141"/>
  <c r="F80" i="141"/>
  <c r="E80" i="141"/>
  <c r="D80" i="141"/>
  <c r="C80" i="141"/>
  <c r="B80" i="141"/>
  <c r="N79" i="141"/>
  <c r="M79" i="141"/>
  <c r="L79" i="141"/>
  <c r="K79" i="141"/>
  <c r="J79" i="141"/>
  <c r="I79" i="141"/>
  <c r="H79" i="141"/>
  <c r="G79" i="141"/>
  <c r="F79" i="141"/>
  <c r="E79" i="141"/>
  <c r="D79" i="141"/>
  <c r="C79" i="141"/>
  <c r="B79" i="141"/>
  <c r="N78" i="141"/>
  <c r="M78" i="141"/>
  <c r="L78" i="141"/>
  <c r="K78" i="141"/>
  <c r="J78" i="141"/>
  <c r="I78" i="141"/>
  <c r="H78" i="141"/>
  <c r="G78" i="141"/>
  <c r="F78" i="141"/>
  <c r="E78" i="141"/>
  <c r="D78" i="141"/>
  <c r="C78" i="141"/>
  <c r="B78" i="141"/>
  <c r="N77" i="141"/>
  <c r="M77" i="141"/>
  <c r="L77" i="141"/>
  <c r="K77" i="141"/>
  <c r="J77" i="141"/>
  <c r="I77" i="141"/>
  <c r="H77" i="141"/>
  <c r="G77" i="141"/>
  <c r="F77" i="141"/>
  <c r="E77" i="141"/>
  <c r="D77" i="141"/>
  <c r="C77" i="141"/>
  <c r="B77" i="141"/>
  <c r="N76" i="141"/>
  <c r="M76" i="141"/>
  <c r="L76" i="141"/>
  <c r="K76" i="141"/>
  <c r="J76" i="141"/>
  <c r="I76" i="141"/>
  <c r="H76" i="141"/>
  <c r="G76" i="141"/>
  <c r="F76" i="141"/>
  <c r="E76" i="141"/>
  <c r="D76" i="141"/>
  <c r="C76" i="141"/>
  <c r="B76" i="141"/>
  <c r="N70" i="141"/>
  <c r="M70" i="141"/>
  <c r="L70" i="141"/>
  <c r="K70" i="141"/>
  <c r="J70" i="141"/>
  <c r="I70" i="141"/>
  <c r="H70" i="141"/>
  <c r="G70" i="141"/>
  <c r="F70" i="141"/>
  <c r="E70" i="141"/>
  <c r="D70" i="141"/>
  <c r="C70" i="141"/>
  <c r="A70" i="141"/>
  <c r="N69" i="141"/>
  <c r="M69" i="141"/>
  <c r="L69" i="141"/>
  <c r="K69" i="141"/>
  <c r="J69" i="141"/>
  <c r="I69" i="141"/>
  <c r="H69" i="141"/>
  <c r="G69" i="141"/>
  <c r="F69" i="141"/>
  <c r="E69" i="141"/>
  <c r="D69" i="141"/>
  <c r="C69" i="141"/>
  <c r="B69" i="141"/>
  <c r="N68" i="141"/>
  <c r="M68" i="141"/>
  <c r="L68" i="141"/>
  <c r="K68" i="141"/>
  <c r="J68" i="141"/>
  <c r="I68" i="141"/>
  <c r="H68" i="141"/>
  <c r="G68" i="141"/>
  <c r="F68" i="141"/>
  <c r="E68" i="141"/>
  <c r="D68" i="141"/>
  <c r="C68" i="141"/>
  <c r="B68" i="141"/>
  <c r="N67" i="141"/>
  <c r="M67" i="141"/>
  <c r="L67" i="141"/>
  <c r="K67" i="141"/>
  <c r="J67" i="141"/>
  <c r="I67" i="141"/>
  <c r="H67" i="141"/>
  <c r="G67" i="141"/>
  <c r="F67" i="141"/>
  <c r="E67" i="141"/>
  <c r="D67" i="141"/>
  <c r="C67" i="141"/>
  <c r="B67" i="141"/>
  <c r="N66" i="141"/>
  <c r="M66" i="141"/>
  <c r="L66" i="141"/>
  <c r="K66" i="141"/>
  <c r="J66" i="141"/>
  <c r="I66" i="141"/>
  <c r="H66" i="141"/>
  <c r="G66" i="141"/>
  <c r="F66" i="141"/>
  <c r="E66" i="141"/>
  <c r="D66" i="141"/>
  <c r="C66" i="141"/>
  <c r="B66" i="141"/>
  <c r="N65" i="141"/>
  <c r="M65" i="141"/>
  <c r="L65" i="141"/>
  <c r="K65" i="141"/>
  <c r="J65" i="141"/>
  <c r="I65" i="141"/>
  <c r="H65" i="141"/>
  <c r="G65" i="141"/>
  <c r="F65" i="141"/>
  <c r="E65" i="141"/>
  <c r="D65" i="141"/>
  <c r="C65" i="141"/>
  <c r="B65" i="141"/>
  <c r="N64" i="141"/>
  <c r="M64" i="141"/>
  <c r="L64" i="141"/>
  <c r="K64" i="141"/>
  <c r="J64" i="141"/>
  <c r="I64" i="141"/>
  <c r="H64" i="141"/>
  <c r="G64" i="141"/>
  <c r="F64" i="141"/>
  <c r="E64" i="141"/>
  <c r="D64" i="141"/>
  <c r="C64" i="141"/>
  <c r="B64" i="141"/>
  <c r="N63" i="141"/>
  <c r="M63" i="141"/>
  <c r="L63" i="141"/>
  <c r="K63" i="141"/>
  <c r="J63" i="141"/>
  <c r="I63" i="141"/>
  <c r="H63" i="141"/>
  <c r="G63" i="141"/>
  <c r="F63" i="141"/>
  <c r="E63" i="141"/>
  <c r="D63" i="141"/>
  <c r="C63" i="141"/>
  <c r="B63" i="141"/>
  <c r="N62" i="141"/>
  <c r="M62" i="141"/>
  <c r="L62" i="141"/>
  <c r="K62" i="141"/>
  <c r="J62" i="141"/>
  <c r="I62" i="141"/>
  <c r="H62" i="141"/>
  <c r="G62" i="141"/>
  <c r="F62" i="141"/>
  <c r="E62" i="141"/>
  <c r="D62" i="141"/>
  <c r="C62" i="141"/>
  <c r="B62" i="141"/>
  <c r="N61" i="141"/>
  <c r="M61" i="141"/>
  <c r="L61" i="141"/>
  <c r="K61" i="141"/>
  <c r="J61" i="141"/>
  <c r="I61" i="141"/>
  <c r="H61" i="141"/>
  <c r="G61" i="141"/>
  <c r="F61" i="141"/>
  <c r="E61" i="141"/>
  <c r="D61" i="141"/>
  <c r="C61" i="141"/>
  <c r="B61" i="141"/>
  <c r="N60" i="141"/>
  <c r="M60" i="141"/>
  <c r="L60" i="141"/>
  <c r="K60" i="141"/>
  <c r="J60" i="141"/>
  <c r="I60" i="141"/>
  <c r="H60" i="141"/>
  <c r="G60" i="141"/>
  <c r="F60" i="141"/>
  <c r="E60" i="141"/>
  <c r="D60" i="141"/>
  <c r="C60" i="141"/>
  <c r="B60" i="141"/>
  <c r="N59" i="141"/>
  <c r="M59" i="141"/>
  <c r="L59" i="141"/>
  <c r="K59" i="141"/>
  <c r="J59" i="141"/>
  <c r="I59" i="141"/>
  <c r="H59" i="141"/>
  <c r="G59" i="141"/>
  <c r="F59" i="141"/>
  <c r="E59" i="141"/>
  <c r="D59" i="141"/>
  <c r="C59" i="141"/>
  <c r="B59" i="141"/>
  <c r="N58" i="141"/>
  <c r="M58" i="141"/>
  <c r="L58" i="141"/>
  <c r="K58" i="141"/>
  <c r="J58" i="141"/>
  <c r="I58" i="141"/>
  <c r="H58" i="141"/>
  <c r="G58" i="141"/>
  <c r="F58" i="141"/>
  <c r="E58" i="141"/>
  <c r="D58" i="141"/>
  <c r="C58" i="141"/>
  <c r="B58" i="141"/>
  <c r="N54" i="141"/>
  <c r="M54" i="141"/>
  <c r="L54" i="141"/>
  <c r="K54" i="141"/>
  <c r="J54" i="141"/>
  <c r="I54" i="141"/>
  <c r="H54" i="141"/>
  <c r="G54" i="141"/>
  <c r="F54" i="141"/>
  <c r="E54" i="141"/>
  <c r="D54" i="141"/>
  <c r="C54" i="141"/>
  <c r="A54" i="141"/>
  <c r="N53" i="141"/>
  <c r="M53" i="141"/>
  <c r="L53" i="141"/>
  <c r="K53" i="141"/>
  <c r="J53" i="141"/>
  <c r="I53" i="141"/>
  <c r="H53" i="141"/>
  <c r="G53" i="141"/>
  <c r="F53" i="141"/>
  <c r="E53" i="141"/>
  <c r="D53" i="141"/>
  <c r="C53" i="141"/>
  <c r="B53" i="141"/>
  <c r="N52" i="141"/>
  <c r="M52" i="141"/>
  <c r="L52" i="141"/>
  <c r="K52" i="141"/>
  <c r="J52" i="141"/>
  <c r="I52" i="141"/>
  <c r="H52" i="141"/>
  <c r="G52" i="141"/>
  <c r="F52" i="141"/>
  <c r="E52" i="141"/>
  <c r="D52" i="141"/>
  <c r="C52" i="141"/>
  <c r="B52" i="141"/>
  <c r="N51" i="141"/>
  <c r="M51" i="141"/>
  <c r="L51" i="141"/>
  <c r="K51" i="141"/>
  <c r="J51" i="141"/>
  <c r="I51" i="141"/>
  <c r="H51" i="141"/>
  <c r="G51" i="141"/>
  <c r="F51" i="141"/>
  <c r="E51" i="141"/>
  <c r="D51" i="141"/>
  <c r="C51" i="141"/>
  <c r="B51" i="141"/>
  <c r="N50" i="141"/>
  <c r="M50" i="141"/>
  <c r="L50" i="141"/>
  <c r="K50" i="141"/>
  <c r="J50" i="141"/>
  <c r="I50" i="141"/>
  <c r="H50" i="141"/>
  <c r="G50" i="141"/>
  <c r="F50" i="141"/>
  <c r="E50" i="141"/>
  <c r="D50" i="141"/>
  <c r="C50" i="141"/>
  <c r="B50" i="141"/>
  <c r="N49" i="141"/>
  <c r="M49" i="141"/>
  <c r="L49" i="141"/>
  <c r="K49" i="141"/>
  <c r="J49" i="141"/>
  <c r="I49" i="141"/>
  <c r="H49" i="141"/>
  <c r="G49" i="141"/>
  <c r="F49" i="141"/>
  <c r="E49" i="141"/>
  <c r="D49" i="141"/>
  <c r="C49" i="141"/>
  <c r="B49" i="141"/>
  <c r="N48" i="141"/>
  <c r="M48" i="141"/>
  <c r="L48" i="141"/>
  <c r="K48" i="141"/>
  <c r="J48" i="141"/>
  <c r="I48" i="141"/>
  <c r="H48" i="141"/>
  <c r="G48" i="141"/>
  <c r="F48" i="141"/>
  <c r="E48" i="141"/>
  <c r="D48" i="141"/>
  <c r="C48" i="141"/>
  <c r="B48" i="141"/>
  <c r="N47" i="141"/>
  <c r="M47" i="141"/>
  <c r="L47" i="141"/>
  <c r="K47" i="141"/>
  <c r="J47" i="141"/>
  <c r="I47" i="141"/>
  <c r="H47" i="141"/>
  <c r="G47" i="141"/>
  <c r="F47" i="141"/>
  <c r="E47" i="141"/>
  <c r="D47" i="141"/>
  <c r="C47" i="141"/>
  <c r="B47" i="141"/>
  <c r="N46" i="141"/>
  <c r="M46" i="141"/>
  <c r="L46" i="141"/>
  <c r="K46" i="141"/>
  <c r="J46" i="141"/>
  <c r="I46" i="141"/>
  <c r="H46" i="141"/>
  <c r="G46" i="141"/>
  <c r="F46" i="141"/>
  <c r="E46" i="141"/>
  <c r="D46" i="141"/>
  <c r="C46" i="141"/>
  <c r="B46" i="141"/>
  <c r="N45" i="141"/>
  <c r="M45" i="141"/>
  <c r="L45" i="141"/>
  <c r="K45" i="141"/>
  <c r="J45" i="141"/>
  <c r="I45" i="141"/>
  <c r="H45" i="141"/>
  <c r="G45" i="141"/>
  <c r="F45" i="141"/>
  <c r="E45" i="141"/>
  <c r="D45" i="141"/>
  <c r="C45" i="141"/>
  <c r="B45" i="141"/>
  <c r="N44" i="141"/>
  <c r="M44" i="141"/>
  <c r="L44" i="141"/>
  <c r="K44" i="141"/>
  <c r="J44" i="141"/>
  <c r="I44" i="141"/>
  <c r="H44" i="141"/>
  <c r="G44" i="141"/>
  <c r="F44" i="141"/>
  <c r="E44" i="141"/>
  <c r="D44" i="141"/>
  <c r="C44" i="141"/>
  <c r="B44" i="141"/>
  <c r="N43" i="141"/>
  <c r="M43" i="141"/>
  <c r="L43" i="141"/>
  <c r="K43" i="141"/>
  <c r="J43" i="141"/>
  <c r="I43" i="141"/>
  <c r="H43" i="141"/>
  <c r="G43" i="141"/>
  <c r="F43" i="141"/>
  <c r="E43" i="141"/>
  <c r="D43" i="141"/>
  <c r="C43" i="141"/>
  <c r="B43" i="141"/>
  <c r="N42" i="141"/>
  <c r="M42" i="141"/>
  <c r="L42" i="141"/>
  <c r="K42" i="141"/>
  <c r="J42" i="141"/>
  <c r="I42" i="141"/>
  <c r="H42" i="141"/>
  <c r="G42" i="141"/>
  <c r="F42" i="141"/>
  <c r="E42" i="141"/>
  <c r="D42" i="141"/>
  <c r="C42" i="141"/>
  <c r="B42" i="141"/>
  <c r="N36" i="141"/>
  <c r="M36" i="141"/>
  <c r="L36" i="141"/>
  <c r="K36" i="141"/>
  <c r="J36" i="141"/>
  <c r="I36" i="141"/>
  <c r="H36" i="141"/>
  <c r="G36" i="141"/>
  <c r="F36" i="141"/>
  <c r="E36" i="141"/>
  <c r="D36" i="141"/>
  <c r="C36" i="141"/>
  <c r="B36" i="141"/>
  <c r="N35" i="141"/>
  <c r="M35" i="141"/>
  <c r="L35" i="141"/>
  <c r="K35" i="141"/>
  <c r="J35" i="141"/>
  <c r="I35" i="141"/>
  <c r="H35" i="141"/>
  <c r="G35" i="141"/>
  <c r="F35" i="141"/>
  <c r="E35" i="141"/>
  <c r="D35" i="141"/>
  <c r="C35" i="141"/>
  <c r="B35" i="141"/>
  <c r="I31" i="141"/>
  <c r="H31" i="141"/>
  <c r="G31" i="141"/>
  <c r="E31" i="141"/>
  <c r="D31" i="141"/>
  <c r="C31" i="141"/>
  <c r="B31" i="141"/>
  <c r="A31" i="141"/>
  <c r="D30" i="141"/>
  <c r="C30" i="141"/>
  <c r="B30" i="141"/>
  <c r="D29" i="141"/>
  <c r="C29" i="141"/>
  <c r="B29" i="141"/>
  <c r="D28" i="141"/>
  <c r="C28" i="141"/>
  <c r="B28" i="141"/>
  <c r="D27" i="141"/>
  <c r="C27" i="141"/>
  <c r="B27" i="141"/>
  <c r="D26" i="141"/>
  <c r="C26" i="141"/>
  <c r="B26" i="141"/>
  <c r="D25" i="141"/>
  <c r="C25" i="141"/>
  <c r="B25" i="141"/>
  <c r="D24" i="141"/>
  <c r="C24" i="141"/>
  <c r="B24" i="141"/>
  <c r="D23" i="141"/>
  <c r="C23" i="141"/>
  <c r="B23" i="141"/>
  <c r="D22" i="141"/>
  <c r="C22" i="141"/>
  <c r="B22" i="141"/>
  <c r="D21" i="141"/>
  <c r="C21" i="141"/>
  <c r="B21" i="141"/>
  <c r="D20" i="141"/>
  <c r="C20" i="141"/>
  <c r="C19" i="141"/>
  <c r="B19" i="141"/>
  <c r="N15" i="141"/>
  <c r="M15" i="141"/>
  <c r="L15" i="141"/>
  <c r="K15" i="141"/>
  <c r="J15" i="141"/>
  <c r="I15" i="141"/>
  <c r="H15" i="141"/>
  <c r="G15" i="141"/>
  <c r="F15" i="141"/>
  <c r="E15" i="141"/>
  <c r="D15" i="141"/>
  <c r="C15" i="141"/>
  <c r="B15" i="141"/>
  <c r="N14" i="141"/>
  <c r="M14" i="141"/>
  <c r="L14" i="141"/>
  <c r="K14" i="141"/>
  <c r="J14" i="141"/>
  <c r="I14" i="141"/>
  <c r="H14" i="141"/>
  <c r="G14" i="141"/>
  <c r="F14" i="141"/>
  <c r="E14" i="141"/>
  <c r="D14" i="141"/>
  <c r="C14" i="141"/>
  <c r="B14" i="141"/>
  <c r="A10" i="141"/>
  <c r="A1" i="141"/>
  <c r="N371" i="139"/>
  <c r="M371" i="139"/>
  <c r="L371" i="139"/>
  <c r="K371" i="139"/>
  <c r="J371" i="139"/>
  <c r="I371" i="139"/>
  <c r="H371" i="139"/>
  <c r="G371" i="139"/>
  <c r="F371" i="139"/>
  <c r="E371" i="139"/>
  <c r="D371" i="139"/>
  <c r="C371" i="139"/>
  <c r="A371" i="139"/>
  <c r="N370" i="139"/>
  <c r="M370" i="139"/>
  <c r="L370" i="139"/>
  <c r="K370" i="139"/>
  <c r="J370" i="139"/>
  <c r="I370" i="139"/>
  <c r="H370" i="139"/>
  <c r="G370" i="139"/>
  <c r="F370" i="139"/>
  <c r="E370" i="139"/>
  <c r="D370" i="139"/>
  <c r="C370" i="139"/>
  <c r="A370" i="139"/>
  <c r="N369" i="139"/>
  <c r="M369" i="139"/>
  <c r="L369" i="139"/>
  <c r="K369" i="139"/>
  <c r="J369" i="139"/>
  <c r="I369" i="139"/>
  <c r="H369" i="139"/>
  <c r="G369" i="139"/>
  <c r="F369" i="139"/>
  <c r="E369" i="139"/>
  <c r="D369" i="139"/>
  <c r="C369" i="139"/>
  <c r="N368" i="139"/>
  <c r="M368" i="139"/>
  <c r="L368" i="139"/>
  <c r="K368" i="139"/>
  <c r="J368" i="139"/>
  <c r="I368" i="139"/>
  <c r="H368" i="139"/>
  <c r="G368" i="139"/>
  <c r="F368" i="139"/>
  <c r="E368" i="139"/>
  <c r="D368" i="139"/>
  <c r="C368" i="139"/>
  <c r="N367" i="139"/>
  <c r="M367" i="139"/>
  <c r="L367" i="139"/>
  <c r="K367" i="139"/>
  <c r="J367" i="139"/>
  <c r="I367" i="139"/>
  <c r="H367" i="139"/>
  <c r="G367" i="139"/>
  <c r="F367" i="139"/>
  <c r="E367" i="139"/>
  <c r="D367" i="139"/>
  <c r="C367" i="139"/>
  <c r="A367" i="139"/>
  <c r="N366" i="139"/>
  <c r="M366" i="139"/>
  <c r="L366" i="139"/>
  <c r="K366" i="139"/>
  <c r="J366" i="139"/>
  <c r="I366" i="139"/>
  <c r="H366" i="139"/>
  <c r="G366" i="139"/>
  <c r="F366" i="139"/>
  <c r="E366" i="139"/>
  <c r="D366" i="139"/>
  <c r="C366" i="139"/>
  <c r="B366" i="139"/>
  <c r="N365" i="139"/>
  <c r="M365" i="139"/>
  <c r="L365" i="139"/>
  <c r="K365" i="139"/>
  <c r="J365" i="139"/>
  <c r="I365" i="139"/>
  <c r="H365" i="139"/>
  <c r="G365" i="139"/>
  <c r="F365" i="139"/>
  <c r="E365" i="139"/>
  <c r="D365" i="139"/>
  <c r="C365" i="139"/>
  <c r="B365" i="139"/>
  <c r="N364" i="139"/>
  <c r="M364" i="139"/>
  <c r="L364" i="139"/>
  <c r="K364" i="139"/>
  <c r="J364" i="139"/>
  <c r="I364" i="139"/>
  <c r="H364" i="139"/>
  <c r="G364" i="139"/>
  <c r="F364" i="139"/>
  <c r="E364" i="139"/>
  <c r="D364" i="139"/>
  <c r="C364" i="139"/>
  <c r="B364" i="139"/>
  <c r="N363" i="139"/>
  <c r="M363" i="139"/>
  <c r="L363" i="139"/>
  <c r="K363" i="139"/>
  <c r="J363" i="139"/>
  <c r="I363" i="139"/>
  <c r="H363" i="139"/>
  <c r="G363" i="139"/>
  <c r="F363" i="139"/>
  <c r="E363" i="139"/>
  <c r="D363" i="139"/>
  <c r="C363" i="139"/>
  <c r="B363" i="139"/>
  <c r="N362" i="139"/>
  <c r="M362" i="139"/>
  <c r="L362" i="139"/>
  <c r="K362" i="139"/>
  <c r="J362" i="139"/>
  <c r="I362" i="139"/>
  <c r="H362" i="139"/>
  <c r="G362" i="139"/>
  <c r="F362" i="139"/>
  <c r="E362" i="139"/>
  <c r="D362" i="139"/>
  <c r="C362" i="139"/>
  <c r="B362" i="139"/>
  <c r="N361" i="139"/>
  <c r="M361" i="139"/>
  <c r="L361" i="139"/>
  <c r="K361" i="139"/>
  <c r="J361" i="139"/>
  <c r="I361" i="139"/>
  <c r="H361" i="139"/>
  <c r="G361" i="139"/>
  <c r="F361" i="139"/>
  <c r="E361" i="139"/>
  <c r="D361" i="139"/>
  <c r="C361" i="139"/>
  <c r="B361" i="139"/>
  <c r="N360" i="139"/>
  <c r="M360" i="139"/>
  <c r="L360" i="139"/>
  <c r="K360" i="139"/>
  <c r="J360" i="139"/>
  <c r="I360" i="139"/>
  <c r="H360" i="139"/>
  <c r="G360" i="139"/>
  <c r="F360" i="139"/>
  <c r="E360" i="139"/>
  <c r="D360" i="139"/>
  <c r="C360" i="139"/>
  <c r="B360" i="139"/>
  <c r="N359" i="139"/>
  <c r="M359" i="139"/>
  <c r="L359" i="139"/>
  <c r="K359" i="139"/>
  <c r="J359" i="139"/>
  <c r="I359" i="139"/>
  <c r="H359" i="139"/>
  <c r="G359" i="139"/>
  <c r="F359" i="139"/>
  <c r="E359" i="139"/>
  <c r="D359" i="139"/>
  <c r="C359" i="139"/>
  <c r="B359" i="139"/>
  <c r="N358" i="139"/>
  <c r="M358" i="139"/>
  <c r="L358" i="139"/>
  <c r="K358" i="139"/>
  <c r="J358" i="139"/>
  <c r="I358" i="139"/>
  <c r="H358" i="139"/>
  <c r="G358" i="139"/>
  <c r="F358" i="139"/>
  <c r="E358" i="139"/>
  <c r="D358" i="139"/>
  <c r="C358" i="139"/>
  <c r="B358" i="139"/>
  <c r="N357" i="139"/>
  <c r="M357" i="139"/>
  <c r="L357" i="139"/>
  <c r="K357" i="139"/>
  <c r="J357" i="139"/>
  <c r="I357" i="139"/>
  <c r="H357" i="139"/>
  <c r="G357" i="139"/>
  <c r="F357" i="139"/>
  <c r="E357" i="139"/>
  <c r="D357" i="139"/>
  <c r="C357" i="139"/>
  <c r="B357" i="139"/>
  <c r="N356" i="139"/>
  <c r="M356" i="139"/>
  <c r="L356" i="139"/>
  <c r="K356" i="139"/>
  <c r="J356" i="139"/>
  <c r="I356" i="139"/>
  <c r="H356" i="139"/>
  <c r="G356" i="139"/>
  <c r="F356" i="139"/>
  <c r="E356" i="139"/>
  <c r="D356" i="139"/>
  <c r="C356" i="139"/>
  <c r="B356" i="139"/>
  <c r="N355" i="139"/>
  <c r="M355" i="139"/>
  <c r="L355" i="139"/>
  <c r="K355" i="139"/>
  <c r="J355" i="139"/>
  <c r="I355" i="139"/>
  <c r="H355" i="139"/>
  <c r="G355" i="139"/>
  <c r="F355" i="139"/>
  <c r="E355" i="139"/>
  <c r="D355" i="139"/>
  <c r="C355" i="139"/>
  <c r="B355" i="139"/>
  <c r="N351" i="139"/>
  <c r="M351" i="139"/>
  <c r="L351" i="139"/>
  <c r="K351" i="139"/>
  <c r="J351" i="139"/>
  <c r="I351" i="139"/>
  <c r="H351" i="139"/>
  <c r="G351" i="139"/>
  <c r="F351" i="139"/>
  <c r="E351" i="139"/>
  <c r="D351" i="139"/>
  <c r="C351" i="139"/>
  <c r="A351" i="139"/>
  <c r="N350" i="139"/>
  <c r="M350" i="139"/>
  <c r="L350" i="139"/>
  <c r="K350" i="139"/>
  <c r="J350" i="139"/>
  <c r="I350" i="139"/>
  <c r="H350" i="139"/>
  <c r="G350" i="139"/>
  <c r="F350" i="139"/>
  <c r="E350" i="139"/>
  <c r="D350" i="139"/>
  <c r="C350" i="139"/>
  <c r="B350" i="139"/>
  <c r="N349" i="139"/>
  <c r="M349" i="139"/>
  <c r="L349" i="139"/>
  <c r="K349" i="139"/>
  <c r="J349" i="139"/>
  <c r="I349" i="139"/>
  <c r="H349" i="139"/>
  <c r="G349" i="139"/>
  <c r="F349" i="139"/>
  <c r="E349" i="139"/>
  <c r="D349" i="139"/>
  <c r="C349" i="139"/>
  <c r="B349" i="139"/>
  <c r="N348" i="139"/>
  <c r="M348" i="139"/>
  <c r="L348" i="139"/>
  <c r="K348" i="139"/>
  <c r="J348" i="139"/>
  <c r="I348" i="139"/>
  <c r="H348" i="139"/>
  <c r="G348" i="139"/>
  <c r="F348" i="139"/>
  <c r="E348" i="139"/>
  <c r="D348" i="139"/>
  <c r="C348" i="139"/>
  <c r="B348" i="139"/>
  <c r="N347" i="139"/>
  <c r="M347" i="139"/>
  <c r="L347" i="139"/>
  <c r="K347" i="139"/>
  <c r="J347" i="139"/>
  <c r="I347" i="139"/>
  <c r="H347" i="139"/>
  <c r="G347" i="139"/>
  <c r="F347" i="139"/>
  <c r="E347" i="139"/>
  <c r="D347" i="139"/>
  <c r="C347" i="139"/>
  <c r="B347" i="139"/>
  <c r="N346" i="139"/>
  <c r="M346" i="139"/>
  <c r="L346" i="139"/>
  <c r="K346" i="139"/>
  <c r="J346" i="139"/>
  <c r="I346" i="139"/>
  <c r="H346" i="139"/>
  <c r="G346" i="139"/>
  <c r="F346" i="139"/>
  <c r="E346" i="139"/>
  <c r="D346" i="139"/>
  <c r="C346" i="139"/>
  <c r="B346" i="139"/>
  <c r="N345" i="139"/>
  <c r="M345" i="139"/>
  <c r="L345" i="139"/>
  <c r="K345" i="139"/>
  <c r="J345" i="139"/>
  <c r="I345" i="139"/>
  <c r="H345" i="139"/>
  <c r="G345" i="139"/>
  <c r="F345" i="139"/>
  <c r="E345" i="139"/>
  <c r="D345" i="139"/>
  <c r="C345" i="139"/>
  <c r="B345" i="139"/>
  <c r="N344" i="139"/>
  <c r="M344" i="139"/>
  <c r="L344" i="139"/>
  <c r="K344" i="139"/>
  <c r="J344" i="139"/>
  <c r="I344" i="139"/>
  <c r="H344" i="139"/>
  <c r="G344" i="139"/>
  <c r="F344" i="139"/>
  <c r="E344" i="139"/>
  <c r="D344" i="139"/>
  <c r="C344" i="139"/>
  <c r="B344" i="139"/>
  <c r="N343" i="139"/>
  <c r="M343" i="139"/>
  <c r="L343" i="139"/>
  <c r="K343" i="139"/>
  <c r="J343" i="139"/>
  <c r="I343" i="139"/>
  <c r="H343" i="139"/>
  <c r="G343" i="139"/>
  <c r="F343" i="139"/>
  <c r="E343" i="139"/>
  <c r="D343" i="139"/>
  <c r="C343" i="139"/>
  <c r="B343" i="139"/>
  <c r="N342" i="139"/>
  <c r="M342" i="139"/>
  <c r="L342" i="139"/>
  <c r="K342" i="139"/>
  <c r="J342" i="139"/>
  <c r="I342" i="139"/>
  <c r="H342" i="139"/>
  <c r="G342" i="139"/>
  <c r="F342" i="139"/>
  <c r="E342" i="139"/>
  <c r="D342" i="139"/>
  <c r="C342" i="139"/>
  <c r="B342" i="139"/>
  <c r="N341" i="139"/>
  <c r="M341" i="139"/>
  <c r="L341" i="139"/>
  <c r="K341" i="139"/>
  <c r="J341" i="139"/>
  <c r="I341" i="139"/>
  <c r="H341" i="139"/>
  <c r="G341" i="139"/>
  <c r="F341" i="139"/>
  <c r="E341" i="139"/>
  <c r="D341" i="139"/>
  <c r="C341" i="139"/>
  <c r="B341" i="139"/>
  <c r="N340" i="139"/>
  <c r="M340" i="139"/>
  <c r="L340" i="139"/>
  <c r="K340" i="139"/>
  <c r="J340" i="139"/>
  <c r="I340" i="139"/>
  <c r="H340" i="139"/>
  <c r="G340" i="139"/>
  <c r="F340" i="139"/>
  <c r="E340" i="139"/>
  <c r="D340" i="139"/>
  <c r="C340" i="139"/>
  <c r="B340" i="139"/>
  <c r="N339" i="139"/>
  <c r="M339" i="139"/>
  <c r="L339" i="139"/>
  <c r="K339" i="139"/>
  <c r="J339" i="139"/>
  <c r="I339" i="139"/>
  <c r="H339" i="139"/>
  <c r="G339" i="139"/>
  <c r="F339" i="139"/>
  <c r="E339" i="139"/>
  <c r="D339" i="139"/>
  <c r="C339" i="139"/>
  <c r="B339" i="139"/>
  <c r="N333" i="139"/>
  <c r="M333" i="139"/>
  <c r="L333" i="139"/>
  <c r="K333" i="139"/>
  <c r="J333" i="139"/>
  <c r="I333" i="139"/>
  <c r="H333" i="139"/>
  <c r="G333" i="139"/>
  <c r="F333" i="139"/>
  <c r="E333" i="139"/>
  <c r="D333" i="139"/>
  <c r="C333" i="139"/>
  <c r="A333" i="139"/>
  <c r="N332" i="139"/>
  <c r="M332" i="139"/>
  <c r="L332" i="139"/>
  <c r="K332" i="139"/>
  <c r="J332" i="139"/>
  <c r="I332" i="139"/>
  <c r="H332" i="139"/>
  <c r="G332" i="139"/>
  <c r="F332" i="139"/>
  <c r="E332" i="139"/>
  <c r="D332" i="139"/>
  <c r="C332" i="139"/>
  <c r="N331" i="139"/>
  <c r="M331" i="139"/>
  <c r="L331" i="139"/>
  <c r="K331" i="139"/>
  <c r="J331" i="139"/>
  <c r="I331" i="139"/>
  <c r="H331" i="139"/>
  <c r="G331" i="139"/>
  <c r="F331" i="139"/>
  <c r="E331" i="139"/>
  <c r="D331" i="139"/>
  <c r="C331" i="139"/>
  <c r="N330" i="139"/>
  <c r="M330" i="139"/>
  <c r="L330" i="139"/>
  <c r="K330" i="139"/>
  <c r="J330" i="139"/>
  <c r="I330" i="139"/>
  <c r="H330" i="139"/>
  <c r="G330" i="139"/>
  <c r="F330" i="139"/>
  <c r="E330" i="139"/>
  <c r="D330" i="139"/>
  <c r="C330" i="139"/>
  <c r="A330" i="139"/>
  <c r="N329" i="139"/>
  <c r="M329" i="139"/>
  <c r="L329" i="139"/>
  <c r="K329" i="139"/>
  <c r="J329" i="139"/>
  <c r="I329" i="139"/>
  <c r="H329" i="139"/>
  <c r="G329" i="139"/>
  <c r="F329" i="139"/>
  <c r="E329" i="139"/>
  <c r="D329" i="139"/>
  <c r="C329" i="139"/>
  <c r="B329" i="139"/>
  <c r="N328" i="139"/>
  <c r="M328" i="139"/>
  <c r="L328" i="139"/>
  <c r="K328" i="139"/>
  <c r="J328" i="139"/>
  <c r="I328" i="139"/>
  <c r="H328" i="139"/>
  <c r="G328" i="139"/>
  <c r="F328" i="139"/>
  <c r="E328" i="139"/>
  <c r="D328" i="139"/>
  <c r="C328" i="139"/>
  <c r="B328" i="139"/>
  <c r="N327" i="139"/>
  <c r="M327" i="139"/>
  <c r="L327" i="139"/>
  <c r="K327" i="139"/>
  <c r="J327" i="139"/>
  <c r="I327" i="139"/>
  <c r="H327" i="139"/>
  <c r="G327" i="139"/>
  <c r="F327" i="139"/>
  <c r="E327" i="139"/>
  <c r="D327" i="139"/>
  <c r="C327" i="139"/>
  <c r="B327" i="139"/>
  <c r="N326" i="139"/>
  <c r="M326" i="139"/>
  <c r="L326" i="139"/>
  <c r="K326" i="139"/>
  <c r="J326" i="139"/>
  <c r="I326" i="139"/>
  <c r="H326" i="139"/>
  <c r="G326" i="139"/>
  <c r="F326" i="139"/>
  <c r="E326" i="139"/>
  <c r="D326" i="139"/>
  <c r="C326" i="139"/>
  <c r="B326" i="139"/>
  <c r="N325" i="139"/>
  <c r="M325" i="139"/>
  <c r="L325" i="139"/>
  <c r="K325" i="139"/>
  <c r="J325" i="139"/>
  <c r="I325" i="139"/>
  <c r="H325" i="139"/>
  <c r="G325" i="139"/>
  <c r="F325" i="139"/>
  <c r="E325" i="139"/>
  <c r="D325" i="139"/>
  <c r="C325" i="139"/>
  <c r="B325" i="139"/>
  <c r="N324" i="139"/>
  <c r="M324" i="139"/>
  <c r="L324" i="139"/>
  <c r="K324" i="139"/>
  <c r="J324" i="139"/>
  <c r="I324" i="139"/>
  <c r="H324" i="139"/>
  <c r="G324" i="139"/>
  <c r="F324" i="139"/>
  <c r="E324" i="139"/>
  <c r="D324" i="139"/>
  <c r="C324" i="139"/>
  <c r="B324" i="139"/>
  <c r="N323" i="139"/>
  <c r="M323" i="139"/>
  <c r="L323" i="139"/>
  <c r="K323" i="139"/>
  <c r="J323" i="139"/>
  <c r="I323" i="139"/>
  <c r="H323" i="139"/>
  <c r="G323" i="139"/>
  <c r="F323" i="139"/>
  <c r="E323" i="139"/>
  <c r="D323" i="139"/>
  <c r="C323" i="139"/>
  <c r="B323" i="139"/>
  <c r="N322" i="139"/>
  <c r="M322" i="139"/>
  <c r="L322" i="139"/>
  <c r="K322" i="139"/>
  <c r="J322" i="139"/>
  <c r="I322" i="139"/>
  <c r="H322" i="139"/>
  <c r="G322" i="139"/>
  <c r="F322" i="139"/>
  <c r="E322" i="139"/>
  <c r="D322" i="139"/>
  <c r="C322" i="139"/>
  <c r="B322" i="139"/>
  <c r="N321" i="139"/>
  <c r="M321" i="139"/>
  <c r="L321" i="139"/>
  <c r="K321" i="139"/>
  <c r="J321" i="139"/>
  <c r="I321" i="139"/>
  <c r="H321" i="139"/>
  <c r="G321" i="139"/>
  <c r="F321" i="139"/>
  <c r="E321" i="139"/>
  <c r="D321" i="139"/>
  <c r="C321" i="139"/>
  <c r="B321" i="139"/>
  <c r="N320" i="139"/>
  <c r="M320" i="139"/>
  <c r="L320" i="139"/>
  <c r="K320" i="139"/>
  <c r="J320" i="139"/>
  <c r="I320" i="139"/>
  <c r="H320" i="139"/>
  <c r="G320" i="139"/>
  <c r="F320" i="139"/>
  <c r="E320" i="139"/>
  <c r="D320" i="139"/>
  <c r="C320" i="139"/>
  <c r="B320" i="139"/>
  <c r="N319" i="139"/>
  <c r="M319" i="139"/>
  <c r="L319" i="139"/>
  <c r="K319" i="139"/>
  <c r="J319" i="139"/>
  <c r="I319" i="139"/>
  <c r="H319" i="139"/>
  <c r="G319" i="139"/>
  <c r="F319" i="139"/>
  <c r="E319" i="139"/>
  <c r="D319" i="139"/>
  <c r="C319" i="139"/>
  <c r="B319" i="139"/>
  <c r="N318" i="139"/>
  <c r="M318" i="139"/>
  <c r="L318" i="139"/>
  <c r="K318" i="139"/>
  <c r="J318" i="139"/>
  <c r="I318" i="139"/>
  <c r="H318" i="139"/>
  <c r="G318" i="139"/>
  <c r="F318" i="139"/>
  <c r="E318" i="139"/>
  <c r="D318" i="139"/>
  <c r="C318" i="139"/>
  <c r="B318" i="139"/>
  <c r="N314" i="139"/>
  <c r="M314" i="139"/>
  <c r="L314" i="139"/>
  <c r="K314" i="139"/>
  <c r="J314" i="139"/>
  <c r="I314" i="139"/>
  <c r="H314" i="139"/>
  <c r="G314" i="139"/>
  <c r="F314" i="139"/>
  <c r="E314" i="139"/>
  <c r="D314" i="139"/>
  <c r="C314" i="139"/>
  <c r="A314" i="139"/>
  <c r="N313" i="139"/>
  <c r="M313" i="139"/>
  <c r="L313" i="139"/>
  <c r="K313" i="139"/>
  <c r="J313" i="139"/>
  <c r="I313" i="139"/>
  <c r="H313" i="139"/>
  <c r="G313" i="139"/>
  <c r="F313" i="139"/>
  <c r="E313" i="139"/>
  <c r="D313" i="139"/>
  <c r="C313" i="139"/>
  <c r="B313" i="139"/>
  <c r="N312" i="139"/>
  <c r="M312" i="139"/>
  <c r="L312" i="139"/>
  <c r="K312" i="139"/>
  <c r="J312" i="139"/>
  <c r="I312" i="139"/>
  <c r="H312" i="139"/>
  <c r="G312" i="139"/>
  <c r="F312" i="139"/>
  <c r="E312" i="139"/>
  <c r="D312" i="139"/>
  <c r="C312" i="139"/>
  <c r="B312" i="139"/>
  <c r="N311" i="139"/>
  <c r="M311" i="139"/>
  <c r="L311" i="139"/>
  <c r="K311" i="139"/>
  <c r="J311" i="139"/>
  <c r="I311" i="139"/>
  <c r="H311" i="139"/>
  <c r="G311" i="139"/>
  <c r="F311" i="139"/>
  <c r="E311" i="139"/>
  <c r="D311" i="139"/>
  <c r="C311" i="139"/>
  <c r="B311" i="139"/>
  <c r="N310" i="139"/>
  <c r="M310" i="139"/>
  <c r="L310" i="139"/>
  <c r="K310" i="139"/>
  <c r="J310" i="139"/>
  <c r="I310" i="139"/>
  <c r="H310" i="139"/>
  <c r="G310" i="139"/>
  <c r="F310" i="139"/>
  <c r="E310" i="139"/>
  <c r="D310" i="139"/>
  <c r="C310" i="139"/>
  <c r="B310" i="139"/>
  <c r="N309" i="139"/>
  <c r="M309" i="139"/>
  <c r="L309" i="139"/>
  <c r="K309" i="139"/>
  <c r="J309" i="139"/>
  <c r="I309" i="139"/>
  <c r="H309" i="139"/>
  <c r="G309" i="139"/>
  <c r="F309" i="139"/>
  <c r="E309" i="139"/>
  <c r="D309" i="139"/>
  <c r="C309" i="139"/>
  <c r="B309" i="139"/>
  <c r="N308" i="139"/>
  <c r="M308" i="139"/>
  <c r="L308" i="139"/>
  <c r="K308" i="139"/>
  <c r="J308" i="139"/>
  <c r="I308" i="139"/>
  <c r="H308" i="139"/>
  <c r="G308" i="139"/>
  <c r="F308" i="139"/>
  <c r="E308" i="139"/>
  <c r="D308" i="139"/>
  <c r="C308" i="139"/>
  <c r="B308" i="139"/>
  <c r="N307" i="139"/>
  <c r="M307" i="139"/>
  <c r="L307" i="139"/>
  <c r="K307" i="139"/>
  <c r="J307" i="139"/>
  <c r="I307" i="139"/>
  <c r="H307" i="139"/>
  <c r="G307" i="139"/>
  <c r="F307" i="139"/>
  <c r="E307" i="139"/>
  <c r="D307" i="139"/>
  <c r="C307" i="139"/>
  <c r="B307" i="139"/>
  <c r="N306" i="139"/>
  <c r="M306" i="139"/>
  <c r="L306" i="139"/>
  <c r="K306" i="139"/>
  <c r="J306" i="139"/>
  <c r="I306" i="139"/>
  <c r="H306" i="139"/>
  <c r="G306" i="139"/>
  <c r="F306" i="139"/>
  <c r="E306" i="139"/>
  <c r="D306" i="139"/>
  <c r="C306" i="139"/>
  <c r="B306" i="139"/>
  <c r="N305" i="139"/>
  <c r="M305" i="139"/>
  <c r="L305" i="139"/>
  <c r="K305" i="139"/>
  <c r="J305" i="139"/>
  <c r="I305" i="139"/>
  <c r="H305" i="139"/>
  <c r="G305" i="139"/>
  <c r="F305" i="139"/>
  <c r="E305" i="139"/>
  <c r="D305" i="139"/>
  <c r="C305" i="139"/>
  <c r="B305" i="139"/>
  <c r="N304" i="139"/>
  <c r="M304" i="139"/>
  <c r="L304" i="139"/>
  <c r="K304" i="139"/>
  <c r="J304" i="139"/>
  <c r="I304" i="139"/>
  <c r="H304" i="139"/>
  <c r="G304" i="139"/>
  <c r="F304" i="139"/>
  <c r="E304" i="139"/>
  <c r="D304" i="139"/>
  <c r="C304" i="139"/>
  <c r="B304" i="139"/>
  <c r="N303" i="139"/>
  <c r="M303" i="139"/>
  <c r="L303" i="139"/>
  <c r="K303" i="139"/>
  <c r="J303" i="139"/>
  <c r="I303" i="139"/>
  <c r="H303" i="139"/>
  <c r="G303" i="139"/>
  <c r="F303" i="139"/>
  <c r="E303" i="139"/>
  <c r="D303" i="139"/>
  <c r="C303" i="139"/>
  <c r="B303" i="139"/>
  <c r="N302" i="139"/>
  <c r="M302" i="139"/>
  <c r="L302" i="139"/>
  <c r="K302" i="139"/>
  <c r="J302" i="139"/>
  <c r="I302" i="139"/>
  <c r="H302" i="139"/>
  <c r="G302" i="139"/>
  <c r="F302" i="139"/>
  <c r="E302" i="139"/>
  <c r="D302" i="139"/>
  <c r="C302" i="139"/>
  <c r="B302" i="139"/>
  <c r="N296" i="139"/>
  <c r="M296" i="139"/>
  <c r="L296" i="139"/>
  <c r="K296" i="139"/>
  <c r="J296" i="139"/>
  <c r="I296" i="139"/>
  <c r="H296" i="139"/>
  <c r="G296" i="139"/>
  <c r="F296" i="139"/>
  <c r="E296" i="139"/>
  <c r="D296" i="139"/>
  <c r="C296" i="139"/>
  <c r="N294" i="139"/>
  <c r="M294" i="139"/>
  <c r="L294" i="139"/>
  <c r="K294" i="139"/>
  <c r="J294" i="139"/>
  <c r="I294" i="139"/>
  <c r="H294" i="139"/>
  <c r="G294" i="139"/>
  <c r="F294" i="139"/>
  <c r="E294" i="139"/>
  <c r="D294" i="139"/>
  <c r="C294" i="139"/>
  <c r="N293" i="139"/>
  <c r="M293" i="139"/>
  <c r="L293" i="139"/>
  <c r="K293" i="139"/>
  <c r="J293" i="139"/>
  <c r="I293" i="139"/>
  <c r="H293" i="139"/>
  <c r="G293" i="139"/>
  <c r="F293" i="139"/>
  <c r="E293" i="139"/>
  <c r="D293" i="139"/>
  <c r="C293" i="139"/>
  <c r="N290" i="139"/>
  <c r="M290" i="139"/>
  <c r="L290" i="139"/>
  <c r="K290" i="139"/>
  <c r="J290" i="139"/>
  <c r="I290" i="139"/>
  <c r="H290" i="139"/>
  <c r="G290" i="139"/>
  <c r="F290" i="139"/>
  <c r="E290" i="139"/>
  <c r="D290" i="139"/>
  <c r="C290" i="139"/>
  <c r="N289" i="139"/>
  <c r="M289" i="139"/>
  <c r="L289" i="139"/>
  <c r="K289" i="139"/>
  <c r="J289" i="139"/>
  <c r="I289" i="139"/>
  <c r="H289" i="139"/>
  <c r="G289" i="139"/>
  <c r="F289" i="139"/>
  <c r="E289" i="139"/>
  <c r="D289" i="139"/>
  <c r="C289" i="139"/>
  <c r="N283" i="139"/>
  <c r="M283" i="139"/>
  <c r="L283" i="139"/>
  <c r="K283" i="139"/>
  <c r="J283" i="139"/>
  <c r="I283" i="139"/>
  <c r="H283" i="139"/>
  <c r="G283" i="139"/>
  <c r="F283" i="139"/>
  <c r="E283" i="139"/>
  <c r="D283" i="139"/>
  <c r="C283" i="139"/>
  <c r="A283" i="139"/>
  <c r="N282" i="139"/>
  <c r="M282" i="139"/>
  <c r="L282" i="139"/>
  <c r="K282" i="139"/>
  <c r="J282" i="139"/>
  <c r="I282" i="139"/>
  <c r="H282" i="139"/>
  <c r="G282" i="139"/>
  <c r="F282" i="139"/>
  <c r="E282" i="139"/>
  <c r="D282" i="139"/>
  <c r="C282" i="139"/>
  <c r="N281" i="139"/>
  <c r="M281" i="139"/>
  <c r="L281" i="139"/>
  <c r="K281" i="139"/>
  <c r="J281" i="139"/>
  <c r="I281" i="139"/>
  <c r="H281" i="139"/>
  <c r="G281" i="139"/>
  <c r="F281" i="139"/>
  <c r="E281" i="139"/>
  <c r="D281" i="139"/>
  <c r="C281" i="139"/>
  <c r="N280" i="139"/>
  <c r="M280" i="139"/>
  <c r="L280" i="139"/>
  <c r="K280" i="139"/>
  <c r="J280" i="139"/>
  <c r="I280" i="139"/>
  <c r="H280" i="139"/>
  <c r="G280" i="139"/>
  <c r="F280" i="139"/>
  <c r="E280" i="139"/>
  <c r="D280" i="139"/>
  <c r="C280" i="139"/>
  <c r="N279" i="139"/>
  <c r="M279" i="139"/>
  <c r="L279" i="139"/>
  <c r="K279" i="139"/>
  <c r="J279" i="139"/>
  <c r="I279" i="139"/>
  <c r="H279" i="139"/>
  <c r="G279" i="139"/>
  <c r="F279" i="139"/>
  <c r="E279" i="139"/>
  <c r="D279" i="139"/>
  <c r="C279" i="139"/>
  <c r="N278" i="139"/>
  <c r="M278" i="139"/>
  <c r="L278" i="139"/>
  <c r="K278" i="139"/>
  <c r="J278" i="139"/>
  <c r="I278" i="139"/>
  <c r="H278" i="139"/>
  <c r="G278" i="139"/>
  <c r="F278" i="139"/>
  <c r="E278" i="139"/>
  <c r="D278" i="139"/>
  <c r="C278" i="139"/>
  <c r="N274" i="139"/>
  <c r="M274" i="139"/>
  <c r="L274" i="139"/>
  <c r="K274" i="139"/>
  <c r="J274" i="139"/>
  <c r="I274" i="139"/>
  <c r="H274" i="139"/>
  <c r="G274" i="139"/>
  <c r="F274" i="139"/>
  <c r="E274" i="139"/>
  <c r="D274" i="139"/>
  <c r="C274" i="139"/>
  <c r="A274" i="139"/>
  <c r="N273" i="139"/>
  <c r="M273" i="139"/>
  <c r="L273" i="139"/>
  <c r="K273" i="139"/>
  <c r="J273" i="139"/>
  <c r="I273" i="139"/>
  <c r="H273" i="139"/>
  <c r="G273" i="139"/>
  <c r="F273" i="139"/>
  <c r="E273" i="139"/>
  <c r="D273" i="139"/>
  <c r="C273" i="139"/>
  <c r="B273" i="139"/>
  <c r="N272" i="139"/>
  <c r="M272" i="139"/>
  <c r="L272" i="139"/>
  <c r="K272" i="139"/>
  <c r="J272" i="139"/>
  <c r="I272" i="139"/>
  <c r="H272" i="139"/>
  <c r="G272" i="139"/>
  <c r="F272" i="139"/>
  <c r="E272" i="139"/>
  <c r="D272" i="139"/>
  <c r="C272" i="139"/>
  <c r="B272" i="139"/>
  <c r="N271" i="139"/>
  <c r="M271" i="139"/>
  <c r="L271" i="139"/>
  <c r="K271" i="139"/>
  <c r="J271" i="139"/>
  <c r="I271" i="139"/>
  <c r="H271" i="139"/>
  <c r="G271" i="139"/>
  <c r="F271" i="139"/>
  <c r="E271" i="139"/>
  <c r="D271" i="139"/>
  <c r="C271" i="139"/>
  <c r="B271" i="139"/>
  <c r="N270" i="139"/>
  <c r="M270" i="139"/>
  <c r="L270" i="139"/>
  <c r="K270" i="139"/>
  <c r="J270" i="139"/>
  <c r="I270" i="139"/>
  <c r="H270" i="139"/>
  <c r="G270" i="139"/>
  <c r="F270" i="139"/>
  <c r="E270" i="139"/>
  <c r="D270" i="139"/>
  <c r="C270" i="139"/>
  <c r="B270" i="139"/>
  <c r="N269" i="139"/>
  <c r="M269" i="139"/>
  <c r="L269" i="139"/>
  <c r="K269" i="139"/>
  <c r="J269" i="139"/>
  <c r="I269" i="139"/>
  <c r="H269" i="139"/>
  <c r="G269" i="139"/>
  <c r="F269" i="139"/>
  <c r="E269" i="139"/>
  <c r="D269" i="139"/>
  <c r="C269" i="139"/>
  <c r="B269" i="139"/>
  <c r="N268" i="139"/>
  <c r="M268" i="139"/>
  <c r="L268" i="139"/>
  <c r="K268" i="139"/>
  <c r="J268" i="139"/>
  <c r="I268" i="139"/>
  <c r="H268" i="139"/>
  <c r="G268" i="139"/>
  <c r="F268" i="139"/>
  <c r="E268" i="139"/>
  <c r="D268" i="139"/>
  <c r="C268" i="139"/>
  <c r="B268" i="139"/>
  <c r="N267" i="139"/>
  <c r="M267" i="139"/>
  <c r="L267" i="139"/>
  <c r="K267" i="139"/>
  <c r="J267" i="139"/>
  <c r="I267" i="139"/>
  <c r="H267" i="139"/>
  <c r="G267" i="139"/>
  <c r="F267" i="139"/>
  <c r="E267" i="139"/>
  <c r="D267" i="139"/>
  <c r="C267" i="139"/>
  <c r="B267" i="139"/>
  <c r="N266" i="139"/>
  <c r="M266" i="139"/>
  <c r="L266" i="139"/>
  <c r="K266" i="139"/>
  <c r="J266" i="139"/>
  <c r="I266" i="139"/>
  <c r="H266" i="139"/>
  <c r="G266" i="139"/>
  <c r="F266" i="139"/>
  <c r="E266" i="139"/>
  <c r="D266" i="139"/>
  <c r="C266" i="139"/>
  <c r="B266" i="139"/>
  <c r="N265" i="139"/>
  <c r="M265" i="139"/>
  <c r="L265" i="139"/>
  <c r="K265" i="139"/>
  <c r="J265" i="139"/>
  <c r="I265" i="139"/>
  <c r="H265" i="139"/>
  <c r="G265" i="139"/>
  <c r="F265" i="139"/>
  <c r="E265" i="139"/>
  <c r="D265" i="139"/>
  <c r="C265" i="139"/>
  <c r="B265" i="139"/>
  <c r="N264" i="139"/>
  <c r="M264" i="139"/>
  <c r="L264" i="139"/>
  <c r="K264" i="139"/>
  <c r="J264" i="139"/>
  <c r="I264" i="139"/>
  <c r="H264" i="139"/>
  <c r="G264" i="139"/>
  <c r="F264" i="139"/>
  <c r="E264" i="139"/>
  <c r="D264" i="139"/>
  <c r="C264" i="139"/>
  <c r="B264" i="139"/>
  <c r="N263" i="139"/>
  <c r="M263" i="139"/>
  <c r="L263" i="139"/>
  <c r="K263" i="139"/>
  <c r="J263" i="139"/>
  <c r="I263" i="139"/>
  <c r="H263" i="139"/>
  <c r="G263" i="139"/>
  <c r="F263" i="139"/>
  <c r="E263" i="139"/>
  <c r="D263" i="139"/>
  <c r="C263" i="139"/>
  <c r="B263" i="139"/>
  <c r="N262" i="139"/>
  <c r="M262" i="139"/>
  <c r="L262" i="139"/>
  <c r="K262" i="139"/>
  <c r="J262" i="139"/>
  <c r="I262" i="139"/>
  <c r="H262" i="139"/>
  <c r="G262" i="139"/>
  <c r="F262" i="139"/>
  <c r="E262" i="139"/>
  <c r="D262" i="139"/>
  <c r="C262" i="139"/>
  <c r="B262" i="139"/>
  <c r="N258" i="139"/>
  <c r="M258" i="139"/>
  <c r="L258" i="139"/>
  <c r="K258" i="139"/>
  <c r="J258" i="139"/>
  <c r="I258" i="139"/>
  <c r="H258" i="139"/>
  <c r="G258" i="139"/>
  <c r="F258" i="139"/>
  <c r="E258" i="139"/>
  <c r="D258" i="139"/>
  <c r="C258" i="139"/>
  <c r="A258" i="139"/>
  <c r="N257" i="139"/>
  <c r="M257" i="139"/>
  <c r="L257" i="139"/>
  <c r="K257" i="139"/>
  <c r="J257" i="139"/>
  <c r="I257" i="139"/>
  <c r="H257" i="139"/>
  <c r="G257" i="139"/>
  <c r="F257" i="139"/>
  <c r="E257" i="139"/>
  <c r="D257" i="139"/>
  <c r="C257" i="139"/>
  <c r="B257" i="139"/>
  <c r="N256" i="139"/>
  <c r="M256" i="139"/>
  <c r="L256" i="139"/>
  <c r="K256" i="139"/>
  <c r="J256" i="139"/>
  <c r="I256" i="139"/>
  <c r="H256" i="139"/>
  <c r="G256" i="139"/>
  <c r="F256" i="139"/>
  <c r="E256" i="139"/>
  <c r="D256" i="139"/>
  <c r="C256" i="139"/>
  <c r="B256" i="139"/>
  <c r="N255" i="139"/>
  <c r="M255" i="139"/>
  <c r="L255" i="139"/>
  <c r="K255" i="139"/>
  <c r="J255" i="139"/>
  <c r="I255" i="139"/>
  <c r="H255" i="139"/>
  <c r="G255" i="139"/>
  <c r="F255" i="139"/>
  <c r="E255" i="139"/>
  <c r="D255" i="139"/>
  <c r="C255" i="139"/>
  <c r="B255" i="139"/>
  <c r="N254" i="139"/>
  <c r="M254" i="139"/>
  <c r="L254" i="139"/>
  <c r="K254" i="139"/>
  <c r="J254" i="139"/>
  <c r="I254" i="139"/>
  <c r="H254" i="139"/>
  <c r="G254" i="139"/>
  <c r="F254" i="139"/>
  <c r="E254" i="139"/>
  <c r="D254" i="139"/>
  <c r="C254" i="139"/>
  <c r="B254" i="139"/>
  <c r="N253" i="139"/>
  <c r="M253" i="139"/>
  <c r="L253" i="139"/>
  <c r="K253" i="139"/>
  <c r="J253" i="139"/>
  <c r="I253" i="139"/>
  <c r="H253" i="139"/>
  <c r="G253" i="139"/>
  <c r="F253" i="139"/>
  <c r="E253" i="139"/>
  <c r="D253" i="139"/>
  <c r="C253" i="139"/>
  <c r="B253" i="139"/>
  <c r="N252" i="139"/>
  <c r="M252" i="139"/>
  <c r="L252" i="139"/>
  <c r="K252" i="139"/>
  <c r="J252" i="139"/>
  <c r="I252" i="139"/>
  <c r="H252" i="139"/>
  <c r="G252" i="139"/>
  <c r="F252" i="139"/>
  <c r="E252" i="139"/>
  <c r="D252" i="139"/>
  <c r="C252" i="139"/>
  <c r="B252" i="139"/>
  <c r="N251" i="139"/>
  <c r="M251" i="139"/>
  <c r="L251" i="139"/>
  <c r="K251" i="139"/>
  <c r="J251" i="139"/>
  <c r="I251" i="139"/>
  <c r="H251" i="139"/>
  <c r="G251" i="139"/>
  <c r="F251" i="139"/>
  <c r="E251" i="139"/>
  <c r="D251" i="139"/>
  <c r="C251" i="139"/>
  <c r="B251" i="139"/>
  <c r="N250" i="139"/>
  <c r="M250" i="139"/>
  <c r="L250" i="139"/>
  <c r="K250" i="139"/>
  <c r="J250" i="139"/>
  <c r="I250" i="139"/>
  <c r="H250" i="139"/>
  <c r="G250" i="139"/>
  <c r="F250" i="139"/>
  <c r="E250" i="139"/>
  <c r="D250" i="139"/>
  <c r="C250" i="139"/>
  <c r="B250" i="139"/>
  <c r="N249" i="139"/>
  <c r="M249" i="139"/>
  <c r="L249" i="139"/>
  <c r="K249" i="139"/>
  <c r="J249" i="139"/>
  <c r="I249" i="139"/>
  <c r="H249" i="139"/>
  <c r="G249" i="139"/>
  <c r="F249" i="139"/>
  <c r="E249" i="139"/>
  <c r="D249" i="139"/>
  <c r="C249" i="139"/>
  <c r="B249" i="139"/>
  <c r="N248" i="139"/>
  <c r="M248" i="139"/>
  <c r="L248" i="139"/>
  <c r="K248" i="139"/>
  <c r="J248" i="139"/>
  <c r="I248" i="139"/>
  <c r="H248" i="139"/>
  <c r="G248" i="139"/>
  <c r="F248" i="139"/>
  <c r="E248" i="139"/>
  <c r="D248" i="139"/>
  <c r="C248" i="139"/>
  <c r="B248" i="139"/>
  <c r="N247" i="139"/>
  <c r="M247" i="139"/>
  <c r="L247" i="139"/>
  <c r="K247" i="139"/>
  <c r="J247" i="139"/>
  <c r="I247" i="139"/>
  <c r="H247" i="139"/>
  <c r="G247" i="139"/>
  <c r="F247" i="139"/>
  <c r="E247" i="139"/>
  <c r="D247" i="139"/>
  <c r="C247" i="139"/>
  <c r="B247" i="139"/>
  <c r="N246" i="139"/>
  <c r="M246" i="139"/>
  <c r="L246" i="139"/>
  <c r="K246" i="139"/>
  <c r="J246" i="139"/>
  <c r="I246" i="139"/>
  <c r="H246" i="139"/>
  <c r="G246" i="139"/>
  <c r="F246" i="139"/>
  <c r="E246" i="139"/>
  <c r="D246" i="139"/>
  <c r="C246" i="139"/>
  <c r="B246" i="139"/>
  <c r="N240" i="139"/>
  <c r="M240" i="139"/>
  <c r="L240" i="139"/>
  <c r="K240" i="139"/>
  <c r="J240" i="139"/>
  <c r="I240" i="139"/>
  <c r="H240" i="139"/>
  <c r="G240" i="139"/>
  <c r="F240" i="139"/>
  <c r="E240" i="139"/>
  <c r="D240" i="139"/>
  <c r="C240" i="139"/>
  <c r="A240" i="139"/>
  <c r="N239" i="139"/>
  <c r="M239" i="139"/>
  <c r="L239" i="139"/>
  <c r="K239" i="139"/>
  <c r="J239" i="139"/>
  <c r="I239" i="139"/>
  <c r="H239" i="139"/>
  <c r="G239" i="139"/>
  <c r="F239" i="139"/>
  <c r="E239" i="139"/>
  <c r="D239" i="139"/>
  <c r="C239" i="139"/>
  <c r="B239" i="139"/>
  <c r="N238" i="139"/>
  <c r="M238" i="139"/>
  <c r="L238" i="139"/>
  <c r="K238" i="139"/>
  <c r="J238" i="139"/>
  <c r="I238" i="139"/>
  <c r="H238" i="139"/>
  <c r="G238" i="139"/>
  <c r="F238" i="139"/>
  <c r="E238" i="139"/>
  <c r="D238" i="139"/>
  <c r="C238" i="139"/>
  <c r="B238" i="139"/>
  <c r="N237" i="139"/>
  <c r="M237" i="139"/>
  <c r="L237" i="139"/>
  <c r="K237" i="139"/>
  <c r="J237" i="139"/>
  <c r="I237" i="139"/>
  <c r="H237" i="139"/>
  <c r="G237" i="139"/>
  <c r="F237" i="139"/>
  <c r="E237" i="139"/>
  <c r="D237" i="139"/>
  <c r="C237" i="139"/>
  <c r="B237" i="139"/>
  <c r="N236" i="139"/>
  <c r="M236" i="139"/>
  <c r="L236" i="139"/>
  <c r="K236" i="139"/>
  <c r="J236" i="139"/>
  <c r="I236" i="139"/>
  <c r="H236" i="139"/>
  <c r="G236" i="139"/>
  <c r="F236" i="139"/>
  <c r="E236" i="139"/>
  <c r="D236" i="139"/>
  <c r="C236" i="139"/>
  <c r="B236" i="139"/>
  <c r="N235" i="139"/>
  <c r="M235" i="139"/>
  <c r="L235" i="139"/>
  <c r="K235" i="139"/>
  <c r="J235" i="139"/>
  <c r="I235" i="139"/>
  <c r="H235" i="139"/>
  <c r="G235" i="139"/>
  <c r="F235" i="139"/>
  <c r="E235" i="139"/>
  <c r="D235" i="139"/>
  <c r="C235" i="139"/>
  <c r="B235" i="139"/>
  <c r="N234" i="139"/>
  <c r="M234" i="139"/>
  <c r="L234" i="139"/>
  <c r="K234" i="139"/>
  <c r="J234" i="139"/>
  <c r="I234" i="139"/>
  <c r="H234" i="139"/>
  <c r="G234" i="139"/>
  <c r="F234" i="139"/>
  <c r="E234" i="139"/>
  <c r="D234" i="139"/>
  <c r="C234" i="139"/>
  <c r="B234" i="139"/>
  <c r="N233" i="139"/>
  <c r="M233" i="139"/>
  <c r="L233" i="139"/>
  <c r="K233" i="139"/>
  <c r="J233" i="139"/>
  <c r="I233" i="139"/>
  <c r="H233" i="139"/>
  <c r="G233" i="139"/>
  <c r="F233" i="139"/>
  <c r="E233" i="139"/>
  <c r="D233" i="139"/>
  <c r="C233" i="139"/>
  <c r="B233" i="139"/>
  <c r="N232" i="139"/>
  <c r="M232" i="139"/>
  <c r="L232" i="139"/>
  <c r="K232" i="139"/>
  <c r="J232" i="139"/>
  <c r="I232" i="139"/>
  <c r="H232" i="139"/>
  <c r="G232" i="139"/>
  <c r="F232" i="139"/>
  <c r="E232" i="139"/>
  <c r="D232" i="139"/>
  <c r="C232" i="139"/>
  <c r="B232" i="139"/>
  <c r="N231" i="139"/>
  <c r="M231" i="139"/>
  <c r="L231" i="139"/>
  <c r="K231" i="139"/>
  <c r="J231" i="139"/>
  <c r="I231" i="139"/>
  <c r="H231" i="139"/>
  <c r="G231" i="139"/>
  <c r="F231" i="139"/>
  <c r="E231" i="139"/>
  <c r="D231" i="139"/>
  <c r="C231" i="139"/>
  <c r="B231" i="139"/>
  <c r="N230" i="139"/>
  <c r="M230" i="139"/>
  <c r="L230" i="139"/>
  <c r="K230" i="139"/>
  <c r="J230" i="139"/>
  <c r="I230" i="139"/>
  <c r="H230" i="139"/>
  <c r="G230" i="139"/>
  <c r="F230" i="139"/>
  <c r="E230" i="139"/>
  <c r="D230" i="139"/>
  <c r="C230" i="139"/>
  <c r="B230" i="139"/>
  <c r="N229" i="139"/>
  <c r="M229" i="139"/>
  <c r="L229" i="139"/>
  <c r="K229" i="139"/>
  <c r="J229" i="139"/>
  <c r="I229" i="139"/>
  <c r="H229" i="139"/>
  <c r="G229" i="139"/>
  <c r="F229" i="139"/>
  <c r="E229" i="139"/>
  <c r="D229" i="139"/>
  <c r="C229" i="139"/>
  <c r="B229" i="139"/>
  <c r="N228" i="139"/>
  <c r="M228" i="139"/>
  <c r="L228" i="139"/>
  <c r="K228" i="139"/>
  <c r="J228" i="139"/>
  <c r="I228" i="139"/>
  <c r="H228" i="139"/>
  <c r="G228" i="139"/>
  <c r="F228" i="139"/>
  <c r="E228" i="139"/>
  <c r="D228" i="139"/>
  <c r="C228" i="139"/>
  <c r="B228" i="139"/>
  <c r="N224" i="139"/>
  <c r="M224" i="139"/>
  <c r="L224" i="139"/>
  <c r="K224" i="139"/>
  <c r="J224" i="139"/>
  <c r="I224" i="139"/>
  <c r="H224" i="139"/>
  <c r="G224" i="139"/>
  <c r="F224" i="139"/>
  <c r="E224" i="139"/>
  <c r="D224" i="139"/>
  <c r="C224" i="139"/>
  <c r="A224" i="139"/>
  <c r="N223" i="139"/>
  <c r="M223" i="139"/>
  <c r="L223" i="139"/>
  <c r="K223" i="139"/>
  <c r="J223" i="139"/>
  <c r="I223" i="139"/>
  <c r="H223" i="139"/>
  <c r="G223" i="139"/>
  <c r="F223" i="139"/>
  <c r="E223" i="139"/>
  <c r="D223" i="139"/>
  <c r="C223" i="139"/>
  <c r="B223" i="139"/>
  <c r="N222" i="139"/>
  <c r="M222" i="139"/>
  <c r="L222" i="139"/>
  <c r="K222" i="139"/>
  <c r="J222" i="139"/>
  <c r="I222" i="139"/>
  <c r="H222" i="139"/>
  <c r="G222" i="139"/>
  <c r="F222" i="139"/>
  <c r="E222" i="139"/>
  <c r="D222" i="139"/>
  <c r="C222" i="139"/>
  <c r="B222" i="139"/>
  <c r="N221" i="139"/>
  <c r="M221" i="139"/>
  <c r="L221" i="139"/>
  <c r="K221" i="139"/>
  <c r="J221" i="139"/>
  <c r="I221" i="139"/>
  <c r="H221" i="139"/>
  <c r="G221" i="139"/>
  <c r="F221" i="139"/>
  <c r="E221" i="139"/>
  <c r="D221" i="139"/>
  <c r="C221" i="139"/>
  <c r="B221" i="139"/>
  <c r="N220" i="139"/>
  <c r="M220" i="139"/>
  <c r="L220" i="139"/>
  <c r="K220" i="139"/>
  <c r="J220" i="139"/>
  <c r="I220" i="139"/>
  <c r="H220" i="139"/>
  <c r="G220" i="139"/>
  <c r="F220" i="139"/>
  <c r="E220" i="139"/>
  <c r="D220" i="139"/>
  <c r="C220" i="139"/>
  <c r="B220" i="139"/>
  <c r="N219" i="139"/>
  <c r="M219" i="139"/>
  <c r="L219" i="139"/>
  <c r="K219" i="139"/>
  <c r="J219" i="139"/>
  <c r="I219" i="139"/>
  <c r="H219" i="139"/>
  <c r="G219" i="139"/>
  <c r="F219" i="139"/>
  <c r="E219" i="139"/>
  <c r="D219" i="139"/>
  <c r="C219" i="139"/>
  <c r="B219" i="139"/>
  <c r="N218" i="139"/>
  <c r="M218" i="139"/>
  <c r="L218" i="139"/>
  <c r="K218" i="139"/>
  <c r="J218" i="139"/>
  <c r="I218" i="139"/>
  <c r="H218" i="139"/>
  <c r="G218" i="139"/>
  <c r="F218" i="139"/>
  <c r="E218" i="139"/>
  <c r="D218" i="139"/>
  <c r="C218" i="139"/>
  <c r="B218" i="139"/>
  <c r="N217" i="139"/>
  <c r="M217" i="139"/>
  <c r="L217" i="139"/>
  <c r="K217" i="139"/>
  <c r="J217" i="139"/>
  <c r="I217" i="139"/>
  <c r="H217" i="139"/>
  <c r="G217" i="139"/>
  <c r="F217" i="139"/>
  <c r="E217" i="139"/>
  <c r="D217" i="139"/>
  <c r="C217" i="139"/>
  <c r="B217" i="139"/>
  <c r="N216" i="139"/>
  <c r="M216" i="139"/>
  <c r="L216" i="139"/>
  <c r="K216" i="139"/>
  <c r="J216" i="139"/>
  <c r="I216" i="139"/>
  <c r="H216" i="139"/>
  <c r="G216" i="139"/>
  <c r="F216" i="139"/>
  <c r="E216" i="139"/>
  <c r="D216" i="139"/>
  <c r="C216" i="139"/>
  <c r="B216" i="139"/>
  <c r="N215" i="139"/>
  <c r="M215" i="139"/>
  <c r="L215" i="139"/>
  <c r="K215" i="139"/>
  <c r="J215" i="139"/>
  <c r="I215" i="139"/>
  <c r="H215" i="139"/>
  <c r="G215" i="139"/>
  <c r="F215" i="139"/>
  <c r="E215" i="139"/>
  <c r="D215" i="139"/>
  <c r="C215" i="139"/>
  <c r="B215" i="139"/>
  <c r="N214" i="139"/>
  <c r="M214" i="139"/>
  <c r="L214" i="139"/>
  <c r="K214" i="139"/>
  <c r="J214" i="139"/>
  <c r="I214" i="139"/>
  <c r="H214" i="139"/>
  <c r="G214" i="139"/>
  <c r="F214" i="139"/>
  <c r="E214" i="139"/>
  <c r="D214" i="139"/>
  <c r="C214" i="139"/>
  <c r="B214" i="139"/>
  <c r="N213" i="139"/>
  <c r="M213" i="139"/>
  <c r="L213" i="139"/>
  <c r="K213" i="139"/>
  <c r="J213" i="139"/>
  <c r="I213" i="139"/>
  <c r="H213" i="139"/>
  <c r="G213" i="139"/>
  <c r="F213" i="139"/>
  <c r="E213" i="139"/>
  <c r="D213" i="139"/>
  <c r="C213" i="139"/>
  <c r="B213" i="139"/>
  <c r="N212" i="139"/>
  <c r="M212" i="139"/>
  <c r="L212" i="139"/>
  <c r="K212" i="139"/>
  <c r="J212" i="139"/>
  <c r="I212" i="139"/>
  <c r="H212" i="139"/>
  <c r="G212" i="139"/>
  <c r="F212" i="139"/>
  <c r="E212" i="139"/>
  <c r="D212" i="139"/>
  <c r="C212" i="139"/>
  <c r="B212" i="139"/>
  <c r="N206" i="139"/>
  <c r="M206" i="139"/>
  <c r="L206" i="139"/>
  <c r="K206" i="139"/>
  <c r="J206" i="139"/>
  <c r="I206" i="139"/>
  <c r="H206" i="139"/>
  <c r="G206" i="139"/>
  <c r="F206" i="139"/>
  <c r="E206" i="139"/>
  <c r="D206" i="139"/>
  <c r="C206" i="139"/>
  <c r="A206" i="139"/>
  <c r="N205" i="139"/>
  <c r="M205" i="139"/>
  <c r="L205" i="139"/>
  <c r="K205" i="139"/>
  <c r="J205" i="139"/>
  <c r="I205" i="139"/>
  <c r="H205" i="139"/>
  <c r="G205" i="139"/>
  <c r="F205" i="139"/>
  <c r="E205" i="139"/>
  <c r="D205" i="139"/>
  <c r="C205" i="139"/>
  <c r="B205" i="139"/>
  <c r="N204" i="139"/>
  <c r="M204" i="139"/>
  <c r="L204" i="139"/>
  <c r="K204" i="139"/>
  <c r="J204" i="139"/>
  <c r="I204" i="139"/>
  <c r="H204" i="139"/>
  <c r="G204" i="139"/>
  <c r="F204" i="139"/>
  <c r="E204" i="139"/>
  <c r="D204" i="139"/>
  <c r="C204" i="139"/>
  <c r="B204" i="139"/>
  <c r="N203" i="139"/>
  <c r="M203" i="139"/>
  <c r="L203" i="139"/>
  <c r="K203" i="139"/>
  <c r="J203" i="139"/>
  <c r="I203" i="139"/>
  <c r="H203" i="139"/>
  <c r="G203" i="139"/>
  <c r="F203" i="139"/>
  <c r="E203" i="139"/>
  <c r="D203" i="139"/>
  <c r="C203" i="139"/>
  <c r="B203" i="139"/>
  <c r="N202" i="139"/>
  <c r="M202" i="139"/>
  <c r="L202" i="139"/>
  <c r="K202" i="139"/>
  <c r="J202" i="139"/>
  <c r="I202" i="139"/>
  <c r="H202" i="139"/>
  <c r="G202" i="139"/>
  <c r="F202" i="139"/>
  <c r="E202" i="139"/>
  <c r="D202" i="139"/>
  <c r="C202" i="139"/>
  <c r="B202" i="139"/>
  <c r="N201" i="139"/>
  <c r="M201" i="139"/>
  <c r="L201" i="139"/>
  <c r="K201" i="139"/>
  <c r="J201" i="139"/>
  <c r="I201" i="139"/>
  <c r="H201" i="139"/>
  <c r="G201" i="139"/>
  <c r="F201" i="139"/>
  <c r="E201" i="139"/>
  <c r="D201" i="139"/>
  <c r="C201" i="139"/>
  <c r="B201" i="139"/>
  <c r="N200" i="139"/>
  <c r="M200" i="139"/>
  <c r="L200" i="139"/>
  <c r="K200" i="139"/>
  <c r="J200" i="139"/>
  <c r="I200" i="139"/>
  <c r="H200" i="139"/>
  <c r="G200" i="139"/>
  <c r="F200" i="139"/>
  <c r="E200" i="139"/>
  <c r="D200" i="139"/>
  <c r="C200" i="139"/>
  <c r="B200" i="139"/>
  <c r="N199" i="139"/>
  <c r="M199" i="139"/>
  <c r="L199" i="139"/>
  <c r="K199" i="139"/>
  <c r="J199" i="139"/>
  <c r="I199" i="139"/>
  <c r="H199" i="139"/>
  <c r="G199" i="139"/>
  <c r="F199" i="139"/>
  <c r="E199" i="139"/>
  <c r="D199" i="139"/>
  <c r="C199" i="139"/>
  <c r="B199" i="139"/>
  <c r="N198" i="139"/>
  <c r="M198" i="139"/>
  <c r="L198" i="139"/>
  <c r="K198" i="139"/>
  <c r="J198" i="139"/>
  <c r="I198" i="139"/>
  <c r="H198" i="139"/>
  <c r="G198" i="139"/>
  <c r="F198" i="139"/>
  <c r="E198" i="139"/>
  <c r="D198" i="139"/>
  <c r="C198" i="139"/>
  <c r="B198" i="139"/>
  <c r="N197" i="139"/>
  <c r="M197" i="139"/>
  <c r="L197" i="139"/>
  <c r="K197" i="139"/>
  <c r="J197" i="139"/>
  <c r="I197" i="139"/>
  <c r="H197" i="139"/>
  <c r="G197" i="139"/>
  <c r="F197" i="139"/>
  <c r="E197" i="139"/>
  <c r="D197" i="139"/>
  <c r="C197" i="139"/>
  <c r="B197" i="139"/>
  <c r="N196" i="139"/>
  <c r="M196" i="139"/>
  <c r="L196" i="139"/>
  <c r="K196" i="139"/>
  <c r="J196" i="139"/>
  <c r="I196" i="139"/>
  <c r="H196" i="139"/>
  <c r="G196" i="139"/>
  <c r="F196" i="139"/>
  <c r="E196" i="139"/>
  <c r="D196" i="139"/>
  <c r="C196" i="139"/>
  <c r="B196" i="139"/>
  <c r="N195" i="139"/>
  <c r="M195" i="139"/>
  <c r="L195" i="139"/>
  <c r="K195" i="139"/>
  <c r="J195" i="139"/>
  <c r="I195" i="139"/>
  <c r="H195" i="139"/>
  <c r="G195" i="139"/>
  <c r="F195" i="139"/>
  <c r="E195" i="139"/>
  <c r="D195" i="139"/>
  <c r="C195" i="139"/>
  <c r="B195" i="139"/>
  <c r="N194" i="139"/>
  <c r="M194" i="139"/>
  <c r="L194" i="139"/>
  <c r="K194" i="139"/>
  <c r="J194" i="139"/>
  <c r="I194" i="139"/>
  <c r="H194" i="139"/>
  <c r="G194" i="139"/>
  <c r="F194" i="139"/>
  <c r="E194" i="139"/>
  <c r="D194" i="139"/>
  <c r="C194" i="139"/>
  <c r="B194" i="139"/>
  <c r="N190" i="139"/>
  <c r="M190" i="139"/>
  <c r="L190" i="139"/>
  <c r="K190" i="139"/>
  <c r="J190" i="139"/>
  <c r="I190" i="139"/>
  <c r="H190" i="139"/>
  <c r="G190" i="139"/>
  <c r="F190" i="139"/>
  <c r="E190" i="139"/>
  <c r="D190" i="139"/>
  <c r="C190" i="139"/>
  <c r="A190" i="139"/>
  <c r="N189" i="139"/>
  <c r="M189" i="139"/>
  <c r="L189" i="139"/>
  <c r="K189" i="139"/>
  <c r="J189" i="139"/>
  <c r="I189" i="139"/>
  <c r="H189" i="139"/>
  <c r="G189" i="139"/>
  <c r="F189" i="139"/>
  <c r="E189" i="139"/>
  <c r="D189" i="139"/>
  <c r="C189" i="139"/>
  <c r="B189" i="139"/>
  <c r="N188" i="139"/>
  <c r="M188" i="139"/>
  <c r="L188" i="139"/>
  <c r="K188" i="139"/>
  <c r="J188" i="139"/>
  <c r="I188" i="139"/>
  <c r="H188" i="139"/>
  <c r="G188" i="139"/>
  <c r="F188" i="139"/>
  <c r="E188" i="139"/>
  <c r="D188" i="139"/>
  <c r="C188" i="139"/>
  <c r="B188" i="139"/>
  <c r="N187" i="139"/>
  <c r="M187" i="139"/>
  <c r="L187" i="139"/>
  <c r="K187" i="139"/>
  <c r="J187" i="139"/>
  <c r="I187" i="139"/>
  <c r="H187" i="139"/>
  <c r="G187" i="139"/>
  <c r="F187" i="139"/>
  <c r="E187" i="139"/>
  <c r="D187" i="139"/>
  <c r="C187" i="139"/>
  <c r="B187" i="139"/>
  <c r="N186" i="139"/>
  <c r="M186" i="139"/>
  <c r="L186" i="139"/>
  <c r="K186" i="139"/>
  <c r="J186" i="139"/>
  <c r="I186" i="139"/>
  <c r="H186" i="139"/>
  <c r="G186" i="139"/>
  <c r="F186" i="139"/>
  <c r="E186" i="139"/>
  <c r="D186" i="139"/>
  <c r="C186" i="139"/>
  <c r="B186" i="139"/>
  <c r="N185" i="139"/>
  <c r="M185" i="139"/>
  <c r="L185" i="139"/>
  <c r="K185" i="139"/>
  <c r="J185" i="139"/>
  <c r="I185" i="139"/>
  <c r="H185" i="139"/>
  <c r="G185" i="139"/>
  <c r="F185" i="139"/>
  <c r="E185" i="139"/>
  <c r="D185" i="139"/>
  <c r="C185" i="139"/>
  <c r="B185" i="139"/>
  <c r="N184" i="139"/>
  <c r="M184" i="139"/>
  <c r="L184" i="139"/>
  <c r="K184" i="139"/>
  <c r="J184" i="139"/>
  <c r="I184" i="139"/>
  <c r="H184" i="139"/>
  <c r="G184" i="139"/>
  <c r="F184" i="139"/>
  <c r="E184" i="139"/>
  <c r="D184" i="139"/>
  <c r="C184" i="139"/>
  <c r="B184" i="139"/>
  <c r="N183" i="139"/>
  <c r="M183" i="139"/>
  <c r="L183" i="139"/>
  <c r="K183" i="139"/>
  <c r="J183" i="139"/>
  <c r="I183" i="139"/>
  <c r="H183" i="139"/>
  <c r="G183" i="139"/>
  <c r="F183" i="139"/>
  <c r="E183" i="139"/>
  <c r="D183" i="139"/>
  <c r="C183" i="139"/>
  <c r="B183" i="139"/>
  <c r="N182" i="139"/>
  <c r="M182" i="139"/>
  <c r="L182" i="139"/>
  <c r="K182" i="139"/>
  <c r="J182" i="139"/>
  <c r="I182" i="139"/>
  <c r="H182" i="139"/>
  <c r="G182" i="139"/>
  <c r="F182" i="139"/>
  <c r="E182" i="139"/>
  <c r="D182" i="139"/>
  <c r="C182" i="139"/>
  <c r="B182" i="139"/>
  <c r="N181" i="139"/>
  <c r="M181" i="139"/>
  <c r="L181" i="139"/>
  <c r="K181" i="139"/>
  <c r="J181" i="139"/>
  <c r="I181" i="139"/>
  <c r="H181" i="139"/>
  <c r="G181" i="139"/>
  <c r="F181" i="139"/>
  <c r="E181" i="139"/>
  <c r="D181" i="139"/>
  <c r="C181" i="139"/>
  <c r="B181" i="139"/>
  <c r="N180" i="139"/>
  <c r="M180" i="139"/>
  <c r="L180" i="139"/>
  <c r="K180" i="139"/>
  <c r="J180" i="139"/>
  <c r="I180" i="139"/>
  <c r="H180" i="139"/>
  <c r="G180" i="139"/>
  <c r="F180" i="139"/>
  <c r="E180" i="139"/>
  <c r="D180" i="139"/>
  <c r="C180" i="139"/>
  <c r="B180" i="139"/>
  <c r="N179" i="139"/>
  <c r="M179" i="139"/>
  <c r="L179" i="139"/>
  <c r="K179" i="139"/>
  <c r="J179" i="139"/>
  <c r="I179" i="139"/>
  <c r="H179" i="139"/>
  <c r="G179" i="139"/>
  <c r="F179" i="139"/>
  <c r="E179" i="139"/>
  <c r="D179" i="139"/>
  <c r="C179" i="139"/>
  <c r="B179" i="139"/>
  <c r="N178" i="139"/>
  <c r="M178" i="139"/>
  <c r="L178" i="139"/>
  <c r="K178" i="139"/>
  <c r="J178" i="139"/>
  <c r="I178" i="139"/>
  <c r="H178" i="139"/>
  <c r="G178" i="139"/>
  <c r="F178" i="139"/>
  <c r="E178" i="139"/>
  <c r="D178" i="139"/>
  <c r="C178" i="139"/>
  <c r="B178" i="139"/>
  <c r="N172" i="139"/>
  <c r="M172" i="139"/>
  <c r="L172" i="139"/>
  <c r="K172" i="139"/>
  <c r="J172" i="139"/>
  <c r="I172" i="139"/>
  <c r="H172" i="139"/>
  <c r="G172" i="139"/>
  <c r="F172" i="139"/>
  <c r="E172" i="139"/>
  <c r="D172" i="139"/>
  <c r="C172" i="139"/>
  <c r="A172" i="139"/>
  <c r="N171" i="139"/>
  <c r="M171" i="139"/>
  <c r="L171" i="139"/>
  <c r="K171" i="139"/>
  <c r="J171" i="139"/>
  <c r="I171" i="139"/>
  <c r="H171" i="139"/>
  <c r="G171" i="139"/>
  <c r="F171" i="139"/>
  <c r="E171" i="139"/>
  <c r="D171" i="139"/>
  <c r="C171" i="139"/>
  <c r="B171" i="139"/>
  <c r="N170" i="139"/>
  <c r="M170" i="139"/>
  <c r="L170" i="139"/>
  <c r="K170" i="139"/>
  <c r="J170" i="139"/>
  <c r="I170" i="139"/>
  <c r="H170" i="139"/>
  <c r="G170" i="139"/>
  <c r="F170" i="139"/>
  <c r="E170" i="139"/>
  <c r="D170" i="139"/>
  <c r="C170" i="139"/>
  <c r="B170" i="139"/>
  <c r="N169" i="139"/>
  <c r="M169" i="139"/>
  <c r="L169" i="139"/>
  <c r="K169" i="139"/>
  <c r="J169" i="139"/>
  <c r="I169" i="139"/>
  <c r="H169" i="139"/>
  <c r="G169" i="139"/>
  <c r="F169" i="139"/>
  <c r="E169" i="139"/>
  <c r="D169" i="139"/>
  <c r="C169" i="139"/>
  <c r="B169" i="139"/>
  <c r="N168" i="139"/>
  <c r="M168" i="139"/>
  <c r="L168" i="139"/>
  <c r="K168" i="139"/>
  <c r="J168" i="139"/>
  <c r="I168" i="139"/>
  <c r="H168" i="139"/>
  <c r="G168" i="139"/>
  <c r="F168" i="139"/>
  <c r="E168" i="139"/>
  <c r="D168" i="139"/>
  <c r="C168" i="139"/>
  <c r="B168" i="139"/>
  <c r="N167" i="139"/>
  <c r="M167" i="139"/>
  <c r="L167" i="139"/>
  <c r="K167" i="139"/>
  <c r="J167" i="139"/>
  <c r="I167" i="139"/>
  <c r="H167" i="139"/>
  <c r="G167" i="139"/>
  <c r="F167" i="139"/>
  <c r="E167" i="139"/>
  <c r="D167" i="139"/>
  <c r="C167" i="139"/>
  <c r="B167" i="139"/>
  <c r="N166" i="139"/>
  <c r="M166" i="139"/>
  <c r="L166" i="139"/>
  <c r="K166" i="139"/>
  <c r="J166" i="139"/>
  <c r="I166" i="139"/>
  <c r="H166" i="139"/>
  <c r="G166" i="139"/>
  <c r="F166" i="139"/>
  <c r="E166" i="139"/>
  <c r="D166" i="139"/>
  <c r="C166" i="139"/>
  <c r="B166" i="139"/>
  <c r="N165" i="139"/>
  <c r="M165" i="139"/>
  <c r="L165" i="139"/>
  <c r="K165" i="139"/>
  <c r="J165" i="139"/>
  <c r="I165" i="139"/>
  <c r="H165" i="139"/>
  <c r="G165" i="139"/>
  <c r="F165" i="139"/>
  <c r="E165" i="139"/>
  <c r="D165" i="139"/>
  <c r="C165" i="139"/>
  <c r="B165" i="139"/>
  <c r="N164" i="139"/>
  <c r="M164" i="139"/>
  <c r="L164" i="139"/>
  <c r="K164" i="139"/>
  <c r="J164" i="139"/>
  <c r="I164" i="139"/>
  <c r="H164" i="139"/>
  <c r="G164" i="139"/>
  <c r="F164" i="139"/>
  <c r="E164" i="139"/>
  <c r="D164" i="139"/>
  <c r="C164" i="139"/>
  <c r="B164" i="139"/>
  <c r="N163" i="139"/>
  <c r="M163" i="139"/>
  <c r="L163" i="139"/>
  <c r="K163" i="139"/>
  <c r="J163" i="139"/>
  <c r="I163" i="139"/>
  <c r="H163" i="139"/>
  <c r="G163" i="139"/>
  <c r="F163" i="139"/>
  <c r="E163" i="139"/>
  <c r="D163" i="139"/>
  <c r="C163" i="139"/>
  <c r="B163" i="139"/>
  <c r="N162" i="139"/>
  <c r="M162" i="139"/>
  <c r="L162" i="139"/>
  <c r="K162" i="139"/>
  <c r="J162" i="139"/>
  <c r="I162" i="139"/>
  <c r="H162" i="139"/>
  <c r="G162" i="139"/>
  <c r="F162" i="139"/>
  <c r="E162" i="139"/>
  <c r="D162" i="139"/>
  <c r="C162" i="139"/>
  <c r="B162" i="139"/>
  <c r="N161" i="139"/>
  <c r="M161" i="139"/>
  <c r="L161" i="139"/>
  <c r="K161" i="139"/>
  <c r="J161" i="139"/>
  <c r="I161" i="139"/>
  <c r="H161" i="139"/>
  <c r="G161" i="139"/>
  <c r="F161" i="139"/>
  <c r="E161" i="139"/>
  <c r="D161" i="139"/>
  <c r="C161" i="139"/>
  <c r="B161" i="139"/>
  <c r="N160" i="139"/>
  <c r="M160" i="139"/>
  <c r="L160" i="139"/>
  <c r="K160" i="139"/>
  <c r="J160" i="139"/>
  <c r="I160" i="139"/>
  <c r="H160" i="139"/>
  <c r="G160" i="139"/>
  <c r="F160" i="139"/>
  <c r="E160" i="139"/>
  <c r="D160" i="139"/>
  <c r="C160" i="139"/>
  <c r="B160" i="139"/>
  <c r="N156" i="139"/>
  <c r="M156" i="139"/>
  <c r="L156" i="139"/>
  <c r="K156" i="139"/>
  <c r="J156" i="139"/>
  <c r="I156" i="139"/>
  <c r="H156" i="139"/>
  <c r="G156" i="139"/>
  <c r="F156" i="139"/>
  <c r="E156" i="139"/>
  <c r="D156" i="139"/>
  <c r="C156" i="139"/>
  <c r="A156" i="139"/>
  <c r="N155" i="139"/>
  <c r="M155" i="139"/>
  <c r="L155" i="139"/>
  <c r="K155" i="139"/>
  <c r="J155" i="139"/>
  <c r="I155" i="139"/>
  <c r="H155" i="139"/>
  <c r="G155" i="139"/>
  <c r="F155" i="139"/>
  <c r="E155" i="139"/>
  <c r="D155" i="139"/>
  <c r="C155" i="139"/>
  <c r="B155" i="139"/>
  <c r="N154" i="139"/>
  <c r="M154" i="139"/>
  <c r="L154" i="139"/>
  <c r="K154" i="139"/>
  <c r="J154" i="139"/>
  <c r="I154" i="139"/>
  <c r="H154" i="139"/>
  <c r="G154" i="139"/>
  <c r="F154" i="139"/>
  <c r="E154" i="139"/>
  <c r="D154" i="139"/>
  <c r="C154" i="139"/>
  <c r="B154" i="139"/>
  <c r="N153" i="139"/>
  <c r="M153" i="139"/>
  <c r="L153" i="139"/>
  <c r="K153" i="139"/>
  <c r="J153" i="139"/>
  <c r="I153" i="139"/>
  <c r="H153" i="139"/>
  <c r="G153" i="139"/>
  <c r="F153" i="139"/>
  <c r="E153" i="139"/>
  <c r="D153" i="139"/>
  <c r="C153" i="139"/>
  <c r="B153" i="139"/>
  <c r="N152" i="139"/>
  <c r="M152" i="139"/>
  <c r="L152" i="139"/>
  <c r="K152" i="139"/>
  <c r="J152" i="139"/>
  <c r="I152" i="139"/>
  <c r="H152" i="139"/>
  <c r="G152" i="139"/>
  <c r="F152" i="139"/>
  <c r="E152" i="139"/>
  <c r="D152" i="139"/>
  <c r="C152" i="139"/>
  <c r="B152" i="139"/>
  <c r="N151" i="139"/>
  <c r="M151" i="139"/>
  <c r="L151" i="139"/>
  <c r="K151" i="139"/>
  <c r="J151" i="139"/>
  <c r="I151" i="139"/>
  <c r="H151" i="139"/>
  <c r="G151" i="139"/>
  <c r="F151" i="139"/>
  <c r="E151" i="139"/>
  <c r="D151" i="139"/>
  <c r="C151" i="139"/>
  <c r="B151" i="139"/>
  <c r="N150" i="139"/>
  <c r="M150" i="139"/>
  <c r="L150" i="139"/>
  <c r="K150" i="139"/>
  <c r="J150" i="139"/>
  <c r="I150" i="139"/>
  <c r="H150" i="139"/>
  <c r="G150" i="139"/>
  <c r="F150" i="139"/>
  <c r="E150" i="139"/>
  <c r="D150" i="139"/>
  <c r="C150" i="139"/>
  <c r="B150" i="139"/>
  <c r="N149" i="139"/>
  <c r="M149" i="139"/>
  <c r="L149" i="139"/>
  <c r="K149" i="139"/>
  <c r="J149" i="139"/>
  <c r="I149" i="139"/>
  <c r="H149" i="139"/>
  <c r="G149" i="139"/>
  <c r="F149" i="139"/>
  <c r="E149" i="139"/>
  <c r="D149" i="139"/>
  <c r="C149" i="139"/>
  <c r="B149" i="139"/>
  <c r="N148" i="139"/>
  <c r="M148" i="139"/>
  <c r="L148" i="139"/>
  <c r="K148" i="139"/>
  <c r="J148" i="139"/>
  <c r="I148" i="139"/>
  <c r="H148" i="139"/>
  <c r="G148" i="139"/>
  <c r="F148" i="139"/>
  <c r="E148" i="139"/>
  <c r="D148" i="139"/>
  <c r="C148" i="139"/>
  <c r="B148" i="139"/>
  <c r="N147" i="139"/>
  <c r="M147" i="139"/>
  <c r="L147" i="139"/>
  <c r="K147" i="139"/>
  <c r="J147" i="139"/>
  <c r="I147" i="139"/>
  <c r="H147" i="139"/>
  <c r="G147" i="139"/>
  <c r="F147" i="139"/>
  <c r="E147" i="139"/>
  <c r="D147" i="139"/>
  <c r="C147" i="139"/>
  <c r="B147" i="139"/>
  <c r="N146" i="139"/>
  <c r="M146" i="139"/>
  <c r="L146" i="139"/>
  <c r="K146" i="139"/>
  <c r="J146" i="139"/>
  <c r="I146" i="139"/>
  <c r="H146" i="139"/>
  <c r="G146" i="139"/>
  <c r="F146" i="139"/>
  <c r="E146" i="139"/>
  <c r="D146" i="139"/>
  <c r="C146" i="139"/>
  <c r="B146" i="139"/>
  <c r="N145" i="139"/>
  <c r="M145" i="139"/>
  <c r="L145" i="139"/>
  <c r="K145" i="139"/>
  <c r="J145" i="139"/>
  <c r="I145" i="139"/>
  <c r="H145" i="139"/>
  <c r="G145" i="139"/>
  <c r="F145" i="139"/>
  <c r="E145" i="139"/>
  <c r="D145" i="139"/>
  <c r="C145" i="139"/>
  <c r="B145" i="139"/>
  <c r="N144" i="139"/>
  <c r="M144" i="139"/>
  <c r="L144" i="139"/>
  <c r="K144" i="139"/>
  <c r="J144" i="139"/>
  <c r="I144" i="139"/>
  <c r="H144" i="139"/>
  <c r="G144" i="139"/>
  <c r="F144" i="139"/>
  <c r="E144" i="139"/>
  <c r="D144" i="139"/>
  <c r="C144" i="139"/>
  <c r="B144" i="139"/>
  <c r="N138" i="139"/>
  <c r="M138" i="139"/>
  <c r="L138" i="139"/>
  <c r="K138" i="139"/>
  <c r="J138" i="139"/>
  <c r="I138" i="139"/>
  <c r="H138" i="139"/>
  <c r="G138" i="139"/>
  <c r="F138" i="139"/>
  <c r="E138" i="139"/>
  <c r="D138" i="139"/>
  <c r="C138" i="139"/>
  <c r="A138" i="139"/>
  <c r="N137" i="139"/>
  <c r="M137" i="139"/>
  <c r="L137" i="139"/>
  <c r="K137" i="139"/>
  <c r="J137" i="139"/>
  <c r="I137" i="139"/>
  <c r="H137" i="139"/>
  <c r="G137" i="139"/>
  <c r="F137" i="139"/>
  <c r="E137" i="139"/>
  <c r="D137" i="139"/>
  <c r="C137" i="139"/>
  <c r="B137" i="139"/>
  <c r="N136" i="139"/>
  <c r="M136" i="139"/>
  <c r="L136" i="139"/>
  <c r="K136" i="139"/>
  <c r="J136" i="139"/>
  <c r="I136" i="139"/>
  <c r="H136" i="139"/>
  <c r="G136" i="139"/>
  <c r="F136" i="139"/>
  <c r="E136" i="139"/>
  <c r="D136" i="139"/>
  <c r="C136" i="139"/>
  <c r="B136" i="139"/>
  <c r="N135" i="139"/>
  <c r="M135" i="139"/>
  <c r="L135" i="139"/>
  <c r="K135" i="139"/>
  <c r="J135" i="139"/>
  <c r="I135" i="139"/>
  <c r="H135" i="139"/>
  <c r="G135" i="139"/>
  <c r="F135" i="139"/>
  <c r="E135" i="139"/>
  <c r="D135" i="139"/>
  <c r="C135" i="139"/>
  <c r="B135" i="139"/>
  <c r="N134" i="139"/>
  <c r="M134" i="139"/>
  <c r="L134" i="139"/>
  <c r="K134" i="139"/>
  <c r="J134" i="139"/>
  <c r="I134" i="139"/>
  <c r="H134" i="139"/>
  <c r="G134" i="139"/>
  <c r="F134" i="139"/>
  <c r="E134" i="139"/>
  <c r="D134" i="139"/>
  <c r="C134" i="139"/>
  <c r="B134" i="139"/>
  <c r="N133" i="139"/>
  <c r="M133" i="139"/>
  <c r="L133" i="139"/>
  <c r="K133" i="139"/>
  <c r="J133" i="139"/>
  <c r="I133" i="139"/>
  <c r="H133" i="139"/>
  <c r="G133" i="139"/>
  <c r="F133" i="139"/>
  <c r="E133" i="139"/>
  <c r="D133" i="139"/>
  <c r="C133" i="139"/>
  <c r="B133" i="139"/>
  <c r="N132" i="139"/>
  <c r="M132" i="139"/>
  <c r="L132" i="139"/>
  <c r="K132" i="139"/>
  <c r="J132" i="139"/>
  <c r="I132" i="139"/>
  <c r="H132" i="139"/>
  <c r="G132" i="139"/>
  <c r="F132" i="139"/>
  <c r="E132" i="139"/>
  <c r="D132" i="139"/>
  <c r="C132" i="139"/>
  <c r="B132" i="139"/>
  <c r="N131" i="139"/>
  <c r="M131" i="139"/>
  <c r="L131" i="139"/>
  <c r="K131" i="139"/>
  <c r="J131" i="139"/>
  <c r="I131" i="139"/>
  <c r="H131" i="139"/>
  <c r="G131" i="139"/>
  <c r="F131" i="139"/>
  <c r="E131" i="139"/>
  <c r="D131" i="139"/>
  <c r="C131" i="139"/>
  <c r="B131" i="139"/>
  <c r="N130" i="139"/>
  <c r="M130" i="139"/>
  <c r="L130" i="139"/>
  <c r="K130" i="139"/>
  <c r="J130" i="139"/>
  <c r="I130" i="139"/>
  <c r="H130" i="139"/>
  <c r="G130" i="139"/>
  <c r="F130" i="139"/>
  <c r="E130" i="139"/>
  <c r="D130" i="139"/>
  <c r="C130" i="139"/>
  <c r="B130" i="139"/>
  <c r="N129" i="139"/>
  <c r="M129" i="139"/>
  <c r="L129" i="139"/>
  <c r="K129" i="139"/>
  <c r="J129" i="139"/>
  <c r="I129" i="139"/>
  <c r="H129" i="139"/>
  <c r="G129" i="139"/>
  <c r="F129" i="139"/>
  <c r="E129" i="139"/>
  <c r="D129" i="139"/>
  <c r="C129" i="139"/>
  <c r="B129" i="139"/>
  <c r="N128" i="139"/>
  <c r="M128" i="139"/>
  <c r="L128" i="139"/>
  <c r="K128" i="139"/>
  <c r="J128" i="139"/>
  <c r="I128" i="139"/>
  <c r="H128" i="139"/>
  <c r="G128" i="139"/>
  <c r="F128" i="139"/>
  <c r="E128" i="139"/>
  <c r="D128" i="139"/>
  <c r="C128" i="139"/>
  <c r="B128" i="139"/>
  <c r="N127" i="139"/>
  <c r="M127" i="139"/>
  <c r="L127" i="139"/>
  <c r="K127" i="139"/>
  <c r="J127" i="139"/>
  <c r="I127" i="139"/>
  <c r="H127" i="139"/>
  <c r="G127" i="139"/>
  <c r="F127" i="139"/>
  <c r="E127" i="139"/>
  <c r="D127" i="139"/>
  <c r="C127" i="139"/>
  <c r="B127" i="139"/>
  <c r="N126" i="139"/>
  <c r="M126" i="139"/>
  <c r="L126" i="139"/>
  <c r="K126" i="139"/>
  <c r="J126" i="139"/>
  <c r="I126" i="139"/>
  <c r="H126" i="139"/>
  <c r="G126" i="139"/>
  <c r="F126" i="139"/>
  <c r="E126" i="139"/>
  <c r="D126" i="139"/>
  <c r="C126" i="139"/>
  <c r="B126" i="139"/>
  <c r="N122" i="139"/>
  <c r="M122" i="139"/>
  <c r="L122" i="139"/>
  <c r="K122" i="139"/>
  <c r="J122" i="139"/>
  <c r="I122" i="139"/>
  <c r="H122" i="139"/>
  <c r="G122" i="139"/>
  <c r="F122" i="139"/>
  <c r="E122" i="139"/>
  <c r="D122" i="139"/>
  <c r="C122" i="139"/>
  <c r="A122" i="139"/>
  <c r="N121" i="139"/>
  <c r="M121" i="139"/>
  <c r="L121" i="139"/>
  <c r="K121" i="139"/>
  <c r="J121" i="139"/>
  <c r="I121" i="139"/>
  <c r="H121" i="139"/>
  <c r="G121" i="139"/>
  <c r="F121" i="139"/>
  <c r="E121" i="139"/>
  <c r="D121" i="139"/>
  <c r="C121" i="139"/>
  <c r="B121" i="139"/>
  <c r="N120" i="139"/>
  <c r="M120" i="139"/>
  <c r="L120" i="139"/>
  <c r="K120" i="139"/>
  <c r="J120" i="139"/>
  <c r="I120" i="139"/>
  <c r="H120" i="139"/>
  <c r="G120" i="139"/>
  <c r="F120" i="139"/>
  <c r="E120" i="139"/>
  <c r="D120" i="139"/>
  <c r="C120" i="139"/>
  <c r="B120" i="139"/>
  <c r="N119" i="139"/>
  <c r="M119" i="139"/>
  <c r="L119" i="139"/>
  <c r="K119" i="139"/>
  <c r="J119" i="139"/>
  <c r="I119" i="139"/>
  <c r="H119" i="139"/>
  <c r="G119" i="139"/>
  <c r="F119" i="139"/>
  <c r="E119" i="139"/>
  <c r="D119" i="139"/>
  <c r="C119" i="139"/>
  <c r="B119" i="139"/>
  <c r="N118" i="139"/>
  <c r="M118" i="139"/>
  <c r="L118" i="139"/>
  <c r="K118" i="139"/>
  <c r="J118" i="139"/>
  <c r="I118" i="139"/>
  <c r="H118" i="139"/>
  <c r="G118" i="139"/>
  <c r="F118" i="139"/>
  <c r="E118" i="139"/>
  <c r="D118" i="139"/>
  <c r="C118" i="139"/>
  <c r="B118" i="139"/>
  <c r="N117" i="139"/>
  <c r="M117" i="139"/>
  <c r="L117" i="139"/>
  <c r="K117" i="139"/>
  <c r="J117" i="139"/>
  <c r="I117" i="139"/>
  <c r="H117" i="139"/>
  <c r="G117" i="139"/>
  <c r="F117" i="139"/>
  <c r="E117" i="139"/>
  <c r="D117" i="139"/>
  <c r="C117" i="139"/>
  <c r="B117" i="139"/>
  <c r="N116" i="139"/>
  <c r="M116" i="139"/>
  <c r="L116" i="139"/>
  <c r="K116" i="139"/>
  <c r="J116" i="139"/>
  <c r="I116" i="139"/>
  <c r="H116" i="139"/>
  <c r="G116" i="139"/>
  <c r="F116" i="139"/>
  <c r="E116" i="139"/>
  <c r="D116" i="139"/>
  <c r="C116" i="139"/>
  <c r="B116" i="139"/>
  <c r="N115" i="139"/>
  <c r="M115" i="139"/>
  <c r="L115" i="139"/>
  <c r="K115" i="139"/>
  <c r="J115" i="139"/>
  <c r="I115" i="139"/>
  <c r="H115" i="139"/>
  <c r="G115" i="139"/>
  <c r="F115" i="139"/>
  <c r="E115" i="139"/>
  <c r="D115" i="139"/>
  <c r="C115" i="139"/>
  <c r="B115" i="139"/>
  <c r="N114" i="139"/>
  <c r="M114" i="139"/>
  <c r="L114" i="139"/>
  <c r="K114" i="139"/>
  <c r="J114" i="139"/>
  <c r="I114" i="139"/>
  <c r="H114" i="139"/>
  <c r="G114" i="139"/>
  <c r="F114" i="139"/>
  <c r="E114" i="139"/>
  <c r="D114" i="139"/>
  <c r="C114" i="139"/>
  <c r="B114" i="139"/>
  <c r="N113" i="139"/>
  <c r="M113" i="139"/>
  <c r="L113" i="139"/>
  <c r="K113" i="139"/>
  <c r="J113" i="139"/>
  <c r="I113" i="139"/>
  <c r="H113" i="139"/>
  <c r="G113" i="139"/>
  <c r="F113" i="139"/>
  <c r="E113" i="139"/>
  <c r="D113" i="139"/>
  <c r="C113" i="139"/>
  <c r="B113" i="139"/>
  <c r="N112" i="139"/>
  <c r="M112" i="139"/>
  <c r="L112" i="139"/>
  <c r="K112" i="139"/>
  <c r="J112" i="139"/>
  <c r="I112" i="139"/>
  <c r="H112" i="139"/>
  <c r="G112" i="139"/>
  <c r="F112" i="139"/>
  <c r="E112" i="139"/>
  <c r="D112" i="139"/>
  <c r="C112" i="139"/>
  <c r="B112" i="139"/>
  <c r="N111" i="139"/>
  <c r="M111" i="139"/>
  <c r="L111" i="139"/>
  <c r="K111" i="139"/>
  <c r="J111" i="139"/>
  <c r="I111" i="139"/>
  <c r="H111" i="139"/>
  <c r="G111" i="139"/>
  <c r="F111" i="139"/>
  <c r="E111" i="139"/>
  <c r="D111" i="139"/>
  <c r="C111" i="139"/>
  <c r="B111" i="139"/>
  <c r="N110" i="139"/>
  <c r="M110" i="139"/>
  <c r="L110" i="139"/>
  <c r="K110" i="139"/>
  <c r="J110" i="139"/>
  <c r="I110" i="139"/>
  <c r="H110" i="139"/>
  <c r="G110" i="139"/>
  <c r="F110" i="139"/>
  <c r="E110" i="139"/>
  <c r="D110" i="139"/>
  <c r="C110" i="139"/>
  <c r="B110" i="139"/>
  <c r="N104" i="139"/>
  <c r="M104" i="139"/>
  <c r="L104" i="139"/>
  <c r="K104" i="139"/>
  <c r="J104" i="139"/>
  <c r="I104" i="139"/>
  <c r="H104" i="139"/>
  <c r="G104" i="139"/>
  <c r="F104" i="139"/>
  <c r="E104" i="139"/>
  <c r="D104" i="139"/>
  <c r="C104" i="139"/>
  <c r="A104" i="139"/>
  <c r="N103" i="139"/>
  <c r="M103" i="139"/>
  <c r="L103" i="139"/>
  <c r="K103" i="139"/>
  <c r="J103" i="139"/>
  <c r="I103" i="139"/>
  <c r="H103" i="139"/>
  <c r="G103" i="139"/>
  <c r="F103" i="139"/>
  <c r="E103" i="139"/>
  <c r="D103" i="139"/>
  <c r="C103" i="139"/>
  <c r="B103" i="139"/>
  <c r="N102" i="139"/>
  <c r="M102" i="139"/>
  <c r="L102" i="139"/>
  <c r="K102" i="139"/>
  <c r="J102" i="139"/>
  <c r="I102" i="139"/>
  <c r="H102" i="139"/>
  <c r="G102" i="139"/>
  <c r="F102" i="139"/>
  <c r="E102" i="139"/>
  <c r="D102" i="139"/>
  <c r="C102" i="139"/>
  <c r="B102" i="139"/>
  <c r="N101" i="139"/>
  <c r="M101" i="139"/>
  <c r="L101" i="139"/>
  <c r="K101" i="139"/>
  <c r="J101" i="139"/>
  <c r="I101" i="139"/>
  <c r="H101" i="139"/>
  <c r="G101" i="139"/>
  <c r="F101" i="139"/>
  <c r="E101" i="139"/>
  <c r="D101" i="139"/>
  <c r="C101" i="139"/>
  <c r="B101" i="139"/>
  <c r="N100" i="139"/>
  <c r="M100" i="139"/>
  <c r="L100" i="139"/>
  <c r="K100" i="139"/>
  <c r="J100" i="139"/>
  <c r="I100" i="139"/>
  <c r="H100" i="139"/>
  <c r="G100" i="139"/>
  <c r="F100" i="139"/>
  <c r="E100" i="139"/>
  <c r="D100" i="139"/>
  <c r="C100" i="139"/>
  <c r="B100" i="139"/>
  <c r="N99" i="139"/>
  <c r="M99" i="139"/>
  <c r="L99" i="139"/>
  <c r="K99" i="139"/>
  <c r="J99" i="139"/>
  <c r="I99" i="139"/>
  <c r="H99" i="139"/>
  <c r="G99" i="139"/>
  <c r="F99" i="139"/>
  <c r="E99" i="139"/>
  <c r="D99" i="139"/>
  <c r="C99" i="139"/>
  <c r="B99" i="139"/>
  <c r="N98" i="139"/>
  <c r="M98" i="139"/>
  <c r="L98" i="139"/>
  <c r="K98" i="139"/>
  <c r="J98" i="139"/>
  <c r="I98" i="139"/>
  <c r="H98" i="139"/>
  <c r="G98" i="139"/>
  <c r="F98" i="139"/>
  <c r="E98" i="139"/>
  <c r="D98" i="139"/>
  <c r="C98" i="139"/>
  <c r="B98" i="139"/>
  <c r="N97" i="139"/>
  <c r="M97" i="139"/>
  <c r="L97" i="139"/>
  <c r="K97" i="139"/>
  <c r="J97" i="139"/>
  <c r="I97" i="139"/>
  <c r="H97" i="139"/>
  <c r="G97" i="139"/>
  <c r="F97" i="139"/>
  <c r="E97" i="139"/>
  <c r="D97" i="139"/>
  <c r="C97" i="139"/>
  <c r="B97" i="139"/>
  <c r="N96" i="139"/>
  <c r="M96" i="139"/>
  <c r="L96" i="139"/>
  <c r="K96" i="139"/>
  <c r="J96" i="139"/>
  <c r="I96" i="139"/>
  <c r="H96" i="139"/>
  <c r="G96" i="139"/>
  <c r="F96" i="139"/>
  <c r="E96" i="139"/>
  <c r="D96" i="139"/>
  <c r="C96" i="139"/>
  <c r="B96" i="139"/>
  <c r="N95" i="139"/>
  <c r="M95" i="139"/>
  <c r="L95" i="139"/>
  <c r="K95" i="139"/>
  <c r="J95" i="139"/>
  <c r="I95" i="139"/>
  <c r="H95" i="139"/>
  <c r="G95" i="139"/>
  <c r="F95" i="139"/>
  <c r="E95" i="139"/>
  <c r="D95" i="139"/>
  <c r="C95" i="139"/>
  <c r="B95" i="139"/>
  <c r="N94" i="139"/>
  <c r="M94" i="139"/>
  <c r="L94" i="139"/>
  <c r="K94" i="139"/>
  <c r="J94" i="139"/>
  <c r="I94" i="139"/>
  <c r="H94" i="139"/>
  <c r="G94" i="139"/>
  <c r="F94" i="139"/>
  <c r="E94" i="139"/>
  <c r="D94" i="139"/>
  <c r="C94" i="139"/>
  <c r="B94" i="139"/>
  <c r="N93" i="139"/>
  <c r="M93" i="139"/>
  <c r="L93" i="139"/>
  <c r="K93" i="139"/>
  <c r="J93" i="139"/>
  <c r="I93" i="139"/>
  <c r="H93" i="139"/>
  <c r="G93" i="139"/>
  <c r="F93" i="139"/>
  <c r="E93" i="139"/>
  <c r="D93" i="139"/>
  <c r="C93" i="139"/>
  <c r="B93" i="139"/>
  <c r="N92" i="139"/>
  <c r="M92" i="139"/>
  <c r="L92" i="139"/>
  <c r="K92" i="139"/>
  <c r="J92" i="139"/>
  <c r="I92" i="139"/>
  <c r="H92" i="139"/>
  <c r="G92" i="139"/>
  <c r="F92" i="139"/>
  <c r="E92" i="139"/>
  <c r="D92" i="139"/>
  <c r="C92" i="139"/>
  <c r="B92" i="139"/>
  <c r="N88" i="139"/>
  <c r="M88" i="139"/>
  <c r="L88" i="139"/>
  <c r="K88" i="139"/>
  <c r="J88" i="139"/>
  <c r="I88" i="139"/>
  <c r="H88" i="139"/>
  <c r="G88" i="139"/>
  <c r="F88" i="139"/>
  <c r="E88" i="139"/>
  <c r="D88" i="139"/>
  <c r="C88" i="139"/>
  <c r="A88" i="139"/>
  <c r="N87" i="139"/>
  <c r="M87" i="139"/>
  <c r="L87" i="139"/>
  <c r="K87" i="139"/>
  <c r="J87" i="139"/>
  <c r="I87" i="139"/>
  <c r="H87" i="139"/>
  <c r="G87" i="139"/>
  <c r="F87" i="139"/>
  <c r="E87" i="139"/>
  <c r="D87" i="139"/>
  <c r="C87" i="139"/>
  <c r="B87" i="139"/>
  <c r="N86" i="139"/>
  <c r="M86" i="139"/>
  <c r="L86" i="139"/>
  <c r="K86" i="139"/>
  <c r="J86" i="139"/>
  <c r="I86" i="139"/>
  <c r="H86" i="139"/>
  <c r="G86" i="139"/>
  <c r="F86" i="139"/>
  <c r="E86" i="139"/>
  <c r="D86" i="139"/>
  <c r="C86" i="139"/>
  <c r="B86" i="139"/>
  <c r="N85" i="139"/>
  <c r="M85" i="139"/>
  <c r="L85" i="139"/>
  <c r="K85" i="139"/>
  <c r="J85" i="139"/>
  <c r="I85" i="139"/>
  <c r="H85" i="139"/>
  <c r="G85" i="139"/>
  <c r="F85" i="139"/>
  <c r="E85" i="139"/>
  <c r="D85" i="139"/>
  <c r="C85" i="139"/>
  <c r="B85" i="139"/>
  <c r="N84" i="139"/>
  <c r="M84" i="139"/>
  <c r="L84" i="139"/>
  <c r="K84" i="139"/>
  <c r="J84" i="139"/>
  <c r="I84" i="139"/>
  <c r="H84" i="139"/>
  <c r="G84" i="139"/>
  <c r="F84" i="139"/>
  <c r="E84" i="139"/>
  <c r="D84" i="139"/>
  <c r="C84" i="139"/>
  <c r="B84" i="139"/>
  <c r="N83" i="139"/>
  <c r="M83" i="139"/>
  <c r="L83" i="139"/>
  <c r="K83" i="139"/>
  <c r="J83" i="139"/>
  <c r="I83" i="139"/>
  <c r="H83" i="139"/>
  <c r="G83" i="139"/>
  <c r="F83" i="139"/>
  <c r="E83" i="139"/>
  <c r="D83" i="139"/>
  <c r="C83" i="139"/>
  <c r="B83" i="139"/>
  <c r="N82" i="139"/>
  <c r="M82" i="139"/>
  <c r="L82" i="139"/>
  <c r="K82" i="139"/>
  <c r="J82" i="139"/>
  <c r="I82" i="139"/>
  <c r="H82" i="139"/>
  <c r="G82" i="139"/>
  <c r="F82" i="139"/>
  <c r="E82" i="139"/>
  <c r="D82" i="139"/>
  <c r="C82" i="139"/>
  <c r="B82" i="139"/>
  <c r="N81" i="139"/>
  <c r="M81" i="139"/>
  <c r="L81" i="139"/>
  <c r="K81" i="139"/>
  <c r="J81" i="139"/>
  <c r="I81" i="139"/>
  <c r="H81" i="139"/>
  <c r="G81" i="139"/>
  <c r="F81" i="139"/>
  <c r="E81" i="139"/>
  <c r="D81" i="139"/>
  <c r="C81" i="139"/>
  <c r="B81" i="139"/>
  <c r="N80" i="139"/>
  <c r="M80" i="139"/>
  <c r="L80" i="139"/>
  <c r="K80" i="139"/>
  <c r="J80" i="139"/>
  <c r="I80" i="139"/>
  <c r="H80" i="139"/>
  <c r="G80" i="139"/>
  <c r="F80" i="139"/>
  <c r="E80" i="139"/>
  <c r="D80" i="139"/>
  <c r="C80" i="139"/>
  <c r="B80" i="139"/>
  <c r="N79" i="139"/>
  <c r="M79" i="139"/>
  <c r="L79" i="139"/>
  <c r="K79" i="139"/>
  <c r="J79" i="139"/>
  <c r="I79" i="139"/>
  <c r="H79" i="139"/>
  <c r="G79" i="139"/>
  <c r="F79" i="139"/>
  <c r="E79" i="139"/>
  <c r="D79" i="139"/>
  <c r="C79" i="139"/>
  <c r="B79" i="139"/>
  <c r="N78" i="139"/>
  <c r="M78" i="139"/>
  <c r="L78" i="139"/>
  <c r="K78" i="139"/>
  <c r="J78" i="139"/>
  <c r="I78" i="139"/>
  <c r="H78" i="139"/>
  <c r="G78" i="139"/>
  <c r="F78" i="139"/>
  <c r="E78" i="139"/>
  <c r="D78" i="139"/>
  <c r="C78" i="139"/>
  <c r="B78" i="139"/>
  <c r="N77" i="139"/>
  <c r="M77" i="139"/>
  <c r="L77" i="139"/>
  <c r="K77" i="139"/>
  <c r="J77" i="139"/>
  <c r="I77" i="139"/>
  <c r="H77" i="139"/>
  <c r="G77" i="139"/>
  <c r="F77" i="139"/>
  <c r="E77" i="139"/>
  <c r="D77" i="139"/>
  <c r="C77" i="139"/>
  <c r="B77" i="139"/>
  <c r="N76" i="139"/>
  <c r="M76" i="139"/>
  <c r="L76" i="139"/>
  <c r="K76" i="139"/>
  <c r="J76" i="139"/>
  <c r="I76" i="139"/>
  <c r="H76" i="139"/>
  <c r="G76" i="139"/>
  <c r="F76" i="139"/>
  <c r="E76" i="139"/>
  <c r="D76" i="139"/>
  <c r="C76" i="139"/>
  <c r="B76" i="139"/>
  <c r="N70" i="139"/>
  <c r="M70" i="139"/>
  <c r="L70" i="139"/>
  <c r="K70" i="139"/>
  <c r="J70" i="139"/>
  <c r="I70" i="139"/>
  <c r="H70" i="139"/>
  <c r="G70" i="139"/>
  <c r="F70" i="139"/>
  <c r="E70" i="139"/>
  <c r="D70" i="139"/>
  <c r="C70" i="139"/>
  <c r="A70" i="139"/>
  <c r="N69" i="139"/>
  <c r="M69" i="139"/>
  <c r="L69" i="139"/>
  <c r="K69" i="139"/>
  <c r="J69" i="139"/>
  <c r="I69" i="139"/>
  <c r="H69" i="139"/>
  <c r="G69" i="139"/>
  <c r="F69" i="139"/>
  <c r="E69" i="139"/>
  <c r="D69" i="139"/>
  <c r="C69" i="139"/>
  <c r="B69" i="139"/>
  <c r="N68" i="139"/>
  <c r="M68" i="139"/>
  <c r="L68" i="139"/>
  <c r="K68" i="139"/>
  <c r="J68" i="139"/>
  <c r="I68" i="139"/>
  <c r="H68" i="139"/>
  <c r="G68" i="139"/>
  <c r="F68" i="139"/>
  <c r="E68" i="139"/>
  <c r="D68" i="139"/>
  <c r="C68" i="139"/>
  <c r="B68" i="139"/>
  <c r="N67" i="139"/>
  <c r="M67" i="139"/>
  <c r="L67" i="139"/>
  <c r="K67" i="139"/>
  <c r="J67" i="139"/>
  <c r="I67" i="139"/>
  <c r="H67" i="139"/>
  <c r="G67" i="139"/>
  <c r="F67" i="139"/>
  <c r="E67" i="139"/>
  <c r="D67" i="139"/>
  <c r="C67" i="139"/>
  <c r="B67" i="139"/>
  <c r="N66" i="139"/>
  <c r="M66" i="139"/>
  <c r="L66" i="139"/>
  <c r="K66" i="139"/>
  <c r="J66" i="139"/>
  <c r="I66" i="139"/>
  <c r="H66" i="139"/>
  <c r="G66" i="139"/>
  <c r="F66" i="139"/>
  <c r="E66" i="139"/>
  <c r="D66" i="139"/>
  <c r="C66" i="139"/>
  <c r="B66" i="139"/>
  <c r="N65" i="139"/>
  <c r="M65" i="139"/>
  <c r="L65" i="139"/>
  <c r="K65" i="139"/>
  <c r="J65" i="139"/>
  <c r="I65" i="139"/>
  <c r="H65" i="139"/>
  <c r="G65" i="139"/>
  <c r="F65" i="139"/>
  <c r="E65" i="139"/>
  <c r="D65" i="139"/>
  <c r="C65" i="139"/>
  <c r="B65" i="139"/>
  <c r="N64" i="139"/>
  <c r="M64" i="139"/>
  <c r="L64" i="139"/>
  <c r="K64" i="139"/>
  <c r="J64" i="139"/>
  <c r="I64" i="139"/>
  <c r="H64" i="139"/>
  <c r="G64" i="139"/>
  <c r="F64" i="139"/>
  <c r="E64" i="139"/>
  <c r="D64" i="139"/>
  <c r="C64" i="139"/>
  <c r="B64" i="139"/>
  <c r="N63" i="139"/>
  <c r="M63" i="139"/>
  <c r="L63" i="139"/>
  <c r="K63" i="139"/>
  <c r="J63" i="139"/>
  <c r="I63" i="139"/>
  <c r="H63" i="139"/>
  <c r="G63" i="139"/>
  <c r="F63" i="139"/>
  <c r="E63" i="139"/>
  <c r="D63" i="139"/>
  <c r="C63" i="139"/>
  <c r="B63" i="139"/>
  <c r="N62" i="139"/>
  <c r="M62" i="139"/>
  <c r="L62" i="139"/>
  <c r="K62" i="139"/>
  <c r="J62" i="139"/>
  <c r="I62" i="139"/>
  <c r="H62" i="139"/>
  <c r="G62" i="139"/>
  <c r="F62" i="139"/>
  <c r="E62" i="139"/>
  <c r="D62" i="139"/>
  <c r="C62" i="139"/>
  <c r="B62" i="139"/>
  <c r="N61" i="139"/>
  <c r="M61" i="139"/>
  <c r="L61" i="139"/>
  <c r="K61" i="139"/>
  <c r="J61" i="139"/>
  <c r="I61" i="139"/>
  <c r="H61" i="139"/>
  <c r="G61" i="139"/>
  <c r="F61" i="139"/>
  <c r="E61" i="139"/>
  <c r="D61" i="139"/>
  <c r="C61" i="139"/>
  <c r="B61" i="139"/>
  <c r="N60" i="139"/>
  <c r="M60" i="139"/>
  <c r="L60" i="139"/>
  <c r="K60" i="139"/>
  <c r="J60" i="139"/>
  <c r="I60" i="139"/>
  <c r="H60" i="139"/>
  <c r="G60" i="139"/>
  <c r="F60" i="139"/>
  <c r="E60" i="139"/>
  <c r="D60" i="139"/>
  <c r="C60" i="139"/>
  <c r="B60" i="139"/>
  <c r="N59" i="139"/>
  <c r="M59" i="139"/>
  <c r="L59" i="139"/>
  <c r="K59" i="139"/>
  <c r="J59" i="139"/>
  <c r="I59" i="139"/>
  <c r="H59" i="139"/>
  <c r="G59" i="139"/>
  <c r="F59" i="139"/>
  <c r="E59" i="139"/>
  <c r="D59" i="139"/>
  <c r="C59" i="139"/>
  <c r="B59" i="139"/>
  <c r="N58" i="139"/>
  <c r="M58" i="139"/>
  <c r="L58" i="139"/>
  <c r="K58" i="139"/>
  <c r="J58" i="139"/>
  <c r="I58" i="139"/>
  <c r="H58" i="139"/>
  <c r="G58" i="139"/>
  <c r="F58" i="139"/>
  <c r="E58" i="139"/>
  <c r="D58" i="139"/>
  <c r="C58" i="139"/>
  <c r="B58" i="139"/>
  <c r="N54" i="139"/>
  <c r="M54" i="139"/>
  <c r="L54" i="139"/>
  <c r="K54" i="139"/>
  <c r="J54" i="139"/>
  <c r="I54" i="139"/>
  <c r="H54" i="139"/>
  <c r="G54" i="139"/>
  <c r="F54" i="139"/>
  <c r="E54" i="139"/>
  <c r="D54" i="139"/>
  <c r="C54" i="139"/>
  <c r="A54" i="139"/>
  <c r="N53" i="139"/>
  <c r="M53" i="139"/>
  <c r="L53" i="139"/>
  <c r="K53" i="139"/>
  <c r="J53" i="139"/>
  <c r="I53" i="139"/>
  <c r="H53" i="139"/>
  <c r="G53" i="139"/>
  <c r="F53" i="139"/>
  <c r="E53" i="139"/>
  <c r="D53" i="139"/>
  <c r="C53" i="139"/>
  <c r="B53" i="139"/>
  <c r="N52" i="139"/>
  <c r="M52" i="139"/>
  <c r="L52" i="139"/>
  <c r="K52" i="139"/>
  <c r="J52" i="139"/>
  <c r="I52" i="139"/>
  <c r="H52" i="139"/>
  <c r="G52" i="139"/>
  <c r="F52" i="139"/>
  <c r="E52" i="139"/>
  <c r="D52" i="139"/>
  <c r="C52" i="139"/>
  <c r="B52" i="139"/>
  <c r="N51" i="139"/>
  <c r="M51" i="139"/>
  <c r="L51" i="139"/>
  <c r="K51" i="139"/>
  <c r="J51" i="139"/>
  <c r="I51" i="139"/>
  <c r="H51" i="139"/>
  <c r="G51" i="139"/>
  <c r="F51" i="139"/>
  <c r="E51" i="139"/>
  <c r="D51" i="139"/>
  <c r="C51" i="139"/>
  <c r="B51" i="139"/>
  <c r="N50" i="139"/>
  <c r="M50" i="139"/>
  <c r="L50" i="139"/>
  <c r="K50" i="139"/>
  <c r="J50" i="139"/>
  <c r="I50" i="139"/>
  <c r="H50" i="139"/>
  <c r="G50" i="139"/>
  <c r="F50" i="139"/>
  <c r="E50" i="139"/>
  <c r="D50" i="139"/>
  <c r="C50" i="139"/>
  <c r="B50" i="139"/>
  <c r="N49" i="139"/>
  <c r="M49" i="139"/>
  <c r="L49" i="139"/>
  <c r="K49" i="139"/>
  <c r="J49" i="139"/>
  <c r="I49" i="139"/>
  <c r="H49" i="139"/>
  <c r="G49" i="139"/>
  <c r="F49" i="139"/>
  <c r="E49" i="139"/>
  <c r="D49" i="139"/>
  <c r="C49" i="139"/>
  <c r="B49" i="139"/>
  <c r="N48" i="139"/>
  <c r="M48" i="139"/>
  <c r="L48" i="139"/>
  <c r="K48" i="139"/>
  <c r="J48" i="139"/>
  <c r="I48" i="139"/>
  <c r="H48" i="139"/>
  <c r="G48" i="139"/>
  <c r="F48" i="139"/>
  <c r="E48" i="139"/>
  <c r="D48" i="139"/>
  <c r="C48" i="139"/>
  <c r="B48" i="139"/>
  <c r="N47" i="139"/>
  <c r="M47" i="139"/>
  <c r="L47" i="139"/>
  <c r="K47" i="139"/>
  <c r="J47" i="139"/>
  <c r="I47" i="139"/>
  <c r="H47" i="139"/>
  <c r="G47" i="139"/>
  <c r="F47" i="139"/>
  <c r="E47" i="139"/>
  <c r="D47" i="139"/>
  <c r="C47" i="139"/>
  <c r="B47" i="139"/>
  <c r="N46" i="139"/>
  <c r="M46" i="139"/>
  <c r="L46" i="139"/>
  <c r="K46" i="139"/>
  <c r="J46" i="139"/>
  <c r="I46" i="139"/>
  <c r="H46" i="139"/>
  <c r="G46" i="139"/>
  <c r="F46" i="139"/>
  <c r="E46" i="139"/>
  <c r="D46" i="139"/>
  <c r="C46" i="139"/>
  <c r="B46" i="139"/>
  <c r="N45" i="139"/>
  <c r="M45" i="139"/>
  <c r="L45" i="139"/>
  <c r="K45" i="139"/>
  <c r="J45" i="139"/>
  <c r="I45" i="139"/>
  <c r="H45" i="139"/>
  <c r="G45" i="139"/>
  <c r="F45" i="139"/>
  <c r="E45" i="139"/>
  <c r="D45" i="139"/>
  <c r="C45" i="139"/>
  <c r="B45" i="139"/>
  <c r="N44" i="139"/>
  <c r="M44" i="139"/>
  <c r="L44" i="139"/>
  <c r="K44" i="139"/>
  <c r="J44" i="139"/>
  <c r="I44" i="139"/>
  <c r="H44" i="139"/>
  <c r="G44" i="139"/>
  <c r="F44" i="139"/>
  <c r="E44" i="139"/>
  <c r="D44" i="139"/>
  <c r="C44" i="139"/>
  <c r="B44" i="139"/>
  <c r="N43" i="139"/>
  <c r="M43" i="139"/>
  <c r="L43" i="139"/>
  <c r="K43" i="139"/>
  <c r="J43" i="139"/>
  <c r="I43" i="139"/>
  <c r="H43" i="139"/>
  <c r="G43" i="139"/>
  <c r="F43" i="139"/>
  <c r="E43" i="139"/>
  <c r="D43" i="139"/>
  <c r="C43" i="139"/>
  <c r="B43" i="139"/>
  <c r="N42" i="139"/>
  <c r="M42" i="139"/>
  <c r="L42" i="139"/>
  <c r="K42" i="139"/>
  <c r="J42" i="139"/>
  <c r="I42" i="139"/>
  <c r="H42" i="139"/>
  <c r="G42" i="139"/>
  <c r="F42" i="139"/>
  <c r="E42" i="139"/>
  <c r="D42" i="139"/>
  <c r="C42" i="139"/>
  <c r="B42" i="139"/>
  <c r="N36" i="139"/>
  <c r="M36" i="139"/>
  <c r="L36" i="139"/>
  <c r="K36" i="139"/>
  <c r="J36" i="139"/>
  <c r="I36" i="139"/>
  <c r="H36" i="139"/>
  <c r="G36" i="139"/>
  <c r="F36" i="139"/>
  <c r="E36" i="139"/>
  <c r="D36" i="139"/>
  <c r="C36" i="139"/>
  <c r="B36" i="139"/>
  <c r="N35" i="139"/>
  <c r="M35" i="139"/>
  <c r="L35" i="139"/>
  <c r="K35" i="139"/>
  <c r="J35" i="139"/>
  <c r="I35" i="139"/>
  <c r="H35" i="139"/>
  <c r="G35" i="139"/>
  <c r="F35" i="139"/>
  <c r="E35" i="139"/>
  <c r="D35" i="139"/>
  <c r="C35" i="139"/>
  <c r="B35" i="139"/>
  <c r="I31" i="139"/>
  <c r="H31" i="139"/>
  <c r="G31" i="139"/>
  <c r="E31" i="139"/>
  <c r="D31" i="139"/>
  <c r="C31" i="139"/>
  <c r="B31" i="139"/>
  <c r="A31" i="139"/>
  <c r="D30" i="139"/>
  <c r="C30" i="139"/>
  <c r="B30" i="139"/>
  <c r="D29" i="139"/>
  <c r="C29" i="139"/>
  <c r="B29" i="139"/>
  <c r="D28" i="139"/>
  <c r="C28" i="139"/>
  <c r="B28" i="139"/>
  <c r="D27" i="139"/>
  <c r="C27" i="139"/>
  <c r="B27" i="139"/>
  <c r="D26" i="139"/>
  <c r="C26" i="139"/>
  <c r="B26" i="139"/>
  <c r="D25" i="139"/>
  <c r="C25" i="139"/>
  <c r="B25" i="139"/>
  <c r="D24" i="139"/>
  <c r="C24" i="139"/>
  <c r="B24" i="139"/>
  <c r="D23" i="139"/>
  <c r="C23" i="139"/>
  <c r="B23" i="139"/>
  <c r="D22" i="139"/>
  <c r="C22" i="139"/>
  <c r="B22" i="139"/>
  <c r="D21" i="139"/>
  <c r="C21" i="139"/>
  <c r="B21" i="139"/>
  <c r="D20" i="139"/>
  <c r="C20" i="139"/>
  <c r="C19" i="139"/>
  <c r="B19" i="139"/>
  <c r="N15" i="139"/>
  <c r="M15" i="139"/>
  <c r="L15" i="139"/>
  <c r="K15" i="139"/>
  <c r="J15" i="139"/>
  <c r="I15" i="139"/>
  <c r="H15" i="139"/>
  <c r="G15" i="139"/>
  <c r="F15" i="139"/>
  <c r="E15" i="139"/>
  <c r="D15" i="139"/>
  <c r="C15" i="139"/>
  <c r="B15" i="139"/>
  <c r="N14" i="139"/>
  <c r="M14" i="139"/>
  <c r="L14" i="139"/>
  <c r="K14" i="139"/>
  <c r="J14" i="139"/>
  <c r="I14" i="139"/>
  <c r="H14" i="139"/>
  <c r="G14" i="139"/>
  <c r="F14" i="139"/>
  <c r="E14" i="139"/>
  <c r="D14" i="139"/>
  <c r="C14" i="139"/>
  <c r="B14" i="139"/>
  <c r="A10" i="139"/>
  <c r="A1" i="139"/>
  <c r="N371" i="138"/>
  <c r="M371" i="138"/>
  <c r="L371" i="138"/>
  <c r="K371" i="138"/>
  <c r="J371" i="138"/>
  <c r="I371" i="138"/>
  <c r="H371" i="138"/>
  <c r="G371" i="138"/>
  <c r="F371" i="138"/>
  <c r="E371" i="138"/>
  <c r="D371" i="138"/>
  <c r="C371" i="138"/>
  <c r="A371" i="138"/>
  <c r="N370" i="138"/>
  <c r="M370" i="138"/>
  <c r="L370" i="138"/>
  <c r="K370" i="138"/>
  <c r="J370" i="138"/>
  <c r="I370" i="138"/>
  <c r="H370" i="138"/>
  <c r="G370" i="138"/>
  <c r="F370" i="138"/>
  <c r="E370" i="138"/>
  <c r="D370" i="138"/>
  <c r="C370" i="138"/>
  <c r="A370" i="138"/>
  <c r="N369" i="138"/>
  <c r="M369" i="138"/>
  <c r="L369" i="138"/>
  <c r="K369" i="138"/>
  <c r="J369" i="138"/>
  <c r="I369" i="138"/>
  <c r="H369" i="138"/>
  <c r="G369" i="138"/>
  <c r="F369" i="138"/>
  <c r="E369" i="138"/>
  <c r="D369" i="138"/>
  <c r="C369" i="138"/>
  <c r="N368" i="138"/>
  <c r="M368" i="138"/>
  <c r="L368" i="138"/>
  <c r="K368" i="138"/>
  <c r="J368" i="138"/>
  <c r="I368" i="138"/>
  <c r="H368" i="138"/>
  <c r="G368" i="138"/>
  <c r="F368" i="138"/>
  <c r="E368" i="138"/>
  <c r="D368" i="138"/>
  <c r="C368" i="138"/>
  <c r="N367" i="138"/>
  <c r="M367" i="138"/>
  <c r="L367" i="138"/>
  <c r="K367" i="138"/>
  <c r="J367" i="138"/>
  <c r="I367" i="138"/>
  <c r="H367" i="138"/>
  <c r="G367" i="138"/>
  <c r="F367" i="138"/>
  <c r="E367" i="138"/>
  <c r="D367" i="138"/>
  <c r="C367" i="138"/>
  <c r="A367" i="138"/>
  <c r="N366" i="138"/>
  <c r="M366" i="138"/>
  <c r="L366" i="138"/>
  <c r="K366" i="138"/>
  <c r="J366" i="138"/>
  <c r="I366" i="138"/>
  <c r="H366" i="138"/>
  <c r="G366" i="138"/>
  <c r="F366" i="138"/>
  <c r="E366" i="138"/>
  <c r="D366" i="138"/>
  <c r="C366" i="138"/>
  <c r="B366" i="138"/>
  <c r="N365" i="138"/>
  <c r="M365" i="138"/>
  <c r="L365" i="138"/>
  <c r="K365" i="138"/>
  <c r="J365" i="138"/>
  <c r="I365" i="138"/>
  <c r="H365" i="138"/>
  <c r="G365" i="138"/>
  <c r="F365" i="138"/>
  <c r="E365" i="138"/>
  <c r="D365" i="138"/>
  <c r="C365" i="138"/>
  <c r="B365" i="138"/>
  <c r="N364" i="138"/>
  <c r="M364" i="138"/>
  <c r="L364" i="138"/>
  <c r="K364" i="138"/>
  <c r="J364" i="138"/>
  <c r="I364" i="138"/>
  <c r="H364" i="138"/>
  <c r="G364" i="138"/>
  <c r="F364" i="138"/>
  <c r="E364" i="138"/>
  <c r="D364" i="138"/>
  <c r="C364" i="138"/>
  <c r="B364" i="138"/>
  <c r="N363" i="138"/>
  <c r="M363" i="138"/>
  <c r="L363" i="138"/>
  <c r="K363" i="138"/>
  <c r="J363" i="138"/>
  <c r="I363" i="138"/>
  <c r="H363" i="138"/>
  <c r="G363" i="138"/>
  <c r="F363" i="138"/>
  <c r="E363" i="138"/>
  <c r="D363" i="138"/>
  <c r="C363" i="138"/>
  <c r="B363" i="138"/>
  <c r="N362" i="138"/>
  <c r="M362" i="138"/>
  <c r="L362" i="138"/>
  <c r="K362" i="138"/>
  <c r="J362" i="138"/>
  <c r="I362" i="138"/>
  <c r="H362" i="138"/>
  <c r="G362" i="138"/>
  <c r="F362" i="138"/>
  <c r="E362" i="138"/>
  <c r="D362" i="138"/>
  <c r="C362" i="138"/>
  <c r="B362" i="138"/>
  <c r="N361" i="138"/>
  <c r="M361" i="138"/>
  <c r="L361" i="138"/>
  <c r="K361" i="138"/>
  <c r="J361" i="138"/>
  <c r="I361" i="138"/>
  <c r="H361" i="138"/>
  <c r="G361" i="138"/>
  <c r="F361" i="138"/>
  <c r="E361" i="138"/>
  <c r="D361" i="138"/>
  <c r="C361" i="138"/>
  <c r="B361" i="138"/>
  <c r="N360" i="138"/>
  <c r="M360" i="138"/>
  <c r="L360" i="138"/>
  <c r="K360" i="138"/>
  <c r="J360" i="138"/>
  <c r="I360" i="138"/>
  <c r="H360" i="138"/>
  <c r="G360" i="138"/>
  <c r="F360" i="138"/>
  <c r="E360" i="138"/>
  <c r="D360" i="138"/>
  <c r="C360" i="138"/>
  <c r="B360" i="138"/>
  <c r="N359" i="138"/>
  <c r="M359" i="138"/>
  <c r="L359" i="138"/>
  <c r="K359" i="138"/>
  <c r="J359" i="138"/>
  <c r="I359" i="138"/>
  <c r="H359" i="138"/>
  <c r="G359" i="138"/>
  <c r="F359" i="138"/>
  <c r="E359" i="138"/>
  <c r="D359" i="138"/>
  <c r="C359" i="138"/>
  <c r="B359" i="138"/>
  <c r="N358" i="138"/>
  <c r="M358" i="138"/>
  <c r="L358" i="138"/>
  <c r="K358" i="138"/>
  <c r="J358" i="138"/>
  <c r="I358" i="138"/>
  <c r="H358" i="138"/>
  <c r="G358" i="138"/>
  <c r="F358" i="138"/>
  <c r="E358" i="138"/>
  <c r="D358" i="138"/>
  <c r="C358" i="138"/>
  <c r="B358" i="138"/>
  <c r="N357" i="138"/>
  <c r="M357" i="138"/>
  <c r="L357" i="138"/>
  <c r="K357" i="138"/>
  <c r="J357" i="138"/>
  <c r="I357" i="138"/>
  <c r="H357" i="138"/>
  <c r="G357" i="138"/>
  <c r="F357" i="138"/>
  <c r="E357" i="138"/>
  <c r="D357" i="138"/>
  <c r="C357" i="138"/>
  <c r="B357" i="138"/>
  <c r="N356" i="138"/>
  <c r="M356" i="138"/>
  <c r="L356" i="138"/>
  <c r="K356" i="138"/>
  <c r="J356" i="138"/>
  <c r="I356" i="138"/>
  <c r="H356" i="138"/>
  <c r="G356" i="138"/>
  <c r="F356" i="138"/>
  <c r="E356" i="138"/>
  <c r="D356" i="138"/>
  <c r="C356" i="138"/>
  <c r="B356" i="138"/>
  <c r="N355" i="138"/>
  <c r="M355" i="138"/>
  <c r="L355" i="138"/>
  <c r="K355" i="138"/>
  <c r="J355" i="138"/>
  <c r="I355" i="138"/>
  <c r="H355" i="138"/>
  <c r="G355" i="138"/>
  <c r="F355" i="138"/>
  <c r="E355" i="138"/>
  <c r="D355" i="138"/>
  <c r="C355" i="138"/>
  <c r="B355" i="138"/>
  <c r="N351" i="138"/>
  <c r="M351" i="138"/>
  <c r="L351" i="138"/>
  <c r="K351" i="138"/>
  <c r="J351" i="138"/>
  <c r="I351" i="138"/>
  <c r="H351" i="138"/>
  <c r="G351" i="138"/>
  <c r="F351" i="138"/>
  <c r="E351" i="138"/>
  <c r="D351" i="138"/>
  <c r="C351" i="138"/>
  <c r="A351" i="138"/>
  <c r="N350" i="138"/>
  <c r="M350" i="138"/>
  <c r="L350" i="138"/>
  <c r="K350" i="138"/>
  <c r="J350" i="138"/>
  <c r="I350" i="138"/>
  <c r="H350" i="138"/>
  <c r="G350" i="138"/>
  <c r="F350" i="138"/>
  <c r="E350" i="138"/>
  <c r="D350" i="138"/>
  <c r="C350" i="138"/>
  <c r="B350" i="138"/>
  <c r="N349" i="138"/>
  <c r="M349" i="138"/>
  <c r="L349" i="138"/>
  <c r="K349" i="138"/>
  <c r="J349" i="138"/>
  <c r="I349" i="138"/>
  <c r="H349" i="138"/>
  <c r="G349" i="138"/>
  <c r="F349" i="138"/>
  <c r="E349" i="138"/>
  <c r="D349" i="138"/>
  <c r="C349" i="138"/>
  <c r="B349" i="138"/>
  <c r="N348" i="138"/>
  <c r="M348" i="138"/>
  <c r="L348" i="138"/>
  <c r="K348" i="138"/>
  <c r="J348" i="138"/>
  <c r="I348" i="138"/>
  <c r="H348" i="138"/>
  <c r="G348" i="138"/>
  <c r="F348" i="138"/>
  <c r="E348" i="138"/>
  <c r="D348" i="138"/>
  <c r="C348" i="138"/>
  <c r="B348" i="138"/>
  <c r="N347" i="138"/>
  <c r="M347" i="138"/>
  <c r="L347" i="138"/>
  <c r="K347" i="138"/>
  <c r="J347" i="138"/>
  <c r="I347" i="138"/>
  <c r="H347" i="138"/>
  <c r="G347" i="138"/>
  <c r="F347" i="138"/>
  <c r="E347" i="138"/>
  <c r="D347" i="138"/>
  <c r="C347" i="138"/>
  <c r="B347" i="138"/>
  <c r="N346" i="138"/>
  <c r="M346" i="138"/>
  <c r="L346" i="138"/>
  <c r="K346" i="138"/>
  <c r="J346" i="138"/>
  <c r="I346" i="138"/>
  <c r="H346" i="138"/>
  <c r="G346" i="138"/>
  <c r="F346" i="138"/>
  <c r="E346" i="138"/>
  <c r="D346" i="138"/>
  <c r="C346" i="138"/>
  <c r="B346" i="138"/>
  <c r="N345" i="138"/>
  <c r="M345" i="138"/>
  <c r="L345" i="138"/>
  <c r="K345" i="138"/>
  <c r="J345" i="138"/>
  <c r="I345" i="138"/>
  <c r="H345" i="138"/>
  <c r="G345" i="138"/>
  <c r="F345" i="138"/>
  <c r="E345" i="138"/>
  <c r="D345" i="138"/>
  <c r="C345" i="138"/>
  <c r="B345" i="138"/>
  <c r="N344" i="138"/>
  <c r="M344" i="138"/>
  <c r="L344" i="138"/>
  <c r="K344" i="138"/>
  <c r="J344" i="138"/>
  <c r="I344" i="138"/>
  <c r="H344" i="138"/>
  <c r="G344" i="138"/>
  <c r="F344" i="138"/>
  <c r="E344" i="138"/>
  <c r="D344" i="138"/>
  <c r="C344" i="138"/>
  <c r="B344" i="138"/>
  <c r="N343" i="138"/>
  <c r="M343" i="138"/>
  <c r="L343" i="138"/>
  <c r="K343" i="138"/>
  <c r="J343" i="138"/>
  <c r="I343" i="138"/>
  <c r="H343" i="138"/>
  <c r="G343" i="138"/>
  <c r="F343" i="138"/>
  <c r="E343" i="138"/>
  <c r="D343" i="138"/>
  <c r="C343" i="138"/>
  <c r="B343" i="138"/>
  <c r="N342" i="138"/>
  <c r="M342" i="138"/>
  <c r="L342" i="138"/>
  <c r="K342" i="138"/>
  <c r="J342" i="138"/>
  <c r="I342" i="138"/>
  <c r="H342" i="138"/>
  <c r="G342" i="138"/>
  <c r="F342" i="138"/>
  <c r="E342" i="138"/>
  <c r="D342" i="138"/>
  <c r="C342" i="138"/>
  <c r="B342" i="138"/>
  <c r="N341" i="138"/>
  <c r="M341" i="138"/>
  <c r="L341" i="138"/>
  <c r="K341" i="138"/>
  <c r="J341" i="138"/>
  <c r="I341" i="138"/>
  <c r="H341" i="138"/>
  <c r="G341" i="138"/>
  <c r="F341" i="138"/>
  <c r="E341" i="138"/>
  <c r="D341" i="138"/>
  <c r="C341" i="138"/>
  <c r="B341" i="138"/>
  <c r="N340" i="138"/>
  <c r="M340" i="138"/>
  <c r="L340" i="138"/>
  <c r="K340" i="138"/>
  <c r="J340" i="138"/>
  <c r="I340" i="138"/>
  <c r="H340" i="138"/>
  <c r="G340" i="138"/>
  <c r="F340" i="138"/>
  <c r="E340" i="138"/>
  <c r="D340" i="138"/>
  <c r="C340" i="138"/>
  <c r="B340" i="138"/>
  <c r="N339" i="138"/>
  <c r="M339" i="138"/>
  <c r="L339" i="138"/>
  <c r="K339" i="138"/>
  <c r="J339" i="138"/>
  <c r="I339" i="138"/>
  <c r="H339" i="138"/>
  <c r="G339" i="138"/>
  <c r="F339" i="138"/>
  <c r="E339" i="138"/>
  <c r="D339" i="138"/>
  <c r="C339" i="138"/>
  <c r="B339" i="138"/>
  <c r="N333" i="138"/>
  <c r="M333" i="138"/>
  <c r="L333" i="138"/>
  <c r="K333" i="138"/>
  <c r="J333" i="138"/>
  <c r="I333" i="138"/>
  <c r="H333" i="138"/>
  <c r="G333" i="138"/>
  <c r="F333" i="138"/>
  <c r="E333" i="138"/>
  <c r="D333" i="138"/>
  <c r="C333" i="138"/>
  <c r="A333" i="138"/>
  <c r="N332" i="138"/>
  <c r="M332" i="138"/>
  <c r="L332" i="138"/>
  <c r="K332" i="138"/>
  <c r="J332" i="138"/>
  <c r="I332" i="138"/>
  <c r="H332" i="138"/>
  <c r="G332" i="138"/>
  <c r="F332" i="138"/>
  <c r="E332" i="138"/>
  <c r="D332" i="138"/>
  <c r="C332" i="138"/>
  <c r="N331" i="138"/>
  <c r="M331" i="138"/>
  <c r="L331" i="138"/>
  <c r="K331" i="138"/>
  <c r="J331" i="138"/>
  <c r="I331" i="138"/>
  <c r="H331" i="138"/>
  <c r="G331" i="138"/>
  <c r="F331" i="138"/>
  <c r="E331" i="138"/>
  <c r="D331" i="138"/>
  <c r="C331" i="138"/>
  <c r="N330" i="138"/>
  <c r="M330" i="138"/>
  <c r="L330" i="138"/>
  <c r="K330" i="138"/>
  <c r="J330" i="138"/>
  <c r="I330" i="138"/>
  <c r="H330" i="138"/>
  <c r="G330" i="138"/>
  <c r="F330" i="138"/>
  <c r="E330" i="138"/>
  <c r="D330" i="138"/>
  <c r="C330" i="138"/>
  <c r="A330" i="138"/>
  <c r="N329" i="138"/>
  <c r="M329" i="138"/>
  <c r="L329" i="138"/>
  <c r="K329" i="138"/>
  <c r="J329" i="138"/>
  <c r="I329" i="138"/>
  <c r="H329" i="138"/>
  <c r="G329" i="138"/>
  <c r="F329" i="138"/>
  <c r="E329" i="138"/>
  <c r="D329" i="138"/>
  <c r="C329" i="138"/>
  <c r="B329" i="138"/>
  <c r="N328" i="138"/>
  <c r="M328" i="138"/>
  <c r="L328" i="138"/>
  <c r="K328" i="138"/>
  <c r="J328" i="138"/>
  <c r="I328" i="138"/>
  <c r="H328" i="138"/>
  <c r="G328" i="138"/>
  <c r="F328" i="138"/>
  <c r="E328" i="138"/>
  <c r="D328" i="138"/>
  <c r="C328" i="138"/>
  <c r="B328" i="138"/>
  <c r="N327" i="138"/>
  <c r="M327" i="138"/>
  <c r="L327" i="138"/>
  <c r="K327" i="138"/>
  <c r="J327" i="138"/>
  <c r="I327" i="138"/>
  <c r="H327" i="138"/>
  <c r="G327" i="138"/>
  <c r="F327" i="138"/>
  <c r="E327" i="138"/>
  <c r="D327" i="138"/>
  <c r="C327" i="138"/>
  <c r="B327" i="138"/>
  <c r="N326" i="138"/>
  <c r="M326" i="138"/>
  <c r="L326" i="138"/>
  <c r="K326" i="138"/>
  <c r="J326" i="138"/>
  <c r="I326" i="138"/>
  <c r="H326" i="138"/>
  <c r="G326" i="138"/>
  <c r="F326" i="138"/>
  <c r="E326" i="138"/>
  <c r="D326" i="138"/>
  <c r="C326" i="138"/>
  <c r="B326" i="138"/>
  <c r="N325" i="138"/>
  <c r="M325" i="138"/>
  <c r="L325" i="138"/>
  <c r="K325" i="138"/>
  <c r="J325" i="138"/>
  <c r="I325" i="138"/>
  <c r="H325" i="138"/>
  <c r="G325" i="138"/>
  <c r="F325" i="138"/>
  <c r="E325" i="138"/>
  <c r="D325" i="138"/>
  <c r="C325" i="138"/>
  <c r="B325" i="138"/>
  <c r="N324" i="138"/>
  <c r="M324" i="138"/>
  <c r="L324" i="138"/>
  <c r="K324" i="138"/>
  <c r="J324" i="138"/>
  <c r="I324" i="138"/>
  <c r="H324" i="138"/>
  <c r="G324" i="138"/>
  <c r="F324" i="138"/>
  <c r="E324" i="138"/>
  <c r="D324" i="138"/>
  <c r="C324" i="138"/>
  <c r="B324" i="138"/>
  <c r="N323" i="138"/>
  <c r="M323" i="138"/>
  <c r="L323" i="138"/>
  <c r="K323" i="138"/>
  <c r="J323" i="138"/>
  <c r="I323" i="138"/>
  <c r="H323" i="138"/>
  <c r="G323" i="138"/>
  <c r="F323" i="138"/>
  <c r="E323" i="138"/>
  <c r="D323" i="138"/>
  <c r="C323" i="138"/>
  <c r="B323" i="138"/>
  <c r="N322" i="138"/>
  <c r="M322" i="138"/>
  <c r="L322" i="138"/>
  <c r="K322" i="138"/>
  <c r="J322" i="138"/>
  <c r="I322" i="138"/>
  <c r="H322" i="138"/>
  <c r="G322" i="138"/>
  <c r="F322" i="138"/>
  <c r="E322" i="138"/>
  <c r="D322" i="138"/>
  <c r="C322" i="138"/>
  <c r="B322" i="138"/>
  <c r="N321" i="138"/>
  <c r="M321" i="138"/>
  <c r="L321" i="138"/>
  <c r="K321" i="138"/>
  <c r="J321" i="138"/>
  <c r="I321" i="138"/>
  <c r="H321" i="138"/>
  <c r="G321" i="138"/>
  <c r="F321" i="138"/>
  <c r="E321" i="138"/>
  <c r="D321" i="138"/>
  <c r="C321" i="138"/>
  <c r="B321" i="138"/>
  <c r="N320" i="138"/>
  <c r="M320" i="138"/>
  <c r="L320" i="138"/>
  <c r="K320" i="138"/>
  <c r="J320" i="138"/>
  <c r="I320" i="138"/>
  <c r="H320" i="138"/>
  <c r="G320" i="138"/>
  <c r="F320" i="138"/>
  <c r="E320" i="138"/>
  <c r="D320" i="138"/>
  <c r="C320" i="138"/>
  <c r="B320" i="138"/>
  <c r="N319" i="138"/>
  <c r="M319" i="138"/>
  <c r="L319" i="138"/>
  <c r="K319" i="138"/>
  <c r="J319" i="138"/>
  <c r="I319" i="138"/>
  <c r="H319" i="138"/>
  <c r="G319" i="138"/>
  <c r="F319" i="138"/>
  <c r="E319" i="138"/>
  <c r="D319" i="138"/>
  <c r="C319" i="138"/>
  <c r="B319" i="138"/>
  <c r="N318" i="138"/>
  <c r="M318" i="138"/>
  <c r="L318" i="138"/>
  <c r="K318" i="138"/>
  <c r="J318" i="138"/>
  <c r="I318" i="138"/>
  <c r="H318" i="138"/>
  <c r="G318" i="138"/>
  <c r="F318" i="138"/>
  <c r="E318" i="138"/>
  <c r="D318" i="138"/>
  <c r="C318" i="138"/>
  <c r="B318" i="138"/>
  <c r="N314" i="138"/>
  <c r="M314" i="138"/>
  <c r="L314" i="138"/>
  <c r="K314" i="138"/>
  <c r="J314" i="138"/>
  <c r="I314" i="138"/>
  <c r="H314" i="138"/>
  <c r="G314" i="138"/>
  <c r="F314" i="138"/>
  <c r="E314" i="138"/>
  <c r="D314" i="138"/>
  <c r="C314" i="138"/>
  <c r="A314" i="138"/>
  <c r="N313" i="138"/>
  <c r="M313" i="138"/>
  <c r="L313" i="138"/>
  <c r="K313" i="138"/>
  <c r="J313" i="138"/>
  <c r="I313" i="138"/>
  <c r="H313" i="138"/>
  <c r="G313" i="138"/>
  <c r="F313" i="138"/>
  <c r="E313" i="138"/>
  <c r="D313" i="138"/>
  <c r="C313" i="138"/>
  <c r="B313" i="138"/>
  <c r="N312" i="138"/>
  <c r="M312" i="138"/>
  <c r="L312" i="138"/>
  <c r="K312" i="138"/>
  <c r="J312" i="138"/>
  <c r="I312" i="138"/>
  <c r="H312" i="138"/>
  <c r="G312" i="138"/>
  <c r="F312" i="138"/>
  <c r="E312" i="138"/>
  <c r="D312" i="138"/>
  <c r="C312" i="138"/>
  <c r="B312" i="138"/>
  <c r="N311" i="138"/>
  <c r="M311" i="138"/>
  <c r="L311" i="138"/>
  <c r="K311" i="138"/>
  <c r="J311" i="138"/>
  <c r="I311" i="138"/>
  <c r="H311" i="138"/>
  <c r="G311" i="138"/>
  <c r="F311" i="138"/>
  <c r="E311" i="138"/>
  <c r="D311" i="138"/>
  <c r="C311" i="138"/>
  <c r="B311" i="138"/>
  <c r="N310" i="138"/>
  <c r="M310" i="138"/>
  <c r="L310" i="138"/>
  <c r="K310" i="138"/>
  <c r="J310" i="138"/>
  <c r="I310" i="138"/>
  <c r="H310" i="138"/>
  <c r="G310" i="138"/>
  <c r="F310" i="138"/>
  <c r="E310" i="138"/>
  <c r="D310" i="138"/>
  <c r="C310" i="138"/>
  <c r="B310" i="138"/>
  <c r="N309" i="138"/>
  <c r="M309" i="138"/>
  <c r="L309" i="138"/>
  <c r="K309" i="138"/>
  <c r="J309" i="138"/>
  <c r="I309" i="138"/>
  <c r="H309" i="138"/>
  <c r="G309" i="138"/>
  <c r="F309" i="138"/>
  <c r="E309" i="138"/>
  <c r="D309" i="138"/>
  <c r="C309" i="138"/>
  <c r="B309" i="138"/>
  <c r="N308" i="138"/>
  <c r="M308" i="138"/>
  <c r="L308" i="138"/>
  <c r="K308" i="138"/>
  <c r="J308" i="138"/>
  <c r="I308" i="138"/>
  <c r="H308" i="138"/>
  <c r="G308" i="138"/>
  <c r="F308" i="138"/>
  <c r="E308" i="138"/>
  <c r="D308" i="138"/>
  <c r="C308" i="138"/>
  <c r="B308" i="138"/>
  <c r="N307" i="138"/>
  <c r="M307" i="138"/>
  <c r="L307" i="138"/>
  <c r="K307" i="138"/>
  <c r="J307" i="138"/>
  <c r="I307" i="138"/>
  <c r="H307" i="138"/>
  <c r="G307" i="138"/>
  <c r="F307" i="138"/>
  <c r="E307" i="138"/>
  <c r="D307" i="138"/>
  <c r="C307" i="138"/>
  <c r="B307" i="138"/>
  <c r="N306" i="138"/>
  <c r="M306" i="138"/>
  <c r="L306" i="138"/>
  <c r="K306" i="138"/>
  <c r="J306" i="138"/>
  <c r="I306" i="138"/>
  <c r="H306" i="138"/>
  <c r="G306" i="138"/>
  <c r="F306" i="138"/>
  <c r="E306" i="138"/>
  <c r="D306" i="138"/>
  <c r="C306" i="138"/>
  <c r="B306" i="138"/>
  <c r="N305" i="138"/>
  <c r="M305" i="138"/>
  <c r="L305" i="138"/>
  <c r="K305" i="138"/>
  <c r="J305" i="138"/>
  <c r="I305" i="138"/>
  <c r="H305" i="138"/>
  <c r="G305" i="138"/>
  <c r="F305" i="138"/>
  <c r="E305" i="138"/>
  <c r="D305" i="138"/>
  <c r="C305" i="138"/>
  <c r="B305" i="138"/>
  <c r="N304" i="138"/>
  <c r="M304" i="138"/>
  <c r="L304" i="138"/>
  <c r="K304" i="138"/>
  <c r="J304" i="138"/>
  <c r="I304" i="138"/>
  <c r="H304" i="138"/>
  <c r="G304" i="138"/>
  <c r="F304" i="138"/>
  <c r="E304" i="138"/>
  <c r="D304" i="138"/>
  <c r="C304" i="138"/>
  <c r="B304" i="138"/>
  <c r="N303" i="138"/>
  <c r="M303" i="138"/>
  <c r="L303" i="138"/>
  <c r="K303" i="138"/>
  <c r="J303" i="138"/>
  <c r="I303" i="138"/>
  <c r="H303" i="138"/>
  <c r="G303" i="138"/>
  <c r="F303" i="138"/>
  <c r="E303" i="138"/>
  <c r="D303" i="138"/>
  <c r="C303" i="138"/>
  <c r="B303" i="138"/>
  <c r="N302" i="138"/>
  <c r="M302" i="138"/>
  <c r="L302" i="138"/>
  <c r="K302" i="138"/>
  <c r="J302" i="138"/>
  <c r="I302" i="138"/>
  <c r="H302" i="138"/>
  <c r="G302" i="138"/>
  <c r="F302" i="138"/>
  <c r="E302" i="138"/>
  <c r="D302" i="138"/>
  <c r="C302" i="138"/>
  <c r="B302" i="138"/>
  <c r="N296" i="138"/>
  <c r="M296" i="138"/>
  <c r="L296" i="138"/>
  <c r="K296" i="138"/>
  <c r="J296" i="138"/>
  <c r="I296" i="138"/>
  <c r="H296" i="138"/>
  <c r="G296" i="138"/>
  <c r="F296" i="138"/>
  <c r="E296" i="138"/>
  <c r="D296" i="138"/>
  <c r="C296" i="138"/>
  <c r="N294" i="138"/>
  <c r="M294" i="138"/>
  <c r="L294" i="138"/>
  <c r="K294" i="138"/>
  <c r="J294" i="138"/>
  <c r="I294" i="138"/>
  <c r="H294" i="138"/>
  <c r="G294" i="138"/>
  <c r="F294" i="138"/>
  <c r="E294" i="138"/>
  <c r="D294" i="138"/>
  <c r="C294" i="138"/>
  <c r="N293" i="138"/>
  <c r="M293" i="138"/>
  <c r="L293" i="138"/>
  <c r="K293" i="138"/>
  <c r="J293" i="138"/>
  <c r="I293" i="138"/>
  <c r="H293" i="138"/>
  <c r="G293" i="138"/>
  <c r="F293" i="138"/>
  <c r="E293" i="138"/>
  <c r="D293" i="138"/>
  <c r="C293" i="138"/>
  <c r="N290" i="138"/>
  <c r="M290" i="138"/>
  <c r="L290" i="138"/>
  <c r="K290" i="138"/>
  <c r="J290" i="138"/>
  <c r="I290" i="138"/>
  <c r="H290" i="138"/>
  <c r="G290" i="138"/>
  <c r="F290" i="138"/>
  <c r="E290" i="138"/>
  <c r="D290" i="138"/>
  <c r="C290" i="138"/>
  <c r="N289" i="138"/>
  <c r="M289" i="138"/>
  <c r="L289" i="138"/>
  <c r="K289" i="138"/>
  <c r="J289" i="138"/>
  <c r="I289" i="138"/>
  <c r="H289" i="138"/>
  <c r="G289" i="138"/>
  <c r="F289" i="138"/>
  <c r="E289" i="138"/>
  <c r="D289" i="138"/>
  <c r="C289" i="138"/>
  <c r="N283" i="138"/>
  <c r="M283" i="138"/>
  <c r="L283" i="138"/>
  <c r="K283" i="138"/>
  <c r="J283" i="138"/>
  <c r="I283" i="138"/>
  <c r="H283" i="138"/>
  <c r="G283" i="138"/>
  <c r="F283" i="138"/>
  <c r="E283" i="138"/>
  <c r="D283" i="138"/>
  <c r="C283" i="138"/>
  <c r="A283" i="138"/>
  <c r="N282" i="138"/>
  <c r="M282" i="138"/>
  <c r="L282" i="138"/>
  <c r="K282" i="138"/>
  <c r="J282" i="138"/>
  <c r="I282" i="138"/>
  <c r="H282" i="138"/>
  <c r="G282" i="138"/>
  <c r="F282" i="138"/>
  <c r="E282" i="138"/>
  <c r="D282" i="138"/>
  <c r="C282" i="138"/>
  <c r="N281" i="138"/>
  <c r="M281" i="138"/>
  <c r="L281" i="138"/>
  <c r="K281" i="138"/>
  <c r="J281" i="138"/>
  <c r="I281" i="138"/>
  <c r="H281" i="138"/>
  <c r="G281" i="138"/>
  <c r="F281" i="138"/>
  <c r="E281" i="138"/>
  <c r="D281" i="138"/>
  <c r="C281" i="138"/>
  <c r="N280" i="138"/>
  <c r="M280" i="138"/>
  <c r="L280" i="138"/>
  <c r="K280" i="138"/>
  <c r="J280" i="138"/>
  <c r="I280" i="138"/>
  <c r="H280" i="138"/>
  <c r="G280" i="138"/>
  <c r="F280" i="138"/>
  <c r="E280" i="138"/>
  <c r="D280" i="138"/>
  <c r="C280" i="138"/>
  <c r="N279" i="138"/>
  <c r="M279" i="138"/>
  <c r="L279" i="138"/>
  <c r="K279" i="138"/>
  <c r="J279" i="138"/>
  <c r="I279" i="138"/>
  <c r="H279" i="138"/>
  <c r="G279" i="138"/>
  <c r="F279" i="138"/>
  <c r="E279" i="138"/>
  <c r="D279" i="138"/>
  <c r="C279" i="138"/>
  <c r="N278" i="138"/>
  <c r="M278" i="138"/>
  <c r="L278" i="138"/>
  <c r="K278" i="138"/>
  <c r="J278" i="138"/>
  <c r="I278" i="138"/>
  <c r="H278" i="138"/>
  <c r="G278" i="138"/>
  <c r="F278" i="138"/>
  <c r="E278" i="138"/>
  <c r="D278" i="138"/>
  <c r="C278" i="138"/>
  <c r="N274" i="138"/>
  <c r="M274" i="138"/>
  <c r="L274" i="138"/>
  <c r="K274" i="138"/>
  <c r="J274" i="138"/>
  <c r="I274" i="138"/>
  <c r="H274" i="138"/>
  <c r="G274" i="138"/>
  <c r="F274" i="138"/>
  <c r="E274" i="138"/>
  <c r="D274" i="138"/>
  <c r="C274" i="138"/>
  <c r="A274" i="138"/>
  <c r="N273" i="138"/>
  <c r="M273" i="138"/>
  <c r="L273" i="138"/>
  <c r="K273" i="138"/>
  <c r="J273" i="138"/>
  <c r="I273" i="138"/>
  <c r="H273" i="138"/>
  <c r="G273" i="138"/>
  <c r="F273" i="138"/>
  <c r="E273" i="138"/>
  <c r="D273" i="138"/>
  <c r="C273" i="138"/>
  <c r="B273" i="138"/>
  <c r="N272" i="138"/>
  <c r="M272" i="138"/>
  <c r="L272" i="138"/>
  <c r="K272" i="138"/>
  <c r="J272" i="138"/>
  <c r="I272" i="138"/>
  <c r="H272" i="138"/>
  <c r="G272" i="138"/>
  <c r="F272" i="138"/>
  <c r="E272" i="138"/>
  <c r="D272" i="138"/>
  <c r="C272" i="138"/>
  <c r="B272" i="138"/>
  <c r="N271" i="138"/>
  <c r="M271" i="138"/>
  <c r="L271" i="138"/>
  <c r="K271" i="138"/>
  <c r="J271" i="138"/>
  <c r="I271" i="138"/>
  <c r="H271" i="138"/>
  <c r="G271" i="138"/>
  <c r="F271" i="138"/>
  <c r="E271" i="138"/>
  <c r="D271" i="138"/>
  <c r="C271" i="138"/>
  <c r="B271" i="138"/>
  <c r="N270" i="138"/>
  <c r="M270" i="138"/>
  <c r="L270" i="138"/>
  <c r="K270" i="138"/>
  <c r="J270" i="138"/>
  <c r="I270" i="138"/>
  <c r="H270" i="138"/>
  <c r="G270" i="138"/>
  <c r="F270" i="138"/>
  <c r="E270" i="138"/>
  <c r="D270" i="138"/>
  <c r="C270" i="138"/>
  <c r="B270" i="138"/>
  <c r="N269" i="138"/>
  <c r="M269" i="138"/>
  <c r="L269" i="138"/>
  <c r="K269" i="138"/>
  <c r="J269" i="138"/>
  <c r="I269" i="138"/>
  <c r="H269" i="138"/>
  <c r="G269" i="138"/>
  <c r="F269" i="138"/>
  <c r="E269" i="138"/>
  <c r="D269" i="138"/>
  <c r="C269" i="138"/>
  <c r="B269" i="138"/>
  <c r="N268" i="138"/>
  <c r="M268" i="138"/>
  <c r="L268" i="138"/>
  <c r="K268" i="138"/>
  <c r="J268" i="138"/>
  <c r="I268" i="138"/>
  <c r="H268" i="138"/>
  <c r="G268" i="138"/>
  <c r="F268" i="138"/>
  <c r="E268" i="138"/>
  <c r="D268" i="138"/>
  <c r="C268" i="138"/>
  <c r="B268" i="138"/>
  <c r="N267" i="138"/>
  <c r="M267" i="138"/>
  <c r="L267" i="138"/>
  <c r="K267" i="138"/>
  <c r="J267" i="138"/>
  <c r="I267" i="138"/>
  <c r="H267" i="138"/>
  <c r="G267" i="138"/>
  <c r="F267" i="138"/>
  <c r="E267" i="138"/>
  <c r="D267" i="138"/>
  <c r="C267" i="138"/>
  <c r="B267" i="138"/>
  <c r="N266" i="138"/>
  <c r="M266" i="138"/>
  <c r="L266" i="138"/>
  <c r="K266" i="138"/>
  <c r="J266" i="138"/>
  <c r="I266" i="138"/>
  <c r="H266" i="138"/>
  <c r="G266" i="138"/>
  <c r="F266" i="138"/>
  <c r="E266" i="138"/>
  <c r="D266" i="138"/>
  <c r="C266" i="138"/>
  <c r="B266" i="138"/>
  <c r="N265" i="138"/>
  <c r="M265" i="138"/>
  <c r="L265" i="138"/>
  <c r="K265" i="138"/>
  <c r="J265" i="138"/>
  <c r="I265" i="138"/>
  <c r="H265" i="138"/>
  <c r="G265" i="138"/>
  <c r="F265" i="138"/>
  <c r="E265" i="138"/>
  <c r="D265" i="138"/>
  <c r="C265" i="138"/>
  <c r="B265" i="138"/>
  <c r="N264" i="138"/>
  <c r="M264" i="138"/>
  <c r="L264" i="138"/>
  <c r="K264" i="138"/>
  <c r="J264" i="138"/>
  <c r="I264" i="138"/>
  <c r="H264" i="138"/>
  <c r="G264" i="138"/>
  <c r="F264" i="138"/>
  <c r="E264" i="138"/>
  <c r="D264" i="138"/>
  <c r="C264" i="138"/>
  <c r="B264" i="138"/>
  <c r="N263" i="138"/>
  <c r="M263" i="138"/>
  <c r="L263" i="138"/>
  <c r="K263" i="138"/>
  <c r="J263" i="138"/>
  <c r="I263" i="138"/>
  <c r="H263" i="138"/>
  <c r="G263" i="138"/>
  <c r="F263" i="138"/>
  <c r="E263" i="138"/>
  <c r="D263" i="138"/>
  <c r="C263" i="138"/>
  <c r="B263" i="138"/>
  <c r="N262" i="138"/>
  <c r="M262" i="138"/>
  <c r="L262" i="138"/>
  <c r="K262" i="138"/>
  <c r="J262" i="138"/>
  <c r="I262" i="138"/>
  <c r="H262" i="138"/>
  <c r="G262" i="138"/>
  <c r="F262" i="138"/>
  <c r="E262" i="138"/>
  <c r="D262" i="138"/>
  <c r="C262" i="138"/>
  <c r="B262" i="138"/>
  <c r="N258" i="138"/>
  <c r="M258" i="138"/>
  <c r="L258" i="138"/>
  <c r="K258" i="138"/>
  <c r="J258" i="138"/>
  <c r="I258" i="138"/>
  <c r="H258" i="138"/>
  <c r="G258" i="138"/>
  <c r="F258" i="138"/>
  <c r="E258" i="138"/>
  <c r="D258" i="138"/>
  <c r="C258" i="138"/>
  <c r="A258" i="138"/>
  <c r="N257" i="138"/>
  <c r="M257" i="138"/>
  <c r="L257" i="138"/>
  <c r="K257" i="138"/>
  <c r="J257" i="138"/>
  <c r="I257" i="138"/>
  <c r="H257" i="138"/>
  <c r="G257" i="138"/>
  <c r="F257" i="138"/>
  <c r="E257" i="138"/>
  <c r="D257" i="138"/>
  <c r="C257" i="138"/>
  <c r="B257" i="138"/>
  <c r="N256" i="138"/>
  <c r="M256" i="138"/>
  <c r="L256" i="138"/>
  <c r="K256" i="138"/>
  <c r="J256" i="138"/>
  <c r="I256" i="138"/>
  <c r="H256" i="138"/>
  <c r="G256" i="138"/>
  <c r="F256" i="138"/>
  <c r="E256" i="138"/>
  <c r="D256" i="138"/>
  <c r="C256" i="138"/>
  <c r="B256" i="138"/>
  <c r="N255" i="138"/>
  <c r="M255" i="138"/>
  <c r="L255" i="138"/>
  <c r="K255" i="138"/>
  <c r="J255" i="138"/>
  <c r="I255" i="138"/>
  <c r="H255" i="138"/>
  <c r="G255" i="138"/>
  <c r="F255" i="138"/>
  <c r="E255" i="138"/>
  <c r="D255" i="138"/>
  <c r="C255" i="138"/>
  <c r="B255" i="138"/>
  <c r="N254" i="138"/>
  <c r="M254" i="138"/>
  <c r="L254" i="138"/>
  <c r="K254" i="138"/>
  <c r="J254" i="138"/>
  <c r="I254" i="138"/>
  <c r="H254" i="138"/>
  <c r="G254" i="138"/>
  <c r="F254" i="138"/>
  <c r="E254" i="138"/>
  <c r="D254" i="138"/>
  <c r="C254" i="138"/>
  <c r="B254" i="138"/>
  <c r="N253" i="138"/>
  <c r="M253" i="138"/>
  <c r="L253" i="138"/>
  <c r="K253" i="138"/>
  <c r="J253" i="138"/>
  <c r="I253" i="138"/>
  <c r="H253" i="138"/>
  <c r="G253" i="138"/>
  <c r="F253" i="138"/>
  <c r="E253" i="138"/>
  <c r="D253" i="138"/>
  <c r="C253" i="138"/>
  <c r="B253" i="138"/>
  <c r="N252" i="138"/>
  <c r="M252" i="138"/>
  <c r="L252" i="138"/>
  <c r="K252" i="138"/>
  <c r="J252" i="138"/>
  <c r="I252" i="138"/>
  <c r="H252" i="138"/>
  <c r="G252" i="138"/>
  <c r="F252" i="138"/>
  <c r="E252" i="138"/>
  <c r="D252" i="138"/>
  <c r="C252" i="138"/>
  <c r="B252" i="138"/>
  <c r="N251" i="138"/>
  <c r="M251" i="138"/>
  <c r="L251" i="138"/>
  <c r="K251" i="138"/>
  <c r="J251" i="138"/>
  <c r="I251" i="138"/>
  <c r="H251" i="138"/>
  <c r="G251" i="138"/>
  <c r="F251" i="138"/>
  <c r="E251" i="138"/>
  <c r="D251" i="138"/>
  <c r="C251" i="138"/>
  <c r="B251" i="138"/>
  <c r="N250" i="138"/>
  <c r="M250" i="138"/>
  <c r="L250" i="138"/>
  <c r="K250" i="138"/>
  <c r="J250" i="138"/>
  <c r="I250" i="138"/>
  <c r="H250" i="138"/>
  <c r="G250" i="138"/>
  <c r="F250" i="138"/>
  <c r="E250" i="138"/>
  <c r="D250" i="138"/>
  <c r="C250" i="138"/>
  <c r="B250" i="138"/>
  <c r="N249" i="138"/>
  <c r="M249" i="138"/>
  <c r="L249" i="138"/>
  <c r="K249" i="138"/>
  <c r="J249" i="138"/>
  <c r="I249" i="138"/>
  <c r="H249" i="138"/>
  <c r="G249" i="138"/>
  <c r="F249" i="138"/>
  <c r="E249" i="138"/>
  <c r="D249" i="138"/>
  <c r="C249" i="138"/>
  <c r="B249" i="138"/>
  <c r="N248" i="138"/>
  <c r="M248" i="138"/>
  <c r="L248" i="138"/>
  <c r="K248" i="138"/>
  <c r="J248" i="138"/>
  <c r="I248" i="138"/>
  <c r="H248" i="138"/>
  <c r="G248" i="138"/>
  <c r="F248" i="138"/>
  <c r="E248" i="138"/>
  <c r="D248" i="138"/>
  <c r="C248" i="138"/>
  <c r="B248" i="138"/>
  <c r="N247" i="138"/>
  <c r="M247" i="138"/>
  <c r="L247" i="138"/>
  <c r="K247" i="138"/>
  <c r="J247" i="138"/>
  <c r="I247" i="138"/>
  <c r="H247" i="138"/>
  <c r="G247" i="138"/>
  <c r="F247" i="138"/>
  <c r="E247" i="138"/>
  <c r="D247" i="138"/>
  <c r="C247" i="138"/>
  <c r="B247" i="138"/>
  <c r="N246" i="138"/>
  <c r="M246" i="138"/>
  <c r="L246" i="138"/>
  <c r="K246" i="138"/>
  <c r="J246" i="138"/>
  <c r="I246" i="138"/>
  <c r="H246" i="138"/>
  <c r="G246" i="138"/>
  <c r="F246" i="138"/>
  <c r="E246" i="138"/>
  <c r="D246" i="138"/>
  <c r="C246" i="138"/>
  <c r="B246" i="138"/>
  <c r="N240" i="138"/>
  <c r="M240" i="138"/>
  <c r="L240" i="138"/>
  <c r="K240" i="138"/>
  <c r="J240" i="138"/>
  <c r="I240" i="138"/>
  <c r="H240" i="138"/>
  <c r="G240" i="138"/>
  <c r="F240" i="138"/>
  <c r="E240" i="138"/>
  <c r="D240" i="138"/>
  <c r="C240" i="138"/>
  <c r="A240" i="138"/>
  <c r="N239" i="138"/>
  <c r="M239" i="138"/>
  <c r="L239" i="138"/>
  <c r="K239" i="138"/>
  <c r="J239" i="138"/>
  <c r="I239" i="138"/>
  <c r="H239" i="138"/>
  <c r="G239" i="138"/>
  <c r="F239" i="138"/>
  <c r="E239" i="138"/>
  <c r="D239" i="138"/>
  <c r="C239" i="138"/>
  <c r="B239" i="138"/>
  <c r="N238" i="138"/>
  <c r="M238" i="138"/>
  <c r="L238" i="138"/>
  <c r="K238" i="138"/>
  <c r="J238" i="138"/>
  <c r="I238" i="138"/>
  <c r="H238" i="138"/>
  <c r="G238" i="138"/>
  <c r="F238" i="138"/>
  <c r="E238" i="138"/>
  <c r="D238" i="138"/>
  <c r="C238" i="138"/>
  <c r="B238" i="138"/>
  <c r="N237" i="138"/>
  <c r="M237" i="138"/>
  <c r="L237" i="138"/>
  <c r="K237" i="138"/>
  <c r="J237" i="138"/>
  <c r="I237" i="138"/>
  <c r="H237" i="138"/>
  <c r="G237" i="138"/>
  <c r="F237" i="138"/>
  <c r="E237" i="138"/>
  <c r="D237" i="138"/>
  <c r="C237" i="138"/>
  <c r="B237" i="138"/>
  <c r="N236" i="138"/>
  <c r="M236" i="138"/>
  <c r="L236" i="138"/>
  <c r="K236" i="138"/>
  <c r="J236" i="138"/>
  <c r="I236" i="138"/>
  <c r="H236" i="138"/>
  <c r="G236" i="138"/>
  <c r="F236" i="138"/>
  <c r="E236" i="138"/>
  <c r="D236" i="138"/>
  <c r="C236" i="138"/>
  <c r="B236" i="138"/>
  <c r="N235" i="138"/>
  <c r="M235" i="138"/>
  <c r="L235" i="138"/>
  <c r="K235" i="138"/>
  <c r="J235" i="138"/>
  <c r="I235" i="138"/>
  <c r="H235" i="138"/>
  <c r="G235" i="138"/>
  <c r="F235" i="138"/>
  <c r="E235" i="138"/>
  <c r="D235" i="138"/>
  <c r="C235" i="138"/>
  <c r="B235" i="138"/>
  <c r="N234" i="138"/>
  <c r="M234" i="138"/>
  <c r="L234" i="138"/>
  <c r="K234" i="138"/>
  <c r="J234" i="138"/>
  <c r="I234" i="138"/>
  <c r="H234" i="138"/>
  <c r="G234" i="138"/>
  <c r="F234" i="138"/>
  <c r="E234" i="138"/>
  <c r="D234" i="138"/>
  <c r="C234" i="138"/>
  <c r="B234" i="138"/>
  <c r="N233" i="138"/>
  <c r="M233" i="138"/>
  <c r="L233" i="138"/>
  <c r="K233" i="138"/>
  <c r="J233" i="138"/>
  <c r="I233" i="138"/>
  <c r="H233" i="138"/>
  <c r="G233" i="138"/>
  <c r="F233" i="138"/>
  <c r="E233" i="138"/>
  <c r="D233" i="138"/>
  <c r="C233" i="138"/>
  <c r="B233" i="138"/>
  <c r="N232" i="138"/>
  <c r="M232" i="138"/>
  <c r="L232" i="138"/>
  <c r="K232" i="138"/>
  <c r="J232" i="138"/>
  <c r="I232" i="138"/>
  <c r="H232" i="138"/>
  <c r="G232" i="138"/>
  <c r="F232" i="138"/>
  <c r="E232" i="138"/>
  <c r="D232" i="138"/>
  <c r="C232" i="138"/>
  <c r="B232" i="138"/>
  <c r="N231" i="138"/>
  <c r="M231" i="138"/>
  <c r="L231" i="138"/>
  <c r="K231" i="138"/>
  <c r="J231" i="138"/>
  <c r="I231" i="138"/>
  <c r="H231" i="138"/>
  <c r="G231" i="138"/>
  <c r="F231" i="138"/>
  <c r="E231" i="138"/>
  <c r="D231" i="138"/>
  <c r="C231" i="138"/>
  <c r="B231" i="138"/>
  <c r="N230" i="138"/>
  <c r="M230" i="138"/>
  <c r="L230" i="138"/>
  <c r="K230" i="138"/>
  <c r="J230" i="138"/>
  <c r="I230" i="138"/>
  <c r="H230" i="138"/>
  <c r="G230" i="138"/>
  <c r="F230" i="138"/>
  <c r="E230" i="138"/>
  <c r="D230" i="138"/>
  <c r="C230" i="138"/>
  <c r="B230" i="138"/>
  <c r="N229" i="138"/>
  <c r="M229" i="138"/>
  <c r="L229" i="138"/>
  <c r="K229" i="138"/>
  <c r="J229" i="138"/>
  <c r="I229" i="138"/>
  <c r="H229" i="138"/>
  <c r="G229" i="138"/>
  <c r="F229" i="138"/>
  <c r="E229" i="138"/>
  <c r="D229" i="138"/>
  <c r="C229" i="138"/>
  <c r="B229" i="138"/>
  <c r="N228" i="138"/>
  <c r="M228" i="138"/>
  <c r="L228" i="138"/>
  <c r="K228" i="138"/>
  <c r="J228" i="138"/>
  <c r="I228" i="138"/>
  <c r="H228" i="138"/>
  <c r="G228" i="138"/>
  <c r="F228" i="138"/>
  <c r="E228" i="138"/>
  <c r="D228" i="138"/>
  <c r="C228" i="138"/>
  <c r="B228" i="138"/>
  <c r="N224" i="138"/>
  <c r="M224" i="138"/>
  <c r="L224" i="138"/>
  <c r="K224" i="138"/>
  <c r="J224" i="138"/>
  <c r="I224" i="138"/>
  <c r="H224" i="138"/>
  <c r="G224" i="138"/>
  <c r="F224" i="138"/>
  <c r="E224" i="138"/>
  <c r="D224" i="138"/>
  <c r="C224" i="138"/>
  <c r="A224" i="138"/>
  <c r="N223" i="138"/>
  <c r="M223" i="138"/>
  <c r="L223" i="138"/>
  <c r="K223" i="138"/>
  <c r="J223" i="138"/>
  <c r="I223" i="138"/>
  <c r="H223" i="138"/>
  <c r="G223" i="138"/>
  <c r="F223" i="138"/>
  <c r="E223" i="138"/>
  <c r="D223" i="138"/>
  <c r="C223" i="138"/>
  <c r="B223" i="138"/>
  <c r="N222" i="138"/>
  <c r="M222" i="138"/>
  <c r="L222" i="138"/>
  <c r="K222" i="138"/>
  <c r="J222" i="138"/>
  <c r="I222" i="138"/>
  <c r="H222" i="138"/>
  <c r="G222" i="138"/>
  <c r="F222" i="138"/>
  <c r="E222" i="138"/>
  <c r="D222" i="138"/>
  <c r="C222" i="138"/>
  <c r="B222" i="138"/>
  <c r="N221" i="138"/>
  <c r="M221" i="138"/>
  <c r="L221" i="138"/>
  <c r="K221" i="138"/>
  <c r="J221" i="138"/>
  <c r="I221" i="138"/>
  <c r="H221" i="138"/>
  <c r="G221" i="138"/>
  <c r="F221" i="138"/>
  <c r="E221" i="138"/>
  <c r="D221" i="138"/>
  <c r="C221" i="138"/>
  <c r="B221" i="138"/>
  <c r="N220" i="138"/>
  <c r="M220" i="138"/>
  <c r="L220" i="138"/>
  <c r="K220" i="138"/>
  <c r="J220" i="138"/>
  <c r="I220" i="138"/>
  <c r="H220" i="138"/>
  <c r="G220" i="138"/>
  <c r="F220" i="138"/>
  <c r="E220" i="138"/>
  <c r="D220" i="138"/>
  <c r="C220" i="138"/>
  <c r="B220" i="138"/>
  <c r="N219" i="138"/>
  <c r="M219" i="138"/>
  <c r="L219" i="138"/>
  <c r="K219" i="138"/>
  <c r="J219" i="138"/>
  <c r="I219" i="138"/>
  <c r="H219" i="138"/>
  <c r="G219" i="138"/>
  <c r="F219" i="138"/>
  <c r="E219" i="138"/>
  <c r="D219" i="138"/>
  <c r="C219" i="138"/>
  <c r="B219" i="138"/>
  <c r="N218" i="138"/>
  <c r="M218" i="138"/>
  <c r="L218" i="138"/>
  <c r="K218" i="138"/>
  <c r="J218" i="138"/>
  <c r="I218" i="138"/>
  <c r="H218" i="138"/>
  <c r="G218" i="138"/>
  <c r="F218" i="138"/>
  <c r="E218" i="138"/>
  <c r="D218" i="138"/>
  <c r="C218" i="138"/>
  <c r="B218" i="138"/>
  <c r="N217" i="138"/>
  <c r="M217" i="138"/>
  <c r="L217" i="138"/>
  <c r="K217" i="138"/>
  <c r="J217" i="138"/>
  <c r="I217" i="138"/>
  <c r="H217" i="138"/>
  <c r="G217" i="138"/>
  <c r="F217" i="138"/>
  <c r="E217" i="138"/>
  <c r="D217" i="138"/>
  <c r="C217" i="138"/>
  <c r="B217" i="138"/>
  <c r="N216" i="138"/>
  <c r="M216" i="138"/>
  <c r="L216" i="138"/>
  <c r="K216" i="138"/>
  <c r="J216" i="138"/>
  <c r="I216" i="138"/>
  <c r="H216" i="138"/>
  <c r="G216" i="138"/>
  <c r="F216" i="138"/>
  <c r="E216" i="138"/>
  <c r="D216" i="138"/>
  <c r="C216" i="138"/>
  <c r="B216" i="138"/>
  <c r="N215" i="138"/>
  <c r="M215" i="138"/>
  <c r="L215" i="138"/>
  <c r="K215" i="138"/>
  <c r="J215" i="138"/>
  <c r="I215" i="138"/>
  <c r="H215" i="138"/>
  <c r="G215" i="138"/>
  <c r="F215" i="138"/>
  <c r="E215" i="138"/>
  <c r="D215" i="138"/>
  <c r="C215" i="138"/>
  <c r="B215" i="138"/>
  <c r="N214" i="138"/>
  <c r="M214" i="138"/>
  <c r="L214" i="138"/>
  <c r="K214" i="138"/>
  <c r="J214" i="138"/>
  <c r="I214" i="138"/>
  <c r="H214" i="138"/>
  <c r="G214" i="138"/>
  <c r="F214" i="138"/>
  <c r="E214" i="138"/>
  <c r="D214" i="138"/>
  <c r="C214" i="138"/>
  <c r="B214" i="138"/>
  <c r="N213" i="138"/>
  <c r="M213" i="138"/>
  <c r="L213" i="138"/>
  <c r="K213" i="138"/>
  <c r="J213" i="138"/>
  <c r="I213" i="138"/>
  <c r="H213" i="138"/>
  <c r="G213" i="138"/>
  <c r="F213" i="138"/>
  <c r="E213" i="138"/>
  <c r="D213" i="138"/>
  <c r="C213" i="138"/>
  <c r="B213" i="138"/>
  <c r="N212" i="138"/>
  <c r="M212" i="138"/>
  <c r="L212" i="138"/>
  <c r="K212" i="138"/>
  <c r="J212" i="138"/>
  <c r="I212" i="138"/>
  <c r="H212" i="138"/>
  <c r="G212" i="138"/>
  <c r="F212" i="138"/>
  <c r="E212" i="138"/>
  <c r="D212" i="138"/>
  <c r="C212" i="138"/>
  <c r="B212" i="138"/>
  <c r="N206" i="138"/>
  <c r="M206" i="138"/>
  <c r="L206" i="138"/>
  <c r="K206" i="138"/>
  <c r="J206" i="138"/>
  <c r="I206" i="138"/>
  <c r="H206" i="138"/>
  <c r="G206" i="138"/>
  <c r="F206" i="138"/>
  <c r="E206" i="138"/>
  <c r="D206" i="138"/>
  <c r="C206" i="138"/>
  <c r="A206" i="138"/>
  <c r="N205" i="138"/>
  <c r="M205" i="138"/>
  <c r="L205" i="138"/>
  <c r="K205" i="138"/>
  <c r="J205" i="138"/>
  <c r="I205" i="138"/>
  <c r="H205" i="138"/>
  <c r="G205" i="138"/>
  <c r="F205" i="138"/>
  <c r="E205" i="138"/>
  <c r="D205" i="138"/>
  <c r="C205" i="138"/>
  <c r="B205" i="138"/>
  <c r="N204" i="138"/>
  <c r="M204" i="138"/>
  <c r="L204" i="138"/>
  <c r="K204" i="138"/>
  <c r="J204" i="138"/>
  <c r="I204" i="138"/>
  <c r="H204" i="138"/>
  <c r="G204" i="138"/>
  <c r="F204" i="138"/>
  <c r="E204" i="138"/>
  <c r="D204" i="138"/>
  <c r="C204" i="138"/>
  <c r="B204" i="138"/>
  <c r="N203" i="138"/>
  <c r="M203" i="138"/>
  <c r="L203" i="138"/>
  <c r="K203" i="138"/>
  <c r="J203" i="138"/>
  <c r="I203" i="138"/>
  <c r="H203" i="138"/>
  <c r="G203" i="138"/>
  <c r="F203" i="138"/>
  <c r="E203" i="138"/>
  <c r="D203" i="138"/>
  <c r="C203" i="138"/>
  <c r="B203" i="138"/>
  <c r="N202" i="138"/>
  <c r="M202" i="138"/>
  <c r="L202" i="138"/>
  <c r="K202" i="138"/>
  <c r="J202" i="138"/>
  <c r="I202" i="138"/>
  <c r="H202" i="138"/>
  <c r="G202" i="138"/>
  <c r="F202" i="138"/>
  <c r="E202" i="138"/>
  <c r="D202" i="138"/>
  <c r="C202" i="138"/>
  <c r="B202" i="138"/>
  <c r="N201" i="138"/>
  <c r="M201" i="138"/>
  <c r="L201" i="138"/>
  <c r="K201" i="138"/>
  <c r="J201" i="138"/>
  <c r="I201" i="138"/>
  <c r="H201" i="138"/>
  <c r="G201" i="138"/>
  <c r="F201" i="138"/>
  <c r="E201" i="138"/>
  <c r="D201" i="138"/>
  <c r="C201" i="138"/>
  <c r="B201" i="138"/>
  <c r="N200" i="138"/>
  <c r="M200" i="138"/>
  <c r="L200" i="138"/>
  <c r="K200" i="138"/>
  <c r="J200" i="138"/>
  <c r="I200" i="138"/>
  <c r="H200" i="138"/>
  <c r="G200" i="138"/>
  <c r="F200" i="138"/>
  <c r="E200" i="138"/>
  <c r="D200" i="138"/>
  <c r="C200" i="138"/>
  <c r="B200" i="138"/>
  <c r="N199" i="138"/>
  <c r="M199" i="138"/>
  <c r="L199" i="138"/>
  <c r="K199" i="138"/>
  <c r="J199" i="138"/>
  <c r="I199" i="138"/>
  <c r="H199" i="138"/>
  <c r="G199" i="138"/>
  <c r="F199" i="138"/>
  <c r="E199" i="138"/>
  <c r="D199" i="138"/>
  <c r="C199" i="138"/>
  <c r="B199" i="138"/>
  <c r="N198" i="138"/>
  <c r="M198" i="138"/>
  <c r="L198" i="138"/>
  <c r="K198" i="138"/>
  <c r="J198" i="138"/>
  <c r="I198" i="138"/>
  <c r="H198" i="138"/>
  <c r="G198" i="138"/>
  <c r="F198" i="138"/>
  <c r="E198" i="138"/>
  <c r="D198" i="138"/>
  <c r="C198" i="138"/>
  <c r="B198" i="138"/>
  <c r="N197" i="138"/>
  <c r="M197" i="138"/>
  <c r="L197" i="138"/>
  <c r="K197" i="138"/>
  <c r="J197" i="138"/>
  <c r="I197" i="138"/>
  <c r="H197" i="138"/>
  <c r="G197" i="138"/>
  <c r="F197" i="138"/>
  <c r="E197" i="138"/>
  <c r="D197" i="138"/>
  <c r="C197" i="138"/>
  <c r="B197" i="138"/>
  <c r="N196" i="138"/>
  <c r="M196" i="138"/>
  <c r="L196" i="138"/>
  <c r="K196" i="138"/>
  <c r="J196" i="138"/>
  <c r="I196" i="138"/>
  <c r="H196" i="138"/>
  <c r="G196" i="138"/>
  <c r="F196" i="138"/>
  <c r="E196" i="138"/>
  <c r="D196" i="138"/>
  <c r="C196" i="138"/>
  <c r="B196" i="138"/>
  <c r="N195" i="138"/>
  <c r="M195" i="138"/>
  <c r="L195" i="138"/>
  <c r="K195" i="138"/>
  <c r="J195" i="138"/>
  <c r="I195" i="138"/>
  <c r="H195" i="138"/>
  <c r="G195" i="138"/>
  <c r="F195" i="138"/>
  <c r="E195" i="138"/>
  <c r="D195" i="138"/>
  <c r="C195" i="138"/>
  <c r="B195" i="138"/>
  <c r="N194" i="138"/>
  <c r="M194" i="138"/>
  <c r="L194" i="138"/>
  <c r="K194" i="138"/>
  <c r="J194" i="138"/>
  <c r="I194" i="138"/>
  <c r="H194" i="138"/>
  <c r="G194" i="138"/>
  <c r="F194" i="138"/>
  <c r="E194" i="138"/>
  <c r="D194" i="138"/>
  <c r="C194" i="138"/>
  <c r="B194" i="138"/>
  <c r="N190" i="138"/>
  <c r="M190" i="138"/>
  <c r="L190" i="138"/>
  <c r="K190" i="138"/>
  <c r="J190" i="138"/>
  <c r="I190" i="138"/>
  <c r="H190" i="138"/>
  <c r="G190" i="138"/>
  <c r="F190" i="138"/>
  <c r="E190" i="138"/>
  <c r="D190" i="138"/>
  <c r="C190" i="138"/>
  <c r="A190" i="138"/>
  <c r="N189" i="138"/>
  <c r="M189" i="138"/>
  <c r="L189" i="138"/>
  <c r="K189" i="138"/>
  <c r="J189" i="138"/>
  <c r="I189" i="138"/>
  <c r="H189" i="138"/>
  <c r="G189" i="138"/>
  <c r="F189" i="138"/>
  <c r="E189" i="138"/>
  <c r="D189" i="138"/>
  <c r="C189" i="138"/>
  <c r="B189" i="138"/>
  <c r="N188" i="138"/>
  <c r="M188" i="138"/>
  <c r="L188" i="138"/>
  <c r="K188" i="138"/>
  <c r="J188" i="138"/>
  <c r="I188" i="138"/>
  <c r="H188" i="138"/>
  <c r="G188" i="138"/>
  <c r="F188" i="138"/>
  <c r="E188" i="138"/>
  <c r="D188" i="138"/>
  <c r="C188" i="138"/>
  <c r="B188" i="138"/>
  <c r="N187" i="138"/>
  <c r="M187" i="138"/>
  <c r="L187" i="138"/>
  <c r="K187" i="138"/>
  <c r="J187" i="138"/>
  <c r="I187" i="138"/>
  <c r="H187" i="138"/>
  <c r="G187" i="138"/>
  <c r="F187" i="138"/>
  <c r="E187" i="138"/>
  <c r="D187" i="138"/>
  <c r="C187" i="138"/>
  <c r="B187" i="138"/>
  <c r="N186" i="138"/>
  <c r="M186" i="138"/>
  <c r="L186" i="138"/>
  <c r="K186" i="138"/>
  <c r="J186" i="138"/>
  <c r="I186" i="138"/>
  <c r="H186" i="138"/>
  <c r="G186" i="138"/>
  <c r="F186" i="138"/>
  <c r="E186" i="138"/>
  <c r="D186" i="138"/>
  <c r="C186" i="138"/>
  <c r="B186" i="138"/>
  <c r="N185" i="138"/>
  <c r="M185" i="138"/>
  <c r="L185" i="138"/>
  <c r="K185" i="138"/>
  <c r="J185" i="138"/>
  <c r="I185" i="138"/>
  <c r="H185" i="138"/>
  <c r="G185" i="138"/>
  <c r="F185" i="138"/>
  <c r="E185" i="138"/>
  <c r="D185" i="138"/>
  <c r="C185" i="138"/>
  <c r="B185" i="138"/>
  <c r="N184" i="138"/>
  <c r="M184" i="138"/>
  <c r="L184" i="138"/>
  <c r="K184" i="138"/>
  <c r="J184" i="138"/>
  <c r="I184" i="138"/>
  <c r="H184" i="138"/>
  <c r="G184" i="138"/>
  <c r="F184" i="138"/>
  <c r="E184" i="138"/>
  <c r="D184" i="138"/>
  <c r="C184" i="138"/>
  <c r="B184" i="138"/>
  <c r="N183" i="138"/>
  <c r="M183" i="138"/>
  <c r="L183" i="138"/>
  <c r="K183" i="138"/>
  <c r="J183" i="138"/>
  <c r="I183" i="138"/>
  <c r="H183" i="138"/>
  <c r="G183" i="138"/>
  <c r="F183" i="138"/>
  <c r="E183" i="138"/>
  <c r="D183" i="138"/>
  <c r="C183" i="138"/>
  <c r="B183" i="138"/>
  <c r="N182" i="138"/>
  <c r="M182" i="138"/>
  <c r="L182" i="138"/>
  <c r="K182" i="138"/>
  <c r="J182" i="138"/>
  <c r="I182" i="138"/>
  <c r="H182" i="138"/>
  <c r="G182" i="138"/>
  <c r="F182" i="138"/>
  <c r="E182" i="138"/>
  <c r="D182" i="138"/>
  <c r="C182" i="138"/>
  <c r="B182" i="138"/>
  <c r="N181" i="138"/>
  <c r="M181" i="138"/>
  <c r="L181" i="138"/>
  <c r="K181" i="138"/>
  <c r="J181" i="138"/>
  <c r="I181" i="138"/>
  <c r="H181" i="138"/>
  <c r="G181" i="138"/>
  <c r="F181" i="138"/>
  <c r="E181" i="138"/>
  <c r="D181" i="138"/>
  <c r="C181" i="138"/>
  <c r="B181" i="138"/>
  <c r="N180" i="138"/>
  <c r="M180" i="138"/>
  <c r="L180" i="138"/>
  <c r="K180" i="138"/>
  <c r="J180" i="138"/>
  <c r="I180" i="138"/>
  <c r="H180" i="138"/>
  <c r="G180" i="138"/>
  <c r="F180" i="138"/>
  <c r="E180" i="138"/>
  <c r="D180" i="138"/>
  <c r="C180" i="138"/>
  <c r="B180" i="138"/>
  <c r="N179" i="138"/>
  <c r="M179" i="138"/>
  <c r="L179" i="138"/>
  <c r="K179" i="138"/>
  <c r="J179" i="138"/>
  <c r="I179" i="138"/>
  <c r="H179" i="138"/>
  <c r="G179" i="138"/>
  <c r="F179" i="138"/>
  <c r="E179" i="138"/>
  <c r="D179" i="138"/>
  <c r="C179" i="138"/>
  <c r="B179" i="138"/>
  <c r="N178" i="138"/>
  <c r="M178" i="138"/>
  <c r="L178" i="138"/>
  <c r="K178" i="138"/>
  <c r="J178" i="138"/>
  <c r="I178" i="138"/>
  <c r="H178" i="138"/>
  <c r="G178" i="138"/>
  <c r="F178" i="138"/>
  <c r="E178" i="138"/>
  <c r="D178" i="138"/>
  <c r="C178" i="138"/>
  <c r="B178" i="138"/>
  <c r="N172" i="138"/>
  <c r="M172" i="138"/>
  <c r="L172" i="138"/>
  <c r="K172" i="138"/>
  <c r="J172" i="138"/>
  <c r="I172" i="138"/>
  <c r="H172" i="138"/>
  <c r="G172" i="138"/>
  <c r="F172" i="138"/>
  <c r="E172" i="138"/>
  <c r="D172" i="138"/>
  <c r="C172" i="138"/>
  <c r="A172" i="138"/>
  <c r="N171" i="138"/>
  <c r="M171" i="138"/>
  <c r="L171" i="138"/>
  <c r="K171" i="138"/>
  <c r="J171" i="138"/>
  <c r="I171" i="138"/>
  <c r="H171" i="138"/>
  <c r="G171" i="138"/>
  <c r="F171" i="138"/>
  <c r="E171" i="138"/>
  <c r="D171" i="138"/>
  <c r="C171" i="138"/>
  <c r="B171" i="138"/>
  <c r="N170" i="138"/>
  <c r="M170" i="138"/>
  <c r="L170" i="138"/>
  <c r="K170" i="138"/>
  <c r="J170" i="138"/>
  <c r="I170" i="138"/>
  <c r="H170" i="138"/>
  <c r="G170" i="138"/>
  <c r="F170" i="138"/>
  <c r="E170" i="138"/>
  <c r="D170" i="138"/>
  <c r="C170" i="138"/>
  <c r="B170" i="138"/>
  <c r="N169" i="138"/>
  <c r="M169" i="138"/>
  <c r="L169" i="138"/>
  <c r="K169" i="138"/>
  <c r="J169" i="138"/>
  <c r="I169" i="138"/>
  <c r="H169" i="138"/>
  <c r="G169" i="138"/>
  <c r="F169" i="138"/>
  <c r="E169" i="138"/>
  <c r="D169" i="138"/>
  <c r="C169" i="138"/>
  <c r="B169" i="138"/>
  <c r="N168" i="138"/>
  <c r="M168" i="138"/>
  <c r="L168" i="138"/>
  <c r="K168" i="138"/>
  <c r="J168" i="138"/>
  <c r="I168" i="138"/>
  <c r="H168" i="138"/>
  <c r="G168" i="138"/>
  <c r="F168" i="138"/>
  <c r="E168" i="138"/>
  <c r="D168" i="138"/>
  <c r="C168" i="138"/>
  <c r="B168" i="138"/>
  <c r="N167" i="138"/>
  <c r="M167" i="138"/>
  <c r="L167" i="138"/>
  <c r="K167" i="138"/>
  <c r="J167" i="138"/>
  <c r="I167" i="138"/>
  <c r="H167" i="138"/>
  <c r="G167" i="138"/>
  <c r="F167" i="138"/>
  <c r="E167" i="138"/>
  <c r="D167" i="138"/>
  <c r="C167" i="138"/>
  <c r="B167" i="138"/>
  <c r="N166" i="138"/>
  <c r="M166" i="138"/>
  <c r="L166" i="138"/>
  <c r="K166" i="138"/>
  <c r="J166" i="138"/>
  <c r="I166" i="138"/>
  <c r="H166" i="138"/>
  <c r="G166" i="138"/>
  <c r="F166" i="138"/>
  <c r="E166" i="138"/>
  <c r="D166" i="138"/>
  <c r="C166" i="138"/>
  <c r="B166" i="138"/>
  <c r="N165" i="138"/>
  <c r="M165" i="138"/>
  <c r="L165" i="138"/>
  <c r="K165" i="138"/>
  <c r="J165" i="138"/>
  <c r="I165" i="138"/>
  <c r="H165" i="138"/>
  <c r="G165" i="138"/>
  <c r="F165" i="138"/>
  <c r="E165" i="138"/>
  <c r="D165" i="138"/>
  <c r="C165" i="138"/>
  <c r="B165" i="138"/>
  <c r="N164" i="138"/>
  <c r="M164" i="138"/>
  <c r="L164" i="138"/>
  <c r="K164" i="138"/>
  <c r="J164" i="138"/>
  <c r="I164" i="138"/>
  <c r="H164" i="138"/>
  <c r="G164" i="138"/>
  <c r="F164" i="138"/>
  <c r="E164" i="138"/>
  <c r="D164" i="138"/>
  <c r="C164" i="138"/>
  <c r="B164" i="138"/>
  <c r="N163" i="138"/>
  <c r="M163" i="138"/>
  <c r="L163" i="138"/>
  <c r="K163" i="138"/>
  <c r="J163" i="138"/>
  <c r="I163" i="138"/>
  <c r="H163" i="138"/>
  <c r="G163" i="138"/>
  <c r="F163" i="138"/>
  <c r="E163" i="138"/>
  <c r="D163" i="138"/>
  <c r="C163" i="138"/>
  <c r="B163" i="138"/>
  <c r="N162" i="138"/>
  <c r="M162" i="138"/>
  <c r="L162" i="138"/>
  <c r="K162" i="138"/>
  <c r="J162" i="138"/>
  <c r="I162" i="138"/>
  <c r="H162" i="138"/>
  <c r="G162" i="138"/>
  <c r="F162" i="138"/>
  <c r="E162" i="138"/>
  <c r="D162" i="138"/>
  <c r="C162" i="138"/>
  <c r="B162" i="138"/>
  <c r="N161" i="138"/>
  <c r="M161" i="138"/>
  <c r="L161" i="138"/>
  <c r="K161" i="138"/>
  <c r="J161" i="138"/>
  <c r="I161" i="138"/>
  <c r="H161" i="138"/>
  <c r="G161" i="138"/>
  <c r="F161" i="138"/>
  <c r="E161" i="138"/>
  <c r="D161" i="138"/>
  <c r="C161" i="138"/>
  <c r="B161" i="138"/>
  <c r="N160" i="138"/>
  <c r="M160" i="138"/>
  <c r="L160" i="138"/>
  <c r="K160" i="138"/>
  <c r="J160" i="138"/>
  <c r="I160" i="138"/>
  <c r="H160" i="138"/>
  <c r="G160" i="138"/>
  <c r="F160" i="138"/>
  <c r="E160" i="138"/>
  <c r="D160" i="138"/>
  <c r="C160" i="138"/>
  <c r="B160" i="138"/>
  <c r="N156" i="138"/>
  <c r="M156" i="138"/>
  <c r="L156" i="138"/>
  <c r="K156" i="138"/>
  <c r="J156" i="138"/>
  <c r="I156" i="138"/>
  <c r="H156" i="138"/>
  <c r="G156" i="138"/>
  <c r="F156" i="138"/>
  <c r="E156" i="138"/>
  <c r="D156" i="138"/>
  <c r="C156" i="138"/>
  <c r="A156" i="138"/>
  <c r="N155" i="138"/>
  <c r="M155" i="138"/>
  <c r="L155" i="138"/>
  <c r="K155" i="138"/>
  <c r="J155" i="138"/>
  <c r="I155" i="138"/>
  <c r="H155" i="138"/>
  <c r="G155" i="138"/>
  <c r="F155" i="138"/>
  <c r="E155" i="138"/>
  <c r="D155" i="138"/>
  <c r="C155" i="138"/>
  <c r="B155" i="138"/>
  <c r="N154" i="138"/>
  <c r="M154" i="138"/>
  <c r="L154" i="138"/>
  <c r="K154" i="138"/>
  <c r="J154" i="138"/>
  <c r="I154" i="138"/>
  <c r="H154" i="138"/>
  <c r="G154" i="138"/>
  <c r="F154" i="138"/>
  <c r="E154" i="138"/>
  <c r="D154" i="138"/>
  <c r="C154" i="138"/>
  <c r="B154" i="138"/>
  <c r="N153" i="138"/>
  <c r="M153" i="138"/>
  <c r="L153" i="138"/>
  <c r="K153" i="138"/>
  <c r="J153" i="138"/>
  <c r="I153" i="138"/>
  <c r="H153" i="138"/>
  <c r="G153" i="138"/>
  <c r="F153" i="138"/>
  <c r="E153" i="138"/>
  <c r="D153" i="138"/>
  <c r="C153" i="138"/>
  <c r="B153" i="138"/>
  <c r="N152" i="138"/>
  <c r="M152" i="138"/>
  <c r="L152" i="138"/>
  <c r="K152" i="138"/>
  <c r="J152" i="138"/>
  <c r="I152" i="138"/>
  <c r="H152" i="138"/>
  <c r="G152" i="138"/>
  <c r="F152" i="138"/>
  <c r="E152" i="138"/>
  <c r="D152" i="138"/>
  <c r="C152" i="138"/>
  <c r="B152" i="138"/>
  <c r="N151" i="138"/>
  <c r="M151" i="138"/>
  <c r="L151" i="138"/>
  <c r="K151" i="138"/>
  <c r="J151" i="138"/>
  <c r="I151" i="138"/>
  <c r="H151" i="138"/>
  <c r="G151" i="138"/>
  <c r="F151" i="138"/>
  <c r="E151" i="138"/>
  <c r="D151" i="138"/>
  <c r="C151" i="138"/>
  <c r="B151" i="138"/>
  <c r="N150" i="138"/>
  <c r="M150" i="138"/>
  <c r="L150" i="138"/>
  <c r="K150" i="138"/>
  <c r="J150" i="138"/>
  <c r="I150" i="138"/>
  <c r="H150" i="138"/>
  <c r="G150" i="138"/>
  <c r="F150" i="138"/>
  <c r="E150" i="138"/>
  <c r="D150" i="138"/>
  <c r="C150" i="138"/>
  <c r="B150" i="138"/>
  <c r="N149" i="138"/>
  <c r="M149" i="138"/>
  <c r="L149" i="138"/>
  <c r="K149" i="138"/>
  <c r="J149" i="138"/>
  <c r="I149" i="138"/>
  <c r="H149" i="138"/>
  <c r="G149" i="138"/>
  <c r="F149" i="138"/>
  <c r="E149" i="138"/>
  <c r="D149" i="138"/>
  <c r="C149" i="138"/>
  <c r="B149" i="138"/>
  <c r="N148" i="138"/>
  <c r="M148" i="138"/>
  <c r="L148" i="138"/>
  <c r="K148" i="138"/>
  <c r="J148" i="138"/>
  <c r="I148" i="138"/>
  <c r="H148" i="138"/>
  <c r="G148" i="138"/>
  <c r="F148" i="138"/>
  <c r="E148" i="138"/>
  <c r="D148" i="138"/>
  <c r="C148" i="138"/>
  <c r="B148" i="138"/>
  <c r="N147" i="138"/>
  <c r="M147" i="138"/>
  <c r="L147" i="138"/>
  <c r="K147" i="138"/>
  <c r="J147" i="138"/>
  <c r="I147" i="138"/>
  <c r="H147" i="138"/>
  <c r="G147" i="138"/>
  <c r="F147" i="138"/>
  <c r="E147" i="138"/>
  <c r="D147" i="138"/>
  <c r="C147" i="138"/>
  <c r="B147" i="138"/>
  <c r="N146" i="138"/>
  <c r="M146" i="138"/>
  <c r="L146" i="138"/>
  <c r="K146" i="138"/>
  <c r="J146" i="138"/>
  <c r="I146" i="138"/>
  <c r="H146" i="138"/>
  <c r="G146" i="138"/>
  <c r="F146" i="138"/>
  <c r="E146" i="138"/>
  <c r="D146" i="138"/>
  <c r="C146" i="138"/>
  <c r="B146" i="138"/>
  <c r="N145" i="138"/>
  <c r="M145" i="138"/>
  <c r="L145" i="138"/>
  <c r="K145" i="138"/>
  <c r="J145" i="138"/>
  <c r="I145" i="138"/>
  <c r="H145" i="138"/>
  <c r="G145" i="138"/>
  <c r="F145" i="138"/>
  <c r="E145" i="138"/>
  <c r="D145" i="138"/>
  <c r="C145" i="138"/>
  <c r="B145" i="138"/>
  <c r="N144" i="138"/>
  <c r="M144" i="138"/>
  <c r="L144" i="138"/>
  <c r="K144" i="138"/>
  <c r="J144" i="138"/>
  <c r="I144" i="138"/>
  <c r="H144" i="138"/>
  <c r="G144" i="138"/>
  <c r="F144" i="138"/>
  <c r="E144" i="138"/>
  <c r="D144" i="138"/>
  <c r="C144" i="138"/>
  <c r="B144" i="138"/>
  <c r="N138" i="138"/>
  <c r="M138" i="138"/>
  <c r="L138" i="138"/>
  <c r="K138" i="138"/>
  <c r="J138" i="138"/>
  <c r="I138" i="138"/>
  <c r="H138" i="138"/>
  <c r="G138" i="138"/>
  <c r="F138" i="138"/>
  <c r="E138" i="138"/>
  <c r="D138" i="138"/>
  <c r="C138" i="138"/>
  <c r="A138" i="138"/>
  <c r="N137" i="138"/>
  <c r="M137" i="138"/>
  <c r="L137" i="138"/>
  <c r="K137" i="138"/>
  <c r="J137" i="138"/>
  <c r="I137" i="138"/>
  <c r="H137" i="138"/>
  <c r="G137" i="138"/>
  <c r="F137" i="138"/>
  <c r="E137" i="138"/>
  <c r="D137" i="138"/>
  <c r="C137" i="138"/>
  <c r="B137" i="138"/>
  <c r="N136" i="138"/>
  <c r="M136" i="138"/>
  <c r="L136" i="138"/>
  <c r="K136" i="138"/>
  <c r="J136" i="138"/>
  <c r="I136" i="138"/>
  <c r="H136" i="138"/>
  <c r="G136" i="138"/>
  <c r="F136" i="138"/>
  <c r="E136" i="138"/>
  <c r="D136" i="138"/>
  <c r="C136" i="138"/>
  <c r="B136" i="138"/>
  <c r="N135" i="138"/>
  <c r="M135" i="138"/>
  <c r="L135" i="138"/>
  <c r="K135" i="138"/>
  <c r="J135" i="138"/>
  <c r="I135" i="138"/>
  <c r="H135" i="138"/>
  <c r="G135" i="138"/>
  <c r="F135" i="138"/>
  <c r="E135" i="138"/>
  <c r="D135" i="138"/>
  <c r="C135" i="138"/>
  <c r="B135" i="138"/>
  <c r="N134" i="138"/>
  <c r="M134" i="138"/>
  <c r="L134" i="138"/>
  <c r="K134" i="138"/>
  <c r="J134" i="138"/>
  <c r="I134" i="138"/>
  <c r="H134" i="138"/>
  <c r="G134" i="138"/>
  <c r="F134" i="138"/>
  <c r="E134" i="138"/>
  <c r="D134" i="138"/>
  <c r="C134" i="138"/>
  <c r="B134" i="138"/>
  <c r="N133" i="138"/>
  <c r="M133" i="138"/>
  <c r="L133" i="138"/>
  <c r="K133" i="138"/>
  <c r="J133" i="138"/>
  <c r="I133" i="138"/>
  <c r="H133" i="138"/>
  <c r="G133" i="138"/>
  <c r="F133" i="138"/>
  <c r="E133" i="138"/>
  <c r="D133" i="138"/>
  <c r="C133" i="138"/>
  <c r="B133" i="138"/>
  <c r="N132" i="138"/>
  <c r="M132" i="138"/>
  <c r="L132" i="138"/>
  <c r="K132" i="138"/>
  <c r="J132" i="138"/>
  <c r="I132" i="138"/>
  <c r="H132" i="138"/>
  <c r="G132" i="138"/>
  <c r="F132" i="138"/>
  <c r="E132" i="138"/>
  <c r="D132" i="138"/>
  <c r="C132" i="138"/>
  <c r="B132" i="138"/>
  <c r="N131" i="138"/>
  <c r="M131" i="138"/>
  <c r="L131" i="138"/>
  <c r="K131" i="138"/>
  <c r="J131" i="138"/>
  <c r="I131" i="138"/>
  <c r="H131" i="138"/>
  <c r="G131" i="138"/>
  <c r="F131" i="138"/>
  <c r="E131" i="138"/>
  <c r="D131" i="138"/>
  <c r="C131" i="138"/>
  <c r="B131" i="138"/>
  <c r="N130" i="138"/>
  <c r="M130" i="138"/>
  <c r="L130" i="138"/>
  <c r="K130" i="138"/>
  <c r="J130" i="138"/>
  <c r="I130" i="138"/>
  <c r="H130" i="138"/>
  <c r="G130" i="138"/>
  <c r="F130" i="138"/>
  <c r="E130" i="138"/>
  <c r="D130" i="138"/>
  <c r="C130" i="138"/>
  <c r="B130" i="138"/>
  <c r="N129" i="138"/>
  <c r="M129" i="138"/>
  <c r="L129" i="138"/>
  <c r="K129" i="138"/>
  <c r="J129" i="138"/>
  <c r="I129" i="138"/>
  <c r="H129" i="138"/>
  <c r="G129" i="138"/>
  <c r="F129" i="138"/>
  <c r="E129" i="138"/>
  <c r="D129" i="138"/>
  <c r="C129" i="138"/>
  <c r="B129" i="138"/>
  <c r="N128" i="138"/>
  <c r="M128" i="138"/>
  <c r="L128" i="138"/>
  <c r="K128" i="138"/>
  <c r="J128" i="138"/>
  <c r="I128" i="138"/>
  <c r="H128" i="138"/>
  <c r="G128" i="138"/>
  <c r="F128" i="138"/>
  <c r="E128" i="138"/>
  <c r="D128" i="138"/>
  <c r="C128" i="138"/>
  <c r="B128" i="138"/>
  <c r="N127" i="138"/>
  <c r="M127" i="138"/>
  <c r="L127" i="138"/>
  <c r="K127" i="138"/>
  <c r="J127" i="138"/>
  <c r="I127" i="138"/>
  <c r="H127" i="138"/>
  <c r="G127" i="138"/>
  <c r="F127" i="138"/>
  <c r="E127" i="138"/>
  <c r="D127" i="138"/>
  <c r="C127" i="138"/>
  <c r="B127" i="138"/>
  <c r="N126" i="138"/>
  <c r="M126" i="138"/>
  <c r="L126" i="138"/>
  <c r="K126" i="138"/>
  <c r="J126" i="138"/>
  <c r="I126" i="138"/>
  <c r="H126" i="138"/>
  <c r="G126" i="138"/>
  <c r="F126" i="138"/>
  <c r="E126" i="138"/>
  <c r="D126" i="138"/>
  <c r="C126" i="138"/>
  <c r="B126" i="138"/>
  <c r="N122" i="138"/>
  <c r="M122" i="138"/>
  <c r="L122" i="138"/>
  <c r="K122" i="138"/>
  <c r="J122" i="138"/>
  <c r="I122" i="138"/>
  <c r="H122" i="138"/>
  <c r="G122" i="138"/>
  <c r="F122" i="138"/>
  <c r="E122" i="138"/>
  <c r="D122" i="138"/>
  <c r="C122" i="138"/>
  <c r="A122" i="138"/>
  <c r="N121" i="138"/>
  <c r="M121" i="138"/>
  <c r="L121" i="138"/>
  <c r="K121" i="138"/>
  <c r="J121" i="138"/>
  <c r="I121" i="138"/>
  <c r="H121" i="138"/>
  <c r="G121" i="138"/>
  <c r="F121" i="138"/>
  <c r="E121" i="138"/>
  <c r="D121" i="138"/>
  <c r="C121" i="138"/>
  <c r="B121" i="138"/>
  <c r="N120" i="138"/>
  <c r="M120" i="138"/>
  <c r="L120" i="138"/>
  <c r="K120" i="138"/>
  <c r="J120" i="138"/>
  <c r="I120" i="138"/>
  <c r="H120" i="138"/>
  <c r="G120" i="138"/>
  <c r="F120" i="138"/>
  <c r="E120" i="138"/>
  <c r="D120" i="138"/>
  <c r="C120" i="138"/>
  <c r="B120" i="138"/>
  <c r="N119" i="138"/>
  <c r="M119" i="138"/>
  <c r="L119" i="138"/>
  <c r="K119" i="138"/>
  <c r="J119" i="138"/>
  <c r="I119" i="138"/>
  <c r="H119" i="138"/>
  <c r="G119" i="138"/>
  <c r="F119" i="138"/>
  <c r="E119" i="138"/>
  <c r="D119" i="138"/>
  <c r="C119" i="138"/>
  <c r="B119" i="138"/>
  <c r="N118" i="138"/>
  <c r="M118" i="138"/>
  <c r="L118" i="138"/>
  <c r="K118" i="138"/>
  <c r="J118" i="138"/>
  <c r="I118" i="138"/>
  <c r="H118" i="138"/>
  <c r="G118" i="138"/>
  <c r="F118" i="138"/>
  <c r="E118" i="138"/>
  <c r="D118" i="138"/>
  <c r="C118" i="138"/>
  <c r="B118" i="138"/>
  <c r="N117" i="138"/>
  <c r="M117" i="138"/>
  <c r="L117" i="138"/>
  <c r="K117" i="138"/>
  <c r="J117" i="138"/>
  <c r="I117" i="138"/>
  <c r="H117" i="138"/>
  <c r="G117" i="138"/>
  <c r="F117" i="138"/>
  <c r="E117" i="138"/>
  <c r="D117" i="138"/>
  <c r="C117" i="138"/>
  <c r="B117" i="138"/>
  <c r="N116" i="138"/>
  <c r="M116" i="138"/>
  <c r="L116" i="138"/>
  <c r="K116" i="138"/>
  <c r="J116" i="138"/>
  <c r="I116" i="138"/>
  <c r="H116" i="138"/>
  <c r="G116" i="138"/>
  <c r="F116" i="138"/>
  <c r="E116" i="138"/>
  <c r="D116" i="138"/>
  <c r="C116" i="138"/>
  <c r="B116" i="138"/>
  <c r="N115" i="138"/>
  <c r="M115" i="138"/>
  <c r="L115" i="138"/>
  <c r="K115" i="138"/>
  <c r="J115" i="138"/>
  <c r="I115" i="138"/>
  <c r="H115" i="138"/>
  <c r="G115" i="138"/>
  <c r="F115" i="138"/>
  <c r="E115" i="138"/>
  <c r="D115" i="138"/>
  <c r="C115" i="138"/>
  <c r="B115" i="138"/>
  <c r="N114" i="138"/>
  <c r="M114" i="138"/>
  <c r="L114" i="138"/>
  <c r="K114" i="138"/>
  <c r="J114" i="138"/>
  <c r="I114" i="138"/>
  <c r="H114" i="138"/>
  <c r="G114" i="138"/>
  <c r="F114" i="138"/>
  <c r="E114" i="138"/>
  <c r="D114" i="138"/>
  <c r="C114" i="138"/>
  <c r="B114" i="138"/>
  <c r="N113" i="138"/>
  <c r="M113" i="138"/>
  <c r="L113" i="138"/>
  <c r="K113" i="138"/>
  <c r="J113" i="138"/>
  <c r="I113" i="138"/>
  <c r="H113" i="138"/>
  <c r="G113" i="138"/>
  <c r="F113" i="138"/>
  <c r="E113" i="138"/>
  <c r="D113" i="138"/>
  <c r="C113" i="138"/>
  <c r="B113" i="138"/>
  <c r="N112" i="138"/>
  <c r="M112" i="138"/>
  <c r="L112" i="138"/>
  <c r="K112" i="138"/>
  <c r="J112" i="138"/>
  <c r="I112" i="138"/>
  <c r="H112" i="138"/>
  <c r="G112" i="138"/>
  <c r="F112" i="138"/>
  <c r="E112" i="138"/>
  <c r="D112" i="138"/>
  <c r="C112" i="138"/>
  <c r="B112" i="138"/>
  <c r="N111" i="138"/>
  <c r="M111" i="138"/>
  <c r="L111" i="138"/>
  <c r="K111" i="138"/>
  <c r="J111" i="138"/>
  <c r="I111" i="138"/>
  <c r="H111" i="138"/>
  <c r="G111" i="138"/>
  <c r="F111" i="138"/>
  <c r="E111" i="138"/>
  <c r="D111" i="138"/>
  <c r="C111" i="138"/>
  <c r="B111" i="138"/>
  <c r="N110" i="138"/>
  <c r="M110" i="138"/>
  <c r="L110" i="138"/>
  <c r="K110" i="138"/>
  <c r="J110" i="138"/>
  <c r="I110" i="138"/>
  <c r="H110" i="138"/>
  <c r="G110" i="138"/>
  <c r="F110" i="138"/>
  <c r="E110" i="138"/>
  <c r="D110" i="138"/>
  <c r="C110" i="138"/>
  <c r="B110" i="138"/>
  <c r="N104" i="138"/>
  <c r="M104" i="138"/>
  <c r="L104" i="138"/>
  <c r="K104" i="138"/>
  <c r="J104" i="138"/>
  <c r="I104" i="138"/>
  <c r="H104" i="138"/>
  <c r="G104" i="138"/>
  <c r="F104" i="138"/>
  <c r="E104" i="138"/>
  <c r="D104" i="138"/>
  <c r="C104" i="138"/>
  <c r="A104" i="138"/>
  <c r="N103" i="138"/>
  <c r="M103" i="138"/>
  <c r="L103" i="138"/>
  <c r="K103" i="138"/>
  <c r="J103" i="138"/>
  <c r="I103" i="138"/>
  <c r="H103" i="138"/>
  <c r="G103" i="138"/>
  <c r="F103" i="138"/>
  <c r="E103" i="138"/>
  <c r="D103" i="138"/>
  <c r="C103" i="138"/>
  <c r="B103" i="138"/>
  <c r="N102" i="138"/>
  <c r="M102" i="138"/>
  <c r="L102" i="138"/>
  <c r="K102" i="138"/>
  <c r="J102" i="138"/>
  <c r="I102" i="138"/>
  <c r="H102" i="138"/>
  <c r="G102" i="138"/>
  <c r="F102" i="138"/>
  <c r="E102" i="138"/>
  <c r="D102" i="138"/>
  <c r="C102" i="138"/>
  <c r="B102" i="138"/>
  <c r="N101" i="138"/>
  <c r="M101" i="138"/>
  <c r="L101" i="138"/>
  <c r="K101" i="138"/>
  <c r="J101" i="138"/>
  <c r="I101" i="138"/>
  <c r="H101" i="138"/>
  <c r="G101" i="138"/>
  <c r="F101" i="138"/>
  <c r="E101" i="138"/>
  <c r="D101" i="138"/>
  <c r="C101" i="138"/>
  <c r="B101" i="138"/>
  <c r="N100" i="138"/>
  <c r="M100" i="138"/>
  <c r="L100" i="138"/>
  <c r="K100" i="138"/>
  <c r="J100" i="138"/>
  <c r="I100" i="138"/>
  <c r="H100" i="138"/>
  <c r="G100" i="138"/>
  <c r="F100" i="138"/>
  <c r="E100" i="138"/>
  <c r="D100" i="138"/>
  <c r="C100" i="138"/>
  <c r="B100" i="138"/>
  <c r="N99" i="138"/>
  <c r="M99" i="138"/>
  <c r="L99" i="138"/>
  <c r="K99" i="138"/>
  <c r="J99" i="138"/>
  <c r="I99" i="138"/>
  <c r="H99" i="138"/>
  <c r="G99" i="138"/>
  <c r="F99" i="138"/>
  <c r="E99" i="138"/>
  <c r="D99" i="138"/>
  <c r="C99" i="138"/>
  <c r="B99" i="138"/>
  <c r="N98" i="138"/>
  <c r="M98" i="138"/>
  <c r="L98" i="138"/>
  <c r="K98" i="138"/>
  <c r="J98" i="138"/>
  <c r="I98" i="138"/>
  <c r="H98" i="138"/>
  <c r="G98" i="138"/>
  <c r="F98" i="138"/>
  <c r="E98" i="138"/>
  <c r="D98" i="138"/>
  <c r="C98" i="138"/>
  <c r="B98" i="138"/>
  <c r="N97" i="138"/>
  <c r="M97" i="138"/>
  <c r="L97" i="138"/>
  <c r="K97" i="138"/>
  <c r="J97" i="138"/>
  <c r="I97" i="138"/>
  <c r="H97" i="138"/>
  <c r="G97" i="138"/>
  <c r="F97" i="138"/>
  <c r="E97" i="138"/>
  <c r="D97" i="138"/>
  <c r="C97" i="138"/>
  <c r="B97" i="138"/>
  <c r="N96" i="138"/>
  <c r="M96" i="138"/>
  <c r="L96" i="138"/>
  <c r="K96" i="138"/>
  <c r="J96" i="138"/>
  <c r="I96" i="138"/>
  <c r="H96" i="138"/>
  <c r="G96" i="138"/>
  <c r="F96" i="138"/>
  <c r="E96" i="138"/>
  <c r="D96" i="138"/>
  <c r="C96" i="138"/>
  <c r="B96" i="138"/>
  <c r="N95" i="138"/>
  <c r="M95" i="138"/>
  <c r="L95" i="138"/>
  <c r="K95" i="138"/>
  <c r="J95" i="138"/>
  <c r="I95" i="138"/>
  <c r="H95" i="138"/>
  <c r="G95" i="138"/>
  <c r="F95" i="138"/>
  <c r="E95" i="138"/>
  <c r="D95" i="138"/>
  <c r="C95" i="138"/>
  <c r="B95" i="138"/>
  <c r="N94" i="138"/>
  <c r="M94" i="138"/>
  <c r="L94" i="138"/>
  <c r="K94" i="138"/>
  <c r="J94" i="138"/>
  <c r="I94" i="138"/>
  <c r="H94" i="138"/>
  <c r="G94" i="138"/>
  <c r="F94" i="138"/>
  <c r="E94" i="138"/>
  <c r="D94" i="138"/>
  <c r="C94" i="138"/>
  <c r="B94" i="138"/>
  <c r="N93" i="138"/>
  <c r="M93" i="138"/>
  <c r="L93" i="138"/>
  <c r="K93" i="138"/>
  <c r="J93" i="138"/>
  <c r="I93" i="138"/>
  <c r="H93" i="138"/>
  <c r="G93" i="138"/>
  <c r="F93" i="138"/>
  <c r="E93" i="138"/>
  <c r="D93" i="138"/>
  <c r="C93" i="138"/>
  <c r="B93" i="138"/>
  <c r="N92" i="138"/>
  <c r="M92" i="138"/>
  <c r="L92" i="138"/>
  <c r="K92" i="138"/>
  <c r="J92" i="138"/>
  <c r="I92" i="138"/>
  <c r="H92" i="138"/>
  <c r="G92" i="138"/>
  <c r="F92" i="138"/>
  <c r="E92" i="138"/>
  <c r="D92" i="138"/>
  <c r="C92" i="138"/>
  <c r="B92" i="138"/>
  <c r="N88" i="138"/>
  <c r="M88" i="138"/>
  <c r="L88" i="138"/>
  <c r="K88" i="138"/>
  <c r="J88" i="138"/>
  <c r="I88" i="138"/>
  <c r="H88" i="138"/>
  <c r="G88" i="138"/>
  <c r="F88" i="138"/>
  <c r="E88" i="138"/>
  <c r="D88" i="138"/>
  <c r="C88" i="138"/>
  <c r="A88" i="138"/>
  <c r="N87" i="138"/>
  <c r="M87" i="138"/>
  <c r="L87" i="138"/>
  <c r="K87" i="138"/>
  <c r="J87" i="138"/>
  <c r="I87" i="138"/>
  <c r="H87" i="138"/>
  <c r="G87" i="138"/>
  <c r="F87" i="138"/>
  <c r="E87" i="138"/>
  <c r="D87" i="138"/>
  <c r="C87" i="138"/>
  <c r="B87" i="138"/>
  <c r="N86" i="138"/>
  <c r="M86" i="138"/>
  <c r="L86" i="138"/>
  <c r="K86" i="138"/>
  <c r="J86" i="138"/>
  <c r="I86" i="138"/>
  <c r="H86" i="138"/>
  <c r="G86" i="138"/>
  <c r="F86" i="138"/>
  <c r="E86" i="138"/>
  <c r="D86" i="138"/>
  <c r="C86" i="138"/>
  <c r="B86" i="138"/>
  <c r="N85" i="138"/>
  <c r="M85" i="138"/>
  <c r="L85" i="138"/>
  <c r="K85" i="138"/>
  <c r="J85" i="138"/>
  <c r="I85" i="138"/>
  <c r="H85" i="138"/>
  <c r="G85" i="138"/>
  <c r="F85" i="138"/>
  <c r="E85" i="138"/>
  <c r="D85" i="138"/>
  <c r="C85" i="138"/>
  <c r="B85" i="138"/>
  <c r="N84" i="138"/>
  <c r="M84" i="138"/>
  <c r="L84" i="138"/>
  <c r="K84" i="138"/>
  <c r="J84" i="138"/>
  <c r="I84" i="138"/>
  <c r="H84" i="138"/>
  <c r="G84" i="138"/>
  <c r="F84" i="138"/>
  <c r="E84" i="138"/>
  <c r="D84" i="138"/>
  <c r="C84" i="138"/>
  <c r="B84" i="138"/>
  <c r="N83" i="138"/>
  <c r="M83" i="138"/>
  <c r="L83" i="138"/>
  <c r="K83" i="138"/>
  <c r="J83" i="138"/>
  <c r="I83" i="138"/>
  <c r="H83" i="138"/>
  <c r="G83" i="138"/>
  <c r="F83" i="138"/>
  <c r="E83" i="138"/>
  <c r="D83" i="138"/>
  <c r="C83" i="138"/>
  <c r="B83" i="138"/>
  <c r="N82" i="138"/>
  <c r="M82" i="138"/>
  <c r="L82" i="138"/>
  <c r="K82" i="138"/>
  <c r="J82" i="138"/>
  <c r="I82" i="138"/>
  <c r="H82" i="138"/>
  <c r="G82" i="138"/>
  <c r="F82" i="138"/>
  <c r="E82" i="138"/>
  <c r="D82" i="138"/>
  <c r="C82" i="138"/>
  <c r="B82" i="138"/>
  <c r="N81" i="138"/>
  <c r="M81" i="138"/>
  <c r="L81" i="138"/>
  <c r="K81" i="138"/>
  <c r="J81" i="138"/>
  <c r="I81" i="138"/>
  <c r="H81" i="138"/>
  <c r="G81" i="138"/>
  <c r="F81" i="138"/>
  <c r="E81" i="138"/>
  <c r="D81" i="138"/>
  <c r="C81" i="138"/>
  <c r="B81" i="138"/>
  <c r="N80" i="138"/>
  <c r="M80" i="138"/>
  <c r="L80" i="138"/>
  <c r="K80" i="138"/>
  <c r="J80" i="138"/>
  <c r="I80" i="138"/>
  <c r="H80" i="138"/>
  <c r="G80" i="138"/>
  <c r="F80" i="138"/>
  <c r="E80" i="138"/>
  <c r="D80" i="138"/>
  <c r="C80" i="138"/>
  <c r="B80" i="138"/>
  <c r="N79" i="138"/>
  <c r="M79" i="138"/>
  <c r="L79" i="138"/>
  <c r="K79" i="138"/>
  <c r="J79" i="138"/>
  <c r="I79" i="138"/>
  <c r="H79" i="138"/>
  <c r="G79" i="138"/>
  <c r="F79" i="138"/>
  <c r="E79" i="138"/>
  <c r="D79" i="138"/>
  <c r="C79" i="138"/>
  <c r="B79" i="138"/>
  <c r="N78" i="138"/>
  <c r="M78" i="138"/>
  <c r="L78" i="138"/>
  <c r="K78" i="138"/>
  <c r="J78" i="138"/>
  <c r="I78" i="138"/>
  <c r="H78" i="138"/>
  <c r="G78" i="138"/>
  <c r="F78" i="138"/>
  <c r="E78" i="138"/>
  <c r="D78" i="138"/>
  <c r="C78" i="138"/>
  <c r="B78" i="138"/>
  <c r="N77" i="138"/>
  <c r="M77" i="138"/>
  <c r="L77" i="138"/>
  <c r="K77" i="138"/>
  <c r="J77" i="138"/>
  <c r="I77" i="138"/>
  <c r="H77" i="138"/>
  <c r="G77" i="138"/>
  <c r="F77" i="138"/>
  <c r="E77" i="138"/>
  <c r="D77" i="138"/>
  <c r="C77" i="138"/>
  <c r="B77" i="138"/>
  <c r="N76" i="138"/>
  <c r="M76" i="138"/>
  <c r="L76" i="138"/>
  <c r="K76" i="138"/>
  <c r="J76" i="138"/>
  <c r="I76" i="138"/>
  <c r="H76" i="138"/>
  <c r="G76" i="138"/>
  <c r="F76" i="138"/>
  <c r="E76" i="138"/>
  <c r="D76" i="138"/>
  <c r="C76" i="138"/>
  <c r="B76" i="138"/>
  <c r="N70" i="138"/>
  <c r="M70" i="138"/>
  <c r="L70" i="138"/>
  <c r="K70" i="138"/>
  <c r="J70" i="138"/>
  <c r="I70" i="138"/>
  <c r="H70" i="138"/>
  <c r="G70" i="138"/>
  <c r="F70" i="138"/>
  <c r="E70" i="138"/>
  <c r="D70" i="138"/>
  <c r="C70" i="138"/>
  <c r="A70" i="138"/>
  <c r="N69" i="138"/>
  <c r="M69" i="138"/>
  <c r="L69" i="138"/>
  <c r="K69" i="138"/>
  <c r="J69" i="138"/>
  <c r="I69" i="138"/>
  <c r="H69" i="138"/>
  <c r="G69" i="138"/>
  <c r="F69" i="138"/>
  <c r="E69" i="138"/>
  <c r="D69" i="138"/>
  <c r="C69" i="138"/>
  <c r="B69" i="138"/>
  <c r="N68" i="138"/>
  <c r="M68" i="138"/>
  <c r="L68" i="138"/>
  <c r="K68" i="138"/>
  <c r="J68" i="138"/>
  <c r="I68" i="138"/>
  <c r="H68" i="138"/>
  <c r="G68" i="138"/>
  <c r="F68" i="138"/>
  <c r="E68" i="138"/>
  <c r="D68" i="138"/>
  <c r="C68" i="138"/>
  <c r="B68" i="138"/>
  <c r="N67" i="138"/>
  <c r="M67" i="138"/>
  <c r="L67" i="138"/>
  <c r="K67" i="138"/>
  <c r="J67" i="138"/>
  <c r="I67" i="138"/>
  <c r="H67" i="138"/>
  <c r="G67" i="138"/>
  <c r="F67" i="138"/>
  <c r="E67" i="138"/>
  <c r="D67" i="138"/>
  <c r="C67" i="138"/>
  <c r="B67" i="138"/>
  <c r="N66" i="138"/>
  <c r="M66" i="138"/>
  <c r="L66" i="138"/>
  <c r="K66" i="138"/>
  <c r="J66" i="138"/>
  <c r="I66" i="138"/>
  <c r="H66" i="138"/>
  <c r="G66" i="138"/>
  <c r="F66" i="138"/>
  <c r="E66" i="138"/>
  <c r="D66" i="138"/>
  <c r="C66" i="138"/>
  <c r="B66" i="138"/>
  <c r="N65" i="138"/>
  <c r="M65" i="138"/>
  <c r="L65" i="138"/>
  <c r="K65" i="138"/>
  <c r="J65" i="138"/>
  <c r="I65" i="138"/>
  <c r="H65" i="138"/>
  <c r="G65" i="138"/>
  <c r="F65" i="138"/>
  <c r="E65" i="138"/>
  <c r="D65" i="138"/>
  <c r="C65" i="138"/>
  <c r="B65" i="138"/>
  <c r="N64" i="138"/>
  <c r="M64" i="138"/>
  <c r="L64" i="138"/>
  <c r="K64" i="138"/>
  <c r="J64" i="138"/>
  <c r="I64" i="138"/>
  <c r="H64" i="138"/>
  <c r="G64" i="138"/>
  <c r="F64" i="138"/>
  <c r="E64" i="138"/>
  <c r="D64" i="138"/>
  <c r="C64" i="138"/>
  <c r="B64" i="138"/>
  <c r="N63" i="138"/>
  <c r="M63" i="138"/>
  <c r="L63" i="138"/>
  <c r="K63" i="138"/>
  <c r="J63" i="138"/>
  <c r="I63" i="138"/>
  <c r="H63" i="138"/>
  <c r="G63" i="138"/>
  <c r="F63" i="138"/>
  <c r="E63" i="138"/>
  <c r="D63" i="138"/>
  <c r="C63" i="138"/>
  <c r="B63" i="138"/>
  <c r="N62" i="138"/>
  <c r="M62" i="138"/>
  <c r="L62" i="138"/>
  <c r="K62" i="138"/>
  <c r="J62" i="138"/>
  <c r="I62" i="138"/>
  <c r="H62" i="138"/>
  <c r="G62" i="138"/>
  <c r="F62" i="138"/>
  <c r="E62" i="138"/>
  <c r="D62" i="138"/>
  <c r="C62" i="138"/>
  <c r="B62" i="138"/>
  <c r="N61" i="138"/>
  <c r="M61" i="138"/>
  <c r="L61" i="138"/>
  <c r="K61" i="138"/>
  <c r="J61" i="138"/>
  <c r="I61" i="138"/>
  <c r="H61" i="138"/>
  <c r="G61" i="138"/>
  <c r="F61" i="138"/>
  <c r="E61" i="138"/>
  <c r="D61" i="138"/>
  <c r="C61" i="138"/>
  <c r="B61" i="138"/>
  <c r="N60" i="138"/>
  <c r="M60" i="138"/>
  <c r="L60" i="138"/>
  <c r="K60" i="138"/>
  <c r="J60" i="138"/>
  <c r="I60" i="138"/>
  <c r="H60" i="138"/>
  <c r="G60" i="138"/>
  <c r="F60" i="138"/>
  <c r="E60" i="138"/>
  <c r="D60" i="138"/>
  <c r="C60" i="138"/>
  <c r="B60" i="138"/>
  <c r="N59" i="138"/>
  <c r="M59" i="138"/>
  <c r="L59" i="138"/>
  <c r="K59" i="138"/>
  <c r="J59" i="138"/>
  <c r="I59" i="138"/>
  <c r="H59" i="138"/>
  <c r="G59" i="138"/>
  <c r="F59" i="138"/>
  <c r="E59" i="138"/>
  <c r="D59" i="138"/>
  <c r="C59" i="138"/>
  <c r="B59" i="138"/>
  <c r="N58" i="138"/>
  <c r="M58" i="138"/>
  <c r="L58" i="138"/>
  <c r="K58" i="138"/>
  <c r="J58" i="138"/>
  <c r="I58" i="138"/>
  <c r="H58" i="138"/>
  <c r="G58" i="138"/>
  <c r="F58" i="138"/>
  <c r="E58" i="138"/>
  <c r="D58" i="138"/>
  <c r="C58" i="138"/>
  <c r="B58" i="138"/>
  <c r="N54" i="138"/>
  <c r="M54" i="138"/>
  <c r="L54" i="138"/>
  <c r="K54" i="138"/>
  <c r="J54" i="138"/>
  <c r="I54" i="138"/>
  <c r="H54" i="138"/>
  <c r="G54" i="138"/>
  <c r="F54" i="138"/>
  <c r="E54" i="138"/>
  <c r="D54" i="138"/>
  <c r="C54" i="138"/>
  <c r="A54" i="138"/>
  <c r="N53" i="138"/>
  <c r="M53" i="138"/>
  <c r="L53" i="138"/>
  <c r="K53" i="138"/>
  <c r="J53" i="138"/>
  <c r="I53" i="138"/>
  <c r="H53" i="138"/>
  <c r="G53" i="138"/>
  <c r="F53" i="138"/>
  <c r="E53" i="138"/>
  <c r="D53" i="138"/>
  <c r="C53" i="138"/>
  <c r="B53" i="138"/>
  <c r="N52" i="138"/>
  <c r="M52" i="138"/>
  <c r="L52" i="138"/>
  <c r="K52" i="138"/>
  <c r="J52" i="138"/>
  <c r="I52" i="138"/>
  <c r="H52" i="138"/>
  <c r="G52" i="138"/>
  <c r="F52" i="138"/>
  <c r="E52" i="138"/>
  <c r="D52" i="138"/>
  <c r="C52" i="138"/>
  <c r="B52" i="138"/>
  <c r="N51" i="138"/>
  <c r="M51" i="138"/>
  <c r="L51" i="138"/>
  <c r="K51" i="138"/>
  <c r="J51" i="138"/>
  <c r="I51" i="138"/>
  <c r="H51" i="138"/>
  <c r="G51" i="138"/>
  <c r="F51" i="138"/>
  <c r="E51" i="138"/>
  <c r="D51" i="138"/>
  <c r="C51" i="138"/>
  <c r="B51" i="138"/>
  <c r="N50" i="138"/>
  <c r="M50" i="138"/>
  <c r="L50" i="138"/>
  <c r="K50" i="138"/>
  <c r="J50" i="138"/>
  <c r="I50" i="138"/>
  <c r="H50" i="138"/>
  <c r="G50" i="138"/>
  <c r="F50" i="138"/>
  <c r="E50" i="138"/>
  <c r="D50" i="138"/>
  <c r="C50" i="138"/>
  <c r="B50" i="138"/>
  <c r="N49" i="138"/>
  <c r="M49" i="138"/>
  <c r="L49" i="138"/>
  <c r="K49" i="138"/>
  <c r="J49" i="138"/>
  <c r="I49" i="138"/>
  <c r="H49" i="138"/>
  <c r="G49" i="138"/>
  <c r="F49" i="138"/>
  <c r="E49" i="138"/>
  <c r="D49" i="138"/>
  <c r="C49" i="138"/>
  <c r="B49" i="138"/>
  <c r="N48" i="138"/>
  <c r="M48" i="138"/>
  <c r="L48" i="138"/>
  <c r="K48" i="138"/>
  <c r="J48" i="138"/>
  <c r="I48" i="138"/>
  <c r="H48" i="138"/>
  <c r="G48" i="138"/>
  <c r="F48" i="138"/>
  <c r="E48" i="138"/>
  <c r="D48" i="138"/>
  <c r="C48" i="138"/>
  <c r="B48" i="138"/>
  <c r="N47" i="138"/>
  <c r="M47" i="138"/>
  <c r="L47" i="138"/>
  <c r="K47" i="138"/>
  <c r="J47" i="138"/>
  <c r="I47" i="138"/>
  <c r="H47" i="138"/>
  <c r="G47" i="138"/>
  <c r="F47" i="138"/>
  <c r="E47" i="138"/>
  <c r="D47" i="138"/>
  <c r="C47" i="138"/>
  <c r="B47" i="138"/>
  <c r="N46" i="138"/>
  <c r="M46" i="138"/>
  <c r="L46" i="138"/>
  <c r="K46" i="138"/>
  <c r="J46" i="138"/>
  <c r="I46" i="138"/>
  <c r="H46" i="138"/>
  <c r="G46" i="138"/>
  <c r="F46" i="138"/>
  <c r="E46" i="138"/>
  <c r="D46" i="138"/>
  <c r="C46" i="138"/>
  <c r="B46" i="138"/>
  <c r="N45" i="138"/>
  <c r="M45" i="138"/>
  <c r="L45" i="138"/>
  <c r="K45" i="138"/>
  <c r="J45" i="138"/>
  <c r="I45" i="138"/>
  <c r="H45" i="138"/>
  <c r="G45" i="138"/>
  <c r="F45" i="138"/>
  <c r="E45" i="138"/>
  <c r="D45" i="138"/>
  <c r="C45" i="138"/>
  <c r="B45" i="138"/>
  <c r="N44" i="138"/>
  <c r="M44" i="138"/>
  <c r="L44" i="138"/>
  <c r="K44" i="138"/>
  <c r="J44" i="138"/>
  <c r="I44" i="138"/>
  <c r="H44" i="138"/>
  <c r="G44" i="138"/>
  <c r="F44" i="138"/>
  <c r="E44" i="138"/>
  <c r="D44" i="138"/>
  <c r="C44" i="138"/>
  <c r="B44" i="138"/>
  <c r="N43" i="138"/>
  <c r="M43" i="138"/>
  <c r="L43" i="138"/>
  <c r="K43" i="138"/>
  <c r="J43" i="138"/>
  <c r="I43" i="138"/>
  <c r="H43" i="138"/>
  <c r="G43" i="138"/>
  <c r="F43" i="138"/>
  <c r="E43" i="138"/>
  <c r="D43" i="138"/>
  <c r="C43" i="138"/>
  <c r="B43" i="138"/>
  <c r="N42" i="138"/>
  <c r="M42" i="138"/>
  <c r="L42" i="138"/>
  <c r="K42" i="138"/>
  <c r="J42" i="138"/>
  <c r="I42" i="138"/>
  <c r="H42" i="138"/>
  <c r="G42" i="138"/>
  <c r="F42" i="138"/>
  <c r="E42" i="138"/>
  <c r="D42" i="138"/>
  <c r="C42" i="138"/>
  <c r="B42" i="138"/>
  <c r="N36" i="138"/>
  <c r="M36" i="138"/>
  <c r="L36" i="138"/>
  <c r="K36" i="138"/>
  <c r="J36" i="138"/>
  <c r="I36" i="138"/>
  <c r="H36" i="138"/>
  <c r="G36" i="138"/>
  <c r="F36" i="138"/>
  <c r="E36" i="138"/>
  <c r="D36" i="138"/>
  <c r="C36" i="138"/>
  <c r="B36" i="138"/>
  <c r="N35" i="138"/>
  <c r="M35" i="138"/>
  <c r="L35" i="138"/>
  <c r="K35" i="138"/>
  <c r="J35" i="138"/>
  <c r="I35" i="138"/>
  <c r="H35" i="138"/>
  <c r="G35" i="138"/>
  <c r="F35" i="138"/>
  <c r="E35" i="138"/>
  <c r="D35" i="138"/>
  <c r="C35" i="138"/>
  <c r="B35" i="138"/>
  <c r="I31" i="138"/>
  <c r="H31" i="138"/>
  <c r="G31" i="138"/>
  <c r="E31" i="138"/>
  <c r="D31" i="138"/>
  <c r="C31" i="138"/>
  <c r="B31" i="138"/>
  <c r="A31" i="138"/>
  <c r="D30" i="138"/>
  <c r="C30" i="138"/>
  <c r="B30" i="138"/>
  <c r="D29" i="138"/>
  <c r="C29" i="138"/>
  <c r="B29" i="138"/>
  <c r="D28" i="138"/>
  <c r="C28" i="138"/>
  <c r="B28" i="138"/>
  <c r="D27" i="138"/>
  <c r="C27" i="138"/>
  <c r="B27" i="138"/>
  <c r="D26" i="138"/>
  <c r="C26" i="138"/>
  <c r="B26" i="138"/>
  <c r="D25" i="138"/>
  <c r="C25" i="138"/>
  <c r="B25" i="138"/>
  <c r="D24" i="138"/>
  <c r="C24" i="138"/>
  <c r="B24" i="138"/>
  <c r="D23" i="138"/>
  <c r="C23" i="138"/>
  <c r="B23" i="138"/>
  <c r="D22" i="138"/>
  <c r="C22" i="138"/>
  <c r="B22" i="138"/>
  <c r="D21" i="138"/>
  <c r="C21" i="138"/>
  <c r="B21" i="138"/>
  <c r="D20" i="138"/>
  <c r="C20" i="138"/>
  <c r="C19" i="138"/>
  <c r="B19" i="138"/>
  <c r="N15" i="138"/>
  <c r="M15" i="138"/>
  <c r="L15" i="138"/>
  <c r="K15" i="138"/>
  <c r="J15" i="138"/>
  <c r="I15" i="138"/>
  <c r="H15" i="138"/>
  <c r="G15" i="138"/>
  <c r="F15" i="138"/>
  <c r="E15" i="138"/>
  <c r="D15" i="138"/>
  <c r="C15" i="138"/>
  <c r="B15" i="138"/>
  <c r="N14" i="138"/>
  <c r="M14" i="138"/>
  <c r="L14" i="138"/>
  <c r="K14" i="138"/>
  <c r="J14" i="138"/>
  <c r="I14" i="138"/>
  <c r="H14" i="138"/>
  <c r="G14" i="138"/>
  <c r="F14" i="138"/>
  <c r="E14" i="138"/>
  <c r="D14" i="138"/>
  <c r="C14" i="138"/>
  <c r="B14" i="138"/>
  <c r="A10" i="138"/>
  <c r="A1" i="138"/>
  <c r="N371" i="137"/>
  <c r="M371" i="137"/>
  <c r="L371" i="137"/>
  <c r="K371" i="137"/>
  <c r="J371" i="137"/>
  <c r="I371" i="137"/>
  <c r="H371" i="137"/>
  <c r="G371" i="137"/>
  <c r="F371" i="137"/>
  <c r="E371" i="137"/>
  <c r="D371" i="137"/>
  <c r="C371" i="137"/>
  <c r="A371" i="137"/>
  <c r="N370" i="137"/>
  <c r="M370" i="137"/>
  <c r="L370" i="137"/>
  <c r="K370" i="137"/>
  <c r="J370" i="137"/>
  <c r="I370" i="137"/>
  <c r="H370" i="137"/>
  <c r="G370" i="137"/>
  <c r="F370" i="137"/>
  <c r="E370" i="137"/>
  <c r="D370" i="137"/>
  <c r="C370" i="137"/>
  <c r="A370" i="137"/>
  <c r="N369" i="137"/>
  <c r="M369" i="137"/>
  <c r="L369" i="137"/>
  <c r="K369" i="137"/>
  <c r="J369" i="137"/>
  <c r="I369" i="137"/>
  <c r="H369" i="137"/>
  <c r="G369" i="137"/>
  <c r="F369" i="137"/>
  <c r="E369" i="137"/>
  <c r="D369" i="137"/>
  <c r="C369" i="137"/>
  <c r="N368" i="137"/>
  <c r="M368" i="137"/>
  <c r="L368" i="137"/>
  <c r="K368" i="137"/>
  <c r="J368" i="137"/>
  <c r="I368" i="137"/>
  <c r="H368" i="137"/>
  <c r="G368" i="137"/>
  <c r="F368" i="137"/>
  <c r="E368" i="137"/>
  <c r="D368" i="137"/>
  <c r="C368" i="137"/>
  <c r="N367" i="137"/>
  <c r="M367" i="137"/>
  <c r="L367" i="137"/>
  <c r="K367" i="137"/>
  <c r="J367" i="137"/>
  <c r="I367" i="137"/>
  <c r="H367" i="137"/>
  <c r="G367" i="137"/>
  <c r="F367" i="137"/>
  <c r="E367" i="137"/>
  <c r="D367" i="137"/>
  <c r="C367" i="137"/>
  <c r="A367" i="137"/>
  <c r="N366" i="137"/>
  <c r="M366" i="137"/>
  <c r="L366" i="137"/>
  <c r="K366" i="137"/>
  <c r="J366" i="137"/>
  <c r="I366" i="137"/>
  <c r="H366" i="137"/>
  <c r="G366" i="137"/>
  <c r="F366" i="137"/>
  <c r="E366" i="137"/>
  <c r="D366" i="137"/>
  <c r="C366" i="137"/>
  <c r="B366" i="137"/>
  <c r="N365" i="137"/>
  <c r="M365" i="137"/>
  <c r="L365" i="137"/>
  <c r="K365" i="137"/>
  <c r="J365" i="137"/>
  <c r="I365" i="137"/>
  <c r="H365" i="137"/>
  <c r="G365" i="137"/>
  <c r="F365" i="137"/>
  <c r="E365" i="137"/>
  <c r="D365" i="137"/>
  <c r="C365" i="137"/>
  <c r="B365" i="137"/>
  <c r="N364" i="137"/>
  <c r="M364" i="137"/>
  <c r="L364" i="137"/>
  <c r="K364" i="137"/>
  <c r="J364" i="137"/>
  <c r="I364" i="137"/>
  <c r="H364" i="137"/>
  <c r="G364" i="137"/>
  <c r="F364" i="137"/>
  <c r="E364" i="137"/>
  <c r="D364" i="137"/>
  <c r="C364" i="137"/>
  <c r="B364" i="137"/>
  <c r="N363" i="137"/>
  <c r="M363" i="137"/>
  <c r="L363" i="137"/>
  <c r="K363" i="137"/>
  <c r="J363" i="137"/>
  <c r="I363" i="137"/>
  <c r="H363" i="137"/>
  <c r="G363" i="137"/>
  <c r="F363" i="137"/>
  <c r="E363" i="137"/>
  <c r="D363" i="137"/>
  <c r="C363" i="137"/>
  <c r="B363" i="137"/>
  <c r="N362" i="137"/>
  <c r="M362" i="137"/>
  <c r="L362" i="137"/>
  <c r="K362" i="137"/>
  <c r="J362" i="137"/>
  <c r="I362" i="137"/>
  <c r="H362" i="137"/>
  <c r="G362" i="137"/>
  <c r="F362" i="137"/>
  <c r="E362" i="137"/>
  <c r="D362" i="137"/>
  <c r="C362" i="137"/>
  <c r="B362" i="137"/>
  <c r="N361" i="137"/>
  <c r="M361" i="137"/>
  <c r="L361" i="137"/>
  <c r="K361" i="137"/>
  <c r="J361" i="137"/>
  <c r="I361" i="137"/>
  <c r="H361" i="137"/>
  <c r="G361" i="137"/>
  <c r="F361" i="137"/>
  <c r="E361" i="137"/>
  <c r="D361" i="137"/>
  <c r="C361" i="137"/>
  <c r="B361" i="137"/>
  <c r="N360" i="137"/>
  <c r="M360" i="137"/>
  <c r="L360" i="137"/>
  <c r="K360" i="137"/>
  <c r="J360" i="137"/>
  <c r="I360" i="137"/>
  <c r="H360" i="137"/>
  <c r="G360" i="137"/>
  <c r="F360" i="137"/>
  <c r="E360" i="137"/>
  <c r="D360" i="137"/>
  <c r="C360" i="137"/>
  <c r="B360" i="137"/>
  <c r="N359" i="137"/>
  <c r="M359" i="137"/>
  <c r="L359" i="137"/>
  <c r="K359" i="137"/>
  <c r="J359" i="137"/>
  <c r="I359" i="137"/>
  <c r="H359" i="137"/>
  <c r="G359" i="137"/>
  <c r="F359" i="137"/>
  <c r="E359" i="137"/>
  <c r="D359" i="137"/>
  <c r="C359" i="137"/>
  <c r="B359" i="137"/>
  <c r="N358" i="137"/>
  <c r="M358" i="137"/>
  <c r="L358" i="137"/>
  <c r="K358" i="137"/>
  <c r="J358" i="137"/>
  <c r="I358" i="137"/>
  <c r="H358" i="137"/>
  <c r="G358" i="137"/>
  <c r="F358" i="137"/>
  <c r="E358" i="137"/>
  <c r="D358" i="137"/>
  <c r="C358" i="137"/>
  <c r="B358" i="137"/>
  <c r="N357" i="137"/>
  <c r="M357" i="137"/>
  <c r="L357" i="137"/>
  <c r="K357" i="137"/>
  <c r="J357" i="137"/>
  <c r="I357" i="137"/>
  <c r="H357" i="137"/>
  <c r="G357" i="137"/>
  <c r="F357" i="137"/>
  <c r="E357" i="137"/>
  <c r="D357" i="137"/>
  <c r="C357" i="137"/>
  <c r="B357" i="137"/>
  <c r="N356" i="137"/>
  <c r="M356" i="137"/>
  <c r="L356" i="137"/>
  <c r="K356" i="137"/>
  <c r="J356" i="137"/>
  <c r="I356" i="137"/>
  <c r="H356" i="137"/>
  <c r="G356" i="137"/>
  <c r="F356" i="137"/>
  <c r="E356" i="137"/>
  <c r="D356" i="137"/>
  <c r="C356" i="137"/>
  <c r="B356" i="137"/>
  <c r="N355" i="137"/>
  <c r="M355" i="137"/>
  <c r="L355" i="137"/>
  <c r="K355" i="137"/>
  <c r="J355" i="137"/>
  <c r="I355" i="137"/>
  <c r="H355" i="137"/>
  <c r="G355" i="137"/>
  <c r="F355" i="137"/>
  <c r="E355" i="137"/>
  <c r="D355" i="137"/>
  <c r="C355" i="137"/>
  <c r="B355" i="137"/>
  <c r="N351" i="137"/>
  <c r="M351" i="137"/>
  <c r="L351" i="137"/>
  <c r="K351" i="137"/>
  <c r="J351" i="137"/>
  <c r="I351" i="137"/>
  <c r="H351" i="137"/>
  <c r="G351" i="137"/>
  <c r="F351" i="137"/>
  <c r="E351" i="137"/>
  <c r="D351" i="137"/>
  <c r="C351" i="137"/>
  <c r="A351" i="137"/>
  <c r="N350" i="137"/>
  <c r="M350" i="137"/>
  <c r="L350" i="137"/>
  <c r="K350" i="137"/>
  <c r="J350" i="137"/>
  <c r="I350" i="137"/>
  <c r="H350" i="137"/>
  <c r="G350" i="137"/>
  <c r="F350" i="137"/>
  <c r="E350" i="137"/>
  <c r="D350" i="137"/>
  <c r="C350" i="137"/>
  <c r="B350" i="137"/>
  <c r="N349" i="137"/>
  <c r="M349" i="137"/>
  <c r="L349" i="137"/>
  <c r="K349" i="137"/>
  <c r="J349" i="137"/>
  <c r="I349" i="137"/>
  <c r="H349" i="137"/>
  <c r="G349" i="137"/>
  <c r="F349" i="137"/>
  <c r="E349" i="137"/>
  <c r="D349" i="137"/>
  <c r="C349" i="137"/>
  <c r="B349" i="137"/>
  <c r="N348" i="137"/>
  <c r="M348" i="137"/>
  <c r="L348" i="137"/>
  <c r="K348" i="137"/>
  <c r="J348" i="137"/>
  <c r="I348" i="137"/>
  <c r="H348" i="137"/>
  <c r="G348" i="137"/>
  <c r="F348" i="137"/>
  <c r="E348" i="137"/>
  <c r="D348" i="137"/>
  <c r="C348" i="137"/>
  <c r="B348" i="137"/>
  <c r="N347" i="137"/>
  <c r="M347" i="137"/>
  <c r="L347" i="137"/>
  <c r="K347" i="137"/>
  <c r="J347" i="137"/>
  <c r="I347" i="137"/>
  <c r="H347" i="137"/>
  <c r="G347" i="137"/>
  <c r="F347" i="137"/>
  <c r="E347" i="137"/>
  <c r="D347" i="137"/>
  <c r="C347" i="137"/>
  <c r="B347" i="137"/>
  <c r="N346" i="137"/>
  <c r="M346" i="137"/>
  <c r="L346" i="137"/>
  <c r="K346" i="137"/>
  <c r="J346" i="137"/>
  <c r="I346" i="137"/>
  <c r="H346" i="137"/>
  <c r="G346" i="137"/>
  <c r="F346" i="137"/>
  <c r="E346" i="137"/>
  <c r="D346" i="137"/>
  <c r="C346" i="137"/>
  <c r="B346" i="137"/>
  <c r="N345" i="137"/>
  <c r="M345" i="137"/>
  <c r="L345" i="137"/>
  <c r="K345" i="137"/>
  <c r="J345" i="137"/>
  <c r="I345" i="137"/>
  <c r="H345" i="137"/>
  <c r="G345" i="137"/>
  <c r="F345" i="137"/>
  <c r="E345" i="137"/>
  <c r="D345" i="137"/>
  <c r="C345" i="137"/>
  <c r="B345" i="137"/>
  <c r="N344" i="137"/>
  <c r="M344" i="137"/>
  <c r="L344" i="137"/>
  <c r="K344" i="137"/>
  <c r="J344" i="137"/>
  <c r="I344" i="137"/>
  <c r="H344" i="137"/>
  <c r="G344" i="137"/>
  <c r="F344" i="137"/>
  <c r="E344" i="137"/>
  <c r="D344" i="137"/>
  <c r="C344" i="137"/>
  <c r="B344" i="137"/>
  <c r="N343" i="137"/>
  <c r="M343" i="137"/>
  <c r="L343" i="137"/>
  <c r="K343" i="137"/>
  <c r="J343" i="137"/>
  <c r="I343" i="137"/>
  <c r="H343" i="137"/>
  <c r="G343" i="137"/>
  <c r="F343" i="137"/>
  <c r="E343" i="137"/>
  <c r="D343" i="137"/>
  <c r="C343" i="137"/>
  <c r="B343" i="137"/>
  <c r="N342" i="137"/>
  <c r="M342" i="137"/>
  <c r="L342" i="137"/>
  <c r="K342" i="137"/>
  <c r="J342" i="137"/>
  <c r="I342" i="137"/>
  <c r="H342" i="137"/>
  <c r="G342" i="137"/>
  <c r="F342" i="137"/>
  <c r="E342" i="137"/>
  <c r="D342" i="137"/>
  <c r="C342" i="137"/>
  <c r="B342" i="137"/>
  <c r="N341" i="137"/>
  <c r="M341" i="137"/>
  <c r="L341" i="137"/>
  <c r="K341" i="137"/>
  <c r="J341" i="137"/>
  <c r="I341" i="137"/>
  <c r="H341" i="137"/>
  <c r="G341" i="137"/>
  <c r="F341" i="137"/>
  <c r="E341" i="137"/>
  <c r="D341" i="137"/>
  <c r="C341" i="137"/>
  <c r="B341" i="137"/>
  <c r="N340" i="137"/>
  <c r="M340" i="137"/>
  <c r="L340" i="137"/>
  <c r="K340" i="137"/>
  <c r="J340" i="137"/>
  <c r="I340" i="137"/>
  <c r="H340" i="137"/>
  <c r="G340" i="137"/>
  <c r="F340" i="137"/>
  <c r="E340" i="137"/>
  <c r="D340" i="137"/>
  <c r="C340" i="137"/>
  <c r="B340" i="137"/>
  <c r="N339" i="137"/>
  <c r="M339" i="137"/>
  <c r="L339" i="137"/>
  <c r="K339" i="137"/>
  <c r="J339" i="137"/>
  <c r="I339" i="137"/>
  <c r="H339" i="137"/>
  <c r="G339" i="137"/>
  <c r="F339" i="137"/>
  <c r="E339" i="137"/>
  <c r="D339" i="137"/>
  <c r="C339" i="137"/>
  <c r="B339" i="137"/>
  <c r="N333" i="137"/>
  <c r="M333" i="137"/>
  <c r="L333" i="137"/>
  <c r="K333" i="137"/>
  <c r="J333" i="137"/>
  <c r="I333" i="137"/>
  <c r="H333" i="137"/>
  <c r="G333" i="137"/>
  <c r="F333" i="137"/>
  <c r="E333" i="137"/>
  <c r="D333" i="137"/>
  <c r="C333" i="137"/>
  <c r="A333" i="137"/>
  <c r="N332" i="137"/>
  <c r="M332" i="137"/>
  <c r="L332" i="137"/>
  <c r="K332" i="137"/>
  <c r="J332" i="137"/>
  <c r="I332" i="137"/>
  <c r="H332" i="137"/>
  <c r="G332" i="137"/>
  <c r="F332" i="137"/>
  <c r="E332" i="137"/>
  <c r="D332" i="137"/>
  <c r="C332" i="137"/>
  <c r="N331" i="137"/>
  <c r="M331" i="137"/>
  <c r="L331" i="137"/>
  <c r="K331" i="137"/>
  <c r="J331" i="137"/>
  <c r="I331" i="137"/>
  <c r="H331" i="137"/>
  <c r="G331" i="137"/>
  <c r="F331" i="137"/>
  <c r="E331" i="137"/>
  <c r="D331" i="137"/>
  <c r="C331" i="137"/>
  <c r="N330" i="137"/>
  <c r="M330" i="137"/>
  <c r="L330" i="137"/>
  <c r="K330" i="137"/>
  <c r="J330" i="137"/>
  <c r="I330" i="137"/>
  <c r="H330" i="137"/>
  <c r="G330" i="137"/>
  <c r="F330" i="137"/>
  <c r="E330" i="137"/>
  <c r="D330" i="137"/>
  <c r="C330" i="137"/>
  <c r="A330" i="137"/>
  <c r="N329" i="137"/>
  <c r="M329" i="137"/>
  <c r="L329" i="137"/>
  <c r="K329" i="137"/>
  <c r="J329" i="137"/>
  <c r="I329" i="137"/>
  <c r="H329" i="137"/>
  <c r="G329" i="137"/>
  <c r="F329" i="137"/>
  <c r="E329" i="137"/>
  <c r="D329" i="137"/>
  <c r="C329" i="137"/>
  <c r="B329" i="137"/>
  <c r="N328" i="137"/>
  <c r="M328" i="137"/>
  <c r="L328" i="137"/>
  <c r="K328" i="137"/>
  <c r="J328" i="137"/>
  <c r="I328" i="137"/>
  <c r="H328" i="137"/>
  <c r="G328" i="137"/>
  <c r="F328" i="137"/>
  <c r="E328" i="137"/>
  <c r="D328" i="137"/>
  <c r="C328" i="137"/>
  <c r="B328" i="137"/>
  <c r="N327" i="137"/>
  <c r="M327" i="137"/>
  <c r="L327" i="137"/>
  <c r="K327" i="137"/>
  <c r="J327" i="137"/>
  <c r="I327" i="137"/>
  <c r="H327" i="137"/>
  <c r="G327" i="137"/>
  <c r="F327" i="137"/>
  <c r="E327" i="137"/>
  <c r="D327" i="137"/>
  <c r="C327" i="137"/>
  <c r="B327" i="137"/>
  <c r="N326" i="137"/>
  <c r="M326" i="137"/>
  <c r="L326" i="137"/>
  <c r="K326" i="137"/>
  <c r="J326" i="137"/>
  <c r="I326" i="137"/>
  <c r="H326" i="137"/>
  <c r="G326" i="137"/>
  <c r="F326" i="137"/>
  <c r="E326" i="137"/>
  <c r="D326" i="137"/>
  <c r="C326" i="137"/>
  <c r="B326" i="137"/>
  <c r="N325" i="137"/>
  <c r="M325" i="137"/>
  <c r="L325" i="137"/>
  <c r="K325" i="137"/>
  <c r="J325" i="137"/>
  <c r="I325" i="137"/>
  <c r="H325" i="137"/>
  <c r="G325" i="137"/>
  <c r="F325" i="137"/>
  <c r="E325" i="137"/>
  <c r="D325" i="137"/>
  <c r="C325" i="137"/>
  <c r="B325" i="137"/>
  <c r="N324" i="137"/>
  <c r="M324" i="137"/>
  <c r="L324" i="137"/>
  <c r="K324" i="137"/>
  <c r="J324" i="137"/>
  <c r="I324" i="137"/>
  <c r="H324" i="137"/>
  <c r="G324" i="137"/>
  <c r="F324" i="137"/>
  <c r="E324" i="137"/>
  <c r="D324" i="137"/>
  <c r="C324" i="137"/>
  <c r="B324" i="137"/>
  <c r="N323" i="137"/>
  <c r="M323" i="137"/>
  <c r="L323" i="137"/>
  <c r="K323" i="137"/>
  <c r="J323" i="137"/>
  <c r="I323" i="137"/>
  <c r="H323" i="137"/>
  <c r="G323" i="137"/>
  <c r="F323" i="137"/>
  <c r="E323" i="137"/>
  <c r="D323" i="137"/>
  <c r="C323" i="137"/>
  <c r="B323" i="137"/>
  <c r="N322" i="137"/>
  <c r="M322" i="137"/>
  <c r="L322" i="137"/>
  <c r="K322" i="137"/>
  <c r="J322" i="137"/>
  <c r="I322" i="137"/>
  <c r="H322" i="137"/>
  <c r="G322" i="137"/>
  <c r="F322" i="137"/>
  <c r="E322" i="137"/>
  <c r="D322" i="137"/>
  <c r="C322" i="137"/>
  <c r="B322" i="137"/>
  <c r="N321" i="137"/>
  <c r="M321" i="137"/>
  <c r="L321" i="137"/>
  <c r="K321" i="137"/>
  <c r="J321" i="137"/>
  <c r="I321" i="137"/>
  <c r="H321" i="137"/>
  <c r="G321" i="137"/>
  <c r="F321" i="137"/>
  <c r="E321" i="137"/>
  <c r="D321" i="137"/>
  <c r="C321" i="137"/>
  <c r="B321" i="137"/>
  <c r="N320" i="137"/>
  <c r="M320" i="137"/>
  <c r="L320" i="137"/>
  <c r="K320" i="137"/>
  <c r="J320" i="137"/>
  <c r="I320" i="137"/>
  <c r="H320" i="137"/>
  <c r="G320" i="137"/>
  <c r="F320" i="137"/>
  <c r="E320" i="137"/>
  <c r="D320" i="137"/>
  <c r="C320" i="137"/>
  <c r="B320" i="137"/>
  <c r="N319" i="137"/>
  <c r="M319" i="137"/>
  <c r="L319" i="137"/>
  <c r="K319" i="137"/>
  <c r="J319" i="137"/>
  <c r="I319" i="137"/>
  <c r="H319" i="137"/>
  <c r="G319" i="137"/>
  <c r="F319" i="137"/>
  <c r="E319" i="137"/>
  <c r="D319" i="137"/>
  <c r="C319" i="137"/>
  <c r="B319" i="137"/>
  <c r="N318" i="137"/>
  <c r="M318" i="137"/>
  <c r="L318" i="137"/>
  <c r="K318" i="137"/>
  <c r="J318" i="137"/>
  <c r="I318" i="137"/>
  <c r="H318" i="137"/>
  <c r="G318" i="137"/>
  <c r="F318" i="137"/>
  <c r="E318" i="137"/>
  <c r="D318" i="137"/>
  <c r="C318" i="137"/>
  <c r="B318" i="137"/>
  <c r="N314" i="137"/>
  <c r="M314" i="137"/>
  <c r="L314" i="137"/>
  <c r="K314" i="137"/>
  <c r="J314" i="137"/>
  <c r="I314" i="137"/>
  <c r="H314" i="137"/>
  <c r="G314" i="137"/>
  <c r="F314" i="137"/>
  <c r="E314" i="137"/>
  <c r="D314" i="137"/>
  <c r="C314" i="137"/>
  <c r="A314" i="137"/>
  <c r="N313" i="137"/>
  <c r="M313" i="137"/>
  <c r="L313" i="137"/>
  <c r="K313" i="137"/>
  <c r="J313" i="137"/>
  <c r="I313" i="137"/>
  <c r="H313" i="137"/>
  <c r="G313" i="137"/>
  <c r="F313" i="137"/>
  <c r="E313" i="137"/>
  <c r="D313" i="137"/>
  <c r="C313" i="137"/>
  <c r="B313" i="137"/>
  <c r="N312" i="137"/>
  <c r="M312" i="137"/>
  <c r="L312" i="137"/>
  <c r="K312" i="137"/>
  <c r="J312" i="137"/>
  <c r="I312" i="137"/>
  <c r="H312" i="137"/>
  <c r="G312" i="137"/>
  <c r="F312" i="137"/>
  <c r="E312" i="137"/>
  <c r="D312" i="137"/>
  <c r="C312" i="137"/>
  <c r="B312" i="137"/>
  <c r="N311" i="137"/>
  <c r="M311" i="137"/>
  <c r="L311" i="137"/>
  <c r="K311" i="137"/>
  <c r="J311" i="137"/>
  <c r="I311" i="137"/>
  <c r="H311" i="137"/>
  <c r="G311" i="137"/>
  <c r="F311" i="137"/>
  <c r="E311" i="137"/>
  <c r="D311" i="137"/>
  <c r="C311" i="137"/>
  <c r="B311" i="137"/>
  <c r="N310" i="137"/>
  <c r="M310" i="137"/>
  <c r="L310" i="137"/>
  <c r="K310" i="137"/>
  <c r="J310" i="137"/>
  <c r="I310" i="137"/>
  <c r="H310" i="137"/>
  <c r="G310" i="137"/>
  <c r="F310" i="137"/>
  <c r="E310" i="137"/>
  <c r="D310" i="137"/>
  <c r="C310" i="137"/>
  <c r="B310" i="137"/>
  <c r="N309" i="137"/>
  <c r="M309" i="137"/>
  <c r="L309" i="137"/>
  <c r="K309" i="137"/>
  <c r="J309" i="137"/>
  <c r="I309" i="137"/>
  <c r="H309" i="137"/>
  <c r="G309" i="137"/>
  <c r="F309" i="137"/>
  <c r="E309" i="137"/>
  <c r="D309" i="137"/>
  <c r="C309" i="137"/>
  <c r="B309" i="137"/>
  <c r="N308" i="137"/>
  <c r="M308" i="137"/>
  <c r="L308" i="137"/>
  <c r="K308" i="137"/>
  <c r="J308" i="137"/>
  <c r="I308" i="137"/>
  <c r="H308" i="137"/>
  <c r="G308" i="137"/>
  <c r="F308" i="137"/>
  <c r="E308" i="137"/>
  <c r="D308" i="137"/>
  <c r="C308" i="137"/>
  <c r="B308" i="137"/>
  <c r="N307" i="137"/>
  <c r="M307" i="137"/>
  <c r="L307" i="137"/>
  <c r="K307" i="137"/>
  <c r="J307" i="137"/>
  <c r="I307" i="137"/>
  <c r="H307" i="137"/>
  <c r="G307" i="137"/>
  <c r="F307" i="137"/>
  <c r="E307" i="137"/>
  <c r="D307" i="137"/>
  <c r="C307" i="137"/>
  <c r="B307" i="137"/>
  <c r="N306" i="137"/>
  <c r="M306" i="137"/>
  <c r="L306" i="137"/>
  <c r="K306" i="137"/>
  <c r="J306" i="137"/>
  <c r="I306" i="137"/>
  <c r="H306" i="137"/>
  <c r="G306" i="137"/>
  <c r="F306" i="137"/>
  <c r="E306" i="137"/>
  <c r="D306" i="137"/>
  <c r="C306" i="137"/>
  <c r="B306" i="137"/>
  <c r="N305" i="137"/>
  <c r="M305" i="137"/>
  <c r="L305" i="137"/>
  <c r="K305" i="137"/>
  <c r="J305" i="137"/>
  <c r="I305" i="137"/>
  <c r="H305" i="137"/>
  <c r="G305" i="137"/>
  <c r="F305" i="137"/>
  <c r="E305" i="137"/>
  <c r="D305" i="137"/>
  <c r="C305" i="137"/>
  <c r="B305" i="137"/>
  <c r="N304" i="137"/>
  <c r="M304" i="137"/>
  <c r="L304" i="137"/>
  <c r="K304" i="137"/>
  <c r="J304" i="137"/>
  <c r="I304" i="137"/>
  <c r="H304" i="137"/>
  <c r="G304" i="137"/>
  <c r="F304" i="137"/>
  <c r="E304" i="137"/>
  <c r="D304" i="137"/>
  <c r="C304" i="137"/>
  <c r="B304" i="137"/>
  <c r="N303" i="137"/>
  <c r="M303" i="137"/>
  <c r="L303" i="137"/>
  <c r="K303" i="137"/>
  <c r="J303" i="137"/>
  <c r="I303" i="137"/>
  <c r="H303" i="137"/>
  <c r="G303" i="137"/>
  <c r="F303" i="137"/>
  <c r="E303" i="137"/>
  <c r="D303" i="137"/>
  <c r="C303" i="137"/>
  <c r="B303" i="137"/>
  <c r="N302" i="137"/>
  <c r="M302" i="137"/>
  <c r="L302" i="137"/>
  <c r="K302" i="137"/>
  <c r="J302" i="137"/>
  <c r="I302" i="137"/>
  <c r="H302" i="137"/>
  <c r="G302" i="137"/>
  <c r="F302" i="137"/>
  <c r="E302" i="137"/>
  <c r="D302" i="137"/>
  <c r="C302" i="137"/>
  <c r="B302" i="137"/>
  <c r="N296" i="137"/>
  <c r="M296" i="137"/>
  <c r="L296" i="137"/>
  <c r="K296" i="137"/>
  <c r="J296" i="137"/>
  <c r="I296" i="137"/>
  <c r="H296" i="137"/>
  <c r="G296" i="137"/>
  <c r="F296" i="137"/>
  <c r="E296" i="137"/>
  <c r="D296" i="137"/>
  <c r="C296" i="137"/>
  <c r="N294" i="137"/>
  <c r="M294" i="137"/>
  <c r="L294" i="137"/>
  <c r="K294" i="137"/>
  <c r="J294" i="137"/>
  <c r="I294" i="137"/>
  <c r="H294" i="137"/>
  <c r="G294" i="137"/>
  <c r="F294" i="137"/>
  <c r="E294" i="137"/>
  <c r="D294" i="137"/>
  <c r="C294" i="137"/>
  <c r="N293" i="137"/>
  <c r="M293" i="137"/>
  <c r="L293" i="137"/>
  <c r="K293" i="137"/>
  <c r="J293" i="137"/>
  <c r="I293" i="137"/>
  <c r="H293" i="137"/>
  <c r="G293" i="137"/>
  <c r="F293" i="137"/>
  <c r="E293" i="137"/>
  <c r="D293" i="137"/>
  <c r="C293" i="137"/>
  <c r="N290" i="137"/>
  <c r="M290" i="137"/>
  <c r="L290" i="137"/>
  <c r="K290" i="137"/>
  <c r="J290" i="137"/>
  <c r="I290" i="137"/>
  <c r="H290" i="137"/>
  <c r="G290" i="137"/>
  <c r="F290" i="137"/>
  <c r="E290" i="137"/>
  <c r="D290" i="137"/>
  <c r="C290" i="137"/>
  <c r="N289" i="137"/>
  <c r="M289" i="137"/>
  <c r="L289" i="137"/>
  <c r="K289" i="137"/>
  <c r="J289" i="137"/>
  <c r="I289" i="137"/>
  <c r="H289" i="137"/>
  <c r="G289" i="137"/>
  <c r="F289" i="137"/>
  <c r="E289" i="137"/>
  <c r="D289" i="137"/>
  <c r="C289" i="137"/>
  <c r="N283" i="137"/>
  <c r="M283" i="137"/>
  <c r="L283" i="137"/>
  <c r="K283" i="137"/>
  <c r="J283" i="137"/>
  <c r="I283" i="137"/>
  <c r="H283" i="137"/>
  <c r="G283" i="137"/>
  <c r="F283" i="137"/>
  <c r="E283" i="137"/>
  <c r="D283" i="137"/>
  <c r="C283" i="137"/>
  <c r="A283" i="137"/>
  <c r="N282" i="137"/>
  <c r="M282" i="137"/>
  <c r="L282" i="137"/>
  <c r="K282" i="137"/>
  <c r="J282" i="137"/>
  <c r="I282" i="137"/>
  <c r="H282" i="137"/>
  <c r="G282" i="137"/>
  <c r="F282" i="137"/>
  <c r="E282" i="137"/>
  <c r="D282" i="137"/>
  <c r="C282" i="137"/>
  <c r="N281" i="137"/>
  <c r="M281" i="137"/>
  <c r="L281" i="137"/>
  <c r="K281" i="137"/>
  <c r="J281" i="137"/>
  <c r="I281" i="137"/>
  <c r="H281" i="137"/>
  <c r="G281" i="137"/>
  <c r="F281" i="137"/>
  <c r="E281" i="137"/>
  <c r="D281" i="137"/>
  <c r="C281" i="137"/>
  <c r="N280" i="137"/>
  <c r="M280" i="137"/>
  <c r="L280" i="137"/>
  <c r="K280" i="137"/>
  <c r="J280" i="137"/>
  <c r="I280" i="137"/>
  <c r="H280" i="137"/>
  <c r="G280" i="137"/>
  <c r="F280" i="137"/>
  <c r="E280" i="137"/>
  <c r="D280" i="137"/>
  <c r="C280" i="137"/>
  <c r="N279" i="137"/>
  <c r="M279" i="137"/>
  <c r="L279" i="137"/>
  <c r="K279" i="137"/>
  <c r="J279" i="137"/>
  <c r="I279" i="137"/>
  <c r="H279" i="137"/>
  <c r="G279" i="137"/>
  <c r="F279" i="137"/>
  <c r="E279" i="137"/>
  <c r="D279" i="137"/>
  <c r="C279" i="137"/>
  <c r="N278" i="137"/>
  <c r="M278" i="137"/>
  <c r="L278" i="137"/>
  <c r="K278" i="137"/>
  <c r="J278" i="137"/>
  <c r="I278" i="137"/>
  <c r="H278" i="137"/>
  <c r="G278" i="137"/>
  <c r="F278" i="137"/>
  <c r="E278" i="137"/>
  <c r="D278" i="137"/>
  <c r="C278" i="137"/>
  <c r="N274" i="137"/>
  <c r="M274" i="137"/>
  <c r="L274" i="137"/>
  <c r="K274" i="137"/>
  <c r="J274" i="137"/>
  <c r="I274" i="137"/>
  <c r="H274" i="137"/>
  <c r="G274" i="137"/>
  <c r="F274" i="137"/>
  <c r="E274" i="137"/>
  <c r="D274" i="137"/>
  <c r="C274" i="137"/>
  <c r="A274" i="137"/>
  <c r="N273" i="137"/>
  <c r="M273" i="137"/>
  <c r="L273" i="137"/>
  <c r="K273" i="137"/>
  <c r="J273" i="137"/>
  <c r="I273" i="137"/>
  <c r="H273" i="137"/>
  <c r="G273" i="137"/>
  <c r="F273" i="137"/>
  <c r="E273" i="137"/>
  <c r="D273" i="137"/>
  <c r="C273" i="137"/>
  <c r="B273" i="137"/>
  <c r="N272" i="137"/>
  <c r="M272" i="137"/>
  <c r="L272" i="137"/>
  <c r="K272" i="137"/>
  <c r="J272" i="137"/>
  <c r="I272" i="137"/>
  <c r="H272" i="137"/>
  <c r="G272" i="137"/>
  <c r="F272" i="137"/>
  <c r="E272" i="137"/>
  <c r="D272" i="137"/>
  <c r="C272" i="137"/>
  <c r="B272" i="137"/>
  <c r="N271" i="137"/>
  <c r="M271" i="137"/>
  <c r="L271" i="137"/>
  <c r="K271" i="137"/>
  <c r="J271" i="137"/>
  <c r="I271" i="137"/>
  <c r="H271" i="137"/>
  <c r="G271" i="137"/>
  <c r="F271" i="137"/>
  <c r="E271" i="137"/>
  <c r="D271" i="137"/>
  <c r="C271" i="137"/>
  <c r="B271" i="137"/>
  <c r="N270" i="137"/>
  <c r="M270" i="137"/>
  <c r="L270" i="137"/>
  <c r="K270" i="137"/>
  <c r="J270" i="137"/>
  <c r="I270" i="137"/>
  <c r="H270" i="137"/>
  <c r="G270" i="137"/>
  <c r="F270" i="137"/>
  <c r="E270" i="137"/>
  <c r="D270" i="137"/>
  <c r="C270" i="137"/>
  <c r="B270" i="137"/>
  <c r="N269" i="137"/>
  <c r="M269" i="137"/>
  <c r="L269" i="137"/>
  <c r="K269" i="137"/>
  <c r="J269" i="137"/>
  <c r="I269" i="137"/>
  <c r="H269" i="137"/>
  <c r="G269" i="137"/>
  <c r="F269" i="137"/>
  <c r="E269" i="137"/>
  <c r="D269" i="137"/>
  <c r="C269" i="137"/>
  <c r="B269" i="137"/>
  <c r="N268" i="137"/>
  <c r="M268" i="137"/>
  <c r="L268" i="137"/>
  <c r="K268" i="137"/>
  <c r="J268" i="137"/>
  <c r="I268" i="137"/>
  <c r="H268" i="137"/>
  <c r="G268" i="137"/>
  <c r="F268" i="137"/>
  <c r="E268" i="137"/>
  <c r="D268" i="137"/>
  <c r="C268" i="137"/>
  <c r="B268" i="137"/>
  <c r="N267" i="137"/>
  <c r="M267" i="137"/>
  <c r="L267" i="137"/>
  <c r="K267" i="137"/>
  <c r="J267" i="137"/>
  <c r="I267" i="137"/>
  <c r="H267" i="137"/>
  <c r="G267" i="137"/>
  <c r="F267" i="137"/>
  <c r="E267" i="137"/>
  <c r="D267" i="137"/>
  <c r="C267" i="137"/>
  <c r="B267" i="137"/>
  <c r="N266" i="137"/>
  <c r="M266" i="137"/>
  <c r="L266" i="137"/>
  <c r="K266" i="137"/>
  <c r="J266" i="137"/>
  <c r="I266" i="137"/>
  <c r="H266" i="137"/>
  <c r="G266" i="137"/>
  <c r="F266" i="137"/>
  <c r="E266" i="137"/>
  <c r="D266" i="137"/>
  <c r="C266" i="137"/>
  <c r="B266" i="137"/>
  <c r="N265" i="137"/>
  <c r="M265" i="137"/>
  <c r="L265" i="137"/>
  <c r="K265" i="137"/>
  <c r="J265" i="137"/>
  <c r="I265" i="137"/>
  <c r="H265" i="137"/>
  <c r="G265" i="137"/>
  <c r="F265" i="137"/>
  <c r="E265" i="137"/>
  <c r="D265" i="137"/>
  <c r="C265" i="137"/>
  <c r="B265" i="137"/>
  <c r="N264" i="137"/>
  <c r="M264" i="137"/>
  <c r="L264" i="137"/>
  <c r="K264" i="137"/>
  <c r="J264" i="137"/>
  <c r="I264" i="137"/>
  <c r="H264" i="137"/>
  <c r="G264" i="137"/>
  <c r="F264" i="137"/>
  <c r="E264" i="137"/>
  <c r="D264" i="137"/>
  <c r="C264" i="137"/>
  <c r="B264" i="137"/>
  <c r="N263" i="137"/>
  <c r="M263" i="137"/>
  <c r="L263" i="137"/>
  <c r="K263" i="137"/>
  <c r="J263" i="137"/>
  <c r="I263" i="137"/>
  <c r="H263" i="137"/>
  <c r="G263" i="137"/>
  <c r="F263" i="137"/>
  <c r="E263" i="137"/>
  <c r="D263" i="137"/>
  <c r="C263" i="137"/>
  <c r="B263" i="137"/>
  <c r="N262" i="137"/>
  <c r="M262" i="137"/>
  <c r="L262" i="137"/>
  <c r="K262" i="137"/>
  <c r="J262" i="137"/>
  <c r="I262" i="137"/>
  <c r="H262" i="137"/>
  <c r="G262" i="137"/>
  <c r="F262" i="137"/>
  <c r="E262" i="137"/>
  <c r="D262" i="137"/>
  <c r="C262" i="137"/>
  <c r="B262" i="137"/>
  <c r="N258" i="137"/>
  <c r="M258" i="137"/>
  <c r="L258" i="137"/>
  <c r="K258" i="137"/>
  <c r="J258" i="137"/>
  <c r="I258" i="137"/>
  <c r="H258" i="137"/>
  <c r="G258" i="137"/>
  <c r="F258" i="137"/>
  <c r="E258" i="137"/>
  <c r="D258" i="137"/>
  <c r="C258" i="137"/>
  <c r="A258" i="137"/>
  <c r="N257" i="137"/>
  <c r="M257" i="137"/>
  <c r="L257" i="137"/>
  <c r="K257" i="137"/>
  <c r="J257" i="137"/>
  <c r="I257" i="137"/>
  <c r="H257" i="137"/>
  <c r="G257" i="137"/>
  <c r="F257" i="137"/>
  <c r="E257" i="137"/>
  <c r="D257" i="137"/>
  <c r="C257" i="137"/>
  <c r="B257" i="137"/>
  <c r="N256" i="137"/>
  <c r="M256" i="137"/>
  <c r="L256" i="137"/>
  <c r="K256" i="137"/>
  <c r="J256" i="137"/>
  <c r="I256" i="137"/>
  <c r="H256" i="137"/>
  <c r="G256" i="137"/>
  <c r="F256" i="137"/>
  <c r="E256" i="137"/>
  <c r="D256" i="137"/>
  <c r="C256" i="137"/>
  <c r="B256" i="137"/>
  <c r="N255" i="137"/>
  <c r="M255" i="137"/>
  <c r="L255" i="137"/>
  <c r="K255" i="137"/>
  <c r="J255" i="137"/>
  <c r="I255" i="137"/>
  <c r="H255" i="137"/>
  <c r="G255" i="137"/>
  <c r="F255" i="137"/>
  <c r="E255" i="137"/>
  <c r="D255" i="137"/>
  <c r="C255" i="137"/>
  <c r="B255" i="137"/>
  <c r="N254" i="137"/>
  <c r="M254" i="137"/>
  <c r="L254" i="137"/>
  <c r="K254" i="137"/>
  <c r="J254" i="137"/>
  <c r="I254" i="137"/>
  <c r="H254" i="137"/>
  <c r="G254" i="137"/>
  <c r="F254" i="137"/>
  <c r="E254" i="137"/>
  <c r="D254" i="137"/>
  <c r="C254" i="137"/>
  <c r="B254" i="137"/>
  <c r="N253" i="137"/>
  <c r="M253" i="137"/>
  <c r="L253" i="137"/>
  <c r="K253" i="137"/>
  <c r="J253" i="137"/>
  <c r="I253" i="137"/>
  <c r="H253" i="137"/>
  <c r="G253" i="137"/>
  <c r="F253" i="137"/>
  <c r="E253" i="137"/>
  <c r="D253" i="137"/>
  <c r="C253" i="137"/>
  <c r="B253" i="137"/>
  <c r="N252" i="137"/>
  <c r="M252" i="137"/>
  <c r="L252" i="137"/>
  <c r="K252" i="137"/>
  <c r="J252" i="137"/>
  <c r="I252" i="137"/>
  <c r="H252" i="137"/>
  <c r="G252" i="137"/>
  <c r="F252" i="137"/>
  <c r="E252" i="137"/>
  <c r="D252" i="137"/>
  <c r="C252" i="137"/>
  <c r="B252" i="137"/>
  <c r="N251" i="137"/>
  <c r="M251" i="137"/>
  <c r="L251" i="137"/>
  <c r="K251" i="137"/>
  <c r="J251" i="137"/>
  <c r="I251" i="137"/>
  <c r="H251" i="137"/>
  <c r="G251" i="137"/>
  <c r="F251" i="137"/>
  <c r="E251" i="137"/>
  <c r="D251" i="137"/>
  <c r="C251" i="137"/>
  <c r="B251" i="137"/>
  <c r="N250" i="137"/>
  <c r="M250" i="137"/>
  <c r="L250" i="137"/>
  <c r="K250" i="137"/>
  <c r="J250" i="137"/>
  <c r="I250" i="137"/>
  <c r="H250" i="137"/>
  <c r="G250" i="137"/>
  <c r="F250" i="137"/>
  <c r="E250" i="137"/>
  <c r="D250" i="137"/>
  <c r="C250" i="137"/>
  <c r="B250" i="137"/>
  <c r="N249" i="137"/>
  <c r="M249" i="137"/>
  <c r="L249" i="137"/>
  <c r="K249" i="137"/>
  <c r="J249" i="137"/>
  <c r="I249" i="137"/>
  <c r="H249" i="137"/>
  <c r="G249" i="137"/>
  <c r="F249" i="137"/>
  <c r="E249" i="137"/>
  <c r="D249" i="137"/>
  <c r="C249" i="137"/>
  <c r="B249" i="137"/>
  <c r="N248" i="137"/>
  <c r="M248" i="137"/>
  <c r="L248" i="137"/>
  <c r="K248" i="137"/>
  <c r="J248" i="137"/>
  <c r="I248" i="137"/>
  <c r="H248" i="137"/>
  <c r="G248" i="137"/>
  <c r="F248" i="137"/>
  <c r="E248" i="137"/>
  <c r="D248" i="137"/>
  <c r="C248" i="137"/>
  <c r="B248" i="137"/>
  <c r="N247" i="137"/>
  <c r="M247" i="137"/>
  <c r="L247" i="137"/>
  <c r="K247" i="137"/>
  <c r="J247" i="137"/>
  <c r="I247" i="137"/>
  <c r="H247" i="137"/>
  <c r="G247" i="137"/>
  <c r="F247" i="137"/>
  <c r="E247" i="137"/>
  <c r="D247" i="137"/>
  <c r="C247" i="137"/>
  <c r="B247" i="137"/>
  <c r="N246" i="137"/>
  <c r="M246" i="137"/>
  <c r="L246" i="137"/>
  <c r="K246" i="137"/>
  <c r="J246" i="137"/>
  <c r="I246" i="137"/>
  <c r="H246" i="137"/>
  <c r="G246" i="137"/>
  <c r="F246" i="137"/>
  <c r="E246" i="137"/>
  <c r="D246" i="137"/>
  <c r="C246" i="137"/>
  <c r="B246" i="137"/>
  <c r="N240" i="137"/>
  <c r="M240" i="137"/>
  <c r="L240" i="137"/>
  <c r="K240" i="137"/>
  <c r="J240" i="137"/>
  <c r="I240" i="137"/>
  <c r="H240" i="137"/>
  <c r="G240" i="137"/>
  <c r="F240" i="137"/>
  <c r="E240" i="137"/>
  <c r="D240" i="137"/>
  <c r="C240" i="137"/>
  <c r="A240" i="137"/>
  <c r="N239" i="137"/>
  <c r="M239" i="137"/>
  <c r="L239" i="137"/>
  <c r="K239" i="137"/>
  <c r="J239" i="137"/>
  <c r="I239" i="137"/>
  <c r="H239" i="137"/>
  <c r="G239" i="137"/>
  <c r="F239" i="137"/>
  <c r="E239" i="137"/>
  <c r="D239" i="137"/>
  <c r="C239" i="137"/>
  <c r="B239" i="137"/>
  <c r="N238" i="137"/>
  <c r="M238" i="137"/>
  <c r="L238" i="137"/>
  <c r="K238" i="137"/>
  <c r="J238" i="137"/>
  <c r="I238" i="137"/>
  <c r="H238" i="137"/>
  <c r="G238" i="137"/>
  <c r="F238" i="137"/>
  <c r="E238" i="137"/>
  <c r="D238" i="137"/>
  <c r="C238" i="137"/>
  <c r="B238" i="137"/>
  <c r="N237" i="137"/>
  <c r="M237" i="137"/>
  <c r="L237" i="137"/>
  <c r="K237" i="137"/>
  <c r="J237" i="137"/>
  <c r="I237" i="137"/>
  <c r="H237" i="137"/>
  <c r="G237" i="137"/>
  <c r="F237" i="137"/>
  <c r="E237" i="137"/>
  <c r="D237" i="137"/>
  <c r="C237" i="137"/>
  <c r="B237" i="137"/>
  <c r="N236" i="137"/>
  <c r="M236" i="137"/>
  <c r="L236" i="137"/>
  <c r="K236" i="137"/>
  <c r="J236" i="137"/>
  <c r="I236" i="137"/>
  <c r="H236" i="137"/>
  <c r="G236" i="137"/>
  <c r="F236" i="137"/>
  <c r="E236" i="137"/>
  <c r="D236" i="137"/>
  <c r="C236" i="137"/>
  <c r="B236" i="137"/>
  <c r="N235" i="137"/>
  <c r="M235" i="137"/>
  <c r="L235" i="137"/>
  <c r="K235" i="137"/>
  <c r="J235" i="137"/>
  <c r="I235" i="137"/>
  <c r="H235" i="137"/>
  <c r="G235" i="137"/>
  <c r="F235" i="137"/>
  <c r="E235" i="137"/>
  <c r="D235" i="137"/>
  <c r="C235" i="137"/>
  <c r="B235" i="137"/>
  <c r="N234" i="137"/>
  <c r="M234" i="137"/>
  <c r="L234" i="137"/>
  <c r="K234" i="137"/>
  <c r="J234" i="137"/>
  <c r="I234" i="137"/>
  <c r="H234" i="137"/>
  <c r="G234" i="137"/>
  <c r="F234" i="137"/>
  <c r="E234" i="137"/>
  <c r="D234" i="137"/>
  <c r="C234" i="137"/>
  <c r="B234" i="137"/>
  <c r="N233" i="137"/>
  <c r="M233" i="137"/>
  <c r="L233" i="137"/>
  <c r="K233" i="137"/>
  <c r="J233" i="137"/>
  <c r="I233" i="137"/>
  <c r="H233" i="137"/>
  <c r="G233" i="137"/>
  <c r="F233" i="137"/>
  <c r="E233" i="137"/>
  <c r="D233" i="137"/>
  <c r="C233" i="137"/>
  <c r="B233" i="137"/>
  <c r="N232" i="137"/>
  <c r="M232" i="137"/>
  <c r="L232" i="137"/>
  <c r="K232" i="137"/>
  <c r="J232" i="137"/>
  <c r="I232" i="137"/>
  <c r="H232" i="137"/>
  <c r="G232" i="137"/>
  <c r="F232" i="137"/>
  <c r="E232" i="137"/>
  <c r="D232" i="137"/>
  <c r="C232" i="137"/>
  <c r="B232" i="137"/>
  <c r="N231" i="137"/>
  <c r="M231" i="137"/>
  <c r="L231" i="137"/>
  <c r="K231" i="137"/>
  <c r="J231" i="137"/>
  <c r="I231" i="137"/>
  <c r="H231" i="137"/>
  <c r="G231" i="137"/>
  <c r="F231" i="137"/>
  <c r="E231" i="137"/>
  <c r="D231" i="137"/>
  <c r="C231" i="137"/>
  <c r="B231" i="137"/>
  <c r="N230" i="137"/>
  <c r="M230" i="137"/>
  <c r="L230" i="137"/>
  <c r="K230" i="137"/>
  <c r="J230" i="137"/>
  <c r="I230" i="137"/>
  <c r="H230" i="137"/>
  <c r="G230" i="137"/>
  <c r="F230" i="137"/>
  <c r="E230" i="137"/>
  <c r="D230" i="137"/>
  <c r="C230" i="137"/>
  <c r="B230" i="137"/>
  <c r="N229" i="137"/>
  <c r="M229" i="137"/>
  <c r="L229" i="137"/>
  <c r="K229" i="137"/>
  <c r="J229" i="137"/>
  <c r="I229" i="137"/>
  <c r="H229" i="137"/>
  <c r="G229" i="137"/>
  <c r="F229" i="137"/>
  <c r="E229" i="137"/>
  <c r="D229" i="137"/>
  <c r="C229" i="137"/>
  <c r="B229" i="137"/>
  <c r="N228" i="137"/>
  <c r="M228" i="137"/>
  <c r="L228" i="137"/>
  <c r="K228" i="137"/>
  <c r="J228" i="137"/>
  <c r="I228" i="137"/>
  <c r="H228" i="137"/>
  <c r="G228" i="137"/>
  <c r="F228" i="137"/>
  <c r="E228" i="137"/>
  <c r="D228" i="137"/>
  <c r="C228" i="137"/>
  <c r="B228" i="137"/>
  <c r="N224" i="137"/>
  <c r="M224" i="137"/>
  <c r="L224" i="137"/>
  <c r="K224" i="137"/>
  <c r="J224" i="137"/>
  <c r="I224" i="137"/>
  <c r="H224" i="137"/>
  <c r="G224" i="137"/>
  <c r="F224" i="137"/>
  <c r="E224" i="137"/>
  <c r="D224" i="137"/>
  <c r="C224" i="137"/>
  <c r="A224" i="137"/>
  <c r="N223" i="137"/>
  <c r="M223" i="137"/>
  <c r="L223" i="137"/>
  <c r="K223" i="137"/>
  <c r="J223" i="137"/>
  <c r="I223" i="137"/>
  <c r="H223" i="137"/>
  <c r="G223" i="137"/>
  <c r="F223" i="137"/>
  <c r="E223" i="137"/>
  <c r="D223" i="137"/>
  <c r="C223" i="137"/>
  <c r="B223" i="137"/>
  <c r="N222" i="137"/>
  <c r="M222" i="137"/>
  <c r="L222" i="137"/>
  <c r="K222" i="137"/>
  <c r="J222" i="137"/>
  <c r="I222" i="137"/>
  <c r="H222" i="137"/>
  <c r="G222" i="137"/>
  <c r="F222" i="137"/>
  <c r="E222" i="137"/>
  <c r="D222" i="137"/>
  <c r="C222" i="137"/>
  <c r="B222" i="137"/>
  <c r="N221" i="137"/>
  <c r="M221" i="137"/>
  <c r="L221" i="137"/>
  <c r="K221" i="137"/>
  <c r="J221" i="137"/>
  <c r="I221" i="137"/>
  <c r="H221" i="137"/>
  <c r="G221" i="137"/>
  <c r="F221" i="137"/>
  <c r="E221" i="137"/>
  <c r="D221" i="137"/>
  <c r="C221" i="137"/>
  <c r="B221" i="137"/>
  <c r="N220" i="137"/>
  <c r="M220" i="137"/>
  <c r="L220" i="137"/>
  <c r="K220" i="137"/>
  <c r="J220" i="137"/>
  <c r="I220" i="137"/>
  <c r="H220" i="137"/>
  <c r="G220" i="137"/>
  <c r="F220" i="137"/>
  <c r="E220" i="137"/>
  <c r="D220" i="137"/>
  <c r="C220" i="137"/>
  <c r="B220" i="137"/>
  <c r="N219" i="137"/>
  <c r="M219" i="137"/>
  <c r="L219" i="137"/>
  <c r="K219" i="137"/>
  <c r="J219" i="137"/>
  <c r="I219" i="137"/>
  <c r="H219" i="137"/>
  <c r="G219" i="137"/>
  <c r="F219" i="137"/>
  <c r="E219" i="137"/>
  <c r="D219" i="137"/>
  <c r="C219" i="137"/>
  <c r="B219" i="137"/>
  <c r="N218" i="137"/>
  <c r="M218" i="137"/>
  <c r="L218" i="137"/>
  <c r="K218" i="137"/>
  <c r="J218" i="137"/>
  <c r="I218" i="137"/>
  <c r="H218" i="137"/>
  <c r="G218" i="137"/>
  <c r="F218" i="137"/>
  <c r="E218" i="137"/>
  <c r="D218" i="137"/>
  <c r="C218" i="137"/>
  <c r="B218" i="137"/>
  <c r="N217" i="137"/>
  <c r="M217" i="137"/>
  <c r="L217" i="137"/>
  <c r="K217" i="137"/>
  <c r="J217" i="137"/>
  <c r="I217" i="137"/>
  <c r="H217" i="137"/>
  <c r="G217" i="137"/>
  <c r="F217" i="137"/>
  <c r="E217" i="137"/>
  <c r="D217" i="137"/>
  <c r="C217" i="137"/>
  <c r="B217" i="137"/>
  <c r="N216" i="137"/>
  <c r="M216" i="137"/>
  <c r="L216" i="137"/>
  <c r="K216" i="137"/>
  <c r="J216" i="137"/>
  <c r="I216" i="137"/>
  <c r="H216" i="137"/>
  <c r="G216" i="137"/>
  <c r="F216" i="137"/>
  <c r="E216" i="137"/>
  <c r="D216" i="137"/>
  <c r="C216" i="137"/>
  <c r="B216" i="137"/>
  <c r="N215" i="137"/>
  <c r="M215" i="137"/>
  <c r="L215" i="137"/>
  <c r="K215" i="137"/>
  <c r="J215" i="137"/>
  <c r="I215" i="137"/>
  <c r="H215" i="137"/>
  <c r="G215" i="137"/>
  <c r="F215" i="137"/>
  <c r="E215" i="137"/>
  <c r="D215" i="137"/>
  <c r="C215" i="137"/>
  <c r="B215" i="137"/>
  <c r="N214" i="137"/>
  <c r="M214" i="137"/>
  <c r="L214" i="137"/>
  <c r="K214" i="137"/>
  <c r="J214" i="137"/>
  <c r="I214" i="137"/>
  <c r="H214" i="137"/>
  <c r="G214" i="137"/>
  <c r="F214" i="137"/>
  <c r="E214" i="137"/>
  <c r="D214" i="137"/>
  <c r="C214" i="137"/>
  <c r="B214" i="137"/>
  <c r="N213" i="137"/>
  <c r="M213" i="137"/>
  <c r="L213" i="137"/>
  <c r="K213" i="137"/>
  <c r="J213" i="137"/>
  <c r="I213" i="137"/>
  <c r="H213" i="137"/>
  <c r="G213" i="137"/>
  <c r="F213" i="137"/>
  <c r="E213" i="137"/>
  <c r="D213" i="137"/>
  <c r="C213" i="137"/>
  <c r="B213" i="137"/>
  <c r="N212" i="137"/>
  <c r="M212" i="137"/>
  <c r="L212" i="137"/>
  <c r="K212" i="137"/>
  <c r="J212" i="137"/>
  <c r="I212" i="137"/>
  <c r="H212" i="137"/>
  <c r="G212" i="137"/>
  <c r="F212" i="137"/>
  <c r="E212" i="137"/>
  <c r="D212" i="137"/>
  <c r="C212" i="137"/>
  <c r="B212" i="137"/>
  <c r="N206" i="137"/>
  <c r="M206" i="137"/>
  <c r="L206" i="137"/>
  <c r="K206" i="137"/>
  <c r="J206" i="137"/>
  <c r="I206" i="137"/>
  <c r="H206" i="137"/>
  <c r="G206" i="137"/>
  <c r="F206" i="137"/>
  <c r="E206" i="137"/>
  <c r="D206" i="137"/>
  <c r="C206" i="137"/>
  <c r="A206" i="137"/>
  <c r="N205" i="137"/>
  <c r="M205" i="137"/>
  <c r="L205" i="137"/>
  <c r="K205" i="137"/>
  <c r="J205" i="137"/>
  <c r="I205" i="137"/>
  <c r="H205" i="137"/>
  <c r="G205" i="137"/>
  <c r="F205" i="137"/>
  <c r="E205" i="137"/>
  <c r="D205" i="137"/>
  <c r="C205" i="137"/>
  <c r="B205" i="137"/>
  <c r="N204" i="137"/>
  <c r="M204" i="137"/>
  <c r="L204" i="137"/>
  <c r="K204" i="137"/>
  <c r="J204" i="137"/>
  <c r="I204" i="137"/>
  <c r="H204" i="137"/>
  <c r="G204" i="137"/>
  <c r="F204" i="137"/>
  <c r="E204" i="137"/>
  <c r="D204" i="137"/>
  <c r="C204" i="137"/>
  <c r="B204" i="137"/>
  <c r="N203" i="137"/>
  <c r="M203" i="137"/>
  <c r="L203" i="137"/>
  <c r="K203" i="137"/>
  <c r="J203" i="137"/>
  <c r="I203" i="137"/>
  <c r="H203" i="137"/>
  <c r="G203" i="137"/>
  <c r="F203" i="137"/>
  <c r="E203" i="137"/>
  <c r="D203" i="137"/>
  <c r="C203" i="137"/>
  <c r="B203" i="137"/>
  <c r="N202" i="137"/>
  <c r="M202" i="137"/>
  <c r="L202" i="137"/>
  <c r="K202" i="137"/>
  <c r="J202" i="137"/>
  <c r="I202" i="137"/>
  <c r="H202" i="137"/>
  <c r="G202" i="137"/>
  <c r="F202" i="137"/>
  <c r="E202" i="137"/>
  <c r="D202" i="137"/>
  <c r="C202" i="137"/>
  <c r="B202" i="137"/>
  <c r="N201" i="137"/>
  <c r="M201" i="137"/>
  <c r="L201" i="137"/>
  <c r="K201" i="137"/>
  <c r="J201" i="137"/>
  <c r="I201" i="137"/>
  <c r="H201" i="137"/>
  <c r="G201" i="137"/>
  <c r="F201" i="137"/>
  <c r="E201" i="137"/>
  <c r="D201" i="137"/>
  <c r="C201" i="137"/>
  <c r="B201" i="137"/>
  <c r="N200" i="137"/>
  <c r="M200" i="137"/>
  <c r="L200" i="137"/>
  <c r="K200" i="137"/>
  <c r="J200" i="137"/>
  <c r="I200" i="137"/>
  <c r="H200" i="137"/>
  <c r="G200" i="137"/>
  <c r="F200" i="137"/>
  <c r="E200" i="137"/>
  <c r="D200" i="137"/>
  <c r="C200" i="137"/>
  <c r="B200" i="137"/>
  <c r="N199" i="137"/>
  <c r="M199" i="137"/>
  <c r="L199" i="137"/>
  <c r="K199" i="137"/>
  <c r="J199" i="137"/>
  <c r="I199" i="137"/>
  <c r="H199" i="137"/>
  <c r="G199" i="137"/>
  <c r="F199" i="137"/>
  <c r="E199" i="137"/>
  <c r="D199" i="137"/>
  <c r="C199" i="137"/>
  <c r="B199" i="137"/>
  <c r="N198" i="137"/>
  <c r="M198" i="137"/>
  <c r="L198" i="137"/>
  <c r="K198" i="137"/>
  <c r="J198" i="137"/>
  <c r="I198" i="137"/>
  <c r="H198" i="137"/>
  <c r="G198" i="137"/>
  <c r="F198" i="137"/>
  <c r="E198" i="137"/>
  <c r="D198" i="137"/>
  <c r="C198" i="137"/>
  <c r="B198" i="137"/>
  <c r="N197" i="137"/>
  <c r="M197" i="137"/>
  <c r="L197" i="137"/>
  <c r="K197" i="137"/>
  <c r="J197" i="137"/>
  <c r="I197" i="137"/>
  <c r="H197" i="137"/>
  <c r="G197" i="137"/>
  <c r="F197" i="137"/>
  <c r="E197" i="137"/>
  <c r="D197" i="137"/>
  <c r="C197" i="137"/>
  <c r="B197" i="137"/>
  <c r="N196" i="137"/>
  <c r="M196" i="137"/>
  <c r="L196" i="137"/>
  <c r="K196" i="137"/>
  <c r="J196" i="137"/>
  <c r="I196" i="137"/>
  <c r="H196" i="137"/>
  <c r="G196" i="137"/>
  <c r="F196" i="137"/>
  <c r="E196" i="137"/>
  <c r="D196" i="137"/>
  <c r="C196" i="137"/>
  <c r="B196" i="137"/>
  <c r="N195" i="137"/>
  <c r="M195" i="137"/>
  <c r="L195" i="137"/>
  <c r="K195" i="137"/>
  <c r="J195" i="137"/>
  <c r="I195" i="137"/>
  <c r="H195" i="137"/>
  <c r="G195" i="137"/>
  <c r="F195" i="137"/>
  <c r="E195" i="137"/>
  <c r="D195" i="137"/>
  <c r="C195" i="137"/>
  <c r="B195" i="137"/>
  <c r="N194" i="137"/>
  <c r="M194" i="137"/>
  <c r="L194" i="137"/>
  <c r="K194" i="137"/>
  <c r="J194" i="137"/>
  <c r="I194" i="137"/>
  <c r="H194" i="137"/>
  <c r="G194" i="137"/>
  <c r="F194" i="137"/>
  <c r="E194" i="137"/>
  <c r="D194" i="137"/>
  <c r="C194" i="137"/>
  <c r="B194" i="137"/>
  <c r="N190" i="137"/>
  <c r="M190" i="137"/>
  <c r="L190" i="137"/>
  <c r="K190" i="137"/>
  <c r="J190" i="137"/>
  <c r="I190" i="137"/>
  <c r="H190" i="137"/>
  <c r="G190" i="137"/>
  <c r="F190" i="137"/>
  <c r="E190" i="137"/>
  <c r="D190" i="137"/>
  <c r="C190" i="137"/>
  <c r="A190" i="137"/>
  <c r="N189" i="137"/>
  <c r="M189" i="137"/>
  <c r="L189" i="137"/>
  <c r="K189" i="137"/>
  <c r="J189" i="137"/>
  <c r="I189" i="137"/>
  <c r="H189" i="137"/>
  <c r="G189" i="137"/>
  <c r="F189" i="137"/>
  <c r="E189" i="137"/>
  <c r="D189" i="137"/>
  <c r="C189" i="137"/>
  <c r="B189" i="137"/>
  <c r="N188" i="137"/>
  <c r="M188" i="137"/>
  <c r="L188" i="137"/>
  <c r="K188" i="137"/>
  <c r="J188" i="137"/>
  <c r="I188" i="137"/>
  <c r="H188" i="137"/>
  <c r="G188" i="137"/>
  <c r="F188" i="137"/>
  <c r="E188" i="137"/>
  <c r="D188" i="137"/>
  <c r="C188" i="137"/>
  <c r="B188" i="137"/>
  <c r="N187" i="137"/>
  <c r="M187" i="137"/>
  <c r="L187" i="137"/>
  <c r="K187" i="137"/>
  <c r="J187" i="137"/>
  <c r="I187" i="137"/>
  <c r="H187" i="137"/>
  <c r="G187" i="137"/>
  <c r="F187" i="137"/>
  <c r="E187" i="137"/>
  <c r="D187" i="137"/>
  <c r="C187" i="137"/>
  <c r="B187" i="137"/>
  <c r="N186" i="137"/>
  <c r="M186" i="137"/>
  <c r="L186" i="137"/>
  <c r="K186" i="137"/>
  <c r="J186" i="137"/>
  <c r="I186" i="137"/>
  <c r="H186" i="137"/>
  <c r="G186" i="137"/>
  <c r="F186" i="137"/>
  <c r="E186" i="137"/>
  <c r="D186" i="137"/>
  <c r="C186" i="137"/>
  <c r="B186" i="137"/>
  <c r="N185" i="137"/>
  <c r="M185" i="137"/>
  <c r="L185" i="137"/>
  <c r="K185" i="137"/>
  <c r="J185" i="137"/>
  <c r="I185" i="137"/>
  <c r="H185" i="137"/>
  <c r="G185" i="137"/>
  <c r="F185" i="137"/>
  <c r="E185" i="137"/>
  <c r="D185" i="137"/>
  <c r="C185" i="137"/>
  <c r="B185" i="137"/>
  <c r="N184" i="137"/>
  <c r="M184" i="137"/>
  <c r="L184" i="137"/>
  <c r="K184" i="137"/>
  <c r="J184" i="137"/>
  <c r="I184" i="137"/>
  <c r="H184" i="137"/>
  <c r="G184" i="137"/>
  <c r="F184" i="137"/>
  <c r="E184" i="137"/>
  <c r="D184" i="137"/>
  <c r="C184" i="137"/>
  <c r="B184" i="137"/>
  <c r="N183" i="137"/>
  <c r="M183" i="137"/>
  <c r="L183" i="137"/>
  <c r="K183" i="137"/>
  <c r="J183" i="137"/>
  <c r="I183" i="137"/>
  <c r="H183" i="137"/>
  <c r="G183" i="137"/>
  <c r="F183" i="137"/>
  <c r="E183" i="137"/>
  <c r="D183" i="137"/>
  <c r="C183" i="137"/>
  <c r="B183" i="137"/>
  <c r="N182" i="137"/>
  <c r="M182" i="137"/>
  <c r="L182" i="137"/>
  <c r="K182" i="137"/>
  <c r="J182" i="137"/>
  <c r="I182" i="137"/>
  <c r="H182" i="137"/>
  <c r="G182" i="137"/>
  <c r="F182" i="137"/>
  <c r="E182" i="137"/>
  <c r="D182" i="137"/>
  <c r="C182" i="137"/>
  <c r="B182" i="137"/>
  <c r="N181" i="137"/>
  <c r="M181" i="137"/>
  <c r="L181" i="137"/>
  <c r="K181" i="137"/>
  <c r="J181" i="137"/>
  <c r="I181" i="137"/>
  <c r="H181" i="137"/>
  <c r="G181" i="137"/>
  <c r="F181" i="137"/>
  <c r="E181" i="137"/>
  <c r="D181" i="137"/>
  <c r="C181" i="137"/>
  <c r="B181" i="137"/>
  <c r="N180" i="137"/>
  <c r="M180" i="137"/>
  <c r="L180" i="137"/>
  <c r="K180" i="137"/>
  <c r="J180" i="137"/>
  <c r="I180" i="137"/>
  <c r="H180" i="137"/>
  <c r="G180" i="137"/>
  <c r="F180" i="137"/>
  <c r="E180" i="137"/>
  <c r="D180" i="137"/>
  <c r="C180" i="137"/>
  <c r="B180" i="137"/>
  <c r="N179" i="137"/>
  <c r="M179" i="137"/>
  <c r="L179" i="137"/>
  <c r="K179" i="137"/>
  <c r="J179" i="137"/>
  <c r="I179" i="137"/>
  <c r="H179" i="137"/>
  <c r="G179" i="137"/>
  <c r="F179" i="137"/>
  <c r="E179" i="137"/>
  <c r="D179" i="137"/>
  <c r="C179" i="137"/>
  <c r="B179" i="137"/>
  <c r="N178" i="137"/>
  <c r="M178" i="137"/>
  <c r="L178" i="137"/>
  <c r="K178" i="137"/>
  <c r="J178" i="137"/>
  <c r="I178" i="137"/>
  <c r="H178" i="137"/>
  <c r="G178" i="137"/>
  <c r="F178" i="137"/>
  <c r="E178" i="137"/>
  <c r="D178" i="137"/>
  <c r="C178" i="137"/>
  <c r="B178" i="137"/>
  <c r="N172" i="137"/>
  <c r="M172" i="137"/>
  <c r="L172" i="137"/>
  <c r="K172" i="137"/>
  <c r="J172" i="137"/>
  <c r="I172" i="137"/>
  <c r="H172" i="137"/>
  <c r="G172" i="137"/>
  <c r="F172" i="137"/>
  <c r="E172" i="137"/>
  <c r="D172" i="137"/>
  <c r="C172" i="137"/>
  <c r="A172" i="137"/>
  <c r="N171" i="137"/>
  <c r="M171" i="137"/>
  <c r="L171" i="137"/>
  <c r="K171" i="137"/>
  <c r="J171" i="137"/>
  <c r="I171" i="137"/>
  <c r="H171" i="137"/>
  <c r="G171" i="137"/>
  <c r="F171" i="137"/>
  <c r="E171" i="137"/>
  <c r="D171" i="137"/>
  <c r="C171" i="137"/>
  <c r="B171" i="137"/>
  <c r="N170" i="137"/>
  <c r="M170" i="137"/>
  <c r="L170" i="137"/>
  <c r="K170" i="137"/>
  <c r="J170" i="137"/>
  <c r="I170" i="137"/>
  <c r="H170" i="137"/>
  <c r="G170" i="137"/>
  <c r="F170" i="137"/>
  <c r="E170" i="137"/>
  <c r="D170" i="137"/>
  <c r="C170" i="137"/>
  <c r="B170" i="137"/>
  <c r="N169" i="137"/>
  <c r="M169" i="137"/>
  <c r="L169" i="137"/>
  <c r="K169" i="137"/>
  <c r="J169" i="137"/>
  <c r="I169" i="137"/>
  <c r="H169" i="137"/>
  <c r="G169" i="137"/>
  <c r="F169" i="137"/>
  <c r="E169" i="137"/>
  <c r="D169" i="137"/>
  <c r="C169" i="137"/>
  <c r="B169" i="137"/>
  <c r="N168" i="137"/>
  <c r="M168" i="137"/>
  <c r="L168" i="137"/>
  <c r="K168" i="137"/>
  <c r="J168" i="137"/>
  <c r="I168" i="137"/>
  <c r="H168" i="137"/>
  <c r="G168" i="137"/>
  <c r="F168" i="137"/>
  <c r="E168" i="137"/>
  <c r="D168" i="137"/>
  <c r="C168" i="137"/>
  <c r="B168" i="137"/>
  <c r="N167" i="137"/>
  <c r="M167" i="137"/>
  <c r="L167" i="137"/>
  <c r="K167" i="137"/>
  <c r="J167" i="137"/>
  <c r="I167" i="137"/>
  <c r="H167" i="137"/>
  <c r="G167" i="137"/>
  <c r="F167" i="137"/>
  <c r="E167" i="137"/>
  <c r="D167" i="137"/>
  <c r="C167" i="137"/>
  <c r="B167" i="137"/>
  <c r="N166" i="137"/>
  <c r="M166" i="137"/>
  <c r="L166" i="137"/>
  <c r="K166" i="137"/>
  <c r="J166" i="137"/>
  <c r="I166" i="137"/>
  <c r="H166" i="137"/>
  <c r="G166" i="137"/>
  <c r="F166" i="137"/>
  <c r="E166" i="137"/>
  <c r="D166" i="137"/>
  <c r="C166" i="137"/>
  <c r="B166" i="137"/>
  <c r="N165" i="137"/>
  <c r="M165" i="137"/>
  <c r="L165" i="137"/>
  <c r="K165" i="137"/>
  <c r="J165" i="137"/>
  <c r="I165" i="137"/>
  <c r="H165" i="137"/>
  <c r="G165" i="137"/>
  <c r="F165" i="137"/>
  <c r="E165" i="137"/>
  <c r="D165" i="137"/>
  <c r="C165" i="137"/>
  <c r="B165" i="137"/>
  <c r="N164" i="137"/>
  <c r="M164" i="137"/>
  <c r="L164" i="137"/>
  <c r="K164" i="137"/>
  <c r="J164" i="137"/>
  <c r="I164" i="137"/>
  <c r="H164" i="137"/>
  <c r="G164" i="137"/>
  <c r="F164" i="137"/>
  <c r="E164" i="137"/>
  <c r="D164" i="137"/>
  <c r="C164" i="137"/>
  <c r="B164" i="137"/>
  <c r="N163" i="137"/>
  <c r="M163" i="137"/>
  <c r="L163" i="137"/>
  <c r="K163" i="137"/>
  <c r="J163" i="137"/>
  <c r="I163" i="137"/>
  <c r="H163" i="137"/>
  <c r="G163" i="137"/>
  <c r="F163" i="137"/>
  <c r="E163" i="137"/>
  <c r="D163" i="137"/>
  <c r="C163" i="137"/>
  <c r="B163" i="137"/>
  <c r="N162" i="137"/>
  <c r="M162" i="137"/>
  <c r="L162" i="137"/>
  <c r="K162" i="137"/>
  <c r="J162" i="137"/>
  <c r="I162" i="137"/>
  <c r="H162" i="137"/>
  <c r="G162" i="137"/>
  <c r="F162" i="137"/>
  <c r="E162" i="137"/>
  <c r="D162" i="137"/>
  <c r="C162" i="137"/>
  <c r="B162" i="137"/>
  <c r="N161" i="137"/>
  <c r="M161" i="137"/>
  <c r="L161" i="137"/>
  <c r="K161" i="137"/>
  <c r="J161" i="137"/>
  <c r="I161" i="137"/>
  <c r="H161" i="137"/>
  <c r="G161" i="137"/>
  <c r="F161" i="137"/>
  <c r="E161" i="137"/>
  <c r="D161" i="137"/>
  <c r="C161" i="137"/>
  <c r="B161" i="137"/>
  <c r="N160" i="137"/>
  <c r="M160" i="137"/>
  <c r="L160" i="137"/>
  <c r="K160" i="137"/>
  <c r="J160" i="137"/>
  <c r="I160" i="137"/>
  <c r="H160" i="137"/>
  <c r="G160" i="137"/>
  <c r="F160" i="137"/>
  <c r="E160" i="137"/>
  <c r="D160" i="137"/>
  <c r="C160" i="137"/>
  <c r="B160" i="137"/>
  <c r="N156" i="137"/>
  <c r="M156" i="137"/>
  <c r="L156" i="137"/>
  <c r="K156" i="137"/>
  <c r="J156" i="137"/>
  <c r="I156" i="137"/>
  <c r="H156" i="137"/>
  <c r="G156" i="137"/>
  <c r="F156" i="137"/>
  <c r="E156" i="137"/>
  <c r="D156" i="137"/>
  <c r="C156" i="137"/>
  <c r="A156" i="137"/>
  <c r="N155" i="137"/>
  <c r="M155" i="137"/>
  <c r="L155" i="137"/>
  <c r="K155" i="137"/>
  <c r="J155" i="137"/>
  <c r="I155" i="137"/>
  <c r="H155" i="137"/>
  <c r="G155" i="137"/>
  <c r="F155" i="137"/>
  <c r="E155" i="137"/>
  <c r="D155" i="137"/>
  <c r="C155" i="137"/>
  <c r="B155" i="137"/>
  <c r="N154" i="137"/>
  <c r="M154" i="137"/>
  <c r="L154" i="137"/>
  <c r="K154" i="137"/>
  <c r="J154" i="137"/>
  <c r="I154" i="137"/>
  <c r="H154" i="137"/>
  <c r="G154" i="137"/>
  <c r="F154" i="137"/>
  <c r="E154" i="137"/>
  <c r="D154" i="137"/>
  <c r="C154" i="137"/>
  <c r="B154" i="137"/>
  <c r="N153" i="137"/>
  <c r="M153" i="137"/>
  <c r="L153" i="137"/>
  <c r="K153" i="137"/>
  <c r="J153" i="137"/>
  <c r="I153" i="137"/>
  <c r="H153" i="137"/>
  <c r="G153" i="137"/>
  <c r="F153" i="137"/>
  <c r="E153" i="137"/>
  <c r="D153" i="137"/>
  <c r="C153" i="137"/>
  <c r="B153" i="137"/>
  <c r="N152" i="137"/>
  <c r="M152" i="137"/>
  <c r="L152" i="137"/>
  <c r="K152" i="137"/>
  <c r="J152" i="137"/>
  <c r="I152" i="137"/>
  <c r="H152" i="137"/>
  <c r="G152" i="137"/>
  <c r="F152" i="137"/>
  <c r="E152" i="137"/>
  <c r="D152" i="137"/>
  <c r="C152" i="137"/>
  <c r="B152" i="137"/>
  <c r="N151" i="137"/>
  <c r="M151" i="137"/>
  <c r="L151" i="137"/>
  <c r="K151" i="137"/>
  <c r="J151" i="137"/>
  <c r="I151" i="137"/>
  <c r="H151" i="137"/>
  <c r="G151" i="137"/>
  <c r="F151" i="137"/>
  <c r="E151" i="137"/>
  <c r="D151" i="137"/>
  <c r="C151" i="137"/>
  <c r="B151" i="137"/>
  <c r="N150" i="137"/>
  <c r="M150" i="137"/>
  <c r="L150" i="137"/>
  <c r="K150" i="137"/>
  <c r="J150" i="137"/>
  <c r="I150" i="137"/>
  <c r="H150" i="137"/>
  <c r="G150" i="137"/>
  <c r="F150" i="137"/>
  <c r="E150" i="137"/>
  <c r="D150" i="137"/>
  <c r="C150" i="137"/>
  <c r="B150" i="137"/>
  <c r="N149" i="137"/>
  <c r="M149" i="137"/>
  <c r="L149" i="137"/>
  <c r="K149" i="137"/>
  <c r="J149" i="137"/>
  <c r="I149" i="137"/>
  <c r="H149" i="137"/>
  <c r="G149" i="137"/>
  <c r="F149" i="137"/>
  <c r="E149" i="137"/>
  <c r="D149" i="137"/>
  <c r="C149" i="137"/>
  <c r="B149" i="137"/>
  <c r="N148" i="137"/>
  <c r="M148" i="137"/>
  <c r="L148" i="137"/>
  <c r="K148" i="137"/>
  <c r="J148" i="137"/>
  <c r="I148" i="137"/>
  <c r="H148" i="137"/>
  <c r="G148" i="137"/>
  <c r="F148" i="137"/>
  <c r="E148" i="137"/>
  <c r="D148" i="137"/>
  <c r="C148" i="137"/>
  <c r="B148" i="137"/>
  <c r="N147" i="137"/>
  <c r="M147" i="137"/>
  <c r="L147" i="137"/>
  <c r="K147" i="137"/>
  <c r="J147" i="137"/>
  <c r="I147" i="137"/>
  <c r="H147" i="137"/>
  <c r="G147" i="137"/>
  <c r="F147" i="137"/>
  <c r="E147" i="137"/>
  <c r="D147" i="137"/>
  <c r="C147" i="137"/>
  <c r="B147" i="137"/>
  <c r="N146" i="137"/>
  <c r="M146" i="137"/>
  <c r="L146" i="137"/>
  <c r="K146" i="137"/>
  <c r="J146" i="137"/>
  <c r="I146" i="137"/>
  <c r="H146" i="137"/>
  <c r="G146" i="137"/>
  <c r="F146" i="137"/>
  <c r="E146" i="137"/>
  <c r="D146" i="137"/>
  <c r="C146" i="137"/>
  <c r="B146" i="137"/>
  <c r="N145" i="137"/>
  <c r="M145" i="137"/>
  <c r="L145" i="137"/>
  <c r="K145" i="137"/>
  <c r="J145" i="137"/>
  <c r="I145" i="137"/>
  <c r="H145" i="137"/>
  <c r="G145" i="137"/>
  <c r="F145" i="137"/>
  <c r="E145" i="137"/>
  <c r="D145" i="137"/>
  <c r="C145" i="137"/>
  <c r="B145" i="137"/>
  <c r="N144" i="137"/>
  <c r="M144" i="137"/>
  <c r="L144" i="137"/>
  <c r="K144" i="137"/>
  <c r="J144" i="137"/>
  <c r="I144" i="137"/>
  <c r="H144" i="137"/>
  <c r="G144" i="137"/>
  <c r="F144" i="137"/>
  <c r="E144" i="137"/>
  <c r="D144" i="137"/>
  <c r="C144" i="137"/>
  <c r="B144" i="137"/>
  <c r="N138" i="137"/>
  <c r="M138" i="137"/>
  <c r="L138" i="137"/>
  <c r="K138" i="137"/>
  <c r="J138" i="137"/>
  <c r="I138" i="137"/>
  <c r="H138" i="137"/>
  <c r="G138" i="137"/>
  <c r="F138" i="137"/>
  <c r="E138" i="137"/>
  <c r="D138" i="137"/>
  <c r="C138" i="137"/>
  <c r="A138" i="137"/>
  <c r="N137" i="137"/>
  <c r="M137" i="137"/>
  <c r="L137" i="137"/>
  <c r="K137" i="137"/>
  <c r="J137" i="137"/>
  <c r="I137" i="137"/>
  <c r="H137" i="137"/>
  <c r="G137" i="137"/>
  <c r="F137" i="137"/>
  <c r="E137" i="137"/>
  <c r="D137" i="137"/>
  <c r="C137" i="137"/>
  <c r="B137" i="137"/>
  <c r="N136" i="137"/>
  <c r="M136" i="137"/>
  <c r="L136" i="137"/>
  <c r="K136" i="137"/>
  <c r="J136" i="137"/>
  <c r="I136" i="137"/>
  <c r="H136" i="137"/>
  <c r="G136" i="137"/>
  <c r="F136" i="137"/>
  <c r="E136" i="137"/>
  <c r="D136" i="137"/>
  <c r="C136" i="137"/>
  <c r="B136" i="137"/>
  <c r="N135" i="137"/>
  <c r="M135" i="137"/>
  <c r="L135" i="137"/>
  <c r="K135" i="137"/>
  <c r="J135" i="137"/>
  <c r="I135" i="137"/>
  <c r="H135" i="137"/>
  <c r="G135" i="137"/>
  <c r="F135" i="137"/>
  <c r="E135" i="137"/>
  <c r="D135" i="137"/>
  <c r="C135" i="137"/>
  <c r="B135" i="137"/>
  <c r="N134" i="137"/>
  <c r="M134" i="137"/>
  <c r="L134" i="137"/>
  <c r="K134" i="137"/>
  <c r="J134" i="137"/>
  <c r="I134" i="137"/>
  <c r="H134" i="137"/>
  <c r="G134" i="137"/>
  <c r="F134" i="137"/>
  <c r="E134" i="137"/>
  <c r="D134" i="137"/>
  <c r="C134" i="137"/>
  <c r="B134" i="137"/>
  <c r="N133" i="137"/>
  <c r="M133" i="137"/>
  <c r="L133" i="137"/>
  <c r="K133" i="137"/>
  <c r="J133" i="137"/>
  <c r="I133" i="137"/>
  <c r="H133" i="137"/>
  <c r="G133" i="137"/>
  <c r="F133" i="137"/>
  <c r="E133" i="137"/>
  <c r="D133" i="137"/>
  <c r="C133" i="137"/>
  <c r="B133" i="137"/>
  <c r="N132" i="137"/>
  <c r="M132" i="137"/>
  <c r="L132" i="137"/>
  <c r="K132" i="137"/>
  <c r="J132" i="137"/>
  <c r="I132" i="137"/>
  <c r="H132" i="137"/>
  <c r="G132" i="137"/>
  <c r="F132" i="137"/>
  <c r="E132" i="137"/>
  <c r="D132" i="137"/>
  <c r="C132" i="137"/>
  <c r="B132" i="137"/>
  <c r="N131" i="137"/>
  <c r="M131" i="137"/>
  <c r="L131" i="137"/>
  <c r="K131" i="137"/>
  <c r="J131" i="137"/>
  <c r="I131" i="137"/>
  <c r="H131" i="137"/>
  <c r="G131" i="137"/>
  <c r="F131" i="137"/>
  <c r="E131" i="137"/>
  <c r="D131" i="137"/>
  <c r="C131" i="137"/>
  <c r="B131" i="137"/>
  <c r="N130" i="137"/>
  <c r="M130" i="137"/>
  <c r="L130" i="137"/>
  <c r="K130" i="137"/>
  <c r="J130" i="137"/>
  <c r="I130" i="137"/>
  <c r="H130" i="137"/>
  <c r="G130" i="137"/>
  <c r="F130" i="137"/>
  <c r="E130" i="137"/>
  <c r="D130" i="137"/>
  <c r="C130" i="137"/>
  <c r="B130" i="137"/>
  <c r="N129" i="137"/>
  <c r="M129" i="137"/>
  <c r="L129" i="137"/>
  <c r="K129" i="137"/>
  <c r="J129" i="137"/>
  <c r="I129" i="137"/>
  <c r="H129" i="137"/>
  <c r="G129" i="137"/>
  <c r="F129" i="137"/>
  <c r="E129" i="137"/>
  <c r="D129" i="137"/>
  <c r="C129" i="137"/>
  <c r="B129" i="137"/>
  <c r="N128" i="137"/>
  <c r="M128" i="137"/>
  <c r="L128" i="137"/>
  <c r="K128" i="137"/>
  <c r="J128" i="137"/>
  <c r="I128" i="137"/>
  <c r="H128" i="137"/>
  <c r="G128" i="137"/>
  <c r="F128" i="137"/>
  <c r="E128" i="137"/>
  <c r="D128" i="137"/>
  <c r="C128" i="137"/>
  <c r="B128" i="137"/>
  <c r="N127" i="137"/>
  <c r="M127" i="137"/>
  <c r="L127" i="137"/>
  <c r="K127" i="137"/>
  <c r="J127" i="137"/>
  <c r="I127" i="137"/>
  <c r="H127" i="137"/>
  <c r="G127" i="137"/>
  <c r="F127" i="137"/>
  <c r="E127" i="137"/>
  <c r="D127" i="137"/>
  <c r="C127" i="137"/>
  <c r="B127" i="137"/>
  <c r="N126" i="137"/>
  <c r="M126" i="137"/>
  <c r="L126" i="137"/>
  <c r="K126" i="137"/>
  <c r="J126" i="137"/>
  <c r="I126" i="137"/>
  <c r="H126" i="137"/>
  <c r="G126" i="137"/>
  <c r="F126" i="137"/>
  <c r="E126" i="137"/>
  <c r="D126" i="137"/>
  <c r="C126" i="137"/>
  <c r="B126" i="137"/>
  <c r="N122" i="137"/>
  <c r="M122" i="137"/>
  <c r="L122" i="137"/>
  <c r="K122" i="137"/>
  <c r="J122" i="137"/>
  <c r="I122" i="137"/>
  <c r="H122" i="137"/>
  <c r="G122" i="137"/>
  <c r="F122" i="137"/>
  <c r="E122" i="137"/>
  <c r="D122" i="137"/>
  <c r="C122" i="137"/>
  <c r="A122" i="137"/>
  <c r="N121" i="137"/>
  <c r="M121" i="137"/>
  <c r="L121" i="137"/>
  <c r="K121" i="137"/>
  <c r="J121" i="137"/>
  <c r="I121" i="137"/>
  <c r="H121" i="137"/>
  <c r="G121" i="137"/>
  <c r="F121" i="137"/>
  <c r="E121" i="137"/>
  <c r="D121" i="137"/>
  <c r="C121" i="137"/>
  <c r="B121" i="137"/>
  <c r="N120" i="137"/>
  <c r="M120" i="137"/>
  <c r="L120" i="137"/>
  <c r="K120" i="137"/>
  <c r="J120" i="137"/>
  <c r="I120" i="137"/>
  <c r="H120" i="137"/>
  <c r="G120" i="137"/>
  <c r="F120" i="137"/>
  <c r="E120" i="137"/>
  <c r="D120" i="137"/>
  <c r="C120" i="137"/>
  <c r="B120" i="137"/>
  <c r="N119" i="137"/>
  <c r="M119" i="137"/>
  <c r="L119" i="137"/>
  <c r="K119" i="137"/>
  <c r="J119" i="137"/>
  <c r="I119" i="137"/>
  <c r="H119" i="137"/>
  <c r="G119" i="137"/>
  <c r="F119" i="137"/>
  <c r="E119" i="137"/>
  <c r="D119" i="137"/>
  <c r="C119" i="137"/>
  <c r="B119" i="137"/>
  <c r="N118" i="137"/>
  <c r="M118" i="137"/>
  <c r="L118" i="137"/>
  <c r="K118" i="137"/>
  <c r="J118" i="137"/>
  <c r="I118" i="137"/>
  <c r="H118" i="137"/>
  <c r="G118" i="137"/>
  <c r="F118" i="137"/>
  <c r="E118" i="137"/>
  <c r="D118" i="137"/>
  <c r="C118" i="137"/>
  <c r="B118" i="137"/>
  <c r="N117" i="137"/>
  <c r="M117" i="137"/>
  <c r="L117" i="137"/>
  <c r="K117" i="137"/>
  <c r="J117" i="137"/>
  <c r="I117" i="137"/>
  <c r="H117" i="137"/>
  <c r="G117" i="137"/>
  <c r="F117" i="137"/>
  <c r="E117" i="137"/>
  <c r="D117" i="137"/>
  <c r="C117" i="137"/>
  <c r="B117" i="137"/>
  <c r="N116" i="137"/>
  <c r="M116" i="137"/>
  <c r="L116" i="137"/>
  <c r="K116" i="137"/>
  <c r="J116" i="137"/>
  <c r="I116" i="137"/>
  <c r="H116" i="137"/>
  <c r="G116" i="137"/>
  <c r="F116" i="137"/>
  <c r="E116" i="137"/>
  <c r="D116" i="137"/>
  <c r="C116" i="137"/>
  <c r="B116" i="137"/>
  <c r="N115" i="137"/>
  <c r="M115" i="137"/>
  <c r="L115" i="137"/>
  <c r="K115" i="137"/>
  <c r="J115" i="137"/>
  <c r="I115" i="137"/>
  <c r="H115" i="137"/>
  <c r="G115" i="137"/>
  <c r="F115" i="137"/>
  <c r="E115" i="137"/>
  <c r="D115" i="137"/>
  <c r="C115" i="137"/>
  <c r="B115" i="137"/>
  <c r="N114" i="137"/>
  <c r="M114" i="137"/>
  <c r="L114" i="137"/>
  <c r="K114" i="137"/>
  <c r="J114" i="137"/>
  <c r="I114" i="137"/>
  <c r="H114" i="137"/>
  <c r="G114" i="137"/>
  <c r="F114" i="137"/>
  <c r="E114" i="137"/>
  <c r="D114" i="137"/>
  <c r="C114" i="137"/>
  <c r="B114" i="137"/>
  <c r="N113" i="137"/>
  <c r="M113" i="137"/>
  <c r="L113" i="137"/>
  <c r="K113" i="137"/>
  <c r="J113" i="137"/>
  <c r="I113" i="137"/>
  <c r="H113" i="137"/>
  <c r="G113" i="137"/>
  <c r="F113" i="137"/>
  <c r="E113" i="137"/>
  <c r="D113" i="137"/>
  <c r="C113" i="137"/>
  <c r="B113" i="137"/>
  <c r="N112" i="137"/>
  <c r="M112" i="137"/>
  <c r="L112" i="137"/>
  <c r="K112" i="137"/>
  <c r="J112" i="137"/>
  <c r="I112" i="137"/>
  <c r="H112" i="137"/>
  <c r="G112" i="137"/>
  <c r="F112" i="137"/>
  <c r="E112" i="137"/>
  <c r="D112" i="137"/>
  <c r="C112" i="137"/>
  <c r="B112" i="137"/>
  <c r="N111" i="137"/>
  <c r="M111" i="137"/>
  <c r="L111" i="137"/>
  <c r="K111" i="137"/>
  <c r="J111" i="137"/>
  <c r="I111" i="137"/>
  <c r="H111" i="137"/>
  <c r="G111" i="137"/>
  <c r="F111" i="137"/>
  <c r="E111" i="137"/>
  <c r="D111" i="137"/>
  <c r="C111" i="137"/>
  <c r="B111" i="137"/>
  <c r="N110" i="137"/>
  <c r="M110" i="137"/>
  <c r="L110" i="137"/>
  <c r="K110" i="137"/>
  <c r="J110" i="137"/>
  <c r="I110" i="137"/>
  <c r="H110" i="137"/>
  <c r="G110" i="137"/>
  <c r="F110" i="137"/>
  <c r="E110" i="137"/>
  <c r="D110" i="137"/>
  <c r="C110" i="137"/>
  <c r="B110" i="137"/>
  <c r="N104" i="137"/>
  <c r="M104" i="137"/>
  <c r="L104" i="137"/>
  <c r="K104" i="137"/>
  <c r="J104" i="137"/>
  <c r="I104" i="137"/>
  <c r="H104" i="137"/>
  <c r="G104" i="137"/>
  <c r="F104" i="137"/>
  <c r="E104" i="137"/>
  <c r="D104" i="137"/>
  <c r="C104" i="137"/>
  <c r="A104" i="137"/>
  <c r="N103" i="137"/>
  <c r="M103" i="137"/>
  <c r="L103" i="137"/>
  <c r="K103" i="137"/>
  <c r="J103" i="137"/>
  <c r="I103" i="137"/>
  <c r="H103" i="137"/>
  <c r="G103" i="137"/>
  <c r="F103" i="137"/>
  <c r="E103" i="137"/>
  <c r="D103" i="137"/>
  <c r="C103" i="137"/>
  <c r="B103" i="137"/>
  <c r="N102" i="137"/>
  <c r="M102" i="137"/>
  <c r="L102" i="137"/>
  <c r="K102" i="137"/>
  <c r="J102" i="137"/>
  <c r="I102" i="137"/>
  <c r="H102" i="137"/>
  <c r="G102" i="137"/>
  <c r="F102" i="137"/>
  <c r="E102" i="137"/>
  <c r="D102" i="137"/>
  <c r="C102" i="137"/>
  <c r="B102" i="137"/>
  <c r="N101" i="137"/>
  <c r="M101" i="137"/>
  <c r="L101" i="137"/>
  <c r="K101" i="137"/>
  <c r="J101" i="137"/>
  <c r="I101" i="137"/>
  <c r="H101" i="137"/>
  <c r="G101" i="137"/>
  <c r="F101" i="137"/>
  <c r="E101" i="137"/>
  <c r="D101" i="137"/>
  <c r="C101" i="137"/>
  <c r="B101" i="137"/>
  <c r="N100" i="137"/>
  <c r="M100" i="137"/>
  <c r="L100" i="137"/>
  <c r="K100" i="137"/>
  <c r="J100" i="137"/>
  <c r="I100" i="137"/>
  <c r="H100" i="137"/>
  <c r="G100" i="137"/>
  <c r="F100" i="137"/>
  <c r="E100" i="137"/>
  <c r="D100" i="137"/>
  <c r="C100" i="137"/>
  <c r="B100" i="137"/>
  <c r="N99" i="137"/>
  <c r="M99" i="137"/>
  <c r="L99" i="137"/>
  <c r="K99" i="137"/>
  <c r="J99" i="137"/>
  <c r="I99" i="137"/>
  <c r="H99" i="137"/>
  <c r="G99" i="137"/>
  <c r="F99" i="137"/>
  <c r="E99" i="137"/>
  <c r="D99" i="137"/>
  <c r="C99" i="137"/>
  <c r="B99" i="137"/>
  <c r="N98" i="137"/>
  <c r="M98" i="137"/>
  <c r="L98" i="137"/>
  <c r="K98" i="137"/>
  <c r="J98" i="137"/>
  <c r="I98" i="137"/>
  <c r="H98" i="137"/>
  <c r="G98" i="137"/>
  <c r="F98" i="137"/>
  <c r="E98" i="137"/>
  <c r="D98" i="137"/>
  <c r="C98" i="137"/>
  <c r="B98" i="137"/>
  <c r="N97" i="137"/>
  <c r="M97" i="137"/>
  <c r="L97" i="137"/>
  <c r="K97" i="137"/>
  <c r="J97" i="137"/>
  <c r="I97" i="137"/>
  <c r="H97" i="137"/>
  <c r="G97" i="137"/>
  <c r="F97" i="137"/>
  <c r="E97" i="137"/>
  <c r="D97" i="137"/>
  <c r="C97" i="137"/>
  <c r="B97" i="137"/>
  <c r="N96" i="137"/>
  <c r="M96" i="137"/>
  <c r="L96" i="137"/>
  <c r="K96" i="137"/>
  <c r="J96" i="137"/>
  <c r="I96" i="137"/>
  <c r="H96" i="137"/>
  <c r="G96" i="137"/>
  <c r="F96" i="137"/>
  <c r="E96" i="137"/>
  <c r="D96" i="137"/>
  <c r="C96" i="137"/>
  <c r="B96" i="137"/>
  <c r="N95" i="137"/>
  <c r="M95" i="137"/>
  <c r="L95" i="137"/>
  <c r="K95" i="137"/>
  <c r="J95" i="137"/>
  <c r="I95" i="137"/>
  <c r="H95" i="137"/>
  <c r="G95" i="137"/>
  <c r="F95" i="137"/>
  <c r="E95" i="137"/>
  <c r="D95" i="137"/>
  <c r="C95" i="137"/>
  <c r="B95" i="137"/>
  <c r="N94" i="137"/>
  <c r="M94" i="137"/>
  <c r="L94" i="137"/>
  <c r="K94" i="137"/>
  <c r="J94" i="137"/>
  <c r="I94" i="137"/>
  <c r="H94" i="137"/>
  <c r="G94" i="137"/>
  <c r="F94" i="137"/>
  <c r="E94" i="137"/>
  <c r="D94" i="137"/>
  <c r="C94" i="137"/>
  <c r="B94" i="137"/>
  <c r="N93" i="137"/>
  <c r="M93" i="137"/>
  <c r="L93" i="137"/>
  <c r="K93" i="137"/>
  <c r="J93" i="137"/>
  <c r="I93" i="137"/>
  <c r="H93" i="137"/>
  <c r="G93" i="137"/>
  <c r="F93" i="137"/>
  <c r="E93" i="137"/>
  <c r="D93" i="137"/>
  <c r="C93" i="137"/>
  <c r="B93" i="137"/>
  <c r="N92" i="137"/>
  <c r="M92" i="137"/>
  <c r="L92" i="137"/>
  <c r="K92" i="137"/>
  <c r="J92" i="137"/>
  <c r="I92" i="137"/>
  <c r="H92" i="137"/>
  <c r="G92" i="137"/>
  <c r="F92" i="137"/>
  <c r="E92" i="137"/>
  <c r="D92" i="137"/>
  <c r="C92" i="137"/>
  <c r="B92" i="137"/>
  <c r="N88" i="137"/>
  <c r="M88" i="137"/>
  <c r="L88" i="137"/>
  <c r="K88" i="137"/>
  <c r="J88" i="137"/>
  <c r="I88" i="137"/>
  <c r="H88" i="137"/>
  <c r="G88" i="137"/>
  <c r="F88" i="137"/>
  <c r="E88" i="137"/>
  <c r="D88" i="137"/>
  <c r="C88" i="137"/>
  <c r="A88" i="137"/>
  <c r="N87" i="137"/>
  <c r="M87" i="137"/>
  <c r="L87" i="137"/>
  <c r="K87" i="137"/>
  <c r="J87" i="137"/>
  <c r="I87" i="137"/>
  <c r="H87" i="137"/>
  <c r="G87" i="137"/>
  <c r="F87" i="137"/>
  <c r="E87" i="137"/>
  <c r="D87" i="137"/>
  <c r="C87" i="137"/>
  <c r="B87" i="137"/>
  <c r="N86" i="137"/>
  <c r="M86" i="137"/>
  <c r="L86" i="137"/>
  <c r="K86" i="137"/>
  <c r="J86" i="137"/>
  <c r="I86" i="137"/>
  <c r="H86" i="137"/>
  <c r="G86" i="137"/>
  <c r="F86" i="137"/>
  <c r="E86" i="137"/>
  <c r="D86" i="137"/>
  <c r="C86" i="137"/>
  <c r="B86" i="137"/>
  <c r="N85" i="137"/>
  <c r="M85" i="137"/>
  <c r="L85" i="137"/>
  <c r="K85" i="137"/>
  <c r="J85" i="137"/>
  <c r="I85" i="137"/>
  <c r="H85" i="137"/>
  <c r="G85" i="137"/>
  <c r="F85" i="137"/>
  <c r="E85" i="137"/>
  <c r="D85" i="137"/>
  <c r="C85" i="137"/>
  <c r="B85" i="137"/>
  <c r="N84" i="137"/>
  <c r="M84" i="137"/>
  <c r="L84" i="137"/>
  <c r="K84" i="137"/>
  <c r="J84" i="137"/>
  <c r="I84" i="137"/>
  <c r="H84" i="137"/>
  <c r="G84" i="137"/>
  <c r="F84" i="137"/>
  <c r="E84" i="137"/>
  <c r="D84" i="137"/>
  <c r="C84" i="137"/>
  <c r="B84" i="137"/>
  <c r="N83" i="137"/>
  <c r="M83" i="137"/>
  <c r="L83" i="137"/>
  <c r="K83" i="137"/>
  <c r="J83" i="137"/>
  <c r="I83" i="137"/>
  <c r="H83" i="137"/>
  <c r="G83" i="137"/>
  <c r="F83" i="137"/>
  <c r="E83" i="137"/>
  <c r="D83" i="137"/>
  <c r="C83" i="137"/>
  <c r="B83" i="137"/>
  <c r="N82" i="137"/>
  <c r="M82" i="137"/>
  <c r="L82" i="137"/>
  <c r="K82" i="137"/>
  <c r="J82" i="137"/>
  <c r="I82" i="137"/>
  <c r="H82" i="137"/>
  <c r="G82" i="137"/>
  <c r="F82" i="137"/>
  <c r="E82" i="137"/>
  <c r="D82" i="137"/>
  <c r="C82" i="137"/>
  <c r="B82" i="137"/>
  <c r="N81" i="137"/>
  <c r="M81" i="137"/>
  <c r="L81" i="137"/>
  <c r="K81" i="137"/>
  <c r="J81" i="137"/>
  <c r="I81" i="137"/>
  <c r="H81" i="137"/>
  <c r="G81" i="137"/>
  <c r="F81" i="137"/>
  <c r="E81" i="137"/>
  <c r="D81" i="137"/>
  <c r="C81" i="137"/>
  <c r="B81" i="137"/>
  <c r="N80" i="137"/>
  <c r="M80" i="137"/>
  <c r="L80" i="137"/>
  <c r="K80" i="137"/>
  <c r="J80" i="137"/>
  <c r="I80" i="137"/>
  <c r="H80" i="137"/>
  <c r="G80" i="137"/>
  <c r="F80" i="137"/>
  <c r="E80" i="137"/>
  <c r="D80" i="137"/>
  <c r="C80" i="137"/>
  <c r="B80" i="137"/>
  <c r="N79" i="137"/>
  <c r="M79" i="137"/>
  <c r="L79" i="137"/>
  <c r="K79" i="137"/>
  <c r="J79" i="137"/>
  <c r="I79" i="137"/>
  <c r="H79" i="137"/>
  <c r="G79" i="137"/>
  <c r="F79" i="137"/>
  <c r="E79" i="137"/>
  <c r="D79" i="137"/>
  <c r="C79" i="137"/>
  <c r="B79" i="137"/>
  <c r="N78" i="137"/>
  <c r="M78" i="137"/>
  <c r="L78" i="137"/>
  <c r="K78" i="137"/>
  <c r="J78" i="137"/>
  <c r="I78" i="137"/>
  <c r="H78" i="137"/>
  <c r="G78" i="137"/>
  <c r="F78" i="137"/>
  <c r="E78" i="137"/>
  <c r="D78" i="137"/>
  <c r="C78" i="137"/>
  <c r="B78" i="137"/>
  <c r="N77" i="137"/>
  <c r="M77" i="137"/>
  <c r="L77" i="137"/>
  <c r="K77" i="137"/>
  <c r="J77" i="137"/>
  <c r="I77" i="137"/>
  <c r="H77" i="137"/>
  <c r="G77" i="137"/>
  <c r="F77" i="137"/>
  <c r="E77" i="137"/>
  <c r="D77" i="137"/>
  <c r="C77" i="137"/>
  <c r="B77" i="137"/>
  <c r="N76" i="137"/>
  <c r="M76" i="137"/>
  <c r="L76" i="137"/>
  <c r="K76" i="137"/>
  <c r="J76" i="137"/>
  <c r="I76" i="137"/>
  <c r="H76" i="137"/>
  <c r="G76" i="137"/>
  <c r="F76" i="137"/>
  <c r="E76" i="137"/>
  <c r="D76" i="137"/>
  <c r="C76" i="137"/>
  <c r="B76" i="137"/>
  <c r="N70" i="137"/>
  <c r="M70" i="137"/>
  <c r="L70" i="137"/>
  <c r="K70" i="137"/>
  <c r="J70" i="137"/>
  <c r="I70" i="137"/>
  <c r="H70" i="137"/>
  <c r="G70" i="137"/>
  <c r="F70" i="137"/>
  <c r="E70" i="137"/>
  <c r="D70" i="137"/>
  <c r="C70" i="137"/>
  <c r="A70" i="137"/>
  <c r="N69" i="137"/>
  <c r="M69" i="137"/>
  <c r="L69" i="137"/>
  <c r="K69" i="137"/>
  <c r="J69" i="137"/>
  <c r="I69" i="137"/>
  <c r="H69" i="137"/>
  <c r="G69" i="137"/>
  <c r="F69" i="137"/>
  <c r="E69" i="137"/>
  <c r="D69" i="137"/>
  <c r="C69" i="137"/>
  <c r="B69" i="137"/>
  <c r="N68" i="137"/>
  <c r="M68" i="137"/>
  <c r="L68" i="137"/>
  <c r="K68" i="137"/>
  <c r="J68" i="137"/>
  <c r="I68" i="137"/>
  <c r="H68" i="137"/>
  <c r="G68" i="137"/>
  <c r="F68" i="137"/>
  <c r="E68" i="137"/>
  <c r="D68" i="137"/>
  <c r="C68" i="137"/>
  <c r="B68" i="137"/>
  <c r="N67" i="137"/>
  <c r="M67" i="137"/>
  <c r="L67" i="137"/>
  <c r="K67" i="137"/>
  <c r="J67" i="137"/>
  <c r="I67" i="137"/>
  <c r="H67" i="137"/>
  <c r="G67" i="137"/>
  <c r="F67" i="137"/>
  <c r="E67" i="137"/>
  <c r="D67" i="137"/>
  <c r="C67" i="137"/>
  <c r="B67" i="137"/>
  <c r="N66" i="137"/>
  <c r="M66" i="137"/>
  <c r="L66" i="137"/>
  <c r="K66" i="137"/>
  <c r="J66" i="137"/>
  <c r="I66" i="137"/>
  <c r="H66" i="137"/>
  <c r="G66" i="137"/>
  <c r="F66" i="137"/>
  <c r="E66" i="137"/>
  <c r="D66" i="137"/>
  <c r="C66" i="137"/>
  <c r="B66" i="137"/>
  <c r="N65" i="137"/>
  <c r="M65" i="137"/>
  <c r="L65" i="137"/>
  <c r="K65" i="137"/>
  <c r="J65" i="137"/>
  <c r="I65" i="137"/>
  <c r="H65" i="137"/>
  <c r="G65" i="137"/>
  <c r="F65" i="137"/>
  <c r="E65" i="137"/>
  <c r="D65" i="137"/>
  <c r="C65" i="137"/>
  <c r="B65" i="137"/>
  <c r="N64" i="137"/>
  <c r="M64" i="137"/>
  <c r="L64" i="137"/>
  <c r="K64" i="137"/>
  <c r="J64" i="137"/>
  <c r="I64" i="137"/>
  <c r="H64" i="137"/>
  <c r="G64" i="137"/>
  <c r="F64" i="137"/>
  <c r="E64" i="137"/>
  <c r="D64" i="137"/>
  <c r="C64" i="137"/>
  <c r="B64" i="137"/>
  <c r="N63" i="137"/>
  <c r="M63" i="137"/>
  <c r="L63" i="137"/>
  <c r="K63" i="137"/>
  <c r="J63" i="137"/>
  <c r="I63" i="137"/>
  <c r="H63" i="137"/>
  <c r="G63" i="137"/>
  <c r="F63" i="137"/>
  <c r="E63" i="137"/>
  <c r="D63" i="137"/>
  <c r="C63" i="137"/>
  <c r="B63" i="137"/>
  <c r="N62" i="137"/>
  <c r="M62" i="137"/>
  <c r="L62" i="137"/>
  <c r="K62" i="137"/>
  <c r="J62" i="137"/>
  <c r="I62" i="137"/>
  <c r="H62" i="137"/>
  <c r="G62" i="137"/>
  <c r="F62" i="137"/>
  <c r="E62" i="137"/>
  <c r="D62" i="137"/>
  <c r="C62" i="137"/>
  <c r="B62" i="137"/>
  <c r="N61" i="137"/>
  <c r="M61" i="137"/>
  <c r="L61" i="137"/>
  <c r="K61" i="137"/>
  <c r="J61" i="137"/>
  <c r="I61" i="137"/>
  <c r="H61" i="137"/>
  <c r="G61" i="137"/>
  <c r="F61" i="137"/>
  <c r="E61" i="137"/>
  <c r="D61" i="137"/>
  <c r="C61" i="137"/>
  <c r="B61" i="137"/>
  <c r="N60" i="137"/>
  <c r="M60" i="137"/>
  <c r="L60" i="137"/>
  <c r="K60" i="137"/>
  <c r="J60" i="137"/>
  <c r="I60" i="137"/>
  <c r="H60" i="137"/>
  <c r="G60" i="137"/>
  <c r="F60" i="137"/>
  <c r="E60" i="137"/>
  <c r="D60" i="137"/>
  <c r="C60" i="137"/>
  <c r="B60" i="137"/>
  <c r="N59" i="137"/>
  <c r="M59" i="137"/>
  <c r="L59" i="137"/>
  <c r="K59" i="137"/>
  <c r="J59" i="137"/>
  <c r="I59" i="137"/>
  <c r="H59" i="137"/>
  <c r="G59" i="137"/>
  <c r="F59" i="137"/>
  <c r="E59" i="137"/>
  <c r="D59" i="137"/>
  <c r="C59" i="137"/>
  <c r="B59" i="137"/>
  <c r="N58" i="137"/>
  <c r="M58" i="137"/>
  <c r="L58" i="137"/>
  <c r="K58" i="137"/>
  <c r="J58" i="137"/>
  <c r="I58" i="137"/>
  <c r="H58" i="137"/>
  <c r="G58" i="137"/>
  <c r="F58" i="137"/>
  <c r="E58" i="137"/>
  <c r="D58" i="137"/>
  <c r="C58" i="137"/>
  <c r="B58" i="137"/>
  <c r="N54" i="137"/>
  <c r="M54" i="137"/>
  <c r="L54" i="137"/>
  <c r="K54" i="137"/>
  <c r="J54" i="137"/>
  <c r="I54" i="137"/>
  <c r="H54" i="137"/>
  <c r="G54" i="137"/>
  <c r="F54" i="137"/>
  <c r="E54" i="137"/>
  <c r="D54" i="137"/>
  <c r="C54" i="137"/>
  <c r="A54" i="137"/>
  <c r="N53" i="137"/>
  <c r="M53" i="137"/>
  <c r="L53" i="137"/>
  <c r="K53" i="137"/>
  <c r="J53" i="137"/>
  <c r="I53" i="137"/>
  <c r="H53" i="137"/>
  <c r="G53" i="137"/>
  <c r="F53" i="137"/>
  <c r="E53" i="137"/>
  <c r="D53" i="137"/>
  <c r="C53" i="137"/>
  <c r="B53" i="137"/>
  <c r="N52" i="137"/>
  <c r="M52" i="137"/>
  <c r="L52" i="137"/>
  <c r="K52" i="137"/>
  <c r="J52" i="137"/>
  <c r="I52" i="137"/>
  <c r="H52" i="137"/>
  <c r="G52" i="137"/>
  <c r="F52" i="137"/>
  <c r="E52" i="137"/>
  <c r="D52" i="137"/>
  <c r="C52" i="137"/>
  <c r="B52" i="137"/>
  <c r="N51" i="137"/>
  <c r="M51" i="137"/>
  <c r="L51" i="137"/>
  <c r="K51" i="137"/>
  <c r="J51" i="137"/>
  <c r="I51" i="137"/>
  <c r="H51" i="137"/>
  <c r="G51" i="137"/>
  <c r="F51" i="137"/>
  <c r="E51" i="137"/>
  <c r="D51" i="137"/>
  <c r="C51" i="137"/>
  <c r="B51" i="137"/>
  <c r="N50" i="137"/>
  <c r="M50" i="137"/>
  <c r="L50" i="137"/>
  <c r="K50" i="137"/>
  <c r="J50" i="137"/>
  <c r="I50" i="137"/>
  <c r="H50" i="137"/>
  <c r="G50" i="137"/>
  <c r="F50" i="137"/>
  <c r="E50" i="137"/>
  <c r="D50" i="137"/>
  <c r="C50" i="137"/>
  <c r="B50" i="137"/>
  <c r="N49" i="137"/>
  <c r="M49" i="137"/>
  <c r="L49" i="137"/>
  <c r="K49" i="137"/>
  <c r="J49" i="137"/>
  <c r="I49" i="137"/>
  <c r="H49" i="137"/>
  <c r="G49" i="137"/>
  <c r="F49" i="137"/>
  <c r="E49" i="137"/>
  <c r="D49" i="137"/>
  <c r="C49" i="137"/>
  <c r="B49" i="137"/>
  <c r="N48" i="137"/>
  <c r="M48" i="137"/>
  <c r="L48" i="137"/>
  <c r="K48" i="137"/>
  <c r="J48" i="137"/>
  <c r="I48" i="137"/>
  <c r="H48" i="137"/>
  <c r="G48" i="137"/>
  <c r="F48" i="137"/>
  <c r="E48" i="137"/>
  <c r="D48" i="137"/>
  <c r="C48" i="137"/>
  <c r="B48" i="137"/>
  <c r="N47" i="137"/>
  <c r="M47" i="137"/>
  <c r="L47" i="137"/>
  <c r="K47" i="137"/>
  <c r="J47" i="137"/>
  <c r="I47" i="137"/>
  <c r="H47" i="137"/>
  <c r="G47" i="137"/>
  <c r="F47" i="137"/>
  <c r="E47" i="137"/>
  <c r="D47" i="137"/>
  <c r="C47" i="137"/>
  <c r="B47" i="137"/>
  <c r="N46" i="137"/>
  <c r="M46" i="137"/>
  <c r="L46" i="137"/>
  <c r="K46" i="137"/>
  <c r="J46" i="137"/>
  <c r="I46" i="137"/>
  <c r="H46" i="137"/>
  <c r="G46" i="137"/>
  <c r="F46" i="137"/>
  <c r="E46" i="137"/>
  <c r="D46" i="137"/>
  <c r="C46" i="137"/>
  <c r="B46" i="137"/>
  <c r="N45" i="137"/>
  <c r="M45" i="137"/>
  <c r="L45" i="137"/>
  <c r="K45" i="137"/>
  <c r="J45" i="137"/>
  <c r="I45" i="137"/>
  <c r="H45" i="137"/>
  <c r="G45" i="137"/>
  <c r="F45" i="137"/>
  <c r="E45" i="137"/>
  <c r="D45" i="137"/>
  <c r="C45" i="137"/>
  <c r="B45" i="137"/>
  <c r="N44" i="137"/>
  <c r="M44" i="137"/>
  <c r="L44" i="137"/>
  <c r="K44" i="137"/>
  <c r="J44" i="137"/>
  <c r="I44" i="137"/>
  <c r="H44" i="137"/>
  <c r="G44" i="137"/>
  <c r="F44" i="137"/>
  <c r="E44" i="137"/>
  <c r="D44" i="137"/>
  <c r="C44" i="137"/>
  <c r="B44" i="137"/>
  <c r="N43" i="137"/>
  <c r="M43" i="137"/>
  <c r="L43" i="137"/>
  <c r="K43" i="137"/>
  <c r="J43" i="137"/>
  <c r="I43" i="137"/>
  <c r="H43" i="137"/>
  <c r="G43" i="137"/>
  <c r="F43" i="137"/>
  <c r="E43" i="137"/>
  <c r="D43" i="137"/>
  <c r="C43" i="137"/>
  <c r="B43" i="137"/>
  <c r="N42" i="137"/>
  <c r="M42" i="137"/>
  <c r="L42" i="137"/>
  <c r="K42" i="137"/>
  <c r="J42" i="137"/>
  <c r="I42" i="137"/>
  <c r="H42" i="137"/>
  <c r="G42" i="137"/>
  <c r="F42" i="137"/>
  <c r="E42" i="137"/>
  <c r="D42" i="137"/>
  <c r="C42" i="137"/>
  <c r="B42" i="137"/>
  <c r="N36" i="137"/>
  <c r="M36" i="137"/>
  <c r="L36" i="137"/>
  <c r="K36" i="137"/>
  <c r="J36" i="137"/>
  <c r="I36" i="137"/>
  <c r="H36" i="137"/>
  <c r="G36" i="137"/>
  <c r="F36" i="137"/>
  <c r="E36" i="137"/>
  <c r="D36" i="137"/>
  <c r="C36" i="137"/>
  <c r="B36" i="137"/>
  <c r="N35" i="137"/>
  <c r="M35" i="137"/>
  <c r="L35" i="137"/>
  <c r="K35" i="137"/>
  <c r="J35" i="137"/>
  <c r="I35" i="137"/>
  <c r="H35" i="137"/>
  <c r="G35" i="137"/>
  <c r="F35" i="137"/>
  <c r="E35" i="137"/>
  <c r="D35" i="137"/>
  <c r="C35" i="137"/>
  <c r="B35" i="137"/>
  <c r="I31" i="137"/>
  <c r="H31" i="137"/>
  <c r="G31" i="137"/>
  <c r="E31" i="137"/>
  <c r="D31" i="137"/>
  <c r="C31" i="137"/>
  <c r="B31" i="137"/>
  <c r="A31" i="137"/>
  <c r="D30" i="137"/>
  <c r="C30" i="137"/>
  <c r="B30" i="137"/>
  <c r="D29" i="137"/>
  <c r="C29" i="137"/>
  <c r="B29" i="137"/>
  <c r="D28" i="137"/>
  <c r="C28" i="137"/>
  <c r="B28" i="137"/>
  <c r="D27" i="137"/>
  <c r="C27" i="137"/>
  <c r="B27" i="137"/>
  <c r="D26" i="137"/>
  <c r="C26" i="137"/>
  <c r="B26" i="137"/>
  <c r="D25" i="137"/>
  <c r="C25" i="137"/>
  <c r="B25" i="137"/>
  <c r="D24" i="137"/>
  <c r="C24" i="137"/>
  <c r="B24" i="137"/>
  <c r="D23" i="137"/>
  <c r="C23" i="137"/>
  <c r="B23" i="137"/>
  <c r="D22" i="137"/>
  <c r="C22" i="137"/>
  <c r="B22" i="137"/>
  <c r="D21" i="137"/>
  <c r="C21" i="137"/>
  <c r="B21" i="137"/>
  <c r="D20" i="137"/>
  <c r="C20" i="137"/>
  <c r="C19" i="137"/>
  <c r="B19" i="137"/>
  <c r="N15" i="137"/>
  <c r="M15" i="137"/>
  <c r="L15" i="137"/>
  <c r="K15" i="137"/>
  <c r="J15" i="137"/>
  <c r="I15" i="137"/>
  <c r="H15" i="137"/>
  <c r="G15" i="137"/>
  <c r="F15" i="137"/>
  <c r="E15" i="137"/>
  <c r="D15" i="137"/>
  <c r="C15" i="137"/>
  <c r="B15" i="137"/>
  <c r="N14" i="137"/>
  <c r="M14" i="137"/>
  <c r="L14" i="137"/>
  <c r="K14" i="137"/>
  <c r="J14" i="137"/>
  <c r="I14" i="137"/>
  <c r="H14" i="137"/>
  <c r="G14" i="137"/>
  <c r="F14" i="137"/>
  <c r="E14" i="137"/>
  <c r="D14" i="137"/>
  <c r="C14" i="137"/>
  <c r="B14" i="137"/>
  <c r="A10" i="137"/>
  <c r="A1" i="137"/>
  <c r="N371" i="136"/>
  <c r="M371" i="136"/>
  <c r="L371" i="136"/>
  <c r="K371" i="136"/>
  <c r="J371" i="136"/>
  <c r="I371" i="136"/>
  <c r="H371" i="136"/>
  <c r="G371" i="136"/>
  <c r="F371" i="136"/>
  <c r="E371" i="136"/>
  <c r="D371" i="136"/>
  <c r="C371" i="136"/>
  <c r="A371" i="136"/>
  <c r="N370" i="136"/>
  <c r="M370" i="136"/>
  <c r="L370" i="136"/>
  <c r="K370" i="136"/>
  <c r="J370" i="136"/>
  <c r="I370" i="136"/>
  <c r="H370" i="136"/>
  <c r="G370" i="136"/>
  <c r="F370" i="136"/>
  <c r="E370" i="136"/>
  <c r="D370" i="136"/>
  <c r="C370" i="136"/>
  <c r="A370" i="136"/>
  <c r="N369" i="136"/>
  <c r="M369" i="136"/>
  <c r="L369" i="136"/>
  <c r="K369" i="136"/>
  <c r="J369" i="136"/>
  <c r="I369" i="136"/>
  <c r="H369" i="136"/>
  <c r="G369" i="136"/>
  <c r="F369" i="136"/>
  <c r="E369" i="136"/>
  <c r="D369" i="136"/>
  <c r="C369" i="136"/>
  <c r="N368" i="136"/>
  <c r="M368" i="136"/>
  <c r="L368" i="136"/>
  <c r="K368" i="136"/>
  <c r="J368" i="136"/>
  <c r="I368" i="136"/>
  <c r="H368" i="136"/>
  <c r="G368" i="136"/>
  <c r="F368" i="136"/>
  <c r="E368" i="136"/>
  <c r="D368" i="136"/>
  <c r="C368" i="136"/>
  <c r="N367" i="136"/>
  <c r="M367" i="136"/>
  <c r="L367" i="136"/>
  <c r="K367" i="136"/>
  <c r="J367" i="136"/>
  <c r="I367" i="136"/>
  <c r="H367" i="136"/>
  <c r="G367" i="136"/>
  <c r="F367" i="136"/>
  <c r="E367" i="136"/>
  <c r="D367" i="136"/>
  <c r="C367" i="136"/>
  <c r="A367" i="136"/>
  <c r="N366" i="136"/>
  <c r="M366" i="136"/>
  <c r="L366" i="136"/>
  <c r="K366" i="136"/>
  <c r="J366" i="136"/>
  <c r="I366" i="136"/>
  <c r="H366" i="136"/>
  <c r="G366" i="136"/>
  <c r="F366" i="136"/>
  <c r="E366" i="136"/>
  <c r="D366" i="136"/>
  <c r="C366" i="136"/>
  <c r="B366" i="136"/>
  <c r="N365" i="136"/>
  <c r="M365" i="136"/>
  <c r="L365" i="136"/>
  <c r="K365" i="136"/>
  <c r="J365" i="136"/>
  <c r="I365" i="136"/>
  <c r="H365" i="136"/>
  <c r="G365" i="136"/>
  <c r="F365" i="136"/>
  <c r="E365" i="136"/>
  <c r="D365" i="136"/>
  <c r="C365" i="136"/>
  <c r="B365" i="136"/>
  <c r="N364" i="136"/>
  <c r="M364" i="136"/>
  <c r="L364" i="136"/>
  <c r="K364" i="136"/>
  <c r="J364" i="136"/>
  <c r="I364" i="136"/>
  <c r="H364" i="136"/>
  <c r="G364" i="136"/>
  <c r="F364" i="136"/>
  <c r="E364" i="136"/>
  <c r="D364" i="136"/>
  <c r="C364" i="136"/>
  <c r="B364" i="136"/>
  <c r="N363" i="136"/>
  <c r="M363" i="136"/>
  <c r="L363" i="136"/>
  <c r="K363" i="136"/>
  <c r="J363" i="136"/>
  <c r="I363" i="136"/>
  <c r="H363" i="136"/>
  <c r="G363" i="136"/>
  <c r="F363" i="136"/>
  <c r="E363" i="136"/>
  <c r="D363" i="136"/>
  <c r="C363" i="136"/>
  <c r="B363" i="136"/>
  <c r="N362" i="136"/>
  <c r="M362" i="136"/>
  <c r="L362" i="136"/>
  <c r="K362" i="136"/>
  <c r="J362" i="136"/>
  <c r="I362" i="136"/>
  <c r="H362" i="136"/>
  <c r="G362" i="136"/>
  <c r="F362" i="136"/>
  <c r="E362" i="136"/>
  <c r="D362" i="136"/>
  <c r="C362" i="136"/>
  <c r="B362" i="136"/>
  <c r="N361" i="136"/>
  <c r="M361" i="136"/>
  <c r="L361" i="136"/>
  <c r="K361" i="136"/>
  <c r="J361" i="136"/>
  <c r="I361" i="136"/>
  <c r="H361" i="136"/>
  <c r="G361" i="136"/>
  <c r="F361" i="136"/>
  <c r="E361" i="136"/>
  <c r="D361" i="136"/>
  <c r="C361" i="136"/>
  <c r="B361" i="136"/>
  <c r="N360" i="136"/>
  <c r="M360" i="136"/>
  <c r="L360" i="136"/>
  <c r="K360" i="136"/>
  <c r="J360" i="136"/>
  <c r="I360" i="136"/>
  <c r="H360" i="136"/>
  <c r="G360" i="136"/>
  <c r="F360" i="136"/>
  <c r="E360" i="136"/>
  <c r="D360" i="136"/>
  <c r="C360" i="136"/>
  <c r="B360" i="136"/>
  <c r="N359" i="136"/>
  <c r="M359" i="136"/>
  <c r="L359" i="136"/>
  <c r="K359" i="136"/>
  <c r="J359" i="136"/>
  <c r="I359" i="136"/>
  <c r="H359" i="136"/>
  <c r="G359" i="136"/>
  <c r="F359" i="136"/>
  <c r="E359" i="136"/>
  <c r="D359" i="136"/>
  <c r="C359" i="136"/>
  <c r="B359" i="136"/>
  <c r="N358" i="136"/>
  <c r="M358" i="136"/>
  <c r="L358" i="136"/>
  <c r="K358" i="136"/>
  <c r="J358" i="136"/>
  <c r="I358" i="136"/>
  <c r="H358" i="136"/>
  <c r="G358" i="136"/>
  <c r="F358" i="136"/>
  <c r="E358" i="136"/>
  <c r="D358" i="136"/>
  <c r="C358" i="136"/>
  <c r="B358" i="136"/>
  <c r="N357" i="136"/>
  <c r="M357" i="136"/>
  <c r="L357" i="136"/>
  <c r="K357" i="136"/>
  <c r="J357" i="136"/>
  <c r="I357" i="136"/>
  <c r="H357" i="136"/>
  <c r="G357" i="136"/>
  <c r="F357" i="136"/>
  <c r="E357" i="136"/>
  <c r="D357" i="136"/>
  <c r="C357" i="136"/>
  <c r="B357" i="136"/>
  <c r="N356" i="136"/>
  <c r="M356" i="136"/>
  <c r="L356" i="136"/>
  <c r="K356" i="136"/>
  <c r="J356" i="136"/>
  <c r="I356" i="136"/>
  <c r="H356" i="136"/>
  <c r="G356" i="136"/>
  <c r="F356" i="136"/>
  <c r="E356" i="136"/>
  <c r="D356" i="136"/>
  <c r="C356" i="136"/>
  <c r="B356" i="136"/>
  <c r="N355" i="136"/>
  <c r="M355" i="136"/>
  <c r="L355" i="136"/>
  <c r="K355" i="136"/>
  <c r="J355" i="136"/>
  <c r="I355" i="136"/>
  <c r="H355" i="136"/>
  <c r="G355" i="136"/>
  <c r="F355" i="136"/>
  <c r="E355" i="136"/>
  <c r="D355" i="136"/>
  <c r="C355" i="136"/>
  <c r="B355" i="136"/>
  <c r="N351" i="136"/>
  <c r="M351" i="136"/>
  <c r="L351" i="136"/>
  <c r="K351" i="136"/>
  <c r="J351" i="136"/>
  <c r="I351" i="136"/>
  <c r="H351" i="136"/>
  <c r="G351" i="136"/>
  <c r="F351" i="136"/>
  <c r="E351" i="136"/>
  <c r="D351" i="136"/>
  <c r="C351" i="136"/>
  <c r="A351" i="136"/>
  <c r="N350" i="136"/>
  <c r="M350" i="136"/>
  <c r="L350" i="136"/>
  <c r="K350" i="136"/>
  <c r="J350" i="136"/>
  <c r="I350" i="136"/>
  <c r="H350" i="136"/>
  <c r="G350" i="136"/>
  <c r="F350" i="136"/>
  <c r="E350" i="136"/>
  <c r="D350" i="136"/>
  <c r="C350" i="136"/>
  <c r="B350" i="136"/>
  <c r="N349" i="136"/>
  <c r="M349" i="136"/>
  <c r="L349" i="136"/>
  <c r="K349" i="136"/>
  <c r="J349" i="136"/>
  <c r="I349" i="136"/>
  <c r="H349" i="136"/>
  <c r="G349" i="136"/>
  <c r="F349" i="136"/>
  <c r="E349" i="136"/>
  <c r="D349" i="136"/>
  <c r="C349" i="136"/>
  <c r="B349" i="136"/>
  <c r="N348" i="136"/>
  <c r="M348" i="136"/>
  <c r="L348" i="136"/>
  <c r="K348" i="136"/>
  <c r="J348" i="136"/>
  <c r="I348" i="136"/>
  <c r="H348" i="136"/>
  <c r="G348" i="136"/>
  <c r="F348" i="136"/>
  <c r="E348" i="136"/>
  <c r="D348" i="136"/>
  <c r="C348" i="136"/>
  <c r="B348" i="136"/>
  <c r="N347" i="136"/>
  <c r="M347" i="136"/>
  <c r="L347" i="136"/>
  <c r="K347" i="136"/>
  <c r="J347" i="136"/>
  <c r="I347" i="136"/>
  <c r="H347" i="136"/>
  <c r="G347" i="136"/>
  <c r="F347" i="136"/>
  <c r="E347" i="136"/>
  <c r="D347" i="136"/>
  <c r="C347" i="136"/>
  <c r="B347" i="136"/>
  <c r="N346" i="136"/>
  <c r="M346" i="136"/>
  <c r="L346" i="136"/>
  <c r="K346" i="136"/>
  <c r="J346" i="136"/>
  <c r="I346" i="136"/>
  <c r="H346" i="136"/>
  <c r="G346" i="136"/>
  <c r="F346" i="136"/>
  <c r="E346" i="136"/>
  <c r="D346" i="136"/>
  <c r="C346" i="136"/>
  <c r="B346" i="136"/>
  <c r="N345" i="136"/>
  <c r="M345" i="136"/>
  <c r="L345" i="136"/>
  <c r="K345" i="136"/>
  <c r="J345" i="136"/>
  <c r="I345" i="136"/>
  <c r="H345" i="136"/>
  <c r="G345" i="136"/>
  <c r="F345" i="136"/>
  <c r="E345" i="136"/>
  <c r="D345" i="136"/>
  <c r="C345" i="136"/>
  <c r="B345" i="136"/>
  <c r="N344" i="136"/>
  <c r="M344" i="136"/>
  <c r="L344" i="136"/>
  <c r="K344" i="136"/>
  <c r="J344" i="136"/>
  <c r="I344" i="136"/>
  <c r="H344" i="136"/>
  <c r="G344" i="136"/>
  <c r="F344" i="136"/>
  <c r="E344" i="136"/>
  <c r="D344" i="136"/>
  <c r="C344" i="136"/>
  <c r="B344" i="136"/>
  <c r="N343" i="136"/>
  <c r="M343" i="136"/>
  <c r="L343" i="136"/>
  <c r="K343" i="136"/>
  <c r="J343" i="136"/>
  <c r="I343" i="136"/>
  <c r="H343" i="136"/>
  <c r="G343" i="136"/>
  <c r="F343" i="136"/>
  <c r="E343" i="136"/>
  <c r="D343" i="136"/>
  <c r="C343" i="136"/>
  <c r="B343" i="136"/>
  <c r="N342" i="136"/>
  <c r="M342" i="136"/>
  <c r="L342" i="136"/>
  <c r="K342" i="136"/>
  <c r="J342" i="136"/>
  <c r="I342" i="136"/>
  <c r="H342" i="136"/>
  <c r="G342" i="136"/>
  <c r="F342" i="136"/>
  <c r="E342" i="136"/>
  <c r="D342" i="136"/>
  <c r="C342" i="136"/>
  <c r="B342" i="136"/>
  <c r="N341" i="136"/>
  <c r="M341" i="136"/>
  <c r="L341" i="136"/>
  <c r="K341" i="136"/>
  <c r="J341" i="136"/>
  <c r="I341" i="136"/>
  <c r="H341" i="136"/>
  <c r="G341" i="136"/>
  <c r="F341" i="136"/>
  <c r="E341" i="136"/>
  <c r="D341" i="136"/>
  <c r="C341" i="136"/>
  <c r="B341" i="136"/>
  <c r="N340" i="136"/>
  <c r="M340" i="136"/>
  <c r="L340" i="136"/>
  <c r="K340" i="136"/>
  <c r="J340" i="136"/>
  <c r="I340" i="136"/>
  <c r="H340" i="136"/>
  <c r="G340" i="136"/>
  <c r="F340" i="136"/>
  <c r="E340" i="136"/>
  <c r="D340" i="136"/>
  <c r="C340" i="136"/>
  <c r="B340" i="136"/>
  <c r="N339" i="136"/>
  <c r="M339" i="136"/>
  <c r="L339" i="136"/>
  <c r="K339" i="136"/>
  <c r="J339" i="136"/>
  <c r="I339" i="136"/>
  <c r="H339" i="136"/>
  <c r="G339" i="136"/>
  <c r="F339" i="136"/>
  <c r="E339" i="136"/>
  <c r="D339" i="136"/>
  <c r="C339" i="136"/>
  <c r="B339" i="136"/>
  <c r="N333" i="136"/>
  <c r="M333" i="136"/>
  <c r="L333" i="136"/>
  <c r="K333" i="136"/>
  <c r="J333" i="136"/>
  <c r="I333" i="136"/>
  <c r="H333" i="136"/>
  <c r="G333" i="136"/>
  <c r="F333" i="136"/>
  <c r="E333" i="136"/>
  <c r="D333" i="136"/>
  <c r="C333" i="136"/>
  <c r="A333" i="136"/>
  <c r="N332" i="136"/>
  <c r="M332" i="136"/>
  <c r="L332" i="136"/>
  <c r="K332" i="136"/>
  <c r="J332" i="136"/>
  <c r="I332" i="136"/>
  <c r="H332" i="136"/>
  <c r="G332" i="136"/>
  <c r="F332" i="136"/>
  <c r="E332" i="136"/>
  <c r="D332" i="136"/>
  <c r="C332" i="136"/>
  <c r="N331" i="136"/>
  <c r="M331" i="136"/>
  <c r="L331" i="136"/>
  <c r="K331" i="136"/>
  <c r="J331" i="136"/>
  <c r="I331" i="136"/>
  <c r="H331" i="136"/>
  <c r="G331" i="136"/>
  <c r="F331" i="136"/>
  <c r="E331" i="136"/>
  <c r="D331" i="136"/>
  <c r="C331" i="136"/>
  <c r="N330" i="136"/>
  <c r="M330" i="136"/>
  <c r="L330" i="136"/>
  <c r="K330" i="136"/>
  <c r="J330" i="136"/>
  <c r="I330" i="136"/>
  <c r="H330" i="136"/>
  <c r="G330" i="136"/>
  <c r="F330" i="136"/>
  <c r="E330" i="136"/>
  <c r="D330" i="136"/>
  <c r="C330" i="136"/>
  <c r="A330" i="136"/>
  <c r="N329" i="136"/>
  <c r="M329" i="136"/>
  <c r="L329" i="136"/>
  <c r="K329" i="136"/>
  <c r="J329" i="136"/>
  <c r="I329" i="136"/>
  <c r="H329" i="136"/>
  <c r="G329" i="136"/>
  <c r="F329" i="136"/>
  <c r="E329" i="136"/>
  <c r="D329" i="136"/>
  <c r="C329" i="136"/>
  <c r="B329" i="136"/>
  <c r="N328" i="136"/>
  <c r="M328" i="136"/>
  <c r="L328" i="136"/>
  <c r="K328" i="136"/>
  <c r="J328" i="136"/>
  <c r="I328" i="136"/>
  <c r="H328" i="136"/>
  <c r="G328" i="136"/>
  <c r="F328" i="136"/>
  <c r="E328" i="136"/>
  <c r="D328" i="136"/>
  <c r="C328" i="136"/>
  <c r="B328" i="136"/>
  <c r="N327" i="136"/>
  <c r="M327" i="136"/>
  <c r="L327" i="136"/>
  <c r="K327" i="136"/>
  <c r="J327" i="136"/>
  <c r="I327" i="136"/>
  <c r="H327" i="136"/>
  <c r="G327" i="136"/>
  <c r="F327" i="136"/>
  <c r="E327" i="136"/>
  <c r="D327" i="136"/>
  <c r="C327" i="136"/>
  <c r="B327" i="136"/>
  <c r="N326" i="136"/>
  <c r="M326" i="136"/>
  <c r="L326" i="136"/>
  <c r="K326" i="136"/>
  <c r="J326" i="136"/>
  <c r="I326" i="136"/>
  <c r="H326" i="136"/>
  <c r="G326" i="136"/>
  <c r="F326" i="136"/>
  <c r="E326" i="136"/>
  <c r="D326" i="136"/>
  <c r="C326" i="136"/>
  <c r="B326" i="136"/>
  <c r="N325" i="136"/>
  <c r="M325" i="136"/>
  <c r="L325" i="136"/>
  <c r="K325" i="136"/>
  <c r="J325" i="136"/>
  <c r="I325" i="136"/>
  <c r="H325" i="136"/>
  <c r="G325" i="136"/>
  <c r="F325" i="136"/>
  <c r="E325" i="136"/>
  <c r="D325" i="136"/>
  <c r="C325" i="136"/>
  <c r="B325" i="136"/>
  <c r="N324" i="136"/>
  <c r="M324" i="136"/>
  <c r="L324" i="136"/>
  <c r="K324" i="136"/>
  <c r="J324" i="136"/>
  <c r="I324" i="136"/>
  <c r="H324" i="136"/>
  <c r="G324" i="136"/>
  <c r="F324" i="136"/>
  <c r="E324" i="136"/>
  <c r="D324" i="136"/>
  <c r="C324" i="136"/>
  <c r="B324" i="136"/>
  <c r="N323" i="136"/>
  <c r="M323" i="136"/>
  <c r="L323" i="136"/>
  <c r="K323" i="136"/>
  <c r="J323" i="136"/>
  <c r="I323" i="136"/>
  <c r="H323" i="136"/>
  <c r="G323" i="136"/>
  <c r="F323" i="136"/>
  <c r="E323" i="136"/>
  <c r="D323" i="136"/>
  <c r="C323" i="136"/>
  <c r="B323" i="136"/>
  <c r="N322" i="136"/>
  <c r="M322" i="136"/>
  <c r="L322" i="136"/>
  <c r="K322" i="136"/>
  <c r="J322" i="136"/>
  <c r="I322" i="136"/>
  <c r="H322" i="136"/>
  <c r="G322" i="136"/>
  <c r="F322" i="136"/>
  <c r="E322" i="136"/>
  <c r="D322" i="136"/>
  <c r="C322" i="136"/>
  <c r="B322" i="136"/>
  <c r="N321" i="136"/>
  <c r="M321" i="136"/>
  <c r="L321" i="136"/>
  <c r="K321" i="136"/>
  <c r="J321" i="136"/>
  <c r="I321" i="136"/>
  <c r="H321" i="136"/>
  <c r="G321" i="136"/>
  <c r="F321" i="136"/>
  <c r="E321" i="136"/>
  <c r="D321" i="136"/>
  <c r="C321" i="136"/>
  <c r="B321" i="136"/>
  <c r="N320" i="136"/>
  <c r="M320" i="136"/>
  <c r="L320" i="136"/>
  <c r="K320" i="136"/>
  <c r="J320" i="136"/>
  <c r="I320" i="136"/>
  <c r="H320" i="136"/>
  <c r="G320" i="136"/>
  <c r="F320" i="136"/>
  <c r="E320" i="136"/>
  <c r="D320" i="136"/>
  <c r="C320" i="136"/>
  <c r="B320" i="136"/>
  <c r="N319" i="136"/>
  <c r="M319" i="136"/>
  <c r="L319" i="136"/>
  <c r="K319" i="136"/>
  <c r="J319" i="136"/>
  <c r="I319" i="136"/>
  <c r="H319" i="136"/>
  <c r="G319" i="136"/>
  <c r="F319" i="136"/>
  <c r="E319" i="136"/>
  <c r="D319" i="136"/>
  <c r="C319" i="136"/>
  <c r="B319" i="136"/>
  <c r="N318" i="136"/>
  <c r="M318" i="136"/>
  <c r="L318" i="136"/>
  <c r="K318" i="136"/>
  <c r="J318" i="136"/>
  <c r="I318" i="136"/>
  <c r="H318" i="136"/>
  <c r="G318" i="136"/>
  <c r="F318" i="136"/>
  <c r="E318" i="136"/>
  <c r="D318" i="136"/>
  <c r="C318" i="136"/>
  <c r="B318" i="136"/>
  <c r="N314" i="136"/>
  <c r="M314" i="136"/>
  <c r="L314" i="136"/>
  <c r="K314" i="136"/>
  <c r="J314" i="136"/>
  <c r="I314" i="136"/>
  <c r="H314" i="136"/>
  <c r="G314" i="136"/>
  <c r="F314" i="136"/>
  <c r="E314" i="136"/>
  <c r="D314" i="136"/>
  <c r="C314" i="136"/>
  <c r="A314" i="136"/>
  <c r="N313" i="136"/>
  <c r="M313" i="136"/>
  <c r="L313" i="136"/>
  <c r="K313" i="136"/>
  <c r="J313" i="136"/>
  <c r="I313" i="136"/>
  <c r="H313" i="136"/>
  <c r="G313" i="136"/>
  <c r="F313" i="136"/>
  <c r="E313" i="136"/>
  <c r="D313" i="136"/>
  <c r="C313" i="136"/>
  <c r="B313" i="136"/>
  <c r="N312" i="136"/>
  <c r="M312" i="136"/>
  <c r="L312" i="136"/>
  <c r="K312" i="136"/>
  <c r="J312" i="136"/>
  <c r="I312" i="136"/>
  <c r="H312" i="136"/>
  <c r="G312" i="136"/>
  <c r="F312" i="136"/>
  <c r="E312" i="136"/>
  <c r="D312" i="136"/>
  <c r="C312" i="136"/>
  <c r="B312" i="136"/>
  <c r="N311" i="136"/>
  <c r="M311" i="136"/>
  <c r="L311" i="136"/>
  <c r="K311" i="136"/>
  <c r="J311" i="136"/>
  <c r="I311" i="136"/>
  <c r="H311" i="136"/>
  <c r="G311" i="136"/>
  <c r="F311" i="136"/>
  <c r="E311" i="136"/>
  <c r="D311" i="136"/>
  <c r="C311" i="136"/>
  <c r="B311" i="136"/>
  <c r="N310" i="136"/>
  <c r="M310" i="136"/>
  <c r="L310" i="136"/>
  <c r="K310" i="136"/>
  <c r="J310" i="136"/>
  <c r="I310" i="136"/>
  <c r="H310" i="136"/>
  <c r="G310" i="136"/>
  <c r="F310" i="136"/>
  <c r="E310" i="136"/>
  <c r="D310" i="136"/>
  <c r="C310" i="136"/>
  <c r="B310" i="136"/>
  <c r="N309" i="136"/>
  <c r="M309" i="136"/>
  <c r="L309" i="136"/>
  <c r="K309" i="136"/>
  <c r="J309" i="136"/>
  <c r="I309" i="136"/>
  <c r="H309" i="136"/>
  <c r="G309" i="136"/>
  <c r="F309" i="136"/>
  <c r="E309" i="136"/>
  <c r="D309" i="136"/>
  <c r="C309" i="136"/>
  <c r="B309" i="136"/>
  <c r="N308" i="136"/>
  <c r="M308" i="136"/>
  <c r="L308" i="136"/>
  <c r="K308" i="136"/>
  <c r="J308" i="136"/>
  <c r="I308" i="136"/>
  <c r="H308" i="136"/>
  <c r="G308" i="136"/>
  <c r="F308" i="136"/>
  <c r="E308" i="136"/>
  <c r="D308" i="136"/>
  <c r="C308" i="136"/>
  <c r="B308" i="136"/>
  <c r="N307" i="136"/>
  <c r="M307" i="136"/>
  <c r="L307" i="136"/>
  <c r="K307" i="136"/>
  <c r="J307" i="136"/>
  <c r="I307" i="136"/>
  <c r="H307" i="136"/>
  <c r="G307" i="136"/>
  <c r="F307" i="136"/>
  <c r="E307" i="136"/>
  <c r="D307" i="136"/>
  <c r="C307" i="136"/>
  <c r="B307" i="136"/>
  <c r="N306" i="136"/>
  <c r="M306" i="136"/>
  <c r="L306" i="136"/>
  <c r="K306" i="136"/>
  <c r="J306" i="136"/>
  <c r="I306" i="136"/>
  <c r="H306" i="136"/>
  <c r="G306" i="136"/>
  <c r="F306" i="136"/>
  <c r="E306" i="136"/>
  <c r="D306" i="136"/>
  <c r="C306" i="136"/>
  <c r="B306" i="136"/>
  <c r="N305" i="136"/>
  <c r="M305" i="136"/>
  <c r="L305" i="136"/>
  <c r="K305" i="136"/>
  <c r="J305" i="136"/>
  <c r="I305" i="136"/>
  <c r="H305" i="136"/>
  <c r="G305" i="136"/>
  <c r="F305" i="136"/>
  <c r="E305" i="136"/>
  <c r="D305" i="136"/>
  <c r="C305" i="136"/>
  <c r="B305" i="136"/>
  <c r="N304" i="136"/>
  <c r="M304" i="136"/>
  <c r="L304" i="136"/>
  <c r="K304" i="136"/>
  <c r="J304" i="136"/>
  <c r="I304" i="136"/>
  <c r="H304" i="136"/>
  <c r="G304" i="136"/>
  <c r="F304" i="136"/>
  <c r="E304" i="136"/>
  <c r="D304" i="136"/>
  <c r="C304" i="136"/>
  <c r="B304" i="136"/>
  <c r="N303" i="136"/>
  <c r="M303" i="136"/>
  <c r="L303" i="136"/>
  <c r="K303" i="136"/>
  <c r="J303" i="136"/>
  <c r="I303" i="136"/>
  <c r="H303" i="136"/>
  <c r="G303" i="136"/>
  <c r="F303" i="136"/>
  <c r="E303" i="136"/>
  <c r="D303" i="136"/>
  <c r="C303" i="136"/>
  <c r="B303" i="136"/>
  <c r="N302" i="136"/>
  <c r="M302" i="136"/>
  <c r="L302" i="136"/>
  <c r="K302" i="136"/>
  <c r="J302" i="136"/>
  <c r="I302" i="136"/>
  <c r="H302" i="136"/>
  <c r="G302" i="136"/>
  <c r="F302" i="136"/>
  <c r="E302" i="136"/>
  <c r="D302" i="136"/>
  <c r="C302" i="136"/>
  <c r="B302" i="136"/>
  <c r="N296" i="136"/>
  <c r="M296" i="136"/>
  <c r="L296" i="136"/>
  <c r="K296" i="136"/>
  <c r="J296" i="136"/>
  <c r="I296" i="136"/>
  <c r="H296" i="136"/>
  <c r="G296" i="136"/>
  <c r="F296" i="136"/>
  <c r="E296" i="136"/>
  <c r="D296" i="136"/>
  <c r="C296" i="136"/>
  <c r="N294" i="136"/>
  <c r="M294" i="136"/>
  <c r="L294" i="136"/>
  <c r="K294" i="136"/>
  <c r="J294" i="136"/>
  <c r="I294" i="136"/>
  <c r="H294" i="136"/>
  <c r="G294" i="136"/>
  <c r="F294" i="136"/>
  <c r="E294" i="136"/>
  <c r="D294" i="136"/>
  <c r="C294" i="136"/>
  <c r="N293" i="136"/>
  <c r="M293" i="136"/>
  <c r="L293" i="136"/>
  <c r="K293" i="136"/>
  <c r="J293" i="136"/>
  <c r="I293" i="136"/>
  <c r="H293" i="136"/>
  <c r="G293" i="136"/>
  <c r="F293" i="136"/>
  <c r="E293" i="136"/>
  <c r="D293" i="136"/>
  <c r="C293" i="136"/>
  <c r="N290" i="136"/>
  <c r="M290" i="136"/>
  <c r="L290" i="136"/>
  <c r="K290" i="136"/>
  <c r="J290" i="136"/>
  <c r="I290" i="136"/>
  <c r="H290" i="136"/>
  <c r="G290" i="136"/>
  <c r="F290" i="136"/>
  <c r="E290" i="136"/>
  <c r="D290" i="136"/>
  <c r="C290" i="136"/>
  <c r="N289" i="136"/>
  <c r="M289" i="136"/>
  <c r="L289" i="136"/>
  <c r="K289" i="136"/>
  <c r="J289" i="136"/>
  <c r="I289" i="136"/>
  <c r="H289" i="136"/>
  <c r="G289" i="136"/>
  <c r="F289" i="136"/>
  <c r="E289" i="136"/>
  <c r="D289" i="136"/>
  <c r="C289" i="136"/>
  <c r="N283" i="136"/>
  <c r="M283" i="136"/>
  <c r="L283" i="136"/>
  <c r="K283" i="136"/>
  <c r="J283" i="136"/>
  <c r="I283" i="136"/>
  <c r="H283" i="136"/>
  <c r="G283" i="136"/>
  <c r="F283" i="136"/>
  <c r="E283" i="136"/>
  <c r="D283" i="136"/>
  <c r="C283" i="136"/>
  <c r="A283" i="136"/>
  <c r="N282" i="136"/>
  <c r="M282" i="136"/>
  <c r="L282" i="136"/>
  <c r="K282" i="136"/>
  <c r="J282" i="136"/>
  <c r="I282" i="136"/>
  <c r="H282" i="136"/>
  <c r="G282" i="136"/>
  <c r="F282" i="136"/>
  <c r="E282" i="136"/>
  <c r="D282" i="136"/>
  <c r="C282" i="136"/>
  <c r="N281" i="136"/>
  <c r="M281" i="136"/>
  <c r="L281" i="136"/>
  <c r="K281" i="136"/>
  <c r="J281" i="136"/>
  <c r="I281" i="136"/>
  <c r="H281" i="136"/>
  <c r="G281" i="136"/>
  <c r="F281" i="136"/>
  <c r="E281" i="136"/>
  <c r="D281" i="136"/>
  <c r="C281" i="136"/>
  <c r="N280" i="136"/>
  <c r="M280" i="136"/>
  <c r="L280" i="136"/>
  <c r="K280" i="136"/>
  <c r="J280" i="136"/>
  <c r="I280" i="136"/>
  <c r="H280" i="136"/>
  <c r="G280" i="136"/>
  <c r="F280" i="136"/>
  <c r="E280" i="136"/>
  <c r="D280" i="136"/>
  <c r="C280" i="136"/>
  <c r="N279" i="136"/>
  <c r="M279" i="136"/>
  <c r="L279" i="136"/>
  <c r="K279" i="136"/>
  <c r="J279" i="136"/>
  <c r="I279" i="136"/>
  <c r="H279" i="136"/>
  <c r="G279" i="136"/>
  <c r="F279" i="136"/>
  <c r="E279" i="136"/>
  <c r="D279" i="136"/>
  <c r="C279" i="136"/>
  <c r="N278" i="136"/>
  <c r="M278" i="136"/>
  <c r="L278" i="136"/>
  <c r="K278" i="136"/>
  <c r="J278" i="136"/>
  <c r="I278" i="136"/>
  <c r="H278" i="136"/>
  <c r="G278" i="136"/>
  <c r="F278" i="136"/>
  <c r="E278" i="136"/>
  <c r="D278" i="136"/>
  <c r="C278" i="136"/>
  <c r="N274" i="136"/>
  <c r="M274" i="136"/>
  <c r="L274" i="136"/>
  <c r="K274" i="136"/>
  <c r="J274" i="136"/>
  <c r="I274" i="136"/>
  <c r="H274" i="136"/>
  <c r="G274" i="136"/>
  <c r="F274" i="136"/>
  <c r="E274" i="136"/>
  <c r="D274" i="136"/>
  <c r="C274" i="136"/>
  <c r="A274" i="136"/>
  <c r="N273" i="136"/>
  <c r="M273" i="136"/>
  <c r="L273" i="136"/>
  <c r="K273" i="136"/>
  <c r="J273" i="136"/>
  <c r="I273" i="136"/>
  <c r="H273" i="136"/>
  <c r="G273" i="136"/>
  <c r="F273" i="136"/>
  <c r="E273" i="136"/>
  <c r="D273" i="136"/>
  <c r="C273" i="136"/>
  <c r="B273" i="136"/>
  <c r="N272" i="136"/>
  <c r="M272" i="136"/>
  <c r="L272" i="136"/>
  <c r="K272" i="136"/>
  <c r="J272" i="136"/>
  <c r="I272" i="136"/>
  <c r="H272" i="136"/>
  <c r="G272" i="136"/>
  <c r="F272" i="136"/>
  <c r="E272" i="136"/>
  <c r="D272" i="136"/>
  <c r="C272" i="136"/>
  <c r="B272" i="136"/>
  <c r="N271" i="136"/>
  <c r="M271" i="136"/>
  <c r="L271" i="136"/>
  <c r="K271" i="136"/>
  <c r="J271" i="136"/>
  <c r="I271" i="136"/>
  <c r="H271" i="136"/>
  <c r="G271" i="136"/>
  <c r="F271" i="136"/>
  <c r="E271" i="136"/>
  <c r="D271" i="136"/>
  <c r="C271" i="136"/>
  <c r="B271" i="136"/>
  <c r="N270" i="136"/>
  <c r="M270" i="136"/>
  <c r="L270" i="136"/>
  <c r="K270" i="136"/>
  <c r="J270" i="136"/>
  <c r="I270" i="136"/>
  <c r="H270" i="136"/>
  <c r="G270" i="136"/>
  <c r="F270" i="136"/>
  <c r="E270" i="136"/>
  <c r="D270" i="136"/>
  <c r="C270" i="136"/>
  <c r="B270" i="136"/>
  <c r="N269" i="136"/>
  <c r="M269" i="136"/>
  <c r="L269" i="136"/>
  <c r="K269" i="136"/>
  <c r="J269" i="136"/>
  <c r="I269" i="136"/>
  <c r="H269" i="136"/>
  <c r="G269" i="136"/>
  <c r="F269" i="136"/>
  <c r="E269" i="136"/>
  <c r="D269" i="136"/>
  <c r="C269" i="136"/>
  <c r="B269" i="136"/>
  <c r="N268" i="136"/>
  <c r="M268" i="136"/>
  <c r="L268" i="136"/>
  <c r="K268" i="136"/>
  <c r="J268" i="136"/>
  <c r="I268" i="136"/>
  <c r="H268" i="136"/>
  <c r="G268" i="136"/>
  <c r="F268" i="136"/>
  <c r="E268" i="136"/>
  <c r="D268" i="136"/>
  <c r="C268" i="136"/>
  <c r="B268" i="136"/>
  <c r="N267" i="136"/>
  <c r="M267" i="136"/>
  <c r="L267" i="136"/>
  <c r="K267" i="136"/>
  <c r="J267" i="136"/>
  <c r="I267" i="136"/>
  <c r="H267" i="136"/>
  <c r="G267" i="136"/>
  <c r="F267" i="136"/>
  <c r="E267" i="136"/>
  <c r="D267" i="136"/>
  <c r="C267" i="136"/>
  <c r="B267" i="136"/>
  <c r="N266" i="136"/>
  <c r="M266" i="136"/>
  <c r="L266" i="136"/>
  <c r="K266" i="136"/>
  <c r="J266" i="136"/>
  <c r="I266" i="136"/>
  <c r="H266" i="136"/>
  <c r="G266" i="136"/>
  <c r="F266" i="136"/>
  <c r="E266" i="136"/>
  <c r="D266" i="136"/>
  <c r="C266" i="136"/>
  <c r="B266" i="136"/>
  <c r="N265" i="136"/>
  <c r="M265" i="136"/>
  <c r="L265" i="136"/>
  <c r="K265" i="136"/>
  <c r="J265" i="136"/>
  <c r="I265" i="136"/>
  <c r="H265" i="136"/>
  <c r="G265" i="136"/>
  <c r="F265" i="136"/>
  <c r="E265" i="136"/>
  <c r="D265" i="136"/>
  <c r="C265" i="136"/>
  <c r="B265" i="136"/>
  <c r="N264" i="136"/>
  <c r="M264" i="136"/>
  <c r="L264" i="136"/>
  <c r="K264" i="136"/>
  <c r="J264" i="136"/>
  <c r="I264" i="136"/>
  <c r="H264" i="136"/>
  <c r="G264" i="136"/>
  <c r="F264" i="136"/>
  <c r="E264" i="136"/>
  <c r="D264" i="136"/>
  <c r="C264" i="136"/>
  <c r="B264" i="136"/>
  <c r="N263" i="136"/>
  <c r="M263" i="136"/>
  <c r="L263" i="136"/>
  <c r="K263" i="136"/>
  <c r="J263" i="136"/>
  <c r="I263" i="136"/>
  <c r="H263" i="136"/>
  <c r="G263" i="136"/>
  <c r="F263" i="136"/>
  <c r="E263" i="136"/>
  <c r="D263" i="136"/>
  <c r="C263" i="136"/>
  <c r="B263" i="136"/>
  <c r="N262" i="136"/>
  <c r="M262" i="136"/>
  <c r="L262" i="136"/>
  <c r="K262" i="136"/>
  <c r="J262" i="136"/>
  <c r="I262" i="136"/>
  <c r="H262" i="136"/>
  <c r="G262" i="136"/>
  <c r="F262" i="136"/>
  <c r="E262" i="136"/>
  <c r="D262" i="136"/>
  <c r="C262" i="136"/>
  <c r="B262" i="136"/>
  <c r="N258" i="136"/>
  <c r="M258" i="136"/>
  <c r="L258" i="136"/>
  <c r="K258" i="136"/>
  <c r="J258" i="136"/>
  <c r="I258" i="136"/>
  <c r="H258" i="136"/>
  <c r="G258" i="136"/>
  <c r="F258" i="136"/>
  <c r="E258" i="136"/>
  <c r="D258" i="136"/>
  <c r="C258" i="136"/>
  <c r="A258" i="136"/>
  <c r="N257" i="136"/>
  <c r="M257" i="136"/>
  <c r="L257" i="136"/>
  <c r="K257" i="136"/>
  <c r="J257" i="136"/>
  <c r="I257" i="136"/>
  <c r="H257" i="136"/>
  <c r="G257" i="136"/>
  <c r="F257" i="136"/>
  <c r="E257" i="136"/>
  <c r="D257" i="136"/>
  <c r="C257" i="136"/>
  <c r="B257" i="136"/>
  <c r="N256" i="136"/>
  <c r="M256" i="136"/>
  <c r="L256" i="136"/>
  <c r="K256" i="136"/>
  <c r="J256" i="136"/>
  <c r="I256" i="136"/>
  <c r="H256" i="136"/>
  <c r="G256" i="136"/>
  <c r="F256" i="136"/>
  <c r="E256" i="136"/>
  <c r="D256" i="136"/>
  <c r="C256" i="136"/>
  <c r="B256" i="136"/>
  <c r="N255" i="136"/>
  <c r="M255" i="136"/>
  <c r="L255" i="136"/>
  <c r="K255" i="136"/>
  <c r="J255" i="136"/>
  <c r="I255" i="136"/>
  <c r="H255" i="136"/>
  <c r="G255" i="136"/>
  <c r="F255" i="136"/>
  <c r="E255" i="136"/>
  <c r="D255" i="136"/>
  <c r="C255" i="136"/>
  <c r="B255" i="136"/>
  <c r="N254" i="136"/>
  <c r="M254" i="136"/>
  <c r="L254" i="136"/>
  <c r="K254" i="136"/>
  <c r="J254" i="136"/>
  <c r="I254" i="136"/>
  <c r="H254" i="136"/>
  <c r="G254" i="136"/>
  <c r="F254" i="136"/>
  <c r="E254" i="136"/>
  <c r="D254" i="136"/>
  <c r="C254" i="136"/>
  <c r="B254" i="136"/>
  <c r="N253" i="136"/>
  <c r="M253" i="136"/>
  <c r="L253" i="136"/>
  <c r="K253" i="136"/>
  <c r="J253" i="136"/>
  <c r="I253" i="136"/>
  <c r="H253" i="136"/>
  <c r="G253" i="136"/>
  <c r="F253" i="136"/>
  <c r="E253" i="136"/>
  <c r="D253" i="136"/>
  <c r="C253" i="136"/>
  <c r="B253" i="136"/>
  <c r="N252" i="136"/>
  <c r="M252" i="136"/>
  <c r="L252" i="136"/>
  <c r="K252" i="136"/>
  <c r="J252" i="136"/>
  <c r="I252" i="136"/>
  <c r="H252" i="136"/>
  <c r="G252" i="136"/>
  <c r="F252" i="136"/>
  <c r="E252" i="136"/>
  <c r="D252" i="136"/>
  <c r="C252" i="136"/>
  <c r="B252" i="136"/>
  <c r="N251" i="136"/>
  <c r="M251" i="136"/>
  <c r="L251" i="136"/>
  <c r="K251" i="136"/>
  <c r="J251" i="136"/>
  <c r="I251" i="136"/>
  <c r="H251" i="136"/>
  <c r="G251" i="136"/>
  <c r="F251" i="136"/>
  <c r="E251" i="136"/>
  <c r="D251" i="136"/>
  <c r="C251" i="136"/>
  <c r="B251" i="136"/>
  <c r="N250" i="136"/>
  <c r="M250" i="136"/>
  <c r="L250" i="136"/>
  <c r="K250" i="136"/>
  <c r="J250" i="136"/>
  <c r="I250" i="136"/>
  <c r="H250" i="136"/>
  <c r="G250" i="136"/>
  <c r="F250" i="136"/>
  <c r="E250" i="136"/>
  <c r="D250" i="136"/>
  <c r="C250" i="136"/>
  <c r="B250" i="136"/>
  <c r="N249" i="136"/>
  <c r="M249" i="136"/>
  <c r="L249" i="136"/>
  <c r="K249" i="136"/>
  <c r="J249" i="136"/>
  <c r="I249" i="136"/>
  <c r="H249" i="136"/>
  <c r="G249" i="136"/>
  <c r="F249" i="136"/>
  <c r="E249" i="136"/>
  <c r="D249" i="136"/>
  <c r="C249" i="136"/>
  <c r="B249" i="136"/>
  <c r="N248" i="136"/>
  <c r="M248" i="136"/>
  <c r="L248" i="136"/>
  <c r="K248" i="136"/>
  <c r="J248" i="136"/>
  <c r="I248" i="136"/>
  <c r="H248" i="136"/>
  <c r="G248" i="136"/>
  <c r="F248" i="136"/>
  <c r="E248" i="136"/>
  <c r="D248" i="136"/>
  <c r="C248" i="136"/>
  <c r="B248" i="136"/>
  <c r="N247" i="136"/>
  <c r="M247" i="136"/>
  <c r="L247" i="136"/>
  <c r="K247" i="136"/>
  <c r="J247" i="136"/>
  <c r="I247" i="136"/>
  <c r="H247" i="136"/>
  <c r="G247" i="136"/>
  <c r="F247" i="136"/>
  <c r="E247" i="136"/>
  <c r="D247" i="136"/>
  <c r="C247" i="136"/>
  <c r="B247" i="136"/>
  <c r="N246" i="136"/>
  <c r="M246" i="136"/>
  <c r="L246" i="136"/>
  <c r="K246" i="136"/>
  <c r="J246" i="136"/>
  <c r="I246" i="136"/>
  <c r="H246" i="136"/>
  <c r="G246" i="136"/>
  <c r="F246" i="136"/>
  <c r="E246" i="136"/>
  <c r="D246" i="136"/>
  <c r="C246" i="136"/>
  <c r="B246" i="136"/>
  <c r="N240" i="136"/>
  <c r="M240" i="136"/>
  <c r="L240" i="136"/>
  <c r="K240" i="136"/>
  <c r="J240" i="136"/>
  <c r="I240" i="136"/>
  <c r="H240" i="136"/>
  <c r="G240" i="136"/>
  <c r="F240" i="136"/>
  <c r="E240" i="136"/>
  <c r="D240" i="136"/>
  <c r="C240" i="136"/>
  <c r="A240" i="136"/>
  <c r="N239" i="136"/>
  <c r="M239" i="136"/>
  <c r="L239" i="136"/>
  <c r="K239" i="136"/>
  <c r="J239" i="136"/>
  <c r="I239" i="136"/>
  <c r="H239" i="136"/>
  <c r="G239" i="136"/>
  <c r="F239" i="136"/>
  <c r="E239" i="136"/>
  <c r="D239" i="136"/>
  <c r="C239" i="136"/>
  <c r="B239" i="136"/>
  <c r="N238" i="136"/>
  <c r="M238" i="136"/>
  <c r="L238" i="136"/>
  <c r="K238" i="136"/>
  <c r="J238" i="136"/>
  <c r="I238" i="136"/>
  <c r="H238" i="136"/>
  <c r="G238" i="136"/>
  <c r="F238" i="136"/>
  <c r="E238" i="136"/>
  <c r="D238" i="136"/>
  <c r="C238" i="136"/>
  <c r="B238" i="136"/>
  <c r="N237" i="136"/>
  <c r="M237" i="136"/>
  <c r="L237" i="136"/>
  <c r="K237" i="136"/>
  <c r="J237" i="136"/>
  <c r="I237" i="136"/>
  <c r="H237" i="136"/>
  <c r="G237" i="136"/>
  <c r="F237" i="136"/>
  <c r="E237" i="136"/>
  <c r="D237" i="136"/>
  <c r="C237" i="136"/>
  <c r="B237" i="136"/>
  <c r="N236" i="136"/>
  <c r="M236" i="136"/>
  <c r="L236" i="136"/>
  <c r="K236" i="136"/>
  <c r="J236" i="136"/>
  <c r="I236" i="136"/>
  <c r="H236" i="136"/>
  <c r="G236" i="136"/>
  <c r="F236" i="136"/>
  <c r="E236" i="136"/>
  <c r="D236" i="136"/>
  <c r="C236" i="136"/>
  <c r="B236" i="136"/>
  <c r="N235" i="136"/>
  <c r="M235" i="136"/>
  <c r="L235" i="136"/>
  <c r="K235" i="136"/>
  <c r="J235" i="136"/>
  <c r="I235" i="136"/>
  <c r="H235" i="136"/>
  <c r="G235" i="136"/>
  <c r="F235" i="136"/>
  <c r="E235" i="136"/>
  <c r="D235" i="136"/>
  <c r="C235" i="136"/>
  <c r="B235" i="136"/>
  <c r="N234" i="136"/>
  <c r="M234" i="136"/>
  <c r="L234" i="136"/>
  <c r="K234" i="136"/>
  <c r="J234" i="136"/>
  <c r="I234" i="136"/>
  <c r="H234" i="136"/>
  <c r="G234" i="136"/>
  <c r="F234" i="136"/>
  <c r="E234" i="136"/>
  <c r="D234" i="136"/>
  <c r="C234" i="136"/>
  <c r="B234" i="136"/>
  <c r="N233" i="136"/>
  <c r="M233" i="136"/>
  <c r="L233" i="136"/>
  <c r="K233" i="136"/>
  <c r="J233" i="136"/>
  <c r="I233" i="136"/>
  <c r="H233" i="136"/>
  <c r="G233" i="136"/>
  <c r="F233" i="136"/>
  <c r="E233" i="136"/>
  <c r="D233" i="136"/>
  <c r="C233" i="136"/>
  <c r="B233" i="136"/>
  <c r="N232" i="136"/>
  <c r="M232" i="136"/>
  <c r="L232" i="136"/>
  <c r="K232" i="136"/>
  <c r="J232" i="136"/>
  <c r="I232" i="136"/>
  <c r="H232" i="136"/>
  <c r="G232" i="136"/>
  <c r="F232" i="136"/>
  <c r="E232" i="136"/>
  <c r="D232" i="136"/>
  <c r="C232" i="136"/>
  <c r="B232" i="136"/>
  <c r="N231" i="136"/>
  <c r="M231" i="136"/>
  <c r="L231" i="136"/>
  <c r="K231" i="136"/>
  <c r="J231" i="136"/>
  <c r="I231" i="136"/>
  <c r="H231" i="136"/>
  <c r="G231" i="136"/>
  <c r="F231" i="136"/>
  <c r="E231" i="136"/>
  <c r="D231" i="136"/>
  <c r="C231" i="136"/>
  <c r="B231" i="136"/>
  <c r="N230" i="136"/>
  <c r="M230" i="136"/>
  <c r="L230" i="136"/>
  <c r="K230" i="136"/>
  <c r="J230" i="136"/>
  <c r="I230" i="136"/>
  <c r="H230" i="136"/>
  <c r="G230" i="136"/>
  <c r="F230" i="136"/>
  <c r="E230" i="136"/>
  <c r="D230" i="136"/>
  <c r="C230" i="136"/>
  <c r="B230" i="136"/>
  <c r="N229" i="136"/>
  <c r="M229" i="136"/>
  <c r="L229" i="136"/>
  <c r="K229" i="136"/>
  <c r="J229" i="136"/>
  <c r="I229" i="136"/>
  <c r="H229" i="136"/>
  <c r="G229" i="136"/>
  <c r="F229" i="136"/>
  <c r="E229" i="136"/>
  <c r="D229" i="136"/>
  <c r="C229" i="136"/>
  <c r="B229" i="136"/>
  <c r="N228" i="136"/>
  <c r="M228" i="136"/>
  <c r="L228" i="136"/>
  <c r="K228" i="136"/>
  <c r="J228" i="136"/>
  <c r="I228" i="136"/>
  <c r="H228" i="136"/>
  <c r="G228" i="136"/>
  <c r="F228" i="136"/>
  <c r="E228" i="136"/>
  <c r="D228" i="136"/>
  <c r="C228" i="136"/>
  <c r="B228" i="136"/>
  <c r="N224" i="136"/>
  <c r="M224" i="136"/>
  <c r="L224" i="136"/>
  <c r="K224" i="136"/>
  <c r="J224" i="136"/>
  <c r="I224" i="136"/>
  <c r="H224" i="136"/>
  <c r="G224" i="136"/>
  <c r="F224" i="136"/>
  <c r="E224" i="136"/>
  <c r="D224" i="136"/>
  <c r="C224" i="136"/>
  <c r="A224" i="136"/>
  <c r="N223" i="136"/>
  <c r="M223" i="136"/>
  <c r="L223" i="136"/>
  <c r="K223" i="136"/>
  <c r="J223" i="136"/>
  <c r="I223" i="136"/>
  <c r="H223" i="136"/>
  <c r="G223" i="136"/>
  <c r="F223" i="136"/>
  <c r="E223" i="136"/>
  <c r="D223" i="136"/>
  <c r="C223" i="136"/>
  <c r="B223" i="136"/>
  <c r="N222" i="136"/>
  <c r="M222" i="136"/>
  <c r="L222" i="136"/>
  <c r="K222" i="136"/>
  <c r="J222" i="136"/>
  <c r="I222" i="136"/>
  <c r="H222" i="136"/>
  <c r="G222" i="136"/>
  <c r="F222" i="136"/>
  <c r="E222" i="136"/>
  <c r="D222" i="136"/>
  <c r="C222" i="136"/>
  <c r="B222" i="136"/>
  <c r="N221" i="136"/>
  <c r="M221" i="136"/>
  <c r="L221" i="136"/>
  <c r="K221" i="136"/>
  <c r="J221" i="136"/>
  <c r="I221" i="136"/>
  <c r="H221" i="136"/>
  <c r="G221" i="136"/>
  <c r="F221" i="136"/>
  <c r="E221" i="136"/>
  <c r="D221" i="136"/>
  <c r="C221" i="136"/>
  <c r="B221" i="136"/>
  <c r="N220" i="136"/>
  <c r="M220" i="136"/>
  <c r="L220" i="136"/>
  <c r="K220" i="136"/>
  <c r="J220" i="136"/>
  <c r="I220" i="136"/>
  <c r="H220" i="136"/>
  <c r="G220" i="136"/>
  <c r="F220" i="136"/>
  <c r="E220" i="136"/>
  <c r="D220" i="136"/>
  <c r="C220" i="136"/>
  <c r="B220" i="136"/>
  <c r="N219" i="136"/>
  <c r="M219" i="136"/>
  <c r="L219" i="136"/>
  <c r="K219" i="136"/>
  <c r="J219" i="136"/>
  <c r="I219" i="136"/>
  <c r="H219" i="136"/>
  <c r="G219" i="136"/>
  <c r="F219" i="136"/>
  <c r="E219" i="136"/>
  <c r="D219" i="136"/>
  <c r="C219" i="136"/>
  <c r="B219" i="136"/>
  <c r="N218" i="136"/>
  <c r="M218" i="136"/>
  <c r="L218" i="136"/>
  <c r="K218" i="136"/>
  <c r="J218" i="136"/>
  <c r="I218" i="136"/>
  <c r="H218" i="136"/>
  <c r="G218" i="136"/>
  <c r="F218" i="136"/>
  <c r="E218" i="136"/>
  <c r="D218" i="136"/>
  <c r="C218" i="136"/>
  <c r="B218" i="136"/>
  <c r="N217" i="136"/>
  <c r="M217" i="136"/>
  <c r="L217" i="136"/>
  <c r="K217" i="136"/>
  <c r="J217" i="136"/>
  <c r="I217" i="136"/>
  <c r="H217" i="136"/>
  <c r="G217" i="136"/>
  <c r="F217" i="136"/>
  <c r="E217" i="136"/>
  <c r="D217" i="136"/>
  <c r="C217" i="136"/>
  <c r="B217" i="136"/>
  <c r="N216" i="136"/>
  <c r="M216" i="136"/>
  <c r="L216" i="136"/>
  <c r="K216" i="136"/>
  <c r="J216" i="136"/>
  <c r="I216" i="136"/>
  <c r="H216" i="136"/>
  <c r="G216" i="136"/>
  <c r="F216" i="136"/>
  <c r="E216" i="136"/>
  <c r="D216" i="136"/>
  <c r="C216" i="136"/>
  <c r="B216" i="136"/>
  <c r="N215" i="136"/>
  <c r="M215" i="136"/>
  <c r="L215" i="136"/>
  <c r="K215" i="136"/>
  <c r="J215" i="136"/>
  <c r="I215" i="136"/>
  <c r="H215" i="136"/>
  <c r="G215" i="136"/>
  <c r="F215" i="136"/>
  <c r="E215" i="136"/>
  <c r="D215" i="136"/>
  <c r="C215" i="136"/>
  <c r="B215" i="136"/>
  <c r="N214" i="136"/>
  <c r="M214" i="136"/>
  <c r="L214" i="136"/>
  <c r="K214" i="136"/>
  <c r="J214" i="136"/>
  <c r="I214" i="136"/>
  <c r="H214" i="136"/>
  <c r="G214" i="136"/>
  <c r="F214" i="136"/>
  <c r="E214" i="136"/>
  <c r="D214" i="136"/>
  <c r="C214" i="136"/>
  <c r="B214" i="136"/>
  <c r="N213" i="136"/>
  <c r="M213" i="136"/>
  <c r="L213" i="136"/>
  <c r="K213" i="136"/>
  <c r="J213" i="136"/>
  <c r="I213" i="136"/>
  <c r="H213" i="136"/>
  <c r="G213" i="136"/>
  <c r="F213" i="136"/>
  <c r="E213" i="136"/>
  <c r="D213" i="136"/>
  <c r="C213" i="136"/>
  <c r="B213" i="136"/>
  <c r="N212" i="136"/>
  <c r="M212" i="136"/>
  <c r="L212" i="136"/>
  <c r="K212" i="136"/>
  <c r="J212" i="136"/>
  <c r="I212" i="136"/>
  <c r="H212" i="136"/>
  <c r="G212" i="136"/>
  <c r="F212" i="136"/>
  <c r="E212" i="136"/>
  <c r="D212" i="136"/>
  <c r="C212" i="136"/>
  <c r="B212" i="136"/>
  <c r="N206" i="136"/>
  <c r="M206" i="136"/>
  <c r="L206" i="136"/>
  <c r="K206" i="136"/>
  <c r="J206" i="136"/>
  <c r="I206" i="136"/>
  <c r="H206" i="136"/>
  <c r="G206" i="136"/>
  <c r="F206" i="136"/>
  <c r="E206" i="136"/>
  <c r="D206" i="136"/>
  <c r="C206" i="136"/>
  <c r="A206" i="136"/>
  <c r="N205" i="136"/>
  <c r="M205" i="136"/>
  <c r="L205" i="136"/>
  <c r="K205" i="136"/>
  <c r="J205" i="136"/>
  <c r="I205" i="136"/>
  <c r="H205" i="136"/>
  <c r="G205" i="136"/>
  <c r="F205" i="136"/>
  <c r="E205" i="136"/>
  <c r="D205" i="136"/>
  <c r="C205" i="136"/>
  <c r="B205" i="136"/>
  <c r="N204" i="136"/>
  <c r="M204" i="136"/>
  <c r="L204" i="136"/>
  <c r="K204" i="136"/>
  <c r="J204" i="136"/>
  <c r="I204" i="136"/>
  <c r="H204" i="136"/>
  <c r="G204" i="136"/>
  <c r="F204" i="136"/>
  <c r="E204" i="136"/>
  <c r="D204" i="136"/>
  <c r="C204" i="136"/>
  <c r="B204" i="136"/>
  <c r="N203" i="136"/>
  <c r="M203" i="136"/>
  <c r="L203" i="136"/>
  <c r="K203" i="136"/>
  <c r="J203" i="136"/>
  <c r="I203" i="136"/>
  <c r="H203" i="136"/>
  <c r="G203" i="136"/>
  <c r="F203" i="136"/>
  <c r="E203" i="136"/>
  <c r="D203" i="136"/>
  <c r="C203" i="136"/>
  <c r="B203" i="136"/>
  <c r="N202" i="136"/>
  <c r="M202" i="136"/>
  <c r="L202" i="136"/>
  <c r="K202" i="136"/>
  <c r="J202" i="136"/>
  <c r="I202" i="136"/>
  <c r="H202" i="136"/>
  <c r="G202" i="136"/>
  <c r="F202" i="136"/>
  <c r="E202" i="136"/>
  <c r="D202" i="136"/>
  <c r="C202" i="136"/>
  <c r="B202" i="136"/>
  <c r="N201" i="136"/>
  <c r="M201" i="136"/>
  <c r="L201" i="136"/>
  <c r="K201" i="136"/>
  <c r="J201" i="136"/>
  <c r="I201" i="136"/>
  <c r="H201" i="136"/>
  <c r="G201" i="136"/>
  <c r="F201" i="136"/>
  <c r="E201" i="136"/>
  <c r="D201" i="136"/>
  <c r="C201" i="136"/>
  <c r="B201" i="136"/>
  <c r="N200" i="136"/>
  <c r="M200" i="136"/>
  <c r="L200" i="136"/>
  <c r="K200" i="136"/>
  <c r="J200" i="136"/>
  <c r="I200" i="136"/>
  <c r="H200" i="136"/>
  <c r="G200" i="136"/>
  <c r="F200" i="136"/>
  <c r="E200" i="136"/>
  <c r="D200" i="136"/>
  <c r="C200" i="136"/>
  <c r="B200" i="136"/>
  <c r="N199" i="136"/>
  <c r="M199" i="136"/>
  <c r="L199" i="136"/>
  <c r="K199" i="136"/>
  <c r="J199" i="136"/>
  <c r="I199" i="136"/>
  <c r="H199" i="136"/>
  <c r="G199" i="136"/>
  <c r="F199" i="136"/>
  <c r="E199" i="136"/>
  <c r="D199" i="136"/>
  <c r="C199" i="136"/>
  <c r="B199" i="136"/>
  <c r="N198" i="136"/>
  <c r="M198" i="136"/>
  <c r="L198" i="136"/>
  <c r="K198" i="136"/>
  <c r="J198" i="136"/>
  <c r="I198" i="136"/>
  <c r="H198" i="136"/>
  <c r="G198" i="136"/>
  <c r="F198" i="136"/>
  <c r="E198" i="136"/>
  <c r="D198" i="136"/>
  <c r="C198" i="136"/>
  <c r="B198" i="136"/>
  <c r="N197" i="136"/>
  <c r="M197" i="136"/>
  <c r="L197" i="136"/>
  <c r="K197" i="136"/>
  <c r="J197" i="136"/>
  <c r="I197" i="136"/>
  <c r="H197" i="136"/>
  <c r="G197" i="136"/>
  <c r="F197" i="136"/>
  <c r="E197" i="136"/>
  <c r="D197" i="136"/>
  <c r="C197" i="136"/>
  <c r="B197" i="136"/>
  <c r="N196" i="136"/>
  <c r="M196" i="136"/>
  <c r="L196" i="136"/>
  <c r="K196" i="136"/>
  <c r="J196" i="136"/>
  <c r="I196" i="136"/>
  <c r="H196" i="136"/>
  <c r="G196" i="136"/>
  <c r="F196" i="136"/>
  <c r="E196" i="136"/>
  <c r="D196" i="136"/>
  <c r="C196" i="136"/>
  <c r="B196" i="136"/>
  <c r="N195" i="136"/>
  <c r="M195" i="136"/>
  <c r="L195" i="136"/>
  <c r="K195" i="136"/>
  <c r="J195" i="136"/>
  <c r="I195" i="136"/>
  <c r="H195" i="136"/>
  <c r="G195" i="136"/>
  <c r="F195" i="136"/>
  <c r="E195" i="136"/>
  <c r="D195" i="136"/>
  <c r="C195" i="136"/>
  <c r="B195" i="136"/>
  <c r="N194" i="136"/>
  <c r="M194" i="136"/>
  <c r="L194" i="136"/>
  <c r="K194" i="136"/>
  <c r="J194" i="136"/>
  <c r="I194" i="136"/>
  <c r="H194" i="136"/>
  <c r="G194" i="136"/>
  <c r="F194" i="136"/>
  <c r="E194" i="136"/>
  <c r="D194" i="136"/>
  <c r="C194" i="136"/>
  <c r="B194" i="136"/>
  <c r="N190" i="136"/>
  <c r="M190" i="136"/>
  <c r="L190" i="136"/>
  <c r="K190" i="136"/>
  <c r="J190" i="136"/>
  <c r="I190" i="136"/>
  <c r="H190" i="136"/>
  <c r="G190" i="136"/>
  <c r="F190" i="136"/>
  <c r="E190" i="136"/>
  <c r="D190" i="136"/>
  <c r="C190" i="136"/>
  <c r="A190" i="136"/>
  <c r="N189" i="136"/>
  <c r="M189" i="136"/>
  <c r="L189" i="136"/>
  <c r="K189" i="136"/>
  <c r="J189" i="136"/>
  <c r="I189" i="136"/>
  <c r="H189" i="136"/>
  <c r="G189" i="136"/>
  <c r="F189" i="136"/>
  <c r="E189" i="136"/>
  <c r="D189" i="136"/>
  <c r="C189" i="136"/>
  <c r="B189" i="136"/>
  <c r="N188" i="136"/>
  <c r="M188" i="136"/>
  <c r="L188" i="136"/>
  <c r="K188" i="136"/>
  <c r="J188" i="136"/>
  <c r="I188" i="136"/>
  <c r="H188" i="136"/>
  <c r="G188" i="136"/>
  <c r="F188" i="136"/>
  <c r="E188" i="136"/>
  <c r="D188" i="136"/>
  <c r="C188" i="136"/>
  <c r="B188" i="136"/>
  <c r="N187" i="136"/>
  <c r="M187" i="136"/>
  <c r="L187" i="136"/>
  <c r="K187" i="136"/>
  <c r="J187" i="136"/>
  <c r="I187" i="136"/>
  <c r="H187" i="136"/>
  <c r="G187" i="136"/>
  <c r="F187" i="136"/>
  <c r="E187" i="136"/>
  <c r="D187" i="136"/>
  <c r="C187" i="136"/>
  <c r="B187" i="136"/>
  <c r="N186" i="136"/>
  <c r="M186" i="136"/>
  <c r="L186" i="136"/>
  <c r="K186" i="136"/>
  <c r="J186" i="136"/>
  <c r="I186" i="136"/>
  <c r="H186" i="136"/>
  <c r="G186" i="136"/>
  <c r="F186" i="136"/>
  <c r="E186" i="136"/>
  <c r="D186" i="136"/>
  <c r="C186" i="136"/>
  <c r="B186" i="136"/>
  <c r="N185" i="136"/>
  <c r="M185" i="136"/>
  <c r="L185" i="136"/>
  <c r="K185" i="136"/>
  <c r="J185" i="136"/>
  <c r="I185" i="136"/>
  <c r="H185" i="136"/>
  <c r="G185" i="136"/>
  <c r="F185" i="136"/>
  <c r="E185" i="136"/>
  <c r="D185" i="136"/>
  <c r="C185" i="136"/>
  <c r="B185" i="136"/>
  <c r="N184" i="136"/>
  <c r="M184" i="136"/>
  <c r="L184" i="136"/>
  <c r="K184" i="136"/>
  <c r="J184" i="136"/>
  <c r="I184" i="136"/>
  <c r="H184" i="136"/>
  <c r="G184" i="136"/>
  <c r="F184" i="136"/>
  <c r="E184" i="136"/>
  <c r="D184" i="136"/>
  <c r="C184" i="136"/>
  <c r="B184" i="136"/>
  <c r="N183" i="136"/>
  <c r="M183" i="136"/>
  <c r="L183" i="136"/>
  <c r="K183" i="136"/>
  <c r="J183" i="136"/>
  <c r="I183" i="136"/>
  <c r="H183" i="136"/>
  <c r="G183" i="136"/>
  <c r="F183" i="136"/>
  <c r="E183" i="136"/>
  <c r="D183" i="136"/>
  <c r="C183" i="136"/>
  <c r="B183" i="136"/>
  <c r="N182" i="136"/>
  <c r="M182" i="136"/>
  <c r="L182" i="136"/>
  <c r="K182" i="136"/>
  <c r="J182" i="136"/>
  <c r="I182" i="136"/>
  <c r="H182" i="136"/>
  <c r="G182" i="136"/>
  <c r="F182" i="136"/>
  <c r="E182" i="136"/>
  <c r="D182" i="136"/>
  <c r="C182" i="136"/>
  <c r="B182" i="136"/>
  <c r="N181" i="136"/>
  <c r="M181" i="136"/>
  <c r="L181" i="136"/>
  <c r="K181" i="136"/>
  <c r="J181" i="136"/>
  <c r="I181" i="136"/>
  <c r="H181" i="136"/>
  <c r="G181" i="136"/>
  <c r="F181" i="136"/>
  <c r="E181" i="136"/>
  <c r="D181" i="136"/>
  <c r="C181" i="136"/>
  <c r="B181" i="136"/>
  <c r="N180" i="136"/>
  <c r="M180" i="136"/>
  <c r="L180" i="136"/>
  <c r="K180" i="136"/>
  <c r="J180" i="136"/>
  <c r="I180" i="136"/>
  <c r="H180" i="136"/>
  <c r="G180" i="136"/>
  <c r="F180" i="136"/>
  <c r="E180" i="136"/>
  <c r="D180" i="136"/>
  <c r="C180" i="136"/>
  <c r="B180" i="136"/>
  <c r="N179" i="136"/>
  <c r="M179" i="136"/>
  <c r="L179" i="136"/>
  <c r="K179" i="136"/>
  <c r="J179" i="136"/>
  <c r="I179" i="136"/>
  <c r="H179" i="136"/>
  <c r="G179" i="136"/>
  <c r="F179" i="136"/>
  <c r="E179" i="136"/>
  <c r="D179" i="136"/>
  <c r="C179" i="136"/>
  <c r="B179" i="136"/>
  <c r="N178" i="136"/>
  <c r="M178" i="136"/>
  <c r="L178" i="136"/>
  <c r="K178" i="136"/>
  <c r="J178" i="136"/>
  <c r="I178" i="136"/>
  <c r="H178" i="136"/>
  <c r="G178" i="136"/>
  <c r="F178" i="136"/>
  <c r="E178" i="136"/>
  <c r="D178" i="136"/>
  <c r="C178" i="136"/>
  <c r="B178" i="136"/>
  <c r="N172" i="136"/>
  <c r="M172" i="136"/>
  <c r="L172" i="136"/>
  <c r="K172" i="136"/>
  <c r="J172" i="136"/>
  <c r="I172" i="136"/>
  <c r="H172" i="136"/>
  <c r="G172" i="136"/>
  <c r="F172" i="136"/>
  <c r="E172" i="136"/>
  <c r="D172" i="136"/>
  <c r="C172" i="136"/>
  <c r="A172" i="136"/>
  <c r="N171" i="136"/>
  <c r="M171" i="136"/>
  <c r="L171" i="136"/>
  <c r="K171" i="136"/>
  <c r="J171" i="136"/>
  <c r="I171" i="136"/>
  <c r="H171" i="136"/>
  <c r="G171" i="136"/>
  <c r="F171" i="136"/>
  <c r="E171" i="136"/>
  <c r="D171" i="136"/>
  <c r="C171" i="136"/>
  <c r="B171" i="136"/>
  <c r="N170" i="136"/>
  <c r="M170" i="136"/>
  <c r="L170" i="136"/>
  <c r="K170" i="136"/>
  <c r="J170" i="136"/>
  <c r="I170" i="136"/>
  <c r="H170" i="136"/>
  <c r="G170" i="136"/>
  <c r="F170" i="136"/>
  <c r="E170" i="136"/>
  <c r="D170" i="136"/>
  <c r="C170" i="136"/>
  <c r="B170" i="136"/>
  <c r="N169" i="136"/>
  <c r="M169" i="136"/>
  <c r="L169" i="136"/>
  <c r="K169" i="136"/>
  <c r="J169" i="136"/>
  <c r="I169" i="136"/>
  <c r="H169" i="136"/>
  <c r="G169" i="136"/>
  <c r="F169" i="136"/>
  <c r="E169" i="136"/>
  <c r="D169" i="136"/>
  <c r="C169" i="136"/>
  <c r="B169" i="136"/>
  <c r="N168" i="136"/>
  <c r="M168" i="136"/>
  <c r="L168" i="136"/>
  <c r="K168" i="136"/>
  <c r="J168" i="136"/>
  <c r="I168" i="136"/>
  <c r="H168" i="136"/>
  <c r="G168" i="136"/>
  <c r="F168" i="136"/>
  <c r="E168" i="136"/>
  <c r="D168" i="136"/>
  <c r="C168" i="136"/>
  <c r="B168" i="136"/>
  <c r="N167" i="136"/>
  <c r="M167" i="136"/>
  <c r="L167" i="136"/>
  <c r="K167" i="136"/>
  <c r="J167" i="136"/>
  <c r="I167" i="136"/>
  <c r="H167" i="136"/>
  <c r="G167" i="136"/>
  <c r="F167" i="136"/>
  <c r="E167" i="136"/>
  <c r="D167" i="136"/>
  <c r="C167" i="136"/>
  <c r="B167" i="136"/>
  <c r="N166" i="136"/>
  <c r="M166" i="136"/>
  <c r="L166" i="136"/>
  <c r="K166" i="136"/>
  <c r="J166" i="136"/>
  <c r="I166" i="136"/>
  <c r="H166" i="136"/>
  <c r="G166" i="136"/>
  <c r="F166" i="136"/>
  <c r="E166" i="136"/>
  <c r="D166" i="136"/>
  <c r="C166" i="136"/>
  <c r="B166" i="136"/>
  <c r="N165" i="136"/>
  <c r="M165" i="136"/>
  <c r="L165" i="136"/>
  <c r="K165" i="136"/>
  <c r="J165" i="136"/>
  <c r="I165" i="136"/>
  <c r="H165" i="136"/>
  <c r="G165" i="136"/>
  <c r="F165" i="136"/>
  <c r="E165" i="136"/>
  <c r="D165" i="136"/>
  <c r="C165" i="136"/>
  <c r="B165" i="136"/>
  <c r="N164" i="136"/>
  <c r="M164" i="136"/>
  <c r="L164" i="136"/>
  <c r="K164" i="136"/>
  <c r="J164" i="136"/>
  <c r="I164" i="136"/>
  <c r="H164" i="136"/>
  <c r="G164" i="136"/>
  <c r="F164" i="136"/>
  <c r="E164" i="136"/>
  <c r="D164" i="136"/>
  <c r="C164" i="136"/>
  <c r="B164" i="136"/>
  <c r="N163" i="136"/>
  <c r="M163" i="136"/>
  <c r="L163" i="136"/>
  <c r="K163" i="136"/>
  <c r="J163" i="136"/>
  <c r="I163" i="136"/>
  <c r="H163" i="136"/>
  <c r="G163" i="136"/>
  <c r="F163" i="136"/>
  <c r="E163" i="136"/>
  <c r="D163" i="136"/>
  <c r="C163" i="136"/>
  <c r="B163" i="136"/>
  <c r="N162" i="136"/>
  <c r="M162" i="136"/>
  <c r="L162" i="136"/>
  <c r="K162" i="136"/>
  <c r="J162" i="136"/>
  <c r="I162" i="136"/>
  <c r="H162" i="136"/>
  <c r="G162" i="136"/>
  <c r="F162" i="136"/>
  <c r="E162" i="136"/>
  <c r="D162" i="136"/>
  <c r="C162" i="136"/>
  <c r="B162" i="136"/>
  <c r="N161" i="136"/>
  <c r="M161" i="136"/>
  <c r="L161" i="136"/>
  <c r="K161" i="136"/>
  <c r="J161" i="136"/>
  <c r="I161" i="136"/>
  <c r="H161" i="136"/>
  <c r="G161" i="136"/>
  <c r="F161" i="136"/>
  <c r="E161" i="136"/>
  <c r="D161" i="136"/>
  <c r="C161" i="136"/>
  <c r="B161" i="136"/>
  <c r="N160" i="136"/>
  <c r="M160" i="136"/>
  <c r="L160" i="136"/>
  <c r="K160" i="136"/>
  <c r="J160" i="136"/>
  <c r="I160" i="136"/>
  <c r="H160" i="136"/>
  <c r="G160" i="136"/>
  <c r="F160" i="136"/>
  <c r="E160" i="136"/>
  <c r="D160" i="136"/>
  <c r="C160" i="136"/>
  <c r="B160" i="136"/>
  <c r="N156" i="136"/>
  <c r="M156" i="136"/>
  <c r="L156" i="136"/>
  <c r="K156" i="136"/>
  <c r="J156" i="136"/>
  <c r="I156" i="136"/>
  <c r="H156" i="136"/>
  <c r="G156" i="136"/>
  <c r="F156" i="136"/>
  <c r="E156" i="136"/>
  <c r="D156" i="136"/>
  <c r="C156" i="136"/>
  <c r="A156" i="136"/>
  <c r="N155" i="136"/>
  <c r="M155" i="136"/>
  <c r="L155" i="136"/>
  <c r="K155" i="136"/>
  <c r="J155" i="136"/>
  <c r="I155" i="136"/>
  <c r="H155" i="136"/>
  <c r="G155" i="136"/>
  <c r="F155" i="136"/>
  <c r="E155" i="136"/>
  <c r="D155" i="136"/>
  <c r="C155" i="136"/>
  <c r="B155" i="136"/>
  <c r="N154" i="136"/>
  <c r="M154" i="136"/>
  <c r="L154" i="136"/>
  <c r="K154" i="136"/>
  <c r="J154" i="136"/>
  <c r="I154" i="136"/>
  <c r="H154" i="136"/>
  <c r="G154" i="136"/>
  <c r="F154" i="136"/>
  <c r="E154" i="136"/>
  <c r="D154" i="136"/>
  <c r="C154" i="136"/>
  <c r="B154" i="136"/>
  <c r="N153" i="136"/>
  <c r="M153" i="136"/>
  <c r="L153" i="136"/>
  <c r="K153" i="136"/>
  <c r="J153" i="136"/>
  <c r="I153" i="136"/>
  <c r="H153" i="136"/>
  <c r="G153" i="136"/>
  <c r="F153" i="136"/>
  <c r="E153" i="136"/>
  <c r="D153" i="136"/>
  <c r="C153" i="136"/>
  <c r="B153" i="136"/>
  <c r="N152" i="136"/>
  <c r="M152" i="136"/>
  <c r="L152" i="136"/>
  <c r="K152" i="136"/>
  <c r="J152" i="136"/>
  <c r="I152" i="136"/>
  <c r="H152" i="136"/>
  <c r="G152" i="136"/>
  <c r="F152" i="136"/>
  <c r="E152" i="136"/>
  <c r="D152" i="136"/>
  <c r="C152" i="136"/>
  <c r="B152" i="136"/>
  <c r="N151" i="136"/>
  <c r="M151" i="136"/>
  <c r="L151" i="136"/>
  <c r="K151" i="136"/>
  <c r="J151" i="136"/>
  <c r="I151" i="136"/>
  <c r="H151" i="136"/>
  <c r="G151" i="136"/>
  <c r="F151" i="136"/>
  <c r="E151" i="136"/>
  <c r="D151" i="136"/>
  <c r="C151" i="136"/>
  <c r="B151" i="136"/>
  <c r="N150" i="136"/>
  <c r="M150" i="136"/>
  <c r="L150" i="136"/>
  <c r="K150" i="136"/>
  <c r="J150" i="136"/>
  <c r="I150" i="136"/>
  <c r="H150" i="136"/>
  <c r="G150" i="136"/>
  <c r="F150" i="136"/>
  <c r="E150" i="136"/>
  <c r="D150" i="136"/>
  <c r="C150" i="136"/>
  <c r="B150" i="136"/>
  <c r="N149" i="136"/>
  <c r="M149" i="136"/>
  <c r="L149" i="136"/>
  <c r="K149" i="136"/>
  <c r="J149" i="136"/>
  <c r="I149" i="136"/>
  <c r="H149" i="136"/>
  <c r="G149" i="136"/>
  <c r="F149" i="136"/>
  <c r="E149" i="136"/>
  <c r="D149" i="136"/>
  <c r="C149" i="136"/>
  <c r="B149" i="136"/>
  <c r="N148" i="136"/>
  <c r="M148" i="136"/>
  <c r="L148" i="136"/>
  <c r="K148" i="136"/>
  <c r="J148" i="136"/>
  <c r="I148" i="136"/>
  <c r="H148" i="136"/>
  <c r="G148" i="136"/>
  <c r="F148" i="136"/>
  <c r="E148" i="136"/>
  <c r="D148" i="136"/>
  <c r="C148" i="136"/>
  <c r="B148" i="136"/>
  <c r="N147" i="136"/>
  <c r="M147" i="136"/>
  <c r="L147" i="136"/>
  <c r="K147" i="136"/>
  <c r="J147" i="136"/>
  <c r="I147" i="136"/>
  <c r="H147" i="136"/>
  <c r="G147" i="136"/>
  <c r="F147" i="136"/>
  <c r="E147" i="136"/>
  <c r="D147" i="136"/>
  <c r="C147" i="136"/>
  <c r="B147" i="136"/>
  <c r="N146" i="136"/>
  <c r="M146" i="136"/>
  <c r="L146" i="136"/>
  <c r="K146" i="136"/>
  <c r="J146" i="136"/>
  <c r="I146" i="136"/>
  <c r="H146" i="136"/>
  <c r="G146" i="136"/>
  <c r="F146" i="136"/>
  <c r="E146" i="136"/>
  <c r="D146" i="136"/>
  <c r="C146" i="136"/>
  <c r="B146" i="136"/>
  <c r="N145" i="136"/>
  <c r="M145" i="136"/>
  <c r="L145" i="136"/>
  <c r="K145" i="136"/>
  <c r="J145" i="136"/>
  <c r="I145" i="136"/>
  <c r="H145" i="136"/>
  <c r="G145" i="136"/>
  <c r="F145" i="136"/>
  <c r="E145" i="136"/>
  <c r="D145" i="136"/>
  <c r="C145" i="136"/>
  <c r="B145" i="136"/>
  <c r="N144" i="136"/>
  <c r="M144" i="136"/>
  <c r="L144" i="136"/>
  <c r="K144" i="136"/>
  <c r="J144" i="136"/>
  <c r="I144" i="136"/>
  <c r="H144" i="136"/>
  <c r="G144" i="136"/>
  <c r="F144" i="136"/>
  <c r="E144" i="136"/>
  <c r="D144" i="136"/>
  <c r="C144" i="136"/>
  <c r="B144" i="136"/>
  <c r="N138" i="136"/>
  <c r="M138" i="136"/>
  <c r="L138" i="136"/>
  <c r="K138" i="136"/>
  <c r="J138" i="136"/>
  <c r="I138" i="136"/>
  <c r="H138" i="136"/>
  <c r="G138" i="136"/>
  <c r="F138" i="136"/>
  <c r="E138" i="136"/>
  <c r="D138" i="136"/>
  <c r="C138" i="136"/>
  <c r="A138" i="136"/>
  <c r="N137" i="136"/>
  <c r="M137" i="136"/>
  <c r="L137" i="136"/>
  <c r="K137" i="136"/>
  <c r="J137" i="136"/>
  <c r="I137" i="136"/>
  <c r="H137" i="136"/>
  <c r="G137" i="136"/>
  <c r="F137" i="136"/>
  <c r="E137" i="136"/>
  <c r="D137" i="136"/>
  <c r="C137" i="136"/>
  <c r="B137" i="136"/>
  <c r="N136" i="136"/>
  <c r="M136" i="136"/>
  <c r="L136" i="136"/>
  <c r="K136" i="136"/>
  <c r="J136" i="136"/>
  <c r="I136" i="136"/>
  <c r="H136" i="136"/>
  <c r="G136" i="136"/>
  <c r="F136" i="136"/>
  <c r="E136" i="136"/>
  <c r="D136" i="136"/>
  <c r="C136" i="136"/>
  <c r="B136" i="136"/>
  <c r="N135" i="136"/>
  <c r="M135" i="136"/>
  <c r="L135" i="136"/>
  <c r="K135" i="136"/>
  <c r="J135" i="136"/>
  <c r="I135" i="136"/>
  <c r="H135" i="136"/>
  <c r="G135" i="136"/>
  <c r="F135" i="136"/>
  <c r="E135" i="136"/>
  <c r="D135" i="136"/>
  <c r="C135" i="136"/>
  <c r="B135" i="136"/>
  <c r="N134" i="136"/>
  <c r="M134" i="136"/>
  <c r="L134" i="136"/>
  <c r="K134" i="136"/>
  <c r="J134" i="136"/>
  <c r="I134" i="136"/>
  <c r="H134" i="136"/>
  <c r="G134" i="136"/>
  <c r="F134" i="136"/>
  <c r="E134" i="136"/>
  <c r="D134" i="136"/>
  <c r="C134" i="136"/>
  <c r="B134" i="136"/>
  <c r="N133" i="136"/>
  <c r="M133" i="136"/>
  <c r="L133" i="136"/>
  <c r="K133" i="136"/>
  <c r="J133" i="136"/>
  <c r="I133" i="136"/>
  <c r="H133" i="136"/>
  <c r="G133" i="136"/>
  <c r="F133" i="136"/>
  <c r="E133" i="136"/>
  <c r="D133" i="136"/>
  <c r="C133" i="136"/>
  <c r="B133" i="136"/>
  <c r="N132" i="136"/>
  <c r="M132" i="136"/>
  <c r="L132" i="136"/>
  <c r="K132" i="136"/>
  <c r="J132" i="136"/>
  <c r="I132" i="136"/>
  <c r="H132" i="136"/>
  <c r="G132" i="136"/>
  <c r="F132" i="136"/>
  <c r="E132" i="136"/>
  <c r="D132" i="136"/>
  <c r="C132" i="136"/>
  <c r="B132" i="136"/>
  <c r="N131" i="136"/>
  <c r="M131" i="136"/>
  <c r="L131" i="136"/>
  <c r="K131" i="136"/>
  <c r="J131" i="136"/>
  <c r="I131" i="136"/>
  <c r="H131" i="136"/>
  <c r="G131" i="136"/>
  <c r="F131" i="136"/>
  <c r="E131" i="136"/>
  <c r="D131" i="136"/>
  <c r="C131" i="136"/>
  <c r="B131" i="136"/>
  <c r="N130" i="136"/>
  <c r="M130" i="136"/>
  <c r="L130" i="136"/>
  <c r="K130" i="136"/>
  <c r="J130" i="136"/>
  <c r="I130" i="136"/>
  <c r="H130" i="136"/>
  <c r="G130" i="136"/>
  <c r="F130" i="136"/>
  <c r="E130" i="136"/>
  <c r="D130" i="136"/>
  <c r="C130" i="136"/>
  <c r="B130" i="136"/>
  <c r="N129" i="136"/>
  <c r="M129" i="136"/>
  <c r="L129" i="136"/>
  <c r="K129" i="136"/>
  <c r="J129" i="136"/>
  <c r="I129" i="136"/>
  <c r="H129" i="136"/>
  <c r="G129" i="136"/>
  <c r="F129" i="136"/>
  <c r="E129" i="136"/>
  <c r="D129" i="136"/>
  <c r="C129" i="136"/>
  <c r="B129" i="136"/>
  <c r="N128" i="136"/>
  <c r="M128" i="136"/>
  <c r="L128" i="136"/>
  <c r="K128" i="136"/>
  <c r="J128" i="136"/>
  <c r="I128" i="136"/>
  <c r="H128" i="136"/>
  <c r="G128" i="136"/>
  <c r="F128" i="136"/>
  <c r="E128" i="136"/>
  <c r="D128" i="136"/>
  <c r="C128" i="136"/>
  <c r="B128" i="136"/>
  <c r="N127" i="136"/>
  <c r="M127" i="136"/>
  <c r="L127" i="136"/>
  <c r="K127" i="136"/>
  <c r="J127" i="136"/>
  <c r="I127" i="136"/>
  <c r="H127" i="136"/>
  <c r="G127" i="136"/>
  <c r="F127" i="136"/>
  <c r="E127" i="136"/>
  <c r="D127" i="136"/>
  <c r="C127" i="136"/>
  <c r="B127" i="136"/>
  <c r="N126" i="136"/>
  <c r="M126" i="136"/>
  <c r="L126" i="136"/>
  <c r="K126" i="136"/>
  <c r="J126" i="136"/>
  <c r="I126" i="136"/>
  <c r="H126" i="136"/>
  <c r="G126" i="136"/>
  <c r="F126" i="136"/>
  <c r="E126" i="136"/>
  <c r="D126" i="136"/>
  <c r="C126" i="136"/>
  <c r="B126" i="136"/>
  <c r="N122" i="136"/>
  <c r="M122" i="136"/>
  <c r="L122" i="136"/>
  <c r="K122" i="136"/>
  <c r="J122" i="136"/>
  <c r="I122" i="136"/>
  <c r="H122" i="136"/>
  <c r="G122" i="136"/>
  <c r="F122" i="136"/>
  <c r="E122" i="136"/>
  <c r="D122" i="136"/>
  <c r="C122" i="136"/>
  <c r="A122" i="136"/>
  <c r="N121" i="136"/>
  <c r="M121" i="136"/>
  <c r="L121" i="136"/>
  <c r="K121" i="136"/>
  <c r="J121" i="136"/>
  <c r="I121" i="136"/>
  <c r="H121" i="136"/>
  <c r="G121" i="136"/>
  <c r="F121" i="136"/>
  <c r="E121" i="136"/>
  <c r="D121" i="136"/>
  <c r="C121" i="136"/>
  <c r="B121" i="136"/>
  <c r="N120" i="136"/>
  <c r="M120" i="136"/>
  <c r="L120" i="136"/>
  <c r="K120" i="136"/>
  <c r="J120" i="136"/>
  <c r="I120" i="136"/>
  <c r="H120" i="136"/>
  <c r="G120" i="136"/>
  <c r="F120" i="136"/>
  <c r="E120" i="136"/>
  <c r="D120" i="136"/>
  <c r="C120" i="136"/>
  <c r="B120" i="136"/>
  <c r="N119" i="136"/>
  <c r="M119" i="136"/>
  <c r="L119" i="136"/>
  <c r="K119" i="136"/>
  <c r="J119" i="136"/>
  <c r="I119" i="136"/>
  <c r="H119" i="136"/>
  <c r="G119" i="136"/>
  <c r="F119" i="136"/>
  <c r="E119" i="136"/>
  <c r="D119" i="136"/>
  <c r="C119" i="136"/>
  <c r="B119" i="136"/>
  <c r="N118" i="136"/>
  <c r="M118" i="136"/>
  <c r="L118" i="136"/>
  <c r="K118" i="136"/>
  <c r="J118" i="136"/>
  <c r="I118" i="136"/>
  <c r="H118" i="136"/>
  <c r="G118" i="136"/>
  <c r="F118" i="136"/>
  <c r="E118" i="136"/>
  <c r="D118" i="136"/>
  <c r="C118" i="136"/>
  <c r="B118" i="136"/>
  <c r="N117" i="136"/>
  <c r="M117" i="136"/>
  <c r="L117" i="136"/>
  <c r="K117" i="136"/>
  <c r="J117" i="136"/>
  <c r="I117" i="136"/>
  <c r="H117" i="136"/>
  <c r="G117" i="136"/>
  <c r="F117" i="136"/>
  <c r="E117" i="136"/>
  <c r="D117" i="136"/>
  <c r="C117" i="136"/>
  <c r="B117" i="136"/>
  <c r="N116" i="136"/>
  <c r="M116" i="136"/>
  <c r="L116" i="136"/>
  <c r="K116" i="136"/>
  <c r="J116" i="136"/>
  <c r="I116" i="136"/>
  <c r="H116" i="136"/>
  <c r="G116" i="136"/>
  <c r="F116" i="136"/>
  <c r="E116" i="136"/>
  <c r="D116" i="136"/>
  <c r="C116" i="136"/>
  <c r="B116" i="136"/>
  <c r="N115" i="136"/>
  <c r="M115" i="136"/>
  <c r="L115" i="136"/>
  <c r="K115" i="136"/>
  <c r="J115" i="136"/>
  <c r="I115" i="136"/>
  <c r="H115" i="136"/>
  <c r="G115" i="136"/>
  <c r="F115" i="136"/>
  <c r="E115" i="136"/>
  <c r="D115" i="136"/>
  <c r="C115" i="136"/>
  <c r="B115" i="136"/>
  <c r="N114" i="136"/>
  <c r="M114" i="136"/>
  <c r="L114" i="136"/>
  <c r="K114" i="136"/>
  <c r="J114" i="136"/>
  <c r="I114" i="136"/>
  <c r="H114" i="136"/>
  <c r="G114" i="136"/>
  <c r="F114" i="136"/>
  <c r="E114" i="136"/>
  <c r="D114" i="136"/>
  <c r="C114" i="136"/>
  <c r="B114" i="136"/>
  <c r="N113" i="136"/>
  <c r="M113" i="136"/>
  <c r="L113" i="136"/>
  <c r="K113" i="136"/>
  <c r="J113" i="136"/>
  <c r="I113" i="136"/>
  <c r="H113" i="136"/>
  <c r="G113" i="136"/>
  <c r="F113" i="136"/>
  <c r="E113" i="136"/>
  <c r="D113" i="136"/>
  <c r="C113" i="136"/>
  <c r="B113" i="136"/>
  <c r="N112" i="136"/>
  <c r="M112" i="136"/>
  <c r="L112" i="136"/>
  <c r="K112" i="136"/>
  <c r="J112" i="136"/>
  <c r="I112" i="136"/>
  <c r="H112" i="136"/>
  <c r="G112" i="136"/>
  <c r="F112" i="136"/>
  <c r="E112" i="136"/>
  <c r="D112" i="136"/>
  <c r="C112" i="136"/>
  <c r="B112" i="136"/>
  <c r="N111" i="136"/>
  <c r="M111" i="136"/>
  <c r="L111" i="136"/>
  <c r="K111" i="136"/>
  <c r="J111" i="136"/>
  <c r="I111" i="136"/>
  <c r="H111" i="136"/>
  <c r="G111" i="136"/>
  <c r="F111" i="136"/>
  <c r="E111" i="136"/>
  <c r="D111" i="136"/>
  <c r="C111" i="136"/>
  <c r="B111" i="136"/>
  <c r="N110" i="136"/>
  <c r="M110" i="136"/>
  <c r="L110" i="136"/>
  <c r="K110" i="136"/>
  <c r="J110" i="136"/>
  <c r="I110" i="136"/>
  <c r="H110" i="136"/>
  <c r="G110" i="136"/>
  <c r="F110" i="136"/>
  <c r="E110" i="136"/>
  <c r="D110" i="136"/>
  <c r="C110" i="136"/>
  <c r="B110" i="136"/>
  <c r="N104" i="136"/>
  <c r="M104" i="136"/>
  <c r="L104" i="136"/>
  <c r="K104" i="136"/>
  <c r="J104" i="136"/>
  <c r="I104" i="136"/>
  <c r="H104" i="136"/>
  <c r="G104" i="136"/>
  <c r="F104" i="136"/>
  <c r="E104" i="136"/>
  <c r="D104" i="136"/>
  <c r="C104" i="136"/>
  <c r="A104" i="136"/>
  <c r="N103" i="136"/>
  <c r="M103" i="136"/>
  <c r="L103" i="136"/>
  <c r="K103" i="136"/>
  <c r="J103" i="136"/>
  <c r="I103" i="136"/>
  <c r="H103" i="136"/>
  <c r="G103" i="136"/>
  <c r="F103" i="136"/>
  <c r="E103" i="136"/>
  <c r="D103" i="136"/>
  <c r="C103" i="136"/>
  <c r="B103" i="136"/>
  <c r="N102" i="136"/>
  <c r="M102" i="136"/>
  <c r="L102" i="136"/>
  <c r="K102" i="136"/>
  <c r="J102" i="136"/>
  <c r="I102" i="136"/>
  <c r="H102" i="136"/>
  <c r="G102" i="136"/>
  <c r="F102" i="136"/>
  <c r="E102" i="136"/>
  <c r="D102" i="136"/>
  <c r="C102" i="136"/>
  <c r="B102" i="136"/>
  <c r="N101" i="136"/>
  <c r="M101" i="136"/>
  <c r="L101" i="136"/>
  <c r="K101" i="136"/>
  <c r="J101" i="136"/>
  <c r="I101" i="136"/>
  <c r="H101" i="136"/>
  <c r="G101" i="136"/>
  <c r="F101" i="136"/>
  <c r="E101" i="136"/>
  <c r="D101" i="136"/>
  <c r="C101" i="136"/>
  <c r="B101" i="136"/>
  <c r="N100" i="136"/>
  <c r="M100" i="136"/>
  <c r="L100" i="136"/>
  <c r="K100" i="136"/>
  <c r="J100" i="136"/>
  <c r="I100" i="136"/>
  <c r="H100" i="136"/>
  <c r="G100" i="136"/>
  <c r="F100" i="136"/>
  <c r="E100" i="136"/>
  <c r="D100" i="136"/>
  <c r="C100" i="136"/>
  <c r="B100" i="136"/>
  <c r="N99" i="136"/>
  <c r="M99" i="136"/>
  <c r="L99" i="136"/>
  <c r="K99" i="136"/>
  <c r="J99" i="136"/>
  <c r="I99" i="136"/>
  <c r="H99" i="136"/>
  <c r="G99" i="136"/>
  <c r="F99" i="136"/>
  <c r="E99" i="136"/>
  <c r="D99" i="136"/>
  <c r="C99" i="136"/>
  <c r="B99" i="136"/>
  <c r="N98" i="136"/>
  <c r="M98" i="136"/>
  <c r="L98" i="136"/>
  <c r="K98" i="136"/>
  <c r="J98" i="136"/>
  <c r="I98" i="136"/>
  <c r="H98" i="136"/>
  <c r="G98" i="136"/>
  <c r="F98" i="136"/>
  <c r="E98" i="136"/>
  <c r="D98" i="136"/>
  <c r="C98" i="136"/>
  <c r="B98" i="136"/>
  <c r="N97" i="136"/>
  <c r="M97" i="136"/>
  <c r="L97" i="136"/>
  <c r="K97" i="136"/>
  <c r="J97" i="136"/>
  <c r="I97" i="136"/>
  <c r="H97" i="136"/>
  <c r="G97" i="136"/>
  <c r="F97" i="136"/>
  <c r="E97" i="136"/>
  <c r="D97" i="136"/>
  <c r="C97" i="136"/>
  <c r="B97" i="136"/>
  <c r="N96" i="136"/>
  <c r="M96" i="136"/>
  <c r="L96" i="136"/>
  <c r="K96" i="136"/>
  <c r="J96" i="136"/>
  <c r="I96" i="136"/>
  <c r="H96" i="136"/>
  <c r="G96" i="136"/>
  <c r="F96" i="136"/>
  <c r="E96" i="136"/>
  <c r="D96" i="136"/>
  <c r="C96" i="136"/>
  <c r="B96" i="136"/>
  <c r="N95" i="136"/>
  <c r="M95" i="136"/>
  <c r="L95" i="136"/>
  <c r="K95" i="136"/>
  <c r="J95" i="136"/>
  <c r="I95" i="136"/>
  <c r="H95" i="136"/>
  <c r="G95" i="136"/>
  <c r="F95" i="136"/>
  <c r="E95" i="136"/>
  <c r="D95" i="136"/>
  <c r="C95" i="136"/>
  <c r="B95" i="136"/>
  <c r="N94" i="136"/>
  <c r="M94" i="136"/>
  <c r="L94" i="136"/>
  <c r="K94" i="136"/>
  <c r="J94" i="136"/>
  <c r="I94" i="136"/>
  <c r="H94" i="136"/>
  <c r="G94" i="136"/>
  <c r="F94" i="136"/>
  <c r="E94" i="136"/>
  <c r="D94" i="136"/>
  <c r="C94" i="136"/>
  <c r="B94" i="136"/>
  <c r="N93" i="136"/>
  <c r="M93" i="136"/>
  <c r="L93" i="136"/>
  <c r="K93" i="136"/>
  <c r="J93" i="136"/>
  <c r="I93" i="136"/>
  <c r="H93" i="136"/>
  <c r="G93" i="136"/>
  <c r="F93" i="136"/>
  <c r="E93" i="136"/>
  <c r="D93" i="136"/>
  <c r="C93" i="136"/>
  <c r="B93" i="136"/>
  <c r="N92" i="136"/>
  <c r="M92" i="136"/>
  <c r="L92" i="136"/>
  <c r="K92" i="136"/>
  <c r="J92" i="136"/>
  <c r="I92" i="136"/>
  <c r="H92" i="136"/>
  <c r="G92" i="136"/>
  <c r="F92" i="136"/>
  <c r="E92" i="136"/>
  <c r="D92" i="136"/>
  <c r="C92" i="136"/>
  <c r="B92" i="136"/>
  <c r="N88" i="136"/>
  <c r="M88" i="136"/>
  <c r="L88" i="136"/>
  <c r="K88" i="136"/>
  <c r="J88" i="136"/>
  <c r="I88" i="136"/>
  <c r="H88" i="136"/>
  <c r="G88" i="136"/>
  <c r="F88" i="136"/>
  <c r="E88" i="136"/>
  <c r="D88" i="136"/>
  <c r="C88" i="136"/>
  <c r="A88" i="136"/>
  <c r="N87" i="136"/>
  <c r="M87" i="136"/>
  <c r="L87" i="136"/>
  <c r="K87" i="136"/>
  <c r="J87" i="136"/>
  <c r="I87" i="136"/>
  <c r="H87" i="136"/>
  <c r="G87" i="136"/>
  <c r="F87" i="136"/>
  <c r="E87" i="136"/>
  <c r="D87" i="136"/>
  <c r="C87" i="136"/>
  <c r="B87" i="136"/>
  <c r="N86" i="136"/>
  <c r="M86" i="136"/>
  <c r="L86" i="136"/>
  <c r="K86" i="136"/>
  <c r="J86" i="136"/>
  <c r="I86" i="136"/>
  <c r="H86" i="136"/>
  <c r="G86" i="136"/>
  <c r="F86" i="136"/>
  <c r="E86" i="136"/>
  <c r="D86" i="136"/>
  <c r="C86" i="136"/>
  <c r="B86" i="136"/>
  <c r="N85" i="136"/>
  <c r="M85" i="136"/>
  <c r="L85" i="136"/>
  <c r="K85" i="136"/>
  <c r="J85" i="136"/>
  <c r="I85" i="136"/>
  <c r="H85" i="136"/>
  <c r="G85" i="136"/>
  <c r="F85" i="136"/>
  <c r="E85" i="136"/>
  <c r="D85" i="136"/>
  <c r="C85" i="136"/>
  <c r="B85" i="136"/>
  <c r="N84" i="136"/>
  <c r="M84" i="136"/>
  <c r="L84" i="136"/>
  <c r="K84" i="136"/>
  <c r="J84" i="136"/>
  <c r="I84" i="136"/>
  <c r="H84" i="136"/>
  <c r="G84" i="136"/>
  <c r="F84" i="136"/>
  <c r="E84" i="136"/>
  <c r="D84" i="136"/>
  <c r="C84" i="136"/>
  <c r="B84" i="136"/>
  <c r="N83" i="136"/>
  <c r="M83" i="136"/>
  <c r="L83" i="136"/>
  <c r="K83" i="136"/>
  <c r="J83" i="136"/>
  <c r="I83" i="136"/>
  <c r="H83" i="136"/>
  <c r="G83" i="136"/>
  <c r="F83" i="136"/>
  <c r="E83" i="136"/>
  <c r="D83" i="136"/>
  <c r="C83" i="136"/>
  <c r="B83" i="136"/>
  <c r="N82" i="136"/>
  <c r="M82" i="136"/>
  <c r="L82" i="136"/>
  <c r="K82" i="136"/>
  <c r="J82" i="136"/>
  <c r="I82" i="136"/>
  <c r="H82" i="136"/>
  <c r="G82" i="136"/>
  <c r="F82" i="136"/>
  <c r="E82" i="136"/>
  <c r="D82" i="136"/>
  <c r="C82" i="136"/>
  <c r="B82" i="136"/>
  <c r="N81" i="136"/>
  <c r="M81" i="136"/>
  <c r="L81" i="136"/>
  <c r="K81" i="136"/>
  <c r="J81" i="136"/>
  <c r="I81" i="136"/>
  <c r="H81" i="136"/>
  <c r="G81" i="136"/>
  <c r="F81" i="136"/>
  <c r="E81" i="136"/>
  <c r="D81" i="136"/>
  <c r="C81" i="136"/>
  <c r="B81" i="136"/>
  <c r="N80" i="136"/>
  <c r="M80" i="136"/>
  <c r="L80" i="136"/>
  <c r="K80" i="136"/>
  <c r="J80" i="136"/>
  <c r="I80" i="136"/>
  <c r="H80" i="136"/>
  <c r="G80" i="136"/>
  <c r="F80" i="136"/>
  <c r="E80" i="136"/>
  <c r="D80" i="136"/>
  <c r="C80" i="136"/>
  <c r="B80" i="136"/>
  <c r="N79" i="136"/>
  <c r="M79" i="136"/>
  <c r="L79" i="136"/>
  <c r="K79" i="136"/>
  <c r="J79" i="136"/>
  <c r="I79" i="136"/>
  <c r="H79" i="136"/>
  <c r="G79" i="136"/>
  <c r="F79" i="136"/>
  <c r="E79" i="136"/>
  <c r="D79" i="136"/>
  <c r="C79" i="136"/>
  <c r="B79" i="136"/>
  <c r="N78" i="136"/>
  <c r="M78" i="136"/>
  <c r="L78" i="136"/>
  <c r="K78" i="136"/>
  <c r="J78" i="136"/>
  <c r="I78" i="136"/>
  <c r="H78" i="136"/>
  <c r="G78" i="136"/>
  <c r="F78" i="136"/>
  <c r="E78" i="136"/>
  <c r="D78" i="136"/>
  <c r="C78" i="136"/>
  <c r="B78" i="136"/>
  <c r="N77" i="136"/>
  <c r="M77" i="136"/>
  <c r="L77" i="136"/>
  <c r="K77" i="136"/>
  <c r="J77" i="136"/>
  <c r="I77" i="136"/>
  <c r="H77" i="136"/>
  <c r="G77" i="136"/>
  <c r="F77" i="136"/>
  <c r="E77" i="136"/>
  <c r="D77" i="136"/>
  <c r="C77" i="136"/>
  <c r="B77" i="136"/>
  <c r="N76" i="136"/>
  <c r="M76" i="136"/>
  <c r="L76" i="136"/>
  <c r="K76" i="136"/>
  <c r="J76" i="136"/>
  <c r="I76" i="136"/>
  <c r="H76" i="136"/>
  <c r="G76" i="136"/>
  <c r="F76" i="136"/>
  <c r="E76" i="136"/>
  <c r="D76" i="136"/>
  <c r="C76" i="136"/>
  <c r="B76" i="136"/>
  <c r="N70" i="136"/>
  <c r="M70" i="136"/>
  <c r="L70" i="136"/>
  <c r="K70" i="136"/>
  <c r="J70" i="136"/>
  <c r="I70" i="136"/>
  <c r="H70" i="136"/>
  <c r="G70" i="136"/>
  <c r="F70" i="136"/>
  <c r="E70" i="136"/>
  <c r="D70" i="136"/>
  <c r="C70" i="136"/>
  <c r="A70" i="136"/>
  <c r="N69" i="136"/>
  <c r="M69" i="136"/>
  <c r="L69" i="136"/>
  <c r="K69" i="136"/>
  <c r="J69" i="136"/>
  <c r="I69" i="136"/>
  <c r="H69" i="136"/>
  <c r="G69" i="136"/>
  <c r="F69" i="136"/>
  <c r="E69" i="136"/>
  <c r="D69" i="136"/>
  <c r="C69" i="136"/>
  <c r="B69" i="136"/>
  <c r="N68" i="136"/>
  <c r="M68" i="136"/>
  <c r="L68" i="136"/>
  <c r="K68" i="136"/>
  <c r="J68" i="136"/>
  <c r="I68" i="136"/>
  <c r="H68" i="136"/>
  <c r="G68" i="136"/>
  <c r="F68" i="136"/>
  <c r="E68" i="136"/>
  <c r="D68" i="136"/>
  <c r="C68" i="136"/>
  <c r="B68" i="136"/>
  <c r="N67" i="136"/>
  <c r="M67" i="136"/>
  <c r="L67" i="136"/>
  <c r="K67" i="136"/>
  <c r="J67" i="136"/>
  <c r="I67" i="136"/>
  <c r="H67" i="136"/>
  <c r="G67" i="136"/>
  <c r="F67" i="136"/>
  <c r="E67" i="136"/>
  <c r="D67" i="136"/>
  <c r="C67" i="136"/>
  <c r="B67" i="136"/>
  <c r="N66" i="136"/>
  <c r="M66" i="136"/>
  <c r="L66" i="136"/>
  <c r="K66" i="136"/>
  <c r="J66" i="136"/>
  <c r="I66" i="136"/>
  <c r="H66" i="136"/>
  <c r="G66" i="136"/>
  <c r="F66" i="136"/>
  <c r="E66" i="136"/>
  <c r="D66" i="136"/>
  <c r="C66" i="136"/>
  <c r="B66" i="136"/>
  <c r="N65" i="136"/>
  <c r="M65" i="136"/>
  <c r="L65" i="136"/>
  <c r="K65" i="136"/>
  <c r="J65" i="136"/>
  <c r="I65" i="136"/>
  <c r="H65" i="136"/>
  <c r="G65" i="136"/>
  <c r="F65" i="136"/>
  <c r="E65" i="136"/>
  <c r="D65" i="136"/>
  <c r="C65" i="136"/>
  <c r="B65" i="136"/>
  <c r="N64" i="136"/>
  <c r="M64" i="136"/>
  <c r="L64" i="136"/>
  <c r="K64" i="136"/>
  <c r="J64" i="136"/>
  <c r="I64" i="136"/>
  <c r="H64" i="136"/>
  <c r="G64" i="136"/>
  <c r="F64" i="136"/>
  <c r="E64" i="136"/>
  <c r="D64" i="136"/>
  <c r="C64" i="136"/>
  <c r="B64" i="136"/>
  <c r="N63" i="136"/>
  <c r="M63" i="136"/>
  <c r="L63" i="136"/>
  <c r="K63" i="136"/>
  <c r="J63" i="136"/>
  <c r="I63" i="136"/>
  <c r="H63" i="136"/>
  <c r="G63" i="136"/>
  <c r="F63" i="136"/>
  <c r="E63" i="136"/>
  <c r="D63" i="136"/>
  <c r="C63" i="136"/>
  <c r="B63" i="136"/>
  <c r="N62" i="136"/>
  <c r="M62" i="136"/>
  <c r="L62" i="136"/>
  <c r="K62" i="136"/>
  <c r="J62" i="136"/>
  <c r="I62" i="136"/>
  <c r="H62" i="136"/>
  <c r="G62" i="136"/>
  <c r="F62" i="136"/>
  <c r="E62" i="136"/>
  <c r="D62" i="136"/>
  <c r="C62" i="136"/>
  <c r="B62" i="136"/>
  <c r="N61" i="136"/>
  <c r="M61" i="136"/>
  <c r="L61" i="136"/>
  <c r="K61" i="136"/>
  <c r="J61" i="136"/>
  <c r="I61" i="136"/>
  <c r="H61" i="136"/>
  <c r="G61" i="136"/>
  <c r="F61" i="136"/>
  <c r="E61" i="136"/>
  <c r="D61" i="136"/>
  <c r="C61" i="136"/>
  <c r="B61" i="136"/>
  <c r="N60" i="136"/>
  <c r="M60" i="136"/>
  <c r="L60" i="136"/>
  <c r="K60" i="136"/>
  <c r="J60" i="136"/>
  <c r="I60" i="136"/>
  <c r="H60" i="136"/>
  <c r="G60" i="136"/>
  <c r="F60" i="136"/>
  <c r="E60" i="136"/>
  <c r="D60" i="136"/>
  <c r="C60" i="136"/>
  <c r="B60" i="136"/>
  <c r="N59" i="136"/>
  <c r="M59" i="136"/>
  <c r="L59" i="136"/>
  <c r="K59" i="136"/>
  <c r="J59" i="136"/>
  <c r="I59" i="136"/>
  <c r="H59" i="136"/>
  <c r="G59" i="136"/>
  <c r="F59" i="136"/>
  <c r="E59" i="136"/>
  <c r="D59" i="136"/>
  <c r="C59" i="136"/>
  <c r="B59" i="136"/>
  <c r="N58" i="136"/>
  <c r="M58" i="136"/>
  <c r="L58" i="136"/>
  <c r="K58" i="136"/>
  <c r="J58" i="136"/>
  <c r="I58" i="136"/>
  <c r="H58" i="136"/>
  <c r="G58" i="136"/>
  <c r="F58" i="136"/>
  <c r="E58" i="136"/>
  <c r="D58" i="136"/>
  <c r="C58" i="136"/>
  <c r="B58" i="136"/>
  <c r="N54" i="136"/>
  <c r="M54" i="136"/>
  <c r="L54" i="136"/>
  <c r="K54" i="136"/>
  <c r="J54" i="136"/>
  <c r="I54" i="136"/>
  <c r="H54" i="136"/>
  <c r="G54" i="136"/>
  <c r="F54" i="136"/>
  <c r="E54" i="136"/>
  <c r="D54" i="136"/>
  <c r="C54" i="136"/>
  <c r="A54" i="136"/>
  <c r="N53" i="136"/>
  <c r="M53" i="136"/>
  <c r="L53" i="136"/>
  <c r="K53" i="136"/>
  <c r="J53" i="136"/>
  <c r="I53" i="136"/>
  <c r="H53" i="136"/>
  <c r="G53" i="136"/>
  <c r="F53" i="136"/>
  <c r="E53" i="136"/>
  <c r="D53" i="136"/>
  <c r="C53" i="136"/>
  <c r="B53" i="136"/>
  <c r="N52" i="136"/>
  <c r="M52" i="136"/>
  <c r="L52" i="136"/>
  <c r="K52" i="136"/>
  <c r="J52" i="136"/>
  <c r="I52" i="136"/>
  <c r="H52" i="136"/>
  <c r="G52" i="136"/>
  <c r="F52" i="136"/>
  <c r="E52" i="136"/>
  <c r="D52" i="136"/>
  <c r="C52" i="136"/>
  <c r="B52" i="136"/>
  <c r="N51" i="136"/>
  <c r="M51" i="136"/>
  <c r="L51" i="136"/>
  <c r="K51" i="136"/>
  <c r="J51" i="136"/>
  <c r="I51" i="136"/>
  <c r="H51" i="136"/>
  <c r="G51" i="136"/>
  <c r="F51" i="136"/>
  <c r="E51" i="136"/>
  <c r="D51" i="136"/>
  <c r="C51" i="136"/>
  <c r="B51" i="136"/>
  <c r="N50" i="136"/>
  <c r="M50" i="136"/>
  <c r="L50" i="136"/>
  <c r="K50" i="136"/>
  <c r="J50" i="136"/>
  <c r="I50" i="136"/>
  <c r="H50" i="136"/>
  <c r="G50" i="136"/>
  <c r="F50" i="136"/>
  <c r="E50" i="136"/>
  <c r="D50" i="136"/>
  <c r="C50" i="136"/>
  <c r="B50" i="136"/>
  <c r="N49" i="136"/>
  <c r="M49" i="136"/>
  <c r="L49" i="136"/>
  <c r="K49" i="136"/>
  <c r="J49" i="136"/>
  <c r="I49" i="136"/>
  <c r="H49" i="136"/>
  <c r="G49" i="136"/>
  <c r="F49" i="136"/>
  <c r="E49" i="136"/>
  <c r="D49" i="136"/>
  <c r="C49" i="136"/>
  <c r="B49" i="136"/>
  <c r="N48" i="136"/>
  <c r="M48" i="136"/>
  <c r="L48" i="136"/>
  <c r="K48" i="136"/>
  <c r="J48" i="136"/>
  <c r="I48" i="136"/>
  <c r="H48" i="136"/>
  <c r="G48" i="136"/>
  <c r="F48" i="136"/>
  <c r="E48" i="136"/>
  <c r="D48" i="136"/>
  <c r="C48" i="136"/>
  <c r="B48" i="136"/>
  <c r="N47" i="136"/>
  <c r="M47" i="136"/>
  <c r="L47" i="136"/>
  <c r="K47" i="136"/>
  <c r="J47" i="136"/>
  <c r="I47" i="136"/>
  <c r="H47" i="136"/>
  <c r="G47" i="136"/>
  <c r="F47" i="136"/>
  <c r="E47" i="136"/>
  <c r="D47" i="136"/>
  <c r="C47" i="136"/>
  <c r="B47" i="136"/>
  <c r="N46" i="136"/>
  <c r="M46" i="136"/>
  <c r="L46" i="136"/>
  <c r="K46" i="136"/>
  <c r="J46" i="136"/>
  <c r="I46" i="136"/>
  <c r="H46" i="136"/>
  <c r="G46" i="136"/>
  <c r="F46" i="136"/>
  <c r="E46" i="136"/>
  <c r="D46" i="136"/>
  <c r="C46" i="136"/>
  <c r="B46" i="136"/>
  <c r="N45" i="136"/>
  <c r="M45" i="136"/>
  <c r="L45" i="136"/>
  <c r="K45" i="136"/>
  <c r="J45" i="136"/>
  <c r="I45" i="136"/>
  <c r="H45" i="136"/>
  <c r="G45" i="136"/>
  <c r="F45" i="136"/>
  <c r="E45" i="136"/>
  <c r="D45" i="136"/>
  <c r="C45" i="136"/>
  <c r="B45" i="136"/>
  <c r="N44" i="136"/>
  <c r="M44" i="136"/>
  <c r="L44" i="136"/>
  <c r="K44" i="136"/>
  <c r="J44" i="136"/>
  <c r="I44" i="136"/>
  <c r="H44" i="136"/>
  <c r="G44" i="136"/>
  <c r="F44" i="136"/>
  <c r="E44" i="136"/>
  <c r="D44" i="136"/>
  <c r="C44" i="136"/>
  <c r="B44" i="136"/>
  <c r="N43" i="136"/>
  <c r="M43" i="136"/>
  <c r="L43" i="136"/>
  <c r="K43" i="136"/>
  <c r="J43" i="136"/>
  <c r="I43" i="136"/>
  <c r="H43" i="136"/>
  <c r="G43" i="136"/>
  <c r="F43" i="136"/>
  <c r="E43" i="136"/>
  <c r="D43" i="136"/>
  <c r="C43" i="136"/>
  <c r="B43" i="136"/>
  <c r="N42" i="136"/>
  <c r="M42" i="136"/>
  <c r="L42" i="136"/>
  <c r="K42" i="136"/>
  <c r="J42" i="136"/>
  <c r="I42" i="136"/>
  <c r="H42" i="136"/>
  <c r="G42" i="136"/>
  <c r="F42" i="136"/>
  <c r="E42" i="136"/>
  <c r="D42" i="136"/>
  <c r="C42" i="136"/>
  <c r="B42" i="136"/>
  <c r="N36" i="136"/>
  <c r="M36" i="136"/>
  <c r="L36" i="136"/>
  <c r="K36" i="136"/>
  <c r="J36" i="136"/>
  <c r="I36" i="136"/>
  <c r="H36" i="136"/>
  <c r="G36" i="136"/>
  <c r="F36" i="136"/>
  <c r="E36" i="136"/>
  <c r="D36" i="136"/>
  <c r="C36" i="136"/>
  <c r="B36" i="136"/>
  <c r="N35" i="136"/>
  <c r="M35" i="136"/>
  <c r="L35" i="136"/>
  <c r="K35" i="136"/>
  <c r="J35" i="136"/>
  <c r="I35" i="136"/>
  <c r="H35" i="136"/>
  <c r="G35" i="136"/>
  <c r="F35" i="136"/>
  <c r="E35" i="136"/>
  <c r="D35" i="136"/>
  <c r="C35" i="136"/>
  <c r="B35" i="136"/>
  <c r="I31" i="136"/>
  <c r="H31" i="136"/>
  <c r="G31" i="136"/>
  <c r="E31" i="136"/>
  <c r="D31" i="136"/>
  <c r="C31" i="136"/>
  <c r="B31" i="136"/>
  <c r="A31" i="136"/>
  <c r="D30" i="136"/>
  <c r="C30" i="136"/>
  <c r="B30" i="136"/>
  <c r="D29" i="136"/>
  <c r="C29" i="136"/>
  <c r="B29" i="136"/>
  <c r="D28" i="136"/>
  <c r="C28" i="136"/>
  <c r="B28" i="136"/>
  <c r="D27" i="136"/>
  <c r="C27" i="136"/>
  <c r="B27" i="136"/>
  <c r="D26" i="136"/>
  <c r="C26" i="136"/>
  <c r="B26" i="136"/>
  <c r="D25" i="136"/>
  <c r="C25" i="136"/>
  <c r="B25" i="136"/>
  <c r="D24" i="136"/>
  <c r="C24" i="136"/>
  <c r="B24" i="136"/>
  <c r="D23" i="136"/>
  <c r="C23" i="136"/>
  <c r="B23" i="136"/>
  <c r="D22" i="136"/>
  <c r="C22" i="136"/>
  <c r="B22" i="136"/>
  <c r="D21" i="136"/>
  <c r="C21" i="136"/>
  <c r="B21" i="136"/>
  <c r="D20" i="136"/>
  <c r="C20" i="136"/>
  <c r="C19" i="136"/>
  <c r="B19" i="136"/>
  <c r="N15" i="136"/>
  <c r="M15" i="136"/>
  <c r="L15" i="136"/>
  <c r="K15" i="136"/>
  <c r="J15" i="136"/>
  <c r="I15" i="136"/>
  <c r="H15" i="136"/>
  <c r="G15" i="136"/>
  <c r="F15" i="136"/>
  <c r="E15" i="136"/>
  <c r="D15" i="136"/>
  <c r="C15" i="136"/>
  <c r="B15" i="136"/>
  <c r="N14" i="136"/>
  <c r="M14" i="136"/>
  <c r="L14" i="136"/>
  <c r="K14" i="136"/>
  <c r="J14" i="136"/>
  <c r="I14" i="136"/>
  <c r="H14" i="136"/>
  <c r="G14" i="136"/>
  <c r="F14" i="136"/>
  <c r="E14" i="136"/>
  <c r="D14" i="136"/>
  <c r="C14" i="136"/>
  <c r="B14" i="136"/>
  <c r="A10" i="136"/>
  <c r="A1" i="136"/>
  <c r="N371" i="135"/>
  <c r="M371" i="135"/>
  <c r="L371" i="135"/>
  <c r="K371" i="135"/>
  <c r="J371" i="135"/>
  <c r="I371" i="135"/>
  <c r="H371" i="135"/>
  <c r="G371" i="135"/>
  <c r="F371" i="135"/>
  <c r="E371" i="135"/>
  <c r="D371" i="135"/>
  <c r="C371" i="135"/>
  <c r="A371" i="135"/>
  <c r="N370" i="135"/>
  <c r="M370" i="135"/>
  <c r="L370" i="135"/>
  <c r="K370" i="135"/>
  <c r="J370" i="135"/>
  <c r="I370" i="135"/>
  <c r="H370" i="135"/>
  <c r="G370" i="135"/>
  <c r="F370" i="135"/>
  <c r="E370" i="135"/>
  <c r="D370" i="135"/>
  <c r="C370" i="135"/>
  <c r="A370" i="135"/>
  <c r="N369" i="135"/>
  <c r="M369" i="135"/>
  <c r="L369" i="135"/>
  <c r="K369" i="135"/>
  <c r="J369" i="135"/>
  <c r="I369" i="135"/>
  <c r="H369" i="135"/>
  <c r="G369" i="135"/>
  <c r="F369" i="135"/>
  <c r="E369" i="135"/>
  <c r="D369" i="135"/>
  <c r="C369" i="135"/>
  <c r="N368" i="135"/>
  <c r="M368" i="135"/>
  <c r="L368" i="135"/>
  <c r="K368" i="135"/>
  <c r="J368" i="135"/>
  <c r="I368" i="135"/>
  <c r="H368" i="135"/>
  <c r="G368" i="135"/>
  <c r="F368" i="135"/>
  <c r="E368" i="135"/>
  <c r="D368" i="135"/>
  <c r="C368" i="135"/>
  <c r="N367" i="135"/>
  <c r="M367" i="135"/>
  <c r="L367" i="135"/>
  <c r="K367" i="135"/>
  <c r="J367" i="135"/>
  <c r="I367" i="135"/>
  <c r="H367" i="135"/>
  <c r="G367" i="135"/>
  <c r="F367" i="135"/>
  <c r="E367" i="135"/>
  <c r="D367" i="135"/>
  <c r="C367" i="135"/>
  <c r="A367" i="135"/>
  <c r="N366" i="135"/>
  <c r="M366" i="135"/>
  <c r="L366" i="135"/>
  <c r="K366" i="135"/>
  <c r="J366" i="135"/>
  <c r="I366" i="135"/>
  <c r="H366" i="135"/>
  <c r="G366" i="135"/>
  <c r="F366" i="135"/>
  <c r="E366" i="135"/>
  <c r="D366" i="135"/>
  <c r="C366" i="135"/>
  <c r="B366" i="135"/>
  <c r="N365" i="135"/>
  <c r="M365" i="135"/>
  <c r="L365" i="135"/>
  <c r="K365" i="135"/>
  <c r="J365" i="135"/>
  <c r="I365" i="135"/>
  <c r="H365" i="135"/>
  <c r="G365" i="135"/>
  <c r="F365" i="135"/>
  <c r="E365" i="135"/>
  <c r="D365" i="135"/>
  <c r="C365" i="135"/>
  <c r="B365" i="135"/>
  <c r="N364" i="135"/>
  <c r="M364" i="135"/>
  <c r="L364" i="135"/>
  <c r="K364" i="135"/>
  <c r="J364" i="135"/>
  <c r="I364" i="135"/>
  <c r="H364" i="135"/>
  <c r="G364" i="135"/>
  <c r="F364" i="135"/>
  <c r="E364" i="135"/>
  <c r="D364" i="135"/>
  <c r="C364" i="135"/>
  <c r="B364" i="135"/>
  <c r="N363" i="135"/>
  <c r="M363" i="135"/>
  <c r="L363" i="135"/>
  <c r="K363" i="135"/>
  <c r="J363" i="135"/>
  <c r="I363" i="135"/>
  <c r="H363" i="135"/>
  <c r="G363" i="135"/>
  <c r="F363" i="135"/>
  <c r="E363" i="135"/>
  <c r="D363" i="135"/>
  <c r="C363" i="135"/>
  <c r="B363" i="135"/>
  <c r="N362" i="135"/>
  <c r="M362" i="135"/>
  <c r="L362" i="135"/>
  <c r="K362" i="135"/>
  <c r="J362" i="135"/>
  <c r="I362" i="135"/>
  <c r="H362" i="135"/>
  <c r="G362" i="135"/>
  <c r="F362" i="135"/>
  <c r="E362" i="135"/>
  <c r="D362" i="135"/>
  <c r="C362" i="135"/>
  <c r="B362" i="135"/>
  <c r="N361" i="135"/>
  <c r="M361" i="135"/>
  <c r="L361" i="135"/>
  <c r="K361" i="135"/>
  <c r="J361" i="135"/>
  <c r="I361" i="135"/>
  <c r="H361" i="135"/>
  <c r="G361" i="135"/>
  <c r="F361" i="135"/>
  <c r="E361" i="135"/>
  <c r="D361" i="135"/>
  <c r="C361" i="135"/>
  <c r="B361" i="135"/>
  <c r="N360" i="135"/>
  <c r="M360" i="135"/>
  <c r="L360" i="135"/>
  <c r="K360" i="135"/>
  <c r="J360" i="135"/>
  <c r="I360" i="135"/>
  <c r="H360" i="135"/>
  <c r="G360" i="135"/>
  <c r="F360" i="135"/>
  <c r="E360" i="135"/>
  <c r="D360" i="135"/>
  <c r="C360" i="135"/>
  <c r="B360" i="135"/>
  <c r="N359" i="135"/>
  <c r="M359" i="135"/>
  <c r="L359" i="135"/>
  <c r="K359" i="135"/>
  <c r="J359" i="135"/>
  <c r="I359" i="135"/>
  <c r="H359" i="135"/>
  <c r="G359" i="135"/>
  <c r="F359" i="135"/>
  <c r="E359" i="135"/>
  <c r="D359" i="135"/>
  <c r="C359" i="135"/>
  <c r="B359" i="135"/>
  <c r="N358" i="135"/>
  <c r="M358" i="135"/>
  <c r="L358" i="135"/>
  <c r="K358" i="135"/>
  <c r="J358" i="135"/>
  <c r="I358" i="135"/>
  <c r="H358" i="135"/>
  <c r="G358" i="135"/>
  <c r="F358" i="135"/>
  <c r="E358" i="135"/>
  <c r="D358" i="135"/>
  <c r="C358" i="135"/>
  <c r="B358" i="135"/>
  <c r="N357" i="135"/>
  <c r="M357" i="135"/>
  <c r="L357" i="135"/>
  <c r="K357" i="135"/>
  <c r="J357" i="135"/>
  <c r="I357" i="135"/>
  <c r="H357" i="135"/>
  <c r="G357" i="135"/>
  <c r="F357" i="135"/>
  <c r="E357" i="135"/>
  <c r="D357" i="135"/>
  <c r="C357" i="135"/>
  <c r="B357" i="135"/>
  <c r="N356" i="135"/>
  <c r="M356" i="135"/>
  <c r="L356" i="135"/>
  <c r="K356" i="135"/>
  <c r="J356" i="135"/>
  <c r="I356" i="135"/>
  <c r="H356" i="135"/>
  <c r="G356" i="135"/>
  <c r="F356" i="135"/>
  <c r="E356" i="135"/>
  <c r="D356" i="135"/>
  <c r="C356" i="135"/>
  <c r="B356" i="135"/>
  <c r="N355" i="135"/>
  <c r="M355" i="135"/>
  <c r="L355" i="135"/>
  <c r="K355" i="135"/>
  <c r="J355" i="135"/>
  <c r="I355" i="135"/>
  <c r="H355" i="135"/>
  <c r="G355" i="135"/>
  <c r="F355" i="135"/>
  <c r="E355" i="135"/>
  <c r="D355" i="135"/>
  <c r="C355" i="135"/>
  <c r="B355" i="135"/>
  <c r="N351" i="135"/>
  <c r="M351" i="135"/>
  <c r="L351" i="135"/>
  <c r="K351" i="135"/>
  <c r="J351" i="135"/>
  <c r="I351" i="135"/>
  <c r="H351" i="135"/>
  <c r="G351" i="135"/>
  <c r="F351" i="135"/>
  <c r="E351" i="135"/>
  <c r="D351" i="135"/>
  <c r="C351" i="135"/>
  <c r="A351" i="135"/>
  <c r="N350" i="135"/>
  <c r="M350" i="135"/>
  <c r="L350" i="135"/>
  <c r="K350" i="135"/>
  <c r="J350" i="135"/>
  <c r="I350" i="135"/>
  <c r="H350" i="135"/>
  <c r="G350" i="135"/>
  <c r="F350" i="135"/>
  <c r="E350" i="135"/>
  <c r="D350" i="135"/>
  <c r="C350" i="135"/>
  <c r="B350" i="135"/>
  <c r="N349" i="135"/>
  <c r="M349" i="135"/>
  <c r="L349" i="135"/>
  <c r="K349" i="135"/>
  <c r="J349" i="135"/>
  <c r="I349" i="135"/>
  <c r="H349" i="135"/>
  <c r="G349" i="135"/>
  <c r="F349" i="135"/>
  <c r="E349" i="135"/>
  <c r="D349" i="135"/>
  <c r="C349" i="135"/>
  <c r="B349" i="135"/>
  <c r="N348" i="135"/>
  <c r="M348" i="135"/>
  <c r="L348" i="135"/>
  <c r="K348" i="135"/>
  <c r="J348" i="135"/>
  <c r="I348" i="135"/>
  <c r="H348" i="135"/>
  <c r="G348" i="135"/>
  <c r="F348" i="135"/>
  <c r="E348" i="135"/>
  <c r="D348" i="135"/>
  <c r="C348" i="135"/>
  <c r="B348" i="135"/>
  <c r="N347" i="135"/>
  <c r="M347" i="135"/>
  <c r="L347" i="135"/>
  <c r="K347" i="135"/>
  <c r="J347" i="135"/>
  <c r="I347" i="135"/>
  <c r="H347" i="135"/>
  <c r="G347" i="135"/>
  <c r="F347" i="135"/>
  <c r="E347" i="135"/>
  <c r="D347" i="135"/>
  <c r="C347" i="135"/>
  <c r="B347" i="135"/>
  <c r="N346" i="135"/>
  <c r="M346" i="135"/>
  <c r="L346" i="135"/>
  <c r="K346" i="135"/>
  <c r="J346" i="135"/>
  <c r="I346" i="135"/>
  <c r="H346" i="135"/>
  <c r="G346" i="135"/>
  <c r="F346" i="135"/>
  <c r="E346" i="135"/>
  <c r="D346" i="135"/>
  <c r="C346" i="135"/>
  <c r="B346" i="135"/>
  <c r="N345" i="135"/>
  <c r="M345" i="135"/>
  <c r="L345" i="135"/>
  <c r="K345" i="135"/>
  <c r="J345" i="135"/>
  <c r="I345" i="135"/>
  <c r="H345" i="135"/>
  <c r="G345" i="135"/>
  <c r="F345" i="135"/>
  <c r="E345" i="135"/>
  <c r="D345" i="135"/>
  <c r="C345" i="135"/>
  <c r="B345" i="135"/>
  <c r="N344" i="135"/>
  <c r="M344" i="135"/>
  <c r="L344" i="135"/>
  <c r="K344" i="135"/>
  <c r="J344" i="135"/>
  <c r="I344" i="135"/>
  <c r="H344" i="135"/>
  <c r="G344" i="135"/>
  <c r="F344" i="135"/>
  <c r="E344" i="135"/>
  <c r="D344" i="135"/>
  <c r="C344" i="135"/>
  <c r="B344" i="135"/>
  <c r="N343" i="135"/>
  <c r="M343" i="135"/>
  <c r="L343" i="135"/>
  <c r="K343" i="135"/>
  <c r="J343" i="135"/>
  <c r="I343" i="135"/>
  <c r="H343" i="135"/>
  <c r="G343" i="135"/>
  <c r="F343" i="135"/>
  <c r="E343" i="135"/>
  <c r="D343" i="135"/>
  <c r="C343" i="135"/>
  <c r="B343" i="135"/>
  <c r="N342" i="135"/>
  <c r="M342" i="135"/>
  <c r="L342" i="135"/>
  <c r="K342" i="135"/>
  <c r="J342" i="135"/>
  <c r="I342" i="135"/>
  <c r="H342" i="135"/>
  <c r="G342" i="135"/>
  <c r="F342" i="135"/>
  <c r="E342" i="135"/>
  <c r="D342" i="135"/>
  <c r="C342" i="135"/>
  <c r="B342" i="135"/>
  <c r="N341" i="135"/>
  <c r="M341" i="135"/>
  <c r="L341" i="135"/>
  <c r="K341" i="135"/>
  <c r="J341" i="135"/>
  <c r="I341" i="135"/>
  <c r="H341" i="135"/>
  <c r="G341" i="135"/>
  <c r="F341" i="135"/>
  <c r="E341" i="135"/>
  <c r="D341" i="135"/>
  <c r="C341" i="135"/>
  <c r="B341" i="135"/>
  <c r="N340" i="135"/>
  <c r="M340" i="135"/>
  <c r="L340" i="135"/>
  <c r="K340" i="135"/>
  <c r="J340" i="135"/>
  <c r="I340" i="135"/>
  <c r="H340" i="135"/>
  <c r="G340" i="135"/>
  <c r="F340" i="135"/>
  <c r="E340" i="135"/>
  <c r="D340" i="135"/>
  <c r="C340" i="135"/>
  <c r="B340" i="135"/>
  <c r="N339" i="135"/>
  <c r="M339" i="135"/>
  <c r="L339" i="135"/>
  <c r="K339" i="135"/>
  <c r="J339" i="135"/>
  <c r="I339" i="135"/>
  <c r="H339" i="135"/>
  <c r="G339" i="135"/>
  <c r="F339" i="135"/>
  <c r="E339" i="135"/>
  <c r="D339" i="135"/>
  <c r="C339" i="135"/>
  <c r="B339" i="135"/>
  <c r="N333" i="135"/>
  <c r="M333" i="135"/>
  <c r="L333" i="135"/>
  <c r="K333" i="135"/>
  <c r="J333" i="135"/>
  <c r="I333" i="135"/>
  <c r="H333" i="135"/>
  <c r="G333" i="135"/>
  <c r="F333" i="135"/>
  <c r="E333" i="135"/>
  <c r="D333" i="135"/>
  <c r="C333" i="135"/>
  <c r="A333" i="135"/>
  <c r="N332" i="135"/>
  <c r="M332" i="135"/>
  <c r="L332" i="135"/>
  <c r="K332" i="135"/>
  <c r="J332" i="135"/>
  <c r="I332" i="135"/>
  <c r="H332" i="135"/>
  <c r="G332" i="135"/>
  <c r="F332" i="135"/>
  <c r="E332" i="135"/>
  <c r="D332" i="135"/>
  <c r="C332" i="135"/>
  <c r="N331" i="135"/>
  <c r="M331" i="135"/>
  <c r="L331" i="135"/>
  <c r="K331" i="135"/>
  <c r="J331" i="135"/>
  <c r="I331" i="135"/>
  <c r="H331" i="135"/>
  <c r="G331" i="135"/>
  <c r="F331" i="135"/>
  <c r="E331" i="135"/>
  <c r="D331" i="135"/>
  <c r="C331" i="135"/>
  <c r="N330" i="135"/>
  <c r="M330" i="135"/>
  <c r="L330" i="135"/>
  <c r="K330" i="135"/>
  <c r="J330" i="135"/>
  <c r="I330" i="135"/>
  <c r="H330" i="135"/>
  <c r="G330" i="135"/>
  <c r="F330" i="135"/>
  <c r="E330" i="135"/>
  <c r="D330" i="135"/>
  <c r="C330" i="135"/>
  <c r="A330" i="135"/>
  <c r="N329" i="135"/>
  <c r="M329" i="135"/>
  <c r="L329" i="135"/>
  <c r="K329" i="135"/>
  <c r="J329" i="135"/>
  <c r="I329" i="135"/>
  <c r="H329" i="135"/>
  <c r="G329" i="135"/>
  <c r="F329" i="135"/>
  <c r="E329" i="135"/>
  <c r="D329" i="135"/>
  <c r="C329" i="135"/>
  <c r="B329" i="135"/>
  <c r="N328" i="135"/>
  <c r="M328" i="135"/>
  <c r="L328" i="135"/>
  <c r="K328" i="135"/>
  <c r="J328" i="135"/>
  <c r="I328" i="135"/>
  <c r="H328" i="135"/>
  <c r="G328" i="135"/>
  <c r="F328" i="135"/>
  <c r="E328" i="135"/>
  <c r="D328" i="135"/>
  <c r="C328" i="135"/>
  <c r="B328" i="135"/>
  <c r="N327" i="135"/>
  <c r="M327" i="135"/>
  <c r="L327" i="135"/>
  <c r="K327" i="135"/>
  <c r="J327" i="135"/>
  <c r="I327" i="135"/>
  <c r="H327" i="135"/>
  <c r="G327" i="135"/>
  <c r="F327" i="135"/>
  <c r="E327" i="135"/>
  <c r="D327" i="135"/>
  <c r="C327" i="135"/>
  <c r="B327" i="135"/>
  <c r="N326" i="135"/>
  <c r="M326" i="135"/>
  <c r="L326" i="135"/>
  <c r="K326" i="135"/>
  <c r="J326" i="135"/>
  <c r="I326" i="135"/>
  <c r="H326" i="135"/>
  <c r="G326" i="135"/>
  <c r="F326" i="135"/>
  <c r="E326" i="135"/>
  <c r="D326" i="135"/>
  <c r="C326" i="135"/>
  <c r="B326" i="135"/>
  <c r="N325" i="135"/>
  <c r="M325" i="135"/>
  <c r="L325" i="135"/>
  <c r="K325" i="135"/>
  <c r="J325" i="135"/>
  <c r="I325" i="135"/>
  <c r="H325" i="135"/>
  <c r="G325" i="135"/>
  <c r="F325" i="135"/>
  <c r="E325" i="135"/>
  <c r="D325" i="135"/>
  <c r="C325" i="135"/>
  <c r="B325" i="135"/>
  <c r="N324" i="135"/>
  <c r="M324" i="135"/>
  <c r="L324" i="135"/>
  <c r="K324" i="135"/>
  <c r="J324" i="135"/>
  <c r="I324" i="135"/>
  <c r="H324" i="135"/>
  <c r="G324" i="135"/>
  <c r="F324" i="135"/>
  <c r="E324" i="135"/>
  <c r="D324" i="135"/>
  <c r="C324" i="135"/>
  <c r="B324" i="135"/>
  <c r="N323" i="135"/>
  <c r="M323" i="135"/>
  <c r="L323" i="135"/>
  <c r="K323" i="135"/>
  <c r="J323" i="135"/>
  <c r="I323" i="135"/>
  <c r="H323" i="135"/>
  <c r="G323" i="135"/>
  <c r="F323" i="135"/>
  <c r="E323" i="135"/>
  <c r="D323" i="135"/>
  <c r="C323" i="135"/>
  <c r="B323" i="135"/>
  <c r="N322" i="135"/>
  <c r="M322" i="135"/>
  <c r="L322" i="135"/>
  <c r="K322" i="135"/>
  <c r="J322" i="135"/>
  <c r="I322" i="135"/>
  <c r="H322" i="135"/>
  <c r="G322" i="135"/>
  <c r="F322" i="135"/>
  <c r="E322" i="135"/>
  <c r="D322" i="135"/>
  <c r="C322" i="135"/>
  <c r="B322" i="135"/>
  <c r="N321" i="135"/>
  <c r="M321" i="135"/>
  <c r="L321" i="135"/>
  <c r="K321" i="135"/>
  <c r="J321" i="135"/>
  <c r="I321" i="135"/>
  <c r="H321" i="135"/>
  <c r="G321" i="135"/>
  <c r="F321" i="135"/>
  <c r="E321" i="135"/>
  <c r="D321" i="135"/>
  <c r="C321" i="135"/>
  <c r="B321" i="135"/>
  <c r="N320" i="135"/>
  <c r="M320" i="135"/>
  <c r="L320" i="135"/>
  <c r="K320" i="135"/>
  <c r="J320" i="135"/>
  <c r="I320" i="135"/>
  <c r="H320" i="135"/>
  <c r="G320" i="135"/>
  <c r="F320" i="135"/>
  <c r="E320" i="135"/>
  <c r="D320" i="135"/>
  <c r="C320" i="135"/>
  <c r="B320" i="135"/>
  <c r="N319" i="135"/>
  <c r="M319" i="135"/>
  <c r="L319" i="135"/>
  <c r="K319" i="135"/>
  <c r="J319" i="135"/>
  <c r="I319" i="135"/>
  <c r="H319" i="135"/>
  <c r="G319" i="135"/>
  <c r="F319" i="135"/>
  <c r="E319" i="135"/>
  <c r="D319" i="135"/>
  <c r="C319" i="135"/>
  <c r="B319" i="135"/>
  <c r="N318" i="135"/>
  <c r="M318" i="135"/>
  <c r="L318" i="135"/>
  <c r="K318" i="135"/>
  <c r="J318" i="135"/>
  <c r="I318" i="135"/>
  <c r="H318" i="135"/>
  <c r="G318" i="135"/>
  <c r="F318" i="135"/>
  <c r="E318" i="135"/>
  <c r="D318" i="135"/>
  <c r="C318" i="135"/>
  <c r="B318" i="135"/>
  <c r="N314" i="135"/>
  <c r="M314" i="135"/>
  <c r="L314" i="135"/>
  <c r="K314" i="135"/>
  <c r="J314" i="135"/>
  <c r="I314" i="135"/>
  <c r="H314" i="135"/>
  <c r="G314" i="135"/>
  <c r="F314" i="135"/>
  <c r="E314" i="135"/>
  <c r="D314" i="135"/>
  <c r="C314" i="135"/>
  <c r="A314" i="135"/>
  <c r="N313" i="135"/>
  <c r="M313" i="135"/>
  <c r="L313" i="135"/>
  <c r="K313" i="135"/>
  <c r="J313" i="135"/>
  <c r="I313" i="135"/>
  <c r="H313" i="135"/>
  <c r="G313" i="135"/>
  <c r="F313" i="135"/>
  <c r="E313" i="135"/>
  <c r="D313" i="135"/>
  <c r="C313" i="135"/>
  <c r="B313" i="135"/>
  <c r="N312" i="135"/>
  <c r="M312" i="135"/>
  <c r="L312" i="135"/>
  <c r="K312" i="135"/>
  <c r="J312" i="135"/>
  <c r="I312" i="135"/>
  <c r="H312" i="135"/>
  <c r="G312" i="135"/>
  <c r="F312" i="135"/>
  <c r="E312" i="135"/>
  <c r="D312" i="135"/>
  <c r="C312" i="135"/>
  <c r="B312" i="135"/>
  <c r="N311" i="135"/>
  <c r="M311" i="135"/>
  <c r="L311" i="135"/>
  <c r="K311" i="135"/>
  <c r="J311" i="135"/>
  <c r="I311" i="135"/>
  <c r="H311" i="135"/>
  <c r="G311" i="135"/>
  <c r="F311" i="135"/>
  <c r="E311" i="135"/>
  <c r="D311" i="135"/>
  <c r="C311" i="135"/>
  <c r="B311" i="135"/>
  <c r="N310" i="135"/>
  <c r="M310" i="135"/>
  <c r="L310" i="135"/>
  <c r="K310" i="135"/>
  <c r="J310" i="135"/>
  <c r="I310" i="135"/>
  <c r="H310" i="135"/>
  <c r="G310" i="135"/>
  <c r="F310" i="135"/>
  <c r="E310" i="135"/>
  <c r="D310" i="135"/>
  <c r="C310" i="135"/>
  <c r="B310" i="135"/>
  <c r="N309" i="135"/>
  <c r="M309" i="135"/>
  <c r="L309" i="135"/>
  <c r="K309" i="135"/>
  <c r="J309" i="135"/>
  <c r="I309" i="135"/>
  <c r="H309" i="135"/>
  <c r="G309" i="135"/>
  <c r="F309" i="135"/>
  <c r="E309" i="135"/>
  <c r="D309" i="135"/>
  <c r="C309" i="135"/>
  <c r="B309" i="135"/>
  <c r="N308" i="135"/>
  <c r="M308" i="135"/>
  <c r="L308" i="135"/>
  <c r="K308" i="135"/>
  <c r="J308" i="135"/>
  <c r="I308" i="135"/>
  <c r="H308" i="135"/>
  <c r="G308" i="135"/>
  <c r="F308" i="135"/>
  <c r="E308" i="135"/>
  <c r="D308" i="135"/>
  <c r="C308" i="135"/>
  <c r="B308" i="135"/>
  <c r="N307" i="135"/>
  <c r="M307" i="135"/>
  <c r="L307" i="135"/>
  <c r="K307" i="135"/>
  <c r="J307" i="135"/>
  <c r="I307" i="135"/>
  <c r="H307" i="135"/>
  <c r="G307" i="135"/>
  <c r="F307" i="135"/>
  <c r="E307" i="135"/>
  <c r="D307" i="135"/>
  <c r="C307" i="135"/>
  <c r="B307" i="135"/>
  <c r="N306" i="135"/>
  <c r="M306" i="135"/>
  <c r="L306" i="135"/>
  <c r="K306" i="135"/>
  <c r="J306" i="135"/>
  <c r="I306" i="135"/>
  <c r="H306" i="135"/>
  <c r="G306" i="135"/>
  <c r="F306" i="135"/>
  <c r="E306" i="135"/>
  <c r="D306" i="135"/>
  <c r="C306" i="135"/>
  <c r="B306" i="135"/>
  <c r="N305" i="135"/>
  <c r="M305" i="135"/>
  <c r="L305" i="135"/>
  <c r="K305" i="135"/>
  <c r="J305" i="135"/>
  <c r="I305" i="135"/>
  <c r="H305" i="135"/>
  <c r="G305" i="135"/>
  <c r="F305" i="135"/>
  <c r="E305" i="135"/>
  <c r="D305" i="135"/>
  <c r="C305" i="135"/>
  <c r="B305" i="135"/>
  <c r="N304" i="135"/>
  <c r="M304" i="135"/>
  <c r="L304" i="135"/>
  <c r="K304" i="135"/>
  <c r="J304" i="135"/>
  <c r="I304" i="135"/>
  <c r="H304" i="135"/>
  <c r="G304" i="135"/>
  <c r="F304" i="135"/>
  <c r="E304" i="135"/>
  <c r="D304" i="135"/>
  <c r="C304" i="135"/>
  <c r="B304" i="135"/>
  <c r="N303" i="135"/>
  <c r="M303" i="135"/>
  <c r="L303" i="135"/>
  <c r="K303" i="135"/>
  <c r="J303" i="135"/>
  <c r="I303" i="135"/>
  <c r="H303" i="135"/>
  <c r="G303" i="135"/>
  <c r="F303" i="135"/>
  <c r="E303" i="135"/>
  <c r="D303" i="135"/>
  <c r="C303" i="135"/>
  <c r="B303" i="135"/>
  <c r="N302" i="135"/>
  <c r="M302" i="135"/>
  <c r="L302" i="135"/>
  <c r="K302" i="135"/>
  <c r="J302" i="135"/>
  <c r="I302" i="135"/>
  <c r="H302" i="135"/>
  <c r="G302" i="135"/>
  <c r="F302" i="135"/>
  <c r="E302" i="135"/>
  <c r="D302" i="135"/>
  <c r="C302" i="135"/>
  <c r="B302" i="135"/>
  <c r="N296" i="135"/>
  <c r="M296" i="135"/>
  <c r="L296" i="135"/>
  <c r="K296" i="135"/>
  <c r="J296" i="135"/>
  <c r="I296" i="135"/>
  <c r="H296" i="135"/>
  <c r="G296" i="135"/>
  <c r="F296" i="135"/>
  <c r="E296" i="135"/>
  <c r="D296" i="135"/>
  <c r="C296" i="135"/>
  <c r="N294" i="135"/>
  <c r="M294" i="135"/>
  <c r="L294" i="135"/>
  <c r="K294" i="135"/>
  <c r="J294" i="135"/>
  <c r="I294" i="135"/>
  <c r="H294" i="135"/>
  <c r="G294" i="135"/>
  <c r="F294" i="135"/>
  <c r="E294" i="135"/>
  <c r="D294" i="135"/>
  <c r="C294" i="135"/>
  <c r="N293" i="135"/>
  <c r="M293" i="135"/>
  <c r="L293" i="135"/>
  <c r="K293" i="135"/>
  <c r="J293" i="135"/>
  <c r="I293" i="135"/>
  <c r="H293" i="135"/>
  <c r="G293" i="135"/>
  <c r="F293" i="135"/>
  <c r="E293" i="135"/>
  <c r="D293" i="135"/>
  <c r="C293" i="135"/>
  <c r="N290" i="135"/>
  <c r="M290" i="135"/>
  <c r="L290" i="135"/>
  <c r="K290" i="135"/>
  <c r="J290" i="135"/>
  <c r="I290" i="135"/>
  <c r="H290" i="135"/>
  <c r="G290" i="135"/>
  <c r="F290" i="135"/>
  <c r="E290" i="135"/>
  <c r="D290" i="135"/>
  <c r="C290" i="135"/>
  <c r="N289" i="135"/>
  <c r="M289" i="135"/>
  <c r="L289" i="135"/>
  <c r="K289" i="135"/>
  <c r="J289" i="135"/>
  <c r="I289" i="135"/>
  <c r="H289" i="135"/>
  <c r="G289" i="135"/>
  <c r="F289" i="135"/>
  <c r="E289" i="135"/>
  <c r="D289" i="135"/>
  <c r="C289" i="135"/>
  <c r="N283" i="135"/>
  <c r="M283" i="135"/>
  <c r="L283" i="135"/>
  <c r="K283" i="135"/>
  <c r="J283" i="135"/>
  <c r="I283" i="135"/>
  <c r="H283" i="135"/>
  <c r="G283" i="135"/>
  <c r="F283" i="135"/>
  <c r="E283" i="135"/>
  <c r="D283" i="135"/>
  <c r="C283" i="135"/>
  <c r="A283" i="135"/>
  <c r="N282" i="135"/>
  <c r="M282" i="135"/>
  <c r="L282" i="135"/>
  <c r="K282" i="135"/>
  <c r="J282" i="135"/>
  <c r="I282" i="135"/>
  <c r="H282" i="135"/>
  <c r="G282" i="135"/>
  <c r="F282" i="135"/>
  <c r="E282" i="135"/>
  <c r="D282" i="135"/>
  <c r="C282" i="135"/>
  <c r="N281" i="135"/>
  <c r="M281" i="135"/>
  <c r="L281" i="135"/>
  <c r="K281" i="135"/>
  <c r="J281" i="135"/>
  <c r="I281" i="135"/>
  <c r="H281" i="135"/>
  <c r="G281" i="135"/>
  <c r="F281" i="135"/>
  <c r="E281" i="135"/>
  <c r="D281" i="135"/>
  <c r="C281" i="135"/>
  <c r="N280" i="135"/>
  <c r="M280" i="135"/>
  <c r="L280" i="135"/>
  <c r="K280" i="135"/>
  <c r="J280" i="135"/>
  <c r="I280" i="135"/>
  <c r="H280" i="135"/>
  <c r="G280" i="135"/>
  <c r="F280" i="135"/>
  <c r="E280" i="135"/>
  <c r="D280" i="135"/>
  <c r="C280" i="135"/>
  <c r="N279" i="135"/>
  <c r="M279" i="135"/>
  <c r="L279" i="135"/>
  <c r="K279" i="135"/>
  <c r="J279" i="135"/>
  <c r="I279" i="135"/>
  <c r="H279" i="135"/>
  <c r="G279" i="135"/>
  <c r="F279" i="135"/>
  <c r="E279" i="135"/>
  <c r="D279" i="135"/>
  <c r="C279" i="135"/>
  <c r="N278" i="135"/>
  <c r="M278" i="135"/>
  <c r="L278" i="135"/>
  <c r="K278" i="135"/>
  <c r="J278" i="135"/>
  <c r="I278" i="135"/>
  <c r="H278" i="135"/>
  <c r="G278" i="135"/>
  <c r="F278" i="135"/>
  <c r="E278" i="135"/>
  <c r="D278" i="135"/>
  <c r="C278" i="135"/>
  <c r="N274" i="135"/>
  <c r="M274" i="135"/>
  <c r="L274" i="135"/>
  <c r="K274" i="135"/>
  <c r="J274" i="135"/>
  <c r="I274" i="135"/>
  <c r="H274" i="135"/>
  <c r="G274" i="135"/>
  <c r="F274" i="135"/>
  <c r="E274" i="135"/>
  <c r="D274" i="135"/>
  <c r="C274" i="135"/>
  <c r="A274" i="135"/>
  <c r="N273" i="135"/>
  <c r="M273" i="135"/>
  <c r="L273" i="135"/>
  <c r="K273" i="135"/>
  <c r="J273" i="135"/>
  <c r="I273" i="135"/>
  <c r="H273" i="135"/>
  <c r="G273" i="135"/>
  <c r="F273" i="135"/>
  <c r="E273" i="135"/>
  <c r="D273" i="135"/>
  <c r="C273" i="135"/>
  <c r="B273" i="135"/>
  <c r="N272" i="135"/>
  <c r="M272" i="135"/>
  <c r="L272" i="135"/>
  <c r="K272" i="135"/>
  <c r="J272" i="135"/>
  <c r="I272" i="135"/>
  <c r="H272" i="135"/>
  <c r="G272" i="135"/>
  <c r="F272" i="135"/>
  <c r="E272" i="135"/>
  <c r="D272" i="135"/>
  <c r="C272" i="135"/>
  <c r="B272" i="135"/>
  <c r="N271" i="135"/>
  <c r="M271" i="135"/>
  <c r="L271" i="135"/>
  <c r="K271" i="135"/>
  <c r="J271" i="135"/>
  <c r="I271" i="135"/>
  <c r="H271" i="135"/>
  <c r="G271" i="135"/>
  <c r="F271" i="135"/>
  <c r="E271" i="135"/>
  <c r="D271" i="135"/>
  <c r="C271" i="135"/>
  <c r="B271" i="135"/>
  <c r="N270" i="135"/>
  <c r="M270" i="135"/>
  <c r="L270" i="135"/>
  <c r="K270" i="135"/>
  <c r="J270" i="135"/>
  <c r="I270" i="135"/>
  <c r="H270" i="135"/>
  <c r="G270" i="135"/>
  <c r="F270" i="135"/>
  <c r="E270" i="135"/>
  <c r="D270" i="135"/>
  <c r="C270" i="135"/>
  <c r="B270" i="135"/>
  <c r="N269" i="135"/>
  <c r="M269" i="135"/>
  <c r="L269" i="135"/>
  <c r="K269" i="135"/>
  <c r="J269" i="135"/>
  <c r="I269" i="135"/>
  <c r="H269" i="135"/>
  <c r="G269" i="135"/>
  <c r="F269" i="135"/>
  <c r="E269" i="135"/>
  <c r="D269" i="135"/>
  <c r="C269" i="135"/>
  <c r="B269" i="135"/>
  <c r="N268" i="135"/>
  <c r="M268" i="135"/>
  <c r="L268" i="135"/>
  <c r="K268" i="135"/>
  <c r="J268" i="135"/>
  <c r="I268" i="135"/>
  <c r="H268" i="135"/>
  <c r="G268" i="135"/>
  <c r="F268" i="135"/>
  <c r="E268" i="135"/>
  <c r="D268" i="135"/>
  <c r="C268" i="135"/>
  <c r="B268" i="135"/>
  <c r="N267" i="135"/>
  <c r="M267" i="135"/>
  <c r="L267" i="135"/>
  <c r="K267" i="135"/>
  <c r="J267" i="135"/>
  <c r="I267" i="135"/>
  <c r="H267" i="135"/>
  <c r="G267" i="135"/>
  <c r="F267" i="135"/>
  <c r="E267" i="135"/>
  <c r="D267" i="135"/>
  <c r="C267" i="135"/>
  <c r="B267" i="135"/>
  <c r="N266" i="135"/>
  <c r="M266" i="135"/>
  <c r="L266" i="135"/>
  <c r="K266" i="135"/>
  <c r="J266" i="135"/>
  <c r="I266" i="135"/>
  <c r="H266" i="135"/>
  <c r="G266" i="135"/>
  <c r="F266" i="135"/>
  <c r="E266" i="135"/>
  <c r="D266" i="135"/>
  <c r="C266" i="135"/>
  <c r="B266" i="135"/>
  <c r="N265" i="135"/>
  <c r="M265" i="135"/>
  <c r="L265" i="135"/>
  <c r="K265" i="135"/>
  <c r="J265" i="135"/>
  <c r="I265" i="135"/>
  <c r="H265" i="135"/>
  <c r="G265" i="135"/>
  <c r="F265" i="135"/>
  <c r="E265" i="135"/>
  <c r="D265" i="135"/>
  <c r="C265" i="135"/>
  <c r="B265" i="135"/>
  <c r="N264" i="135"/>
  <c r="M264" i="135"/>
  <c r="L264" i="135"/>
  <c r="K264" i="135"/>
  <c r="J264" i="135"/>
  <c r="I264" i="135"/>
  <c r="H264" i="135"/>
  <c r="G264" i="135"/>
  <c r="F264" i="135"/>
  <c r="E264" i="135"/>
  <c r="D264" i="135"/>
  <c r="C264" i="135"/>
  <c r="B264" i="135"/>
  <c r="N263" i="135"/>
  <c r="M263" i="135"/>
  <c r="L263" i="135"/>
  <c r="K263" i="135"/>
  <c r="J263" i="135"/>
  <c r="I263" i="135"/>
  <c r="H263" i="135"/>
  <c r="G263" i="135"/>
  <c r="F263" i="135"/>
  <c r="E263" i="135"/>
  <c r="D263" i="135"/>
  <c r="C263" i="135"/>
  <c r="B263" i="135"/>
  <c r="N262" i="135"/>
  <c r="M262" i="135"/>
  <c r="L262" i="135"/>
  <c r="K262" i="135"/>
  <c r="J262" i="135"/>
  <c r="I262" i="135"/>
  <c r="H262" i="135"/>
  <c r="G262" i="135"/>
  <c r="F262" i="135"/>
  <c r="E262" i="135"/>
  <c r="D262" i="135"/>
  <c r="C262" i="135"/>
  <c r="B262" i="135"/>
  <c r="N258" i="135"/>
  <c r="M258" i="135"/>
  <c r="L258" i="135"/>
  <c r="K258" i="135"/>
  <c r="J258" i="135"/>
  <c r="I258" i="135"/>
  <c r="H258" i="135"/>
  <c r="G258" i="135"/>
  <c r="F258" i="135"/>
  <c r="E258" i="135"/>
  <c r="D258" i="135"/>
  <c r="C258" i="135"/>
  <c r="A258" i="135"/>
  <c r="N257" i="135"/>
  <c r="M257" i="135"/>
  <c r="L257" i="135"/>
  <c r="K257" i="135"/>
  <c r="J257" i="135"/>
  <c r="I257" i="135"/>
  <c r="H257" i="135"/>
  <c r="G257" i="135"/>
  <c r="F257" i="135"/>
  <c r="E257" i="135"/>
  <c r="D257" i="135"/>
  <c r="C257" i="135"/>
  <c r="B257" i="135"/>
  <c r="N256" i="135"/>
  <c r="M256" i="135"/>
  <c r="L256" i="135"/>
  <c r="K256" i="135"/>
  <c r="J256" i="135"/>
  <c r="I256" i="135"/>
  <c r="H256" i="135"/>
  <c r="G256" i="135"/>
  <c r="F256" i="135"/>
  <c r="E256" i="135"/>
  <c r="D256" i="135"/>
  <c r="C256" i="135"/>
  <c r="B256" i="135"/>
  <c r="N255" i="135"/>
  <c r="M255" i="135"/>
  <c r="L255" i="135"/>
  <c r="K255" i="135"/>
  <c r="J255" i="135"/>
  <c r="I255" i="135"/>
  <c r="H255" i="135"/>
  <c r="G255" i="135"/>
  <c r="F255" i="135"/>
  <c r="E255" i="135"/>
  <c r="D255" i="135"/>
  <c r="C255" i="135"/>
  <c r="B255" i="135"/>
  <c r="N254" i="135"/>
  <c r="M254" i="135"/>
  <c r="L254" i="135"/>
  <c r="K254" i="135"/>
  <c r="J254" i="135"/>
  <c r="I254" i="135"/>
  <c r="H254" i="135"/>
  <c r="G254" i="135"/>
  <c r="F254" i="135"/>
  <c r="E254" i="135"/>
  <c r="D254" i="135"/>
  <c r="C254" i="135"/>
  <c r="B254" i="135"/>
  <c r="N253" i="135"/>
  <c r="M253" i="135"/>
  <c r="L253" i="135"/>
  <c r="K253" i="135"/>
  <c r="J253" i="135"/>
  <c r="I253" i="135"/>
  <c r="H253" i="135"/>
  <c r="G253" i="135"/>
  <c r="F253" i="135"/>
  <c r="E253" i="135"/>
  <c r="D253" i="135"/>
  <c r="C253" i="135"/>
  <c r="B253" i="135"/>
  <c r="N252" i="135"/>
  <c r="M252" i="135"/>
  <c r="L252" i="135"/>
  <c r="K252" i="135"/>
  <c r="J252" i="135"/>
  <c r="I252" i="135"/>
  <c r="H252" i="135"/>
  <c r="G252" i="135"/>
  <c r="F252" i="135"/>
  <c r="E252" i="135"/>
  <c r="D252" i="135"/>
  <c r="C252" i="135"/>
  <c r="B252" i="135"/>
  <c r="N251" i="135"/>
  <c r="M251" i="135"/>
  <c r="L251" i="135"/>
  <c r="K251" i="135"/>
  <c r="J251" i="135"/>
  <c r="I251" i="135"/>
  <c r="H251" i="135"/>
  <c r="G251" i="135"/>
  <c r="F251" i="135"/>
  <c r="E251" i="135"/>
  <c r="D251" i="135"/>
  <c r="C251" i="135"/>
  <c r="B251" i="135"/>
  <c r="N250" i="135"/>
  <c r="M250" i="135"/>
  <c r="L250" i="135"/>
  <c r="K250" i="135"/>
  <c r="J250" i="135"/>
  <c r="I250" i="135"/>
  <c r="H250" i="135"/>
  <c r="G250" i="135"/>
  <c r="F250" i="135"/>
  <c r="E250" i="135"/>
  <c r="D250" i="135"/>
  <c r="C250" i="135"/>
  <c r="B250" i="135"/>
  <c r="N249" i="135"/>
  <c r="M249" i="135"/>
  <c r="L249" i="135"/>
  <c r="K249" i="135"/>
  <c r="J249" i="135"/>
  <c r="I249" i="135"/>
  <c r="H249" i="135"/>
  <c r="G249" i="135"/>
  <c r="F249" i="135"/>
  <c r="E249" i="135"/>
  <c r="D249" i="135"/>
  <c r="C249" i="135"/>
  <c r="B249" i="135"/>
  <c r="N248" i="135"/>
  <c r="M248" i="135"/>
  <c r="L248" i="135"/>
  <c r="K248" i="135"/>
  <c r="J248" i="135"/>
  <c r="I248" i="135"/>
  <c r="H248" i="135"/>
  <c r="G248" i="135"/>
  <c r="F248" i="135"/>
  <c r="E248" i="135"/>
  <c r="D248" i="135"/>
  <c r="C248" i="135"/>
  <c r="B248" i="135"/>
  <c r="N247" i="135"/>
  <c r="M247" i="135"/>
  <c r="L247" i="135"/>
  <c r="K247" i="135"/>
  <c r="J247" i="135"/>
  <c r="I247" i="135"/>
  <c r="H247" i="135"/>
  <c r="G247" i="135"/>
  <c r="F247" i="135"/>
  <c r="E247" i="135"/>
  <c r="D247" i="135"/>
  <c r="C247" i="135"/>
  <c r="B247" i="135"/>
  <c r="N246" i="135"/>
  <c r="M246" i="135"/>
  <c r="L246" i="135"/>
  <c r="K246" i="135"/>
  <c r="J246" i="135"/>
  <c r="I246" i="135"/>
  <c r="H246" i="135"/>
  <c r="G246" i="135"/>
  <c r="F246" i="135"/>
  <c r="E246" i="135"/>
  <c r="D246" i="135"/>
  <c r="C246" i="135"/>
  <c r="B246" i="135"/>
  <c r="N240" i="135"/>
  <c r="M240" i="135"/>
  <c r="L240" i="135"/>
  <c r="K240" i="135"/>
  <c r="J240" i="135"/>
  <c r="I240" i="135"/>
  <c r="H240" i="135"/>
  <c r="G240" i="135"/>
  <c r="F240" i="135"/>
  <c r="E240" i="135"/>
  <c r="D240" i="135"/>
  <c r="C240" i="135"/>
  <c r="A240" i="135"/>
  <c r="N239" i="135"/>
  <c r="M239" i="135"/>
  <c r="L239" i="135"/>
  <c r="K239" i="135"/>
  <c r="J239" i="135"/>
  <c r="I239" i="135"/>
  <c r="H239" i="135"/>
  <c r="G239" i="135"/>
  <c r="F239" i="135"/>
  <c r="E239" i="135"/>
  <c r="D239" i="135"/>
  <c r="C239" i="135"/>
  <c r="B239" i="135"/>
  <c r="N238" i="135"/>
  <c r="M238" i="135"/>
  <c r="L238" i="135"/>
  <c r="K238" i="135"/>
  <c r="J238" i="135"/>
  <c r="I238" i="135"/>
  <c r="H238" i="135"/>
  <c r="G238" i="135"/>
  <c r="F238" i="135"/>
  <c r="E238" i="135"/>
  <c r="D238" i="135"/>
  <c r="C238" i="135"/>
  <c r="B238" i="135"/>
  <c r="N237" i="135"/>
  <c r="M237" i="135"/>
  <c r="L237" i="135"/>
  <c r="K237" i="135"/>
  <c r="J237" i="135"/>
  <c r="I237" i="135"/>
  <c r="H237" i="135"/>
  <c r="G237" i="135"/>
  <c r="F237" i="135"/>
  <c r="E237" i="135"/>
  <c r="D237" i="135"/>
  <c r="C237" i="135"/>
  <c r="B237" i="135"/>
  <c r="N236" i="135"/>
  <c r="M236" i="135"/>
  <c r="L236" i="135"/>
  <c r="K236" i="135"/>
  <c r="J236" i="135"/>
  <c r="I236" i="135"/>
  <c r="H236" i="135"/>
  <c r="G236" i="135"/>
  <c r="F236" i="135"/>
  <c r="E236" i="135"/>
  <c r="D236" i="135"/>
  <c r="C236" i="135"/>
  <c r="B236" i="135"/>
  <c r="N235" i="135"/>
  <c r="M235" i="135"/>
  <c r="L235" i="135"/>
  <c r="K235" i="135"/>
  <c r="J235" i="135"/>
  <c r="I235" i="135"/>
  <c r="H235" i="135"/>
  <c r="G235" i="135"/>
  <c r="F235" i="135"/>
  <c r="E235" i="135"/>
  <c r="D235" i="135"/>
  <c r="C235" i="135"/>
  <c r="B235" i="135"/>
  <c r="N234" i="135"/>
  <c r="M234" i="135"/>
  <c r="L234" i="135"/>
  <c r="K234" i="135"/>
  <c r="J234" i="135"/>
  <c r="I234" i="135"/>
  <c r="H234" i="135"/>
  <c r="G234" i="135"/>
  <c r="F234" i="135"/>
  <c r="E234" i="135"/>
  <c r="D234" i="135"/>
  <c r="C234" i="135"/>
  <c r="B234" i="135"/>
  <c r="N233" i="135"/>
  <c r="M233" i="135"/>
  <c r="L233" i="135"/>
  <c r="K233" i="135"/>
  <c r="J233" i="135"/>
  <c r="I233" i="135"/>
  <c r="H233" i="135"/>
  <c r="G233" i="135"/>
  <c r="F233" i="135"/>
  <c r="E233" i="135"/>
  <c r="D233" i="135"/>
  <c r="C233" i="135"/>
  <c r="B233" i="135"/>
  <c r="N232" i="135"/>
  <c r="M232" i="135"/>
  <c r="L232" i="135"/>
  <c r="K232" i="135"/>
  <c r="J232" i="135"/>
  <c r="I232" i="135"/>
  <c r="H232" i="135"/>
  <c r="G232" i="135"/>
  <c r="F232" i="135"/>
  <c r="E232" i="135"/>
  <c r="D232" i="135"/>
  <c r="C232" i="135"/>
  <c r="B232" i="135"/>
  <c r="N231" i="135"/>
  <c r="M231" i="135"/>
  <c r="L231" i="135"/>
  <c r="K231" i="135"/>
  <c r="J231" i="135"/>
  <c r="I231" i="135"/>
  <c r="H231" i="135"/>
  <c r="G231" i="135"/>
  <c r="F231" i="135"/>
  <c r="E231" i="135"/>
  <c r="D231" i="135"/>
  <c r="C231" i="135"/>
  <c r="B231" i="135"/>
  <c r="N230" i="135"/>
  <c r="M230" i="135"/>
  <c r="L230" i="135"/>
  <c r="K230" i="135"/>
  <c r="J230" i="135"/>
  <c r="I230" i="135"/>
  <c r="H230" i="135"/>
  <c r="G230" i="135"/>
  <c r="F230" i="135"/>
  <c r="E230" i="135"/>
  <c r="D230" i="135"/>
  <c r="C230" i="135"/>
  <c r="B230" i="135"/>
  <c r="N229" i="135"/>
  <c r="M229" i="135"/>
  <c r="L229" i="135"/>
  <c r="K229" i="135"/>
  <c r="J229" i="135"/>
  <c r="I229" i="135"/>
  <c r="H229" i="135"/>
  <c r="G229" i="135"/>
  <c r="F229" i="135"/>
  <c r="E229" i="135"/>
  <c r="D229" i="135"/>
  <c r="C229" i="135"/>
  <c r="B229" i="135"/>
  <c r="N228" i="135"/>
  <c r="M228" i="135"/>
  <c r="L228" i="135"/>
  <c r="K228" i="135"/>
  <c r="J228" i="135"/>
  <c r="I228" i="135"/>
  <c r="H228" i="135"/>
  <c r="G228" i="135"/>
  <c r="F228" i="135"/>
  <c r="E228" i="135"/>
  <c r="D228" i="135"/>
  <c r="C228" i="135"/>
  <c r="B228" i="135"/>
  <c r="N224" i="135"/>
  <c r="M224" i="135"/>
  <c r="L224" i="135"/>
  <c r="K224" i="135"/>
  <c r="J224" i="135"/>
  <c r="I224" i="135"/>
  <c r="H224" i="135"/>
  <c r="G224" i="135"/>
  <c r="F224" i="135"/>
  <c r="E224" i="135"/>
  <c r="D224" i="135"/>
  <c r="C224" i="135"/>
  <c r="A224" i="135"/>
  <c r="N223" i="135"/>
  <c r="M223" i="135"/>
  <c r="L223" i="135"/>
  <c r="K223" i="135"/>
  <c r="J223" i="135"/>
  <c r="I223" i="135"/>
  <c r="H223" i="135"/>
  <c r="G223" i="135"/>
  <c r="F223" i="135"/>
  <c r="E223" i="135"/>
  <c r="D223" i="135"/>
  <c r="C223" i="135"/>
  <c r="B223" i="135"/>
  <c r="N222" i="135"/>
  <c r="M222" i="135"/>
  <c r="L222" i="135"/>
  <c r="K222" i="135"/>
  <c r="J222" i="135"/>
  <c r="I222" i="135"/>
  <c r="H222" i="135"/>
  <c r="G222" i="135"/>
  <c r="F222" i="135"/>
  <c r="E222" i="135"/>
  <c r="D222" i="135"/>
  <c r="C222" i="135"/>
  <c r="B222" i="135"/>
  <c r="N221" i="135"/>
  <c r="M221" i="135"/>
  <c r="L221" i="135"/>
  <c r="K221" i="135"/>
  <c r="J221" i="135"/>
  <c r="I221" i="135"/>
  <c r="H221" i="135"/>
  <c r="G221" i="135"/>
  <c r="F221" i="135"/>
  <c r="E221" i="135"/>
  <c r="D221" i="135"/>
  <c r="C221" i="135"/>
  <c r="B221" i="135"/>
  <c r="N220" i="135"/>
  <c r="M220" i="135"/>
  <c r="L220" i="135"/>
  <c r="K220" i="135"/>
  <c r="J220" i="135"/>
  <c r="I220" i="135"/>
  <c r="H220" i="135"/>
  <c r="G220" i="135"/>
  <c r="F220" i="135"/>
  <c r="E220" i="135"/>
  <c r="D220" i="135"/>
  <c r="C220" i="135"/>
  <c r="B220" i="135"/>
  <c r="N219" i="135"/>
  <c r="M219" i="135"/>
  <c r="L219" i="135"/>
  <c r="K219" i="135"/>
  <c r="J219" i="135"/>
  <c r="I219" i="135"/>
  <c r="H219" i="135"/>
  <c r="G219" i="135"/>
  <c r="F219" i="135"/>
  <c r="E219" i="135"/>
  <c r="D219" i="135"/>
  <c r="C219" i="135"/>
  <c r="B219" i="135"/>
  <c r="N218" i="135"/>
  <c r="M218" i="135"/>
  <c r="L218" i="135"/>
  <c r="K218" i="135"/>
  <c r="J218" i="135"/>
  <c r="I218" i="135"/>
  <c r="H218" i="135"/>
  <c r="G218" i="135"/>
  <c r="F218" i="135"/>
  <c r="E218" i="135"/>
  <c r="D218" i="135"/>
  <c r="C218" i="135"/>
  <c r="B218" i="135"/>
  <c r="N217" i="135"/>
  <c r="M217" i="135"/>
  <c r="L217" i="135"/>
  <c r="K217" i="135"/>
  <c r="J217" i="135"/>
  <c r="I217" i="135"/>
  <c r="H217" i="135"/>
  <c r="G217" i="135"/>
  <c r="F217" i="135"/>
  <c r="E217" i="135"/>
  <c r="D217" i="135"/>
  <c r="C217" i="135"/>
  <c r="B217" i="135"/>
  <c r="N216" i="135"/>
  <c r="M216" i="135"/>
  <c r="L216" i="135"/>
  <c r="K216" i="135"/>
  <c r="J216" i="135"/>
  <c r="I216" i="135"/>
  <c r="H216" i="135"/>
  <c r="G216" i="135"/>
  <c r="F216" i="135"/>
  <c r="E216" i="135"/>
  <c r="D216" i="135"/>
  <c r="C216" i="135"/>
  <c r="B216" i="135"/>
  <c r="N215" i="135"/>
  <c r="M215" i="135"/>
  <c r="L215" i="135"/>
  <c r="K215" i="135"/>
  <c r="J215" i="135"/>
  <c r="I215" i="135"/>
  <c r="H215" i="135"/>
  <c r="G215" i="135"/>
  <c r="F215" i="135"/>
  <c r="E215" i="135"/>
  <c r="D215" i="135"/>
  <c r="C215" i="135"/>
  <c r="B215" i="135"/>
  <c r="N214" i="135"/>
  <c r="M214" i="135"/>
  <c r="L214" i="135"/>
  <c r="K214" i="135"/>
  <c r="J214" i="135"/>
  <c r="I214" i="135"/>
  <c r="H214" i="135"/>
  <c r="G214" i="135"/>
  <c r="F214" i="135"/>
  <c r="E214" i="135"/>
  <c r="D214" i="135"/>
  <c r="C214" i="135"/>
  <c r="B214" i="135"/>
  <c r="N213" i="135"/>
  <c r="M213" i="135"/>
  <c r="L213" i="135"/>
  <c r="K213" i="135"/>
  <c r="J213" i="135"/>
  <c r="I213" i="135"/>
  <c r="H213" i="135"/>
  <c r="G213" i="135"/>
  <c r="F213" i="135"/>
  <c r="E213" i="135"/>
  <c r="D213" i="135"/>
  <c r="C213" i="135"/>
  <c r="B213" i="135"/>
  <c r="N212" i="135"/>
  <c r="M212" i="135"/>
  <c r="L212" i="135"/>
  <c r="K212" i="135"/>
  <c r="J212" i="135"/>
  <c r="I212" i="135"/>
  <c r="H212" i="135"/>
  <c r="G212" i="135"/>
  <c r="F212" i="135"/>
  <c r="E212" i="135"/>
  <c r="D212" i="135"/>
  <c r="C212" i="135"/>
  <c r="B212" i="135"/>
  <c r="N206" i="135"/>
  <c r="M206" i="135"/>
  <c r="L206" i="135"/>
  <c r="K206" i="135"/>
  <c r="J206" i="135"/>
  <c r="I206" i="135"/>
  <c r="H206" i="135"/>
  <c r="G206" i="135"/>
  <c r="F206" i="135"/>
  <c r="E206" i="135"/>
  <c r="D206" i="135"/>
  <c r="C206" i="135"/>
  <c r="A206" i="135"/>
  <c r="N205" i="135"/>
  <c r="M205" i="135"/>
  <c r="L205" i="135"/>
  <c r="K205" i="135"/>
  <c r="J205" i="135"/>
  <c r="I205" i="135"/>
  <c r="H205" i="135"/>
  <c r="G205" i="135"/>
  <c r="F205" i="135"/>
  <c r="E205" i="135"/>
  <c r="D205" i="135"/>
  <c r="C205" i="135"/>
  <c r="B205" i="135"/>
  <c r="N204" i="135"/>
  <c r="M204" i="135"/>
  <c r="L204" i="135"/>
  <c r="K204" i="135"/>
  <c r="J204" i="135"/>
  <c r="I204" i="135"/>
  <c r="H204" i="135"/>
  <c r="G204" i="135"/>
  <c r="F204" i="135"/>
  <c r="E204" i="135"/>
  <c r="D204" i="135"/>
  <c r="C204" i="135"/>
  <c r="B204" i="135"/>
  <c r="N203" i="135"/>
  <c r="M203" i="135"/>
  <c r="L203" i="135"/>
  <c r="K203" i="135"/>
  <c r="J203" i="135"/>
  <c r="I203" i="135"/>
  <c r="H203" i="135"/>
  <c r="G203" i="135"/>
  <c r="F203" i="135"/>
  <c r="E203" i="135"/>
  <c r="D203" i="135"/>
  <c r="C203" i="135"/>
  <c r="B203" i="135"/>
  <c r="N202" i="135"/>
  <c r="M202" i="135"/>
  <c r="L202" i="135"/>
  <c r="K202" i="135"/>
  <c r="J202" i="135"/>
  <c r="I202" i="135"/>
  <c r="H202" i="135"/>
  <c r="G202" i="135"/>
  <c r="F202" i="135"/>
  <c r="E202" i="135"/>
  <c r="D202" i="135"/>
  <c r="C202" i="135"/>
  <c r="B202" i="135"/>
  <c r="N201" i="135"/>
  <c r="M201" i="135"/>
  <c r="L201" i="135"/>
  <c r="K201" i="135"/>
  <c r="J201" i="135"/>
  <c r="I201" i="135"/>
  <c r="H201" i="135"/>
  <c r="G201" i="135"/>
  <c r="F201" i="135"/>
  <c r="E201" i="135"/>
  <c r="D201" i="135"/>
  <c r="C201" i="135"/>
  <c r="B201" i="135"/>
  <c r="N200" i="135"/>
  <c r="M200" i="135"/>
  <c r="L200" i="135"/>
  <c r="K200" i="135"/>
  <c r="J200" i="135"/>
  <c r="I200" i="135"/>
  <c r="H200" i="135"/>
  <c r="G200" i="135"/>
  <c r="F200" i="135"/>
  <c r="E200" i="135"/>
  <c r="D200" i="135"/>
  <c r="C200" i="135"/>
  <c r="B200" i="135"/>
  <c r="N199" i="135"/>
  <c r="M199" i="135"/>
  <c r="L199" i="135"/>
  <c r="K199" i="135"/>
  <c r="J199" i="135"/>
  <c r="I199" i="135"/>
  <c r="H199" i="135"/>
  <c r="G199" i="135"/>
  <c r="F199" i="135"/>
  <c r="E199" i="135"/>
  <c r="D199" i="135"/>
  <c r="C199" i="135"/>
  <c r="B199" i="135"/>
  <c r="N198" i="135"/>
  <c r="M198" i="135"/>
  <c r="L198" i="135"/>
  <c r="K198" i="135"/>
  <c r="J198" i="135"/>
  <c r="I198" i="135"/>
  <c r="H198" i="135"/>
  <c r="G198" i="135"/>
  <c r="F198" i="135"/>
  <c r="E198" i="135"/>
  <c r="D198" i="135"/>
  <c r="C198" i="135"/>
  <c r="B198" i="135"/>
  <c r="N197" i="135"/>
  <c r="M197" i="135"/>
  <c r="L197" i="135"/>
  <c r="K197" i="135"/>
  <c r="J197" i="135"/>
  <c r="I197" i="135"/>
  <c r="H197" i="135"/>
  <c r="G197" i="135"/>
  <c r="F197" i="135"/>
  <c r="E197" i="135"/>
  <c r="D197" i="135"/>
  <c r="C197" i="135"/>
  <c r="B197" i="135"/>
  <c r="N196" i="135"/>
  <c r="M196" i="135"/>
  <c r="L196" i="135"/>
  <c r="K196" i="135"/>
  <c r="J196" i="135"/>
  <c r="I196" i="135"/>
  <c r="H196" i="135"/>
  <c r="G196" i="135"/>
  <c r="F196" i="135"/>
  <c r="E196" i="135"/>
  <c r="D196" i="135"/>
  <c r="C196" i="135"/>
  <c r="B196" i="135"/>
  <c r="N195" i="135"/>
  <c r="M195" i="135"/>
  <c r="L195" i="135"/>
  <c r="K195" i="135"/>
  <c r="J195" i="135"/>
  <c r="I195" i="135"/>
  <c r="H195" i="135"/>
  <c r="G195" i="135"/>
  <c r="F195" i="135"/>
  <c r="E195" i="135"/>
  <c r="D195" i="135"/>
  <c r="C195" i="135"/>
  <c r="B195" i="135"/>
  <c r="N194" i="135"/>
  <c r="M194" i="135"/>
  <c r="L194" i="135"/>
  <c r="K194" i="135"/>
  <c r="J194" i="135"/>
  <c r="I194" i="135"/>
  <c r="H194" i="135"/>
  <c r="G194" i="135"/>
  <c r="F194" i="135"/>
  <c r="E194" i="135"/>
  <c r="D194" i="135"/>
  <c r="C194" i="135"/>
  <c r="B194" i="135"/>
  <c r="N190" i="135"/>
  <c r="M190" i="135"/>
  <c r="L190" i="135"/>
  <c r="K190" i="135"/>
  <c r="J190" i="135"/>
  <c r="I190" i="135"/>
  <c r="H190" i="135"/>
  <c r="G190" i="135"/>
  <c r="F190" i="135"/>
  <c r="E190" i="135"/>
  <c r="D190" i="135"/>
  <c r="C190" i="135"/>
  <c r="A190" i="135"/>
  <c r="N189" i="135"/>
  <c r="M189" i="135"/>
  <c r="L189" i="135"/>
  <c r="K189" i="135"/>
  <c r="J189" i="135"/>
  <c r="I189" i="135"/>
  <c r="H189" i="135"/>
  <c r="G189" i="135"/>
  <c r="F189" i="135"/>
  <c r="E189" i="135"/>
  <c r="D189" i="135"/>
  <c r="C189" i="135"/>
  <c r="B189" i="135"/>
  <c r="N188" i="135"/>
  <c r="M188" i="135"/>
  <c r="L188" i="135"/>
  <c r="K188" i="135"/>
  <c r="J188" i="135"/>
  <c r="I188" i="135"/>
  <c r="H188" i="135"/>
  <c r="G188" i="135"/>
  <c r="F188" i="135"/>
  <c r="E188" i="135"/>
  <c r="D188" i="135"/>
  <c r="C188" i="135"/>
  <c r="B188" i="135"/>
  <c r="N187" i="135"/>
  <c r="M187" i="135"/>
  <c r="L187" i="135"/>
  <c r="K187" i="135"/>
  <c r="J187" i="135"/>
  <c r="I187" i="135"/>
  <c r="H187" i="135"/>
  <c r="G187" i="135"/>
  <c r="F187" i="135"/>
  <c r="E187" i="135"/>
  <c r="D187" i="135"/>
  <c r="C187" i="135"/>
  <c r="B187" i="135"/>
  <c r="N186" i="135"/>
  <c r="M186" i="135"/>
  <c r="L186" i="135"/>
  <c r="K186" i="135"/>
  <c r="J186" i="135"/>
  <c r="I186" i="135"/>
  <c r="H186" i="135"/>
  <c r="G186" i="135"/>
  <c r="F186" i="135"/>
  <c r="E186" i="135"/>
  <c r="D186" i="135"/>
  <c r="C186" i="135"/>
  <c r="B186" i="135"/>
  <c r="N185" i="135"/>
  <c r="M185" i="135"/>
  <c r="L185" i="135"/>
  <c r="K185" i="135"/>
  <c r="J185" i="135"/>
  <c r="I185" i="135"/>
  <c r="H185" i="135"/>
  <c r="G185" i="135"/>
  <c r="F185" i="135"/>
  <c r="E185" i="135"/>
  <c r="D185" i="135"/>
  <c r="C185" i="135"/>
  <c r="B185" i="135"/>
  <c r="N184" i="135"/>
  <c r="M184" i="135"/>
  <c r="L184" i="135"/>
  <c r="K184" i="135"/>
  <c r="J184" i="135"/>
  <c r="I184" i="135"/>
  <c r="H184" i="135"/>
  <c r="G184" i="135"/>
  <c r="F184" i="135"/>
  <c r="E184" i="135"/>
  <c r="D184" i="135"/>
  <c r="C184" i="135"/>
  <c r="B184" i="135"/>
  <c r="N183" i="135"/>
  <c r="M183" i="135"/>
  <c r="L183" i="135"/>
  <c r="K183" i="135"/>
  <c r="J183" i="135"/>
  <c r="I183" i="135"/>
  <c r="H183" i="135"/>
  <c r="G183" i="135"/>
  <c r="F183" i="135"/>
  <c r="E183" i="135"/>
  <c r="D183" i="135"/>
  <c r="C183" i="135"/>
  <c r="B183" i="135"/>
  <c r="N182" i="135"/>
  <c r="M182" i="135"/>
  <c r="L182" i="135"/>
  <c r="K182" i="135"/>
  <c r="J182" i="135"/>
  <c r="I182" i="135"/>
  <c r="H182" i="135"/>
  <c r="G182" i="135"/>
  <c r="F182" i="135"/>
  <c r="E182" i="135"/>
  <c r="D182" i="135"/>
  <c r="C182" i="135"/>
  <c r="B182" i="135"/>
  <c r="N181" i="135"/>
  <c r="M181" i="135"/>
  <c r="L181" i="135"/>
  <c r="K181" i="135"/>
  <c r="J181" i="135"/>
  <c r="I181" i="135"/>
  <c r="H181" i="135"/>
  <c r="G181" i="135"/>
  <c r="F181" i="135"/>
  <c r="E181" i="135"/>
  <c r="D181" i="135"/>
  <c r="C181" i="135"/>
  <c r="B181" i="135"/>
  <c r="N180" i="135"/>
  <c r="M180" i="135"/>
  <c r="L180" i="135"/>
  <c r="K180" i="135"/>
  <c r="J180" i="135"/>
  <c r="I180" i="135"/>
  <c r="H180" i="135"/>
  <c r="G180" i="135"/>
  <c r="F180" i="135"/>
  <c r="E180" i="135"/>
  <c r="D180" i="135"/>
  <c r="C180" i="135"/>
  <c r="B180" i="135"/>
  <c r="N179" i="135"/>
  <c r="M179" i="135"/>
  <c r="L179" i="135"/>
  <c r="K179" i="135"/>
  <c r="J179" i="135"/>
  <c r="I179" i="135"/>
  <c r="H179" i="135"/>
  <c r="G179" i="135"/>
  <c r="F179" i="135"/>
  <c r="E179" i="135"/>
  <c r="D179" i="135"/>
  <c r="C179" i="135"/>
  <c r="B179" i="135"/>
  <c r="N178" i="135"/>
  <c r="M178" i="135"/>
  <c r="L178" i="135"/>
  <c r="K178" i="135"/>
  <c r="J178" i="135"/>
  <c r="I178" i="135"/>
  <c r="H178" i="135"/>
  <c r="G178" i="135"/>
  <c r="F178" i="135"/>
  <c r="E178" i="135"/>
  <c r="D178" i="135"/>
  <c r="C178" i="135"/>
  <c r="B178" i="135"/>
  <c r="N172" i="135"/>
  <c r="M172" i="135"/>
  <c r="L172" i="135"/>
  <c r="K172" i="135"/>
  <c r="J172" i="135"/>
  <c r="I172" i="135"/>
  <c r="H172" i="135"/>
  <c r="G172" i="135"/>
  <c r="F172" i="135"/>
  <c r="E172" i="135"/>
  <c r="D172" i="135"/>
  <c r="C172" i="135"/>
  <c r="A172" i="135"/>
  <c r="N171" i="135"/>
  <c r="M171" i="135"/>
  <c r="L171" i="135"/>
  <c r="K171" i="135"/>
  <c r="J171" i="135"/>
  <c r="I171" i="135"/>
  <c r="H171" i="135"/>
  <c r="G171" i="135"/>
  <c r="F171" i="135"/>
  <c r="E171" i="135"/>
  <c r="D171" i="135"/>
  <c r="C171" i="135"/>
  <c r="B171" i="135"/>
  <c r="N170" i="135"/>
  <c r="M170" i="135"/>
  <c r="L170" i="135"/>
  <c r="K170" i="135"/>
  <c r="J170" i="135"/>
  <c r="I170" i="135"/>
  <c r="H170" i="135"/>
  <c r="G170" i="135"/>
  <c r="F170" i="135"/>
  <c r="E170" i="135"/>
  <c r="D170" i="135"/>
  <c r="C170" i="135"/>
  <c r="B170" i="135"/>
  <c r="N169" i="135"/>
  <c r="M169" i="135"/>
  <c r="L169" i="135"/>
  <c r="K169" i="135"/>
  <c r="J169" i="135"/>
  <c r="I169" i="135"/>
  <c r="H169" i="135"/>
  <c r="G169" i="135"/>
  <c r="F169" i="135"/>
  <c r="E169" i="135"/>
  <c r="D169" i="135"/>
  <c r="C169" i="135"/>
  <c r="B169" i="135"/>
  <c r="N168" i="135"/>
  <c r="M168" i="135"/>
  <c r="L168" i="135"/>
  <c r="K168" i="135"/>
  <c r="J168" i="135"/>
  <c r="I168" i="135"/>
  <c r="H168" i="135"/>
  <c r="G168" i="135"/>
  <c r="F168" i="135"/>
  <c r="E168" i="135"/>
  <c r="D168" i="135"/>
  <c r="C168" i="135"/>
  <c r="B168" i="135"/>
  <c r="N167" i="135"/>
  <c r="M167" i="135"/>
  <c r="L167" i="135"/>
  <c r="K167" i="135"/>
  <c r="J167" i="135"/>
  <c r="I167" i="135"/>
  <c r="H167" i="135"/>
  <c r="G167" i="135"/>
  <c r="F167" i="135"/>
  <c r="E167" i="135"/>
  <c r="D167" i="135"/>
  <c r="C167" i="135"/>
  <c r="B167" i="135"/>
  <c r="N166" i="135"/>
  <c r="M166" i="135"/>
  <c r="L166" i="135"/>
  <c r="K166" i="135"/>
  <c r="J166" i="135"/>
  <c r="I166" i="135"/>
  <c r="H166" i="135"/>
  <c r="G166" i="135"/>
  <c r="F166" i="135"/>
  <c r="E166" i="135"/>
  <c r="D166" i="135"/>
  <c r="C166" i="135"/>
  <c r="B166" i="135"/>
  <c r="N165" i="135"/>
  <c r="M165" i="135"/>
  <c r="L165" i="135"/>
  <c r="K165" i="135"/>
  <c r="J165" i="135"/>
  <c r="I165" i="135"/>
  <c r="H165" i="135"/>
  <c r="G165" i="135"/>
  <c r="F165" i="135"/>
  <c r="E165" i="135"/>
  <c r="D165" i="135"/>
  <c r="C165" i="135"/>
  <c r="B165" i="135"/>
  <c r="N164" i="135"/>
  <c r="M164" i="135"/>
  <c r="L164" i="135"/>
  <c r="K164" i="135"/>
  <c r="J164" i="135"/>
  <c r="I164" i="135"/>
  <c r="H164" i="135"/>
  <c r="G164" i="135"/>
  <c r="F164" i="135"/>
  <c r="E164" i="135"/>
  <c r="D164" i="135"/>
  <c r="C164" i="135"/>
  <c r="B164" i="135"/>
  <c r="N163" i="135"/>
  <c r="M163" i="135"/>
  <c r="L163" i="135"/>
  <c r="K163" i="135"/>
  <c r="J163" i="135"/>
  <c r="I163" i="135"/>
  <c r="H163" i="135"/>
  <c r="G163" i="135"/>
  <c r="F163" i="135"/>
  <c r="E163" i="135"/>
  <c r="D163" i="135"/>
  <c r="C163" i="135"/>
  <c r="B163" i="135"/>
  <c r="N162" i="135"/>
  <c r="M162" i="135"/>
  <c r="L162" i="135"/>
  <c r="K162" i="135"/>
  <c r="J162" i="135"/>
  <c r="I162" i="135"/>
  <c r="H162" i="135"/>
  <c r="G162" i="135"/>
  <c r="F162" i="135"/>
  <c r="E162" i="135"/>
  <c r="D162" i="135"/>
  <c r="C162" i="135"/>
  <c r="B162" i="135"/>
  <c r="N161" i="135"/>
  <c r="M161" i="135"/>
  <c r="L161" i="135"/>
  <c r="K161" i="135"/>
  <c r="J161" i="135"/>
  <c r="I161" i="135"/>
  <c r="H161" i="135"/>
  <c r="G161" i="135"/>
  <c r="F161" i="135"/>
  <c r="E161" i="135"/>
  <c r="D161" i="135"/>
  <c r="C161" i="135"/>
  <c r="B161" i="135"/>
  <c r="N160" i="135"/>
  <c r="M160" i="135"/>
  <c r="L160" i="135"/>
  <c r="K160" i="135"/>
  <c r="J160" i="135"/>
  <c r="I160" i="135"/>
  <c r="H160" i="135"/>
  <c r="G160" i="135"/>
  <c r="F160" i="135"/>
  <c r="E160" i="135"/>
  <c r="D160" i="135"/>
  <c r="C160" i="135"/>
  <c r="B160" i="135"/>
  <c r="N156" i="135"/>
  <c r="M156" i="135"/>
  <c r="L156" i="135"/>
  <c r="K156" i="135"/>
  <c r="J156" i="135"/>
  <c r="I156" i="135"/>
  <c r="H156" i="135"/>
  <c r="G156" i="135"/>
  <c r="F156" i="135"/>
  <c r="E156" i="135"/>
  <c r="D156" i="135"/>
  <c r="C156" i="135"/>
  <c r="A156" i="135"/>
  <c r="N155" i="135"/>
  <c r="M155" i="135"/>
  <c r="L155" i="135"/>
  <c r="K155" i="135"/>
  <c r="J155" i="135"/>
  <c r="I155" i="135"/>
  <c r="H155" i="135"/>
  <c r="G155" i="135"/>
  <c r="F155" i="135"/>
  <c r="E155" i="135"/>
  <c r="D155" i="135"/>
  <c r="C155" i="135"/>
  <c r="B155" i="135"/>
  <c r="N154" i="135"/>
  <c r="M154" i="135"/>
  <c r="L154" i="135"/>
  <c r="K154" i="135"/>
  <c r="J154" i="135"/>
  <c r="I154" i="135"/>
  <c r="H154" i="135"/>
  <c r="G154" i="135"/>
  <c r="F154" i="135"/>
  <c r="E154" i="135"/>
  <c r="D154" i="135"/>
  <c r="C154" i="135"/>
  <c r="B154" i="135"/>
  <c r="N153" i="135"/>
  <c r="M153" i="135"/>
  <c r="L153" i="135"/>
  <c r="K153" i="135"/>
  <c r="J153" i="135"/>
  <c r="I153" i="135"/>
  <c r="H153" i="135"/>
  <c r="G153" i="135"/>
  <c r="F153" i="135"/>
  <c r="E153" i="135"/>
  <c r="D153" i="135"/>
  <c r="C153" i="135"/>
  <c r="B153" i="135"/>
  <c r="N152" i="135"/>
  <c r="M152" i="135"/>
  <c r="L152" i="135"/>
  <c r="K152" i="135"/>
  <c r="J152" i="135"/>
  <c r="I152" i="135"/>
  <c r="H152" i="135"/>
  <c r="G152" i="135"/>
  <c r="F152" i="135"/>
  <c r="E152" i="135"/>
  <c r="D152" i="135"/>
  <c r="C152" i="135"/>
  <c r="B152" i="135"/>
  <c r="N151" i="135"/>
  <c r="M151" i="135"/>
  <c r="L151" i="135"/>
  <c r="K151" i="135"/>
  <c r="J151" i="135"/>
  <c r="I151" i="135"/>
  <c r="H151" i="135"/>
  <c r="G151" i="135"/>
  <c r="F151" i="135"/>
  <c r="E151" i="135"/>
  <c r="D151" i="135"/>
  <c r="C151" i="135"/>
  <c r="B151" i="135"/>
  <c r="N150" i="135"/>
  <c r="M150" i="135"/>
  <c r="L150" i="135"/>
  <c r="K150" i="135"/>
  <c r="J150" i="135"/>
  <c r="I150" i="135"/>
  <c r="H150" i="135"/>
  <c r="G150" i="135"/>
  <c r="F150" i="135"/>
  <c r="E150" i="135"/>
  <c r="D150" i="135"/>
  <c r="C150" i="135"/>
  <c r="B150" i="135"/>
  <c r="N149" i="135"/>
  <c r="M149" i="135"/>
  <c r="L149" i="135"/>
  <c r="K149" i="135"/>
  <c r="J149" i="135"/>
  <c r="I149" i="135"/>
  <c r="H149" i="135"/>
  <c r="G149" i="135"/>
  <c r="F149" i="135"/>
  <c r="E149" i="135"/>
  <c r="D149" i="135"/>
  <c r="C149" i="135"/>
  <c r="B149" i="135"/>
  <c r="N148" i="135"/>
  <c r="M148" i="135"/>
  <c r="L148" i="135"/>
  <c r="K148" i="135"/>
  <c r="J148" i="135"/>
  <c r="I148" i="135"/>
  <c r="H148" i="135"/>
  <c r="G148" i="135"/>
  <c r="F148" i="135"/>
  <c r="E148" i="135"/>
  <c r="D148" i="135"/>
  <c r="C148" i="135"/>
  <c r="B148" i="135"/>
  <c r="N147" i="135"/>
  <c r="M147" i="135"/>
  <c r="L147" i="135"/>
  <c r="K147" i="135"/>
  <c r="J147" i="135"/>
  <c r="I147" i="135"/>
  <c r="H147" i="135"/>
  <c r="G147" i="135"/>
  <c r="F147" i="135"/>
  <c r="E147" i="135"/>
  <c r="D147" i="135"/>
  <c r="C147" i="135"/>
  <c r="B147" i="135"/>
  <c r="N146" i="135"/>
  <c r="M146" i="135"/>
  <c r="L146" i="135"/>
  <c r="K146" i="135"/>
  <c r="J146" i="135"/>
  <c r="I146" i="135"/>
  <c r="H146" i="135"/>
  <c r="G146" i="135"/>
  <c r="F146" i="135"/>
  <c r="E146" i="135"/>
  <c r="D146" i="135"/>
  <c r="C146" i="135"/>
  <c r="B146" i="135"/>
  <c r="N145" i="135"/>
  <c r="M145" i="135"/>
  <c r="L145" i="135"/>
  <c r="K145" i="135"/>
  <c r="J145" i="135"/>
  <c r="I145" i="135"/>
  <c r="H145" i="135"/>
  <c r="G145" i="135"/>
  <c r="F145" i="135"/>
  <c r="E145" i="135"/>
  <c r="D145" i="135"/>
  <c r="C145" i="135"/>
  <c r="B145" i="135"/>
  <c r="N144" i="135"/>
  <c r="M144" i="135"/>
  <c r="L144" i="135"/>
  <c r="K144" i="135"/>
  <c r="J144" i="135"/>
  <c r="I144" i="135"/>
  <c r="H144" i="135"/>
  <c r="G144" i="135"/>
  <c r="F144" i="135"/>
  <c r="E144" i="135"/>
  <c r="D144" i="135"/>
  <c r="C144" i="135"/>
  <c r="B144" i="135"/>
  <c r="N138" i="135"/>
  <c r="M138" i="135"/>
  <c r="L138" i="135"/>
  <c r="K138" i="135"/>
  <c r="J138" i="135"/>
  <c r="I138" i="135"/>
  <c r="H138" i="135"/>
  <c r="G138" i="135"/>
  <c r="F138" i="135"/>
  <c r="E138" i="135"/>
  <c r="D138" i="135"/>
  <c r="C138" i="135"/>
  <c r="A138" i="135"/>
  <c r="N137" i="135"/>
  <c r="M137" i="135"/>
  <c r="L137" i="135"/>
  <c r="K137" i="135"/>
  <c r="J137" i="135"/>
  <c r="I137" i="135"/>
  <c r="H137" i="135"/>
  <c r="G137" i="135"/>
  <c r="F137" i="135"/>
  <c r="E137" i="135"/>
  <c r="D137" i="135"/>
  <c r="C137" i="135"/>
  <c r="B137" i="135"/>
  <c r="N136" i="135"/>
  <c r="M136" i="135"/>
  <c r="L136" i="135"/>
  <c r="K136" i="135"/>
  <c r="J136" i="135"/>
  <c r="I136" i="135"/>
  <c r="H136" i="135"/>
  <c r="G136" i="135"/>
  <c r="F136" i="135"/>
  <c r="E136" i="135"/>
  <c r="D136" i="135"/>
  <c r="C136" i="135"/>
  <c r="B136" i="135"/>
  <c r="N135" i="135"/>
  <c r="M135" i="135"/>
  <c r="L135" i="135"/>
  <c r="K135" i="135"/>
  <c r="J135" i="135"/>
  <c r="I135" i="135"/>
  <c r="H135" i="135"/>
  <c r="G135" i="135"/>
  <c r="F135" i="135"/>
  <c r="E135" i="135"/>
  <c r="D135" i="135"/>
  <c r="C135" i="135"/>
  <c r="B135" i="135"/>
  <c r="N134" i="135"/>
  <c r="M134" i="135"/>
  <c r="L134" i="135"/>
  <c r="K134" i="135"/>
  <c r="J134" i="135"/>
  <c r="I134" i="135"/>
  <c r="H134" i="135"/>
  <c r="G134" i="135"/>
  <c r="F134" i="135"/>
  <c r="E134" i="135"/>
  <c r="D134" i="135"/>
  <c r="C134" i="135"/>
  <c r="B134" i="135"/>
  <c r="N133" i="135"/>
  <c r="M133" i="135"/>
  <c r="L133" i="135"/>
  <c r="K133" i="135"/>
  <c r="J133" i="135"/>
  <c r="I133" i="135"/>
  <c r="H133" i="135"/>
  <c r="G133" i="135"/>
  <c r="F133" i="135"/>
  <c r="E133" i="135"/>
  <c r="D133" i="135"/>
  <c r="C133" i="135"/>
  <c r="B133" i="135"/>
  <c r="N132" i="135"/>
  <c r="M132" i="135"/>
  <c r="L132" i="135"/>
  <c r="K132" i="135"/>
  <c r="J132" i="135"/>
  <c r="I132" i="135"/>
  <c r="H132" i="135"/>
  <c r="G132" i="135"/>
  <c r="F132" i="135"/>
  <c r="E132" i="135"/>
  <c r="D132" i="135"/>
  <c r="C132" i="135"/>
  <c r="B132" i="135"/>
  <c r="N131" i="135"/>
  <c r="M131" i="135"/>
  <c r="L131" i="135"/>
  <c r="K131" i="135"/>
  <c r="J131" i="135"/>
  <c r="I131" i="135"/>
  <c r="H131" i="135"/>
  <c r="G131" i="135"/>
  <c r="F131" i="135"/>
  <c r="E131" i="135"/>
  <c r="D131" i="135"/>
  <c r="C131" i="135"/>
  <c r="B131" i="135"/>
  <c r="N130" i="135"/>
  <c r="M130" i="135"/>
  <c r="L130" i="135"/>
  <c r="K130" i="135"/>
  <c r="J130" i="135"/>
  <c r="I130" i="135"/>
  <c r="H130" i="135"/>
  <c r="G130" i="135"/>
  <c r="F130" i="135"/>
  <c r="E130" i="135"/>
  <c r="D130" i="135"/>
  <c r="C130" i="135"/>
  <c r="B130" i="135"/>
  <c r="N129" i="135"/>
  <c r="M129" i="135"/>
  <c r="L129" i="135"/>
  <c r="K129" i="135"/>
  <c r="J129" i="135"/>
  <c r="I129" i="135"/>
  <c r="H129" i="135"/>
  <c r="G129" i="135"/>
  <c r="F129" i="135"/>
  <c r="E129" i="135"/>
  <c r="D129" i="135"/>
  <c r="C129" i="135"/>
  <c r="B129" i="135"/>
  <c r="N128" i="135"/>
  <c r="M128" i="135"/>
  <c r="L128" i="135"/>
  <c r="K128" i="135"/>
  <c r="J128" i="135"/>
  <c r="I128" i="135"/>
  <c r="H128" i="135"/>
  <c r="G128" i="135"/>
  <c r="F128" i="135"/>
  <c r="E128" i="135"/>
  <c r="D128" i="135"/>
  <c r="C128" i="135"/>
  <c r="B128" i="135"/>
  <c r="N127" i="135"/>
  <c r="M127" i="135"/>
  <c r="L127" i="135"/>
  <c r="K127" i="135"/>
  <c r="J127" i="135"/>
  <c r="I127" i="135"/>
  <c r="H127" i="135"/>
  <c r="G127" i="135"/>
  <c r="F127" i="135"/>
  <c r="E127" i="135"/>
  <c r="D127" i="135"/>
  <c r="C127" i="135"/>
  <c r="B127" i="135"/>
  <c r="N126" i="135"/>
  <c r="M126" i="135"/>
  <c r="L126" i="135"/>
  <c r="K126" i="135"/>
  <c r="J126" i="135"/>
  <c r="I126" i="135"/>
  <c r="H126" i="135"/>
  <c r="G126" i="135"/>
  <c r="F126" i="135"/>
  <c r="E126" i="135"/>
  <c r="D126" i="135"/>
  <c r="C126" i="135"/>
  <c r="B126" i="135"/>
  <c r="N122" i="135"/>
  <c r="M122" i="135"/>
  <c r="L122" i="135"/>
  <c r="K122" i="135"/>
  <c r="J122" i="135"/>
  <c r="I122" i="135"/>
  <c r="H122" i="135"/>
  <c r="G122" i="135"/>
  <c r="F122" i="135"/>
  <c r="E122" i="135"/>
  <c r="D122" i="135"/>
  <c r="C122" i="135"/>
  <c r="A122" i="135"/>
  <c r="N121" i="135"/>
  <c r="M121" i="135"/>
  <c r="L121" i="135"/>
  <c r="K121" i="135"/>
  <c r="J121" i="135"/>
  <c r="I121" i="135"/>
  <c r="H121" i="135"/>
  <c r="G121" i="135"/>
  <c r="F121" i="135"/>
  <c r="E121" i="135"/>
  <c r="D121" i="135"/>
  <c r="C121" i="135"/>
  <c r="B121" i="135"/>
  <c r="N120" i="135"/>
  <c r="M120" i="135"/>
  <c r="L120" i="135"/>
  <c r="K120" i="135"/>
  <c r="J120" i="135"/>
  <c r="I120" i="135"/>
  <c r="H120" i="135"/>
  <c r="G120" i="135"/>
  <c r="F120" i="135"/>
  <c r="E120" i="135"/>
  <c r="D120" i="135"/>
  <c r="C120" i="135"/>
  <c r="B120" i="135"/>
  <c r="N119" i="135"/>
  <c r="M119" i="135"/>
  <c r="L119" i="135"/>
  <c r="K119" i="135"/>
  <c r="J119" i="135"/>
  <c r="I119" i="135"/>
  <c r="H119" i="135"/>
  <c r="G119" i="135"/>
  <c r="F119" i="135"/>
  <c r="E119" i="135"/>
  <c r="D119" i="135"/>
  <c r="C119" i="135"/>
  <c r="B119" i="135"/>
  <c r="N118" i="135"/>
  <c r="M118" i="135"/>
  <c r="L118" i="135"/>
  <c r="K118" i="135"/>
  <c r="J118" i="135"/>
  <c r="I118" i="135"/>
  <c r="H118" i="135"/>
  <c r="G118" i="135"/>
  <c r="F118" i="135"/>
  <c r="E118" i="135"/>
  <c r="D118" i="135"/>
  <c r="C118" i="135"/>
  <c r="B118" i="135"/>
  <c r="N117" i="135"/>
  <c r="M117" i="135"/>
  <c r="L117" i="135"/>
  <c r="K117" i="135"/>
  <c r="J117" i="135"/>
  <c r="I117" i="135"/>
  <c r="H117" i="135"/>
  <c r="G117" i="135"/>
  <c r="F117" i="135"/>
  <c r="E117" i="135"/>
  <c r="D117" i="135"/>
  <c r="C117" i="135"/>
  <c r="B117" i="135"/>
  <c r="N116" i="135"/>
  <c r="M116" i="135"/>
  <c r="L116" i="135"/>
  <c r="K116" i="135"/>
  <c r="J116" i="135"/>
  <c r="I116" i="135"/>
  <c r="H116" i="135"/>
  <c r="G116" i="135"/>
  <c r="F116" i="135"/>
  <c r="E116" i="135"/>
  <c r="D116" i="135"/>
  <c r="C116" i="135"/>
  <c r="B116" i="135"/>
  <c r="N115" i="135"/>
  <c r="M115" i="135"/>
  <c r="L115" i="135"/>
  <c r="K115" i="135"/>
  <c r="J115" i="135"/>
  <c r="I115" i="135"/>
  <c r="H115" i="135"/>
  <c r="G115" i="135"/>
  <c r="F115" i="135"/>
  <c r="E115" i="135"/>
  <c r="D115" i="135"/>
  <c r="C115" i="135"/>
  <c r="B115" i="135"/>
  <c r="N114" i="135"/>
  <c r="M114" i="135"/>
  <c r="L114" i="135"/>
  <c r="K114" i="135"/>
  <c r="J114" i="135"/>
  <c r="I114" i="135"/>
  <c r="H114" i="135"/>
  <c r="G114" i="135"/>
  <c r="F114" i="135"/>
  <c r="E114" i="135"/>
  <c r="D114" i="135"/>
  <c r="C114" i="135"/>
  <c r="B114" i="135"/>
  <c r="N113" i="135"/>
  <c r="M113" i="135"/>
  <c r="L113" i="135"/>
  <c r="K113" i="135"/>
  <c r="J113" i="135"/>
  <c r="I113" i="135"/>
  <c r="H113" i="135"/>
  <c r="G113" i="135"/>
  <c r="F113" i="135"/>
  <c r="E113" i="135"/>
  <c r="D113" i="135"/>
  <c r="C113" i="135"/>
  <c r="B113" i="135"/>
  <c r="N112" i="135"/>
  <c r="M112" i="135"/>
  <c r="L112" i="135"/>
  <c r="K112" i="135"/>
  <c r="J112" i="135"/>
  <c r="I112" i="135"/>
  <c r="H112" i="135"/>
  <c r="G112" i="135"/>
  <c r="F112" i="135"/>
  <c r="E112" i="135"/>
  <c r="D112" i="135"/>
  <c r="C112" i="135"/>
  <c r="B112" i="135"/>
  <c r="N111" i="135"/>
  <c r="M111" i="135"/>
  <c r="L111" i="135"/>
  <c r="K111" i="135"/>
  <c r="J111" i="135"/>
  <c r="I111" i="135"/>
  <c r="H111" i="135"/>
  <c r="G111" i="135"/>
  <c r="F111" i="135"/>
  <c r="E111" i="135"/>
  <c r="D111" i="135"/>
  <c r="C111" i="135"/>
  <c r="B111" i="135"/>
  <c r="N110" i="135"/>
  <c r="M110" i="135"/>
  <c r="L110" i="135"/>
  <c r="K110" i="135"/>
  <c r="J110" i="135"/>
  <c r="I110" i="135"/>
  <c r="H110" i="135"/>
  <c r="G110" i="135"/>
  <c r="F110" i="135"/>
  <c r="E110" i="135"/>
  <c r="D110" i="135"/>
  <c r="C110" i="135"/>
  <c r="B110" i="135"/>
  <c r="N104" i="135"/>
  <c r="M104" i="135"/>
  <c r="L104" i="135"/>
  <c r="K104" i="135"/>
  <c r="J104" i="135"/>
  <c r="I104" i="135"/>
  <c r="H104" i="135"/>
  <c r="G104" i="135"/>
  <c r="F104" i="135"/>
  <c r="E104" i="135"/>
  <c r="D104" i="135"/>
  <c r="C104" i="135"/>
  <c r="A104" i="135"/>
  <c r="N103" i="135"/>
  <c r="M103" i="135"/>
  <c r="L103" i="135"/>
  <c r="K103" i="135"/>
  <c r="J103" i="135"/>
  <c r="I103" i="135"/>
  <c r="H103" i="135"/>
  <c r="G103" i="135"/>
  <c r="F103" i="135"/>
  <c r="E103" i="135"/>
  <c r="D103" i="135"/>
  <c r="C103" i="135"/>
  <c r="B103" i="135"/>
  <c r="N102" i="135"/>
  <c r="M102" i="135"/>
  <c r="L102" i="135"/>
  <c r="K102" i="135"/>
  <c r="J102" i="135"/>
  <c r="I102" i="135"/>
  <c r="H102" i="135"/>
  <c r="G102" i="135"/>
  <c r="F102" i="135"/>
  <c r="E102" i="135"/>
  <c r="D102" i="135"/>
  <c r="C102" i="135"/>
  <c r="B102" i="135"/>
  <c r="N101" i="135"/>
  <c r="M101" i="135"/>
  <c r="L101" i="135"/>
  <c r="K101" i="135"/>
  <c r="J101" i="135"/>
  <c r="I101" i="135"/>
  <c r="H101" i="135"/>
  <c r="G101" i="135"/>
  <c r="F101" i="135"/>
  <c r="E101" i="135"/>
  <c r="D101" i="135"/>
  <c r="C101" i="135"/>
  <c r="B101" i="135"/>
  <c r="N100" i="135"/>
  <c r="M100" i="135"/>
  <c r="L100" i="135"/>
  <c r="K100" i="135"/>
  <c r="J100" i="135"/>
  <c r="I100" i="135"/>
  <c r="H100" i="135"/>
  <c r="G100" i="135"/>
  <c r="F100" i="135"/>
  <c r="E100" i="135"/>
  <c r="D100" i="135"/>
  <c r="C100" i="135"/>
  <c r="B100" i="135"/>
  <c r="N99" i="135"/>
  <c r="M99" i="135"/>
  <c r="L99" i="135"/>
  <c r="K99" i="135"/>
  <c r="J99" i="135"/>
  <c r="I99" i="135"/>
  <c r="H99" i="135"/>
  <c r="G99" i="135"/>
  <c r="F99" i="135"/>
  <c r="E99" i="135"/>
  <c r="D99" i="135"/>
  <c r="C99" i="135"/>
  <c r="B99" i="135"/>
  <c r="N98" i="135"/>
  <c r="M98" i="135"/>
  <c r="L98" i="135"/>
  <c r="K98" i="135"/>
  <c r="J98" i="135"/>
  <c r="I98" i="135"/>
  <c r="H98" i="135"/>
  <c r="G98" i="135"/>
  <c r="F98" i="135"/>
  <c r="E98" i="135"/>
  <c r="D98" i="135"/>
  <c r="C98" i="135"/>
  <c r="B98" i="135"/>
  <c r="N97" i="135"/>
  <c r="M97" i="135"/>
  <c r="L97" i="135"/>
  <c r="K97" i="135"/>
  <c r="J97" i="135"/>
  <c r="I97" i="135"/>
  <c r="H97" i="135"/>
  <c r="G97" i="135"/>
  <c r="F97" i="135"/>
  <c r="E97" i="135"/>
  <c r="D97" i="135"/>
  <c r="C97" i="135"/>
  <c r="B97" i="135"/>
  <c r="N96" i="135"/>
  <c r="M96" i="135"/>
  <c r="L96" i="135"/>
  <c r="K96" i="135"/>
  <c r="J96" i="135"/>
  <c r="I96" i="135"/>
  <c r="H96" i="135"/>
  <c r="G96" i="135"/>
  <c r="F96" i="135"/>
  <c r="E96" i="135"/>
  <c r="D96" i="135"/>
  <c r="C96" i="135"/>
  <c r="B96" i="135"/>
  <c r="N95" i="135"/>
  <c r="M95" i="135"/>
  <c r="L95" i="135"/>
  <c r="K95" i="135"/>
  <c r="J95" i="135"/>
  <c r="I95" i="135"/>
  <c r="H95" i="135"/>
  <c r="G95" i="135"/>
  <c r="F95" i="135"/>
  <c r="E95" i="135"/>
  <c r="D95" i="135"/>
  <c r="C95" i="135"/>
  <c r="B95" i="135"/>
  <c r="N94" i="135"/>
  <c r="M94" i="135"/>
  <c r="L94" i="135"/>
  <c r="K94" i="135"/>
  <c r="J94" i="135"/>
  <c r="I94" i="135"/>
  <c r="H94" i="135"/>
  <c r="G94" i="135"/>
  <c r="F94" i="135"/>
  <c r="E94" i="135"/>
  <c r="D94" i="135"/>
  <c r="C94" i="135"/>
  <c r="B94" i="135"/>
  <c r="N93" i="135"/>
  <c r="M93" i="135"/>
  <c r="L93" i="135"/>
  <c r="K93" i="135"/>
  <c r="J93" i="135"/>
  <c r="I93" i="135"/>
  <c r="H93" i="135"/>
  <c r="G93" i="135"/>
  <c r="F93" i="135"/>
  <c r="E93" i="135"/>
  <c r="D93" i="135"/>
  <c r="C93" i="135"/>
  <c r="B93" i="135"/>
  <c r="N92" i="135"/>
  <c r="M92" i="135"/>
  <c r="L92" i="135"/>
  <c r="K92" i="135"/>
  <c r="J92" i="135"/>
  <c r="I92" i="135"/>
  <c r="H92" i="135"/>
  <c r="G92" i="135"/>
  <c r="F92" i="135"/>
  <c r="E92" i="135"/>
  <c r="D92" i="135"/>
  <c r="C92" i="135"/>
  <c r="B92" i="135"/>
  <c r="N88" i="135"/>
  <c r="M88" i="135"/>
  <c r="L88" i="135"/>
  <c r="K88" i="135"/>
  <c r="J88" i="135"/>
  <c r="I88" i="135"/>
  <c r="H88" i="135"/>
  <c r="G88" i="135"/>
  <c r="F88" i="135"/>
  <c r="E88" i="135"/>
  <c r="D88" i="135"/>
  <c r="C88" i="135"/>
  <c r="A88" i="135"/>
  <c r="N87" i="135"/>
  <c r="M87" i="135"/>
  <c r="L87" i="135"/>
  <c r="K87" i="135"/>
  <c r="J87" i="135"/>
  <c r="I87" i="135"/>
  <c r="H87" i="135"/>
  <c r="G87" i="135"/>
  <c r="F87" i="135"/>
  <c r="E87" i="135"/>
  <c r="D87" i="135"/>
  <c r="C87" i="135"/>
  <c r="B87" i="135"/>
  <c r="N86" i="135"/>
  <c r="M86" i="135"/>
  <c r="L86" i="135"/>
  <c r="K86" i="135"/>
  <c r="J86" i="135"/>
  <c r="I86" i="135"/>
  <c r="H86" i="135"/>
  <c r="G86" i="135"/>
  <c r="F86" i="135"/>
  <c r="E86" i="135"/>
  <c r="D86" i="135"/>
  <c r="C86" i="135"/>
  <c r="B86" i="135"/>
  <c r="N85" i="135"/>
  <c r="M85" i="135"/>
  <c r="L85" i="135"/>
  <c r="K85" i="135"/>
  <c r="J85" i="135"/>
  <c r="I85" i="135"/>
  <c r="H85" i="135"/>
  <c r="G85" i="135"/>
  <c r="F85" i="135"/>
  <c r="E85" i="135"/>
  <c r="D85" i="135"/>
  <c r="C85" i="135"/>
  <c r="B85" i="135"/>
  <c r="N84" i="135"/>
  <c r="M84" i="135"/>
  <c r="L84" i="135"/>
  <c r="K84" i="135"/>
  <c r="J84" i="135"/>
  <c r="I84" i="135"/>
  <c r="H84" i="135"/>
  <c r="G84" i="135"/>
  <c r="F84" i="135"/>
  <c r="E84" i="135"/>
  <c r="D84" i="135"/>
  <c r="C84" i="135"/>
  <c r="B84" i="135"/>
  <c r="N83" i="135"/>
  <c r="M83" i="135"/>
  <c r="L83" i="135"/>
  <c r="K83" i="135"/>
  <c r="J83" i="135"/>
  <c r="I83" i="135"/>
  <c r="H83" i="135"/>
  <c r="G83" i="135"/>
  <c r="F83" i="135"/>
  <c r="E83" i="135"/>
  <c r="D83" i="135"/>
  <c r="C83" i="135"/>
  <c r="B83" i="135"/>
  <c r="N82" i="135"/>
  <c r="M82" i="135"/>
  <c r="L82" i="135"/>
  <c r="K82" i="135"/>
  <c r="J82" i="135"/>
  <c r="I82" i="135"/>
  <c r="H82" i="135"/>
  <c r="G82" i="135"/>
  <c r="F82" i="135"/>
  <c r="E82" i="135"/>
  <c r="D82" i="135"/>
  <c r="C82" i="135"/>
  <c r="B82" i="135"/>
  <c r="N81" i="135"/>
  <c r="M81" i="135"/>
  <c r="L81" i="135"/>
  <c r="K81" i="135"/>
  <c r="J81" i="135"/>
  <c r="I81" i="135"/>
  <c r="H81" i="135"/>
  <c r="G81" i="135"/>
  <c r="F81" i="135"/>
  <c r="E81" i="135"/>
  <c r="D81" i="135"/>
  <c r="C81" i="135"/>
  <c r="B81" i="135"/>
  <c r="N80" i="135"/>
  <c r="M80" i="135"/>
  <c r="L80" i="135"/>
  <c r="K80" i="135"/>
  <c r="J80" i="135"/>
  <c r="I80" i="135"/>
  <c r="H80" i="135"/>
  <c r="G80" i="135"/>
  <c r="F80" i="135"/>
  <c r="E80" i="135"/>
  <c r="D80" i="135"/>
  <c r="C80" i="135"/>
  <c r="B80" i="135"/>
  <c r="N79" i="135"/>
  <c r="M79" i="135"/>
  <c r="L79" i="135"/>
  <c r="K79" i="135"/>
  <c r="J79" i="135"/>
  <c r="I79" i="135"/>
  <c r="H79" i="135"/>
  <c r="G79" i="135"/>
  <c r="F79" i="135"/>
  <c r="E79" i="135"/>
  <c r="D79" i="135"/>
  <c r="C79" i="135"/>
  <c r="B79" i="135"/>
  <c r="N78" i="135"/>
  <c r="M78" i="135"/>
  <c r="L78" i="135"/>
  <c r="K78" i="135"/>
  <c r="J78" i="135"/>
  <c r="I78" i="135"/>
  <c r="H78" i="135"/>
  <c r="G78" i="135"/>
  <c r="F78" i="135"/>
  <c r="E78" i="135"/>
  <c r="D78" i="135"/>
  <c r="C78" i="135"/>
  <c r="B78" i="135"/>
  <c r="N77" i="135"/>
  <c r="M77" i="135"/>
  <c r="L77" i="135"/>
  <c r="K77" i="135"/>
  <c r="J77" i="135"/>
  <c r="I77" i="135"/>
  <c r="H77" i="135"/>
  <c r="G77" i="135"/>
  <c r="F77" i="135"/>
  <c r="E77" i="135"/>
  <c r="D77" i="135"/>
  <c r="C77" i="135"/>
  <c r="B77" i="135"/>
  <c r="N76" i="135"/>
  <c r="M76" i="135"/>
  <c r="L76" i="135"/>
  <c r="K76" i="135"/>
  <c r="J76" i="135"/>
  <c r="I76" i="135"/>
  <c r="H76" i="135"/>
  <c r="G76" i="135"/>
  <c r="F76" i="135"/>
  <c r="E76" i="135"/>
  <c r="D76" i="135"/>
  <c r="C76" i="135"/>
  <c r="B76" i="135"/>
  <c r="N70" i="135"/>
  <c r="M70" i="135"/>
  <c r="L70" i="135"/>
  <c r="K70" i="135"/>
  <c r="J70" i="135"/>
  <c r="I70" i="135"/>
  <c r="H70" i="135"/>
  <c r="G70" i="135"/>
  <c r="F70" i="135"/>
  <c r="E70" i="135"/>
  <c r="D70" i="135"/>
  <c r="C70" i="135"/>
  <c r="A70" i="135"/>
  <c r="N69" i="135"/>
  <c r="M69" i="135"/>
  <c r="L69" i="135"/>
  <c r="K69" i="135"/>
  <c r="J69" i="135"/>
  <c r="I69" i="135"/>
  <c r="H69" i="135"/>
  <c r="G69" i="135"/>
  <c r="F69" i="135"/>
  <c r="E69" i="135"/>
  <c r="D69" i="135"/>
  <c r="C69" i="135"/>
  <c r="B69" i="135"/>
  <c r="N68" i="135"/>
  <c r="M68" i="135"/>
  <c r="L68" i="135"/>
  <c r="K68" i="135"/>
  <c r="J68" i="135"/>
  <c r="I68" i="135"/>
  <c r="H68" i="135"/>
  <c r="G68" i="135"/>
  <c r="F68" i="135"/>
  <c r="E68" i="135"/>
  <c r="D68" i="135"/>
  <c r="C68" i="135"/>
  <c r="B68" i="135"/>
  <c r="N67" i="135"/>
  <c r="M67" i="135"/>
  <c r="L67" i="135"/>
  <c r="K67" i="135"/>
  <c r="J67" i="135"/>
  <c r="I67" i="135"/>
  <c r="H67" i="135"/>
  <c r="G67" i="135"/>
  <c r="F67" i="135"/>
  <c r="E67" i="135"/>
  <c r="D67" i="135"/>
  <c r="C67" i="135"/>
  <c r="B67" i="135"/>
  <c r="N66" i="135"/>
  <c r="M66" i="135"/>
  <c r="L66" i="135"/>
  <c r="K66" i="135"/>
  <c r="J66" i="135"/>
  <c r="I66" i="135"/>
  <c r="H66" i="135"/>
  <c r="G66" i="135"/>
  <c r="F66" i="135"/>
  <c r="E66" i="135"/>
  <c r="D66" i="135"/>
  <c r="C66" i="135"/>
  <c r="B66" i="135"/>
  <c r="N65" i="135"/>
  <c r="M65" i="135"/>
  <c r="L65" i="135"/>
  <c r="K65" i="135"/>
  <c r="J65" i="135"/>
  <c r="I65" i="135"/>
  <c r="H65" i="135"/>
  <c r="G65" i="135"/>
  <c r="F65" i="135"/>
  <c r="E65" i="135"/>
  <c r="D65" i="135"/>
  <c r="C65" i="135"/>
  <c r="B65" i="135"/>
  <c r="N64" i="135"/>
  <c r="M64" i="135"/>
  <c r="L64" i="135"/>
  <c r="K64" i="135"/>
  <c r="J64" i="135"/>
  <c r="I64" i="135"/>
  <c r="H64" i="135"/>
  <c r="G64" i="135"/>
  <c r="F64" i="135"/>
  <c r="E64" i="135"/>
  <c r="D64" i="135"/>
  <c r="C64" i="135"/>
  <c r="B64" i="135"/>
  <c r="N63" i="135"/>
  <c r="M63" i="135"/>
  <c r="L63" i="135"/>
  <c r="K63" i="135"/>
  <c r="J63" i="135"/>
  <c r="I63" i="135"/>
  <c r="H63" i="135"/>
  <c r="G63" i="135"/>
  <c r="F63" i="135"/>
  <c r="E63" i="135"/>
  <c r="D63" i="135"/>
  <c r="C63" i="135"/>
  <c r="B63" i="135"/>
  <c r="N62" i="135"/>
  <c r="M62" i="135"/>
  <c r="L62" i="135"/>
  <c r="K62" i="135"/>
  <c r="J62" i="135"/>
  <c r="I62" i="135"/>
  <c r="H62" i="135"/>
  <c r="G62" i="135"/>
  <c r="F62" i="135"/>
  <c r="E62" i="135"/>
  <c r="D62" i="135"/>
  <c r="C62" i="135"/>
  <c r="B62" i="135"/>
  <c r="N61" i="135"/>
  <c r="M61" i="135"/>
  <c r="L61" i="135"/>
  <c r="K61" i="135"/>
  <c r="J61" i="135"/>
  <c r="I61" i="135"/>
  <c r="H61" i="135"/>
  <c r="G61" i="135"/>
  <c r="F61" i="135"/>
  <c r="E61" i="135"/>
  <c r="D61" i="135"/>
  <c r="C61" i="135"/>
  <c r="B61" i="135"/>
  <c r="N60" i="135"/>
  <c r="M60" i="135"/>
  <c r="L60" i="135"/>
  <c r="K60" i="135"/>
  <c r="J60" i="135"/>
  <c r="I60" i="135"/>
  <c r="H60" i="135"/>
  <c r="G60" i="135"/>
  <c r="F60" i="135"/>
  <c r="E60" i="135"/>
  <c r="D60" i="135"/>
  <c r="C60" i="135"/>
  <c r="B60" i="135"/>
  <c r="N59" i="135"/>
  <c r="M59" i="135"/>
  <c r="L59" i="135"/>
  <c r="K59" i="135"/>
  <c r="J59" i="135"/>
  <c r="I59" i="135"/>
  <c r="H59" i="135"/>
  <c r="G59" i="135"/>
  <c r="F59" i="135"/>
  <c r="E59" i="135"/>
  <c r="D59" i="135"/>
  <c r="C59" i="135"/>
  <c r="B59" i="135"/>
  <c r="N58" i="135"/>
  <c r="M58" i="135"/>
  <c r="L58" i="135"/>
  <c r="K58" i="135"/>
  <c r="J58" i="135"/>
  <c r="I58" i="135"/>
  <c r="H58" i="135"/>
  <c r="G58" i="135"/>
  <c r="F58" i="135"/>
  <c r="E58" i="135"/>
  <c r="D58" i="135"/>
  <c r="C58" i="135"/>
  <c r="B58" i="135"/>
  <c r="N54" i="135"/>
  <c r="M54" i="135"/>
  <c r="L54" i="135"/>
  <c r="K54" i="135"/>
  <c r="J54" i="135"/>
  <c r="I54" i="135"/>
  <c r="H54" i="135"/>
  <c r="G54" i="135"/>
  <c r="F54" i="135"/>
  <c r="E54" i="135"/>
  <c r="D54" i="135"/>
  <c r="C54" i="135"/>
  <c r="A54" i="135"/>
  <c r="N53" i="135"/>
  <c r="M53" i="135"/>
  <c r="L53" i="135"/>
  <c r="K53" i="135"/>
  <c r="J53" i="135"/>
  <c r="I53" i="135"/>
  <c r="H53" i="135"/>
  <c r="G53" i="135"/>
  <c r="F53" i="135"/>
  <c r="E53" i="135"/>
  <c r="D53" i="135"/>
  <c r="C53" i="135"/>
  <c r="B53" i="135"/>
  <c r="N52" i="135"/>
  <c r="M52" i="135"/>
  <c r="L52" i="135"/>
  <c r="K52" i="135"/>
  <c r="J52" i="135"/>
  <c r="I52" i="135"/>
  <c r="H52" i="135"/>
  <c r="G52" i="135"/>
  <c r="F52" i="135"/>
  <c r="E52" i="135"/>
  <c r="D52" i="135"/>
  <c r="C52" i="135"/>
  <c r="B52" i="135"/>
  <c r="N51" i="135"/>
  <c r="M51" i="135"/>
  <c r="L51" i="135"/>
  <c r="K51" i="135"/>
  <c r="J51" i="135"/>
  <c r="I51" i="135"/>
  <c r="H51" i="135"/>
  <c r="G51" i="135"/>
  <c r="F51" i="135"/>
  <c r="E51" i="135"/>
  <c r="D51" i="135"/>
  <c r="C51" i="135"/>
  <c r="B51" i="135"/>
  <c r="N50" i="135"/>
  <c r="M50" i="135"/>
  <c r="L50" i="135"/>
  <c r="K50" i="135"/>
  <c r="J50" i="135"/>
  <c r="I50" i="135"/>
  <c r="H50" i="135"/>
  <c r="G50" i="135"/>
  <c r="F50" i="135"/>
  <c r="E50" i="135"/>
  <c r="D50" i="135"/>
  <c r="C50" i="135"/>
  <c r="B50" i="135"/>
  <c r="N49" i="135"/>
  <c r="M49" i="135"/>
  <c r="L49" i="135"/>
  <c r="K49" i="135"/>
  <c r="J49" i="135"/>
  <c r="I49" i="135"/>
  <c r="H49" i="135"/>
  <c r="G49" i="135"/>
  <c r="F49" i="135"/>
  <c r="E49" i="135"/>
  <c r="D49" i="135"/>
  <c r="C49" i="135"/>
  <c r="B49" i="135"/>
  <c r="N48" i="135"/>
  <c r="M48" i="135"/>
  <c r="L48" i="135"/>
  <c r="K48" i="135"/>
  <c r="J48" i="135"/>
  <c r="I48" i="135"/>
  <c r="H48" i="135"/>
  <c r="G48" i="135"/>
  <c r="F48" i="135"/>
  <c r="E48" i="135"/>
  <c r="D48" i="135"/>
  <c r="C48" i="135"/>
  <c r="B48" i="135"/>
  <c r="N47" i="135"/>
  <c r="M47" i="135"/>
  <c r="L47" i="135"/>
  <c r="K47" i="135"/>
  <c r="J47" i="135"/>
  <c r="I47" i="135"/>
  <c r="H47" i="135"/>
  <c r="G47" i="135"/>
  <c r="F47" i="135"/>
  <c r="E47" i="135"/>
  <c r="D47" i="135"/>
  <c r="C47" i="135"/>
  <c r="B47" i="135"/>
  <c r="N46" i="135"/>
  <c r="M46" i="135"/>
  <c r="L46" i="135"/>
  <c r="K46" i="135"/>
  <c r="J46" i="135"/>
  <c r="I46" i="135"/>
  <c r="H46" i="135"/>
  <c r="G46" i="135"/>
  <c r="F46" i="135"/>
  <c r="E46" i="135"/>
  <c r="D46" i="135"/>
  <c r="C46" i="135"/>
  <c r="B46" i="135"/>
  <c r="N45" i="135"/>
  <c r="M45" i="135"/>
  <c r="L45" i="135"/>
  <c r="K45" i="135"/>
  <c r="J45" i="135"/>
  <c r="I45" i="135"/>
  <c r="H45" i="135"/>
  <c r="G45" i="135"/>
  <c r="F45" i="135"/>
  <c r="E45" i="135"/>
  <c r="D45" i="135"/>
  <c r="C45" i="135"/>
  <c r="B45" i="135"/>
  <c r="N44" i="135"/>
  <c r="M44" i="135"/>
  <c r="L44" i="135"/>
  <c r="K44" i="135"/>
  <c r="J44" i="135"/>
  <c r="I44" i="135"/>
  <c r="H44" i="135"/>
  <c r="G44" i="135"/>
  <c r="F44" i="135"/>
  <c r="E44" i="135"/>
  <c r="D44" i="135"/>
  <c r="C44" i="135"/>
  <c r="B44" i="135"/>
  <c r="N43" i="135"/>
  <c r="M43" i="135"/>
  <c r="L43" i="135"/>
  <c r="K43" i="135"/>
  <c r="J43" i="135"/>
  <c r="I43" i="135"/>
  <c r="H43" i="135"/>
  <c r="G43" i="135"/>
  <c r="F43" i="135"/>
  <c r="E43" i="135"/>
  <c r="D43" i="135"/>
  <c r="C43" i="135"/>
  <c r="B43" i="135"/>
  <c r="N42" i="135"/>
  <c r="M42" i="135"/>
  <c r="L42" i="135"/>
  <c r="K42" i="135"/>
  <c r="J42" i="135"/>
  <c r="I42" i="135"/>
  <c r="H42" i="135"/>
  <c r="G42" i="135"/>
  <c r="F42" i="135"/>
  <c r="E42" i="135"/>
  <c r="D42" i="135"/>
  <c r="C42" i="135"/>
  <c r="B42" i="135"/>
  <c r="N36" i="135"/>
  <c r="M36" i="135"/>
  <c r="L36" i="135"/>
  <c r="K36" i="135"/>
  <c r="J36" i="135"/>
  <c r="I36" i="135"/>
  <c r="H36" i="135"/>
  <c r="G36" i="135"/>
  <c r="F36" i="135"/>
  <c r="E36" i="135"/>
  <c r="D36" i="135"/>
  <c r="C36" i="135"/>
  <c r="B36" i="135"/>
  <c r="N35" i="135"/>
  <c r="M35" i="135"/>
  <c r="L35" i="135"/>
  <c r="K35" i="135"/>
  <c r="J35" i="135"/>
  <c r="I35" i="135"/>
  <c r="H35" i="135"/>
  <c r="G35" i="135"/>
  <c r="F35" i="135"/>
  <c r="E35" i="135"/>
  <c r="D35" i="135"/>
  <c r="C35" i="135"/>
  <c r="B35" i="135"/>
  <c r="I31" i="135"/>
  <c r="H31" i="135"/>
  <c r="G31" i="135"/>
  <c r="E31" i="135"/>
  <c r="D31" i="135"/>
  <c r="C31" i="135"/>
  <c r="B31" i="135"/>
  <c r="A31" i="135"/>
  <c r="D30" i="135"/>
  <c r="C30" i="135"/>
  <c r="B30" i="135"/>
  <c r="D29" i="135"/>
  <c r="C29" i="135"/>
  <c r="B29" i="135"/>
  <c r="D28" i="135"/>
  <c r="C28" i="135"/>
  <c r="B28" i="135"/>
  <c r="D27" i="135"/>
  <c r="C27" i="135"/>
  <c r="B27" i="135"/>
  <c r="D26" i="135"/>
  <c r="C26" i="135"/>
  <c r="B26" i="135"/>
  <c r="D25" i="135"/>
  <c r="C25" i="135"/>
  <c r="B25" i="135"/>
  <c r="D24" i="135"/>
  <c r="C24" i="135"/>
  <c r="B24" i="135"/>
  <c r="D23" i="135"/>
  <c r="C23" i="135"/>
  <c r="B23" i="135"/>
  <c r="D22" i="135"/>
  <c r="C22" i="135"/>
  <c r="B22" i="135"/>
  <c r="D21" i="135"/>
  <c r="C21" i="135"/>
  <c r="B21" i="135"/>
  <c r="D20" i="135"/>
  <c r="C20" i="135"/>
  <c r="C19" i="135"/>
  <c r="B19" i="135"/>
  <c r="N15" i="135"/>
  <c r="M15" i="135"/>
  <c r="L15" i="135"/>
  <c r="K15" i="135"/>
  <c r="J15" i="135"/>
  <c r="I15" i="135"/>
  <c r="H15" i="135"/>
  <c r="G15" i="135"/>
  <c r="F15" i="135"/>
  <c r="E15" i="135"/>
  <c r="D15" i="135"/>
  <c r="C15" i="135"/>
  <c r="B15" i="135"/>
  <c r="N14" i="135"/>
  <c r="M14" i="135"/>
  <c r="L14" i="135"/>
  <c r="K14" i="135"/>
  <c r="J14" i="135"/>
  <c r="I14" i="135"/>
  <c r="H14" i="135"/>
  <c r="G14" i="135"/>
  <c r="F14" i="135"/>
  <c r="E14" i="135"/>
  <c r="D14" i="135"/>
  <c r="C14" i="135"/>
  <c r="B14" i="135"/>
  <c r="A10" i="135"/>
  <c r="A1" i="135"/>
  <c r="N371" i="134"/>
  <c r="M371" i="134"/>
  <c r="L371" i="134"/>
  <c r="K371" i="134"/>
  <c r="J371" i="134"/>
  <c r="I371" i="134"/>
  <c r="H371" i="134"/>
  <c r="G371" i="134"/>
  <c r="F371" i="134"/>
  <c r="E371" i="134"/>
  <c r="D371" i="134"/>
  <c r="C371" i="134"/>
  <c r="A371" i="134"/>
  <c r="N370" i="134"/>
  <c r="M370" i="134"/>
  <c r="L370" i="134"/>
  <c r="K370" i="134"/>
  <c r="J370" i="134"/>
  <c r="I370" i="134"/>
  <c r="H370" i="134"/>
  <c r="G370" i="134"/>
  <c r="F370" i="134"/>
  <c r="E370" i="134"/>
  <c r="D370" i="134"/>
  <c r="C370" i="134"/>
  <c r="A370" i="134"/>
  <c r="N369" i="134"/>
  <c r="M369" i="134"/>
  <c r="L369" i="134"/>
  <c r="K369" i="134"/>
  <c r="J369" i="134"/>
  <c r="I369" i="134"/>
  <c r="H369" i="134"/>
  <c r="G369" i="134"/>
  <c r="F369" i="134"/>
  <c r="E369" i="134"/>
  <c r="D369" i="134"/>
  <c r="C369" i="134"/>
  <c r="N368" i="134"/>
  <c r="M368" i="134"/>
  <c r="L368" i="134"/>
  <c r="K368" i="134"/>
  <c r="J368" i="134"/>
  <c r="I368" i="134"/>
  <c r="H368" i="134"/>
  <c r="G368" i="134"/>
  <c r="F368" i="134"/>
  <c r="E368" i="134"/>
  <c r="D368" i="134"/>
  <c r="C368" i="134"/>
  <c r="N367" i="134"/>
  <c r="M367" i="134"/>
  <c r="L367" i="134"/>
  <c r="K367" i="134"/>
  <c r="J367" i="134"/>
  <c r="I367" i="134"/>
  <c r="H367" i="134"/>
  <c r="G367" i="134"/>
  <c r="F367" i="134"/>
  <c r="E367" i="134"/>
  <c r="D367" i="134"/>
  <c r="C367" i="134"/>
  <c r="A367" i="134"/>
  <c r="N366" i="134"/>
  <c r="M366" i="134"/>
  <c r="L366" i="134"/>
  <c r="K366" i="134"/>
  <c r="J366" i="134"/>
  <c r="I366" i="134"/>
  <c r="H366" i="134"/>
  <c r="G366" i="134"/>
  <c r="F366" i="134"/>
  <c r="E366" i="134"/>
  <c r="D366" i="134"/>
  <c r="C366" i="134"/>
  <c r="B366" i="134"/>
  <c r="N365" i="134"/>
  <c r="M365" i="134"/>
  <c r="L365" i="134"/>
  <c r="K365" i="134"/>
  <c r="J365" i="134"/>
  <c r="I365" i="134"/>
  <c r="H365" i="134"/>
  <c r="G365" i="134"/>
  <c r="F365" i="134"/>
  <c r="E365" i="134"/>
  <c r="D365" i="134"/>
  <c r="C365" i="134"/>
  <c r="B365" i="134"/>
  <c r="N364" i="134"/>
  <c r="M364" i="134"/>
  <c r="L364" i="134"/>
  <c r="K364" i="134"/>
  <c r="J364" i="134"/>
  <c r="I364" i="134"/>
  <c r="H364" i="134"/>
  <c r="G364" i="134"/>
  <c r="F364" i="134"/>
  <c r="E364" i="134"/>
  <c r="D364" i="134"/>
  <c r="C364" i="134"/>
  <c r="B364" i="134"/>
  <c r="N363" i="134"/>
  <c r="M363" i="134"/>
  <c r="L363" i="134"/>
  <c r="K363" i="134"/>
  <c r="J363" i="134"/>
  <c r="I363" i="134"/>
  <c r="H363" i="134"/>
  <c r="G363" i="134"/>
  <c r="F363" i="134"/>
  <c r="E363" i="134"/>
  <c r="D363" i="134"/>
  <c r="C363" i="134"/>
  <c r="B363" i="134"/>
  <c r="N362" i="134"/>
  <c r="M362" i="134"/>
  <c r="L362" i="134"/>
  <c r="K362" i="134"/>
  <c r="J362" i="134"/>
  <c r="I362" i="134"/>
  <c r="H362" i="134"/>
  <c r="G362" i="134"/>
  <c r="F362" i="134"/>
  <c r="E362" i="134"/>
  <c r="D362" i="134"/>
  <c r="C362" i="134"/>
  <c r="B362" i="134"/>
  <c r="N361" i="134"/>
  <c r="M361" i="134"/>
  <c r="L361" i="134"/>
  <c r="K361" i="134"/>
  <c r="J361" i="134"/>
  <c r="I361" i="134"/>
  <c r="H361" i="134"/>
  <c r="G361" i="134"/>
  <c r="F361" i="134"/>
  <c r="E361" i="134"/>
  <c r="D361" i="134"/>
  <c r="C361" i="134"/>
  <c r="B361" i="134"/>
  <c r="N360" i="134"/>
  <c r="M360" i="134"/>
  <c r="L360" i="134"/>
  <c r="K360" i="134"/>
  <c r="J360" i="134"/>
  <c r="I360" i="134"/>
  <c r="H360" i="134"/>
  <c r="G360" i="134"/>
  <c r="F360" i="134"/>
  <c r="E360" i="134"/>
  <c r="D360" i="134"/>
  <c r="C360" i="134"/>
  <c r="B360" i="134"/>
  <c r="N359" i="134"/>
  <c r="M359" i="134"/>
  <c r="L359" i="134"/>
  <c r="K359" i="134"/>
  <c r="J359" i="134"/>
  <c r="I359" i="134"/>
  <c r="H359" i="134"/>
  <c r="G359" i="134"/>
  <c r="F359" i="134"/>
  <c r="E359" i="134"/>
  <c r="D359" i="134"/>
  <c r="C359" i="134"/>
  <c r="B359" i="134"/>
  <c r="N358" i="134"/>
  <c r="M358" i="134"/>
  <c r="L358" i="134"/>
  <c r="K358" i="134"/>
  <c r="J358" i="134"/>
  <c r="I358" i="134"/>
  <c r="H358" i="134"/>
  <c r="G358" i="134"/>
  <c r="F358" i="134"/>
  <c r="E358" i="134"/>
  <c r="D358" i="134"/>
  <c r="C358" i="134"/>
  <c r="B358" i="134"/>
  <c r="N357" i="134"/>
  <c r="M357" i="134"/>
  <c r="L357" i="134"/>
  <c r="K357" i="134"/>
  <c r="J357" i="134"/>
  <c r="I357" i="134"/>
  <c r="H357" i="134"/>
  <c r="G357" i="134"/>
  <c r="F357" i="134"/>
  <c r="E357" i="134"/>
  <c r="D357" i="134"/>
  <c r="C357" i="134"/>
  <c r="B357" i="134"/>
  <c r="N356" i="134"/>
  <c r="M356" i="134"/>
  <c r="L356" i="134"/>
  <c r="K356" i="134"/>
  <c r="J356" i="134"/>
  <c r="I356" i="134"/>
  <c r="H356" i="134"/>
  <c r="G356" i="134"/>
  <c r="F356" i="134"/>
  <c r="E356" i="134"/>
  <c r="D356" i="134"/>
  <c r="C356" i="134"/>
  <c r="B356" i="134"/>
  <c r="N355" i="134"/>
  <c r="M355" i="134"/>
  <c r="L355" i="134"/>
  <c r="K355" i="134"/>
  <c r="J355" i="134"/>
  <c r="I355" i="134"/>
  <c r="H355" i="134"/>
  <c r="G355" i="134"/>
  <c r="F355" i="134"/>
  <c r="E355" i="134"/>
  <c r="D355" i="134"/>
  <c r="C355" i="134"/>
  <c r="B355" i="134"/>
  <c r="N351" i="134"/>
  <c r="M351" i="134"/>
  <c r="L351" i="134"/>
  <c r="K351" i="134"/>
  <c r="J351" i="134"/>
  <c r="I351" i="134"/>
  <c r="H351" i="134"/>
  <c r="G351" i="134"/>
  <c r="F351" i="134"/>
  <c r="E351" i="134"/>
  <c r="D351" i="134"/>
  <c r="C351" i="134"/>
  <c r="A351" i="134"/>
  <c r="N350" i="134"/>
  <c r="M350" i="134"/>
  <c r="L350" i="134"/>
  <c r="K350" i="134"/>
  <c r="J350" i="134"/>
  <c r="I350" i="134"/>
  <c r="H350" i="134"/>
  <c r="G350" i="134"/>
  <c r="F350" i="134"/>
  <c r="E350" i="134"/>
  <c r="D350" i="134"/>
  <c r="C350" i="134"/>
  <c r="B350" i="134"/>
  <c r="N349" i="134"/>
  <c r="M349" i="134"/>
  <c r="L349" i="134"/>
  <c r="K349" i="134"/>
  <c r="J349" i="134"/>
  <c r="I349" i="134"/>
  <c r="H349" i="134"/>
  <c r="G349" i="134"/>
  <c r="F349" i="134"/>
  <c r="E349" i="134"/>
  <c r="D349" i="134"/>
  <c r="C349" i="134"/>
  <c r="B349" i="134"/>
  <c r="N348" i="134"/>
  <c r="M348" i="134"/>
  <c r="L348" i="134"/>
  <c r="K348" i="134"/>
  <c r="J348" i="134"/>
  <c r="I348" i="134"/>
  <c r="H348" i="134"/>
  <c r="G348" i="134"/>
  <c r="F348" i="134"/>
  <c r="E348" i="134"/>
  <c r="D348" i="134"/>
  <c r="C348" i="134"/>
  <c r="B348" i="134"/>
  <c r="N347" i="134"/>
  <c r="M347" i="134"/>
  <c r="L347" i="134"/>
  <c r="K347" i="134"/>
  <c r="J347" i="134"/>
  <c r="I347" i="134"/>
  <c r="H347" i="134"/>
  <c r="G347" i="134"/>
  <c r="F347" i="134"/>
  <c r="E347" i="134"/>
  <c r="D347" i="134"/>
  <c r="C347" i="134"/>
  <c r="B347" i="134"/>
  <c r="N346" i="134"/>
  <c r="M346" i="134"/>
  <c r="L346" i="134"/>
  <c r="K346" i="134"/>
  <c r="J346" i="134"/>
  <c r="I346" i="134"/>
  <c r="H346" i="134"/>
  <c r="G346" i="134"/>
  <c r="F346" i="134"/>
  <c r="E346" i="134"/>
  <c r="D346" i="134"/>
  <c r="C346" i="134"/>
  <c r="B346" i="134"/>
  <c r="N345" i="134"/>
  <c r="M345" i="134"/>
  <c r="L345" i="134"/>
  <c r="K345" i="134"/>
  <c r="J345" i="134"/>
  <c r="I345" i="134"/>
  <c r="H345" i="134"/>
  <c r="G345" i="134"/>
  <c r="F345" i="134"/>
  <c r="E345" i="134"/>
  <c r="D345" i="134"/>
  <c r="C345" i="134"/>
  <c r="B345" i="134"/>
  <c r="N344" i="134"/>
  <c r="M344" i="134"/>
  <c r="L344" i="134"/>
  <c r="K344" i="134"/>
  <c r="J344" i="134"/>
  <c r="I344" i="134"/>
  <c r="H344" i="134"/>
  <c r="G344" i="134"/>
  <c r="F344" i="134"/>
  <c r="E344" i="134"/>
  <c r="D344" i="134"/>
  <c r="C344" i="134"/>
  <c r="B344" i="134"/>
  <c r="N343" i="134"/>
  <c r="M343" i="134"/>
  <c r="L343" i="134"/>
  <c r="K343" i="134"/>
  <c r="J343" i="134"/>
  <c r="I343" i="134"/>
  <c r="H343" i="134"/>
  <c r="G343" i="134"/>
  <c r="F343" i="134"/>
  <c r="E343" i="134"/>
  <c r="D343" i="134"/>
  <c r="C343" i="134"/>
  <c r="B343" i="134"/>
  <c r="N342" i="134"/>
  <c r="M342" i="134"/>
  <c r="L342" i="134"/>
  <c r="K342" i="134"/>
  <c r="J342" i="134"/>
  <c r="I342" i="134"/>
  <c r="H342" i="134"/>
  <c r="G342" i="134"/>
  <c r="F342" i="134"/>
  <c r="E342" i="134"/>
  <c r="D342" i="134"/>
  <c r="C342" i="134"/>
  <c r="B342" i="134"/>
  <c r="N341" i="134"/>
  <c r="M341" i="134"/>
  <c r="L341" i="134"/>
  <c r="K341" i="134"/>
  <c r="J341" i="134"/>
  <c r="I341" i="134"/>
  <c r="H341" i="134"/>
  <c r="G341" i="134"/>
  <c r="F341" i="134"/>
  <c r="E341" i="134"/>
  <c r="D341" i="134"/>
  <c r="C341" i="134"/>
  <c r="B341" i="134"/>
  <c r="N340" i="134"/>
  <c r="M340" i="134"/>
  <c r="L340" i="134"/>
  <c r="K340" i="134"/>
  <c r="J340" i="134"/>
  <c r="I340" i="134"/>
  <c r="H340" i="134"/>
  <c r="G340" i="134"/>
  <c r="F340" i="134"/>
  <c r="E340" i="134"/>
  <c r="D340" i="134"/>
  <c r="C340" i="134"/>
  <c r="B340" i="134"/>
  <c r="N339" i="134"/>
  <c r="M339" i="134"/>
  <c r="L339" i="134"/>
  <c r="K339" i="134"/>
  <c r="J339" i="134"/>
  <c r="I339" i="134"/>
  <c r="H339" i="134"/>
  <c r="G339" i="134"/>
  <c r="F339" i="134"/>
  <c r="E339" i="134"/>
  <c r="D339" i="134"/>
  <c r="C339" i="134"/>
  <c r="B339" i="134"/>
  <c r="N333" i="134"/>
  <c r="M333" i="134"/>
  <c r="L333" i="134"/>
  <c r="K333" i="134"/>
  <c r="J333" i="134"/>
  <c r="I333" i="134"/>
  <c r="H333" i="134"/>
  <c r="G333" i="134"/>
  <c r="F333" i="134"/>
  <c r="E333" i="134"/>
  <c r="D333" i="134"/>
  <c r="C333" i="134"/>
  <c r="A333" i="134"/>
  <c r="N332" i="134"/>
  <c r="M332" i="134"/>
  <c r="L332" i="134"/>
  <c r="K332" i="134"/>
  <c r="J332" i="134"/>
  <c r="I332" i="134"/>
  <c r="H332" i="134"/>
  <c r="G332" i="134"/>
  <c r="F332" i="134"/>
  <c r="E332" i="134"/>
  <c r="D332" i="134"/>
  <c r="C332" i="134"/>
  <c r="N331" i="134"/>
  <c r="M331" i="134"/>
  <c r="L331" i="134"/>
  <c r="K331" i="134"/>
  <c r="J331" i="134"/>
  <c r="I331" i="134"/>
  <c r="H331" i="134"/>
  <c r="G331" i="134"/>
  <c r="F331" i="134"/>
  <c r="E331" i="134"/>
  <c r="D331" i="134"/>
  <c r="C331" i="134"/>
  <c r="N330" i="134"/>
  <c r="M330" i="134"/>
  <c r="L330" i="134"/>
  <c r="K330" i="134"/>
  <c r="J330" i="134"/>
  <c r="I330" i="134"/>
  <c r="H330" i="134"/>
  <c r="G330" i="134"/>
  <c r="F330" i="134"/>
  <c r="E330" i="134"/>
  <c r="D330" i="134"/>
  <c r="C330" i="134"/>
  <c r="A330" i="134"/>
  <c r="N329" i="134"/>
  <c r="M329" i="134"/>
  <c r="L329" i="134"/>
  <c r="K329" i="134"/>
  <c r="J329" i="134"/>
  <c r="I329" i="134"/>
  <c r="H329" i="134"/>
  <c r="G329" i="134"/>
  <c r="F329" i="134"/>
  <c r="E329" i="134"/>
  <c r="D329" i="134"/>
  <c r="C329" i="134"/>
  <c r="B329" i="134"/>
  <c r="N328" i="134"/>
  <c r="M328" i="134"/>
  <c r="L328" i="134"/>
  <c r="K328" i="134"/>
  <c r="J328" i="134"/>
  <c r="I328" i="134"/>
  <c r="H328" i="134"/>
  <c r="G328" i="134"/>
  <c r="F328" i="134"/>
  <c r="E328" i="134"/>
  <c r="D328" i="134"/>
  <c r="C328" i="134"/>
  <c r="B328" i="134"/>
  <c r="N327" i="134"/>
  <c r="M327" i="134"/>
  <c r="L327" i="134"/>
  <c r="K327" i="134"/>
  <c r="J327" i="134"/>
  <c r="I327" i="134"/>
  <c r="H327" i="134"/>
  <c r="G327" i="134"/>
  <c r="F327" i="134"/>
  <c r="E327" i="134"/>
  <c r="D327" i="134"/>
  <c r="C327" i="134"/>
  <c r="B327" i="134"/>
  <c r="N326" i="134"/>
  <c r="M326" i="134"/>
  <c r="L326" i="134"/>
  <c r="K326" i="134"/>
  <c r="J326" i="134"/>
  <c r="I326" i="134"/>
  <c r="H326" i="134"/>
  <c r="G326" i="134"/>
  <c r="F326" i="134"/>
  <c r="E326" i="134"/>
  <c r="D326" i="134"/>
  <c r="C326" i="134"/>
  <c r="B326" i="134"/>
  <c r="N325" i="134"/>
  <c r="M325" i="134"/>
  <c r="L325" i="134"/>
  <c r="K325" i="134"/>
  <c r="J325" i="134"/>
  <c r="I325" i="134"/>
  <c r="H325" i="134"/>
  <c r="G325" i="134"/>
  <c r="F325" i="134"/>
  <c r="E325" i="134"/>
  <c r="D325" i="134"/>
  <c r="C325" i="134"/>
  <c r="B325" i="134"/>
  <c r="N324" i="134"/>
  <c r="M324" i="134"/>
  <c r="L324" i="134"/>
  <c r="K324" i="134"/>
  <c r="J324" i="134"/>
  <c r="I324" i="134"/>
  <c r="H324" i="134"/>
  <c r="G324" i="134"/>
  <c r="F324" i="134"/>
  <c r="E324" i="134"/>
  <c r="D324" i="134"/>
  <c r="C324" i="134"/>
  <c r="B324" i="134"/>
  <c r="N323" i="134"/>
  <c r="M323" i="134"/>
  <c r="L323" i="134"/>
  <c r="K323" i="134"/>
  <c r="J323" i="134"/>
  <c r="I323" i="134"/>
  <c r="H323" i="134"/>
  <c r="G323" i="134"/>
  <c r="F323" i="134"/>
  <c r="E323" i="134"/>
  <c r="D323" i="134"/>
  <c r="C323" i="134"/>
  <c r="B323" i="134"/>
  <c r="N322" i="134"/>
  <c r="M322" i="134"/>
  <c r="L322" i="134"/>
  <c r="K322" i="134"/>
  <c r="J322" i="134"/>
  <c r="I322" i="134"/>
  <c r="H322" i="134"/>
  <c r="G322" i="134"/>
  <c r="F322" i="134"/>
  <c r="E322" i="134"/>
  <c r="D322" i="134"/>
  <c r="C322" i="134"/>
  <c r="B322" i="134"/>
  <c r="N321" i="134"/>
  <c r="M321" i="134"/>
  <c r="L321" i="134"/>
  <c r="K321" i="134"/>
  <c r="J321" i="134"/>
  <c r="I321" i="134"/>
  <c r="H321" i="134"/>
  <c r="G321" i="134"/>
  <c r="F321" i="134"/>
  <c r="E321" i="134"/>
  <c r="D321" i="134"/>
  <c r="C321" i="134"/>
  <c r="B321" i="134"/>
  <c r="N320" i="134"/>
  <c r="M320" i="134"/>
  <c r="L320" i="134"/>
  <c r="K320" i="134"/>
  <c r="J320" i="134"/>
  <c r="I320" i="134"/>
  <c r="H320" i="134"/>
  <c r="G320" i="134"/>
  <c r="F320" i="134"/>
  <c r="E320" i="134"/>
  <c r="D320" i="134"/>
  <c r="C320" i="134"/>
  <c r="B320" i="134"/>
  <c r="N319" i="134"/>
  <c r="M319" i="134"/>
  <c r="L319" i="134"/>
  <c r="K319" i="134"/>
  <c r="J319" i="134"/>
  <c r="I319" i="134"/>
  <c r="H319" i="134"/>
  <c r="G319" i="134"/>
  <c r="F319" i="134"/>
  <c r="E319" i="134"/>
  <c r="D319" i="134"/>
  <c r="C319" i="134"/>
  <c r="B319" i="134"/>
  <c r="N318" i="134"/>
  <c r="M318" i="134"/>
  <c r="L318" i="134"/>
  <c r="K318" i="134"/>
  <c r="J318" i="134"/>
  <c r="I318" i="134"/>
  <c r="H318" i="134"/>
  <c r="G318" i="134"/>
  <c r="F318" i="134"/>
  <c r="E318" i="134"/>
  <c r="D318" i="134"/>
  <c r="C318" i="134"/>
  <c r="B318" i="134"/>
  <c r="N314" i="134"/>
  <c r="M314" i="134"/>
  <c r="L314" i="134"/>
  <c r="K314" i="134"/>
  <c r="J314" i="134"/>
  <c r="I314" i="134"/>
  <c r="H314" i="134"/>
  <c r="G314" i="134"/>
  <c r="F314" i="134"/>
  <c r="E314" i="134"/>
  <c r="D314" i="134"/>
  <c r="C314" i="134"/>
  <c r="A314" i="134"/>
  <c r="N313" i="134"/>
  <c r="M313" i="134"/>
  <c r="L313" i="134"/>
  <c r="K313" i="134"/>
  <c r="J313" i="134"/>
  <c r="I313" i="134"/>
  <c r="H313" i="134"/>
  <c r="G313" i="134"/>
  <c r="F313" i="134"/>
  <c r="E313" i="134"/>
  <c r="D313" i="134"/>
  <c r="C313" i="134"/>
  <c r="B313" i="134"/>
  <c r="N312" i="134"/>
  <c r="M312" i="134"/>
  <c r="L312" i="134"/>
  <c r="K312" i="134"/>
  <c r="J312" i="134"/>
  <c r="I312" i="134"/>
  <c r="H312" i="134"/>
  <c r="G312" i="134"/>
  <c r="F312" i="134"/>
  <c r="E312" i="134"/>
  <c r="D312" i="134"/>
  <c r="C312" i="134"/>
  <c r="B312" i="134"/>
  <c r="N311" i="134"/>
  <c r="M311" i="134"/>
  <c r="L311" i="134"/>
  <c r="K311" i="134"/>
  <c r="J311" i="134"/>
  <c r="I311" i="134"/>
  <c r="H311" i="134"/>
  <c r="G311" i="134"/>
  <c r="F311" i="134"/>
  <c r="E311" i="134"/>
  <c r="D311" i="134"/>
  <c r="C311" i="134"/>
  <c r="B311" i="134"/>
  <c r="N310" i="134"/>
  <c r="M310" i="134"/>
  <c r="L310" i="134"/>
  <c r="K310" i="134"/>
  <c r="J310" i="134"/>
  <c r="I310" i="134"/>
  <c r="H310" i="134"/>
  <c r="G310" i="134"/>
  <c r="F310" i="134"/>
  <c r="E310" i="134"/>
  <c r="D310" i="134"/>
  <c r="C310" i="134"/>
  <c r="B310" i="134"/>
  <c r="N309" i="134"/>
  <c r="M309" i="134"/>
  <c r="L309" i="134"/>
  <c r="K309" i="134"/>
  <c r="J309" i="134"/>
  <c r="I309" i="134"/>
  <c r="H309" i="134"/>
  <c r="G309" i="134"/>
  <c r="F309" i="134"/>
  <c r="E309" i="134"/>
  <c r="D309" i="134"/>
  <c r="C309" i="134"/>
  <c r="B309" i="134"/>
  <c r="N308" i="134"/>
  <c r="M308" i="134"/>
  <c r="L308" i="134"/>
  <c r="K308" i="134"/>
  <c r="J308" i="134"/>
  <c r="I308" i="134"/>
  <c r="H308" i="134"/>
  <c r="G308" i="134"/>
  <c r="F308" i="134"/>
  <c r="E308" i="134"/>
  <c r="D308" i="134"/>
  <c r="C308" i="134"/>
  <c r="B308" i="134"/>
  <c r="N307" i="134"/>
  <c r="M307" i="134"/>
  <c r="L307" i="134"/>
  <c r="K307" i="134"/>
  <c r="J307" i="134"/>
  <c r="I307" i="134"/>
  <c r="H307" i="134"/>
  <c r="G307" i="134"/>
  <c r="F307" i="134"/>
  <c r="E307" i="134"/>
  <c r="D307" i="134"/>
  <c r="C307" i="134"/>
  <c r="B307" i="134"/>
  <c r="N306" i="134"/>
  <c r="M306" i="134"/>
  <c r="L306" i="134"/>
  <c r="K306" i="134"/>
  <c r="J306" i="134"/>
  <c r="I306" i="134"/>
  <c r="H306" i="134"/>
  <c r="G306" i="134"/>
  <c r="F306" i="134"/>
  <c r="E306" i="134"/>
  <c r="D306" i="134"/>
  <c r="C306" i="134"/>
  <c r="B306" i="134"/>
  <c r="N305" i="134"/>
  <c r="M305" i="134"/>
  <c r="L305" i="134"/>
  <c r="K305" i="134"/>
  <c r="J305" i="134"/>
  <c r="I305" i="134"/>
  <c r="H305" i="134"/>
  <c r="G305" i="134"/>
  <c r="F305" i="134"/>
  <c r="E305" i="134"/>
  <c r="D305" i="134"/>
  <c r="C305" i="134"/>
  <c r="B305" i="134"/>
  <c r="N304" i="134"/>
  <c r="M304" i="134"/>
  <c r="L304" i="134"/>
  <c r="K304" i="134"/>
  <c r="J304" i="134"/>
  <c r="I304" i="134"/>
  <c r="H304" i="134"/>
  <c r="G304" i="134"/>
  <c r="F304" i="134"/>
  <c r="E304" i="134"/>
  <c r="D304" i="134"/>
  <c r="C304" i="134"/>
  <c r="B304" i="134"/>
  <c r="N303" i="134"/>
  <c r="M303" i="134"/>
  <c r="L303" i="134"/>
  <c r="K303" i="134"/>
  <c r="J303" i="134"/>
  <c r="I303" i="134"/>
  <c r="H303" i="134"/>
  <c r="G303" i="134"/>
  <c r="F303" i="134"/>
  <c r="E303" i="134"/>
  <c r="D303" i="134"/>
  <c r="C303" i="134"/>
  <c r="B303" i="134"/>
  <c r="N302" i="134"/>
  <c r="M302" i="134"/>
  <c r="L302" i="134"/>
  <c r="K302" i="134"/>
  <c r="J302" i="134"/>
  <c r="I302" i="134"/>
  <c r="H302" i="134"/>
  <c r="G302" i="134"/>
  <c r="F302" i="134"/>
  <c r="E302" i="134"/>
  <c r="D302" i="134"/>
  <c r="C302" i="134"/>
  <c r="B302" i="134"/>
  <c r="N296" i="134"/>
  <c r="M296" i="134"/>
  <c r="L296" i="134"/>
  <c r="K296" i="134"/>
  <c r="J296" i="134"/>
  <c r="I296" i="134"/>
  <c r="H296" i="134"/>
  <c r="G296" i="134"/>
  <c r="F296" i="134"/>
  <c r="E296" i="134"/>
  <c r="D296" i="134"/>
  <c r="C296" i="134"/>
  <c r="N294" i="134"/>
  <c r="M294" i="134"/>
  <c r="L294" i="134"/>
  <c r="K294" i="134"/>
  <c r="J294" i="134"/>
  <c r="I294" i="134"/>
  <c r="H294" i="134"/>
  <c r="G294" i="134"/>
  <c r="F294" i="134"/>
  <c r="E294" i="134"/>
  <c r="D294" i="134"/>
  <c r="C294" i="134"/>
  <c r="N293" i="134"/>
  <c r="M293" i="134"/>
  <c r="L293" i="134"/>
  <c r="K293" i="134"/>
  <c r="J293" i="134"/>
  <c r="I293" i="134"/>
  <c r="H293" i="134"/>
  <c r="G293" i="134"/>
  <c r="F293" i="134"/>
  <c r="E293" i="134"/>
  <c r="D293" i="134"/>
  <c r="C293" i="134"/>
  <c r="N290" i="134"/>
  <c r="M290" i="134"/>
  <c r="L290" i="134"/>
  <c r="K290" i="134"/>
  <c r="J290" i="134"/>
  <c r="I290" i="134"/>
  <c r="H290" i="134"/>
  <c r="G290" i="134"/>
  <c r="F290" i="134"/>
  <c r="E290" i="134"/>
  <c r="D290" i="134"/>
  <c r="C290" i="134"/>
  <c r="N289" i="134"/>
  <c r="M289" i="134"/>
  <c r="L289" i="134"/>
  <c r="K289" i="134"/>
  <c r="J289" i="134"/>
  <c r="I289" i="134"/>
  <c r="H289" i="134"/>
  <c r="G289" i="134"/>
  <c r="F289" i="134"/>
  <c r="E289" i="134"/>
  <c r="D289" i="134"/>
  <c r="C289" i="134"/>
  <c r="N283" i="134"/>
  <c r="M283" i="134"/>
  <c r="L283" i="134"/>
  <c r="K283" i="134"/>
  <c r="J283" i="134"/>
  <c r="I283" i="134"/>
  <c r="H283" i="134"/>
  <c r="G283" i="134"/>
  <c r="F283" i="134"/>
  <c r="E283" i="134"/>
  <c r="D283" i="134"/>
  <c r="C283" i="134"/>
  <c r="A283" i="134"/>
  <c r="N282" i="134"/>
  <c r="M282" i="134"/>
  <c r="L282" i="134"/>
  <c r="K282" i="134"/>
  <c r="J282" i="134"/>
  <c r="I282" i="134"/>
  <c r="H282" i="134"/>
  <c r="G282" i="134"/>
  <c r="F282" i="134"/>
  <c r="E282" i="134"/>
  <c r="D282" i="134"/>
  <c r="C282" i="134"/>
  <c r="N281" i="134"/>
  <c r="M281" i="134"/>
  <c r="L281" i="134"/>
  <c r="K281" i="134"/>
  <c r="J281" i="134"/>
  <c r="I281" i="134"/>
  <c r="H281" i="134"/>
  <c r="G281" i="134"/>
  <c r="F281" i="134"/>
  <c r="E281" i="134"/>
  <c r="D281" i="134"/>
  <c r="C281" i="134"/>
  <c r="N280" i="134"/>
  <c r="M280" i="134"/>
  <c r="L280" i="134"/>
  <c r="K280" i="134"/>
  <c r="J280" i="134"/>
  <c r="I280" i="134"/>
  <c r="H280" i="134"/>
  <c r="G280" i="134"/>
  <c r="F280" i="134"/>
  <c r="E280" i="134"/>
  <c r="D280" i="134"/>
  <c r="C280" i="134"/>
  <c r="N279" i="134"/>
  <c r="M279" i="134"/>
  <c r="L279" i="134"/>
  <c r="K279" i="134"/>
  <c r="J279" i="134"/>
  <c r="I279" i="134"/>
  <c r="H279" i="134"/>
  <c r="G279" i="134"/>
  <c r="F279" i="134"/>
  <c r="E279" i="134"/>
  <c r="D279" i="134"/>
  <c r="C279" i="134"/>
  <c r="N278" i="134"/>
  <c r="M278" i="134"/>
  <c r="L278" i="134"/>
  <c r="K278" i="134"/>
  <c r="J278" i="134"/>
  <c r="I278" i="134"/>
  <c r="H278" i="134"/>
  <c r="G278" i="134"/>
  <c r="F278" i="134"/>
  <c r="E278" i="134"/>
  <c r="D278" i="134"/>
  <c r="C278" i="134"/>
  <c r="N274" i="134"/>
  <c r="M274" i="134"/>
  <c r="L274" i="134"/>
  <c r="K274" i="134"/>
  <c r="J274" i="134"/>
  <c r="I274" i="134"/>
  <c r="H274" i="134"/>
  <c r="G274" i="134"/>
  <c r="F274" i="134"/>
  <c r="E274" i="134"/>
  <c r="D274" i="134"/>
  <c r="C274" i="134"/>
  <c r="A274" i="134"/>
  <c r="N273" i="134"/>
  <c r="M273" i="134"/>
  <c r="L273" i="134"/>
  <c r="K273" i="134"/>
  <c r="J273" i="134"/>
  <c r="I273" i="134"/>
  <c r="H273" i="134"/>
  <c r="G273" i="134"/>
  <c r="F273" i="134"/>
  <c r="E273" i="134"/>
  <c r="D273" i="134"/>
  <c r="C273" i="134"/>
  <c r="B273" i="134"/>
  <c r="N272" i="134"/>
  <c r="M272" i="134"/>
  <c r="L272" i="134"/>
  <c r="K272" i="134"/>
  <c r="J272" i="134"/>
  <c r="I272" i="134"/>
  <c r="H272" i="134"/>
  <c r="G272" i="134"/>
  <c r="F272" i="134"/>
  <c r="E272" i="134"/>
  <c r="D272" i="134"/>
  <c r="C272" i="134"/>
  <c r="B272" i="134"/>
  <c r="N271" i="134"/>
  <c r="M271" i="134"/>
  <c r="L271" i="134"/>
  <c r="K271" i="134"/>
  <c r="J271" i="134"/>
  <c r="I271" i="134"/>
  <c r="H271" i="134"/>
  <c r="G271" i="134"/>
  <c r="F271" i="134"/>
  <c r="E271" i="134"/>
  <c r="D271" i="134"/>
  <c r="C271" i="134"/>
  <c r="B271" i="134"/>
  <c r="N270" i="134"/>
  <c r="M270" i="134"/>
  <c r="L270" i="134"/>
  <c r="K270" i="134"/>
  <c r="J270" i="134"/>
  <c r="I270" i="134"/>
  <c r="H270" i="134"/>
  <c r="G270" i="134"/>
  <c r="F270" i="134"/>
  <c r="E270" i="134"/>
  <c r="D270" i="134"/>
  <c r="C270" i="134"/>
  <c r="B270" i="134"/>
  <c r="N269" i="134"/>
  <c r="M269" i="134"/>
  <c r="L269" i="134"/>
  <c r="K269" i="134"/>
  <c r="J269" i="134"/>
  <c r="I269" i="134"/>
  <c r="H269" i="134"/>
  <c r="G269" i="134"/>
  <c r="F269" i="134"/>
  <c r="E269" i="134"/>
  <c r="D269" i="134"/>
  <c r="C269" i="134"/>
  <c r="B269" i="134"/>
  <c r="N268" i="134"/>
  <c r="M268" i="134"/>
  <c r="L268" i="134"/>
  <c r="K268" i="134"/>
  <c r="J268" i="134"/>
  <c r="I268" i="134"/>
  <c r="H268" i="134"/>
  <c r="G268" i="134"/>
  <c r="F268" i="134"/>
  <c r="E268" i="134"/>
  <c r="D268" i="134"/>
  <c r="C268" i="134"/>
  <c r="B268" i="134"/>
  <c r="N267" i="134"/>
  <c r="M267" i="134"/>
  <c r="L267" i="134"/>
  <c r="K267" i="134"/>
  <c r="J267" i="134"/>
  <c r="I267" i="134"/>
  <c r="H267" i="134"/>
  <c r="G267" i="134"/>
  <c r="F267" i="134"/>
  <c r="E267" i="134"/>
  <c r="D267" i="134"/>
  <c r="C267" i="134"/>
  <c r="B267" i="134"/>
  <c r="N266" i="134"/>
  <c r="M266" i="134"/>
  <c r="L266" i="134"/>
  <c r="K266" i="134"/>
  <c r="J266" i="134"/>
  <c r="I266" i="134"/>
  <c r="H266" i="134"/>
  <c r="G266" i="134"/>
  <c r="F266" i="134"/>
  <c r="E266" i="134"/>
  <c r="D266" i="134"/>
  <c r="C266" i="134"/>
  <c r="B266" i="134"/>
  <c r="N265" i="134"/>
  <c r="M265" i="134"/>
  <c r="L265" i="134"/>
  <c r="K265" i="134"/>
  <c r="J265" i="134"/>
  <c r="I265" i="134"/>
  <c r="H265" i="134"/>
  <c r="G265" i="134"/>
  <c r="F265" i="134"/>
  <c r="E265" i="134"/>
  <c r="D265" i="134"/>
  <c r="C265" i="134"/>
  <c r="B265" i="134"/>
  <c r="N264" i="134"/>
  <c r="M264" i="134"/>
  <c r="L264" i="134"/>
  <c r="K264" i="134"/>
  <c r="J264" i="134"/>
  <c r="I264" i="134"/>
  <c r="H264" i="134"/>
  <c r="G264" i="134"/>
  <c r="F264" i="134"/>
  <c r="E264" i="134"/>
  <c r="D264" i="134"/>
  <c r="C264" i="134"/>
  <c r="B264" i="134"/>
  <c r="N263" i="134"/>
  <c r="M263" i="134"/>
  <c r="L263" i="134"/>
  <c r="K263" i="134"/>
  <c r="J263" i="134"/>
  <c r="I263" i="134"/>
  <c r="H263" i="134"/>
  <c r="G263" i="134"/>
  <c r="F263" i="134"/>
  <c r="E263" i="134"/>
  <c r="D263" i="134"/>
  <c r="C263" i="134"/>
  <c r="B263" i="134"/>
  <c r="N262" i="134"/>
  <c r="M262" i="134"/>
  <c r="L262" i="134"/>
  <c r="K262" i="134"/>
  <c r="J262" i="134"/>
  <c r="I262" i="134"/>
  <c r="H262" i="134"/>
  <c r="G262" i="134"/>
  <c r="F262" i="134"/>
  <c r="E262" i="134"/>
  <c r="D262" i="134"/>
  <c r="C262" i="134"/>
  <c r="B262" i="134"/>
  <c r="N258" i="134"/>
  <c r="M258" i="134"/>
  <c r="L258" i="134"/>
  <c r="K258" i="134"/>
  <c r="J258" i="134"/>
  <c r="I258" i="134"/>
  <c r="H258" i="134"/>
  <c r="G258" i="134"/>
  <c r="F258" i="134"/>
  <c r="E258" i="134"/>
  <c r="D258" i="134"/>
  <c r="C258" i="134"/>
  <c r="A258" i="134"/>
  <c r="N257" i="134"/>
  <c r="M257" i="134"/>
  <c r="L257" i="134"/>
  <c r="K257" i="134"/>
  <c r="J257" i="134"/>
  <c r="I257" i="134"/>
  <c r="H257" i="134"/>
  <c r="G257" i="134"/>
  <c r="F257" i="134"/>
  <c r="E257" i="134"/>
  <c r="D257" i="134"/>
  <c r="C257" i="134"/>
  <c r="B257" i="134"/>
  <c r="N256" i="134"/>
  <c r="M256" i="134"/>
  <c r="L256" i="134"/>
  <c r="K256" i="134"/>
  <c r="J256" i="134"/>
  <c r="I256" i="134"/>
  <c r="H256" i="134"/>
  <c r="G256" i="134"/>
  <c r="F256" i="134"/>
  <c r="E256" i="134"/>
  <c r="D256" i="134"/>
  <c r="C256" i="134"/>
  <c r="B256" i="134"/>
  <c r="N255" i="134"/>
  <c r="M255" i="134"/>
  <c r="L255" i="134"/>
  <c r="K255" i="134"/>
  <c r="J255" i="134"/>
  <c r="I255" i="134"/>
  <c r="H255" i="134"/>
  <c r="G255" i="134"/>
  <c r="F255" i="134"/>
  <c r="E255" i="134"/>
  <c r="D255" i="134"/>
  <c r="C255" i="134"/>
  <c r="B255" i="134"/>
  <c r="N254" i="134"/>
  <c r="M254" i="134"/>
  <c r="L254" i="134"/>
  <c r="K254" i="134"/>
  <c r="J254" i="134"/>
  <c r="I254" i="134"/>
  <c r="H254" i="134"/>
  <c r="G254" i="134"/>
  <c r="F254" i="134"/>
  <c r="E254" i="134"/>
  <c r="D254" i="134"/>
  <c r="C254" i="134"/>
  <c r="B254" i="134"/>
  <c r="N253" i="134"/>
  <c r="M253" i="134"/>
  <c r="L253" i="134"/>
  <c r="K253" i="134"/>
  <c r="J253" i="134"/>
  <c r="I253" i="134"/>
  <c r="H253" i="134"/>
  <c r="G253" i="134"/>
  <c r="F253" i="134"/>
  <c r="E253" i="134"/>
  <c r="D253" i="134"/>
  <c r="C253" i="134"/>
  <c r="B253" i="134"/>
  <c r="N252" i="134"/>
  <c r="M252" i="134"/>
  <c r="L252" i="134"/>
  <c r="K252" i="134"/>
  <c r="J252" i="134"/>
  <c r="I252" i="134"/>
  <c r="H252" i="134"/>
  <c r="G252" i="134"/>
  <c r="F252" i="134"/>
  <c r="E252" i="134"/>
  <c r="D252" i="134"/>
  <c r="C252" i="134"/>
  <c r="B252" i="134"/>
  <c r="N251" i="134"/>
  <c r="M251" i="134"/>
  <c r="L251" i="134"/>
  <c r="K251" i="134"/>
  <c r="J251" i="134"/>
  <c r="I251" i="134"/>
  <c r="H251" i="134"/>
  <c r="G251" i="134"/>
  <c r="F251" i="134"/>
  <c r="E251" i="134"/>
  <c r="D251" i="134"/>
  <c r="C251" i="134"/>
  <c r="B251" i="134"/>
  <c r="N250" i="134"/>
  <c r="M250" i="134"/>
  <c r="L250" i="134"/>
  <c r="K250" i="134"/>
  <c r="J250" i="134"/>
  <c r="I250" i="134"/>
  <c r="H250" i="134"/>
  <c r="G250" i="134"/>
  <c r="F250" i="134"/>
  <c r="E250" i="134"/>
  <c r="D250" i="134"/>
  <c r="C250" i="134"/>
  <c r="B250" i="134"/>
  <c r="N249" i="134"/>
  <c r="M249" i="134"/>
  <c r="L249" i="134"/>
  <c r="K249" i="134"/>
  <c r="J249" i="134"/>
  <c r="I249" i="134"/>
  <c r="H249" i="134"/>
  <c r="G249" i="134"/>
  <c r="F249" i="134"/>
  <c r="E249" i="134"/>
  <c r="D249" i="134"/>
  <c r="C249" i="134"/>
  <c r="B249" i="134"/>
  <c r="N248" i="134"/>
  <c r="M248" i="134"/>
  <c r="L248" i="134"/>
  <c r="K248" i="134"/>
  <c r="J248" i="134"/>
  <c r="I248" i="134"/>
  <c r="H248" i="134"/>
  <c r="G248" i="134"/>
  <c r="F248" i="134"/>
  <c r="E248" i="134"/>
  <c r="D248" i="134"/>
  <c r="C248" i="134"/>
  <c r="B248" i="134"/>
  <c r="N247" i="134"/>
  <c r="M247" i="134"/>
  <c r="L247" i="134"/>
  <c r="K247" i="134"/>
  <c r="J247" i="134"/>
  <c r="I247" i="134"/>
  <c r="H247" i="134"/>
  <c r="G247" i="134"/>
  <c r="F247" i="134"/>
  <c r="E247" i="134"/>
  <c r="D247" i="134"/>
  <c r="C247" i="134"/>
  <c r="B247" i="134"/>
  <c r="N246" i="134"/>
  <c r="M246" i="134"/>
  <c r="L246" i="134"/>
  <c r="K246" i="134"/>
  <c r="J246" i="134"/>
  <c r="I246" i="134"/>
  <c r="H246" i="134"/>
  <c r="G246" i="134"/>
  <c r="F246" i="134"/>
  <c r="E246" i="134"/>
  <c r="D246" i="134"/>
  <c r="C246" i="134"/>
  <c r="B246" i="134"/>
  <c r="N240" i="134"/>
  <c r="M240" i="134"/>
  <c r="L240" i="134"/>
  <c r="K240" i="134"/>
  <c r="J240" i="134"/>
  <c r="I240" i="134"/>
  <c r="H240" i="134"/>
  <c r="G240" i="134"/>
  <c r="F240" i="134"/>
  <c r="E240" i="134"/>
  <c r="D240" i="134"/>
  <c r="C240" i="134"/>
  <c r="A240" i="134"/>
  <c r="N239" i="134"/>
  <c r="M239" i="134"/>
  <c r="L239" i="134"/>
  <c r="K239" i="134"/>
  <c r="J239" i="134"/>
  <c r="I239" i="134"/>
  <c r="H239" i="134"/>
  <c r="G239" i="134"/>
  <c r="F239" i="134"/>
  <c r="E239" i="134"/>
  <c r="D239" i="134"/>
  <c r="C239" i="134"/>
  <c r="B239" i="134"/>
  <c r="N238" i="134"/>
  <c r="M238" i="134"/>
  <c r="L238" i="134"/>
  <c r="K238" i="134"/>
  <c r="J238" i="134"/>
  <c r="I238" i="134"/>
  <c r="H238" i="134"/>
  <c r="G238" i="134"/>
  <c r="F238" i="134"/>
  <c r="E238" i="134"/>
  <c r="D238" i="134"/>
  <c r="C238" i="134"/>
  <c r="B238" i="134"/>
  <c r="N237" i="134"/>
  <c r="M237" i="134"/>
  <c r="L237" i="134"/>
  <c r="K237" i="134"/>
  <c r="J237" i="134"/>
  <c r="I237" i="134"/>
  <c r="H237" i="134"/>
  <c r="G237" i="134"/>
  <c r="F237" i="134"/>
  <c r="E237" i="134"/>
  <c r="D237" i="134"/>
  <c r="C237" i="134"/>
  <c r="B237" i="134"/>
  <c r="N236" i="134"/>
  <c r="M236" i="134"/>
  <c r="L236" i="134"/>
  <c r="K236" i="134"/>
  <c r="J236" i="134"/>
  <c r="I236" i="134"/>
  <c r="H236" i="134"/>
  <c r="G236" i="134"/>
  <c r="F236" i="134"/>
  <c r="E236" i="134"/>
  <c r="D236" i="134"/>
  <c r="C236" i="134"/>
  <c r="B236" i="134"/>
  <c r="N235" i="134"/>
  <c r="M235" i="134"/>
  <c r="L235" i="134"/>
  <c r="K235" i="134"/>
  <c r="J235" i="134"/>
  <c r="I235" i="134"/>
  <c r="H235" i="134"/>
  <c r="G235" i="134"/>
  <c r="F235" i="134"/>
  <c r="E235" i="134"/>
  <c r="D235" i="134"/>
  <c r="C235" i="134"/>
  <c r="B235" i="134"/>
  <c r="N234" i="134"/>
  <c r="M234" i="134"/>
  <c r="L234" i="134"/>
  <c r="K234" i="134"/>
  <c r="J234" i="134"/>
  <c r="I234" i="134"/>
  <c r="H234" i="134"/>
  <c r="G234" i="134"/>
  <c r="F234" i="134"/>
  <c r="E234" i="134"/>
  <c r="D234" i="134"/>
  <c r="C234" i="134"/>
  <c r="B234" i="134"/>
  <c r="N233" i="134"/>
  <c r="M233" i="134"/>
  <c r="L233" i="134"/>
  <c r="K233" i="134"/>
  <c r="J233" i="134"/>
  <c r="I233" i="134"/>
  <c r="H233" i="134"/>
  <c r="G233" i="134"/>
  <c r="F233" i="134"/>
  <c r="E233" i="134"/>
  <c r="D233" i="134"/>
  <c r="C233" i="134"/>
  <c r="B233" i="134"/>
  <c r="N232" i="134"/>
  <c r="M232" i="134"/>
  <c r="L232" i="134"/>
  <c r="K232" i="134"/>
  <c r="J232" i="134"/>
  <c r="I232" i="134"/>
  <c r="H232" i="134"/>
  <c r="G232" i="134"/>
  <c r="F232" i="134"/>
  <c r="E232" i="134"/>
  <c r="D232" i="134"/>
  <c r="C232" i="134"/>
  <c r="B232" i="134"/>
  <c r="N231" i="134"/>
  <c r="M231" i="134"/>
  <c r="L231" i="134"/>
  <c r="K231" i="134"/>
  <c r="J231" i="134"/>
  <c r="I231" i="134"/>
  <c r="H231" i="134"/>
  <c r="G231" i="134"/>
  <c r="F231" i="134"/>
  <c r="E231" i="134"/>
  <c r="D231" i="134"/>
  <c r="C231" i="134"/>
  <c r="B231" i="134"/>
  <c r="N230" i="134"/>
  <c r="M230" i="134"/>
  <c r="L230" i="134"/>
  <c r="K230" i="134"/>
  <c r="J230" i="134"/>
  <c r="I230" i="134"/>
  <c r="H230" i="134"/>
  <c r="G230" i="134"/>
  <c r="F230" i="134"/>
  <c r="E230" i="134"/>
  <c r="D230" i="134"/>
  <c r="C230" i="134"/>
  <c r="B230" i="134"/>
  <c r="N229" i="134"/>
  <c r="M229" i="134"/>
  <c r="L229" i="134"/>
  <c r="K229" i="134"/>
  <c r="J229" i="134"/>
  <c r="I229" i="134"/>
  <c r="H229" i="134"/>
  <c r="G229" i="134"/>
  <c r="F229" i="134"/>
  <c r="E229" i="134"/>
  <c r="D229" i="134"/>
  <c r="C229" i="134"/>
  <c r="B229" i="134"/>
  <c r="N228" i="134"/>
  <c r="M228" i="134"/>
  <c r="L228" i="134"/>
  <c r="K228" i="134"/>
  <c r="J228" i="134"/>
  <c r="I228" i="134"/>
  <c r="H228" i="134"/>
  <c r="G228" i="134"/>
  <c r="F228" i="134"/>
  <c r="E228" i="134"/>
  <c r="D228" i="134"/>
  <c r="C228" i="134"/>
  <c r="B228" i="134"/>
  <c r="N224" i="134"/>
  <c r="M224" i="134"/>
  <c r="L224" i="134"/>
  <c r="K224" i="134"/>
  <c r="J224" i="134"/>
  <c r="I224" i="134"/>
  <c r="H224" i="134"/>
  <c r="G224" i="134"/>
  <c r="F224" i="134"/>
  <c r="E224" i="134"/>
  <c r="D224" i="134"/>
  <c r="C224" i="134"/>
  <c r="A224" i="134"/>
  <c r="N223" i="134"/>
  <c r="M223" i="134"/>
  <c r="L223" i="134"/>
  <c r="K223" i="134"/>
  <c r="J223" i="134"/>
  <c r="I223" i="134"/>
  <c r="H223" i="134"/>
  <c r="G223" i="134"/>
  <c r="F223" i="134"/>
  <c r="E223" i="134"/>
  <c r="D223" i="134"/>
  <c r="C223" i="134"/>
  <c r="B223" i="134"/>
  <c r="N222" i="134"/>
  <c r="M222" i="134"/>
  <c r="L222" i="134"/>
  <c r="K222" i="134"/>
  <c r="J222" i="134"/>
  <c r="I222" i="134"/>
  <c r="H222" i="134"/>
  <c r="G222" i="134"/>
  <c r="F222" i="134"/>
  <c r="E222" i="134"/>
  <c r="D222" i="134"/>
  <c r="C222" i="134"/>
  <c r="B222" i="134"/>
  <c r="N221" i="134"/>
  <c r="M221" i="134"/>
  <c r="L221" i="134"/>
  <c r="K221" i="134"/>
  <c r="J221" i="134"/>
  <c r="I221" i="134"/>
  <c r="H221" i="134"/>
  <c r="G221" i="134"/>
  <c r="F221" i="134"/>
  <c r="E221" i="134"/>
  <c r="D221" i="134"/>
  <c r="C221" i="134"/>
  <c r="B221" i="134"/>
  <c r="N220" i="134"/>
  <c r="M220" i="134"/>
  <c r="L220" i="134"/>
  <c r="K220" i="134"/>
  <c r="J220" i="134"/>
  <c r="I220" i="134"/>
  <c r="H220" i="134"/>
  <c r="G220" i="134"/>
  <c r="F220" i="134"/>
  <c r="E220" i="134"/>
  <c r="D220" i="134"/>
  <c r="C220" i="134"/>
  <c r="B220" i="134"/>
  <c r="N219" i="134"/>
  <c r="M219" i="134"/>
  <c r="L219" i="134"/>
  <c r="K219" i="134"/>
  <c r="J219" i="134"/>
  <c r="I219" i="134"/>
  <c r="H219" i="134"/>
  <c r="G219" i="134"/>
  <c r="F219" i="134"/>
  <c r="E219" i="134"/>
  <c r="D219" i="134"/>
  <c r="C219" i="134"/>
  <c r="B219" i="134"/>
  <c r="N218" i="134"/>
  <c r="M218" i="134"/>
  <c r="L218" i="134"/>
  <c r="K218" i="134"/>
  <c r="J218" i="134"/>
  <c r="I218" i="134"/>
  <c r="H218" i="134"/>
  <c r="G218" i="134"/>
  <c r="F218" i="134"/>
  <c r="E218" i="134"/>
  <c r="D218" i="134"/>
  <c r="C218" i="134"/>
  <c r="B218" i="134"/>
  <c r="N217" i="134"/>
  <c r="M217" i="134"/>
  <c r="L217" i="134"/>
  <c r="K217" i="134"/>
  <c r="J217" i="134"/>
  <c r="I217" i="134"/>
  <c r="H217" i="134"/>
  <c r="G217" i="134"/>
  <c r="F217" i="134"/>
  <c r="E217" i="134"/>
  <c r="D217" i="134"/>
  <c r="C217" i="134"/>
  <c r="B217" i="134"/>
  <c r="N216" i="134"/>
  <c r="M216" i="134"/>
  <c r="L216" i="134"/>
  <c r="K216" i="134"/>
  <c r="J216" i="134"/>
  <c r="I216" i="134"/>
  <c r="H216" i="134"/>
  <c r="G216" i="134"/>
  <c r="F216" i="134"/>
  <c r="E216" i="134"/>
  <c r="D216" i="134"/>
  <c r="C216" i="134"/>
  <c r="B216" i="134"/>
  <c r="N215" i="134"/>
  <c r="M215" i="134"/>
  <c r="L215" i="134"/>
  <c r="K215" i="134"/>
  <c r="J215" i="134"/>
  <c r="I215" i="134"/>
  <c r="H215" i="134"/>
  <c r="G215" i="134"/>
  <c r="F215" i="134"/>
  <c r="E215" i="134"/>
  <c r="D215" i="134"/>
  <c r="C215" i="134"/>
  <c r="B215" i="134"/>
  <c r="N214" i="134"/>
  <c r="M214" i="134"/>
  <c r="L214" i="134"/>
  <c r="K214" i="134"/>
  <c r="J214" i="134"/>
  <c r="I214" i="134"/>
  <c r="H214" i="134"/>
  <c r="G214" i="134"/>
  <c r="F214" i="134"/>
  <c r="E214" i="134"/>
  <c r="D214" i="134"/>
  <c r="C214" i="134"/>
  <c r="B214" i="134"/>
  <c r="N213" i="134"/>
  <c r="M213" i="134"/>
  <c r="L213" i="134"/>
  <c r="K213" i="134"/>
  <c r="J213" i="134"/>
  <c r="I213" i="134"/>
  <c r="H213" i="134"/>
  <c r="G213" i="134"/>
  <c r="F213" i="134"/>
  <c r="E213" i="134"/>
  <c r="D213" i="134"/>
  <c r="C213" i="134"/>
  <c r="B213" i="134"/>
  <c r="N212" i="134"/>
  <c r="M212" i="134"/>
  <c r="L212" i="134"/>
  <c r="K212" i="134"/>
  <c r="J212" i="134"/>
  <c r="I212" i="134"/>
  <c r="H212" i="134"/>
  <c r="G212" i="134"/>
  <c r="F212" i="134"/>
  <c r="E212" i="134"/>
  <c r="D212" i="134"/>
  <c r="C212" i="134"/>
  <c r="B212" i="134"/>
  <c r="N206" i="134"/>
  <c r="M206" i="134"/>
  <c r="L206" i="134"/>
  <c r="K206" i="134"/>
  <c r="J206" i="134"/>
  <c r="I206" i="134"/>
  <c r="H206" i="134"/>
  <c r="G206" i="134"/>
  <c r="F206" i="134"/>
  <c r="E206" i="134"/>
  <c r="D206" i="134"/>
  <c r="C206" i="134"/>
  <c r="A206" i="134"/>
  <c r="N205" i="134"/>
  <c r="M205" i="134"/>
  <c r="L205" i="134"/>
  <c r="K205" i="134"/>
  <c r="J205" i="134"/>
  <c r="I205" i="134"/>
  <c r="H205" i="134"/>
  <c r="G205" i="134"/>
  <c r="F205" i="134"/>
  <c r="E205" i="134"/>
  <c r="D205" i="134"/>
  <c r="C205" i="134"/>
  <c r="B205" i="134"/>
  <c r="N204" i="134"/>
  <c r="M204" i="134"/>
  <c r="L204" i="134"/>
  <c r="K204" i="134"/>
  <c r="J204" i="134"/>
  <c r="I204" i="134"/>
  <c r="H204" i="134"/>
  <c r="G204" i="134"/>
  <c r="F204" i="134"/>
  <c r="E204" i="134"/>
  <c r="D204" i="134"/>
  <c r="C204" i="134"/>
  <c r="B204" i="134"/>
  <c r="N203" i="134"/>
  <c r="M203" i="134"/>
  <c r="L203" i="134"/>
  <c r="K203" i="134"/>
  <c r="J203" i="134"/>
  <c r="I203" i="134"/>
  <c r="H203" i="134"/>
  <c r="G203" i="134"/>
  <c r="F203" i="134"/>
  <c r="E203" i="134"/>
  <c r="D203" i="134"/>
  <c r="C203" i="134"/>
  <c r="B203" i="134"/>
  <c r="N202" i="134"/>
  <c r="M202" i="134"/>
  <c r="L202" i="134"/>
  <c r="K202" i="134"/>
  <c r="J202" i="134"/>
  <c r="I202" i="134"/>
  <c r="H202" i="134"/>
  <c r="G202" i="134"/>
  <c r="F202" i="134"/>
  <c r="E202" i="134"/>
  <c r="D202" i="134"/>
  <c r="C202" i="134"/>
  <c r="B202" i="134"/>
  <c r="N201" i="134"/>
  <c r="M201" i="134"/>
  <c r="L201" i="134"/>
  <c r="K201" i="134"/>
  <c r="J201" i="134"/>
  <c r="I201" i="134"/>
  <c r="H201" i="134"/>
  <c r="G201" i="134"/>
  <c r="F201" i="134"/>
  <c r="E201" i="134"/>
  <c r="D201" i="134"/>
  <c r="C201" i="134"/>
  <c r="B201" i="134"/>
  <c r="N200" i="134"/>
  <c r="M200" i="134"/>
  <c r="L200" i="134"/>
  <c r="K200" i="134"/>
  <c r="J200" i="134"/>
  <c r="I200" i="134"/>
  <c r="H200" i="134"/>
  <c r="G200" i="134"/>
  <c r="F200" i="134"/>
  <c r="E200" i="134"/>
  <c r="D200" i="134"/>
  <c r="C200" i="134"/>
  <c r="B200" i="134"/>
  <c r="N199" i="134"/>
  <c r="M199" i="134"/>
  <c r="L199" i="134"/>
  <c r="K199" i="134"/>
  <c r="J199" i="134"/>
  <c r="I199" i="134"/>
  <c r="H199" i="134"/>
  <c r="G199" i="134"/>
  <c r="F199" i="134"/>
  <c r="E199" i="134"/>
  <c r="D199" i="134"/>
  <c r="C199" i="134"/>
  <c r="B199" i="134"/>
  <c r="N198" i="134"/>
  <c r="M198" i="134"/>
  <c r="L198" i="134"/>
  <c r="K198" i="134"/>
  <c r="J198" i="134"/>
  <c r="I198" i="134"/>
  <c r="H198" i="134"/>
  <c r="G198" i="134"/>
  <c r="F198" i="134"/>
  <c r="E198" i="134"/>
  <c r="D198" i="134"/>
  <c r="C198" i="134"/>
  <c r="B198" i="134"/>
  <c r="N197" i="134"/>
  <c r="M197" i="134"/>
  <c r="L197" i="134"/>
  <c r="K197" i="134"/>
  <c r="J197" i="134"/>
  <c r="I197" i="134"/>
  <c r="H197" i="134"/>
  <c r="G197" i="134"/>
  <c r="F197" i="134"/>
  <c r="E197" i="134"/>
  <c r="D197" i="134"/>
  <c r="C197" i="134"/>
  <c r="B197" i="134"/>
  <c r="N196" i="134"/>
  <c r="M196" i="134"/>
  <c r="L196" i="134"/>
  <c r="K196" i="134"/>
  <c r="J196" i="134"/>
  <c r="I196" i="134"/>
  <c r="H196" i="134"/>
  <c r="G196" i="134"/>
  <c r="F196" i="134"/>
  <c r="E196" i="134"/>
  <c r="D196" i="134"/>
  <c r="C196" i="134"/>
  <c r="B196" i="134"/>
  <c r="N195" i="134"/>
  <c r="M195" i="134"/>
  <c r="L195" i="134"/>
  <c r="K195" i="134"/>
  <c r="J195" i="134"/>
  <c r="I195" i="134"/>
  <c r="H195" i="134"/>
  <c r="G195" i="134"/>
  <c r="F195" i="134"/>
  <c r="E195" i="134"/>
  <c r="D195" i="134"/>
  <c r="C195" i="134"/>
  <c r="B195" i="134"/>
  <c r="N194" i="134"/>
  <c r="M194" i="134"/>
  <c r="L194" i="134"/>
  <c r="K194" i="134"/>
  <c r="J194" i="134"/>
  <c r="I194" i="134"/>
  <c r="H194" i="134"/>
  <c r="G194" i="134"/>
  <c r="F194" i="134"/>
  <c r="E194" i="134"/>
  <c r="D194" i="134"/>
  <c r="C194" i="134"/>
  <c r="B194" i="134"/>
  <c r="N190" i="134"/>
  <c r="M190" i="134"/>
  <c r="L190" i="134"/>
  <c r="K190" i="134"/>
  <c r="J190" i="134"/>
  <c r="I190" i="134"/>
  <c r="H190" i="134"/>
  <c r="G190" i="134"/>
  <c r="F190" i="134"/>
  <c r="E190" i="134"/>
  <c r="D190" i="134"/>
  <c r="C190" i="134"/>
  <c r="A190" i="134"/>
  <c r="N189" i="134"/>
  <c r="M189" i="134"/>
  <c r="L189" i="134"/>
  <c r="K189" i="134"/>
  <c r="J189" i="134"/>
  <c r="I189" i="134"/>
  <c r="H189" i="134"/>
  <c r="G189" i="134"/>
  <c r="F189" i="134"/>
  <c r="E189" i="134"/>
  <c r="D189" i="134"/>
  <c r="C189" i="134"/>
  <c r="B189" i="134"/>
  <c r="N188" i="134"/>
  <c r="M188" i="134"/>
  <c r="L188" i="134"/>
  <c r="K188" i="134"/>
  <c r="J188" i="134"/>
  <c r="I188" i="134"/>
  <c r="H188" i="134"/>
  <c r="G188" i="134"/>
  <c r="F188" i="134"/>
  <c r="E188" i="134"/>
  <c r="D188" i="134"/>
  <c r="C188" i="134"/>
  <c r="B188" i="134"/>
  <c r="N187" i="134"/>
  <c r="M187" i="134"/>
  <c r="L187" i="134"/>
  <c r="K187" i="134"/>
  <c r="J187" i="134"/>
  <c r="I187" i="134"/>
  <c r="H187" i="134"/>
  <c r="G187" i="134"/>
  <c r="F187" i="134"/>
  <c r="E187" i="134"/>
  <c r="D187" i="134"/>
  <c r="C187" i="134"/>
  <c r="B187" i="134"/>
  <c r="N186" i="134"/>
  <c r="M186" i="134"/>
  <c r="L186" i="134"/>
  <c r="K186" i="134"/>
  <c r="J186" i="134"/>
  <c r="I186" i="134"/>
  <c r="H186" i="134"/>
  <c r="G186" i="134"/>
  <c r="F186" i="134"/>
  <c r="E186" i="134"/>
  <c r="D186" i="134"/>
  <c r="C186" i="134"/>
  <c r="B186" i="134"/>
  <c r="N185" i="134"/>
  <c r="M185" i="134"/>
  <c r="L185" i="134"/>
  <c r="K185" i="134"/>
  <c r="J185" i="134"/>
  <c r="I185" i="134"/>
  <c r="H185" i="134"/>
  <c r="G185" i="134"/>
  <c r="F185" i="134"/>
  <c r="E185" i="134"/>
  <c r="D185" i="134"/>
  <c r="C185" i="134"/>
  <c r="B185" i="134"/>
  <c r="N184" i="134"/>
  <c r="M184" i="134"/>
  <c r="L184" i="134"/>
  <c r="K184" i="134"/>
  <c r="J184" i="134"/>
  <c r="I184" i="134"/>
  <c r="H184" i="134"/>
  <c r="G184" i="134"/>
  <c r="F184" i="134"/>
  <c r="E184" i="134"/>
  <c r="D184" i="134"/>
  <c r="C184" i="134"/>
  <c r="B184" i="134"/>
  <c r="N183" i="134"/>
  <c r="M183" i="134"/>
  <c r="L183" i="134"/>
  <c r="K183" i="134"/>
  <c r="J183" i="134"/>
  <c r="I183" i="134"/>
  <c r="H183" i="134"/>
  <c r="G183" i="134"/>
  <c r="F183" i="134"/>
  <c r="E183" i="134"/>
  <c r="D183" i="134"/>
  <c r="C183" i="134"/>
  <c r="B183" i="134"/>
  <c r="N182" i="134"/>
  <c r="M182" i="134"/>
  <c r="L182" i="134"/>
  <c r="K182" i="134"/>
  <c r="J182" i="134"/>
  <c r="I182" i="134"/>
  <c r="H182" i="134"/>
  <c r="G182" i="134"/>
  <c r="F182" i="134"/>
  <c r="E182" i="134"/>
  <c r="D182" i="134"/>
  <c r="C182" i="134"/>
  <c r="B182" i="134"/>
  <c r="N181" i="134"/>
  <c r="M181" i="134"/>
  <c r="L181" i="134"/>
  <c r="K181" i="134"/>
  <c r="J181" i="134"/>
  <c r="I181" i="134"/>
  <c r="H181" i="134"/>
  <c r="G181" i="134"/>
  <c r="F181" i="134"/>
  <c r="E181" i="134"/>
  <c r="D181" i="134"/>
  <c r="C181" i="134"/>
  <c r="B181" i="134"/>
  <c r="N180" i="134"/>
  <c r="M180" i="134"/>
  <c r="L180" i="134"/>
  <c r="K180" i="134"/>
  <c r="J180" i="134"/>
  <c r="I180" i="134"/>
  <c r="H180" i="134"/>
  <c r="G180" i="134"/>
  <c r="F180" i="134"/>
  <c r="E180" i="134"/>
  <c r="D180" i="134"/>
  <c r="C180" i="134"/>
  <c r="B180" i="134"/>
  <c r="N179" i="134"/>
  <c r="M179" i="134"/>
  <c r="L179" i="134"/>
  <c r="K179" i="134"/>
  <c r="J179" i="134"/>
  <c r="I179" i="134"/>
  <c r="H179" i="134"/>
  <c r="G179" i="134"/>
  <c r="F179" i="134"/>
  <c r="E179" i="134"/>
  <c r="D179" i="134"/>
  <c r="C179" i="134"/>
  <c r="B179" i="134"/>
  <c r="N178" i="134"/>
  <c r="M178" i="134"/>
  <c r="L178" i="134"/>
  <c r="K178" i="134"/>
  <c r="J178" i="134"/>
  <c r="I178" i="134"/>
  <c r="H178" i="134"/>
  <c r="G178" i="134"/>
  <c r="F178" i="134"/>
  <c r="E178" i="134"/>
  <c r="D178" i="134"/>
  <c r="C178" i="134"/>
  <c r="B178" i="134"/>
  <c r="N172" i="134"/>
  <c r="M172" i="134"/>
  <c r="L172" i="134"/>
  <c r="K172" i="134"/>
  <c r="J172" i="134"/>
  <c r="I172" i="134"/>
  <c r="H172" i="134"/>
  <c r="G172" i="134"/>
  <c r="F172" i="134"/>
  <c r="E172" i="134"/>
  <c r="D172" i="134"/>
  <c r="C172" i="134"/>
  <c r="A172" i="134"/>
  <c r="N171" i="134"/>
  <c r="M171" i="134"/>
  <c r="L171" i="134"/>
  <c r="K171" i="134"/>
  <c r="J171" i="134"/>
  <c r="I171" i="134"/>
  <c r="H171" i="134"/>
  <c r="G171" i="134"/>
  <c r="F171" i="134"/>
  <c r="E171" i="134"/>
  <c r="D171" i="134"/>
  <c r="C171" i="134"/>
  <c r="B171" i="134"/>
  <c r="N170" i="134"/>
  <c r="M170" i="134"/>
  <c r="L170" i="134"/>
  <c r="K170" i="134"/>
  <c r="J170" i="134"/>
  <c r="I170" i="134"/>
  <c r="H170" i="134"/>
  <c r="G170" i="134"/>
  <c r="F170" i="134"/>
  <c r="E170" i="134"/>
  <c r="D170" i="134"/>
  <c r="C170" i="134"/>
  <c r="B170" i="134"/>
  <c r="N169" i="134"/>
  <c r="M169" i="134"/>
  <c r="L169" i="134"/>
  <c r="K169" i="134"/>
  <c r="J169" i="134"/>
  <c r="I169" i="134"/>
  <c r="H169" i="134"/>
  <c r="G169" i="134"/>
  <c r="F169" i="134"/>
  <c r="E169" i="134"/>
  <c r="D169" i="134"/>
  <c r="C169" i="134"/>
  <c r="B169" i="134"/>
  <c r="N168" i="134"/>
  <c r="M168" i="134"/>
  <c r="L168" i="134"/>
  <c r="K168" i="134"/>
  <c r="J168" i="134"/>
  <c r="I168" i="134"/>
  <c r="H168" i="134"/>
  <c r="G168" i="134"/>
  <c r="F168" i="134"/>
  <c r="E168" i="134"/>
  <c r="D168" i="134"/>
  <c r="C168" i="134"/>
  <c r="B168" i="134"/>
  <c r="N167" i="134"/>
  <c r="M167" i="134"/>
  <c r="L167" i="134"/>
  <c r="K167" i="134"/>
  <c r="J167" i="134"/>
  <c r="I167" i="134"/>
  <c r="H167" i="134"/>
  <c r="G167" i="134"/>
  <c r="F167" i="134"/>
  <c r="E167" i="134"/>
  <c r="D167" i="134"/>
  <c r="C167" i="134"/>
  <c r="B167" i="134"/>
  <c r="N166" i="134"/>
  <c r="M166" i="134"/>
  <c r="L166" i="134"/>
  <c r="K166" i="134"/>
  <c r="J166" i="134"/>
  <c r="I166" i="134"/>
  <c r="H166" i="134"/>
  <c r="G166" i="134"/>
  <c r="F166" i="134"/>
  <c r="E166" i="134"/>
  <c r="D166" i="134"/>
  <c r="C166" i="134"/>
  <c r="B166" i="134"/>
  <c r="N165" i="134"/>
  <c r="M165" i="134"/>
  <c r="L165" i="134"/>
  <c r="K165" i="134"/>
  <c r="J165" i="134"/>
  <c r="I165" i="134"/>
  <c r="H165" i="134"/>
  <c r="G165" i="134"/>
  <c r="F165" i="134"/>
  <c r="E165" i="134"/>
  <c r="D165" i="134"/>
  <c r="C165" i="134"/>
  <c r="B165" i="134"/>
  <c r="N164" i="134"/>
  <c r="M164" i="134"/>
  <c r="L164" i="134"/>
  <c r="K164" i="134"/>
  <c r="J164" i="134"/>
  <c r="I164" i="134"/>
  <c r="H164" i="134"/>
  <c r="G164" i="134"/>
  <c r="F164" i="134"/>
  <c r="E164" i="134"/>
  <c r="D164" i="134"/>
  <c r="C164" i="134"/>
  <c r="B164" i="134"/>
  <c r="N163" i="134"/>
  <c r="M163" i="134"/>
  <c r="L163" i="134"/>
  <c r="K163" i="134"/>
  <c r="J163" i="134"/>
  <c r="I163" i="134"/>
  <c r="H163" i="134"/>
  <c r="G163" i="134"/>
  <c r="F163" i="134"/>
  <c r="E163" i="134"/>
  <c r="D163" i="134"/>
  <c r="C163" i="134"/>
  <c r="B163" i="134"/>
  <c r="N162" i="134"/>
  <c r="M162" i="134"/>
  <c r="L162" i="134"/>
  <c r="K162" i="134"/>
  <c r="J162" i="134"/>
  <c r="I162" i="134"/>
  <c r="H162" i="134"/>
  <c r="G162" i="134"/>
  <c r="F162" i="134"/>
  <c r="E162" i="134"/>
  <c r="D162" i="134"/>
  <c r="C162" i="134"/>
  <c r="B162" i="134"/>
  <c r="N161" i="134"/>
  <c r="M161" i="134"/>
  <c r="L161" i="134"/>
  <c r="K161" i="134"/>
  <c r="J161" i="134"/>
  <c r="I161" i="134"/>
  <c r="H161" i="134"/>
  <c r="G161" i="134"/>
  <c r="F161" i="134"/>
  <c r="E161" i="134"/>
  <c r="D161" i="134"/>
  <c r="C161" i="134"/>
  <c r="B161" i="134"/>
  <c r="N160" i="134"/>
  <c r="M160" i="134"/>
  <c r="L160" i="134"/>
  <c r="K160" i="134"/>
  <c r="J160" i="134"/>
  <c r="I160" i="134"/>
  <c r="H160" i="134"/>
  <c r="G160" i="134"/>
  <c r="F160" i="134"/>
  <c r="E160" i="134"/>
  <c r="D160" i="134"/>
  <c r="C160" i="134"/>
  <c r="B160" i="134"/>
  <c r="N156" i="134"/>
  <c r="M156" i="134"/>
  <c r="L156" i="134"/>
  <c r="K156" i="134"/>
  <c r="J156" i="134"/>
  <c r="I156" i="134"/>
  <c r="H156" i="134"/>
  <c r="G156" i="134"/>
  <c r="F156" i="134"/>
  <c r="E156" i="134"/>
  <c r="D156" i="134"/>
  <c r="C156" i="134"/>
  <c r="A156" i="134"/>
  <c r="N155" i="134"/>
  <c r="M155" i="134"/>
  <c r="L155" i="134"/>
  <c r="K155" i="134"/>
  <c r="J155" i="134"/>
  <c r="I155" i="134"/>
  <c r="H155" i="134"/>
  <c r="G155" i="134"/>
  <c r="F155" i="134"/>
  <c r="E155" i="134"/>
  <c r="D155" i="134"/>
  <c r="C155" i="134"/>
  <c r="B155" i="134"/>
  <c r="N154" i="134"/>
  <c r="M154" i="134"/>
  <c r="L154" i="134"/>
  <c r="K154" i="134"/>
  <c r="J154" i="134"/>
  <c r="I154" i="134"/>
  <c r="H154" i="134"/>
  <c r="G154" i="134"/>
  <c r="F154" i="134"/>
  <c r="E154" i="134"/>
  <c r="D154" i="134"/>
  <c r="C154" i="134"/>
  <c r="B154" i="134"/>
  <c r="N153" i="134"/>
  <c r="M153" i="134"/>
  <c r="L153" i="134"/>
  <c r="K153" i="134"/>
  <c r="J153" i="134"/>
  <c r="I153" i="134"/>
  <c r="H153" i="134"/>
  <c r="G153" i="134"/>
  <c r="F153" i="134"/>
  <c r="E153" i="134"/>
  <c r="D153" i="134"/>
  <c r="C153" i="134"/>
  <c r="B153" i="134"/>
  <c r="N152" i="134"/>
  <c r="M152" i="134"/>
  <c r="L152" i="134"/>
  <c r="K152" i="134"/>
  <c r="J152" i="134"/>
  <c r="I152" i="134"/>
  <c r="H152" i="134"/>
  <c r="G152" i="134"/>
  <c r="F152" i="134"/>
  <c r="E152" i="134"/>
  <c r="D152" i="134"/>
  <c r="C152" i="134"/>
  <c r="B152" i="134"/>
  <c r="N151" i="134"/>
  <c r="M151" i="134"/>
  <c r="L151" i="134"/>
  <c r="K151" i="134"/>
  <c r="J151" i="134"/>
  <c r="I151" i="134"/>
  <c r="H151" i="134"/>
  <c r="G151" i="134"/>
  <c r="F151" i="134"/>
  <c r="E151" i="134"/>
  <c r="D151" i="134"/>
  <c r="C151" i="134"/>
  <c r="B151" i="134"/>
  <c r="N150" i="134"/>
  <c r="M150" i="134"/>
  <c r="L150" i="134"/>
  <c r="K150" i="134"/>
  <c r="J150" i="134"/>
  <c r="I150" i="134"/>
  <c r="H150" i="134"/>
  <c r="G150" i="134"/>
  <c r="F150" i="134"/>
  <c r="E150" i="134"/>
  <c r="D150" i="134"/>
  <c r="C150" i="134"/>
  <c r="B150" i="134"/>
  <c r="N149" i="134"/>
  <c r="M149" i="134"/>
  <c r="L149" i="134"/>
  <c r="K149" i="134"/>
  <c r="J149" i="134"/>
  <c r="I149" i="134"/>
  <c r="H149" i="134"/>
  <c r="G149" i="134"/>
  <c r="F149" i="134"/>
  <c r="E149" i="134"/>
  <c r="D149" i="134"/>
  <c r="C149" i="134"/>
  <c r="B149" i="134"/>
  <c r="N148" i="134"/>
  <c r="M148" i="134"/>
  <c r="L148" i="134"/>
  <c r="K148" i="134"/>
  <c r="J148" i="134"/>
  <c r="I148" i="134"/>
  <c r="H148" i="134"/>
  <c r="G148" i="134"/>
  <c r="F148" i="134"/>
  <c r="E148" i="134"/>
  <c r="D148" i="134"/>
  <c r="C148" i="134"/>
  <c r="B148" i="134"/>
  <c r="N147" i="134"/>
  <c r="M147" i="134"/>
  <c r="L147" i="134"/>
  <c r="K147" i="134"/>
  <c r="J147" i="134"/>
  <c r="I147" i="134"/>
  <c r="H147" i="134"/>
  <c r="G147" i="134"/>
  <c r="F147" i="134"/>
  <c r="E147" i="134"/>
  <c r="D147" i="134"/>
  <c r="C147" i="134"/>
  <c r="B147" i="134"/>
  <c r="N146" i="134"/>
  <c r="M146" i="134"/>
  <c r="L146" i="134"/>
  <c r="K146" i="134"/>
  <c r="J146" i="134"/>
  <c r="I146" i="134"/>
  <c r="H146" i="134"/>
  <c r="G146" i="134"/>
  <c r="F146" i="134"/>
  <c r="E146" i="134"/>
  <c r="D146" i="134"/>
  <c r="C146" i="134"/>
  <c r="B146" i="134"/>
  <c r="N145" i="134"/>
  <c r="M145" i="134"/>
  <c r="L145" i="134"/>
  <c r="K145" i="134"/>
  <c r="J145" i="134"/>
  <c r="I145" i="134"/>
  <c r="H145" i="134"/>
  <c r="G145" i="134"/>
  <c r="F145" i="134"/>
  <c r="E145" i="134"/>
  <c r="D145" i="134"/>
  <c r="C145" i="134"/>
  <c r="B145" i="134"/>
  <c r="N144" i="134"/>
  <c r="M144" i="134"/>
  <c r="L144" i="134"/>
  <c r="K144" i="134"/>
  <c r="J144" i="134"/>
  <c r="I144" i="134"/>
  <c r="H144" i="134"/>
  <c r="G144" i="134"/>
  <c r="F144" i="134"/>
  <c r="E144" i="134"/>
  <c r="D144" i="134"/>
  <c r="C144" i="134"/>
  <c r="B144" i="134"/>
  <c r="N138" i="134"/>
  <c r="M138" i="134"/>
  <c r="L138" i="134"/>
  <c r="K138" i="134"/>
  <c r="J138" i="134"/>
  <c r="I138" i="134"/>
  <c r="H138" i="134"/>
  <c r="G138" i="134"/>
  <c r="F138" i="134"/>
  <c r="E138" i="134"/>
  <c r="D138" i="134"/>
  <c r="C138" i="134"/>
  <c r="A138" i="134"/>
  <c r="N137" i="134"/>
  <c r="M137" i="134"/>
  <c r="L137" i="134"/>
  <c r="K137" i="134"/>
  <c r="J137" i="134"/>
  <c r="I137" i="134"/>
  <c r="H137" i="134"/>
  <c r="G137" i="134"/>
  <c r="F137" i="134"/>
  <c r="E137" i="134"/>
  <c r="D137" i="134"/>
  <c r="C137" i="134"/>
  <c r="B137" i="134"/>
  <c r="N136" i="134"/>
  <c r="M136" i="134"/>
  <c r="L136" i="134"/>
  <c r="K136" i="134"/>
  <c r="J136" i="134"/>
  <c r="I136" i="134"/>
  <c r="H136" i="134"/>
  <c r="G136" i="134"/>
  <c r="F136" i="134"/>
  <c r="E136" i="134"/>
  <c r="D136" i="134"/>
  <c r="C136" i="134"/>
  <c r="B136" i="134"/>
  <c r="N135" i="134"/>
  <c r="M135" i="134"/>
  <c r="L135" i="134"/>
  <c r="K135" i="134"/>
  <c r="J135" i="134"/>
  <c r="I135" i="134"/>
  <c r="H135" i="134"/>
  <c r="G135" i="134"/>
  <c r="F135" i="134"/>
  <c r="E135" i="134"/>
  <c r="D135" i="134"/>
  <c r="C135" i="134"/>
  <c r="B135" i="134"/>
  <c r="N134" i="134"/>
  <c r="M134" i="134"/>
  <c r="L134" i="134"/>
  <c r="K134" i="134"/>
  <c r="J134" i="134"/>
  <c r="I134" i="134"/>
  <c r="H134" i="134"/>
  <c r="G134" i="134"/>
  <c r="F134" i="134"/>
  <c r="E134" i="134"/>
  <c r="D134" i="134"/>
  <c r="C134" i="134"/>
  <c r="B134" i="134"/>
  <c r="N133" i="134"/>
  <c r="M133" i="134"/>
  <c r="L133" i="134"/>
  <c r="K133" i="134"/>
  <c r="J133" i="134"/>
  <c r="I133" i="134"/>
  <c r="H133" i="134"/>
  <c r="G133" i="134"/>
  <c r="F133" i="134"/>
  <c r="E133" i="134"/>
  <c r="D133" i="134"/>
  <c r="C133" i="134"/>
  <c r="B133" i="134"/>
  <c r="N132" i="134"/>
  <c r="M132" i="134"/>
  <c r="L132" i="134"/>
  <c r="K132" i="134"/>
  <c r="J132" i="134"/>
  <c r="I132" i="134"/>
  <c r="H132" i="134"/>
  <c r="G132" i="134"/>
  <c r="F132" i="134"/>
  <c r="E132" i="134"/>
  <c r="D132" i="134"/>
  <c r="C132" i="134"/>
  <c r="B132" i="134"/>
  <c r="N131" i="134"/>
  <c r="M131" i="134"/>
  <c r="L131" i="134"/>
  <c r="K131" i="134"/>
  <c r="J131" i="134"/>
  <c r="I131" i="134"/>
  <c r="H131" i="134"/>
  <c r="G131" i="134"/>
  <c r="F131" i="134"/>
  <c r="E131" i="134"/>
  <c r="D131" i="134"/>
  <c r="C131" i="134"/>
  <c r="B131" i="134"/>
  <c r="N130" i="134"/>
  <c r="M130" i="134"/>
  <c r="L130" i="134"/>
  <c r="K130" i="134"/>
  <c r="J130" i="134"/>
  <c r="I130" i="134"/>
  <c r="H130" i="134"/>
  <c r="G130" i="134"/>
  <c r="F130" i="134"/>
  <c r="E130" i="134"/>
  <c r="D130" i="134"/>
  <c r="C130" i="134"/>
  <c r="B130" i="134"/>
  <c r="N129" i="134"/>
  <c r="M129" i="134"/>
  <c r="L129" i="134"/>
  <c r="K129" i="134"/>
  <c r="J129" i="134"/>
  <c r="I129" i="134"/>
  <c r="H129" i="134"/>
  <c r="G129" i="134"/>
  <c r="F129" i="134"/>
  <c r="E129" i="134"/>
  <c r="D129" i="134"/>
  <c r="C129" i="134"/>
  <c r="B129" i="134"/>
  <c r="N128" i="134"/>
  <c r="M128" i="134"/>
  <c r="L128" i="134"/>
  <c r="K128" i="134"/>
  <c r="J128" i="134"/>
  <c r="I128" i="134"/>
  <c r="H128" i="134"/>
  <c r="G128" i="134"/>
  <c r="F128" i="134"/>
  <c r="E128" i="134"/>
  <c r="D128" i="134"/>
  <c r="C128" i="134"/>
  <c r="B128" i="134"/>
  <c r="N127" i="134"/>
  <c r="M127" i="134"/>
  <c r="L127" i="134"/>
  <c r="K127" i="134"/>
  <c r="J127" i="134"/>
  <c r="I127" i="134"/>
  <c r="H127" i="134"/>
  <c r="G127" i="134"/>
  <c r="F127" i="134"/>
  <c r="E127" i="134"/>
  <c r="D127" i="134"/>
  <c r="C127" i="134"/>
  <c r="B127" i="134"/>
  <c r="N126" i="134"/>
  <c r="M126" i="134"/>
  <c r="L126" i="134"/>
  <c r="K126" i="134"/>
  <c r="J126" i="134"/>
  <c r="I126" i="134"/>
  <c r="H126" i="134"/>
  <c r="G126" i="134"/>
  <c r="F126" i="134"/>
  <c r="E126" i="134"/>
  <c r="D126" i="134"/>
  <c r="C126" i="134"/>
  <c r="B126" i="134"/>
  <c r="N122" i="134"/>
  <c r="M122" i="134"/>
  <c r="L122" i="134"/>
  <c r="K122" i="134"/>
  <c r="J122" i="134"/>
  <c r="I122" i="134"/>
  <c r="H122" i="134"/>
  <c r="G122" i="134"/>
  <c r="F122" i="134"/>
  <c r="E122" i="134"/>
  <c r="D122" i="134"/>
  <c r="C122" i="134"/>
  <c r="A122" i="134"/>
  <c r="N121" i="134"/>
  <c r="M121" i="134"/>
  <c r="L121" i="134"/>
  <c r="K121" i="134"/>
  <c r="J121" i="134"/>
  <c r="I121" i="134"/>
  <c r="H121" i="134"/>
  <c r="G121" i="134"/>
  <c r="F121" i="134"/>
  <c r="E121" i="134"/>
  <c r="D121" i="134"/>
  <c r="C121" i="134"/>
  <c r="B121" i="134"/>
  <c r="N120" i="134"/>
  <c r="M120" i="134"/>
  <c r="L120" i="134"/>
  <c r="K120" i="134"/>
  <c r="J120" i="134"/>
  <c r="I120" i="134"/>
  <c r="H120" i="134"/>
  <c r="G120" i="134"/>
  <c r="F120" i="134"/>
  <c r="E120" i="134"/>
  <c r="D120" i="134"/>
  <c r="C120" i="134"/>
  <c r="B120" i="134"/>
  <c r="N119" i="134"/>
  <c r="M119" i="134"/>
  <c r="L119" i="134"/>
  <c r="K119" i="134"/>
  <c r="J119" i="134"/>
  <c r="I119" i="134"/>
  <c r="H119" i="134"/>
  <c r="G119" i="134"/>
  <c r="F119" i="134"/>
  <c r="E119" i="134"/>
  <c r="D119" i="134"/>
  <c r="C119" i="134"/>
  <c r="B119" i="134"/>
  <c r="N118" i="134"/>
  <c r="M118" i="134"/>
  <c r="L118" i="134"/>
  <c r="K118" i="134"/>
  <c r="J118" i="134"/>
  <c r="I118" i="134"/>
  <c r="H118" i="134"/>
  <c r="G118" i="134"/>
  <c r="F118" i="134"/>
  <c r="E118" i="134"/>
  <c r="D118" i="134"/>
  <c r="C118" i="134"/>
  <c r="B118" i="134"/>
  <c r="N117" i="134"/>
  <c r="M117" i="134"/>
  <c r="L117" i="134"/>
  <c r="K117" i="134"/>
  <c r="J117" i="134"/>
  <c r="I117" i="134"/>
  <c r="H117" i="134"/>
  <c r="G117" i="134"/>
  <c r="F117" i="134"/>
  <c r="E117" i="134"/>
  <c r="D117" i="134"/>
  <c r="C117" i="134"/>
  <c r="B117" i="134"/>
  <c r="N116" i="134"/>
  <c r="M116" i="134"/>
  <c r="L116" i="134"/>
  <c r="K116" i="134"/>
  <c r="J116" i="134"/>
  <c r="I116" i="134"/>
  <c r="H116" i="134"/>
  <c r="G116" i="134"/>
  <c r="F116" i="134"/>
  <c r="E116" i="134"/>
  <c r="D116" i="134"/>
  <c r="C116" i="134"/>
  <c r="B116" i="134"/>
  <c r="N115" i="134"/>
  <c r="M115" i="134"/>
  <c r="L115" i="134"/>
  <c r="K115" i="134"/>
  <c r="J115" i="134"/>
  <c r="I115" i="134"/>
  <c r="H115" i="134"/>
  <c r="G115" i="134"/>
  <c r="F115" i="134"/>
  <c r="E115" i="134"/>
  <c r="D115" i="134"/>
  <c r="C115" i="134"/>
  <c r="B115" i="134"/>
  <c r="N114" i="134"/>
  <c r="M114" i="134"/>
  <c r="L114" i="134"/>
  <c r="K114" i="134"/>
  <c r="J114" i="134"/>
  <c r="I114" i="134"/>
  <c r="H114" i="134"/>
  <c r="G114" i="134"/>
  <c r="F114" i="134"/>
  <c r="E114" i="134"/>
  <c r="D114" i="134"/>
  <c r="C114" i="134"/>
  <c r="B114" i="134"/>
  <c r="N113" i="134"/>
  <c r="M113" i="134"/>
  <c r="L113" i="134"/>
  <c r="K113" i="134"/>
  <c r="J113" i="134"/>
  <c r="I113" i="134"/>
  <c r="H113" i="134"/>
  <c r="G113" i="134"/>
  <c r="F113" i="134"/>
  <c r="E113" i="134"/>
  <c r="D113" i="134"/>
  <c r="C113" i="134"/>
  <c r="B113" i="134"/>
  <c r="N112" i="134"/>
  <c r="M112" i="134"/>
  <c r="L112" i="134"/>
  <c r="K112" i="134"/>
  <c r="J112" i="134"/>
  <c r="I112" i="134"/>
  <c r="H112" i="134"/>
  <c r="G112" i="134"/>
  <c r="F112" i="134"/>
  <c r="E112" i="134"/>
  <c r="D112" i="134"/>
  <c r="C112" i="134"/>
  <c r="B112" i="134"/>
  <c r="N111" i="134"/>
  <c r="M111" i="134"/>
  <c r="L111" i="134"/>
  <c r="K111" i="134"/>
  <c r="J111" i="134"/>
  <c r="I111" i="134"/>
  <c r="H111" i="134"/>
  <c r="G111" i="134"/>
  <c r="F111" i="134"/>
  <c r="E111" i="134"/>
  <c r="D111" i="134"/>
  <c r="C111" i="134"/>
  <c r="B111" i="134"/>
  <c r="N110" i="134"/>
  <c r="M110" i="134"/>
  <c r="L110" i="134"/>
  <c r="K110" i="134"/>
  <c r="J110" i="134"/>
  <c r="I110" i="134"/>
  <c r="H110" i="134"/>
  <c r="G110" i="134"/>
  <c r="F110" i="134"/>
  <c r="E110" i="134"/>
  <c r="D110" i="134"/>
  <c r="C110" i="134"/>
  <c r="B110" i="134"/>
  <c r="N104" i="134"/>
  <c r="M104" i="134"/>
  <c r="L104" i="134"/>
  <c r="K104" i="134"/>
  <c r="J104" i="134"/>
  <c r="I104" i="134"/>
  <c r="H104" i="134"/>
  <c r="G104" i="134"/>
  <c r="F104" i="134"/>
  <c r="E104" i="134"/>
  <c r="D104" i="134"/>
  <c r="C104" i="134"/>
  <c r="A104" i="134"/>
  <c r="N103" i="134"/>
  <c r="M103" i="134"/>
  <c r="L103" i="134"/>
  <c r="K103" i="134"/>
  <c r="J103" i="134"/>
  <c r="I103" i="134"/>
  <c r="H103" i="134"/>
  <c r="G103" i="134"/>
  <c r="F103" i="134"/>
  <c r="E103" i="134"/>
  <c r="D103" i="134"/>
  <c r="C103" i="134"/>
  <c r="B103" i="134"/>
  <c r="N102" i="134"/>
  <c r="M102" i="134"/>
  <c r="L102" i="134"/>
  <c r="K102" i="134"/>
  <c r="J102" i="134"/>
  <c r="I102" i="134"/>
  <c r="H102" i="134"/>
  <c r="G102" i="134"/>
  <c r="F102" i="134"/>
  <c r="E102" i="134"/>
  <c r="D102" i="134"/>
  <c r="C102" i="134"/>
  <c r="B102" i="134"/>
  <c r="N101" i="134"/>
  <c r="M101" i="134"/>
  <c r="L101" i="134"/>
  <c r="K101" i="134"/>
  <c r="J101" i="134"/>
  <c r="I101" i="134"/>
  <c r="H101" i="134"/>
  <c r="G101" i="134"/>
  <c r="F101" i="134"/>
  <c r="E101" i="134"/>
  <c r="D101" i="134"/>
  <c r="C101" i="134"/>
  <c r="B101" i="134"/>
  <c r="N100" i="134"/>
  <c r="M100" i="134"/>
  <c r="L100" i="134"/>
  <c r="K100" i="134"/>
  <c r="J100" i="134"/>
  <c r="I100" i="134"/>
  <c r="H100" i="134"/>
  <c r="G100" i="134"/>
  <c r="F100" i="134"/>
  <c r="E100" i="134"/>
  <c r="D100" i="134"/>
  <c r="C100" i="134"/>
  <c r="B100" i="134"/>
  <c r="N99" i="134"/>
  <c r="M99" i="134"/>
  <c r="L99" i="134"/>
  <c r="K99" i="134"/>
  <c r="J99" i="134"/>
  <c r="I99" i="134"/>
  <c r="H99" i="134"/>
  <c r="G99" i="134"/>
  <c r="F99" i="134"/>
  <c r="E99" i="134"/>
  <c r="D99" i="134"/>
  <c r="C99" i="134"/>
  <c r="B99" i="134"/>
  <c r="N98" i="134"/>
  <c r="M98" i="134"/>
  <c r="L98" i="134"/>
  <c r="K98" i="134"/>
  <c r="J98" i="134"/>
  <c r="I98" i="134"/>
  <c r="H98" i="134"/>
  <c r="G98" i="134"/>
  <c r="F98" i="134"/>
  <c r="E98" i="134"/>
  <c r="D98" i="134"/>
  <c r="C98" i="134"/>
  <c r="B98" i="134"/>
  <c r="N97" i="134"/>
  <c r="M97" i="134"/>
  <c r="L97" i="134"/>
  <c r="K97" i="134"/>
  <c r="J97" i="134"/>
  <c r="I97" i="134"/>
  <c r="H97" i="134"/>
  <c r="G97" i="134"/>
  <c r="F97" i="134"/>
  <c r="E97" i="134"/>
  <c r="D97" i="134"/>
  <c r="C97" i="134"/>
  <c r="B97" i="134"/>
  <c r="N96" i="134"/>
  <c r="M96" i="134"/>
  <c r="L96" i="134"/>
  <c r="K96" i="134"/>
  <c r="J96" i="134"/>
  <c r="I96" i="134"/>
  <c r="H96" i="134"/>
  <c r="G96" i="134"/>
  <c r="F96" i="134"/>
  <c r="E96" i="134"/>
  <c r="D96" i="134"/>
  <c r="C96" i="134"/>
  <c r="B96" i="134"/>
  <c r="N95" i="134"/>
  <c r="M95" i="134"/>
  <c r="L95" i="134"/>
  <c r="K95" i="134"/>
  <c r="J95" i="134"/>
  <c r="I95" i="134"/>
  <c r="H95" i="134"/>
  <c r="G95" i="134"/>
  <c r="F95" i="134"/>
  <c r="E95" i="134"/>
  <c r="D95" i="134"/>
  <c r="C95" i="134"/>
  <c r="B95" i="134"/>
  <c r="N94" i="134"/>
  <c r="M94" i="134"/>
  <c r="L94" i="134"/>
  <c r="K94" i="134"/>
  <c r="J94" i="134"/>
  <c r="I94" i="134"/>
  <c r="H94" i="134"/>
  <c r="G94" i="134"/>
  <c r="F94" i="134"/>
  <c r="E94" i="134"/>
  <c r="D94" i="134"/>
  <c r="C94" i="134"/>
  <c r="B94" i="134"/>
  <c r="N93" i="134"/>
  <c r="M93" i="134"/>
  <c r="L93" i="134"/>
  <c r="K93" i="134"/>
  <c r="J93" i="134"/>
  <c r="I93" i="134"/>
  <c r="H93" i="134"/>
  <c r="G93" i="134"/>
  <c r="F93" i="134"/>
  <c r="E93" i="134"/>
  <c r="D93" i="134"/>
  <c r="C93" i="134"/>
  <c r="B93" i="134"/>
  <c r="N92" i="134"/>
  <c r="M92" i="134"/>
  <c r="L92" i="134"/>
  <c r="K92" i="134"/>
  <c r="J92" i="134"/>
  <c r="I92" i="134"/>
  <c r="H92" i="134"/>
  <c r="G92" i="134"/>
  <c r="F92" i="134"/>
  <c r="E92" i="134"/>
  <c r="D92" i="134"/>
  <c r="C92" i="134"/>
  <c r="B92" i="134"/>
  <c r="N88" i="134"/>
  <c r="M88" i="134"/>
  <c r="L88" i="134"/>
  <c r="K88" i="134"/>
  <c r="J88" i="134"/>
  <c r="I88" i="134"/>
  <c r="H88" i="134"/>
  <c r="G88" i="134"/>
  <c r="F88" i="134"/>
  <c r="E88" i="134"/>
  <c r="D88" i="134"/>
  <c r="C88" i="134"/>
  <c r="A88" i="134"/>
  <c r="N87" i="134"/>
  <c r="M87" i="134"/>
  <c r="L87" i="134"/>
  <c r="K87" i="134"/>
  <c r="J87" i="134"/>
  <c r="I87" i="134"/>
  <c r="H87" i="134"/>
  <c r="G87" i="134"/>
  <c r="F87" i="134"/>
  <c r="E87" i="134"/>
  <c r="D87" i="134"/>
  <c r="C87" i="134"/>
  <c r="B87" i="134"/>
  <c r="N86" i="134"/>
  <c r="M86" i="134"/>
  <c r="L86" i="134"/>
  <c r="K86" i="134"/>
  <c r="J86" i="134"/>
  <c r="I86" i="134"/>
  <c r="H86" i="134"/>
  <c r="G86" i="134"/>
  <c r="F86" i="134"/>
  <c r="E86" i="134"/>
  <c r="D86" i="134"/>
  <c r="C86" i="134"/>
  <c r="B86" i="134"/>
  <c r="N85" i="134"/>
  <c r="M85" i="134"/>
  <c r="L85" i="134"/>
  <c r="K85" i="134"/>
  <c r="J85" i="134"/>
  <c r="I85" i="134"/>
  <c r="H85" i="134"/>
  <c r="G85" i="134"/>
  <c r="F85" i="134"/>
  <c r="E85" i="134"/>
  <c r="D85" i="134"/>
  <c r="C85" i="134"/>
  <c r="B85" i="134"/>
  <c r="N84" i="134"/>
  <c r="M84" i="134"/>
  <c r="L84" i="134"/>
  <c r="K84" i="134"/>
  <c r="J84" i="134"/>
  <c r="I84" i="134"/>
  <c r="H84" i="134"/>
  <c r="G84" i="134"/>
  <c r="F84" i="134"/>
  <c r="E84" i="134"/>
  <c r="D84" i="134"/>
  <c r="C84" i="134"/>
  <c r="B84" i="134"/>
  <c r="N83" i="134"/>
  <c r="M83" i="134"/>
  <c r="L83" i="134"/>
  <c r="K83" i="134"/>
  <c r="J83" i="134"/>
  <c r="I83" i="134"/>
  <c r="H83" i="134"/>
  <c r="G83" i="134"/>
  <c r="F83" i="134"/>
  <c r="E83" i="134"/>
  <c r="D83" i="134"/>
  <c r="C83" i="134"/>
  <c r="B83" i="134"/>
  <c r="N82" i="134"/>
  <c r="M82" i="134"/>
  <c r="L82" i="134"/>
  <c r="K82" i="134"/>
  <c r="J82" i="134"/>
  <c r="I82" i="134"/>
  <c r="H82" i="134"/>
  <c r="G82" i="134"/>
  <c r="F82" i="134"/>
  <c r="E82" i="134"/>
  <c r="D82" i="134"/>
  <c r="C82" i="134"/>
  <c r="B82" i="134"/>
  <c r="N81" i="134"/>
  <c r="M81" i="134"/>
  <c r="L81" i="134"/>
  <c r="K81" i="134"/>
  <c r="J81" i="134"/>
  <c r="I81" i="134"/>
  <c r="H81" i="134"/>
  <c r="G81" i="134"/>
  <c r="F81" i="134"/>
  <c r="E81" i="134"/>
  <c r="D81" i="134"/>
  <c r="C81" i="134"/>
  <c r="B81" i="134"/>
  <c r="N80" i="134"/>
  <c r="M80" i="134"/>
  <c r="L80" i="134"/>
  <c r="K80" i="134"/>
  <c r="J80" i="134"/>
  <c r="I80" i="134"/>
  <c r="H80" i="134"/>
  <c r="G80" i="134"/>
  <c r="F80" i="134"/>
  <c r="E80" i="134"/>
  <c r="D80" i="134"/>
  <c r="C80" i="134"/>
  <c r="B80" i="134"/>
  <c r="N79" i="134"/>
  <c r="M79" i="134"/>
  <c r="L79" i="134"/>
  <c r="K79" i="134"/>
  <c r="J79" i="134"/>
  <c r="I79" i="134"/>
  <c r="H79" i="134"/>
  <c r="G79" i="134"/>
  <c r="F79" i="134"/>
  <c r="E79" i="134"/>
  <c r="D79" i="134"/>
  <c r="C79" i="134"/>
  <c r="B79" i="134"/>
  <c r="N78" i="134"/>
  <c r="M78" i="134"/>
  <c r="L78" i="134"/>
  <c r="K78" i="134"/>
  <c r="J78" i="134"/>
  <c r="I78" i="134"/>
  <c r="H78" i="134"/>
  <c r="G78" i="134"/>
  <c r="F78" i="134"/>
  <c r="E78" i="134"/>
  <c r="D78" i="134"/>
  <c r="C78" i="134"/>
  <c r="B78" i="134"/>
  <c r="N77" i="134"/>
  <c r="M77" i="134"/>
  <c r="L77" i="134"/>
  <c r="K77" i="134"/>
  <c r="J77" i="134"/>
  <c r="I77" i="134"/>
  <c r="H77" i="134"/>
  <c r="G77" i="134"/>
  <c r="F77" i="134"/>
  <c r="E77" i="134"/>
  <c r="D77" i="134"/>
  <c r="C77" i="134"/>
  <c r="B77" i="134"/>
  <c r="N76" i="134"/>
  <c r="M76" i="134"/>
  <c r="L76" i="134"/>
  <c r="K76" i="134"/>
  <c r="J76" i="134"/>
  <c r="I76" i="134"/>
  <c r="H76" i="134"/>
  <c r="G76" i="134"/>
  <c r="F76" i="134"/>
  <c r="E76" i="134"/>
  <c r="D76" i="134"/>
  <c r="C76" i="134"/>
  <c r="B76" i="134"/>
  <c r="N70" i="134"/>
  <c r="M70" i="134"/>
  <c r="L70" i="134"/>
  <c r="K70" i="134"/>
  <c r="J70" i="134"/>
  <c r="I70" i="134"/>
  <c r="H70" i="134"/>
  <c r="G70" i="134"/>
  <c r="F70" i="134"/>
  <c r="E70" i="134"/>
  <c r="D70" i="134"/>
  <c r="C70" i="134"/>
  <c r="A70" i="134"/>
  <c r="N69" i="134"/>
  <c r="M69" i="134"/>
  <c r="L69" i="134"/>
  <c r="K69" i="134"/>
  <c r="J69" i="134"/>
  <c r="I69" i="134"/>
  <c r="H69" i="134"/>
  <c r="G69" i="134"/>
  <c r="F69" i="134"/>
  <c r="E69" i="134"/>
  <c r="D69" i="134"/>
  <c r="C69" i="134"/>
  <c r="B69" i="134"/>
  <c r="N68" i="134"/>
  <c r="M68" i="134"/>
  <c r="L68" i="134"/>
  <c r="K68" i="134"/>
  <c r="J68" i="134"/>
  <c r="I68" i="134"/>
  <c r="H68" i="134"/>
  <c r="G68" i="134"/>
  <c r="F68" i="134"/>
  <c r="E68" i="134"/>
  <c r="D68" i="134"/>
  <c r="C68" i="134"/>
  <c r="B68" i="134"/>
  <c r="N67" i="134"/>
  <c r="M67" i="134"/>
  <c r="L67" i="134"/>
  <c r="K67" i="134"/>
  <c r="J67" i="134"/>
  <c r="I67" i="134"/>
  <c r="H67" i="134"/>
  <c r="G67" i="134"/>
  <c r="F67" i="134"/>
  <c r="E67" i="134"/>
  <c r="D67" i="134"/>
  <c r="C67" i="134"/>
  <c r="B67" i="134"/>
  <c r="N66" i="134"/>
  <c r="M66" i="134"/>
  <c r="L66" i="134"/>
  <c r="K66" i="134"/>
  <c r="J66" i="134"/>
  <c r="I66" i="134"/>
  <c r="H66" i="134"/>
  <c r="G66" i="134"/>
  <c r="F66" i="134"/>
  <c r="E66" i="134"/>
  <c r="D66" i="134"/>
  <c r="C66" i="134"/>
  <c r="B66" i="134"/>
  <c r="N65" i="134"/>
  <c r="M65" i="134"/>
  <c r="L65" i="134"/>
  <c r="K65" i="134"/>
  <c r="J65" i="134"/>
  <c r="I65" i="134"/>
  <c r="H65" i="134"/>
  <c r="G65" i="134"/>
  <c r="F65" i="134"/>
  <c r="E65" i="134"/>
  <c r="D65" i="134"/>
  <c r="C65" i="134"/>
  <c r="B65" i="134"/>
  <c r="N64" i="134"/>
  <c r="M64" i="134"/>
  <c r="L64" i="134"/>
  <c r="K64" i="134"/>
  <c r="J64" i="134"/>
  <c r="I64" i="134"/>
  <c r="H64" i="134"/>
  <c r="G64" i="134"/>
  <c r="F64" i="134"/>
  <c r="E64" i="134"/>
  <c r="D64" i="134"/>
  <c r="C64" i="134"/>
  <c r="B64" i="134"/>
  <c r="N63" i="134"/>
  <c r="M63" i="134"/>
  <c r="L63" i="134"/>
  <c r="K63" i="134"/>
  <c r="J63" i="134"/>
  <c r="I63" i="134"/>
  <c r="H63" i="134"/>
  <c r="G63" i="134"/>
  <c r="F63" i="134"/>
  <c r="E63" i="134"/>
  <c r="D63" i="134"/>
  <c r="C63" i="134"/>
  <c r="B63" i="134"/>
  <c r="N62" i="134"/>
  <c r="M62" i="134"/>
  <c r="L62" i="134"/>
  <c r="K62" i="134"/>
  <c r="J62" i="134"/>
  <c r="I62" i="134"/>
  <c r="H62" i="134"/>
  <c r="G62" i="134"/>
  <c r="F62" i="134"/>
  <c r="E62" i="134"/>
  <c r="D62" i="134"/>
  <c r="C62" i="134"/>
  <c r="B62" i="134"/>
  <c r="N61" i="134"/>
  <c r="M61" i="134"/>
  <c r="L61" i="134"/>
  <c r="K61" i="134"/>
  <c r="J61" i="134"/>
  <c r="I61" i="134"/>
  <c r="H61" i="134"/>
  <c r="G61" i="134"/>
  <c r="F61" i="134"/>
  <c r="E61" i="134"/>
  <c r="D61" i="134"/>
  <c r="C61" i="134"/>
  <c r="B61" i="134"/>
  <c r="N60" i="134"/>
  <c r="M60" i="134"/>
  <c r="L60" i="134"/>
  <c r="K60" i="134"/>
  <c r="J60" i="134"/>
  <c r="I60" i="134"/>
  <c r="H60" i="134"/>
  <c r="G60" i="134"/>
  <c r="F60" i="134"/>
  <c r="E60" i="134"/>
  <c r="D60" i="134"/>
  <c r="C60" i="134"/>
  <c r="B60" i="134"/>
  <c r="N59" i="134"/>
  <c r="M59" i="134"/>
  <c r="L59" i="134"/>
  <c r="K59" i="134"/>
  <c r="J59" i="134"/>
  <c r="I59" i="134"/>
  <c r="H59" i="134"/>
  <c r="G59" i="134"/>
  <c r="F59" i="134"/>
  <c r="E59" i="134"/>
  <c r="D59" i="134"/>
  <c r="C59" i="134"/>
  <c r="B59" i="134"/>
  <c r="N58" i="134"/>
  <c r="M58" i="134"/>
  <c r="L58" i="134"/>
  <c r="K58" i="134"/>
  <c r="J58" i="134"/>
  <c r="I58" i="134"/>
  <c r="H58" i="134"/>
  <c r="G58" i="134"/>
  <c r="F58" i="134"/>
  <c r="E58" i="134"/>
  <c r="D58" i="134"/>
  <c r="C58" i="134"/>
  <c r="B58" i="134"/>
  <c r="N54" i="134"/>
  <c r="M54" i="134"/>
  <c r="L54" i="134"/>
  <c r="K54" i="134"/>
  <c r="J54" i="134"/>
  <c r="I54" i="134"/>
  <c r="H54" i="134"/>
  <c r="G54" i="134"/>
  <c r="F54" i="134"/>
  <c r="E54" i="134"/>
  <c r="D54" i="134"/>
  <c r="C54" i="134"/>
  <c r="A54" i="134"/>
  <c r="N53" i="134"/>
  <c r="M53" i="134"/>
  <c r="L53" i="134"/>
  <c r="K53" i="134"/>
  <c r="J53" i="134"/>
  <c r="I53" i="134"/>
  <c r="H53" i="134"/>
  <c r="G53" i="134"/>
  <c r="F53" i="134"/>
  <c r="E53" i="134"/>
  <c r="D53" i="134"/>
  <c r="C53" i="134"/>
  <c r="B53" i="134"/>
  <c r="N52" i="134"/>
  <c r="M52" i="134"/>
  <c r="L52" i="134"/>
  <c r="K52" i="134"/>
  <c r="J52" i="134"/>
  <c r="I52" i="134"/>
  <c r="H52" i="134"/>
  <c r="G52" i="134"/>
  <c r="F52" i="134"/>
  <c r="E52" i="134"/>
  <c r="D52" i="134"/>
  <c r="C52" i="134"/>
  <c r="B52" i="134"/>
  <c r="N51" i="134"/>
  <c r="M51" i="134"/>
  <c r="L51" i="134"/>
  <c r="K51" i="134"/>
  <c r="J51" i="134"/>
  <c r="I51" i="134"/>
  <c r="H51" i="134"/>
  <c r="G51" i="134"/>
  <c r="F51" i="134"/>
  <c r="E51" i="134"/>
  <c r="D51" i="134"/>
  <c r="C51" i="134"/>
  <c r="B51" i="134"/>
  <c r="N50" i="134"/>
  <c r="M50" i="134"/>
  <c r="L50" i="134"/>
  <c r="K50" i="134"/>
  <c r="J50" i="134"/>
  <c r="I50" i="134"/>
  <c r="H50" i="134"/>
  <c r="G50" i="134"/>
  <c r="F50" i="134"/>
  <c r="E50" i="134"/>
  <c r="D50" i="134"/>
  <c r="C50" i="134"/>
  <c r="B50" i="134"/>
  <c r="N49" i="134"/>
  <c r="M49" i="134"/>
  <c r="L49" i="134"/>
  <c r="K49" i="134"/>
  <c r="J49" i="134"/>
  <c r="I49" i="134"/>
  <c r="H49" i="134"/>
  <c r="G49" i="134"/>
  <c r="F49" i="134"/>
  <c r="E49" i="134"/>
  <c r="D49" i="134"/>
  <c r="C49" i="134"/>
  <c r="B49" i="134"/>
  <c r="N48" i="134"/>
  <c r="M48" i="134"/>
  <c r="L48" i="134"/>
  <c r="K48" i="134"/>
  <c r="J48" i="134"/>
  <c r="I48" i="134"/>
  <c r="H48" i="134"/>
  <c r="G48" i="134"/>
  <c r="F48" i="134"/>
  <c r="E48" i="134"/>
  <c r="D48" i="134"/>
  <c r="C48" i="134"/>
  <c r="B48" i="134"/>
  <c r="N47" i="134"/>
  <c r="M47" i="134"/>
  <c r="L47" i="134"/>
  <c r="K47" i="134"/>
  <c r="J47" i="134"/>
  <c r="I47" i="134"/>
  <c r="H47" i="134"/>
  <c r="G47" i="134"/>
  <c r="F47" i="134"/>
  <c r="E47" i="134"/>
  <c r="D47" i="134"/>
  <c r="C47" i="134"/>
  <c r="B47" i="134"/>
  <c r="N46" i="134"/>
  <c r="M46" i="134"/>
  <c r="L46" i="134"/>
  <c r="K46" i="134"/>
  <c r="J46" i="134"/>
  <c r="I46" i="134"/>
  <c r="H46" i="134"/>
  <c r="G46" i="134"/>
  <c r="F46" i="134"/>
  <c r="E46" i="134"/>
  <c r="D46" i="134"/>
  <c r="C46" i="134"/>
  <c r="B46" i="134"/>
  <c r="N45" i="134"/>
  <c r="M45" i="134"/>
  <c r="L45" i="134"/>
  <c r="K45" i="134"/>
  <c r="J45" i="134"/>
  <c r="I45" i="134"/>
  <c r="H45" i="134"/>
  <c r="G45" i="134"/>
  <c r="F45" i="134"/>
  <c r="E45" i="134"/>
  <c r="D45" i="134"/>
  <c r="C45" i="134"/>
  <c r="B45" i="134"/>
  <c r="N44" i="134"/>
  <c r="M44" i="134"/>
  <c r="L44" i="134"/>
  <c r="K44" i="134"/>
  <c r="J44" i="134"/>
  <c r="I44" i="134"/>
  <c r="H44" i="134"/>
  <c r="G44" i="134"/>
  <c r="F44" i="134"/>
  <c r="E44" i="134"/>
  <c r="D44" i="134"/>
  <c r="C44" i="134"/>
  <c r="B44" i="134"/>
  <c r="N43" i="134"/>
  <c r="M43" i="134"/>
  <c r="L43" i="134"/>
  <c r="K43" i="134"/>
  <c r="J43" i="134"/>
  <c r="I43" i="134"/>
  <c r="H43" i="134"/>
  <c r="G43" i="134"/>
  <c r="F43" i="134"/>
  <c r="E43" i="134"/>
  <c r="D43" i="134"/>
  <c r="C43" i="134"/>
  <c r="B43" i="134"/>
  <c r="N42" i="134"/>
  <c r="M42" i="134"/>
  <c r="L42" i="134"/>
  <c r="K42" i="134"/>
  <c r="J42" i="134"/>
  <c r="I42" i="134"/>
  <c r="H42" i="134"/>
  <c r="G42" i="134"/>
  <c r="F42" i="134"/>
  <c r="E42" i="134"/>
  <c r="D42" i="134"/>
  <c r="C42" i="134"/>
  <c r="B42" i="134"/>
  <c r="N36" i="134"/>
  <c r="M36" i="134"/>
  <c r="L36" i="134"/>
  <c r="K36" i="134"/>
  <c r="J36" i="134"/>
  <c r="I36" i="134"/>
  <c r="H36" i="134"/>
  <c r="G36" i="134"/>
  <c r="F36" i="134"/>
  <c r="E36" i="134"/>
  <c r="D36" i="134"/>
  <c r="C36" i="134"/>
  <c r="B36" i="134"/>
  <c r="N35" i="134"/>
  <c r="M35" i="134"/>
  <c r="L35" i="134"/>
  <c r="K35" i="134"/>
  <c r="J35" i="134"/>
  <c r="I35" i="134"/>
  <c r="H35" i="134"/>
  <c r="G35" i="134"/>
  <c r="F35" i="134"/>
  <c r="E35" i="134"/>
  <c r="D35" i="134"/>
  <c r="C35" i="134"/>
  <c r="B35" i="134"/>
  <c r="I31" i="134"/>
  <c r="H31" i="134"/>
  <c r="G31" i="134"/>
  <c r="E31" i="134"/>
  <c r="D31" i="134"/>
  <c r="C31" i="134"/>
  <c r="B31" i="134"/>
  <c r="A31" i="134"/>
  <c r="D30" i="134"/>
  <c r="C30" i="134"/>
  <c r="B30" i="134"/>
  <c r="D29" i="134"/>
  <c r="C29" i="134"/>
  <c r="B29" i="134"/>
  <c r="D28" i="134"/>
  <c r="C28" i="134"/>
  <c r="B28" i="134"/>
  <c r="D27" i="134"/>
  <c r="C27" i="134"/>
  <c r="B27" i="134"/>
  <c r="D26" i="134"/>
  <c r="C26" i="134"/>
  <c r="B26" i="134"/>
  <c r="D25" i="134"/>
  <c r="C25" i="134"/>
  <c r="B25" i="134"/>
  <c r="D24" i="134"/>
  <c r="C24" i="134"/>
  <c r="B24" i="134"/>
  <c r="D23" i="134"/>
  <c r="C23" i="134"/>
  <c r="B23" i="134"/>
  <c r="D22" i="134"/>
  <c r="C22" i="134"/>
  <c r="B22" i="134"/>
  <c r="D21" i="134"/>
  <c r="C21" i="134"/>
  <c r="B21" i="134"/>
  <c r="D20" i="134"/>
  <c r="C20" i="134"/>
  <c r="C19" i="134"/>
  <c r="B19" i="134"/>
  <c r="N15" i="134"/>
  <c r="M15" i="134"/>
  <c r="L15" i="134"/>
  <c r="K15" i="134"/>
  <c r="J15" i="134"/>
  <c r="I15" i="134"/>
  <c r="H15" i="134"/>
  <c r="G15" i="134"/>
  <c r="F15" i="134"/>
  <c r="E15" i="134"/>
  <c r="D15" i="134"/>
  <c r="C15" i="134"/>
  <c r="B15" i="134"/>
  <c r="N14" i="134"/>
  <c r="M14" i="134"/>
  <c r="L14" i="134"/>
  <c r="K14" i="134"/>
  <c r="J14" i="134"/>
  <c r="I14" i="134"/>
  <c r="H14" i="134"/>
  <c r="G14" i="134"/>
  <c r="F14" i="134"/>
  <c r="E14" i="134"/>
  <c r="D14" i="134"/>
  <c r="C14" i="134"/>
  <c r="B14" i="134"/>
  <c r="A10" i="134"/>
  <c r="A1" i="134"/>
  <c r="N371" i="86"/>
  <c r="M371" i="86"/>
  <c r="L371" i="86"/>
  <c r="K371" i="86"/>
  <c r="J371" i="86"/>
  <c r="I371" i="86"/>
  <c r="H371" i="86"/>
  <c r="G371" i="86"/>
  <c r="F371" i="86"/>
  <c r="E371" i="86"/>
  <c r="D371" i="86"/>
  <c r="C371" i="86"/>
  <c r="A371" i="86"/>
  <c r="N370" i="86"/>
  <c r="M370" i="86"/>
  <c r="L370" i="86"/>
  <c r="K370" i="86"/>
  <c r="J370" i="86"/>
  <c r="I370" i="86"/>
  <c r="H370" i="86"/>
  <c r="G370" i="86"/>
  <c r="F370" i="86"/>
  <c r="E370" i="86"/>
  <c r="D370" i="86"/>
  <c r="C370" i="86"/>
  <c r="A370" i="86"/>
  <c r="N369" i="86"/>
  <c r="M369" i="86"/>
  <c r="L369" i="86"/>
  <c r="K369" i="86"/>
  <c r="J369" i="86"/>
  <c r="I369" i="86"/>
  <c r="H369" i="86"/>
  <c r="G369" i="86"/>
  <c r="F369" i="86"/>
  <c r="E369" i="86"/>
  <c r="D369" i="86"/>
  <c r="C369" i="86"/>
  <c r="N368" i="86"/>
  <c r="M368" i="86"/>
  <c r="L368" i="86"/>
  <c r="K368" i="86"/>
  <c r="J368" i="86"/>
  <c r="I368" i="86"/>
  <c r="H368" i="86"/>
  <c r="G368" i="86"/>
  <c r="F368" i="86"/>
  <c r="E368" i="86"/>
  <c r="D368" i="86"/>
  <c r="C368" i="86"/>
  <c r="N367" i="86"/>
  <c r="M367" i="86"/>
  <c r="L367" i="86"/>
  <c r="K367" i="86"/>
  <c r="J367" i="86"/>
  <c r="I367" i="86"/>
  <c r="H367" i="86"/>
  <c r="G367" i="86"/>
  <c r="F367" i="86"/>
  <c r="E367" i="86"/>
  <c r="D367" i="86"/>
  <c r="C367" i="86"/>
  <c r="A367" i="86"/>
  <c r="N366" i="86"/>
  <c r="M366" i="86"/>
  <c r="L366" i="86"/>
  <c r="K366" i="86"/>
  <c r="J366" i="86"/>
  <c r="I366" i="86"/>
  <c r="H366" i="86"/>
  <c r="G366" i="86"/>
  <c r="F366" i="86"/>
  <c r="E366" i="86"/>
  <c r="D366" i="86"/>
  <c r="C366" i="86"/>
  <c r="B366" i="86"/>
  <c r="N365" i="86"/>
  <c r="M365" i="86"/>
  <c r="L365" i="86"/>
  <c r="K365" i="86"/>
  <c r="J365" i="86"/>
  <c r="I365" i="86"/>
  <c r="H365" i="86"/>
  <c r="G365" i="86"/>
  <c r="F365" i="86"/>
  <c r="E365" i="86"/>
  <c r="D365" i="86"/>
  <c r="C365" i="86"/>
  <c r="B365" i="86"/>
  <c r="N364" i="86"/>
  <c r="M364" i="86"/>
  <c r="L364" i="86"/>
  <c r="K364" i="86"/>
  <c r="J364" i="86"/>
  <c r="I364" i="86"/>
  <c r="H364" i="86"/>
  <c r="G364" i="86"/>
  <c r="F364" i="86"/>
  <c r="E364" i="86"/>
  <c r="D364" i="86"/>
  <c r="C364" i="86"/>
  <c r="B364" i="86"/>
  <c r="N363" i="86"/>
  <c r="M363" i="86"/>
  <c r="L363" i="86"/>
  <c r="K363" i="86"/>
  <c r="J363" i="86"/>
  <c r="I363" i="86"/>
  <c r="H363" i="86"/>
  <c r="G363" i="86"/>
  <c r="F363" i="86"/>
  <c r="E363" i="86"/>
  <c r="D363" i="86"/>
  <c r="C363" i="86"/>
  <c r="B363" i="86"/>
  <c r="N362" i="86"/>
  <c r="M362" i="86"/>
  <c r="L362" i="86"/>
  <c r="K362" i="86"/>
  <c r="J362" i="86"/>
  <c r="I362" i="86"/>
  <c r="H362" i="86"/>
  <c r="G362" i="86"/>
  <c r="F362" i="86"/>
  <c r="E362" i="86"/>
  <c r="D362" i="86"/>
  <c r="C362" i="86"/>
  <c r="B362" i="86"/>
  <c r="N361" i="86"/>
  <c r="M361" i="86"/>
  <c r="L361" i="86"/>
  <c r="K361" i="86"/>
  <c r="J361" i="86"/>
  <c r="I361" i="86"/>
  <c r="H361" i="86"/>
  <c r="G361" i="86"/>
  <c r="F361" i="86"/>
  <c r="E361" i="86"/>
  <c r="D361" i="86"/>
  <c r="C361" i="86"/>
  <c r="B361" i="86"/>
  <c r="N360" i="86"/>
  <c r="M360" i="86"/>
  <c r="L360" i="86"/>
  <c r="K360" i="86"/>
  <c r="J360" i="86"/>
  <c r="I360" i="86"/>
  <c r="H360" i="86"/>
  <c r="G360" i="86"/>
  <c r="F360" i="86"/>
  <c r="E360" i="86"/>
  <c r="D360" i="86"/>
  <c r="C360" i="86"/>
  <c r="B360" i="86"/>
  <c r="N359" i="86"/>
  <c r="M359" i="86"/>
  <c r="L359" i="86"/>
  <c r="K359" i="86"/>
  <c r="J359" i="86"/>
  <c r="I359" i="86"/>
  <c r="H359" i="86"/>
  <c r="G359" i="86"/>
  <c r="F359" i="86"/>
  <c r="E359" i="86"/>
  <c r="D359" i="86"/>
  <c r="C359" i="86"/>
  <c r="B359" i="86"/>
  <c r="N358" i="86"/>
  <c r="M358" i="86"/>
  <c r="L358" i="86"/>
  <c r="K358" i="86"/>
  <c r="J358" i="86"/>
  <c r="I358" i="86"/>
  <c r="H358" i="86"/>
  <c r="G358" i="86"/>
  <c r="F358" i="86"/>
  <c r="E358" i="86"/>
  <c r="D358" i="86"/>
  <c r="C358" i="86"/>
  <c r="B358" i="86"/>
  <c r="N357" i="86"/>
  <c r="M357" i="86"/>
  <c r="L357" i="86"/>
  <c r="K357" i="86"/>
  <c r="J357" i="86"/>
  <c r="I357" i="86"/>
  <c r="H357" i="86"/>
  <c r="G357" i="86"/>
  <c r="F357" i="86"/>
  <c r="E357" i="86"/>
  <c r="D357" i="86"/>
  <c r="C357" i="86"/>
  <c r="B357" i="86"/>
  <c r="N356" i="86"/>
  <c r="M356" i="86"/>
  <c r="L356" i="86"/>
  <c r="K356" i="86"/>
  <c r="J356" i="86"/>
  <c r="I356" i="86"/>
  <c r="H356" i="86"/>
  <c r="G356" i="86"/>
  <c r="F356" i="86"/>
  <c r="E356" i="86"/>
  <c r="D356" i="86"/>
  <c r="C356" i="86"/>
  <c r="B356" i="86"/>
  <c r="N355" i="86"/>
  <c r="M355" i="86"/>
  <c r="L355" i="86"/>
  <c r="K355" i="86"/>
  <c r="J355" i="86"/>
  <c r="I355" i="86"/>
  <c r="H355" i="86"/>
  <c r="G355" i="86"/>
  <c r="F355" i="86"/>
  <c r="E355" i="86"/>
  <c r="D355" i="86"/>
  <c r="C355" i="86"/>
  <c r="B355" i="86"/>
  <c r="N351" i="86"/>
  <c r="M351" i="86"/>
  <c r="L351" i="86"/>
  <c r="K351" i="86"/>
  <c r="J351" i="86"/>
  <c r="I351" i="86"/>
  <c r="H351" i="86"/>
  <c r="G351" i="86"/>
  <c r="F351" i="86"/>
  <c r="E351" i="86"/>
  <c r="D351" i="86"/>
  <c r="C351" i="86"/>
  <c r="A351" i="86"/>
  <c r="N350" i="86"/>
  <c r="M350" i="86"/>
  <c r="L350" i="86"/>
  <c r="K350" i="86"/>
  <c r="J350" i="86"/>
  <c r="I350" i="86"/>
  <c r="H350" i="86"/>
  <c r="G350" i="86"/>
  <c r="F350" i="86"/>
  <c r="E350" i="86"/>
  <c r="D350" i="86"/>
  <c r="C350" i="86"/>
  <c r="B350" i="86"/>
  <c r="N349" i="86"/>
  <c r="M349" i="86"/>
  <c r="L349" i="86"/>
  <c r="K349" i="86"/>
  <c r="J349" i="86"/>
  <c r="I349" i="86"/>
  <c r="H349" i="86"/>
  <c r="G349" i="86"/>
  <c r="F349" i="86"/>
  <c r="E349" i="86"/>
  <c r="D349" i="86"/>
  <c r="C349" i="86"/>
  <c r="B349" i="86"/>
  <c r="N348" i="86"/>
  <c r="M348" i="86"/>
  <c r="L348" i="86"/>
  <c r="K348" i="86"/>
  <c r="J348" i="86"/>
  <c r="I348" i="86"/>
  <c r="H348" i="86"/>
  <c r="G348" i="86"/>
  <c r="F348" i="86"/>
  <c r="E348" i="86"/>
  <c r="D348" i="86"/>
  <c r="C348" i="86"/>
  <c r="B348" i="86"/>
  <c r="N347" i="86"/>
  <c r="M347" i="86"/>
  <c r="L347" i="86"/>
  <c r="K347" i="86"/>
  <c r="J347" i="86"/>
  <c r="I347" i="86"/>
  <c r="H347" i="86"/>
  <c r="G347" i="86"/>
  <c r="F347" i="86"/>
  <c r="E347" i="86"/>
  <c r="D347" i="86"/>
  <c r="C347" i="86"/>
  <c r="B347" i="86"/>
  <c r="N346" i="86"/>
  <c r="M346" i="86"/>
  <c r="L346" i="86"/>
  <c r="K346" i="86"/>
  <c r="J346" i="86"/>
  <c r="I346" i="86"/>
  <c r="H346" i="86"/>
  <c r="G346" i="86"/>
  <c r="F346" i="86"/>
  <c r="E346" i="86"/>
  <c r="D346" i="86"/>
  <c r="C346" i="86"/>
  <c r="B346" i="86"/>
  <c r="N345" i="86"/>
  <c r="M345" i="86"/>
  <c r="L345" i="86"/>
  <c r="K345" i="86"/>
  <c r="J345" i="86"/>
  <c r="I345" i="86"/>
  <c r="H345" i="86"/>
  <c r="G345" i="86"/>
  <c r="F345" i="86"/>
  <c r="E345" i="86"/>
  <c r="D345" i="86"/>
  <c r="C345" i="86"/>
  <c r="B345" i="86"/>
  <c r="N344" i="86"/>
  <c r="M344" i="86"/>
  <c r="L344" i="86"/>
  <c r="K344" i="86"/>
  <c r="J344" i="86"/>
  <c r="I344" i="86"/>
  <c r="H344" i="86"/>
  <c r="G344" i="86"/>
  <c r="F344" i="86"/>
  <c r="E344" i="86"/>
  <c r="D344" i="86"/>
  <c r="C344" i="86"/>
  <c r="B344" i="86"/>
  <c r="N343" i="86"/>
  <c r="M343" i="86"/>
  <c r="L343" i="86"/>
  <c r="K343" i="86"/>
  <c r="J343" i="86"/>
  <c r="I343" i="86"/>
  <c r="H343" i="86"/>
  <c r="G343" i="86"/>
  <c r="F343" i="86"/>
  <c r="E343" i="86"/>
  <c r="D343" i="86"/>
  <c r="C343" i="86"/>
  <c r="B343" i="86"/>
  <c r="N342" i="86"/>
  <c r="M342" i="86"/>
  <c r="L342" i="86"/>
  <c r="K342" i="86"/>
  <c r="J342" i="86"/>
  <c r="I342" i="86"/>
  <c r="H342" i="86"/>
  <c r="G342" i="86"/>
  <c r="F342" i="86"/>
  <c r="E342" i="86"/>
  <c r="D342" i="86"/>
  <c r="C342" i="86"/>
  <c r="B342" i="86"/>
  <c r="N341" i="86"/>
  <c r="M341" i="86"/>
  <c r="L341" i="86"/>
  <c r="K341" i="86"/>
  <c r="J341" i="86"/>
  <c r="I341" i="86"/>
  <c r="H341" i="86"/>
  <c r="G341" i="86"/>
  <c r="F341" i="86"/>
  <c r="E341" i="86"/>
  <c r="D341" i="86"/>
  <c r="C341" i="86"/>
  <c r="B341" i="86"/>
  <c r="N340" i="86"/>
  <c r="M340" i="86"/>
  <c r="L340" i="86"/>
  <c r="K340" i="86"/>
  <c r="J340" i="86"/>
  <c r="I340" i="86"/>
  <c r="H340" i="86"/>
  <c r="G340" i="86"/>
  <c r="F340" i="86"/>
  <c r="E340" i="86"/>
  <c r="D340" i="86"/>
  <c r="C340" i="86"/>
  <c r="B340" i="86"/>
  <c r="N339" i="86"/>
  <c r="M339" i="86"/>
  <c r="L339" i="86"/>
  <c r="K339" i="86"/>
  <c r="J339" i="86"/>
  <c r="I339" i="86"/>
  <c r="H339" i="86"/>
  <c r="G339" i="86"/>
  <c r="F339" i="86"/>
  <c r="E339" i="86"/>
  <c r="D339" i="86"/>
  <c r="C339" i="86"/>
  <c r="B339" i="86"/>
  <c r="N333" i="86"/>
  <c r="M333" i="86"/>
  <c r="L333" i="86"/>
  <c r="K333" i="86"/>
  <c r="J333" i="86"/>
  <c r="I333" i="86"/>
  <c r="H333" i="86"/>
  <c r="G333" i="86"/>
  <c r="F333" i="86"/>
  <c r="E333" i="86"/>
  <c r="D333" i="86"/>
  <c r="C333" i="86"/>
  <c r="A333" i="86"/>
  <c r="N332" i="86"/>
  <c r="M332" i="86"/>
  <c r="L332" i="86"/>
  <c r="K332" i="86"/>
  <c r="J332" i="86"/>
  <c r="I332" i="86"/>
  <c r="H332" i="86"/>
  <c r="G332" i="86"/>
  <c r="F332" i="86"/>
  <c r="E332" i="86"/>
  <c r="D332" i="86"/>
  <c r="C332" i="86"/>
  <c r="N331" i="86"/>
  <c r="M331" i="86"/>
  <c r="L331" i="86"/>
  <c r="K331" i="86"/>
  <c r="J331" i="86"/>
  <c r="I331" i="86"/>
  <c r="H331" i="86"/>
  <c r="G331" i="86"/>
  <c r="F331" i="86"/>
  <c r="E331" i="86"/>
  <c r="D331" i="86"/>
  <c r="C331" i="86"/>
  <c r="N330" i="86"/>
  <c r="M330" i="86"/>
  <c r="L330" i="86"/>
  <c r="K330" i="86"/>
  <c r="J330" i="86"/>
  <c r="I330" i="86"/>
  <c r="H330" i="86"/>
  <c r="G330" i="86"/>
  <c r="F330" i="86"/>
  <c r="E330" i="86"/>
  <c r="D330" i="86"/>
  <c r="C330" i="86"/>
  <c r="A330" i="86"/>
  <c r="N329" i="86"/>
  <c r="M329" i="86"/>
  <c r="L329" i="86"/>
  <c r="K329" i="86"/>
  <c r="J329" i="86"/>
  <c r="I329" i="86"/>
  <c r="H329" i="86"/>
  <c r="G329" i="86"/>
  <c r="F329" i="86"/>
  <c r="E329" i="86"/>
  <c r="D329" i="86"/>
  <c r="C329" i="86"/>
  <c r="B329" i="86"/>
  <c r="N328" i="86"/>
  <c r="M328" i="86"/>
  <c r="L328" i="86"/>
  <c r="K328" i="86"/>
  <c r="J328" i="86"/>
  <c r="I328" i="86"/>
  <c r="H328" i="86"/>
  <c r="G328" i="86"/>
  <c r="F328" i="86"/>
  <c r="E328" i="86"/>
  <c r="D328" i="86"/>
  <c r="C328" i="86"/>
  <c r="B328" i="86"/>
  <c r="N327" i="86"/>
  <c r="M327" i="86"/>
  <c r="L327" i="86"/>
  <c r="K327" i="86"/>
  <c r="J327" i="86"/>
  <c r="I327" i="86"/>
  <c r="H327" i="86"/>
  <c r="G327" i="86"/>
  <c r="F327" i="86"/>
  <c r="E327" i="86"/>
  <c r="D327" i="86"/>
  <c r="C327" i="86"/>
  <c r="B327" i="86"/>
  <c r="N326" i="86"/>
  <c r="M326" i="86"/>
  <c r="L326" i="86"/>
  <c r="K326" i="86"/>
  <c r="J326" i="86"/>
  <c r="I326" i="86"/>
  <c r="H326" i="86"/>
  <c r="G326" i="86"/>
  <c r="F326" i="86"/>
  <c r="E326" i="86"/>
  <c r="D326" i="86"/>
  <c r="C326" i="86"/>
  <c r="B326" i="86"/>
  <c r="N325" i="86"/>
  <c r="M325" i="86"/>
  <c r="L325" i="86"/>
  <c r="K325" i="86"/>
  <c r="J325" i="86"/>
  <c r="I325" i="86"/>
  <c r="H325" i="86"/>
  <c r="G325" i="86"/>
  <c r="F325" i="86"/>
  <c r="E325" i="86"/>
  <c r="D325" i="86"/>
  <c r="C325" i="86"/>
  <c r="B325" i="86"/>
  <c r="N324" i="86"/>
  <c r="M324" i="86"/>
  <c r="L324" i="86"/>
  <c r="K324" i="86"/>
  <c r="J324" i="86"/>
  <c r="I324" i="86"/>
  <c r="H324" i="86"/>
  <c r="G324" i="86"/>
  <c r="F324" i="86"/>
  <c r="E324" i="86"/>
  <c r="D324" i="86"/>
  <c r="C324" i="86"/>
  <c r="B324" i="86"/>
  <c r="N323" i="86"/>
  <c r="M323" i="86"/>
  <c r="L323" i="86"/>
  <c r="K323" i="86"/>
  <c r="J323" i="86"/>
  <c r="I323" i="86"/>
  <c r="H323" i="86"/>
  <c r="G323" i="86"/>
  <c r="F323" i="86"/>
  <c r="E323" i="86"/>
  <c r="D323" i="86"/>
  <c r="C323" i="86"/>
  <c r="B323" i="86"/>
  <c r="N322" i="86"/>
  <c r="M322" i="86"/>
  <c r="L322" i="86"/>
  <c r="K322" i="86"/>
  <c r="J322" i="86"/>
  <c r="I322" i="86"/>
  <c r="H322" i="86"/>
  <c r="G322" i="86"/>
  <c r="F322" i="86"/>
  <c r="E322" i="86"/>
  <c r="D322" i="86"/>
  <c r="C322" i="86"/>
  <c r="B322" i="86"/>
  <c r="N321" i="86"/>
  <c r="M321" i="86"/>
  <c r="L321" i="86"/>
  <c r="K321" i="86"/>
  <c r="J321" i="86"/>
  <c r="I321" i="86"/>
  <c r="H321" i="86"/>
  <c r="G321" i="86"/>
  <c r="F321" i="86"/>
  <c r="E321" i="86"/>
  <c r="D321" i="86"/>
  <c r="C321" i="86"/>
  <c r="B321" i="86"/>
  <c r="N320" i="86"/>
  <c r="M320" i="86"/>
  <c r="L320" i="86"/>
  <c r="K320" i="86"/>
  <c r="J320" i="86"/>
  <c r="I320" i="86"/>
  <c r="H320" i="86"/>
  <c r="G320" i="86"/>
  <c r="F320" i="86"/>
  <c r="E320" i="86"/>
  <c r="D320" i="86"/>
  <c r="C320" i="86"/>
  <c r="B320" i="86"/>
  <c r="N319" i="86"/>
  <c r="M319" i="86"/>
  <c r="L319" i="86"/>
  <c r="K319" i="86"/>
  <c r="J319" i="86"/>
  <c r="I319" i="86"/>
  <c r="H319" i="86"/>
  <c r="G319" i="86"/>
  <c r="F319" i="86"/>
  <c r="E319" i="86"/>
  <c r="D319" i="86"/>
  <c r="C319" i="86"/>
  <c r="B319" i="86"/>
  <c r="N318" i="86"/>
  <c r="M318" i="86"/>
  <c r="L318" i="86"/>
  <c r="K318" i="86"/>
  <c r="J318" i="86"/>
  <c r="I318" i="86"/>
  <c r="H318" i="86"/>
  <c r="G318" i="86"/>
  <c r="F318" i="86"/>
  <c r="E318" i="86"/>
  <c r="D318" i="86"/>
  <c r="C318" i="86"/>
  <c r="B318" i="86"/>
  <c r="N314" i="86"/>
  <c r="M314" i="86"/>
  <c r="L314" i="86"/>
  <c r="K314" i="86"/>
  <c r="J314" i="86"/>
  <c r="I314" i="86"/>
  <c r="H314" i="86"/>
  <c r="G314" i="86"/>
  <c r="F314" i="86"/>
  <c r="E314" i="86"/>
  <c r="D314" i="86"/>
  <c r="C314" i="86"/>
  <c r="A314" i="86"/>
  <c r="N313" i="86"/>
  <c r="M313" i="86"/>
  <c r="L313" i="86"/>
  <c r="K313" i="86"/>
  <c r="J313" i="86"/>
  <c r="I313" i="86"/>
  <c r="H313" i="86"/>
  <c r="G313" i="86"/>
  <c r="F313" i="86"/>
  <c r="E313" i="86"/>
  <c r="D313" i="86"/>
  <c r="C313" i="86"/>
  <c r="B313" i="86"/>
  <c r="N312" i="86"/>
  <c r="M312" i="86"/>
  <c r="L312" i="86"/>
  <c r="K312" i="86"/>
  <c r="J312" i="86"/>
  <c r="I312" i="86"/>
  <c r="H312" i="86"/>
  <c r="G312" i="86"/>
  <c r="F312" i="86"/>
  <c r="E312" i="86"/>
  <c r="D312" i="86"/>
  <c r="C312" i="86"/>
  <c r="B312" i="86"/>
  <c r="N311" i="86"/>
  <c r="M311" i="86"/>
  <c r="L311" i="86"/>
  <c r="K311" i="86"/>
  <c r="J311" i="86"/>
  <c r="I311" i="86"/>
  <c r="H311" i="86"/>
  <c r="G311" i="86"/>
  <c r="F311" i="86"/>
  <c r="E311" i="86"/>
  <c r="D311" i="86"/>
  <c r="C311" i="86"/>
  <c r="B311" i="86"/>
  <c r="N310" i="86"/>
  <c r="M310" i="86"/>
  <c r="L310" i="86"/>
  <c r="K310" i="86"/>
  <c r="J310" i="86"/>
  <c r="I310" i="86"/>
  <c r="H310" i="86"/>
  <c r="G310" i="86"/>
  <c r="F310" i="86"/>
  <c r="E310" i="86"/>
  <c r="D310" i="86"/>
  <c r="C310" i="86"/>
  <c r="B310" i="86"/>
  <c r="N309" i="86"/>
  <c r="M309" i="86"/>
  <c r="L309" i="86"/>
  <c r="K309" i="86"/>
  <c r="J309" i="86"/>
  <c r="I309" i="86"/>
  <c r="H309" i="86"/>
  <c r="G309" i="86"/>
  <c r="F309" i="86"/>
  <c r="E309" i="86"/>
  <c r="D309" i="86"/>
  <c r="C309" i="86"/>
  <c r="B309" i="86"/>
  <c r="N308" i="86"/>
  <c r="M308" i="86"/>
  <c r="L308" i="86"/>
  <c r="K308" i="86"/>
  <c r="J308" i="86"/>
  <c r="I308" i="86"/>
  <c r="H308" i="86"/>
  <c r="G308" i="86"/>
  <c r="F308" i="86"/>
  <c r="E308" i="86"/>
  <c r="D308" i="86"/>
  <c r="C308" i="86"/>
  <c r="B308" i="86"/>
  <c r="N307" i="86"/>
  <c r="M307" i="86"/>
  <c r="L307" i="86"/>
  <c r="K307" i="86"/>
  <c r="J307" i="86"/>
  <c r="I307" i="86"/>
  <c r="H307" i="86"/>
  <c r="G307" i="86"/>
  <c r="F307" i="86"/>
  <c r="E307" i="86"/>
  <c r="D307" i="86"/>
  <c r="C307" i="86"/>
  <c r="B307" i="86"/>
  <c r="N306" i="86"/>
  <c r="M306" i="86"/>
  <c r="L306" i="86"/>
  <c r="K306" i="86"/>
  <c r="J306" i="86"/>
  <c r="I306" i="86"/>
  <c r="H306" i="86"/>
  <c r="G306" i="86"/>
  <c r="F306" i="86"/>
  <c r="E306" i="86"/>
  <c r="D306" i="86"/>
  <c r="C306" i="86"/>
  <c r="B306" i="86"/>
  <c r="N305" i="86"/>
  <c r="M305" i="86"/>
  <c r="L305" i="86"/>
  <c r="K305" i="86"/>
  <c r="J305" i="86"/>
  <c r="I305" i="86"/>
  <c r="H305" i="86"/>
  <c r="G305" i="86"/>
  <c r="F305" i="86"/>
  <c r="E305" i="86"/>
  <c r="D305" i="86"/>
  <c r="C305" i="86"/>
  <c r="B305" i="86"/>
  <c r="N304" i="86"/>
  <c r="M304" i="86"/>
  <c r="L304" i="86"/>
  <c r="K304" i="86"/>
  <c r="J304" i="86"/>
  <c r="I304" i="86"/>
  <c r="H304" i="86"/>
  <c r="G304" i="86"/>
  <c r="F304" i="86"/>
  <c r="E304" i="86"/>
  <c r="D304" i="86"/>
  <c r="C304" i="86"/>
  <c r="B304" i="86"/>
  <c r="N303" i="86"/>
  <c r="M303" i="86"/>
  <c r="L303" i="86"/>
  <c r="K303" i="86"/>
  <c r="J303" i="86"/>
  <c r="I303" i="86"/>
  <c r="H303" i="86"/>
  <c r="G303" i="86"/>
  <c r="F303" i="86"/>
  <c r="E303" i="86"/>
  <c r="D303" i="86"/>
  <c r="C303" i="86"/>
  <c r="B303" i="86"/>
  <c r="N302" i="86"/>
  <c r="M302" i="86"/>
  <c r="L302" i="86"/>
  <c r="K302" i="86"/>
  <c r="J302" i="86"/>
  <c r="I302" i="86"/>
  <c r="H302" i="86"/>
  <c r="G302" i="86"/>
  <c r="F302" i="86"/>
  <c r="E302" i="86"/>
  <c r="D302" i="86"/>
  <c r="C302" i="86"/>
  <c r="B302" i="86"/>
  <c r="N296" i="86"/>
  <c r="M296" i="86"/>
  <c r="L296" i="86"/>
  <c r="K296" i="86"/>
  <c r="J296" i="86"/>
  <c r="I296" i="86"/>
  <c r="H296" i="86"/>
  <c r="G296" i="86"/>
  <c r="F296" i="86"/>
  <c r="E296" i="86"/>
  <c r="D296" i="86"/>
  <c r="C296" i="86"/>
  <c r="N294" i="86"/>
  <c r="M294" i="86"/>
  <c r="L294" i="86"/>
  <c r="K294" i="86"/>
  <c r="J294" i="86"/>
  <c r="I294" i="86"/>
  <c r="H294" i="86"/>
  <c r="G294" i="86"/>
  <c r="F294" i="86"/>
  <c r="E294" i="86"/>
  <c r="D294" i="86"/>
  <c r="C294" i="86"/>
  <c r="N293" i="86"/>
  <c r="M293" i="86"/>
  <c r="L293" i="86"/>
  <c r="K293" i="86"/>
  <c r="J293" i="86"/>
  <c r="I293" i="86"/>
  <c r="H293" i="86"/>
  <c r="G293" i="86"/>
  <c r="F293" i="86"/>
  <c r="E293" i="86"/>
  <c r="D293" i="86"/>
  <c r="C293" i="86"/>
  <c r="N290" i="86"/>
  <c r="M290" i="86"/>
  <c r="L290" i="86"/>
  <c r="K290" i="86"/>
  <c r="J290" i="86"/>
  <c r="I290" i="86"/>
  <c r="H290" i="86"/>
  <c r="G290" i="86"/>
  <c r="F290" i="86"/>
  <c r="E290" i="86"/>
  <c r="D290" i="86"/>
  <c r="C290" i="86"/>
  <c r="N289" i="86"/>
  <c r="M289" i="86"/>
  <c r="L289" i="86"/>
  <c r="K289" i="86"/>
  <c r="J289" i="86"/>
  <c r="I289" i="86"/>
  <c r="H289" i="86"/>
  <c r="G289" i="86"/>
  <c r="F289" i="86"/>
  <c r="E289" i="86"/>
  <c r="D289" i="86"/>
  <c r="C289" i="86"/>
  <c r="N283" i="86"/>
  <c r="M283" i="86"/>
  <c r="L283" i="86"/>
  <c r="K283" i="86"/>
  <c r="J283" i="86"/>
  <c r="I283" i="86"/>
  <c r="H283" i="86"/>
  <c r="G283" i="86"/>
  <c r="F283" i="86"/>
  <c r="E283" i="86"/>
  <c r="D283" i="86"/>
  <c r="C283" i="86"/>
  <c r="A283" i="86"/>
  <c r="N282" i="86"/>
  <c r="M282" i="86"/>
  <c r="L282" i="86"/>
  <c r="K282" i="86"/>
  <c r="J282" i="86"/>
  <c r="I282" i="86"/>
  <c r="H282" i="86"/>
  <c r="G282" i="86"/>
  <c r="F282" i="86"/>
  <c r="E282" i="86"/>
  <c r="D282" i="86"/>
  <c r="C282" i="86"/>
  <c r="N281" i="86"/>
  <c r="M281" i="86"/>
  <c r="L281" i="86"/>
  <c r="K281" i="86"/>
  <c r="J281" i="86"/>
  <c r="I281" i="86"/>
  <c r="H281" i="86"/>
  <c r="G281" i="86"/>
  <c r="F281" i="86"/>
  <c r="E281" i="86"/>
  <c r="D281" i="86"/>
  <c r="C281" i="86"/>
  <c r="N280" i="86"/>
  <c r="M280" i="86"/>
  <c r="L280" i="86"/>
  <c r="K280" i="86"/>
  <c r="J280" i="86"/>
  <c r="I280" i="86"/>
  <c r="H280" i="86"/>
  <c r="G280" i="86"/>
  <c r="F280" i="86"/>
  <c r="E280" i="86"/>
  <c r="D280" i="86"/>
  <c r="C280" i="86"/>
  <c r="N279" i="86"/>
  <c r="M279" i="86"/>
  <c r="L279" i="86"/>
  <c r="K279" i="86"/>
  <c r="J279" i="86"/>
  <c r="I279" i="86"/>
  <c r="H279" i="86"/>
  <c r="G279" i="86"/>
  <c r="F279" i="86"/>
  <c r="E279" i="86"/>
  <c r="D279" i="86"/>
  <c r="C279" i="86"/>
  <c r="N278" i="86"/>
  <c r="M278" i="86"/>
  <c r="L278" i="86"/>
  <c r="K278" i="86"/>
  <c r="J278" i="86"/>
  <c r="I278" i="86"/>
  <c r="H278" i="86"/>
  <c r="G278" i="86"/>
  <c r="F278" i="86"/>
  <c r="E278" i="86"/>
  <c r="D278" i="86"/>
  <c r="C278" i="86"/>
  <c r="N274" i="86"/>
  <c r="M274" i="86"/>
  <c r="L274" i="86"/>
  <c r="K274" i="86"/>
  <c r="J274" i="86"/>
  <c r="I274" i="86"/>
  <c r="H274" i="86"/>
  <c r="G274" i="86"/>
  <c r="F274" i="86"/>
  <c r="E274" i="86"/>
  <c r="D274" i="86"/>
  <c r="C274" i="86"/>
  <c r="A274" i="86"/>
  <c r="N273" i="86"/>
  <c r="M273" i="86"/>
  <c r="L273" i="86"/>
  <c r="K273" i="86"/>
  <c r="J273" i="86"/>
  <c r="I273" i="86"/>
  <c r="H273" i="86"/>
  <c r="G273" i="86"/>
  <c r="F273" i="86"/>
  <c r="E273" i="86"/>
  <c r="D273" i="86"/>
  <c r="C273" i="86"/>
  <c r="B273" i="86"/>
  <c r="N272" i="86"/>
  <c r="M272" i="86"/>
  <c r="L272" i="86"/>
  <c r="K272" i="86"/>
  <c r="J272" i="86"/>
  <c r="I272" i="86"/>
  <c r="H272" i="86"/>
  <c r="G272" i="86"/>
  <c r="F272" i="86"/>
  <c r="E272" i="86"/>
  <c r="D272" i="86"/>
  <c r="C272" i="86"/>
  <c r="B272" i="86"/>
  <c r="N271" i="86"/>
  <c r="M271" i="86"/>
  <c r="L271" i="86"/>
  <c r="K271" i="86"/>
  <c r="J271" i="86"/>
  <c r="I271" i="86"/>
  <c r="H271" i="86"/>
  <c r="G271" i="86"/>
  <c r="F271" i="86"/>
  <c r="E271" i="86"/>
  <c r="D271" i="86"/>
  <c r="C271" i="86"/>
  <c r="B271" i="86"/>
  <c r="N270" i="86"/>
  <c r="M270" i="86"/>
  <c r="L270" i="86"/>
  <c r="K270" i="86"/>
  <c r="J270" i="86"/>
  <c r="I270" i="86"/>
  <c r="H270" i="86"/>
  <c r="G270" i="86"/>
  <c r="F270" i="86"/>
  <c r="E270" i="86"/>
  <c r="D270" i="86"/>
  <c r="C270" i="86"/>
  <c r="B270" i="86"/>
  <c r="N269" i="86"/>
  <c r="M269" i="86"/>
  <c r="L269" i="86"/>
  <c r="K269" i="86"/>
  <c r="J269" i="86"/>
  <c r="I269" i="86"/>
  <c r="H269" i="86"/>
  <c r="G269" i="86"/>
  <c r="F269" i="86"/>
  <c r="E269" i="86"/>
  <c r="D269" i="86"/>
  <c r="C269" i="86"/>
  <c r="B269" i="86"/>
  <c r="N268" i="86"/>
  <c r="M268" i="86"/>
  <c r="L268" i="86"/>
  <c r="K268" i="86"/>
  <c r="J268" i="86"/>
  <c r="I268" i="86"/>
  <c r="H268" i="86"/>
  <c r="G268" i="86"/>
  <c r="F268" i="86"/>
  <c r="E268" i="86"/>
  <c r="D268" i="86"/>
  <c r="C268" i="86"/>
  <c r="B268" i="86"/>
  <c r="N267" i="86"/>
  <c r="M267" i="86"/>
  <c r="L267" i="86"/>
  <c r="K267" i="86"/>
  <c r="J267" i="86"/>
  <c r="I267" i="86"/>
  <c r="H267" i="86"/>
  <c r="G267" i="86"/>
  <c r="F267" i="86"/>
  <c r="E267" i="86"/>
  <c r="D267" i="86"/>
  <c r="C267" i="86"/>
  <c r="B267" i="86"/>
  <c r="N266" i="86"/>
  <c r="M266" i="86"/>
  <c r="L266" i="86"/>
  <c r="K266" i="86"/>
  <c r="J266" i="86"/>
  <c r="I266" i="86"/>
  <c r="H266" i="86"/>
  <c r="G266" i="86"/>
  <c r="F266" i="86"/>
  <c r="E266" i="86"/>
  <c r="D266" i="86"/>
  <c r="C266" i="86"/>
  <c r="B266" i="86"/>
  <c r="N265" i="86"/>
  <c r="M265" i="86"/>
  <c r="L265" i="86"/>
  <c r="K265" i="86"/>
  <c r="J265" i="86"/>
  <c r="I265" i="86"/>
  <c r="H265" i="86"/>
  <c r="G265" i="86"/>
  <c r="F265" i="86"/>
  <c r="E265" i="86"/>
  <c r="D265" i="86"/>
  <c r="C265" i="86"/>
  <c r="B265" i="86"/>
  <c r="N264" i="86"/>
  <c r="M264" i="86"/>
  <c r="L264" i="86"/>
  <c r="K264" i="86"/>
  <c r="J264" i="86"/>
  <c r="I264" i="86"/>
  <c r="H264" i="86"/>
  <c r="G264" i="86"/>
  <c r="F264" i="86"/>
  <c r="E264" i="86"/>
  <c r="D264" i="86"/>
  <c r="C264" i="86"/>
  <c r="B264" i="86"/>
  <c r="N263" i="86"/>
  <c r="M263" i="86"/>
  <c r="L263" i="86"/>
  <c r="K263" i="86"/>
  <c r="J263" i="86"/>
  <c r="I263" i="86"/>
  <c r="H263" i="86"/>
  <c r="G263" i="86"/>
  <c r="F263" i="86"/>
  <c r="E263" i="86"/>
  <c r="D263" i="86"/>
  <c r="C263" i="86"/>
  <c r="B263" i="86"/>
  <c r="N262" i="86"/>
  <c r="M262" i="86"/>
  <c r="L262" i="86"/>
  <c r="K262" i="86"/>
  <c r="J262" i="86"/>
  <c r="I262" i="86"/>
  <c r="H262" i="86"/>
  <c r="G262" i="86"/>
  <c r="F262" i="86"/>
  <c r="E262" i="86"/>
  <c r="D262" i="86"/>
  <c r="C262" i="86"/>
  <c r="B262" i="86"/>
  <c r="N258" i="86"/>
  <c r="M258" i="86"/>
  <c r="L258" i="86"/>
  <c r="K258" i="86"/>
  <c r="J258" i="86"/>
  <c r="I258" i="86"/>
  <c r="H258" i="86"/>
  <c r="G258" i="86"/>
  <c r="F258" i="86"/>
  <c r="E258" i="86"/>
  <c r="D258" i="86"/>
  <c r="C258" i="86"/>
  <c r="A258" i="86"/>
  <c r="N257" i="86"/>
  <c r="M257" i="86"/>
  <c r="L257" i="86"/>
  <c r="K257" i="86"/>
  <c r="J257" i="86"/>
  <c r="I257" i="86"/>
  <c r="H257" i="86"/>
  <c r="G257" i="86"/>
  <c r="F257" i="86"/>
  <c r="E257" i="86"/>
  <c r="D257" i="86"/>
  <c r="C257" i="86"/>
  <c r="B257" i="86"/>
  <c r="N256" i="86"/>
  <c r="M256" i="86"/>
  <c r="L256" i="86"/>
  <c r="K256" i="86"/>
  <c r="J256" i="86"/>
  <c r="I256" i="86"/>
  <c r="H256" i="86"/>
  <c r="G256" i="86"/>
  <c r="F256" i="86"/>
  <c r="E256" i="86"/>
  <c r="D256" i="86"/>
  <c r="C256" i="86"/>
  <c r="B256" i="86"/>
  <c r="N255" i="86"/>
  <c r="M255" i="86"/>
  <c r="L255" i="86"/>
  <c r="K255" i="86"/>
  <c r="J255" i="86"/>
  <c r="I255" i="86"/>
  <c r="H255" i="86"/>
  <c r="G255" i="86"/>
  <c r="F255" i="86"/>
  <c r="E255" i="86"/>
  <c r="D255" i="86"/>
  <c r="C255" i="86"/>
  <c r="B255" i="86"/>
  <c r="N254" i="86"/>
  <c r="M254" i="86"/>
  <c r="L254" i="86"/>
  <c r="K254" i="86"/>
  <c r="J254" i="86"/>
  <c r="I254" i="86"/>
  <c r="H254" i="86"/>
  <c r="G254" i="86"/>
  <c r="F254" i="86"/>
  <c r="E254" i="86"/>
  <c r="D254" i="86"/>
  <c r="C254" i="86"/>
  <c r="B254" i="86"/>
  <c r="N253" i="86"/>
  <c r="M253" i="86"/>
  <c r="L253" i="86"/>
  <c r="K253" i="86"/>
  <c r="J253" i="86"/>
  <c r="I253" i="86"/>
  <c r="H253" i="86"/>
  <c r="G253" i="86"/>
  <c r="F253" i="86"/>
  <c r="E253" i="86"/>
  <c r="D253" i="86"/>
  <c r="C253" i="86"/>
  <c r="B253" i="86"/>
  <c r="N252" i="86"/>
  <c r="M252" i="86"/>
  <c r="L252" i="86"/>
  <c r="K252" i="86"/>
  <c r="J252" i="86"/>
  <c r="I252" i="86"/>
  <c r="H252" i="86"/>
  <c r="G252" i="86"/>
  <c r="F252" i="86"/>
  <c r="E252" i="86"/>
  <c r="D252" i="86"/>
  <c r="C252" i="86"/>
  <c r="B252" i="86"/>
  <c r="N251" i="86"/>
  <c r="M251" i="86"/>
  <c r="L251" i="86"/>
  <c r="K251" i="86"/>
  <c r="J251" i="86"/>
  <c r="I251" i="86"/>
  <c r="H251" i="86"/>
  <c r="G251" i="86"/>
  <c r="F251" i="86"/>
  <c r="E251" i="86"/>
  <c r="D251" i="86"/>
  <c r="C251" i="86"/>
  <c r="B251" i="86"/>
  <c r="N250" i="86"/>
  <c r="M250" i="86"/>
  <c r="L250" i="86"/>
  <c r="K250" i="86"/>
  <c r="J250" i="86"/>
  <c r="I250" i="86"/>
  <c r="H250" i="86"/>
  <c r="G250" i="86"/>
  <c r="F250" i="86"/>
  <c r="E250" i="86"/>
  <c r="D250" i="86"/>
  <c r="C250" i="86"/>
  <c r="B250" i="86"/>
  <c r="N249" i="86"/>
  <c r="M249" i="86"/>
  <c r="L249" i="86"/>
  <c r="K249" i="86"/>
  <c r="J249" i="86"/>
  <c r="I249" i="86"/>
  <c r="H249" i="86"/>
  <c r="G249" i="86"/>
  <c r="F249" i="86"/>
  <c r="E249" i="86"/>
  <c r="D249" i="86"/>
  <c r="C249" i="86"/>
  <c r="B249" i="86"/>
  <c r="N248" i="86"/>
  <c r="M248" i="86"/>
  <c r="L248" i="86"/>
  <c r="K248" i="86"/>
  <c r="J248" i="86"/>
  <c r="I248" i="86"/>
  <c r="H248" i="86"/>
  <c r="G248" i="86"/>
  <c r="F248" i="86"/>
  <c r="E248" i="86"/>
  <c r="D248" i="86"/>
  <c r="C248" i="86"/>
  <c r="B248" i="86"/>
  <c r="N247" i="86"/>
  <c r="M247" i="86"/>
  <c r="L247" i="86"/>
  <c r="K247" i="86"/>
  <c r="J247" i="86"/>
  <c r="I247" i="86"/>
  <c r="H247" i="86"/>
  <c r="G247" i="86"/>
  <c r="F247" i="86"/>
  <c r="E247" i="86"/>
  <c r="D247" i="86"/>
  <c r="C247" i="86"/>
  <c r="B247" i="86"/>
  <c r="N246" i="86"/>
  <c r="M246" i="86"/>
  <c r="L246" i="86"/>
  <c r="K246" i="86"/>
  <c r="J246" i="86"/>
  <c r="I246" i="86"/>
  <c r="H246" i="86"/>
  <c r="G246" i="86"/>
  <c r="F246" i="86"/>
  <c r="E246" i="86"/>
  <c r="D246" i="86"/>
  <c r="C246" i="86"/>
  <c r="B246" i="86"/>
  <c r="N240" i="86"/>
  <c r="M240" i="86"/>
  <c r="L240" i="86"/>
  <c r="K240" i="86"/>
  <c r="J240" i="86"/>
  <c r="I240" i="86"/>
  <c r="H240" i="86"/>
  <c r="G240" i="86"/>
  <c r="F240" i="86"/>
  <c r="E240" i="86"/>
  <c r="D240" i="86"/>
  <c r="C240" i="86"/>
  <c r="A240" i="86"/>
  <c r="N239" i="86"/>
  <c r="M239" i="86"/>
  <c r="L239" i="86"/>
  <c r="K239" i="86"/>
  <c r="J239" i="86"/>
  <c r="I239" i="86"/>
  <c r="H239" i="86"/>
  <c r="G239" i="86"/>
  <c r="F239" i="86"/>
  <c r="E239" i="86"/>
  <c r="D239" i="86"/>
  <c r="C239" i="86"/>
  <c r="B239" i="86"/>
  <c r="N238" i="86"/>
  <c r="M238" i="86"/>
  <c r="L238" i="86"/>
  <c r="K238" i="86"/>
  <c r="J238" i="86"/>
  <c r="I238" i="86"/>
  <c r="H238" i="86"/>
  <c r="G238" i="86"/>
  <c r="F238" i="86"/>
  <c r="E238" i="86"/>
  <c r="D238" i="86"/>
  <c r="C238" i="86"/>
  <c r="B238" i="86"/>
  <c r="N237" i="86"/>
  <c r="M237" i="86"/>
  <c r="L237" i="86"/>
  <c r="K237" i="86"/>
  <c r="J237" i="86"/>
  <c r="I237" i="86"/>
  <c r="H237" i="86"/>
  <c r="G237" i="86"/>
  <c r="F237" i="86"/>
  <c r="E237" i="86"/>
  <c r="D237" i="86"/>
  <c r="C237" i="86"/>
  <c r="B237" i="86"/>
  <c r="N236" i="86"/>
  <c r="M236" i="86"/>
  <c r="L236" i="86"/>
  <c r="K236" i="86"/>
  <c r="J236" i="86"/>
  <c r="I236" i="86"/>
  <c r="H236" i="86"/>
  <c r="G236" i="86"/>
  <c r="F236" i="86"/>
  <c r="E236" i="86"/>
  <c r="D236" i="86"/>
  <c r="C236" i="86"/>
  <c r="B236" i="86"/>
  <c r="N235" i="86"/>
  <c r="M235" i="86"/>
  <c r="L235" i="86"/>
  <c r="K235" i="86"/>
  <c r="J235" i="86"/>
  <c r="I235" i="86"/>
  <c r="H235" i="86"/>
  <c r="G235" i="86"/>
  <c r="F235" i="86"/>
  <c r="E235" i="86"/>
  <c r="D235" i="86"/>
  <c r="C235" i="86"/>
  <c r="B235" i="86"/>
  <c r="N234" i="86"/>
  <c r="M234" i="86"/>
  <c r="L234" i="86"/>
  <c r="K234" i="86"/>
  <c r="J234" i="86"/>
  <c r="I234" i="86"/>
  <c r="H234" i="86"/>
  <c r="G234" i="86"/>
  <c r="F234" i="86"/>
  <c r="E234" i="86"/>
  <c r="D234" i="86"/>
  <c r="C234" i="86"/>
  <c r="B234" i="86"/>
  <c r="N233" i="86"/>
  <c r="M233" i="86"/>
  <c r="L233" i="86"/>
  <c r="K233" i="86"/>
  <c r="J233" i="86"/>
  <c r="I233" i="86"/>
  <c r="H233" i="86"/>
  <c r="G233" i="86"/>
  <c r="F233" i="86"/>
  <c r="E233" i="86"/>
  <c r="D233" i="86"/>
  <c r="C233" i="86"/>
  <c r="B233" i="86"/>
  <c r="N232" i="86"/>
  <c r="M232" i="86"/>
  <c r="L232" i="86"/>
  <c r="K232" i="86"/>
  <c r="J232" i="86"/>
  <c r="I232" i="86"/>
  <c r="H232" i="86"/>
  <c r="G232" i="86"/>
  <c r="F232" i="86"/>
  <c r="E232" i="86"/>
  <c r="D232" i="86"/>
  <c r="C232" i="86"/>
  <c r="B232" i="86"/>
  <c r="N231" i="86"/>
  <c r="M231" i="86"/>
  <c r="L231" i="86"/>
  <c r="K231" i="86"/>
  <c r="J231" i="86"/>
  <c r="I231" i="86"/>
  <c r="H231" i="86"/>
  <c r="G231" i="86"/>
  <c r="F231" i="86"/>
  <c r="E231" i="86"/>
  <c r="D231" i="86"/>
  <c r="C231" i="86"/>
  <c r="B231" i="86"/>
  <c r="N230" i="86"/>
  <c r="M230" i="86"/>
  <c r="L230" i="86"/>
  <c r="K230" i="86"/>
  <c r="J230" i="86"/>
  <c r="I230" i="86"/>
  <c r="H230" i="86"/>
  <c r="G230" i="86"/>
  <c r="F230" i="86"/>
  <c r="E230" i="86"/>
  <c r="D230" i="86"/>
  <c r="C230" i="86"/>
  <c r="B230" i="86"/>
  <c r="N229" i="86"/>
  <c r="M229" i="86"/>
  <c r="L229" i="86"/>
  <c r="K229" i="86"/>
  <c r="J229" i="86"/>
  <c r="I229" i="86"/>
  <c r="H229" i="86"/>
  <c r="G229" i="86"/>
  <c r="F229" i="86"/>
  <c r="E229" i="86"/>
  <c r="D229" i="86"/>
  <c r="C229" i="86"/>
  <c r="B229" i="86"/>
  <c r="N228" i="86"/>
  <c r="M228" i="86"/>
  <c r="L228" i="86"/>
  <c r="K228" i="86"/>
  <c r="J228" i="86"/>
  <c r="I228" i="86"/>
  <c r="H228" i="86"/>
  <c r="G228" i="86"/>
  <c r="F228" i="86"/>
  <c r="E228" i="86"/>
  <c r="D228" i="86"/>
  <c r="C228" i="86"/>
  <c r="B228" i="86"/>
  <c r="N224" i="86"/>
  <c r="M224" i="86"/>
  <c r="L224" i="86"/>
  <c r="K224" i="86"/>
  <c r="J224" i="86"/>
  <c r="I224" i="86"/>
  <c r="H224" i="86"/>
  <c r="G224" i="86"/>
  <c r="F224" i="86"/>
  <c r="E224" i="86"/>
  <c r="D224" i="86"/>
  <c r="C224" i="86"/>
  <c r="A224" i="86"/>
  <c r="N223" i="86"/>
  <c r="M223" i="86"/>
  <c r="L223" i="86"/>
  <c r="K223" i="86"/>
  <c r="J223" i="86"/>
  <c r="I223" i="86"/>
  <c r="H223" i="86"/>
  <c r="G223" i="86"/>
  <c r="F223" i="86"/>
  <c r="E223" i="86"/>
  <c r="D223" i="86"/>
  <c r="C223" i="86"/>
  <c r="B223" i="86"/>
  <c r="N222" i="86"/>
  <c r="M222" i="86"/>
  <c r="L222" i="86"/>
  <c r="K222" i="86"/>
  <c r="J222" i="86"/>
  <c r="I222" i="86"/>
  <c r="H222" i="86"/>
  <c r="G222" i="86"/>
  <c r="F222" i="86"/>
  <c r="E222" i="86"/>
  <c r="D222" i="86"/>
  <c r="C222" i="86"/>
  <c r="B222" i="86"/>
  <c r="N221" i="86"/>
  <c r="M221" i="86"/>
  <c r="L221" i="86"/>
  <c r="K221" i="86"/>
  <c r="J221" i="86"/>
  <c r="I221" i="86"/>
  <c r="H221" i="86"/>
  <c r="G221" i="86"/>
  <c r="F221" i="86"/>
  <c r="E221" i="86"/>
  <c r="D221" i="86"/>
  <c r="C221" i="86"/>
  <c r="B221" i="86"/>
  <c r="N220" i="86"/>
  <c r="M220" i="86"/>
  <c r="L220" i="86"/>
  <c r="K220" i="86"/>
  <c r="J220" i="86"/>
  <c r="I220" i="86"/>
  <c r="H220" i="86"/>
  <c r="G220" i="86"/>
  <c r="F220" i="86"/>
  <c r="E220" i="86"/>
  <c r="D220" i="86"/>
  <c r="C220" i="86"/>
  <c r="B220" i="86"/>
  <c r="N219" i="86"/>
  <c r="M219" i="86"/>
  <c r="L219" i="86"/>
  <c r="K219" i="86"/>
  <c r="J219" i="86"/>
  <c r="I219" i="86"/>
  <c r="H219" i="86"/>
  <c r="G219" i="86"/>
  <c r="F219" i="86"/>
  <c r="E219" i="86"/>
  <c r="D219" i="86"/>
  <c r="C219" i="86"/>
  <c r="B219" i="86"/>
  <c r="N218" i="86"/>
  <c r="M218" i="86"/>
  <c r="L218" i="86"/>
  <c r="K218" i="86"/>
  <c r="J218" i="86"/>
  <c r="I218" i="86"/>
  <c r="H218" i="86"/>
  <c r="G218" i="86"/>
  <c r="F218" i="86"/>
  <c r="E218" i="86"/>
  <c r="D218" i="86"/>
  <c r="C218" i="86"/>
  <c r="B218" i="86"/>
  <c r="N217" i="86"/>
  <c r="M217" i="86"/>
  <c r="L217" i="86"/>
  <c r="K217" i="86"/>
  <c r="J217" i="86"/>
  <c r="I217" i="86"/>
  <c r="H217" i="86"/>
  <c r="G217" i="86"/>
  <c r="F217" i="86"/>
  <c r="E217" i="86"/>
  <c r="D217" i="86"/>
  <c r="C217" i="86"/>
  <c r="B217" i="86"/>
  <c r="N216" i="86"/>
  <c r="M216" i="86"/>
  <c r="L216" i="86"/>
  <c r="K216" i="86"/>
  <c r="J216" i="86"/>
  <c r="I216" i="86"/>
  <c r="H216" i="86"/>
  <c r="G216" i="86"/>
  <c r="F216" i="86"/>
  <c r="E216" i="86"/>
  <c r="D216" i="86"/>
  <c r="C216" i="86"/>
  <c r="B216" i="86"/>
  <c r="N215" i="86"/>
  <c r="M215" i="86"/>
  <c r="L215" i="86"/>
  <c r="K215" i="86"/>
  <c r="J215" i="86"/>
  <c r="I215" i="86"/>
  <c r="H215" i="86"/>
  <c r="G215" i="86"/>
  <c r="F215" i="86"/>
  <c r="E215" i="86"/>
  <c r="D215" i="86"/>
  <c r="C215" i="86"/>
  <c r="B215" i="86"/>
  <c r="N214" i="86"/>
  <c r="M214" i="86"/>
  <c r="L214" i="86"/>
  <c r="K214" i="86"/>
  <c r="J214" i="86"/>
  <c r="I214" i="86"/>
  <c r="H214" i="86"/>
  <c r="G214" i="86"/>
  <c r="F214" i="86"/>
  <c r="E214" i="86"/>
  <c r="D214" i="86"/>
  <c r="C214" i="86"/>
  <c r="B214" i="86"/>
  <c r="N213" i="86"/>
  <c r="M213" i="86"/>
  <c r="L213" i="86"/>
  <c r="K213" i="86"/>
  <c r="J213" i="86"/>
  <c r="I213" i="86"/>
  <c r="H213" i="86"/>
  <c r="G213" i="86"/>
  <c r="F213" i="86"/>
  <c r="E213" i="86"/>
  <c r="D213" i="86"/>
  <c r="C213" i="86"/>
  <c r="B213" i="86"/>
  <c r="N212" i="86"/>
  <c r="M212" i="86"/>
  <c r="L212" i="86"/>
  <c r="K212" i="86"/>
  <c r="J212" i="86"/>
  <c r="I212" i="86"/>
  <c r="H212" i="86"/>
  <c r="G212" i="86"/>
  <c r="F212" i="86"/>
  <c r="E212" i="86"/>
  <c r="D212" i="86"/>
  <c r="C212" i="86"/>
  <c r="B212" i="86"/>
  <c r="N206" i="86"/>
  <c r="M206" i="86"/>
  <c r="L206" i="86"/>
  <c r="K206" i="86"/>
  <c r="J206" i="86"/>
  <c r="I206" i="86"/>
  <c r="H206" i="86"/>
  <c r="G206" i="86"/>
  <c r="F206" i="86"/>
  <c r="E206" i="86"/>
  <c r="D206" i="86"/>
  <c r="C206" i="86"/>
  <c r="A206" i="86"/>
  <c r="N205" i="86"/>
  <c r="M205" i="86"/>
  <c r="L205" i="86"/>
  <c r="K205" i="86"/>
  <c r="J205" i="86"/>
  <c r="I205" i="86"/>
  <c r="H205" i="86"/>
  <c r="G205" i="86"/>
  <c r="F205" i="86"/>
  <c r="E205" i="86"/>
  <c r="D205" i="86"/>
  <c r="C205" i="86"/>
  <c r="B205" i="86"/>
  <c r="N204" i="86"/>
  <c r="M204" i="86"/>
  <c r="L204" i="86"/>
  <c r="K204" i="86"/>
  <c r="J204" i="86"/>
  <c r="I204" i="86"/>
  <c r="H204" i="86"/>
  <c r="G204" i="86"/>
  <c r="F204" i="86"/>
  <c r="E204" i="86"/>
  <c r="D204" i="86"/>
  <c r="C204" i="86"/>
  <c r="B204" i="86"/>
  <c r="N203" i="86"/>
  <c r="M203" i="86"/>
  <c r="L203" i="86"/>
  <c r="K203" i="86"/>
  <c r="J203" i="86"/>
  <c r="I203" i="86"/>
  <c r="H203" i="86"/>
  <c r="G203" i="86"/>
  <c r="F203" i="86"/>
  <c r="E203" i="86"/>
  <c r="D203" i="86"/>
  <c r="C203" i="86"/>
  <c r="B203" i="86"/>
  <c r="N202" i="86"/>
  <c r="M202" i="86"/>
  <c r="L202" i="86"/>
  <c r="K202" i="86"/>
  <c r="J202" i="86"/>
  <c r="I202" i="86"/>
  <c r="H202" i="86"/>
  <c r="G202" i="86"/>
  <c r="F202" i="86"/>
  <c r="E202" i="86"/>
  <c r="D202" i="86"/>
  <c r="C202" i="86"/>
  <c r="B202" i="86"/>
  <c r="N201" i="86"/>
  <c r="M201" i="86"/>
  <c r="L201" i="86"/>
  <c r="K201" i="86"/>
  <c r="J201" i="86"/>
  <c r="I201" i="86"/>
  <c r="H201" i="86"/>
  <c r="G201" i="86"/>
  <c r="F201" i="86"/>
  <c r="E201" i="86"/>
  <c r="D201" i="86"/>
  <c r="C201" i="86"/>
  <c r="B201" i="86"/>
  <c r="N200" i="86"/>
  <c r="M200" i="86"/>
  <c r="L200" i="86"/>
  <c r="K200" i="86"/>
  <c r="J200" i="86"/>
  <c r="I200" i="86"/>
  <c r="H200" i="86"/>
  <c r="G200" i="86"/>
  <c r="F200" i="86"/>
  <c r="E200" i="86"/>
  <c r="D200" i="86"/>
  <c r="C200" i="86"/>
  <c r="B200" i="86"/>
  <c r="N199" i="86"/>
  <c r="M199" i="86"/>
  <c r="L199" i="86"/>
  <c r="K199" i="86"/>
  <c r="J199" i="86"/>
  <c r="I199" i="86"/>
  <c r="H199" i="86"/>
  <c r="G199" i="86"/>
  <c r="F199" i="86"/>
  <c r="E199" i="86"/>
  <c r="D199" i="86"/>
  <c r="C199" i="86"/>
  <c r="B199" i="86"/>
  <c r="N198" i="86"/>
  <c r="M198" i="86"/>
  <c r="L198" i="86"/>
  <c r="K198" i="86"/>
  <c r="J198" i="86"/>
  <c r="I198" i="86"/>
  <c r="H198" i="86"/>
  <c r="G198" i="86"/>
  <c r="F198" i="86"/>
  <c r="E198" i="86"/>
  <c r="D198" i="86"/>
  <c r="C198" i="86"/>
  <c r="B198" i="86"/>
  <c r="N197" i="86"/>
  <c r="M197" i="86"/>
  <c r="L197" i="86"/>
  <c r="K197" i="86"/>
  <c r="J197" i="86"/>
  <c r="I197" i="86"/>
  <c r="H197" i="86"/>
  <c r="G197" i="86"/>
  <c r="F197" i="86"/>
  <c r="E197" i="86"/>
  <c r="D197" i="86"/>
  <c r="C197" i="86"/>
  <c r="B197" i="86"/>
  <c r="N196" i="86"/>
  <c r="M196" i="86"/>
  <c r="L196" i="86"/>
  <c r="K196" i="86"/>
  <c r="J196" i="86"/>
  <c r="I196" i="86"/>
  <c r="H196" i="86"/>
  <c r="G196" i="86"/>
  <c r="F196" i="86"/>
  <c r="E196" i="86"/>
  <c r="D196" i="86"/>
  <c r="C196" i="86"/>
  <c r="B196" i="86"/>
  <c r="N195" i="86"/>
  <c r="M195" i="86"/>
  <c r="L195" i="86"/>
  <c r="K195" i="86"/>
  <c r="J195" i="86"/>
  <c r="I195" i="86"/>
  <c r="H195" i="86"/>
  <c r="G195" i="86"/>
  <c r="F195" i="86"/>
  <c r="E195" i="86"/>
  <c r="D195" i="86"/>
  <c r="C195" i="86"/>
  <c r="B195" i="86"/>
  <c r="N194" i="86"/>
  <c r="M194" i="86"/>
  <c r="L194" i="86"/>
  <c r="K194" i="86"/>
  <c r="J194" i="86"/>
  <c r="I194" i="86"/>
  <c r="H194" i="86"/>
  <c r="G194" i="86"/>
  <c r="F194" i="86"/>
  <c r="E194" i="86"/>
  <c r="D194" i="86"/>
  <c r="C194" i="86"/>
  <c r="B194" i="86"/>
  <c r="N190" i="86"/>
  <c r="M190" i="86"/>
  <c r="L190" i="86"/>
  <c r="K190" i="86"/>
  <c r="J190" i="86"/>
  <c r="I190" i="86"/>
  <c r="H190" i="86"/>
  <c r="G190" i="86"/>
  <c r="F190" i="86"/>
  <c r="E190" i="86"/>
  <c r="D190" i="86"/>
  <c r="C190" i="86"/>
  <c r="A190" i="86"/>
  <c r="N189" i="86"/>
  <c r="M189" i="86"/>
  <c r="L189" i="86"/>
  <c r="K189" i="86"/>
  <c r="J189" i="86"/>
  <c r="I189" i="86"/>
  <c r="H189" i="86"/>
  <c r="G189" i="86"/>
  <c r="F189" i="86"/>
  <c r="E189" i="86"/>
  <c r="D189" i="86"/>
  <c r="C189" i="86"/>
  <c r="B189" i="86"/>
  <c r="N188" i="86"/>
  <c r="M188" i="86"/>
  <c r="L188" i="86"/>
  <c r="K188" i="86"/>
  <c r="J188" i="86"/>
  <c r="I188" i="86"/>
  <c r="H188" i="86"/>
  <c r="G188" i="86"/>
  <c r="F188" i="86"/>
  <c r="E188" i="86"/>
  <c r="D188" i="86"/>
  <c r="C188" i="86"/>
  <c r="B188" i="86"/>
  <c r="N187" i="86"/>
  <c r="M187" i="86"/>
  <c r="L187" i="86"/>
  <c r="K187" i="86"/>
  <c r="J187" i="86"/>
  <c r="I187" i="86"/>
  <c r="H187" i="86"/>
  <c r="G187" i="86"/>
  <c r="F187" i="86"/>
  <c r="E187" i="86"/>
  <c r="D187" i="86"/>
  <c r="C187" i="86"/>
  <c r="B187" i="86"/>
  <c r="N186" i="86"/>
  <c r="M186" i="86"/>
  <c r="L186" i="86"/>
  <c r="K186" i="86"/>
  <c r="J186" i="86"/>
  <c r="I186" i="86"/>
  <c r="H186" i="86"/>
  <c r="G186" i="86"/>
  <c r="F186" i="86"/>
  <c r="E186" i="86"/>
  <c r="D186" i="86"/>
  <c r="C186" i="86"/>
  <c r="B186" i="86"/>
  <c r="N185" i="86"/>
  <c r="M185" i="86"/>
  <c r="L185" i="86"/>
  <c r="K185" i="86"/>
  <c r="J185" i="86"/>
  <c r="I185" i="86"/>
  <c r="H185" i="86"/>
  <c r="G185" i="86"/>
  <c r="F185" i="86"/>
  <c r="E185" i="86"/>
  <c r="D185" i="86"/>
  <c r="C185" i="86"/>
  <c r="B185" i="86"/>
  <c r="N184" i="86"/>
  <c r="M184" i="86"/>
  <c r="L184" i="86"/>
  <c r="K184" i="86"/>
  <c r="J184" i="86"/>
  <c r="I184" i="86"/>
  <c r="H184" i="86"/>
  <c r="G184" i="86"/>
  <c r="F184" i="86"/>
  <c r="E184" i="86"/>
  <c r="D184" i="86"/>
  <c r="C184" i="86"/>
  <c r="B184" i="86"/>
  <c r="N183" i="86"/>
  <c r="M183" i="86"/>
  <c r="L183" i="86"/>
  <c r="K183" i="86"/>
  <c r="J183" i="86"/>
  <c r="I183" i="86"/>
  <c r="H183" i="86"/>
  <c r="G183" i="86"/>
  <c r="F183" i="86"/>
  <c r="E183" i="86"/>
  <c r="D183" i="86"/>
  <c r="C183" i="86"/>
  <c r="B183" i="86"/>
  <c r="N182" i="86"/>
  <c r="M182" i="86"/>
  <c r="L182" i="86"/>
  <c r="K182" i="86"/>
  <c r="J182" i="86"/>
  <c r="I182" i="86"/>
  <c r="H182" i="86"/>
  <c r="G182" i="86"/>
  <c r="F182" i="86"/>
  <c r="E182" i="86"/>
  <c r="D182" i="86"/>
  <c r="C182" i="86"/>
  <c r="B182" i="86"/>
  <c r="N181" i="86"/>
  <c r="M181" i="86"/>
  <c r="L181" i="86"/>
  <c r="K181" i="86"/>
  <c r="J181" i="86"/>
  <c r="I181" i="86"/>
  <c r="H181" i="86"/>
  <c r="G181" i="86"/>
  <c r="F181" i="86"/>
  <c r="E181" i="86"/>
  <c r="D181" i="86"/>
  <c r="C181" i="86"/>
  <c r="B181" i="86"/>
  <c r="N180" i="86"/>
  <c r="M180" i="86"/>
  <c r="L180" i="86"/>
  <c r="K180" i="86"/>
  <c r="J180" i="86"/>
  <c r="I180" i="86"/>
  <c r="H180" i="86"/>
  <c r="G180" i="86"/>
  <c r="F180" i="86"/>
  <c r="E180" i="86"/>
  <c r="D180" i="86"/>
  <c r="C180" i="86"/>
  <c r="B180" i="86"/>
  <c r="N179" i="86"/>
  <c r="M179" i="86"/>
  <c r="L179" i="86"/>
  <c r="K179" i="86"/>
  <c r="J179" i="86"/>
  <c r="I179" i="86"/>
  <c r="H179" i="86"/>
  <c r="G179" i="86"/>
  <c r="F179" i="86"/>
  <c r="E179" i="86"/>
  <c r="D179" i="86"/>
  <c r="C179" i="86"/>
  <c r="B179" i="86"/>
  <c r="N178" i="86"/>
  <c r="M178" i="86"/>
  <c r="L178" i="86"/>
  <c r="K178" i="86"/>
  <c r="J178" i="86"/>
  <c r="I178" i="86"/>
  <c r="H178" i="86"/>
  <c r="G178" i="86"/>
  <c r="F178" i="86"/>
  <c r="E178" i="86"/>
  <c r="D178" i="86"/>
  <c r="C178" i="86"/>
  <c r="B178" i="86"/>
  <c r="N172" i="86"/>
  <c r="M172" i="86"/>
  <c r="L172" i="86"/>
  <c r="K172" i="86"/>
  <c r="J172" i="86"/>
  <c r="I172" i="86"/>
  <c r="H172" i="86"/>
  <c r="G172" i="86"/>
  <c r="F172" i="86"/>
  <c r="E172" i="86"/>
  <c r="D172" i="86"/>
  <c r="C172" i="86"/>
  <c r="A172" i="86"/>
  <c r="N171" i="86"/>
  <c r="M171" i="86"/>
  <c r="L171" i="86"/>
  <c r="K171" i="86"/>
  <c r="J171" i="86"/>
  <c r="I171" i="86"/>
  <c r="H171" i="86"/>
  <c r="G171" i="86"/>
  <c r="F171" i="86"/>
  <c r="E171" i="86"/>
  <c r="D171" i="86"/>
  <c r="C171" i="86"/>
  <c r="B171" i="86"/>
  <c r="N170" i="86"/>
  <c r="M170" i="86"/>
  <c r="L170" i="86"/>
  <c r="K170" i="86"/>
  <c r="J170" i="86"/>
  <c r="I170" i="86"/>
  <c r="H170" i="86"/>
  <c r="G170" i="86"/>
  <c r="F170" i="86"/>
  <c r="E170" i="86"/>
  <c r="D170" i="86"/>
  <c r="C170" i="86"/>
  <c r="B170" i="86"/>
  <c r="N169" i="86"/>
  <c r="M169" i="86"/>
  <c r="L169" i="86"/>
  <c r="K169" i="86"/>
  <c r="J169" i="86"/>
  <c r="I169" i="86"/>
  <c r="H169" i="86"/>
  <c r="G169" i="86"/>
  <c r="F169" i="86"/>
  <c r="E169" i="86"/>
  <c r="D169" i="86"/>
  <c r="C169" i="86"/>
  <c r="B169" i="86"/>
  <c r="N168" i="86"/>
  <c r="M168" i="86"/>
  <c r="L168" i="86"/>
  <c r="K168" i="86"/>
  <c r="J168" i="86"/>
  <c r="I168" i="86"/>
  <c r="H168" i="86"/>
  <c r="G168" i="86"/>
  <c r="F168" i="86"/>
  <c r="E168" i="86"/>
  <c r="D168" i="86"/>
  <c r="C168" i="86"/>
  <c r="B168" i="86"/>
  <c r="N167" i="86"/>
  <c r="M167" i="86"/>
  <c r="L167" i="86"/>
  <c r="K167" i="86"/>
  <c r="J167" i="86"/>
  <c r="I167" i="86"/>
  <c r="H167" i="86"/>
  <c r="G167" i="86"/>
  <c r="F167" i="86"/>
  <c r="E167" i="86"/>
  <c r="D167" i="86"/>
  <c r="C167" i="86"/>
  <c r="B167" i="86"/>
  <c r="N166" i="86"/>
  <c r="M166" i="86"/>
  <c r="L166" i="86"/>
  <c r="K166" i="86"/>
  <c r="J166" i="86"/>
  <c r="I166" i="86"/>
  <c r="H166" i="86"/>
  <c r="G166" i="86"/>
  <c r="F166" i="86"/>
  <c r="E166" i="86"/>
  <c r="D166" i="86"/>
  <c r="C166" i="86"/>
  <c r="B166" i="86"/>
  <c r="N165" i="86"/>
  <c r="M165" i="86"/>
  <c r="L165" i="86"/>
  <c r="K165" i="86"/>
  <c r="J165" i="86"/>
  <c r="I165" i="86"/>
  <c r="H165" i="86"/>
  <c r="G165" i="86"/>
  <c r="F165" i="86"/>
  <c r="E165" i="86"/>
  <c r="D165" i="86"/>
  <c r="C165" i="86"/>
  <c r="B165" i="86"/>
  <c r="N164" i="86"/>
  <c r="M164" i="86"/>
  <c r="L164" i="86"/>
  <c r="K164" i="86"/>
  <c r="J164" i="86"/>
  <c r="I164" i="86"/>
  <c r="H164" i="86"/>
  <c r="G164" i="86"/>
  <c r="F164" i="86"/>
  <c r="E164" i="86"/>
  <c r="D164" i="86"/>
  <c r="C164" i="86"/>
  <c r="B164" i="86"/>
  <c r="N163" i="86"/>
  <c r="M163" i="86"/>
  <c r="L163" i="86"/>
  <c r="K163" i="86"/>
  <c r="J163" i="86"/>
  <c r="I163" i="86"/>
  <c r="H163" i="86"/>
  <c r="G163" i="86"/>
  <c r="F163" i="86"/>
  <c r="E163" i="86"/>
  <c r="D163" i="86"/>
  <c r="C163" i="86"/>
  <c r="B163" i="86"/>
  <c r="N162" i="86"/>
  <c r="M162" i="86"/>
  <c r="L162" i="86"/>
  <c r="K162" i="86"/>
  <c r="J162" i="86"/>
  <c r="I162" i="86"/>
  <c r="H162" i="86"/>
  <c r="G162" i="86"/>
  <c r="F162" i="86"/>
  <c r="E162" i="86"/>
  <c r="D162" i="86"/>
  <c r="C162" i="86"/>
  <c r="B162" i="86"/>
  <c r="N161" i="86"/>
  <c r="M161" i="86"/>
  <c r="L161" i="86"/>
  <c r="K161" i="86"/>
  <c r="J161" i="86"/>
  <c r="I161" i="86"/>
  <c r="H161" i="86"/>
  <c r="G161" i="86"/>
  <c r="F161" i="86"/>
  <c r="E161" i="86"/>
  <c r="D161" i="86"/>
  <c r="C161" i="86"/>
  <c r="B161" i="86"/>
  <c r="N160" i="86"/>
  <c r="M160" i="86"/>
  <c r="L160" i="86"/>
  <c r="K160" i="86"/>
  <c r="J160" i="86"/>
  <c r="I160" i="86"/>
  <c r="H160" i="86"/>
  <c r="G160" i="86"/>
  <c r="F160" i="86"/>
  <c r="E160" i="86"/>
  <c r="D160" i="86"/>
  <c r="C160" i="86"/>
  <c r="B160" i="86"/>
  <c r="N156" i="86"/>
  <c r="M156" i="86"/>
  <c r="L156" i="86"/>
  <c r="K156" i="86"/>
  <c r="J156" i="86"/>
  <c r="I156" i="86"/>
  <c r="H156" i="86"/>
  <c r="G156" i="86"/>
  <c r="F156" i="86"/>
  <c r="E156" i="86"/>
  <c r="D156" i="86"/>
  <c r="C156" i="86"/>
  <c r="A156" i="86"/>
  <c r="N155" i="86"/>
  <c r="M155" i="86"/>
  <c r="L155" i="86"/>
  <c r="K155" i="86"/>
  <c r="J155" i="86"/>
  <c r="I155" i="86"/>
  <c r="H155" i="86"/>
  <c r="G155" i="86"/>
  <c r="F155" i="86"/>
  <c r="E155" i="86"/>
  <c r="D155" i="86"/>
  <c r="C155" i="86"/>
  <c r="B155" i="86"/>
  <c r="N154" i="86"/>
  <c r="M154" i="86"/>
  <c r="L154" i="86"/>
  <c r="K154" i="86"/>
  <c r="J154" i="86"/>
  <c r="I154" i="86"/>
  <c r="H154" i="86"/>
  <c r="G154" i="86"/>
  <c r="F154" i="86"/>
  <c r="E154" i="86"/>
  <c r="D154" i="86"/>
  <c r="C154" i="86"/>
  <c r="B154" i="86"/>
  <c r="N153" i="86"/>
  <c r="M153" i="86"/>
  <c r="L153" i="86"/>
  <c r="K153" i="86"/>
  <c r="J153" i="86"/>
  <c r="I153" i="86"/>
  <c r="H153" i="86"/>
  <c r="G153" i="86"/>
  <c r="F153" i="86"/>
  <c r="E153" i="86"/>
  <c r="D153" i="86"/>
  <c r="C153" i="86"/>
  <c r="B153" i="86"/>
  <c r="N152" i="86"/>
  <c r="M152" i="86"/>
  <c r="L152" i="86"/>
  <c r="K152" i="86"/>
  <c r="J152" i="86"/>
  <c r="I152" i="86"/>
  <c r="H152" i="86"/>
  <c r="G152" i="86"/>
  <c r="F152" i="86"/>
  <c r="E152" i="86"/>
  <c r="D152" i="86"/>
  <c r="C152" i="86"/>
  <c r="B152" i="86"/>
  <c r="N151" i="86"/>
  <c r="M151" i="86"/>
  <c r="L151" i="86"/>
  <c r="K151" i="86"/>
  <c r="J151" i="86"/>
  <c r="I151" i="86"/>
  <c r="H151" i="86"/>
  <c r="G151" i="86"/>
  <c r="F151" i="86"/>
  <c r="E151" i="86"/>
  <c r="D151" i="86"/>
  <c r="C151" i="86"/>
  <c r="B151" i="86"/>
  <c r="N150" i="86"/>
  <c r="M150" i="86"/>
  <c r="L150" i="86"/>
  <c r="K150" i="86"/>
  <c r="J150" i="86"/>
  <c r="I150" i="86"/>
  <c r="H150" i="86"/>
  <c r="G150" i="86"/>
  <c r="F150" i="86"/>
  <c r="E150" i="86"/>
  <c r="D150" i="86"/>
  <c r="C150" i="86"/>
  <c r="B150" i="86"/>
  <c r="N149" i="86"/>
  <c r="M149" i="86"/>
  <c r="L149" i="86"/>
  <c r="K149" i="86"/>
  <c r="J149" i="86"/>
  <c r="I149" i="86"/>
  <c r="H149" i="86"/>
  <c r="G149" i="86"/>
  <c r="F149" i="86"/>
  <c r="E149" i="86"/>
  <c r="D149" i="86"/>
  <c r="C149" i="86"/>
  <c r="B149" i="86"/>
  <c r="N148" i="86"/>
  <c r="M148" i="86"/>
  <c r="L148" i="86"/>
  <c r="K148" i="86"/>
  <c r="J148" i="86"/>
  <c r="I148" i="86"/>
  <c r="H148" i="86"/>
  <c r="G148" i="86"/>
  <c r="F148" i="86"/>
  <c r="E148" i="86"/>
  <c r="D148" i="86"/>
  <c r="C148" i="86"/>
  <c r="B148" i="86"/>
  <c r="N147" i="86"/>
  <c r="M147" i="86"/>
  <c r="L147" i="86"/>
  <c r="K147" i="86"/>
  <c r="J147" i="86"/>
  <c r="I147" i="86"/>
  <c r="H147" i="86"/>
  <c r="G147" i="86"/>
  <c r="F147" i="86"/>
  <c r="E147" i="86"/>
  <c r="D147" i="86"/>
  <c r="C147" i="86"/>
  <c r="B147" i="86"/>
  <c r="N146" i="86"/>
  <c r="M146" i="86"/>
  <c r="L146" i="86"/>
  <c r="K146" i="86"/>
  <c r="J146" i="86"/>
  <c r="I146" i="86"/>
  <c r="H146" i="86"/>
  <c r="G146" i="86"/>
  <c r="F146" i="86"/>
  <c r="E146" i="86"/>
  <c r="D146" i="86"/>
  <c r="C146" i="86"/>
  <c r="B146" i="86"/>
  <c r="N145" i="86"/>
  <c r="M145" i="86"/>
  <c r="L145" i="86"/>
  <c r="K145" i="86"/>
  <c r="J145" i="86"/>
  <c r="I145" i="86"/>
  <c r="H145" i="86"/>
  <c r="G145" i="86"/>
  <c r="F145" i="86"/>
  <c r="E145" i="86"/>
  <c r="D145" i="86"/>
  <c r="C145" i="86"/>
  <c r="B145" i="86"/>
  <c r="N144" i="86"/>
  <c r="M144" i="86"/>
  <c r="L144" i="86"/>
  <c r="K144" i="86"/>
  <c r="J144" i="86"/>
  <c r="I144" i="86"/>
  <c r="H144" i="86"/>
  <c r="G144" i="86"/>
  <c r="F144" i="86"/>
  <c r="E144" i="86"/>
  <c r="D144" i="86"/>
  <c r="C144" i="86"/>
  <c r="B144" i="86"/>
  <c r="N138" i="86"/>
  <c r="M138" i="86"/>
  <c r="L138" i="86"/>
  <c r="K138" i="86"/>
  <c r="J138" i="86"/>
  <c r="I138" i="86"/>
  <c r="H138" i="86"/>
  <c r="G138" i="86"/>
  <c r="F138" i="86"/>
  <c r="E138" i="86"/>
  <c r="D138" i="86"/>
  <c r="C138" i="86"/>
  <c r="A138" i="86"/>
  <c r="N137" i="86"/>
  <c r="M137" i="86"/>
  <c r="L137" i="86"/>
  <c r="K137" i="86"/>
  <c r="J137" i="86"/>
  <c r="I137" i="86"/>
  <c r="H137" i="86"/>
  <c r="G137" i="86"/>
  <c r="F137" i="86"/>
  <c r="E137" i="86"/>
  <c r="D137" i="86"/>
  <c r="C137" i="86"/>
  <c r="B137" i="86"/>
  <c r="N136" i="86"/>
  <c r="M136" i="86"/>
  <c r="L136" i="86"/>
  <c r="K136" i="86"/>
  <c r="J136" i="86"/>
  <c r="I136" i="86"/>
  <c r="H136" i="86"/>
  <c r="G136" i="86"/>
  <c r="F136" i="86"/>
  <c r="E136" i="86"/>
  <c r="D136" i="86"/>
  <c r="C136" i="86"/>
  <c r="B136" i="86"/>
  <c r="N135" i="86"/>
  <c r="M135" i="86"/>
  <c r="L135" i="86"/>
  <c r="K135" i="86"/>
  <c r="J135" i="86"/>
  <c r="I135" i="86"/>
  <c r="H135" i="86"/>
  <c r="G135" i="86"/>
  <c r="F135" i="86"/>
  <c r="E135" i="86"/>
  <c r="D135" i="86"/>
  <c r="C135" i="86"/>
  <c r="B135" i="86"/>
  <c r="N134" i="86"/>
  <c r="M134" i="86"/>
  <c r="L134" i="86"/>
  <c r="K134" i="86"/>
  <c r="J134" i="86"/>
  <c r="I134" i="86"/>
  <c r="H134" i="86"/>
  <c r="G134" i="86"/>
  <c r="F134" i="86"/>
  <c r="E134" i="86"/>
  <c r="D134" i="86"/>
  <c r="C134" i="86"/>
  <c r="B134" i="86"/>
  <c r="N133" i="86"/>
  <c r="M133" i="86"/>
  <c r="L133" i="86"/>
  <c r="K133" i="86"/>
  <c r="J133" i="86"/>
  <c r="I133" i="86"/>
  <c r="H133" i="86"/>
  <c r="G133" i="86"/>
  <c r="F133" i="86"/>
  <c r="E133" i="86"/>
  <c r="D133" i="86"/>
  <c r="C133" i="86"/>
  <c r="B133" i="86"/>
  <c r="N132" i="86"/>
  <c r="M132" i="86"/>
  <c r="L132" i="86"/>
  <c r="K132" i="86"/>
  <c r="J132" i="86"/>
  <c r="I132" i="86"/>
  <c r="H132" i="86"/>
  <c r="G132" i="86"/>
  <c r="F132" i="86"/>
  <c r="E132" i="86"/>
  <c r="D132" i="86"/>
  <c r="C132" i="86"/>
  <c r="B132" i="86"/>
  <c r="N131" i="86"/>
  <c r="M131" i="86"/>
  <c r="L131" i="86"/>
  <c r="K131" i="86"/>
  <c r="J131" i="86"/>
  <c r="I131" i="86"/>
  <c r="H131" i="86"/>
  <c r="G131" i="86"/>
  <c r="F131" i="86"/>
  <c r="E131" i="86"/>
  <c r="D131" i="86"/>
  <c r="C131" i="86"/>
  <c r="B131" i="86"/>
  <c r="N130" i="86"/>
  <c r="M130" i="86"/>
  <c r="L130" i="86"/>
  <c r="K130" i="86"/>
  <c r="J130" i="86"/>
  <c r="I130" i="86"/>
  <c r="H130" i="86"/>
  <c r="G130" i="86"/>
  <c r="F130" i="86"/>
  <c r="E130" i="86"/>
  <c r="D130" i="86"/>
  <c r="C130" i="86"/>
  <c r="B130" i="86"/>
  <c r="N129" i="86"/>
  <c r="M129" i="86"/>
  <c r="L129" i="86"/>
  <c r="K129" i="86"/>
  <c r="J129" i="86"/>
  <c r="I129" i="86"/>
  <c r="H129" i="86"/>
  <c r="G129" i="86"/>
  <c r="F129" i="86"/>
  <c r="E129" i="86"/>
  <c r="D129" i="86"/>
  <c r="C129" i="86"/>
  <c r="B129" i="86"/>
  <c r="N128" i="86"/>
  <c r="M128" i="86"/>
  <c r="L128" i="86"/>
  <c r="K128" i="86"/>
  <c r="J128" i="86"/>
  <c r="I128" i="86"/>
  <c r="H128" i="86"/>
  <c r="G128" i="86"/>
  <c r="F128" i="86"/>
  <c r="E128" i="86"/>
  <c r="D128" i="86"/>
  <c r="C128" i="86"/>
  <c r="B128" i="86"/>
  <c r="N127" i="86"/>
  <c r="M127" i="86"/>
  <c r="L127" i="86"/>
  <c r="K127" i="86"/>
  <c r="J127" i="86"/>
  <c r="I127" i="86"/>
  <c r="H127" i="86"/>
  <c r="G127" i="86"/>
  <c r="F127" i="86"/>
  <c r="E127" i="86"/>
  <c r="D127" i="86"/>
  <c r="C127" i="86"/>
  <c r="B127" i="86"/>
  <c r="N126" i="86"/>
  <c r="M126" i="86"/>
  <c r="L126" i="86"/>
  <c r="K126" i="86"/>
  <c r="J126" i="86"/>
  <c r="I126" i="86"/>
  <c r="H126" i="86"/>
  <c r="G126" i="86"/>
  <c r="F126" i="86"/>
  <c r="E126" i="86"/>
  <c r="D126" i="86"/>
  <c r="C126" i="86"/>
  <c r="B126" i="86"/>
  <c r="N122" i="86"/>
  <c r="M122" i="86"/>
  <c r="L122" i="86"/>
  <c r="K122" i="86"/>
  <c r="J122" i="86"/>
  <c r="I122" i="86"/>
  <c r="H122" i="86"/>
  <c r="G122" i="86"/>
  <c r="F122" i="86"/>
  <c r="E122" i="86"/>
  <c r="D122" i="86"/>
  <c r="C122" i="86"/>
  <c r="A122" i="86"/>
  <c r="N121" i="86"/>
  <c r="M121" i="86"/>
  <c r="L121" i="86"/>
  <c r="K121" i="86"/>
  <c r="J121" i="86"/>
  <c r="I121" i="86"/>
  <c r="H121" i="86"/>
  <c r="G121" i="86"/>
  <c r="F121" i="86"/>
  <c r="E121" i="86"/>
  <c r="D121" i="86"/>
  <c r="C121" i="86"/>
  <c r="B121" i="86"/>
  <c r="N120" i="86"/>
  <c r="M120" i="86"/>
  <c r="L120" i="86"/>
  <c r="K120" i="86"/>
  <c r="J120" i="86"/>
  <c r="I120" i="86"/>
  <c r="H120" i="86"/>
  <c r="G120" i="86"/>
  <c r="F120" i="86"/>
  <c r="E120" i="86"/>
  <c r="D120" i="86"/>
  <c r="C120" i="86"/>
  <c r="B120" i="86"/>
  <c r="N119" i="86"/>
  <c r="M119" i="86"/>
  <c r="L119" i="86"/>
  <c r="K119" i="86"/>
  <c r="J119" i="86"/>
  <c r="I119" i="86"/>
  <c r="H119" i="86"/>
  <c r="G119" i="86"/>
  <c r="F119" i="86"/>
  <c r="E119" i="86"/>
  <c r="D119" i="86"/>
  <c r="C119" i="86"/>
  <c r="B119" i="86"/>
  <c r="N118" i="86"/>
  <c r="M118" i="86"/>
  <c r="L118" i="86"/>
  <c r="K118" i="86"/>
  <c r="J118" i="86"/>
  <c r="I118" i="86"/>
  <c r="H118" i="86"/>
  <c r="G118" i="86"/>
  <c r="F118" i="86"/>
  <c r="E118" i="86"/>
  <c r="D118" i="86"/>
  <c r="C118" i="86"/>
  <c r="B118" i="86"/>
  <c r="N117" i="86"/>
  <c r="M117" i="86"/>
  <c r="L117" i="86"/>
  <c r="K117" i="86"/>
  <c r="J117" i="86"/>
  <c r="I117" i="86"/>
  <c r="H117" i="86"/>
  <c r="G117" i="86"/>
  <c r="F117" i="86"/>
  <c r="E117" i="86"/>
  <c r="D117" i="86"/>
  <c r="C117" i="86"/>
  <c r="B117" i="86"/>
  <c r="N116" i="86"/>
  <c r="M116" i="86"/>
  <c r="L116" i="86"/>
  <c r="K116" i="86"/>
  <c r="J116" i="86"/>
  <c r="I116" i="86"/>
  <c r="H116" i="86"/>
  <c r="G116" i="86"/>
  <c r="F116" i="86"/>
  <c r="E116" i="86"/>
  <c r="D116" i="86"/>
  <c r="C116" i="86"/>
  <c r="B116" i="86"/>
  <c r="N115" i="86"/>
  <c r="M115" i="86"/>
  <c r="L115" i="86"/>
  <c r="K115" i="86"/>
  <c r="J115" i="86"/>
  <c r="I115" i="86"/>
  <c r="H115" i="86"/>
  <c r="G115" i="86"/>
  <c r="F115" i="86"/>
  <c r="E115" i="86"/>
  <c r="D115" i="86"/>
  <c r="C115" i="86"/>
  <c r="B115" i="86"/>
  <c r="N114" i="86"/>
  <c r="M114" i="86"/>
  <c r="L114" i="86"/>
  <c r="K114" i="86"/>
  <c r="J114" i="86"/>
  <c r="I114" i="86"/>
  <c r="H114" i="86"/>
  <c r="G114" i="86"/>
  <c r="F114" i="86"/>
  <c r="E114" i="86"/>
  <c r="D114" i="86"/>
  <c r="C114" i="86"/>
  <c r="B114" i="86"/>
  <c r="N113" i="86"/>
  <c r="M113" i="86"/>
  <c r="L113" i="86"/>
  <c r="K113" i="86"/>
  <c r="J113" i="86"/>
  <c r="I113" i="86"/>
  <c r="H113" i="86"/>
  <c r="G113" i="86"/>
  <c r="F113" i="86"/>
  <c r="E113" i="86"/>
  <c r="D113" i="86"/>
  <c r="C113" i="86"/>
  <c r="B113" i="86"/>
  <c r="N112" i="86"/>
  <c r="M112" i="86"/>
  <c r="L112" i="86"/>
  <c r="K112" i="86"/>
  <c r="J112" i="86"/>
  <c r="I112" i="86"/>
  <c r="H112" i="86"/>
  <c r="G112" i="86"/>
  <c r="F112" i="86"/>
  <c r="E112" i="86"/>
  <c r="D112" i="86"/>
  <c r="C112" i="86"/>
  <c r="B112" i="86"/>
  <c r="N111" i="86"/>
  <c r="M111" i="86"/>
  <c r="L111" i="86"/>
  <c r="K111" i="86"/>
  <c r="J111" i="86"/>
  <c r="I111" i="86"/>
  <c r="H111" i="86"/>
  <c r="G111" i="86"/>
  <c r="F111" i="86"/>
  <c r="E111" i="86"/>
  <c r="D111" i="86"/>
  <c r="C111" i="86"/>
  <c r="B111" i="86"/>
  <c r="N110" i="86"/>
  <c r="M110" i="86"/>
  <c r="L110" i="86"/>
  <c r="K110" i="86"/>
  <c r="J110" i="86"/>
  <c r="I110" i="86"/>
  <c r="H110" i="86"/>
  <c r="G110" i="86"/>
  <c r="F110" i="86"/>
  <c r="E110" i="86"/>
  <c r="D110" i="86"/>
  <c r="C110" i="86"/>
  <c r="B110" i="86"/>
  <c r="N104" i="86"/>
  <c r="M104" i="86"/>
  <c r="L104" i="86"/>
  <c r="K104" i="86"/>
  <c r="J104" i="86"/>
  <c r="I104" i="86"/>
  <c r="H104" i="86"/>
  <c r="G104" i="86"/>
  <c r="F104" i="86"/>
  <c r="E104" i="86"/>
  <c r="D104" i="86"/>
  <c r="C104" i="86"/>
  <c r="A104" i="86"/>
  <c r="N103" i="86"/>
  <c r="M103" i="86"/>
  <c r="L103" i="86"/>
  <c r="K103" i="86"/>
  <c r="J103" i="86"/>
  <c r="I103" i="86"/>
  <c r="H103" i="86"/>
  <c r="G103" i="86"/>
  <c r="F103" i="86"/>
  <c r="E103" i="86"/>
  <c r="D103" i="86"/>
  <c r="C103" i="86"/>
  <c r="B103" i="86"/>
  <c r="N102" i="86"/>
  <c r="M102" i="86"/>
  <c r="L102" i="86"/>
  <c r="K102" i="86"/>
  <c r="J102" i="86"/>
  <c r="I102" i="86"/>
  <c r="H102" i="86"/>
  <c r="G102" i="86"/>
  <c r="F102" i="86"/>
  <c r="E102" i="86"/>
  <c r="D102" i="86"/>
  <c r="C102" i="86"/>
  <c r="B102" i="86"/>
  <c r="N101" i="86"/>
  <c r="M101" i="86"/>
  <c r="L101" i="86"/>
  <c r="K101" i="86"/>
  <c r="J101" i="86"/>
  <c r="I101" i="86"/>
  <c r="H101" i="86"/>
  <c r="G101" i="86"/>
  <c r="F101" i="86"/>
  <c r="E101" i="86"/>
  <c r="D101" i="86"/>
  <c r="C101" i="86"/>
  <c r="B101" i="86"/>
  <c r="N100" i="86"/>
  <c r="M100" i="86"/>
  <c r="L100" i="86"/>
  <c r="K100" i="86"/>
  <c r="J100" i="86"/>
  <c r="I100" i="86"/>
  <c r="H100" i="86"/>
  <c r="G100" i="86"/>
  <c r="F100" i="86"/>
  <c r="E100" i="86"/>
  <c r="D100" i="86"/>
  <c r="C100" i="86"/>
  <c r="B100" i="86"/>
  <c r="N99" i="86"/>
  <c r="M99" i="86"/>
  <c r="L99" i="86"/>
  <c r="K99" i="86"/>
  <c r="J99" i="86"/>
  <c r="I99" i="86"/>
  <c r="H99" i="86"/>
  <c r="G99" i="86"/>
  <c r="F99" i="86"/>
  <c r="E99" i="86"/>
  <c r="D99" i="86"/>
  <c r="C99" i="86"/>
  <c r="B99" i="86"/>
  <c r="N98" i="86"/>
  <c r="M98" i="86"/>
  <c r="L98" i="86"/>
  <c r="K98" i="86"/>
  <c r="J98" i="86"/>
  <c r="I98" i="86"/>
  <c r="H98" i="86"/>
  <c r="G98" i="86"/>
  <c r="F98" i="86"/>
  <c r="E98" i="86"/>
  <c r="D98" i="86"/>
  <c r="C98" i="86"/>
  <c r="B98" i="86"/>
  <c r="N97" i="86"/>
  <c r="M97" i="86"/>
  <c r="L97" i="86"/>
  <c r="K97" i="86"/>
  <c r="J97" i="86"/>
  <c r="I97" i="86"/>
  <c r="H97" i="86"/>
  <c r="G97" i="86"/>
  <c r="F97" i="86"/>
  <c r="E97" i="86"/>
  <c r="D97" i="86"/>
  <c r="C97" i="86"/>
  <c r="B97" i="86"/>
  <c r="N96" i="86"/>
  <c r="M96" i="86"/>
  <c r="L96" i="86"/>
  <c r="K96" i="86"/>
  <c r="J96" i="86"/>
  <c r="I96" i="86"/>
  <c r="H96" i="86"/>
  <c r="G96" i="86"/>
  <c r="F96" i="86"/>
  <c r="E96" i="86"/>
  <c r="D96" i="86"/>
  <c r="C96" i="86"/>
  <c r="B96" i="86"/>
  <c r="N95" i="86"/>
  <c r="M95" i="86"/>
  <c r="L95" i="86"/>
  <c r="K95" i="86"/>
  <c r="J95" i="86"/>
  <c r="I95" i="86"/>
  <c r="H95" i="86"/>
  <c r="G95" i="86"/>
  <c r="F95" i="86"/>
  <c r="E95" i="86"/>
  <c r="D95" i="86"/>
  <c r="C95" i="86"/>
  <c r="B95" i="86"/>
  <c r="N94" i="86"/>
  <c r="M94" i="86"/>
  <c r="L94" i="86"/>
  <c r="K94" i="86"/>
  <c r="J94" i="86"/>
  <c r="I94" i="86"/>
  <c r="H94" i="86"/>
  <c r="G94" i="86"/>
  <c r="F94" i="86"/>
  <c r="E94" i="86"/>
  <c r="D94" i="86"/>
  <c r="C94" i="86"/>
  <c r="B94" i="86"/>
  <c r="N93" i="86"/>
  <c r="M93" i="86"/>
  <c r="L93" i="86"/>
  <c r="K93" i="86"/>
  <c r="J93" i="86"/>
  <c r="I93" i="86"/>
  <c r="H93" i="86"/>
  <c r="G93" i="86"/>
  <c r="F93" i="86"/>
  <c r="E93" i="86"/>
  <c r="D93" i="86"/>
  <c r="C93" i="86"/>
  <c r="B93" i="86"/>
  <c r="N92" i="86"/>
  <c r="M92" i="86"/>
  <c r="L92" i="86"/>
  <c r="K92" i="86"/>
  <c r="J92" i="86"/>
  <c r="I92" i="86"/>
  <c r="H92" i="86"/>
  <c r="G92" i="86"/>
  <c r="F92" i="86"/>
  <c r="E92" i="86"/>
  <c r="D92" i="86"/>
  <c r="C92" i="86"/>
  <c r="B92" i="86"/>
  <c r="N88" i="86"/>
  <c r="M88" i="86"/>
  <c r="L88" i="86"/>
  <c r="K88" i="86"/>
  <c r="J88" i="86"/>
  <c r="I88" i="86"/>
  <c r="H88" i="86"/>
  <c r="G88" i="86"/>
  <c r="F88" i="86"/>
  <c r="E88" i="86"/>
  <c r="D88" i="86"/>
  <c r="C88" i="86"/>
  <c r="A88" i="86"/>
  <c r="N87" i="86"/>
  <c r="M87" i="86"/>
  <c r="L87" i="86"/>
  <c r="K87" i="86"/>
  <c r="J87" i="86"/>
  <c r="I87" i="86"/>
  <c r="H87" i="86"/>
  <c r="G87" i="86"/>
  <c r="F87" i="86"/>
  <c r="E87" i="86"/>
  <c r="D87" i="86"/>
  <c r="C87" i="86"/>
  <c r="B87" i="86"/>
  <c r="N86" i="86"/>
  <c r="M86" i="86"/>
  <c r="L86" i="86"/>
  <c r="K86" i="86"/>
  <c r="J86" i="86"/>
  <c r="I86" i="86"/>
  <c r="H86" i="86"/>
  <c r="G86" i="86"/>
  <c r="F86" i="86"/>
  <c r="E86" i="86"/>
  <c r="D86" i="86"/>
  <c r="C86" i="86"/>
  <c r="B86" i="86"/>
  <c r="N85" i="86"/>
  <c r="M85" i="86"/>
  <c r="L85" i="86"/>
  <c r="K85" i="86"/>
  <c r="J85" i="86"/>
  <c r="I85" i="86"/>
  <c r="H85" i="86"/>
  <c r="G85" i="86"/>
  <c r="F85" i="86"/>
  <c r="E85" i="86"/>
  <c r="D85" i="86"/>
  <c r="C85" i="86"/>
  <c r="B85" i="86"/>
  <c r="N84" i="86"/>
  <c r="M84" i="86"/>
  <c r="L84" i="86"/>
  <c r="K84" i="86"/>
  <c r="J84" i="86"/>
  <c r="I84" i="86"/>
  <c r="H84" i="86"/>
  <c r="G84" i="86"/>
  <c r="F84" i="86"/>
  <c r="E84" i="86"/>
  <c r="D84" i="86"/>
  <c r="C84" i="86"/>
  <c r="B84" i="86"/>
  <c r="N83" i="86"/>
  <c r="M83" i="86"/>
  <c r="L83" i="86"/>
  <c r="K83" i="86"/>
  <c r="J83" i="86"/>
  <c r="I83" i="86"/>
  <c r="H83" i="86"/>
  <c r="G83" i="86"/>
  <c r="F83" i="86"/>
  <c r="E83" i="86"/>
  <c r="D83" i="86"/>
  <c r="C83" i="86"/>
  <c r="B83" i="86"/>
  <c r="N82" i="86"/>
  <c r="M82" i="86"/>
  <c r="L82" i="86"/>
  <c r="K82" i="86"/>
  <c r="J82" i="86"/>
  <c r="I82" i="86"/>
  <c r="H82" i="86"/>
  <c r="G82" i="86"/>
  <c r="F82" i="86"/>
  <c r="E82" i="86"/>
  <c r="D82" i="86"/>
  <c r="C82" i="86"/>
  <c r="B82" i="86"/>
  <c r="N81" i="86"/>
  <c r="M81" i="86"/>
  <c r="L81" i="86"/>
  <c r="K81" i="86"/>
  <c r="J81" i="86"/>
  <c r="I81" i="86"/>
  <c r="H81" i="86"/>
  <c r="G81" i="86"/>
  <c r="F81" i="86"/>
  <c r="E81" i="86"/>
  <c r="D81" i="86"/>
  <c r="C81" i="86"/>
  <c r="B81" i="86"/>
  <c r="N80" i="86"/>
  <c r="M80" i="86"/>
  <c r="L80" i="86"/>
  <c r="K80" i="86"/>
  <c r="J80" i="86"/>
  <c r="I80" i="86"/>
  <c r="H80" i="86"/>
  <c r="G80" i="86"/>
  <c r="F80" i="86"/>
  <c r="E80" i="86"/>
  <c r="D80" i="86"/>
  <c r="C80" i="86"/>
  <c r="B80" i="86"/>
  <c r="N79" i="86"/>
  <c r="M79" i="86"/>
  <c r="L79" i="86"/>
  <c r="K79" i="86"/>
  <c r="J79" i="86"/>
  <c r="I79" i="86"/>
  <c r="H79" i="86"/>
  <c r="G79" i="86"/>
  <c r="F79" i="86"/>
  <c r="E79" i="86"/>
  <c r="D79" i="86"/>
  <c r="C79" i="86"/>
  <c r="B79" i="86"/>
  <c r="N78" i="86"/>
  <c r="M78" i="86"/>
  <c r="L78" i="86"/>
  <c r="K78" i="86"/>
  <c r="J78" i="86"/>
  <c r="I78" i="86"/>
  <c r="H78" i="86"/>
  <c r="G78" i="86"/>
  <c r="F78" i="86"/>
  <c r="E78" i="86"/>
  <c r="D78" i="86"/>
  <c r="C78" i="86"/>
  <c r="B78" i="86"/>
  <c r="N77" i="86"/>
  <c r="M77" i="86"/>
  <c r="L77" i="86"/>
  <c r="K77" i="86"/>
  <c r="J77" i="86"/>
  <c r="I77" i="86"/>
  <c r="H77" i="86"/>
  <c r="G77" i="86"/>
  <c r="F77" i="86"/>
  <c r="E77" i="86"/>
  <c r="D77" i="86"/>
  <c r="C77" i="86"/>
  <c r="B77" i="86"/>
  <c r="N76" i="86"/>
  <c r="M76" i="86"/>
  <c r="L76" i="86"/>
  <c r="K76" i="86"/>
  <c r="J76" i="86"/>
  <c r="I76" i="86"/>
  <c r="H76" i="86"/>
  <c r="G76" i="86"/>
  <c r="F76" i="86"/>
  <c r="E76" i="86"/>
  <c r="D76" i="86"/>
  <c r="C76" i="86"/>
  <c r="B76" i="86"/>
  <c r="N70" i="86"/>
  <c r="M70" i="86"/>
  <c r="L70" i="86"/>
  <c r="K70" i="86"/>
  <c r="J70" i="86"/>
  <c r="I70" i="86"/>
  <c r="H70" i="86"/>
  <c r="G70" i="86"/>
  <c r="F70" i="86"/>
  <c r="E70" i="86"/>
  <c r="D70" i="86"/>
  <c r="C70" i="86"/>
  <c r="A70" i="86"/>
  <c r="N69" i="86"/>
  <c r="M69" i="86"/>
  <c r="L69" i="86"/>
  <c r="K69" i="86"/>
  <c r="J69" i="86"/>
  <c r="I69" i="86"/>
  <c r="H69" i="86"/>
  <c r="G69" i="86"/>
  <c r="F69" i="86"/>
  <c r="E69" i="86"/>
  <c r="D69" i="86"/>
  <c r="C69" i="86"/>
  <c r="B69" i="86"/>
  <c r="N68" i="86"/>
  <c r="M68" i="86"/>
  <c r="L68" i="86"/>
  <c r="K68" i="86"/>
  <c r="J68" i="86"/>
  <c r="I68" i="86"/>
  <c r="H68" i="86"/>
  <c r="G68" i="86"/>
  <c r="F68" i="86"/>
  <c r="E68" i="86"/>
  <c r="D68" i="86"/>
  <c r="C68" i="86"/>
  <c r="B68" i="86"/>
  <c r="N67" i="86"/>
  <c r="M67" i="86"/>
  <c r="L67" i="86"/>
  <c r="K67" i="86"/>
  <c r="J67" i="86"/>
  <c r="I67" i="86"/>
  <c r="H67" i="86"/>
  <c r="G67" i="86"/>
  <c r="F67" i="86"/>
  <c r="E67" i="86"/>
  <c r="D67" i="86"/>
  <c r="C67" i="86"/>
  <c r="B67" i="86"/>
  <c r="N66" i="86"/>
  <c r="M66" i="86"/>
  <c r="L66" i="86"/>
  <c r="K66" i="86"/>
  <c r="J66" i="86"/>
  <c r="I66" i="86"/>
  <c r="H66" i="86"/>
  <c r="G66" i="86"/>
  <c r="F66" i="86"/>
  <c r="E66" i="86"/>
  <c r="D66" i="86"/>
  <c r="C66" i="86"/>
  <c r="B66" i="86"/>
  <c r="N65" i="86"/>
  <c r="M65" i="86"/>
  <c r="L65" i="86"/>
  <c r="K65" i="86"/>
  <c r="J65" i="86"/>
  <c r="I65" i="86"/>
  <c r="H65" i="86"/>
  <c r="G65" i="86"/>
  <c r="F65" i="86"/>
  <c r="E65" i="86"/>
  <c r="D65" i="86"/>
  <c r="C65" i="86"/>
  <c r="B65" i="86"/>
  <c r="N64" i="86"/>
  <c r="M64" i="86"/>
  <c r="L64" i="86"/>
  <c r="K64" i="86"/>
  <c r="J64" i="86"/>
  <c r="I64" i="86"/>
  <c r="H64" i="86"/>
  <c r="G64" i="86"/>
  <c r="F64" i="86"/>
  <c r="E64" i="86"/>
  <c r="D64" i="86"/>
  <c r="C64" i="86"/>
  <c r="B64" i="86"/>
  <c r="N63" i="86"/>
  <c r="M63" i="86"/>
  <c r="L63" i="86"/>
  <c r="K63" i="86"/>
  <c r="J63" i="86"/>
  <c r="I63" i="86"/>
  <c r="H63" i="86"/>
  <c r="G63" i="86"/>
  <c r="F63" i="86"/>
  <c r="E63" i="86"/>
  <c r="D63" i="86"/>
  <c r="C63" i="86"/>
  <c r="B63" i="86"/>
  <c r="N62" i="86"/>
  <c r="M62" i="86"/>
  <c r="L62" i="86"/>
  <c r="K62" i="86"/>
  <c r="J62" i="86"/>
  <c r="I62" i="86"/>
  <c r="H62" i="86"/>
  <c r="G62" i="86"/>
  <c r="F62" i="86"/>
  <c r="E62" i="86"/>
  <c r="D62" i="86"/>
  <c r="C62" i="86"/>
  <c r="B62" i="86"/>
  <c r="N61" i="86"/>
  <c r="M61" i="86"/>
  <c r="L61" i="86"/>
  <c r="K61" i="86"/>
  <c r="J61" i="86"/>
  <c r="I61" i="86"/>
  <c r="H61" i="86"/>
  <c r="G61" i="86"/>
  <c r="F61" i="86"/>
  <c r="E61" i="86"/>
  <c r="D61" i="86"/>
  <c r="C61" i="86"/>
  <c r="B61" i="86"/>
  <c r="N60" i="86"/>
  <c r="M60" i="86"/>
  <c r="L60" i="86"/>
  <c r="K60" i="86"/>
  <c r="J60" i="86"/>
  <c r="I60" i="86"/>
  <c r="H60" i="86"/>
  <c r="G60" i="86"/>
  <c r="F60" i="86"/>
  <c r="E60" i="86"/>
  <c r="D60" i="86"/>
  <c r="C60" i="86"/>
  <c r="B60" i="86"/>
  <c r="N59" i="86"/>
  <c r="M59" i="86"/>
  <c r="L59" i="86"/>
  <c r="K59" i="86"/>
  <c r="J59" i="86"/>
  <c r="I59" i="86"/>
  <c r="H59" i="86"/>
  <c r="G59" i="86"/>
  <c r="F59" i="86"/>
  <c r="E59" i="86"/>
  <c r="D59" i="86"/>
  <c r="C59" i="86"/>
  <c r="B59" i="86"/>
  <c r="N58" i="86"/>
  <c r="M58" i="86"/>
  <c r="L58" i="86"/>
  <c r="K58" i="86"/>
  <c r="J58" i="86"/>
  <c r="I58" i="86"/>
  <c r="H58" i="86"/>
  <c r="G58" i="86"/>
  <c r="F58" i="86"/>
  <c r="E58" i="86"/>
  <c r="D58" i="86"/>
  <c r="C58" i="86"/>
  <c r="B58" i="86"/>
  <c r="N54" i="86"/>
  <c r="M54" i="86"/>
  <c r="L54" i="86"/>
  <c r="K54" i="86"/>
  <c r="J54" i="86"/>
  <c r="I54" i="86"/>
  <c r="H54" i="86"/>
  <c r="G54" i="86"/>
  <c r="F54" i="86"/>
  <c r="E54" i="86"/>
  <c r="D54" i="86"/>
  <c r="C54" i="86"/>
  <c r="A54" i="86"/>
  <c r="N53" i="86"/>
  <c r="M53" i="86"/>
  <c r="L53" i="86"/>
  <c r="K53" i="86"/>
  <c r="J53" i="86"/>
  <c r="I53" i="86"/>
  <c r="H53" i="86"/>
  <c r="G53" i="86"/>
  <c r="F53" i="86"/>
  <c r="E53" i="86"/>
  <c r="D53" i="86"/>
  <c r="C53" i="86"/>
  <c r="B53" i="86"/>
  <c r="N52" i="86"/>
  <c r="M52" i="86"/>
  <c r="L52" i="86"/>
  <c r="K52" i="86"/>
  <c r="J52" i="86"/>
  <c r="I52" i="86"/>
  <c r="H52" i="86"/>
  <c r="G52" i="86"/>
  <c r="F52" i="86"/>
  <c r="E52" i="86"/>
  <c r="D52" i="86"/>
  <c r="C52" i="86"/>
  <c r="B52" i="86"/>
  <c r="N51" i="86"/>
  <c r="M51" i="86"/>
  <c r="L51" i="86"/>
  <c r="K51" i="86"/>
  <c r="J51" i="86"/>
  <c r="I51" i="86"/>
  <c r="H51" i="86"/>
  <c r="G51" i="86"/>
  <c r="F51" i="86"/>
  <c r="E51" i="86"/>
  <c r="D51" i="86"/>
  <c r="C51" i="86"/>
  <c r="B51" i="86"/>
  <c r="N50" i="86"/>
  <c r="M50" i="86"/>
  <c r="L50" i="86"/>
  <c r="K50" i="86"/>
  <c r="J50" i="86"/>
  <c r="I50" i="86"/>
  <c r="H50" i="86"/>
  <c r="G50" i="86"/>
  <c r="F50" i="86"/>
  <c r="E50" i="86"/>
  <c r="D50" i="86"/>
  <c r="C50" i="86"/>
  <c r="B50" i="86"/>
  <c r="N49" i="86"/>
  <c r="M49" i="86"/>
  <c r="L49" i="86"/>
  <c r="K49" i="86"/>
  <c r="J49" i="86"/>
  <c r="I49" i="86"/>
  <c r="H49" i="86"/>
  <c r="G49" i="86"/>
  <c r="F49" i="86"/>
  <c r="E49" i="86"/>
  <c r="D49" i="86"/>
  <c r="C49" i="86"/>
  <c r="B49" i="86"/>
  <c r="N48" i="86"/>
  <c r="M48" i="86"/>
  <c r="L48" i="86"/>
  <c r="K48" i="86"/>
  <c r="J48" i="86"/>
  <c r="I48" i="86"/>
  <c r="H48" i="86"/>
  <c r="G48" i="86"/>
  <c r="F48" i="86"/>
  <c r="E48" i="86"/>
  <c r="D48" i="86"/>
  <c r="C48" i="86"/>
  <c r="B48" i="86"/>
  <c r="N47" i="86"/>
  <c r="M47" i="86"/>
  <c r="L47" i="86"/>
  <c r="K47" i="86"/>
  <c r="J47" i="86"/>
  <c r="I47" i="86"/>
  <c r="H47" i="86"/>
  <c r="G47" i="86"/>
  <c r="F47" i="86"/>
  <c r="E47" i="86"/>
  <c r="D47" i="86"/>
  <c r="C47" i="86"/>
  <c r="B47" i="86"/>
  <c r="N46" i="86"/>
  <c r="M46" i="86"/>
  <c r="L46" i="86"/>
  <c r="K46" i="86"/>
  <c r="J46" i="86"/>
  <c r="I46" i="86"/>
  <c r="H46" i="86"/>
  <c r="G46" i="86"/>
  <c r="F46" i="86"/>
  <c r="E46" i="86"/>
  <c r="D46" i="86"/>
  <c r="C46" i="86"/>
  <c r="B46" i="86"/>
  <c r="N45" i="86"/>
  <c r="M45" i="86"/>
  <c r="L45" i="86"/>
  <c r="K45" i="86"/>
  <c r="J45" i="86"/>
  <c r="I45" i="86"/>
  <c r="H45" i="86"/>
  <c r="G45" i="86"/>
  <c r="F45" i="86"/>
  <c r="E45" i="86"/>
  <c r="D45" i="86"/>
  <c r="C45" i="86"/>
  <c r="B45" i="86"/>
  <c r="N44" i="86"/>
  <c r="M44" i="86"/>
  <c r="L44" i="86"/>
  <c r="K44" i="86"/>
  <c r="J44" i="86"/>
  <c r="I44" i="86"/>
  <c r="H44" i="86"/>
  <c r="G44" i="86"/>
  <c r="F44" i="86"/>
  <c r="E44" i="86"/>
  <c r="D44" i="86"/>
  <c r="C44" i="86"/>
  <c r="B44" i="86"/>
  <c r="N43" i="86"/>
  <c r="M43" i="86"/>
  <c r="L43" i="86"/>
  <c r="K43" i="86"/>
  <c r="J43" i="86"/>
  <c r="I43" i="86"/>
  <c r="H43" i="86"/>
  <c r="G43" i="86"/>
  <c r="F43" i="86"/>
  <c r="E43" i="86"/>
  <c r="D43" i="86"/>
  <c r="C43" i="86"/>
  <c r="B43" i="86"/>
  <c r="N42" i="86"/>
  <c r="M42" i="86"/>
  <c r="L42" i="86"/>
  <c r="K42" i="86"/>
  <c r="J42" i="86"/>
  <c r="I42" i="86"/>
  <c r="H42" i="86"/>
  <c r="G42" i="86"/>
  <c r="F42" i="86"/>
  <c r="E42" i="86"/>
  <c r="D42" i="86"/>
  <c r="C42" i="86"/>
  <c r="B42" i="86"/>
  <c r="N36" i="86"/>
  <c r="M36" i="86"/>
  <c r="L36" i="86"/>
  <c r="K36" i="86"/>
  <c r="J36" i="86"/>
  <c r="I36" i="86"/>
  <c r="H36" i="86"/>
  <c r="G36" i="86"/>
  <c r="F36" i="86"/>
  <c r="E36" i="86"/>
  <c r="D36" i="86"/>
  <c r="C36" i="86"/>
  <c r="B36" i="86"/>
  <c r="N35" i="86"/>
  <c r="M35" i="86"/>
  <c r="L35" i="86"/>
  <c r="K35" i="86"/>
  <c r="J35" i="86"/>
  <c r="I35" i="86"/>
  <c r="H35" i="86"/>
  <c r="G35" i="86"/>
  <c r="F35" i="86"/>
  <c r="E35" i="86"/>
  <c r="D35" i="86"/>
  <c r="C35" i="86"/>
  <c r="B35" i="86"/>
  <c r="I31" i="86"/>
  <c r="H31" i="86"/>
  <c r="G31" i="86"/>
  <c r="E31" i="86"/>
  <c r="D31" i="86"/>
  <c r="C31" i="86"/>
  <c r="B31" i="86"/>
  <c r="A31" i="86"/>
  <c r="D30" i="86"/>
  <c r="C30" i="86"/>
  <c r="B30" i="86"/>
  <c r="D29" i="86"/>
  <c r="C29" i="86"/>
  <c r="B29" i="86"/>
  <c r="D28" i="86"/>
  <c r="C28" i="86"/>
  <c r="B28" i="86"/>
  <c r="D27" i="86"/>
  <c r="C27" i="86"/>
  <c r="B27" i="86"/>
  <c r="D26" i="86"/>
  <c r="C26" i="86"/>
  <c r="B26" i="86"/>
  <c r="D25" i="86"/>
  <c r="C25" i="86"/>
  <c r="B25" i="86"/>
  <c r="D24" i="86"/>
  <c r="C24" i="86"/>
  <c r="B24" i="86"/>
  <c r="D23" i="86"/>
  <c r="C23" i="86"/>
  <c r="B23" i="86"/>
  <c r="D22" i="86"/>
  <c r="C22" i="86"/>
  <c r="B22" i="86"/>
  <c r="D21" i="86"/>
  <c r="C21" i="86"/>
  <c r="B21" i="86"/>
  <c r="D20" i="86"/>
  <c r="C20" i="86"/>
  <c r="C19" i="86"/>
  <c r="B19" i="86"/>
  <c r="N15" i="86"/>
  <c r="M15" i="86"/>
  <c r="L15" i="86"/>
  <c r="K15" i="86"/>
  <c r="J15" i="86"/>
  <c r="I15" i="86"/>
  <c r="H15" i="86"/>
  <c r="G15" i="86"/>
  <c r="F15" i="86"/>
  <c r="E15" i="86"/>
  <c r="D15" i="86"/>
  <c r="C15" i="86"/>
  <c r="B15" i="86"/>
  <c r="N14" i="86"/>
  <c r="M14" i="86"/>
  <c r="L14" i="86"/>
  <c r="K14" i="86"/>
  <c r="J14" i="86"/>
  <c r="I14" i="86"/>
  <c r="H14" i="86"/>
  <c r="G14" i="86"/>
  <c r="F14" i="86"/>
  <c r="E14" i="86"/>
  <c r="D14" i="86"/>
  <c r="C14" i="86"/>
  <c r="B14" i="86"/>
  <c r="A10" i="86"/>
  <c r="A1" i="86"/>
  <c r="N371" i="140"/>
  <c r="M371" i="140"/>
  <c r="L371" i="140"/>
  <c r="K371" i="140"/>
  <c r="J371" i="140"/>
  <c r="I371" i="140"/>
  <c r="H371" i="140"/>
  <c r="G371" i="140"/>
  <c r="F371" i="140"/>
  <c r="E371" i="140"/>
  <c r="D371" i="140"/>
  <c r="C371" i="140"/>
  <c r="A371" i="140"/>
  <c r="N370" i="140"/>
  <c r="M370" i="140"/>
  <c r="L370" i="140"/>
  <c r="K370" i="140"/>
  <c r="J370" i="140"/>
  <c r="I370" i="140"/>
  <c r="H370" i="140"/>
  <c r="G370" i="140"/>
  <c r="F370" i="140"/>
  <c r="E370" i="140"/>
  <c r="D370" i="140"/>
  <c r="C370" i="140"/>
  <c r="A370" i="140"/>
  <c r="N369" i="140"/>
  <c r="M369" i="140"/>
  <c r="L369" i="140"/>
  <c r="K369" i="140"/>
  <c r="J369" i="140"/>
  <c r="I369" i="140"/>
  <c r="H369" i="140"/>
  <c r="G369" i="140"/>
  <c r="F369" i="140"/>
  <c r="E369" i="140"/>
  <c r="D369" i="140"/>
  <c r="C369" i="140"/>
  <c r="N368" i="140"/>
  <c r="M368" i="140"/>
  <c r="L368" i="140"/>
  <c r="K368" i="140"/>
  <c r="J368" i="140"/>
  <c r="I368" i="140"/>
  <c r="H368" i="140"/>
  <c r="G368" i="140"/>
  <c r="F368" i="140"/>
  <c r="E368" i="140"/>
  <c r="D368" i="140"/>
  <c r="C368" i="140"/>
  <c r="N367" i="140"/>
  <c r="M367" i="140"/>
  <c r="L367" i="140"/>
  <c r="K367" i="140"/>
  <c r="J367" i="140"/>
  <c r="I367" i="140"/>
  <c r="H367" i="140"/>
  <c r="G367" i="140"/>
  <c r="F367" i="140"/>
  <c r="E367" i="140"/>
  <c r="D367" i="140"/>
  <c r="C367" i="140"/>
  <c r="A367" i="140"/>
  <c r="N366" i="140"/>
  <c r="M366" i="140"/>
  <c r="L366" i="140"/>
  <c r="K366" i="140"/>
  <c r="J366" i="140"/>
  <c r="I366" i="140"/>
  <c r="H366" i="140"/>
  <c r="G366" i="140"/>
  <c r="F366" i="140"/>
  <c r="E366" i="140"/>
  <c r="D366" i="140"/>
  <c r="C366" i="140"/>
  <c r="B366" i="140"/>
  <c r="N365" i="140"/>
  <c r="M365" i="140"/>
  <c r="L365" i="140"/>
  <c r="K365" i="140"/>
  <c r="J365" i="140"/>
  <c r="I365" i="140"/>
  <c r="H365" i="140"/>
  <c r="G365" i="140"/>
  <c r="F365" i="140"/>
  <c r="E365" i="140"/>
  <c r="D365" i="140"/>
  <c r="C365" i="140"/>
  <c r="B365" i="140"/>
  <c r="N364" i="140"/>
  <c r="M364" i="140"/>
  <c r="L364" i="140"/>
  <c r="K364" i="140"/>
  <c r="J364" i="140"/>
  <c r="I364" i="140"/>
  <c r="H364" i="140"/>
  <c r="G364" i="140"/>
  <c r="F364" i="140"/>
  <c r="E364" i="140"/>
  <c r="D364" i="140"/>
  <c r="C364" i="140"/>
  <c r="B364" i="140"/>
  <c r="N363" i="140"/>
  <c r="M363" i="140"/>
  <c r="L363" i="140"/>
  <c r="K363" i="140"/>
  <c r="J363" i="140"/>
  <c r="I363" i="140"/>
  <c r="H363" i="140"/>
  <c r="G363" i="140"/>
  <c r="F363" i="140"/>
  <c r="E363" i="140"/>
  <c r="D363" i="140"/>
  <c r="C363" i="140"/>
  <c r="B363" i="140"/>
  <c r="N362" i="140"/>
  <c r="M362" i="140"/>
  <c r="L362" i="140"/>
  <c r="K362" i="140"/>
  <c r="J362" i="140"/>
  <c r="I362" i="140"/>
  <c r="H362" i="140"/>
  <c r="G362" i="140"/>
  <c r="F362" i="140"/>
  <c r="E362" i="140"/>
  <c r="D362" i="140"/>
  <c r="C362" i="140"/>
  <c r="B362" i="140"/>
  <c r="N361" i="140"/>
  <c r="M361" i="140"/>
  <c r="L361" i="140"/>
  <c r="K361" i="140"/>
  <c r="J361" i="140"/>
  <c r="I361" i="140"/>
  <c r="H361" i="140"/>
  <c r="G361" i="140"/>
  <c r="F361" i="140"/>
  <c r="E361" i="140"/>
  <c r="D361" i="140"/>
  <c r="C361" i="140"/>
  <c r="B361" i="140"/>
  <c r="N360" i="140"/>
  <c r="M360" i="140"/>
  <c r="L360" i="140"/>
  <c r="K360" i="140"/>
  <c r="J360" i="140"/>
  <c r="I360" i="140"/>
  <c r="H360" i="140"/>
  <c r="G360" i="140"/>
  <c r="F360" i="140"/>
  <c r="E360" i="140"/>
  <c r="D360" i="140"/>
  <c r="C360" i="140"/>
  <c r="B360" i="140"/>
  <c r="N359" i="140"/>
  <c r="M359" i="140"/>
  <c r="L359" i="140"/>
  <c r="K359" i="140"/>
  <c r="J359" i="140"/>
  <c r="I359" i="140"/>
  <c r="H359" i="140"/>
  <c r="G359" i="140"/>
  <c r="F359" i="140"/>
  <c r="E359" i="140"/>
  <c r="D359" i="140"/>
  <c r="C359" i="140"/>
  <c r="B359" i="140"/>
  <c r="N358" i="140"/>
  <c r="M358" i="140"/>
  <c r="L358" i="140"/>
  <c r="K358" i="140"/>
  <c r="J358" i="140"/>
  <c r="I358" i="140"/>
  <c r="H358" i="140"/>
  <c r="G358" i="140"/>
  <c r="F358" i="140"/>
  <c r="E358" i="140"/>
  <c r="D358" i="140"/>
  <c r="C358" i="140"/>
  <c r="B358" i="140"/>
  <c r="N357" i="140"/>
  <c r="M357" i="140"/>
  <c r="L357" i="140"/>
  <c r="K357" i="140"/>
  <c r="J357" i="140"/>
  <c r="I357" i="140"/>
  <c r="H357" i="140"/>
  <c r="G357" i="140"/>
  <c r="F357" i="140"/>
  <c r="E357" i="140"/>
  <c r="D357" i="140"/>
  <c r="C357" i="140"/>
  <c r="B357" i="140"/>
  <c r="N356" i="140"/>
  <c r="M356" i="140"/>
  <c r="L356" i="140"/>
  <c r="K356" i="140"/>
  <c r="J356" i="140"/>
  <c r="I356" i="140"/>
  <c r="H356" i="140"/>
  <c r="G356" i="140"/>
  <c r="F356" i="140"/>
  <c r="E356" i="140"/>
  <c r="D356" i="140"/>
  <c r="C356" i="140"/>
  <c r="B356" i="140"/>
  <c r="N355" i="140"/>
  <c r="M355" i="140"/>
  <c r="L355" i="140"/>
  <c r="K355" i="140"/>
  <c r="J355" i="140"/>
  <c r="I355" i="140"/>
  <c r="H355" i="140"/>
  <c r="G355" i="140"/>
  <c r="F355" i="140"/>
  <c r="E355" i="140"/>
  <c r="D355" i="140"/>
  <c r="C355" i="140"/>
  <c r="B355" i="140"/>
  <c r="N351" i="140"/>
  <c r="M351" i="140"/>
  <c r="L351" i="140"/>
  <c r="K351" i="140"/>
  <c r="J351" i="140"/>
  <c r="I351" i="140"/>
  <c r="H351" i="140"/>
  <c r="G351" i="140"/>
  <c r="F351" i="140"/>
  <c r="E351" i="140"/>
  <c r="D351" i="140"/>
  <c r="C351" i="140"/>
  <c r="A351" i="140"/>
  <c r="N350" i="140"/>
  <c r="M350" i="140"/>
  <c r="L350" i="140"/>
  <c r="K350" i="140"/>
  <c r="J350" i="140"/>
  <c r="I350" i="140"/>
  <c r="H350" i="140"/>
  <c r="G350" i="140"/>
  <c r="F350" i="140"/>
  <c r="E350" i="140"/>
  <c r="D350" i="140"/>
  <c r="C350" i="140"/>
  <c r="B350" i="140"/>
  <c r="N349" i="140"/>
  <c r="M349" i="140"/>
  <c r="L349" i="140"/>
  <c r="K349" i="140"/>
  <c r="J349" i="140"/>
  <c r="I349" i="140"/>
  <c r="H349" i="140"/>
  <c r="G349" i="140"/>
  <c r="F349" i="140"/>
  <c r="E349" i="140"/>
  <c r="D349" i="140"/>
  <c r="C349" i="140"/>
  <c r="B349" i="140"/>
  <c r="N348" i="140"/>
  <c r="M348" i="140"/>
  <c r="L348" i="140"/>
  <c r="K348" i="140"/>
  <c r="J348" i="140"/>
  <c r="I348" i="140"/>
  <c r="H348" i="140"/>
  <c r="G348" i="140"/>
  <c r="F348" i="140"/>
  <c r="E348" i="140"/>
  <c r="D348" i="140"/>
  <c r="C348" i="140"/>
  <c r="B348" i="140"/>
  <c r="N347" i="140"/>
  <c r="M347" i="140"/>
  <c r="L347" i="140"/>
  <c r="K347" i="140"/>
  <c r="J347" i="140"/>
  <c r="I347" i="140"/>
  <c r="H347" i="140"/>
  <c r="G347" i="140"/>
  <c r="F347" i="140"/>
  <c r="E347" i="140"/>
  <c r="D347" i="140"/>
  <c r="C347" i="140"/>
  <c r="B347" i="140"/>
  <c r="N346" i="140"/>
  <c r="M346" i="140"/>
  <c r="L346" i="140"/>
  <c r="K346" i="140"/>
  <c r="J346" i="140"/>
  <c r="I346" i="140"/>
  <c r="H346" i="140"/>
  <c r="G346" i="140"/>
  <c r="F346" i="140"/>
  <c r="E346" i="140"/>
  <c r="D346" i="140"/>
  <c r="C346" i="140"/>
  <c r="B346" i="140"/>
  <c r="N345" i="140"/>
  <c r="M345" i="140"/>
  <c r="L345" i="140"/>
  <c r="K345" i="140"/>
  <c r="J345" i="140"/>
  <c r="I345" i="140"/>
  <c r="H345" i="140"/>
  <c r="G345" i="140"/>
  <c r="F345" i="140"/>
  <c r="E345" i="140"/>
  <c r="D345" i="140"/>
  <c r="C345" i="140"/>
  <c r="B345" i="140"/>
  <c r="N344" i="140"/>
  <c r="M344" i="140"/>
  <c r="L344" i="140"/>
  <c r="K344" i="140"/>
  <c r="J344" i="140"/>
  <c r="I344" i="140"/>
  <c r="H344" i="140"/>
  <c r="G344" i="140"/>
  <c r="F344" i="140"/>
  <c r="E344" i="140"/>
  <c r="D344" i="140"/>
  <c r="C344" i="140"/>
  <c r="B344" i="140"/>
  <c r="N343" i="140"/>
  <c r="M343" i="140"/>
  <c r="L343" i="140"/>
  <c r="K343" i="140"/>
  <c r="J343" i="140"/>
  <c r="I343" i="140"/>
  <c r="H343" i="140"/>
  <c r="G343" i="140"/>
  <c r="F343" i="140"/>
  <c r="E343" i="140"/>
  <c r="D343" i="140"/>
  <c r="C343" i="140"/>
  <c r="B343" i="140"/>
  <c r="N342" i="140"/>
  <c r="M342" i="140"/>
  <c r="L342" i="140"/>
  <c r="K342" i="140"/>
  <c r="J342" i="140"/>
  <c r="I342" i="140"/>
  <c r="H342" i="140"/>
  <c r="G342" i="140"/>
  <c r="F342" i="140"/>
  <c r="E342" i="140"/>
  <c r="D342" i="140"/>
  <c r="C342" i="140"/>
  <c r="B342" i="140"/>
  <c r="N341" i="140"/>
  <c r="M341" i="140"/>
  <c r="L341" i="140"/>
  <c r="K341" i="140"/>
  <c r="J341" i="140"/>
  <c r="I341" i="140"/>
  <c r="H341" i="140"/>
  <c r="G341" i="140"/>
  <c r="F341" i="140"/>
  <c r="E341" i="140"/>
  <c r="D341" i="140"/>
  <c r="C341" i="140"/>
  <c r="B341" i="140"/>
  <c r="N340" i="140"/>
  <c r="M340" i="140"/>
  <c r="L340" i="140"/>
  <c r="K340" i="140"/>
  <c r="J340" i="140"/>
  <c r="I340" i="140"/>
  <c r="H340" i="140"/>
  <c r="G340" i="140"/>
  <c r="F340" i="140"/>
  <c r="E340" i="140"/>
  <c r="D340" i="140"/>
  <c r="C340" i="140"/>
  <c r="B340" i="140"/>
  <c r="N339" i="140"/>
  <c r="M339" i="140"/>
  <c r="L339" i="140"/>
  <c r="K339" i="140"/>
  <c r="J339" i="140"/>
  <c r="I339" i="140"/>
  <c r="H339" i="140"/>
  <c r="G339" i="140"/>
  <c r="F339" i="140"/>
  <c r="E339" i="140"/>
  <c r="D339" i="140"/>
  <c r="C339" i="140"/>
  <c r="B339" i="140"/>
  <c r="N333" i="140"/>
  <c r="M333" i="140"/>
  <c r="L333" i="140"/>
  <c r="K333" i="140"/>
  <c r="J333" i="140"/>
  <c r="I333" i="140"/>
  <c r="H333" i="140"/>
  <c r="G333" i="140"/>
  <c r="F333" i="140"/>
  <c r="E333" i="140"/>
  <c r="D333" i="140"/>
  <c r="C333" i="140"/>
  <c r="A333" i="140"/>
  <c r="N332" i="140"/>
  <c r="M332" i="140"/>
  <c r="L332" i="140"/>
  <c r="K332" i="140"/>
  <c r="J332" i="140"/>
  <c r="I332" i="140"/>
  <c r="H332" i="140"/>
  <c r="G332" i="140"/>
  <c r="F332" i="140"/>
  <c r="E332" i="140"/>
  <c r="D332" i="140"/>
  <c r="C332" i="140"/>
  <c r="N331" i="140"/>
  <c r="M331" i="140"/>
  <c r="L331" i="140"/>
  <c r="K331" i="140"/>
  <c r="J331" i="140"/>
  <c r="I331" i="140"/>
  <c r="H331" i="140"/>
  <c r="G331" i="140"/>
  <c r="F331" i="140"/>
  <c r="E331" i="140"/>
  <c r="D331" i="140"/>
  <c r="C331" i="140"/>
  <c r="N330" i="140"/>
  <c r="M330" i="140"/>
  <c r="L330" i="140"/>
  <c r="K330" i="140"/>
  <c r="J330" i="140"/>
  <c r="I330" i="140"/>
  <c r="H330" i="140"/>
  <c r="G330" i="140"/>
  <c r="F330" i="140"/>
  <c r="E330" i="140"/>
  <c r="D330" i="140"/>
  <c r="C330" i="140"/>
  <c r="A330" i="140"/>
  <c r="N329" i="140"/>
  <c r="M329" i="140"/>
  <c r="L329" i="140"/>
  <c r="K329" i="140"/>
  <c r="J329" i="140"/>
  <c r="I329" i="140"/>
  <c r="H329" i="140"/>
  <c r="G329" i="140"/>
  <c r="F329" i="140"/>
  <c r="E329" i="140"/>
  <c r="D329" i="140"/>
  <c r="C329" i="140"/>
  <c r="B329" i="140"/>
  <c r="N328" i="140"/>
  <c r="M328" i="140"/>
  <c r="L328" i="140"/>
  <c r="K328" i="140"/>
  <c r="J328" i="140"/>
  <c r="I328" i="140"/>
  <c r="H328" i="140"/>
  <c r="G328" i="140"/>
  <c r="F328" i="140"/>
  <c r="E328" i="140"/>
  <c r="D328" i="140"/>
  <c r="C328" i="140"/>
  <c r="B328" i="140"/>
  <c r="N327" i="140"/>
  <c r="M327" i="140"/>
  <c r="L327" i="140"/>
  <c r="K327" i="140"/>
  <c r="J327" i="140"/>
  <c r="I327" i="140"/>
  <c r="H327" i="140"/>
  <c r="G327" i="140"/>
  <c r="F327" i="140"/>
  <c r="E327" i="140"/>
  <c r="D327" i="140"/>
  <c r="C327" i="140"/>
  <c r="B327" i="140"/>
  <c r="N326" i="140"/>
  <c r="M326" i="140"/>
  <c r="L326" i="140"/>
  <c r="K326" i="140"/>
  <c r="J326" i="140"/>
  <c r="I326" i="140"/>
  <c r="H326" i="140"/>
  <c r="G326" i="140"/>
  <c r="F326" i="140"/>
  <c r="E326" i="140"/>
  <c r="D326" i="140"/>
  <c r="C326" i="140"/>
  <c r="B326" i="140"/>
  <c r="N325" i="140"/>
  <c r="M325" i="140"/>
  <c r="L325" i="140"/>
  <c r="K325" i="140"/>
  <c r="J325" i="140"/>
  <c r="I325" i="140"/>
  <c r="H325" i="140"/>
  <c r="G325" i="140"/>
  <c r="F325" i="140"/>
  <c r="E325" i="140"/>
  <c r="D325" i="140"/>
  <c r="C325" i="140"/>
  <c r="B325" i="140"/>
  <c r="N324" i="140"/>
  <c r="M324" i="140"/>
  <c r="L324" i="140"/>
  <c r="K324" i="140"/>
  <c r="J324" i="140"/>
  <c r="I324" i="140"/>
  <c r="H324" i="140"/>
  <c r="G324" i="140"/>
  <c r="F324" i="140"/>
  <c r="E324" i="140"/>
  <c r="D324" i="140"/>
  <c r="C324" i="140"/>
  <c r="B324" i="140"/>
  <c r="N323" i="140"/>
  <c r="M323" i="140"/>
  <c r="L323" i="140"/>
  <c r="K323" i="140"/>
  <c r="J323" i="140"/>
  <c r="I323" i="140"/>
  <c r="H323" i="140"/>
  <c r="G323" i="140"/>
  <c r="F323" i="140"/>
  <c r="E323" i="140"/>
  <c r="D323" i="140"/>
  <c r="C323" i="140"/>
  <c r="B323" i="140"/>
  <c r="N322" i="140"/>
  <c r="M322" i="140"/>
  <c r="L322" i="140"/>
  <c r="K322" i="140"/>
  <c r="J322" i="140"/>
  <c r="I322" i="140"/>
  <c r="H322" i="140"/>
  <c r="G322" i="140"/>
  <c r="F322" i="140"/>
  <c r="E322" i="140"/>
  <c r="D322" i="140"/>
  <c r="C322" i="140"/>
  <c r="B322" i="140"/>
  <c r="N321" i="140"/>
  <c r="M321" i="140"/>
  <c r="L321" i="140"/>
  <c r="K321" i="140"/>
  <c r="J321" i="140"/>
  <c r="I321" i="140"/>
  <c r="H321" i="140"/>
  <c r="G321" i="140"/>
  <c r="F321" i="140"/>
  <c r="E321" i="140"/>
  <c r="D321" i="140"/>
  <c r="C321" i="140"/>
  <c r="B321" i="140"/>
  <c r="N320" i="140"/>
  <c r="M320" i="140"/>
  <c r="L320" i="140"/>
  <c r="K320" i="140"/>
  <c r="J320" i="140"/>
  <c r="I320" i="140"/>
  <c r="H320" i="140"/>
  <c r="G320" i="140"/>
  <c r="F320" i="140"/>
  <c r="E320" i="140"/>
  <c r="D320" i="140"/>
  <c r="C320" i="140"/>
  <c r="B320" i="140"/>
  <c r="N319" i="140"/>
  <c r="M319" i="140"/>
  <c r="L319" i="140"/>
  <c r="K319" i="140"/>
  <c r="J319" i="140"/>
  <c r="I319" i="140"/>
  <c r="H319" i="140"/>
  <c r="G319" i="140"/>
  <c r="F319" i="140"/>
  <c r="E319" i="140"/>
  <c r="D319" i="140"/>
  <c r="C319" i="140"/>
  <c r="B319" i="140"/>
  <c r="N318" i="140"/>
  <c r="M318" i="140"/>
  <c r="L318" i="140"/>
  <c r="K318" i="140"/>
  <c r="J318" i="140"/>
  <c r="I318" i="140"/>
  <c r="H318" i="140"/>
  <c r="G318" i="140"/>
  <c r="F318" i="140"/>
  <c r="E318" i="140"/>
  <c r="D318" i="140"/>
  <c r="C318" i="140"/>
  <c r="B318" i="140"/>
  <c r="N314" i="140"/>
  <c r="M314" i="140"/>
  <c r="L314" i="140"/>
  <c r="K314" i="140"/>
  <c r="J314" i="140"/>
  <c r="I314" i="140"/>
  <c r="H314" i="140"/>
  <c r="G314" i="140"/>
  <c r="F314" i="140"/>
  <c r="E314" i="140"/>
  <c r="D314" i="140"/>
  <c r="C314" i="140"/>
  <c r="A314" i="140"/>
  <c r="N313" i="140"/>
  <c r="M313" i="140"/>
  <c r="L313" i="140"/>
  <c r="K313" i="140"/>
  <c r="J313" i="140"/>
  <c r="I313" i="140"/>
  <c r="H313" i="140"/>
  <c r="G313" i="140"/>
  <c r="F313" i="140"/>
  <c r="E313" i="140"/>
  <c r="D313" i="140"/>
  <c r="C313" i="140"/>
  <c r="B313" i="140"/>
  <c r="N312" i="140"/>
  <c r="M312" i="140"/>
  <c r="L312" i="140"/>
  <c r="K312" i="140"/>
  <c r="J312" i="140"/>
  <c r="I312" i="140"/>
  <c r="H312" i="140"/>
  <c r="G312" i="140"/>
  <c r="F312" i="140"/>
  <c r="E312" i="140"/>
  <c r="D312" i="140"/>
  <c r="C312" i="140"/>
  <c r="B312" i="140"/>
  <c r="N311" i="140"/>
  <c r="M311" i="140"/>
  <c r="L311" i="140"/>
  <c r="K311" i="140"/>
  <c r="J311" i="140"/>
  <c r="I311" i="140"/>
  <c r="H311" i="140"/>
  <c r="G311" i="140"/>
  <c r="F311" i="140"/>
  <c r="E311" i="140"/>
  <c r="D311" i="140"/>
  <c r="C311" i="140"/>
  <c r="B311" i="140"/>
  <c r="N310" i="140"/>
  <c r="M310" i="140"/>
  <c r="L310" i="140"/>
  <c r="K310" i="140"/>
  <c r="J310" i="140"/>
  <c r="I310" i="140"/>
  <c r="H310" i="140"/>
  <c r="G310" i="140"/>
  <c r="F310" i="140"/>
  <c r="E310" i="140"/>
  <c r="D310" i="140"/>
  <c r="C310" i="140"/>
  <c r="B310" i="140"/>
  <c r="N309" i="140"/>
  <c r="M309" i="140"/>
  <c r="L309" i="140"/>
  <c r="K309" i="140"/>
  <c r="J309" i="140"/>
  <c r="I309" i="140"/>
  <c r="H309" i="140"/>
  <c r="G309" i="140"/>
  <c r="F309" i="140"/>
  <c r="E309" i="140"/>
  <c r="D309" i="140"/>
  <c r="C309" i="140"/>
  <c r="B309" i="140"/>
  <c r="N308" i="140"/>
  <c r="M308" i="140"/>
  <c r="L308" i="140"/>
  <c r="K308" i="140"/>
  <c r="J308" i="140"/>
  <c r="I308" i="140"/>
  <c r="H308" i="140"/>
  <c r="G308" i="140"/>
  <c r="F308" i="140"/>
  <c r="E308" i="140"/>
  <c r="D308" i="140"/>
  <c r="C308" i="140"/>
  <c r="B308" i="140"/>
  <c r="N307" i="140"/>
  <c r="M307" i="140"/>
  <c r="L307" i="140"/>
  <c r="K307" i="140"/>
  <c r="J307" i="140"/>
  <c r="I307" i="140"/>
  <c r="H307" i="140"/>
  <c r="G307" i="140"/>
  <c r="F307" i="140"/>
  <c r="E307" i="140"/>
  <c r="D307" i="140"/>
  <c r="C307" i="140"/>
  <c r="B307" i="140"/>
  <c r="N306" i="140"/>
  <c r="M306" i="140"/>
  <c r="L306" i="140"/>
  <c r="K306" i="140"/>
  <c r="J306" i="140"/>
  <c r="I306" i="140"/>
  <c r="H306" i="140"/>
  <c r="G306" i="140"/>
  <c r="F306" i="140"/>
  <c r="E306" i="140"/>
  <c r="D306" i="140"/>
  <c r="C306" i="140"/>
  <c r="B306" i="140"/>
  <c r="N305" i="140"/>
  <c r="M305" i="140"/>
  <c r="L305" i="140"/>
  <c r="K305" i="140"/>
  <c r="J305" i="140"/>
  <c r="I305" i="140"/>
  <c r="H305" i="140"/>
  <c r="G305" i="140"/>
  <c r="F305" i="140"/>
  <c r="E305" i="140"/>
  <c r="D305" i="140"/>
  <c r="C305" i="140"/>
  <c r="B305" i="140"/>
  <c r="N304" i="140"/>
  <c r="M304" i="140"/>
  <c r="L304" i="140"/>
  <c r="K304" i="140"/>
  <c r="J304" i="140"/>
  <c r="I304" i="140"/>
  <c r="H304" i="140"/>
  <c r="G304" i="140"/>
  <c r="F304" i="140"/>
  <c r="E304" i="140"/>
  <c r="D304" i="140"/>
  <c r="C304" i="140"/>
  <c r="B304" i="140"/>
  <c r="N303" i="140"/>
  <c r="M303" i="140"/>
  <c r="L303" i="140"/>
  <c r="K303" i="140"/>
  <c r="J303" i="140"/>
  <c r="I303" i="140"/>
  <c r="H303" i="140"/>
  <c r="G303" i="140"/>
  <c r="F303" i="140"/>
  <c r="E303" i="140"/>
  <c r="D303" i="140"/>
  <c r="C303" i="140"/>
  <c r="B303" i="140"/>
  <c r="N302" i="140"/>
  <c r="M302" i="140"/>
  <c r="L302" i="140"/>
  <c r="K302" i="140"/>
  <c r="J302" i="140"/>
  <c r="I302" i="140"/>
  <c r="H302" i="140"/>
  <c r="G302" i="140"/>
  <c r="F302" i="140"/>
  <c r="E302" i="140"/>
  <c r="D302" i="140"/>
  <c r="C302" i="140"/>
  <c r="B302" i="140"/>
  <c r="N296" i="140"/>
  <c r="M296" i="140"/>
  <c r="L296" i="140"/>
  <c r="K296" i="140"/>
  <c r="J296" i="140"/>
  <c r="I296" i="140"/>
  <c r="H296" i="140"/>
  <c r="G296" i="140"/>
  <c r="F296" i="140"/>
  <c r="E296" i="140"/>
  <c r="D296" i="140"/>
  <c r="C296" i="140"/>
  <c r="N294" i="140"/>
  <c r="M294" i="140"/>
  <c r="L294" i="140"/>
  <c r="K294" i="140"/>
  <c r="J294" i="140"/>
  <c r="I294" i="140"/>
  <c r="H294" i="140"/>
  <c r="G294" i="140"/>
  <c r="F294" i="140"/>
  <c r="E294" i="140"/>
  <c r="D294" i="140"/>
  <c r="C294" i="140"/>
  <c r="N293" i="140"/>
  <c r="M293" i="140"/>
  <c r="L293" i="140"/>
  <c r="K293" i="140"/>
  <c r="J293" i="140"/>
  <c r="I293" i="140"/>
  <c r="H293" i="140"/>
  <c r="G293" i="140"/>
  <c r="F293" i="140"/>
  <c r="E293" i="140"/>
  <c r="D293" i="140"/>
  <c r="C293" i="140"/>
  <c r="N290" i="140"/>
  <c r="M290" i="140"/>
  <c r="L290" i="140"/>
  <c r="K290" i="140"/>
  <c r="J290" i="140"/>
  <c r="I290" i="140"/>
  <c r="H290" i="140"/>
  <c r="G290" i="140"/>
  <c r="F290" i="140"/>
  <c r="E290" i="140"/>
  <c r="D290" i="140"/>
  <c r="C290" i="140"/>
  <c r="N289" i="140"/>
  <c r="M289" i="140"/>
  <c r="L289" i="140"/>
  <c r="K289" i="140"/>
  <c r="J289" i="140"/>
  <c r="I289" i="140"/>
  <c r="H289" i="140"/>
  <c r="G289" i="140"/>
  <c r="F289" i="140"/>
  <c r="E289" i="140"/>
  <c r="D289" i="140"/>
  <c r="C289" i="140"/>
  <c r="N283" i="140"/>
  <c r="M283" i="140"/>
  <c r="L283" i="140"/>
  <c r="K283" i="140"/>
  <c r="J283" i="140"/>
  <c r="I283" i="140"/>
  <c r="H283" i="140"/>
  <c r="G283" i="140"/>
  <c r="F283" i="140"/>
  <c r="E283" i="140"/>
  <c r="D283" i="140"/>
  <c r="C283" i="140"/>
  <c r="A283" i="140"/>
  <c r="N282" i="140"/>
  <c r="M282" i="140"/>
  <c r="L282" i="140"/>
  <c r="K282" i="140"/>
  <c r="J282" i="140"/>
  <c r="I282" i="140"/>
  <c r="H282" i="140"/>
  <c r="G282" i="140"/>
  <c r="F282" i="140"/>
  <c r="E282" i="140"/>
  <c r="D282" i="140"/>
  <c r="C282" i="140"/>
  <c r="N281" i="140"/>
  <c r="M281" i="140"/>
  <c r="L281" i="140"/>
  <c r="K281" i="140"/>
  <c r="J281" i="140"/>
  <c r="I281" i="140"/>
  <c r="H281" i="140"/>
  <c r="G281" i="140"/>
  <c r="F281" i="140"/>
  <c r="E281" i="140"/>
  <c r="D281" i="140"/>
  <c r="C281" i="140"/>
  <c r="N280" i="140"/>
  <c r="M280" i="140"/>
  <c r="L280" i="140"/>
  <c r="K280" i="140"/>
  <c r="J280" i="140"/>
  <c r="I280" i="140"/>
  <c r="H280" i="140"/>
  <c r="G280" i="140"/>
  <c r="F280" i="140"/>
  <c r="E280" i="140"/>
  <c r="D280" i="140"/>
  <c r="C280" i="140"/>
  <c r="N279" i="140"/>
  <c r="M279" i="140"/>
  <c r="L279" i="140"/>
  <c r="K279" i="140"/>
  <c r="J279" i="140"/>
  <c r="I279" i="140"/>
  <c r="H279" i="140"/>
  <c r="G279" i="140"/>
  <c r="F279" i="140"/>
  <c r="E279" i="140"/>
  <c r="D279" i="140"/>
  <c r="C279" i="140"/>
  <c r="N278" i="140"/>
  <c r="M278" i="140"/>
  <c r="L278" i="140"/>
  <c r="K278" i="140"/>
  <c r="J278" i="140"/>
  <c r="I278" i="140"/>
  <c r="H278" i="140"/>
  <c r="G278" i="140"/>
  <c r="F278" i="140"/>
  <c r="E278" i="140"/>
  <c r="D278" i="140"/>
  <c r="C278" i="140"/>
  <c r="N274" i="140"/>
  <c r="M274" i="140"/>
  <c r="L274" i="140"/>
  <c r="K274" i="140"/>
  <c r="J274" i="140"/>
  <c r="I274" i="140"/>
  <c r="H274" i="140"/>
  <c r="G274" i="140"/>
  <c r="F274" i="140"/>
  <c r="E274" i="140"/>
  <c r="D274" i="140"/>
  <c r="C274" i="140"/>
  <c r="A274" i="140"/>
  <c r="N273" i="140"/>
  <c r="M273" i="140"/>
  <c r="L273" i="140"/>
  <c r="K273" i="140"/>
  <c r="J273" i="140"/>
  <c r="I273" i="140"/>
  <c r="H273" i="140"/>
  <c r="G273" i="140"/>
  <c r="F273" i="140"/>
  <c r="E273" i="140"/>
  <c r="D273" i="140"/>
  <c r="C273" i="140"/>
  <c r="B273" i="140"/>
  <c r="N272" i="140"/>
  <c r="M272" i="140"/>
  <c r="L272" i="140"/>
  <c r="K272" i="140"/>
  <c r="J272" i="140"/>
  <c r="I272" i="140"/>
  <c r="H272" i="140"/>
  <c r="G272" i="140"/>
  <c r="F272" i="140"/>
  <c r="E272" i="140"/>
  <c r="D272" i="140"/>
  <c r="C272" i="140"/>
  <c r="B272" i="140"/>
  <c r="N271" i="140"/>
  <c r="M271" i="140"/>
  <c r="L271" i="140"/>
  <c r="K271" i="140"/>
  <c r="J271" i="140"/>
  <c r="I271" i="140"/>
  <c r="H271" i="140"/>
  <c r="G271" i="140"/>
  <c r="F271" i="140"/>
  <c r="E271" i="140"/>
  <c r="D271" i="140"/>
  <c r="C271" i="140"/>
  <c r="B271" i="140"/>
  <c r="N270" i="140"/>
  <c r="M270" i="140"/>
  <c r="L270" i="140"/>
  <c r="K270" i="140"/>
  <c r="J270" i="140"/>
  <c r="I270" i="140"/>
  <c r="H270" i="140"/>
  <c r="G270" i="140"/>
  <c r="F270" i="140"/>
  <c r="E270" i="140"/>
  <c r="D270" i="140"/>
  <c r="C270" i="140"/>
  <c r="B270" i="140"/>
  <c r="N269" i="140"/>
  <c r="M269" i="140"/>
  <c r="L269" i="140"/>
  <c r="K269" i="140"/>
  <c r="J269" i="140"/>
  <c r="I269" i="140"/>
  <c r="H269" i="140"/>
  <c r="G269" i="140"/>
  <c r="F269" i="140"/>
  <c r="E269" i="140"/>
  <c r="D269" i="140"/>
  <c r="C269" i="140"/>
  <c r="B269" i="140"/>
  <c r="N268" i="140"/>
  <c r="M268" i="140"/>
  <c r="L268" i="140"/>
  <c r="K268" i="140"/>
  <c r="J268" i="140"/>
  <c r="I268" i="140"/>
  <c r="H268" i="140"/>
  <c r="G268" i="140"/>
  <c r="F268" i="140"/>
  <c r="E268" i="140"/>
  <c r="D268" i="140"/>
  <c r="C268" i="140"/>
  <c r="B268" i="140"/>
  <c r="N267" i="140"/>
  <c r="M267" i="140"/>
  <c r="L267" i="140"/>
  <c r="K267" i="140"/>
  <c r="J267" i="140"/>
  <c r="I267" i="140"/>
  <c r="H267" i="140"/>
  <c r="G267" i="140"/>
  <c r="F267" i="140"/>
  <c r="E267" i="140"/>
  <c r="D267" i="140"/>
  <c r="C267" i="140"/>
  <c r="B267" i="140"/>
  <c r="N266" i="140"/>
  <c r="M266" i="140"/>
  <c r="L266" i="140"/>
  <c r="K266" i="140"/>
  <c r="J266" i="140"/>
  <c r="I266" i="140"/>
  <c r="H266" i="140"/>
  <c r="G266" i="140"/>
  <c r="F266" i="140"/>
  <c r="E266" i="140"/>
  <c r="D266" i="140"/>
  <c r="C266" i="140"/>
  <c r="B266" i="140"/>
  <c r="N265" i="140"/>
  <c r="M265" i="140"/>
  <c r="L265" i="140"/>
  <c r="K265" i="140"/>
  <c r="J265" i="140"/>
  <c r="I265" i="140"/>
  <c r="H265" i="140"/>
  <c r="G265" i="140"/>
  <c r="F265" i="140"/>
  <c r="E265" i="140"/>
  <c r="D265" i="140"/>
  <c r="C265" i="140"/>
  <c r="B265" i="140"/>
  <c r="N264" i="140"/>
  <c r="M264" i="140"/>
  <c r="L264" i="140"/>
  <c r="K264" i="140"/>
  <c r="J264" i="140"/>
  <c r="I264" i="140"/>
  <c r="H264" i="140"/>
  <c r="G264" i="140"/>
  <c r="F264" i="140"/>
  <c r="E264" i="140"/>
  <c r="D264" i="140"/>
  <c r="C264" i="140"/>
  <c r="B264" i="140"/>
  <c r="N263" i="140"/>
  <c r="M263" i="140"/>
  <c r="L263" i="140"/>
  <c r="K263" i="140"/>
  <c r="J263" i="140"/>
  <c r="I263" i="140"/>
  <c r="H263" i="140"/>
  <c r="G263" i="140"/>
  <c r="F263" i="140"/>
  <c r="E263" i="140"/>
  <c r="D263" i="140"/>
  <c r="C263" i="140"/>
  <c r="B263" i="140"/>
  <c r="N262" i="140"/>
  <c r="M262" i="140"/>
  <c r="L262" i="140"/>
  <c r="K262" i="140"/>
  <c r="J262" i="140"/>
  <c r="I262" i="140"/>
  <c r="H262" i="140"/>
  <c r="G262" i="140"/>
  <c r="F262" i="140"/>
  <c r="E262" i="140"/>
  <c r="D262" i="140"/>
  <c r="C262" i="140"/>
  <c r="B262" i="140"/>
  <c r="N258" i="140"/>
  <c r="M258" i="140"/>
  <c r="L258" i="140"/>
  <c r="K258" i="140"/>
  <c r="J258" i="140"/>
  <c r="I258" i="140"/>
  <c r="H258" i="140"/>
  <c r="G258" i="140"/>
  <c r="F258" i="140"/>
  <c r="E258" i="140"/>
  <c r="D258" i="140"/>
  <c r="C258" i="140"/>
  <c r="A258" i="140"/>
  <c r="N257" i="140"/>
  <c r="M257" i="140"/>
  <c r="L257" i="140"/>
  <c r="K257" i="140"/>
  <c r="J257" i="140"/>
  <c r="I257" i="140"/>
  <c r="H257" i="140"/>
  <c r="G257" i="140"/>
  <c r="F257" i="140"/>
  <c r="E257" i="140"/>
  <c r="D257" i="140"/>
  <c r="C257" i="140"/>
  <c r="B257" i="140"/>
  <c r="N256" i="140"/>
  <c r="M256" i="140"/>
  <c r="L256" i="140"/>
  <c r="K256" i="140"/>
  <c r="J256" i="140"/>
  <c r="I256" i="140"/>
  <c r="H256" i="140"/>
  <c r="G256" i="140"/>
  <c r="F256" i="140"/>
  <c r="E256" i="140"/>
  <c r="D256" i="140"/>
  <c r="C256" i="140"/>
  <c r="B256" i="140"/>
  <c r="N255" i="140"/>
  <c r="M255" i="140"/>
  <c r="L255" i="140"/>
  <c r="K255" i="140"/>
  <c r="J255" i="140"/>
  <c r="I255" i="140"/>
  <c r="H255" i="140"/>
  <c r="G255" i="140"/>
  <c r="F255" i="140"/>
  <c r="E255" i="140"/>
  <c r="D255" i="140"/>
  <c r="C255" i="140"/>
  <c r="B255" i="140"/>
  <c r="N254" i="140"/>
  <c r="M254" i="140"/>
  <c r="L254" i="140"/>
  <c r="K254" i="140"/>
  <c r="J254" i="140"/>
  <c r="I254" i="140"/>
  <c r="H254" i="140"/>
  <c r="G254" i="140"/>
  <c r="F254" i="140"/>
  <c r="E254" i="140"/>
  <c r="D254" i="140"/>
  <c r="C254" i="140"/>
  <c r="B254" i="140"/>
  <c r="N253" i="140"/>
  <c r="M253" i="140"/>
  <c r="L253" i="140"/>
  <c r="K253" i="140"/>
  <c r="J253" i="140"/>
  <c r="I253" i="140"/>
  <c r="H253" i="140"/>
  <c r="G253" i="140"/>
  <c r="F253" i="140"/>
  <c r="E253" i="140"/>
  <c r="D253" i="140"/>
  <c r="C253" i="140"/>
  <c r="B253" i="140"/>
  <c r="N252" i="140"/>
  <c r="M252" i="140"/>
  <c r="L252" i="140"/>
  <c r="K252" i="140"/>
  <c r="J252" i="140"/>
  <c r="I252" i="140"/>
  <c r="H252" i="140"/>
  <c r="G252" i="140"/>
  <c r="F252" i="140"/>
  <c r="E252" i="140"/>
  <c r="D252" i="140"/>
  <c r="C252" i="140"/>
  <c r="B252" i="140"/>
  <c r="N251" i="140"/>
  <c r="M251" i="140"/>
  <c r="L251" i="140"/>
  <c r="K251" i="140"/>
  <c r="J251" i="140"/>
  <c r="I251" i="140"/>
  <c r="H251" i="140"/>
  <c r="G251" i="140"/>
  <c r="F251" i="140"/>
  <c r="E251" i="140"/>
  <c r="D251" i="140"/>
  <c r="C251" i="140"/>
  <c r="B251" i="140"/>
  <c r="N250" i="140"/>
  <c r="M250" i="140"/>
  <c r="L250" i="140"/>
  <c r="K250" i="140"/>
  <c r="J250" i="140"/>
  <c r="I250" i="140"/>
  <c r="H250" i="140"/>
  <c r="G250" i="140"/>
  <c r="F250" i="140"/>
  <c r="E250" i="140"/>
  <c r="D250" i="140"/>
  <c r="C250" i="140"/>
  <c r="B250" i="140"/>
  <c r="N249" i="140"/>
  <c r="M249" i="140"/>
  <c r="L249" i="140"/>
  <c r="K249" i="140"/>
  <c r="J249" i="140"/>
  <c r="I249" i="140"/>
  <c r="H249" i="140"/>
  <c r="G249" i="140"/>
  <c r="F249" i="140"/>
  <c r="E249" i="140"/>
  <c r="D249" i="140"/>
  <c r="C249" i="140"/>
  <c r="B249" i="140"/>
  <c r="N248" i="140"/>
  <c r="M248" i="140"/>
  <c r="L248" i="140"/>
  <c r="K248" i="140"/>
  <c r="J248" i="140"/>
  <c r="I248" i="140"/>
  <c r="H248" i="140"/>
  <c r="G248" i="140"/>
  <c r="F248" i="140"/>
  <c r="E248" i="140"/>
  <c r="D248" i="140"/>
  <c r="C248" i="140"/>
  <c r="B248" i="140"/>
  <c r="N247" i="140"/>
  <c r="M247" i="140"/>
  <c r="L247" i="140"/>
  <c r="K247" i="140"/>
  <c r="J247" i="140"/>
  <c r="I247" i="140"/>
  <c r="H247" i="140"/>
  <c r="G247" i="140"/>
  <c r="F247" i="140"/>
  <c r="E247" i="140"/>
  <c r="D247" i="140"/>
  <c r="C247" i="140"/>
  <c r="B247" i="140"/>
  <c r="N246" i="140"/>
  <c r="M246" i="140"/>
  <c r="L246" i="140"/>
  <c r="K246" i="140"/>
  <c r="J246" i="140"/>
  <c r="I246" i="140"/>
  <c r="H246" i="140"/>
  <c r="G246" i="140"/>
  <c r="F246" i="140"/>
  <c r="E246" i="140"/>
  <c r="D246" i="140"/>
  <c r="C246" i="140"/>
  <c r="B246" i="140"/>
  <c r="N240" i="140"/>
  <c r="M240" i="140"/>
  <c r="L240" i="140"/>
  <c r="K240" i="140"/>
  <c r="J240" i="140"/>
  <c r="I240" i="140"/>
  <c r="H240" i="140"/>
  <c r="G240" i="140"/>
  <c r="F240" i="140"/>
  <c r="E240" i="140"/>
  <c r="D240" i="140"/>
  <c r="C240" i="140"/>
  <c r="A240" i="140"/>
  <c r="N239" i="140"/>
  <c r="M239" i="140"/>
  <c r="L239" i="140"/>
  <c r="K239" i="140"/>
  <c r="J239" i="140"/>
  <c r="I239" i="140"/>
  <c r="H239" i="140"/>
  <c r="G239" i="140"/>
  <c r="F239" i="140"/>
  <c r="E239" i="140"/>
  <c r="D239" i="140"/>
  <c r="C239" i="140"/>
  <c r="B239" i="140"/>
  <c r="N238" i="140"/>
  <c r="M238" i="140"/>
  <c r="L238" i="140"/>
  <c r="K238" i="140"/>
  <c r="J238" i="140"/>
  <c r="I238" i="140"/>
  <c r="H238" i="140"/>
  <c r="G238" i="140"/>
  <c r="F238" i="140"/>
  <c r="E238" i="140"/>
  <c r="D238" i="140"/>
  <c r="C238" i="140"/>
  <c r="B238" i="140"/>
  <c r="N237" i="140"/>
  <c r="M237" i="140"/>
  <c r="L237" i="140"/>
  <c r="K237" i="140"/>
  <c r="J237" i="140"/>
  <c r="I237" i="140"/>
  <c r="H237" i="140"/>
  <c r="G237" i="140"/>
  <c r="F237" i="140"/>
  <c r="E237" i="140"/>
  <c r="D237" i="140"/>
  <c r="C237" i="140"/>
  <c r="B237" i="140"/>
  <c r="N236" i="140"/>
  <c r="M236" i="140"/>
  <c r="L236" i="140"/>
  <c r="K236" i="140"/>
  <c r="J236" i="140"/>
  <c r="I236" i="140"/>
  <c r="H236" i="140"/>
  <c r="G236" i="140"/>
  <c r="F236" i="140"/>
  <c r="E236" i="140"/>
  <c r="D236" i="140"/>
  <c r="C236" i="140"/>
  <c r="B236" i="140"/>
  <c r="N235" i="140"/>
  <c r="M235" i="140"/>
  <c r="L235" i="140"/>
  <c r="K235" i="140"/>
  <c r="J235" i="140"/>
  <c r="I235" i="140"/>
  <c r="H235" i="140"/>
  <c r="G235" i="140"/>
  <c r="F235" i="140"/>
  <c r="E235" i="140"/>
  <c r="D235" i="140"/>
  <c r="C235" i="140"/>
  <c r="B235" i="140"/>
  <c r="N234" i="140"/>
  <c r="M234" i="140"/>
  <c r="L234" i="140"/>
  <c r="K234" i="140"/>
  <c r="J234" i="140"/>
  <c r="I234" i="140"/>
  <c r="H234" i="140"/>
  <c r="G234" i="140"/>
  <c r="F234" i="140"/>
  <c r="E234" i="140"/>
  <c r="D234" i="140"/>
  <c r="C234" i="140"/>
  <c r="B234" i="140"/>
  <c r="N233" i="140"/>
  <c r="M233" i="140"/>
  <c r="L233" i="140"/>
  <c r="K233" i="140"/>
  <c r="J233" i="140"/>
  <c r="I233" i="140"/>
  <c r="H233" i="140"/>
  <c r="G233" i="140"/>
  <c r="F233" i="140"/>
  <c r="E233" i="140"/>
  <c r="D233" i="140"/>
  <c r="C233" i="140"/>
  <c r="B233" i="140"/>
  <c r="N232" i="140"/>
  <c r="M232" i="140"/>
  <c r="L232" i="140"/>
  <c r="K232" i="140"/>
  <c r="J232" i="140"/>
  <c r="I232" i="140"/>
  <c r="H232" i="140"/>
  <c r="G232" i="140"/>
  <c r="F232" i="140"/>
  <c r="E232" i="140"/>
  <c r="D232" i="140"/>
  <c r="C232" i="140"/>
  <c r="B232" i="140"/>
  <c r="N231" i="140"/>
  <c r="M231" i="140"/>
  <c r="L231" i="140"/>
  <c r="K231" i="140"/>
  <c r="J231" i="140"/>
  <c r="I231" i="140"/>
  <c r="H231" i="140"/>
  <c r="G231" i="140"/>
  <c r="F231" i="140"/>
  <c r="E231" i="140"/>
  <c r="D231" i="140"/>
  <c r="C231" i="140"/>
  <c r="B231" i="140"/>
  <c r="N230" i="140"/>
  <c r="M230" i="140"/>
  <c r="L230" i="140"/>
  <c r="K230" i="140"/>
  <c r="J230" i="140"/>
  <c r="I230" i="140"/>
  <c r="H230" i="140"/>
  <c r="G230" i="140"/>
  <c r="F230" i="140"/>
  <c r="E230" i="140"/>
  <c r="D230" i="140"/>
  <c r="C230" i="140"/>
  <c r="B230" i="140"/>
  <c r="N229" i="140"/>
  <c r="M229" i="140"/>
  <c r="L229" i="140"/>
  <c r="K229" i="140"/>
  <c r="J229" i="140"/>
  <c r="I229" i="140"/>
  <c r="H229" i="140"/>
  <c r="G229" i="140"/>
  <c r="F229" i="140"/>
  <c r="E229" i="140"/>
  <c r="D229" i="140"/>
  <c r="C229" i="140"/>
  <c r="B229" i="140"/>
  <c r="N228" i="140"/>
  <c r="M228" i="140"/>
  <c r="L228" i="140"/>
  <c r="K228" i="140"/>
  <c r="J228" i="140"/>
  <c r="I228" i="140"/>
  <c r="H228" i="140"/>
  <c r="G228" i="140"/>
  <c r="F228" i="140"/>
  <c r="E228" i="140"/>
  <c r="D228" i="140"/>
  <c r="C228" i="140"/>
  <c r="B228" i="140"/>
  <c r="N224" i="140"/>
  <c r="M224" i="140"/>
  <c r="L224" i="140"/>
  <c r="K224" i="140"/>
  <c r="J224" i="140"/>
  <c r="I224" i="140"/>
  <c r="H224" i="140"/>
  <c r="G224" i="140"/>
  <c r="F224" i="140"/>
  <c r="E224" i="140"/>
  <c r="D224" i="140"/>
  <c r="C224" i="140"/>
  <c r="A224" i="140"/>
  <c r="N223" i="140"/>
  <c r="M223" i="140"/>
  <c r="L223" i="140"/>
  <c r="K223" i="140"/>
  <c r="J223" i="140"/>
  <c r="I223" i="140"/>
  <c r="H223" i="140"/>
  <c r="G223" i="140"/>
  <c r="F223" i="140"/>
  <c r="E223" i="140"/>
  <c r="D223" i="140"/>
  <c r="C223" i="140"/>
  <c r="B223" i="140"/>
  <c r="N222" i="140"/>
  <c r="M222" i="140"/>
  <c r="L222" i="140"/>
  <c r="K222" i="140"/>
  <c r="J222" i="140"/>
  <c r="I222" i="140"/>
  <c r="H222" i="140"/>
  <c r="G222" i="140"/>
  <c r="F222" i="140"/>
  <c r="E222" i="140"/>
  <c r="D222" i="140"/>
  <c r="C222" i="140"/>
  <c r="B222" i="140"/>
  <c r="N221" i="140"/>
  <c r="M221" i="140"/>
  <c r="L221" i="140"/>
  <c r="K221" i="140"/>
  <c r="J221" i="140"/>
  <c r="I221" i="140"/>
  <c r="H221" i="140"/>
  <c r="G221" i="140"/>
  <c r="F221" i="140"/>
  <c r="E221" i="140"/>
  <c r="D221" i="140"/>
  <c r="C221" i="140"/>
  <c r="B221" i="140"/>
  <c r="N220" i="140"/>
  <c r="M220" i="140"/>
  <c r="L220" i="140"/>
  <c r="K220" i="140"/>
  <c r="J220" i="140"/>
  <c r="I220" i="140"/>
  <c r="H220" i="140"/>
  <c r="G220" i="140"/>
  <c r="F220" i="140"/>
  <c r="E220" i="140"/>
  <c r="D220" i="140"/>
  <c r="C220" i="140"/>
  <c r="B220" i="140"/>
  <c r="N219" i="140"/>
  <c r="M219" i="140"/>
  <c r="L219" i="140"/>
  <c r="K219" i="140"/>
  <c r="J219" i="140"/>
  <c r="I219" i="140"/>
  <c r="H219" i="140"/>
  <c r="G219" i="140"/>
  <c r="F219" i="140"/>
  <c r="E219" i="140"/>
  <c r="D219" i="140"/>
  <c r="C219" i="140"/>
  <c r="B219" i="140"/>
  <c r="N218" i="140"/>
  <c r="M218" i="140"/>
  <c r="L218" i="140"/>
  <c r="K218" i="140"/>
  <c r="J218" i="140"/>
  <c r="I218" i="140"/>
  <c r="H218" i="140"/>
  <c r="G218" i="140"/>
  <c r="F218" i="140"/>
  <c r="E218" i="140"/>
  <c r="D218" i="140"/>
  <c r="C218" i="140"/>
  <c r="B218" i="140"/>
  <c r="N217" i="140"/>
  <c r="M217" i="140"/>
  <c r="L217" i="140"/>
  <c r="K217" i="140"/>
  <c r="J217" i="140"/>
  <c r="I217" i="140"/>
  <c r="H217" i="140"/>
  <c r="G217" i="140"/>
  <c r="F217" i="140"/>
  <c r="E217" i="140"/>
  <c r="D217" i="140"/>
  <c r="C217" i="140"/>
  <c r="B217" i="140"/>
  <c r="N216" i="140"/>
  <c r="M216" i="140"/>
  <c r="L216" i="140"/>
  <c r="K216" i="140"/>
  <c r="J216" i="140"/>
  <c r="I216" i="140"/>
  <c r="H216" i="140"/>
  <c r="G216" i="140"/>
  <c r="F216" i="140"/>
  <c r="E216" i="140"/>
  <c r="D216" i="140"/>
  <c r="C216" i="140"/>
  <c r="B216" i="140"/>
  <c r="N215" i="140"/>
  <c r="M215" i="140"/>
  <c r="L215" i="140"/>
  <c r="K215" i="140"/>
  <c r="J215" i="140"/>
  <c r="I215" i="140"/>
  <c r="H215" i="140"/>
  <c r="G215" i="140"/>
  <c r="F215" i="140"/>
  <c r="E215" i="140"/>
  <c r="D215" i="140"/>
  <c r="C215" i="140"/>
  <c r="B215" i="140"/>
  <c r="N214" i="140"/>
  <c r="M214" i="140"/>
  <c r="L214" i="140"/>
  <c r="K214" i="140"/>
  <c r="J214" i="140"/>
  <c r="I214" i="140"/>
  <c r="H214" i="140"/>
  <c r="G214" i="140"/>
  <c r="F214" i="140"/>
  <c r="E214" i="140"/>
  <c r="D214" i="140"/>
  <c r="C214" i="140"/>
  <c r="B214" i="140"/>
  <c r="N213" i="140"/>
  <c r="M213" i="140"/>
  <c r="L213" i="140"/>
  <c r="K213" i="140"/>
  <c r="J213" i="140"/>
  <c r="I213" i="140"/>
  <c r="H213" i="140"/>
  <c r="G213" i="140"/>
  <c r="F213" i="140"/>
  <c r="E213" i="140"/>
  <c r="D213" i="140"/>
  <c r="C213" i="140"/>
  <c r="B213" i="140"/>
  <c r="N212" i="140"/>
  <c r="M212" i="140"/>
  <c r="L212" i="140"/>
  <c r="K212" i="140"/>
  <c r="J212" i="140"/>
  <c r="I212" i="140"/>
  <c r="H212" i="140"/>
  <c r="G212" i="140"/>
  <c r="F212" i="140"/>
  <c r="E212" i="140"/>
  <c r="D212" i="140"/>
  <c r="C212" i="140"/>
  <c r="B212" i="140"/>
  <c r="N206" i="140"/>
  <c r="M206" i="140"/>
  <c r="L206" i="140"/>
  <c r="K206" i="140"/>
  <c r="J206" i="140"/>
  <c r="I206" i="140"/>
  <c r="H206" i="140"/>
  <c r="G206" i="140"/>
  <c r="F206" i="140"/>
  <c r="E206" i="140"/>
  <c r="D206" i="140"/>
  <c r="C206" i="140"/>
  <c r="A206" i="140"/>
  <c r="N205" i="140"/>
  <c r="M205" i="140"/>
  <c r="L205" i="140"/>
  <c r="K205" i="140"/>
  <c r="J205" i="140"/>
  <c r="I205" i="140"/>
  <c r="H205" i="140"/>
  <c r="G205" i="140"/>
  <c r="F205" i="140"/>
  <c r="E205" i="140"/>
  <c r="D205" i="140"/>
  <c r="C205" i="140"/>
  <c r="B205" i="140"/>
  <c r="N204" i="140"/>
  <c r="M204" i="140"/>
  <c r="L204" i="140"/>
  <c r="K204" i="140"/>
  <c r="J204" i="140"/>
  <c r="I204" i="140"/>
  <c r="H204" i="140"/>
  <c r="G204" i="140"/>
  <c r="F204" i="140"/>
  <c r="E204" i="140"/>
  <c r="D204" i="140"/>
  <c r="C204" i="140"/>
  <c r="B204" i="140"/>
  <c r="N203" i="140"/>
  <c r="M203" i="140"/>
  <c r="L203" i="140"/>
  <c r="K203" i="140"/>
  <c r="J203" i="140"/>
  <c r="I203" i="140"/>
  <c r="H203" i="140"/>
  <c r="G203" i="140"/>
  <c r="F203" i="140"/>
  <c r="E203" i="140"/>
  <c r="D203" i="140"/>
  <c r="C203" i="140"/>
  <c r="B203" i="140"/>
  <c r="N202" i="140"/>
  <c r="M202" i="140"/>
  <c r="L202" i="140"/>
  <c r="K202" i="140"/>
  <c r="J202" i="140"/>
  <c r="I202" i="140"/>
  <c r="H202" i="140"/>
  <c r="G202" i="140"/>
  <c r="F202" i="140"/>
  <c r="E202" i="140"/>
  <c r="D202" i="140"/>
  <c r="C202" i="140"/>
  <c r="B202" i="140"/>
  <c r="N201" i="140"/>
  <c r="M201" i="140"/>
  <c r="L201" i="140"/>
  <c r="K201" i="140"/>
  <c r="J201" i="140"/>
  <c r="I201" i="140"/>
  <c r="H201" i="140"/>
  <c r="G201" i="140"/>
  <c r="F201" i="140"/>
  <c r="E201" i="140"/>
  <c r="D201" i="140"/>
  <c r="C201" i="140"/>
  <c r="B201" i="140"/>
  <c r="N200" i="140"/>
  <c r="M200" i="140"/>
  <c r="L200" i="140"/>
  <c r="K200" i="140"/>
  <c r="J200" i="140"/>
  <c r="I200" i="140"/>
  <c r="H200" i="140"/>
  <c r="G200" i="140"/>
  <c r="F200" i="140"/>
  <c r="E200" i="140"/>
  <c r="D200" i="140"/>
  <c r="C200" i="140"/>
  <c r="B200" i="140"/>
  <c r="N199" i="140"/>
  <c r="M199" i="140"/>
  <c r="L199" i="140"/>
  <c r="K199" i="140"/>
  <c r="J199" i="140"/>
  <c r="I199" i="140"/>
  <c r="H199" i="140"/>
  <c r="G199" i="140"/>
  <c r="F199" i="140"/>
  <c r="E199" i="140"/>
  <c r="D199" i="140"/>
  <c r="C199" i="140"/>
  <c r="B199" i="140"/>
  <c r="N198" i="140"/>
  <c r="M198" i="140"/>
  <c r="L198" i="140"/>
  <c r="K198" i="140"/>
  <c r="J198" i="140"/>
  <c r="I198" i="140"/>
  <c r="H198" i="140"/>
  <c r="G198" i="140"/>
  <c r="F198" i="140"/>
  <c r="E198" i="140"/>
  <c r="D198" i="140"/>
  <c r="C198" i="140"/>
  <c r="B198" i="140"/>
  <c r="N197" i="140"/>
  <c r="M197" i="140"/>
  <c r="L197" i="140"/>
  <c r="K197" i="140"/>
  <c r="J197" i="140"/>
  <c r="I197" i="140"/>
  <c r="H197" i="140"/>
  <c r="G197" i="140"/>
  <c r="F197" i="140"/>
  <c r="E197" i="140"/>
  <c r="D197" i="140"/>
  <c r="C197" i="140"/>
  <c r="B197" i="140"/>
  <c r="N196" i="140"/>
  <c r="M196" i="140"/>
  <c r="L196" i="140"/>
  <c r="K196" i="140"/>
  <c r="J196" i="140"/>
  <c r="I196" i="140"/>
  <c r="H196" i="140"/>
  <c r="G196" i="140"/>
  <c r="F196" i="140"/>
  <c r="E196" i="140"/>
  <c r="D196" i="140"/>
  <c r="C196" i="140"/>
  <c r="B196" i="140"/>
  <c r="N195" i="140"/>
  <c r="M195" i="140"/>
  <c r="L195" i="140"/>
  <c r="K195" i="140"/>
  <c r="J195" i="140"/>
  <c r="I195" i="140"/>
  <c r="H195" i="140"/>
  <c r="G195" i="140"/>
  <c r="F195" i="140"/>
  <c r="E195" i="140"/>
  <c r="D195" i="140"/>
  <c r="C195" i="140"/>
  <c r="B195" i="140"/>
  <c r="N194" i="140"/>
  <c r="M194" i="140"/>
  <c r="L194" i="140"/>
  <c r="K194" i="140"/>
  <c r="J194" i="140"/>
  <c r="I194" i="140"/>
  <c r="H194" i="140"/>
  <c r="G194" i="140"/>
  <c r="F194" i="140"/>
  <c r="E194" i="140"/>
  <c r="D194" i="140"/>
  <c r="C194" i="140"/>
  <c r="B194" i="140"/>
  <c r="N190" i="140"/>
  <c r="M190" i="140"/>
  <c r="L190" i="140"/>
  <c r="K190" i="140"/>
  <c r="J190" i="140"/>
  <c r="I190" i="140"/>
  <c r="H190" i="140"/>
  <c r="G190" i="140"/>
  <c r="F190" i="140"/>
  <c r="E190" i="140"/>
  <c r="D190" i="140"/>
  <c r="C190" i="140"/>
  <c r="A190" i="140"/>
  <c r="N189" i="140"/>
  <c r="M189" i="140"/>
  <c r="L189" i="140"/>
  <c r="K189" i="140"/>
  <c r="J189" i="140"/>
  <c r="I189" i="140"/>
  <c r="H189" i="140"/>
  <c r="G189" i="140"/>
  <c r="F189" i="140"/>
  <c r="E189" i="140"/>
  <c r="D189" i="140"/>
  <c r="C189" i="140"/>
  <c r="B189" i="140"/>
  <c r="N188" i="140"/>
  <c r="M188" i="140"/>
  <c r="L188" i="140"/>
  <c r="K188" i="140"/>
  <c r="J188" i="140"/>
  <c r="I188" i="140"/>
  <c r="H188" i="140"/>
  <c r="G188" i="140"/>
  <c r="F188" i="140"/>
  <c r="E188" i="140"/>
  <c r="D188" i="140"/>
  <c r="C188" i="140"/>
  <c r="B188" i="140"/>
  <c r="N187" i="140"/>
  <c r="M187" i="140"/>
  <c r="L187" i="140"/>
  <c r="K187" i="140"/>
  <c r="J187" i="140"/>
  <c r="I187" i="140"/>
  <c r="H187" i="140"/>
  <c r="G187" i="140"/>
  <c r="F187" i="140"/>
  <c r="E187" i="140"/>
  <c r="D187" i="140"/>
  <c r="C187" i="140"/>
  <c r="B187" i="140"/>
  <c r="N186" i="140"/>
  <c r="M186" i="140"/>
  <c r="L186" i="140"/>
  <c r="K186" i="140"/>
  <c r="J186" i="140"/>
  <c r="I186" i="140"/>
  <c r="H186" i="140"/>
  <c r="G186" i="140"/>
  <c r="F186" i="140"/>
  <c r="E186" i="140"/>
  <c r="D186" i="140"/>
  <c r="C186" i="140"/>
  <c r="B186" i="140"/>
  <c r="N185" i="140"/>
  <c r="M185" i="140"/>
  <c r="L185" i="140"/>
  <c r="K185" i="140"/>
  <c r="J185" i="140"/>
  <c r="I185" i="140"/>
  <c r="H185" i="140"/>
  <c r="G185" i="140"/>
  <c r="F185" i="140"/>
  <c r="E185" i="140"/>
  <c r="D185" i="140"/>
  <c r="C185" i="140"/>
  <c r="B185" i="140"/>
  <c r="N184" i="140"/>
  <c r="M184" i="140"/>
  <c r="L184" i="140"/>
  <c r="K184" i="140"/>
  <c r="J184" i="140"/>
  <c r="I184" i="140"/>
  <c r="H184" i="140"/>
  <c r="G184" i="140"/>
  <c r="F184" i="140"/>
  <c r="E184" i="140"/>
  <c r="D184" i="140"/>
  <c r="C184" i="140"/>
  <c r="B184" i="140"/>
  <c r="N183" i="140"/>
  <c r="M183" i="140"/>
  <c r="L183" i="140"/>
  <c r="K183" i="140"/>
  <c r="J183" i="140"/>
  <c r="I183" i="140"/>
  <c r="H183" i="140"/>
  <c r="G183" i="140"/>
  <c r="F183" i="140"/>
  <c r="E183" i="140"/>
  <c r="D183" i="140"/>
  <c r="C183" i="140"/>
  <c r="B183" i="140"/>
  <c r="N182" i="140"/>
  <c r="M182" i="140"/>
  <c r="L182" i="140"/>
  <c r="K182" i="140"/>
  <c r="J182" i="140"/>
  <c r="I182" i="140"/>
  <c r="H182" i="140"/>
  <c r="G182" i="140"/>
  <c r="F182" i="140"/>
  <c r="E182" i="140"/>
  <c r="D182" i="140"/>
  <c r="C182" i="140"/>
  <c r="B182" i="140"/>
  <c r="N181" i="140"/>
  <c r="M181" i="140"/>
  <c r="L181" i="140"/>
  <c r="K181" i="140"/>
  <c r="J181" i="140"/>
  <c r="I181" i="140"/>
  <c r="H181" i="140"/>
  <c r="G181" i="140"/>
  <c r="F181" i="140"/>
  <c r="E181" i="140"/>
  <c r="D181" i="140"/>
  <c r="C181" i="140"/>
  <c r="B181" i="140"/>
  <c r="N180" i="140"/>
  <c r="M180" i="140"/>
  <c r="L180" i="140"/>
  <c r="K180" i="140"/>
  <c r="J180" i="140"/>
  <c r="I180" i="140"/>
  <c r="H180" i="140"/>
  <c r="G180" i="140"/>
  <c r="F180" i="140"/>
  <c r="E180" i="140"/>
  <c r="D180" i="140"/>
  <c r="C180" i="140"/>
  <c r="B180" i="140"/>
  <c r="N179" i="140"/>
  <c r="M179" i="140"/>
  <c r="L179" i="140"/>
  <c r="K179" i="140"/>
  <c r="J179" i="140"/>
  <c r="I179" i="140"/>
  <c r="H179" i="140"/>
  <c r="G179" i="140"/>
  <c r="F179" i="140"/>
  <c r="E179" i="140"/>
  <c r="D179" i="140"/>
  <c r="C179" i="140"/>
  <c r="B179" i="140"/>
  <c r="N178" i="140"/>
  <c r="M178" i="140"/>
  <c r="L178" i="140"/>
  <c r="K178" i="140"/>
  <c r="J178" i="140"/>
  <c r="I178" i="140"/>
  <c r="H178" i="140"/>
  <c r="G178" i="140"/>
  <c r="F178" i="140"/>
  <c r="E178" i="140"/>
  <c r="D178" i="140"/>
  <c r="C178" i="140"/>
  <c r="B178" i="140"/>
  <c r="N172" i="140"/>
  <c r="M172" i="140"/>
  <c r="L172" i="140"/>
  <c r="K172" i="140"/>
  <c r="J172" i="140"/>
  <c r="I172" i="140"/>
  <c r="H172" i="140"/>
  <c r="G172" i="140"/>
  <c r="F172" i="140"/>
  <c r="E172" i="140"/>
  <c r="D172" i="140"/>
  <c r="C172" i="140"/>
  <c r="A172" i="140"/>
  <c r="N171" i="140"/>
  <c r="M171" i="140"/>
  <c r="L171" i="140"/>
  <c r="K171" i="140"/>
  <c r="J171" i="140"/>
  <c r="I171" i="140"/>
  <c r="H171" i="140"/>
  <c r="G171" i="140"/>
  <c r="F171" i="140"/>
  <c r="E171" i="140"/>
  <c r="D171" i="140"/>
  <c r="C171" i="140"/>
  <c r="B171" i="140"/>
  <c r="N170" i="140"/>
  <c r="M170" i="140"/>
  <c r="L170" i="140"/>
  <c r="K170" i="140"/>
  <c r="J170" i="140"/>
  <c r="I170" i="140"/>
  <c r="H170" i="140"/>
  <c r="G170" i="140"/>
  <c r="F170" i="140"/>
  <c r="E170" i="140"/>
  <c r="D170" i="140"/>
  <c r="C170" i="140"/>
  <c r="B170" i="140"/>
  <c r="N169" i="140"/>
  <c r="M169" i="140"/>
  <c r="L169" i="140"/>
  <c r="K169" i="140"/>
  <c r="J169" i="140"/>
  <c r="I169" i="140"/>
  <c r="H169" i="140"/>
  <c r="G169" i="140"/>
  <c r="F169" i="140"/>
  <c r="E169" i="140"/>
  <c r="D169" i="140"/>
  <c r="C169" i="140"/>
  <c r="B169" i="140"/>
  <c r="N168" i="140"/>
  <c r="M168" i="140"/>
  <c r="L168" i="140"/>
  <c r="K168" i="140"/>
  <c r="J168" i="140"/>
  <c r="I168" i="140"/>
  <c r="H168" i="140"/>
  <c r="G168" i="140"/>
  <c r="F168" i="140"/>
  <c r="E168" i="140"/>
  <c r="D168" i="140"/>
  <c r="C168" i="140"/>
  <c r="B168" i="140"/>
  <c r="N167" i="140"/>
  <c r="M167" i="140"/>
  <c r="L167" i="140"/>
  <c r="K167" i="140"/>
  <c r="J167" i="140"/>
  <c r="I167" i="140"/>
  <c r="H167" i="140"/>
  <c r="G167" i="140"/>
  <c r="F167" i="140"/>
  <c r="E167" i="140"/>
  <c r="D167" i="140"/>
  <c r="C167" i="140"/>
  <c r="B167" i="140"/>
  <c r="N166" i="140"/>
  <c r="M166" i="140"/>
  <c r="L166" i="140"/>
  <c r="K166" i="140"/>
  <c r="J166" i="140"/>
  <c r="I166" i="140"/>
  <c r="H166" i="140"/>
  <c r="G166" i="140"/>
  <c r="F166" i="140"/>
  <c r="E166" i="140"/>
  <c r="D166" i="140"/>
  <c r="C166" i="140"/>
  <c r="B166" i="140"/>
  <c r="N165" i="140"/>
  <c r="M165" i="140"/>
  <c r="L165" i="140"/>
  <c r="K165" i="140"/>
  <c r="J165" i="140"/>
  <c r="I165" i="140"/>
  <c r="H165" i="140"/>
  <c r="G165" i="140"/>
  <c r="F165" i="140"/>
  <c r="E165" i="140"/>
  <c r="D165" i="140"/>
  <c r="C165" i="140"/>
  <c r="B165" i="140"/>
  <c r="N164" i="140"/>
  <c r="M164" i="140"/>
  <c r="L164" i="140"/>
  <c r="K164" i="140"/>
  <c r="J164" i="140"/>
  <c r="I164" i="140"/>
  <c r="H164" i="140"/>
  <c r="G164" i="140"/>
  <c r="F164" i="140"/>
  <c r="E164" i="140"/>
  <c r="D164" i="140"/>
  <c r="C164" i="140"/>
  <c r="B164" i="140"/>
  <c r="N163" i="140"/>
  <c r="M163" i="140"/>
  <c r="L163" i="140"/>
  <c r="K163" i="140"/>
  <c r="J163" i="140"/>
  <c r="I163" i="140"/>
  <c r="H163" i="140"/>
  <c r="G163" i="140"/>
  <c r="F163" i="140"/>
  <c r="E163" i="140"/>
  <c r="D163" i="140"/>
  <c r="C163" i="140"/>
  <c r="B163" i="140"/>
  <c r="N162" i="140"/>
  <c r="M162" i="140"/>
  <c r="L162" i="140"/>
  <c r="K162" i="140"/>
  <c r="J162" i="140"/>
  <c r="I162" i="140"/>
  <c r="H162" i="140"/>
  <c r="G162" i="140"/>
  <c r="F162" i="140"/>
  <c r="E162" i="140"/>
  <c r="D162" i="140"/>
  <c r="C162" i="140"/>
  <c r="B162" i="140"/>
  <c r="N161" i="140"/>
  <c r="M161" i="140"/>
  <c r="L161" i="140"/>
  <c r="K161" i="140"/>
  <c r="J161" i="140"/>
  <c r="I161" i="140"/>
  <c r="H161" i="140"/>
  <c r="G161" i="140"/>
  <c r="F161" i="140"/>
  <c r="E161" i="140"/>
  <c r="D161" i="140"/>
  <c r="C161" i="140"/>
  <c r="B161" i="140"/>
  <c r="N160" i="140"/>
  <c r="M160" i="140"/>
  <c r="L160" i="140"/>
  <c r="K160" i="140"/>
  <c r="J160" i="140"/>
  <c r="I160" i="140"/>
  <c r="H160" i="140"/>
  <c r="G160" i="140"/>
  <c r="F160" i="140"/>
  <c r="E160" i="140"/>
  <c r="D160" i="140"/>
  <c r="C160" i="140"/>
  <c r="B160" i="140"/>
  <c r="N156" i="140"/>
  <c r="M156" i="140"/>
  <c r="L156" i="140"/>
  <c r="K156" i="140"/>
  <c r="J156" i="140"/>
  <c r="I156" i="140"/>
  <c r="H156" i="140"/>
  <c r="G156" i="140"/>
  <c r="F156" i="140"/>
  <c r="E156" i="140"/>
  <c r="D156" i="140"/>
  <c r="C156" i="140"/>
  <c r="A156" i="140"/>
  <c r="N155" i="140"/>
  <c r="M155" i="140"/>
  <c r="L155" i="140"/>
  <c r="K155" i="140"/>
  <c r="J155" i="140"/>
  <c r="I155" i="140"/>
  <c r="H155" i="140"/>
  <c r="G155" i="140"/>
  <c r="F155" i="140"/>
  <c r="E155" i="140"/>
  <c r="D155" i="140"/>
  <c r="C155" i="140"/>
  <c r="B155" i="140"/>
  <c r="N154" i="140"/>
  <c r="M154" i="140"/>
  <c r="L154" i="140"/>
  <c r="K154" i="140"/>
  <c r="J154" i="140"/>
  <c r="I154" i="140"/>
  <c r="H154" i="140"/>
  <c r="G154" i="140"/>
  <c r="F154" i="140"/>
  <c r="E154" i="140"/>
  <c r="D154" i="140"/>
  <c r="C154" i="140"/>
  <c r="B154" i="140"/>
  <c r="N153" i="140"/>
  <c r="M153" i="140"/>
  <c r="L153" i="140"/>
  <c r="K153" i="140"/>
  <c r="J153" i="140"/>
  <c r="I153" i="140"/>
  <c r="H153" i="140"/>
  <c r="G153" i="140"/>
  <c r="F153" i="140"/>
  <c r="E153" i="140"/>
  <c r="D153" i="140"/>
  <c r="C153" i="140"/>
  <c r="B153" i="140"/>
  <c r="N152" i="140"/>
  <c r="M152" i="140"/>
  <c r="L152" i="140"/>
  <c r="K152" i="140"/>
  <c r="J152" i="140"/>
  <c r="I152" i="140"/>
  <c r="H152" i="140"/>
  <c r="G152" i="140"/>
  <c r="F152" i="140"/>
  <c r="E152" i="140"/>
  <c r="D152" i="140"/>
  <c r="C152" i="140"/>
  <c r="B152" i="140"/>
  <c r="N151" i="140"/>
  <c r="M151" i="140"/>
  <c r="L151" i="140"/>
  <c r="K151" i="140"/>
  <c r="J151" i="140"/>
  <c r="I151" i="140"/>
  <c r="H151" i="140"/>
  <c r="G151" i="140"/>
  <c r="F151" i="140"/>
  <c r="E151" i="140"/>
  <c r="D151" i="140"/>
  <c r="C151" i="140"/>
  <c r="B151" i="140"/>
  <c r="N150" i="140"/>
  <c r="M150" i="140"/>
  <c r="L150" i="140"/>
  <c r="K150" i="140"/>
  <c r="J150" i="140"/>
  <c r="I150" i="140"/>
  <c r="H150" i="140"/>
  <c r="G150" i="140"/>
  <c r="F150" i="140"/>
  <c r="E150" i="140"/>
  <c r="D150" i="140"/>
  <c r="C150" i="140"/>
  <c r="B150" i="140"/>
  <c r="N149" i="140"/>
  <c r="M149" i="140"/>
  <c r="L149" i="140"/>
  <c r="K149" i="140"/>
  <c r="J149" i="140"/>
  <c r="I149" i="140"/>
  <c r="H149" i="140"/>
  <c r="G149" i="140"/>
  <c r="F149" i="140"/>
  <c r="E149" i="140"/>
  <c r="D149" i="140"/>
  <c r="C149" i="140"/>
  <c r="B149" i="140"/>
  <c r="N148" i="140"/>
  <c r="M148" i="140"/>
  <c r="L148" i="140"/>
  <c r="K148" i="140"/>
  <c r="J148" i="140"/>
  <c r="I148" i="140"/>
  <c r="H148" i="140"/>
  <c r="G148" i="140"/>
  <c r="F148" i="140"/>
  <c r="E148" i="140"/>
  <c r="D148" i="140"/>
  <c r="C148" i="140"/>
  <c r="B148" i="140"/>
  <c r="N147" i="140"/>
  <c r="M147" i="140"/>
  <c r="L147" i="140"/>
  <c r="K147" i="140"/>
  <c r="J147" i="140"/>
  <c r="I147" i="140"/>
  <c r="H147" i="140"/>
  <c r="G147" i="140"/>
  <c r="F147" i="140"/>
  <c r="E147" i="140"/>
  <c r="D147" i="140"/>
  <c r="C147" i="140"/>
  <c r="B147" i="140"/>
  <c r="N146" i="140"/>
  <c r="M146" i="140"/>
  <c r="L146" i="140"/>
  <c r="K146" i="140"/>
  <c r="J146" i="140"/>
  <c r="I146" i="140"/>
  <c r="H146" i="140"/>
  <c r="G146" i="140"/>
  <c r="F146" i="140"/>
  <c r="E146" i="140"/>
  <c r="D146" i="140"/>
  <c r="C146" i="140"/>
  <c r="B146" i="140"/>
  <c r="N145" i="140"/>
  <c r="M145" i="140"/>
  <c r="L145" i="140"/>
  <c r="K145" i="140"/>
  <c r="J145" i="140"/>
  <c r="I145" i="140"/>
  <c r="H145" i="140"/>
  <c r="G145" i="140"/>
  <c r="F145" i="140"/>
  <c r="E145" i="140"/>
  <c r="D145" i="140"/>
  <c r="C145" i="140"/>
  <c r="B145" i="140"/>
  <c r="N144" i="140"/>
  <c r="M144" i="140"/>
  <c r="L144" i="140"/>
  <c r="K144" i="140"/>
  <c r="J144" i="140"/>
  <c r="I144" i="140"/>
  <c r="H144" i="140"/>
  <c r="G144" i="140"/>
  <c r="F144" i="140"/>
  <c r="E144" i="140"/>
  <c r="D144" i="140"/>
  <c r="C144" i="140"/>
  <c r="B144" i="140"/>
  <c r="N138" i="140"/>
  <c r="M138" i="140"/>
  <c r="L138" i="140"/>
  <c r="K138" i="140"/>
  <c r="J138" i="140"/>
  <c r="I138" i="140"/>
  <c r="H138" i="140"/>
  <c r="G138" i="140"/>
  <c r="F138" i="140"/>
  <c r="E138" i="140"/>
  <c r="D138" i="140"/>
  <c r="C138" i="140"/>
  <c r="A138" i="140"/>
  <c r="N137" i="140"/>
  <c r="M137" i="140"/>
  <c r="L137" i="140"/>
  <c r="K137" i="140"/>
  <c r="J137" i="140"/>
  <c r="I137" i="140"/>
  <c r="H137" i="140"/>
  <c r="G137" i="140"/>
  <c r="F137" i="140"/>
  <c r="E137" i="140"/>
  <c r="D137" i="140"/>
  <c r="C137" i="140"/>
  <c r="B137" i="140"/>
  <c r="N136" i="140"/>
  <c r="M136" i="140"/>
  <c r="L136" i="140"/>
  <c r="K136" i="140"/>
  <c r="J136" i="140"/>
  <c r="I136" i="140"/>
  <c r="H136" i="140"/>
  <c r="G136" i="140"/>
  <c r="F136" i="140"/>
  <c r="E136" i="140"/>
  <c r="D136" i="140"/>
  <c r="C136" i="140"/>
  <c r="B136" i="140"/>
  <c r="N135" i="140"/>
  <c r="M135" i="140"/>
  <c r="L135" i="140"/>
  <c r="K135" i="140"/>
  <c r="J135" i="140"/>
  <c r="I135" i="140"/>
  <c r="H135" i="140"/>
  <c r="G135" i="140"/>
  <c r="F135" i="140"/>
  <c r="E135" i="140"/>
  <c r="D135" i="140"/>
  <c r="C135" i="140"/>
  <c r="B135" i="140"/>
  <c r="N134" i="140"/>
  <c r="M134" i="140"/>
  <c r="L134" i="140"/>
  <c r="K134" i="140"/>
  <c r="J134" i="140"/>
  <c r="I134" i="140"/>
  <c r="H134" i="140"/>
  <c r="G134" i="140"/>
  <c r="F134" i="140"/>
  <c r="E134" i="140"/>
  <c r="D134" i="140"/>
  <c r="C134" i="140"/>
  <c r="B134" i="140"/>
  <c r="N133" i="140"/>
  <c r="M133" i="140"/>
  <c r="L133" i="140"/>
  <c r="K133" i="140"/>
  <c r="J133" i="140"/>
  <c r="I133" i="140"/>
  <c r="H133" i="140"/>
  <c r="G133" i="140"/>
  <c r="F133" i="140"/>
  <c r="E133" i="140"/>
  <c r="D133" i="140"/>
  <c r="C133" i="140"/>
  <c r="B133" i="140"/>
  <c r="N132" i="140"/>
  <c r="M132" i="140"/>
  <c r="L132" i="140"/>
  <c r="K132" i="140"/>
  <c r="J132" i="140"/>
  <c r="I132" i="140"/>
  <c r="H132" i="140"/>
  <c r="G132" i="140"/>
  <c r="F132" i="140"/>
  <c r="E132" i="140"/>
  <c r="D132" i="140"/>
  <c r="C132" i="140"/>
  <c r="B132" i="140"/>
  <c r="N131" i="140"/>
  <c r="M131" i="140"/>
  <c r="L131" i="140"/>
  <c r="K131" i="140"/>
  <c r="J131" i="140"/>
  <c r="I131" i="140"/>
  <c r="H131" i="140"/>
  <c r="G131" i="140"/>
  <c r="F131" i="140"/>
  <c r="E131" i="140"/>
  <c r="D131" i="140"/>
  <c r="C131" i="140"/>
  <c r="B131" i="140"/>
  <c r="N130" i="140"/>
  <c r="M130" i="140"/>
  <c r="L130" i="140"/>
  <c r="K130" i="140"/>
  <c r="J130" i="140"/>
  <c r="I130" i="140"/>
  <c r="H130" i="140"/>
  <c r="G130" i="140"/>
  <c r="F130" i="140"/>
  <c r="E130" i="140"/>
  <c r="D130" i="140"/>
  <c r="C130" i="140"/>
  <c r="B130" i="140"/>
  <c r="N129" i="140"/>
  <c r="M129" i="140"/>
  <c r="L129" i="140"/>
  <c r="K129" i="140"/>
  <c r="J129" i="140"/>
  <c r="I129" i="140"/>
  <c r="H129" i="140"/>
  <c r="G129" i="140"/>
  <c r="F129" i="140"/>
  <c r="E129" i="140"/>
  <c r="D129" i="140"/>
  <c r="C129" i="140"/>
  <c r="B129" i="140"/>
  <c r="N128" i="140"/>
  <c r="M128" i="140"/>
  <c r="L128" i="140"/>
  <c r="K128" i="140"/>
  <c r="J128" i="140"/>
  <c r="I128" i="140"/>
  <c r="H128" i="140"/>
  <c r="G128" i="140"/>
  <c r="F128" i="140"/>
  <c r="E128" i="140"/>
  <c r="D128" i="140"/>
  <c r="C128" i="140"/>
  <c r="B128" i="140"/>
  <c r="N127" i="140"/>
  <c r="M127" i="140"/>
  <c r="L127" i="140"/>
  <c r="K127" i="140"/>
  <c r="J127" i="140"/>
  <c r="I127" i="140"/>
  <c r="H127" i="140"/>
  <c r="G127" i="140"/>
  <c r="F127" i="140"/>
  <c r="E127" i="140"/>
  <c r="D127" i="140"/>
  <c r="C127" i="140"/>
  <c r="B127" i="140"/>
  <c r="N126" i="140"/>
  <c r="M126" i="140"/>
  <c r="L126" i="140"/>
  <c r="K126" i="140"/>
  <c r="J126" i="140"/>
  <c r="I126" i="140"/>
  <c r="H126" i="140"/>
  <c r="G126" i="140"/>
  <c r="F126" i="140"/>
  <c r="E126" i="140"/>
  <c r="D126" i="140"/>
  <c r="C126" i="140"/>
  <c r="B126" i="140"/>
  <c r="N122" i="140"/>
  <c r="M122" i="140"/>
  <c r="L122" i="140"/>
  <c r="K122" i="140"/>
  <c r="J122" i="140"/>
  <c r="I122" i="140"/>
  <c r="H122" i="140"/>
  <c r="G122" i="140"/>
  <c r="F122" i="140"/>
  <c r="E122" i="140"/>
  <c r="D122" i="140"/>
  <c r="C122" i="140"/>
  <c r="A122" i="140"/>
  <c r="N121" i="140"/>
  <c r="M121" i="140"/>
  <c r="L121" i="140"/>
  <c r="K121" i="140"/>
  <c r="J121" i="140"/>
  <c r="I121" i="140"/>
  <c r="H121" i="140"/>
  <c r="G121" i="140"/>
  <c r="F121" i="140"/>
  <c r="E121" i="140"/>
  <c r="D121" i="140"/>
  <c r="C121" i="140"/>
  <c r="B121" i="140"/>
  <c r="N120" i="140"/>
  <c r="M120" i="140"/>
  <c r="L120" i="140"/>
  <c r="K120" i="140"/>
  <c r="J120" i="140"/>
  <c r="I120" i="140"/>
  <c r="H120" i="140"/>
  <c r="G120" i="140"/>
  <c r="F120" i="140"/>
  <c r="E120" i="140"/>
  <c r="D120" i="140"/>
  <c r="C120" i="140"/>
  <c r="B120" i="140"/>
  <c r="N119" i="140"/>
  <c r="M119" i="140"/>
  <c r="L119" i="140"/>
  <c r="K119" i="140"/>
  <c r="J119" i="140"/>
  <c r="I119" i="140"/>
  <c r="H119" i="140"/>
  <c r="G119" i="140"/>
  <c r="F119" i="140"/>
  <c r="E119" i="140"/>
  <c r="D119" i="140"/>
  <c r="C119" i="140"/>
  <c r="B119" i="140"/>
  <c r="N118" i="140"/>
  <c r="M118" i="140"/>
  <c r="L118" i="140"/>
  <c r="K118" i="140"/>
  <c r="J118" i="140"/>
  <c r="I118" i="140"/>
  <c r="H118" i="140"/>
  <c r="G118" i="140"/>
  <c r="F118" i="140"/>
  <c r="E118" i="140"/>
  <c r="D118" i="140"/>
  <c r="C118" i="140"/>
  <c r="B118" i="140"/>
  <c r="N117" i="140"/>
  <c r="M117" i="140"/>
  <c r="L117" i="140"/>
  <c r="K117" i="140"/>
  <c r="J117" i="140"/>
  <c r="I117" i="140"/>
  <c r="H117" i="140"/>
  <c r="G117" i="140"/>
  <c r="F117" i="140"/>
  <c r="E117" i="140"/>
  <c r="D117" i="140"/>
  <c r="C117" i="140"/>
  <c r="B117" i="140"/>
  <c r="N116" i="140"/>
  <c r="M116" i="140"/>
  <c r="L116" i="140"/>
  <c r="K116" i="140"/>
  <c r="J116" i="140"/>
  <c r="I116" i="140"/>
  <c r="H116" i="140"/>
  <c r="G116" i="140"/>
  <c r="F116" i="140"/>
  <c r="E116" i="140"/>
  <c r="D116" i="140"/>
  <c r="C116" i="140"/>
  <c r="B116" i="140"/>
  <c r="N115" i="140"/>
  <c r="M115" i="140"/>
  <c r="L115" i="140"/>
  <c r="K115" i="140"/>
  <c r="J115" i="140"/>
  <c r="I115" i="140"/>
  <c r="H115" i="140"/>
  <c r="G115" i="140"/>
  <c r="F115" i="140"/>
  <c r="E115" i="140"/>
  <c r="D115" i="140"/>
  <c r="C115" i="140"/>
  <c r="B115" i="140"/>
  <c r="N114" i="140"/>
  <c r="M114" i="140"/>
  <c r="L114" i="140"/>
  <c r="K114" i="140"/>
  <c r="J114" i="140"/>
  <c r="I114" i="140"/>
  <c r="H114" i="140"/>
  <c r="G114" i="140"/>
  <c r="F114" i="140"/>
  <c r="E114" i="140"/>
  <c r="D114" i="140"/>
  <c r="C114" i="140"/>
  <c r="B114" i="140"/>
  <c r="N113" i="140"/>
  <c r="M113" i="140"/>
  <c r="L113" i="140"/>
  <c r="K113" i="140"/>
  <c r="J113" i="140"/>
  <c r="I113" i="140"/>
  <c r="H113" i="140"/>
  <c r="G113" i="140"/>
  <c r="F113" i="140"/>
  <c r="E113" i="140"/>
  <c r="D113" i="140"/>
  <c r="C113" i="140"/>
  <c r="B113" i="140"/>
  <c r="N112" i="140"/>
  <c r="M112" i="140"/>
  <c r="L112" i="140"/>
  <c r="K112" i="140"/>
  <c r="J112" i="140"/>
  <c r="I112" i="140"/>
  <c r="H112" i="140"/>
  <c r="G112" i="140"/>
  <c r="F112" i="140"/>
  <c r="E112" i="140"/>
  <c r="D112" i="140"/>
  <c r="C112" i="140"/>
  <c r="B112" i="140"/>
  <c r="N111" i="140"/>
  <c r="M111" i="140"/>
  <c r="L111" i="140"/>
  <c r="K111" i="140"/>
  <c r="J111" i="140"/>
  <c r="I111" i="140"/>
  <c r="H111" i="140"/>
  <c r="G111" i="140"/>
  <c r="F111" i="140"/>
  <c r="E111" i="140"/>
  <c r="D111" i="140"/>
  <c r="C111" i="140"/>
  <c r="B111" i="140"/>
  <c r="N110" i="140"/>
  <c r="M110" i="140"/>
  <c r="L110" i="140"/>
  <c r="K110" i="140"/>
  <c r="J110" i="140"/>
  <c r="I110" i="140"/>
  <c r="H110" i="140"/>
  <c r="G110" i="140"/>
  <c r="F110" i="140"/>
  <c r="E110" i="140"/>
  <c r="D110" i="140"/>
  <c r="C110" i="140"/>
  <c r="B110" i="140"/>
  <c r="N104" i="140"/>
  <c r="M104" i="140"/>
  <c r="L104" i="140"/>
  <c r="K104" i="140"/>
  <c r="J104" i="140"/>
  <c r="I104" i="140"/>
  <c r="H104" i="140"/>
  <c r="G104" i="140"/>
  <c r="F104" i="140"/>
  <c r="E104" i="140"/>
  <c r="D104" i="140"/>
  <c r="C104" i="140"/>
  <c r="A104" i="140"/>
  <c r="N103" i="140"/>
  <c r="M103" i="140"/>
  <c r="L103" i="140"/>
  <c r="K103" i="140"/>
  <c r="J103" i="140"/>
  <c r="I103" i="140"/>
  <c r="H103" i="140"/>
  <c r="G103" i="140"/>
  <c r="F103" i="140"/>
  <c r="E103" i="140"/>
  <c r="D103" i="140"/>
  <c r="C103" i="140"/>
  <c r="B103" i="140"/>
  <c r="N102" i="140"/>
  <c r="M102" i="140"/>
  <c r="L102" i="140"/>
  <c r="K102" i="140"/>
  <c r="J102" i="140"/>
  <c r="I102" i="140"/>
  <c r="H102" i="140"/>
  <c r="G102" i="140"/>
  <c r="F102" i="140"/>
  <c r="E102" i="140"/>
  <c r="D102" i="140"/>
  <c r="C102" i="140"/>
  <c r="B102" i="140"/>
  <c r="N101" i="140"/>
  <c r="M101" i="140"/>
  <c r="L101" i="140"/>
  <c r="K101" i="140"/>
  <c r="J101" i="140"/>
  <c r="I101" i="140"/>
  <c r="H101" i="140"/>
  <c r="G101" i="140"/>
  <c r="F101" i="140"/>
  <c r="E101" i="140"/>
  <c r="D101" i="140"/>
  <c r="C101" i="140"/>
  <c r="B101" i="140"/>
  <c r="N100" i="140"/>
  <c r="M100" i="140"/>
  <c r="L100" i="140"/>
  <c r="K100" i="140"/>
  <c r="J100" i="140"/>
  <c r="I100" i="140"/>
  <c r="H100" i="140"/>
  <c r="G100" i="140"/>
  <c r="F100" i="140"/>
  <c r="E100" i="140"/>
  <c r="D100" i="140"/>
  <c r="C100" i="140"/>
  <c r="B100" i="140"/>
  <c r="N99" i="140"/>
  <c r="M99" i="140"/>
  <c r="L99" i="140"/>
  <c r="K99" i="140"/>
  <c r="J99" i="140"/>
  <c r="I99" i="140"/>
  <c r="H99" i="140"/>
  <c r="G99" i="140"/>
  <c r="F99" i="140"/>
  <c r="E99" i="140"/>
  <c r="D99" i="140"/>
  <c r="C99" i="140"/>
  <c r="B99" i="140"/>
  <c r="N98" i="140"/>
  <c r="M98" i="140"/>
  <c r="L98" i="140"/>
  <c r="K98" i="140"/>
  <c r="J98" i="140"/>
  <c r="I98" i="140"/>
  <c r="H98" i="140"/>
  <c r="G98" i="140"/>
  <c r="F98" i="140"/>
  <c r="E98" i="140"/>
  <c r="D98" i="140"/>
  <c r="C98" i="140"/>
  <c r="B98" i="140"/>
  <c r="N97" i="140"/>
  <c r="M97" i="140"/>
  <c r="L97" i="140"/>
  <c r="K97" i="140"/>
  <c r="J97" i="140"/>
  <c r="I97" i="140"/>
  <c r="H97" i="140"/>
  <c r="G97" i="140"/>
  <c r="F97" i="140"/>
  <c r="E97" i="140"/>
  <c r="D97" i="140"/>
  <c r="C97" i="140"/>
  <c r="B97" i="140"/>
  <c r="N96" i="140"/>
  <c r="M96" i="140"/>
  <c r="L96" i="140"/>
  <c r="K96" i="140"/>
  <c r="J96" i="140"/>
  <c r="I96" i="140"/>
  <c r="H96" i="140"/>
  <c r="G96" i="140"/>
  <c r="F96" i="140"/>
  <c r="E96" i="140"/>
  <c r="D96" i="140"/>
  <c r="C96" i="140"/>
  <c r="B96" i="140"/>
  <c r="N95" i="140"/>
  <c r="M95" i="140"/>
  <c r="L95" i="140"/>
  <c r="K95" i="140"/>
  <c r="J95" i="140"/>
  <c r="I95" i="140"/>
  <c r="H95" i="140"/>
  <c r="G95" i="140"/>
  <c r="F95" i="140"/>
  <c r="E95" i="140"/>
  <c r="D95" i="140"/>
  <c r="C95" i="140"/>
  <c r="B95" i="140"/>
  <c r="N94" i="140"/>
  <c r="M94" i="140"/>
  <c r="L94" i="140"/>
  <c r="K94" i="140"/>
  <c r="J94" i="140"/>
  <c r="I94" i="140"/>
  <c r="H94" i="140"/>
  <c r="G94" i="140"/>
  <c r="F94" i="140"/>
  <c r="E94" i="140"/>
  <c r="D94" i="140"/>
  <c r="C94" i="140"/>
  <c r="B94" i="140"/>
  <c r="N93" i="140"/>
  <c r="M93" i="140"/>
  <c r="L93" i="140"/>
  <c r="K93" i="140"/>
  <c r="J93" i="140"/>
  <c r="I93" i="140"/>
  <c r="H93" i="140"/>
  <c r="G93" i="140"/>
  <c r="F93" i="140"/>
  <c r="E93" i="140"/>
  <c r="D93" i="140"/>
  <c r="C93" i="140"/>
  <c r="B93" i="140"/>
  <c r="N92" i="140"/>
  <c r="M92" i="140"/>
  <c r="L92" i="140"/>
  <c r="K92" i="140"/>
  <c r="J92" i="140"/>
  <c r="I92" i="140"/>
  <c r="H92" i="140"/>
  <c r="G92" i="140"/>
  <c r="F92" i="140"/>
  <c r="E92" i="140"/>
  <c r="D92" i="140"/>
  <c r="C92" i="140"/>
  <c r="B92" i="140"/>
  <c r="N88" i="140"/>
  <c r="M88" i="140"/>
  <c r="L88" i="140"/>
  <c r="K88" i="140"/>
  <c r="J88" i="140"/>
  <c r="I88" i="140"/>
  <c r="H88" i="140"/>
  <c r="G88" i="140"/>
  <c r="F88" i="140"/>
  <c r="E88" i="140"/>
  <c r="D88" i="140"/>
  <c r="C88" i="140"/>
  <c r="A88" i="140"/>
  <c r="N87" i="140"/>
  <c r="M87" i="140"/>
  <c r="L87" i="140"/>
  <c r="K87" i="140"/>
  <c r="J87" i="140"/>
  <c r="I87" i="140"/>
  <c r="H87" i="140"/>
  <c r="G87" i="140"/>
  <c r="F87" i="140"/>
  <c r="E87" i="140"/>
  <c r="D87" i="140"/>
  <c r="C87" i="140"/>
  <c r="B87" i="140"/>
  <c r="N86" i="140"/>
  <c r="M86" i="140"/>
  <c r="L86" i="140"/>
  <c r="K86" i="140"/>
  <c r="J86" i="140"/>
  <c r="I86" i="140"/>
  <c r="H86" i="140"/>
  <c r="G86" i="140"/>
  <c r="F86" i="140"/>
  <c r="E86" i="140"/>
  <c r="D86" i="140"/>
  <c r="C86" i="140"/>
  <c r="B86" i="140"/>
  <c r="N85" i="140"/>
  <c r="M85" i="140"/>
  <c r="L85" i="140"/>
  <c r="K85" i="140"/>
  <c r="J85" i="140"/>
  <c r="I85" i="140"/>
  <c r="H85" i="140"/>
  <c r="G85" i="140"/>
  <c r="F85" i="140"/>
  <c r="E85" i="140"/>
  <c r="D85" i="140"/>
  <c r="C85" i="140"/>
  <c r="B85" i="140"/>
  <c r="N84" i="140"/>
  <c r="M84" i="140"/>
  <c r="L84" i="140"/>
  <c r="K84" i="140"/>
  <c r="J84" i="140"/>
  <c r="I84" i="140"/>
  <c r="H84" i="140"/>
  <c r="G84" i="140"/>
  <c r="F84" i="140"/>
  <c r="E84" i="140"/>
  <c r="D84" i="140"/>
  <c r="C84" i="140"/>
  <c r="B84" i="140"/>
  <c r="N83" i="140"/>
  <c r="M83" i="140"/>
  <c r="L83" i="140"/>
  <c r="K83" i="140"/>
  <c r="J83" i="140"/>
  <c r="I83" i="140"/>
  <c r="H83" i="140"/>
  <c r="G83" i="140"/>
  <c r="F83" i="140"/>
  <c r="E83" i="140"/>
  <c r="D83" i="140"/>
  <c r="C83" i="140"/>
  <c r="B83" i="140"/>
  <c r="N82" i="140"/>
  <c r="M82" i="140"/>
  <c r="L82" i="140"/>
  <c r="K82" i="140"/>
  <c r="J82" i="140"/>
  <c r="I82" i="140"/>
  <c r="H82" i="140"/>
  <c r="G82" i="140"/>
  <c r="F82" i="140"/>
  <c r="E82" i="140"/>
  <c r="D82" i="140"/>
  <c r="C82" i="140"/>
  <c r="B82" i="140"/>
  <c r="N81" i="140"/>
  <c r="M81" i="140"/>
  <c r="L81" i="140"/>
  <c r="K81" i="140"/>
  <c r="J81" i="140"/>
  <c r="I81" i="140"/>
  <c r="H81" i="140"/>
  <c r="G81" i="140"/>
  <c r="F81" i="140"/>
  <c r="E81" i="140"/>
  <c r="D81" i="140"/>
  <c r="C81" i="140"/>
  <c r="B81" i="140"/>
  <c r="N80" i="140"/>
  <c r="M80" i="140"/>
  <c r="L80" i="140"/>
  <c r="K80" i="140"/>
  <c r="J80" i="140"/>
  <c r="I80" i="140"/>
  <c r="H80" i="140"/>
  <c r="G80" i="140"/>
  <c r="F80" i="140"/>
  <c r="E80" i="140"/>
  <c r="D80" i="140"/>
  <c r="C80" i="140"/>
  <c r="B80" i="140"/>
  <c r="N79" i="140"/>
  <c r="M79" i="140"/>
  <c r="L79" i="140"/>
  <c r="K79" i="140"/>
  <c r="J79" i="140"/>
  <c r="I79" i="140"/>
  <c r="H79" i="140"/>
  <c r="G79" i="140"/>
  <c r="F79" i="140"/>
  <c r="E79" i="140"/>
  <c r="D79" i="140"/>
  <c r="C79" i="140"/>
  <c r="B79" i="140"/>
  <c r="N78" i="140"/>
  <c r="M78" i="140"/>
  <c r="L78" i="140"/>
  <c r="K78" i="140"/>
  <c r="J78" i="140"/>
  <c r="I78" i="140"/>
  <c r="H78" i="140"/>
  <c r="G78" i="140"/>
  <c r="F78" i="140"/>
  <c r="E78" i="140"/>
  <c r="D78" i="140"/>
  <c r="C78" i="140"/>
  <c r="B78" i="140"/>
  <c r="N77" i="140"/>
  <c r="M77" i="140"/>
  <c r="L77" i="140"/>
  <c r="K77" i="140"/>
  <c r="J77" i="140"/>
  <c r="I77" i="140"/>
  <c r="H77" i="140"/>
  <c r="G77" i="140"/>
  <c r="F77" i="140"/>
  <c r="E77" i="140"/>
  <c r="D77" i="140"/>
  <c r="C77" i="140"/>
  <c r="B77" i="140"/>
  <c r="N76" i="140"/>
  <c r="M76" i="140"/>
  <c r="L76" i="140"/>
  <c r="K76" i="140"/>
  <c r="J76" i="140"/>
  <c r="I76" i="140"/>
  <c r="H76" i="140"/>
  <c r="G76" i="140"/>
  <c r="F76" i="140"/>
  <c r="E76" i="140"/>
  <c r="D76" i="140"/>
  <c r="C76" i="140"/>
  <c r="B76" i="140"/>
  <c r="N70" i="140"/>
  <c r="M70" i="140"/>
  <c r="L70" i="140"/>
  <c r="K70" i="140"/>
  <c r="J70" i="140"/>
  <c r="I70" i="140"/>
  <c r="H70" i="140"/>
  <c r="G70" i="140"/>
  <c r="F70" i="140"/>
  <c r="E70" i="140"/>
  <c r="D70" i="140"/>
  <c r="C70" i="140"/>
  <c r="A70" i="140"/>
  <c r="N69" i="140"/>
  <c r="M69" i="140"/>
  <c r="L69" i="140"/>
  <c r="K69" i="140"/>
  <c r="J69" i="140"/>
  <c r="I69" i="140"/>
  <c r="H69" i="140"/>
  <c r="G69" i="140"/>
  <c r="F69" i="140"/>
  <c r="E69" i="140"/>
  <c r="D69" i="140"/>
  <c r="C69" i="140"/>
  <c r="B69" i="140"/>
  <c r="N68" i="140"/>
  <c r="M68" i="140"/>
  <c r="L68" i="140"/>
  <c r="K68" i="140"/>
  <c r="J68" i="140"/>
  <c r="I68" i="140"/>
  <c r="H68" i="140"/>
  <c r="G68" i="140"/>
  <c r="F68" i="140"/>
  <c r="E68" i="140"/>
  <c r="D68" i="140"/>
  <c r="C68" i="140"/>
  <c r="B68" i="140"/>
  <c r="N67" i="140"/>
  <c r="M67" i="140"/>
  <c r="L67" i="140"/>
  <c r="K67" i="140"/>
  <c r="J67" i="140"/>
  <c r="I67" i="140"/>
  <c r="H67" i="140"/>
  <c r="G67" i="140"/>
  <c r="F67" i="140"/>
  <c r="E67" i="140"/>
  <c r="D67" i="140"/>
  <c r="C67" i="140"/>
  <c r="B67" i="140"/>
  <c r="N66" i="140"/>
  <c r="M66" i="140"/>
  <c r="L66" i="140"/>
  <c r="K66" i="140"/>
  <c r="J66" i="140"/>
  <c r="I66" i="140"/>
  <c r="H66" i="140"/>
  <c r="G66" i="140"/>
  <c r="F66" i="140"/>
  <c r="E66" i="140"/>
  <c r="D66" i="140"/>
  <c r="C66" i="140"/>
  <c r="B66" i="140"/>
  <c r="N65" i="140"/>
  <c r="M65" i="140"/>
  <c r="L65" i="140"/>
  <c r="K65" i="140"/>
  <c r="J65" i="140"/>
  <c r="I65" i="140"/>
  <c r="H65" i="140"/>
  <c r="G65" i="140"/>
  <c r="F65" i="140"/>
  <c r="E65" i="140"/>
  <c r="D65" i="140"/>
  <c r="C65" i="140"/>
  <c r="B65" i="140"/>
  <c r="N64" i="140"/>
  <c r="M64" i="140"/>
  <c r="L64" i="140"/>
  <c r="K64" i="140"/>
  <c r="J64" i="140"/>
  <c r="I64" i="140"/>
  <c r="H64" i="140"/>
  <c r="G64" i="140"/>
  <c r="F64" i="140"/>
  <c r="E64" i="140"/>
  <c r="D64" i="140"/>
  <c r="C64" i="140"/>
  <c r="B64" i="140"/>
  <c r="N63" i="140"/>
  <c r="M63" i="140"/>
  <c r="L63" i="140"/>
  <c r="K63" i="140"/>
  <c r="J63" i="140"/>
  <c r="I63" i="140"/>
  <c r="H63" i="140"/>
  <c r="G63" i="140"/>
  <c r="F63" i="140"/>
  <c r="E63" i="140"/>
  <c r="D63" i="140"/>
  <c r="C63" i="140"/>
  <c r="B63" i="140"/>
  <c r="N62" i="140"/>
  <c r="M62" i="140"/>
  <c r="L62" i="140"/>
  <c r="K62" i="140"/>
  <c r="J62" i="140"/>
  <c r="I62" i="140"/>
  <c r="H62" i="140"/>
  <c r="G62" i="140"/>
  <c r="F62" i="140"/>
  <c r="E62" i="140"/>
  <c r="D62" i="140"/>
  <c r="C62" i="140"/>
  <c r="B62" i="140"/>
  <c r="N61" i="140"/>
  <c r="M61" i="140"/>
  <c r="L61" i="140"/>
  <c r="K61" i="140"/>
  <c r="J61" i="140"/>
  <c r="I61" i="140"/>
  <c r="H61" i="140"/>
  <c r="G61" i="140"/>
  <c r="F61" i="140"/>
  <c r="E61" i="140"/>
  <c r="D61" i="140"/>
  <c r="C61" i="140"/>
  <c r="B61" i="140"/>
  <c r="N60" i="140"/>
  <c r="M60" i="140"/>
  <c r="L60" i="140"/>
  <c r="K60" i="140"/>
  <c r="J60" i="140"/>
  <c r="I60" i="140"/>
  <c r="H60" i="140"/>
  <c r="G60" i="140"/>
  <c r="F60" i="140"/>
  <c r="E60" i="140"/>
  <c r="D60" i="140"/>
  <c r="C60" i="140"/>
  <c r="B60" i="140"/>
  <c r="N59" i="140"/>
  <c r="M59" i="140"/>
  <c r="L59" i="140"/>
  <c r="K59" i="140"/>
  <c r="J59" i="140"/>
  <c r="I59" i="140"/>
  <c r="H59" i="140"/>
  <c r="G59" i="140"/>
  <c r="F59" i="140"/>
  <c r="E59" i="140"/>
  <c r="D59" i="140"/>
  <c r="C59" i="140"/>
  <c r="B59" i="140"/>
  <c r="N58" i="140"/>
  <c r="M58" i="140"/>
  <c r="L58" i="140"/>
  <c r="K58" i="140"/>
  <c r="J58" i="140"/>
  <c r="I58" i="140"/>
  <c r="H58" i="140"/>
  <c r="G58" i="140"/>
  <c r="F58" i="140"/>
  <c r="E58" i="140"/>
  <c r="D58" i="140"/>
  <c r="C58" i="140"/>
  <c r="B58" i="140"/>
  <c r="N54" i="140"/>
  <c r="M54" i="140"/>
  <c r="L54" i="140"/>
  <c r="K54" i="140"/>
  <c r="J54" i="140"/>
  <c r="I54" i="140"/>
  <c r="H54" i="140"/>
  <c r="G54" i="140"/>
  <c r="F54" i="140"/>
  <c r="E54" i="140"/>
  <c r="D54" i="140"/>
  <c r="C54" i="140"/>
  <c r="A54" i="140"/>
  <c r="N53" i="140"/>
  <c r="M53" i="140"/>
  <c r="L53" i="140"/>
  <c r="K53" i="140"/>
  <c r="J53" i="140"/>
  <c r="I53" i="140"/>
  <c r="H53" i="140"/>
  <c r="G53" i="140"/>
  <c r="F53" i="140"/>
  <c r="E53" i="140"/>
  <c r="D53" i="140"/>
  <c r="C53" i="140"/>
  <c r="B53" i="140"/>
  <c r="N52" i="140"/>
  <c r="M52" i="140"/>
  <c r="L52" i="140"/>
  <c r="K52" i="140"/>
  <c r="J52" i="140"/>
  <c r="I52" i="140"/>
  <c r="H52" i="140"/>
  <c r="G52" i="140"/>
  <c r="F52" i="140"/>
  <c r="E52" i="140"/>
  <c r="D52" i="140"/>
  <c r="C52" i="140"/>
  <c r="B52" i="140"/>
  <c r="N51" i="140"/>
  <c r="M51" i="140"/>
  <c r="L51" i="140"/>
  <c r="K51" i="140"/>
  <c r="J51" i="140"/>
  <c r="I51" i="140"/>
  <c r="H51" i="140"/>
  <c r="G51" i="140"/>
  <c r="F51" i="140"/>
  <c r="E51" i="140"/>
  <c r="D51" i="140"/>
  <c r="C51" i="140"/>
  <c r="B51" i="140"/>
  <c r="N50" i="140"/>
  <c r="M50" i="140"/>
  <c r="L50" i="140"/>
  <c r="K50" i="140"/>
  <c r="J50" i="140"/>
  <c r="I50" i="140"/>
  <c r="H50" i="140"/>
  <c r="G50" i="140"/>
  <c r="F50" i="140"/>
  <c r="E50" i="140"/>
  <c r="D50" i="140"/>
  <c r="C50" i="140"/>
  <c r="B50" i="140"/>
  <c r="N49" i="140"/>
  <c r="M49" i="140"/>
  <c r="L49" i="140"/>
  <c r="K49" i="140"/>
  <c r="J49" i="140"/>
  <c r="I49" i="140"/>
  <c r="H49" i="140"/>
  <c r="G49" i="140"/>
  <c r="F49" i="140"/>
  <c r="E49" i="140"/>
  <c r="D49" i="140"/>
  <c r="C49" i="140"/>
  <c r="B49" i="140"/>
  <c r="N48" i="140"/>
  <c r="M48" i="140"/>
  <c r="L48" i="140"/>
  <c r="K48" i="140"/>
  <c r="J48" i="140"/>
  <c r="I48" i="140"/>
  <c r="H48" i="140"/>
  <c r="G48" i="140"/>
  <c r="F48" i="140"/>
  <c r="E48" i="140"/>
  <c r="D48" i="140"/>
  <c r="C48" i="140"/>
  <c r="B48" i="140"/>
  <c r="N47" i="140"/>
  <c r="M47" i="140"/>
  <c r="L47" i="140"/>
  <c r="K47" i="140"/>
  <c r="J47" i="140"/>
  <c r="I47" i="140"/>
  <c r="H47" i="140"/>
  <c r="G47" i="140"/>
  <c r="F47" i="140"/>
  <c r="E47" i="140"/>
  <c r="D47" i="140"/>
  <c r="C47" i="140"/>
  <c r="B47" i="140"/>
  <c r="N46" i="140"/>
  <c r="M46" i="140"/>
  <c r="L46" i="140"/>
  <c r="K46" i="140"/>
  <c r="J46" i="140"/>
  <c r="I46" i="140"/>
  <c r="H46" i="140"/>
  <c r="G46" i="140"/>
  <c r="F46" i="140"/>
  <c r="E46" i="140"/>
  <c r="D46" i="140"/>
  <c r="C46" i="140"/>
  <c r="B46" i="140"/>
  <c r="N45" i="140"/>
  <c r="M45" i="140"/>
  <c r="L45" i="140"/>
  <c r="K45" i="140"/>
  <c r="J45" i="140"/>
  <c r="I45" i="140"/>
  <c r="H45" i="140"/>
  <c r="G45" i="140"/>
  <c r="F45" i="140"/>
  <c r="E45" i="140"/>
  <c r="D45" i="140"/>
  <c r="C45" i="140"/>
  <c r="B45" i="140"/>
  <c r="N44" i="140"/>
  <c r="M44" i="140"/>
  <c r="L44" i="140"/>
  <c r="K44" i="140"/>
  <c r="J44" i="140"/>
  <c r="I44" i="140"/>
  <c r="H44" i="140"/>
  <c r="G44" i="140"/>
  <c r="F44" i="140"/>
  <c r="E44" i="140"/>
  <c r="D44" i="140"/>
  <c r="C44" i="140"/>
  <c r="B44" i="140"/>
  <c r="N43" i="140"/>
  <c r="M43" i="140"/>
  <c r="L43" i="140"/>
  <c r="K43" i="140"/>
  <c r="J43" i="140"/>
  <c r="I43" i="140"/>
  <c r="H43" i="140"/>
  <c r="G43" i="140"/>
  <c r="F43" i="140"/>
  <c r="E43" i="140"/>
  <c r="D43" i="140"/>
  <c r="C43" i="140"/>
  <c r="B43" i="140"/>
  <c r="N42" i="140"/>
  <c r="M42" i="140"/>
  <c r="L42" i="140"/>
  <c r="K42" i="140"/>
  <c r="J42" i="140"/>
  <c r="I42" i="140"/>
  <c r="H42" i="140"/>
  <c r="G42" i="140"/>
  <c r="F42" i="140"/>
  <c r="E42" i="140"/>
  <c r="D42" i="140"/>
  <c r="C42" i="140"/>
  <c r="B42" i="140"/>
  <c r="N36" i="140"/>
  <c r="M36" i="140"/>
  <c r="L36" i="140"/>
  <c r="K36" i="140"/>
  <c r="J36" i="140"/>
  <c r="I36" i="140"/>
  <c r="H36" i="140"/>
  <c r="G36" i="140"/>
  <c r="F36" i="140"/>
  <c r="E36" i="140"/>
  <c r="D36" i="140"/>
  <c r="C36" i="140"/>
  <c r="B36" i="140"/>
  <c r="N35" i="140"/>
  <c r="M35" i="140"/>
  <c r="L35" i="140"/>
  <c r="K35" i="140"/>
  <c r="J35" i="140"/>
  <c r="I35" i="140"/>
  <c r="H35" i="140"/>
  <c r="G35" i="140"/>
  <c r="F35" i="140"/>
  <c r="E35" i="140"/>
  <c r="D35" i="140"/>
  <c r="C35" i="140"/>
  <c r="B35" i="140"/>
  <c r="I31" i="140"/>
  <c r="H31" i="140"/>
  <c r="G31" i="140"/>
  <c r="E31" i="140"/>
  <c r="D31" i="140"/>
  <c r="C31" i="140"/>
  <c r="B31" i="140"/>
  <c r="A31" i="140"/>
  <c r="D30" i="140"/>
  <c r="C30" i="140"/>
  <c r="B30" i="140"/>
  <c r="D29" i="140"/>
  <c r="C29" i="140"/>
  <c r="B29" i="140"/>
  <c r="D28" i="140"/>
  <c r="C28" i="140"/>
  <c r="B28" i="140"/>
  <c r="D27" i="140"/>
  <c r="C27" i="140"/>
  <c r="B27" i="140"/>
  <c r="D26" i="140"/>
  <c r="C26" i="140"/>
  <c r="B26" i="140"/>
  <c r="D25" i="140"/>
  <c r="C25" i="140"/>
  <c r="B25" i="140"/>
  <c r="D24" i="140"/>
  <c r="C24" i="140"/>
  <c r="B24" i="140"/>
  <c r="D23" i="140"/>
  <c r="C23" i="140"/>
  <c r="B23" i="140"/>
  <c r="D22" i="140"/>
  <c r="C22" i="140"/>
  <c r="B22" i="140"/>
  <c r="D21" i="140"/>
  <c r="C21" i="140"/>
  <c r="B21" i="140"/>
  <c r="D20" i="140"/>
  <c r="C20" i="140"/>
  <c r="C19" i="140"/>
  <c r="B19" i="140"/>
  <c r="N15" i="140"/>
  <c r="M15" i="140"/>
  <c r="L15" i="140"/>
  <c r="K15" i="140"/>
  <c r="J15" i="140"/>
  <c r="I15" i="140"/>
  <c r="H15" i="140"/>
  <c r="G15" i="140"/>
  <c r="F15" i="140"/>
  <c r="E15" i="140"/>
  <c r="D15" i="140"/>
  <c r="C15" i="140"/>
  <c r="B15" i="140"/>
  <c r="N14" i="140"/>
  <c r="M14" i="140"/>
  <c r="L14" i="140"/>
  <c r="K14" i="140"/>
  <c r="J14" i="140"/>
  <c r="I14" i="140"/>
  <c r="H14" i="140"/>
  <c r="G14" i="140"/>
  <c r="F14" i="140"/>
  <c r="E14" i="140"/>
  <c r="D14" i="140"/>
  <c r="C14" i="140"/>
  <c r="B14" i="140"/>
  <c r="A10" i="140"/>
  <c r="G87" i="126"/>
  <c r="F87" i="126"/>
  <c r="E87" i="126"/>
  <c r="D87" i="126"/>
  <c r="C87" i="126"/>
  <c r="A87" i="126"/>
  <c r="K86" i="126"/>
  <c r="J86" i="126"/>
  <c r="I86" i="126"/>
  <c r="H86" i="126"/>
  <c r="G86" i="126"/>
  <c r="F86" i="126"/>
  <c r="E86" i="126"/>
  <c r="D86" i="126"/>
  <c r="C86" i="126"/>
  <c r="B86" i="126"/>
  <c r="K85" i="126"/>
  <c r="J85" i="126"/>
  <c r="I85" i="126"/>
  <c r="H85" i="126"/>
  <c r="G85" i="126"/>
  <c r="F85" i="126"/>
  <c r="E85" i="126"/>
  <c r="D85" i="126"/>
  <c r="C85" i="126"/>
  <c r="B85" i="126"/>
  <c r="K84" i="126"/>
  <c r="J84" i="126"/>
  <c r="I84" i="126"/>
  <c r="H84" i="126"/>
  <c r="G84" i="126"/>
  <c r="F84" i="126"/>
  <c r="E84" i="126"/>
  <c r="D84" i="126"/>
  <c r="C84" i="126"/>
  <c r="B84" i="126"/>
  <c r="K83" i="126"/>
  <c r="J83" i="126"/>
  <c r="I83" i="126"/>
  <c r="H83" i="126"/>
  <c r="G83" i="126"/>
  <c r="F83" i="126"/>
  <c r="E83" i="126"/>
  <c r="D83" i="126"/>
  <c r="C83" i="126"/>
  <c r="B83" i="126"/>
  <c r="K82" i="126"/>
  <c r="J82" i="126"/>
  <c r="I82" i="126"/>
  <c r="H82" i="126"/>
  <c r="G82" i="126"/>
  <c r="F82" i="126"/>
  <c r="E82" i="126"/>
  <c r="D82" i="126"/>
  <c r="C82" i="126"/>
  <c r="B82" i="126"/>
  <c r="K81" i="126"/>
  <c r="J81" i="126"/>
  <c r="I81" i="126"/>
  <c r="H81" i="126"/>
  <c r="G81" i="126"/>
  <c r="F81" i="126"/>
  <c r="E81" i="126"/>
  <c r="D81" i="126"/>
  <c r="C81" i="126"/>
  <c r="B81" i="126"/>
  <c r="K80" i="126"/>
  <c r="J80" i="126"/>
  <c r="I80" i="126"/>
  <c r="H80" i="126"/>
  <c r="G80" i="126"/>
  <c r="F80" i="126"/>
  <c r="E80" i="126"/>
  <c r="D80" i="126"/>
  <c r="C80" i="126"/>
  <c r="B80" i="126"/>
  <c r="K79" i="126"/>
  <c r="J79" i="126"/>
  <c r="I79" i="126"/>
  <c r="H79" i="126"/>
  <c r="G79" i="126"/>
  <c r="F79" i="126"/>
  <c r="E79" i="126"/>
  <c r="D79" i="126"/>
  <c r="C79" i="126"/>
  <c r="B79" i="126"/>
  <c r="K78" i="126"/>
  <c r="J78" i="126"/>
  <c r="I78" i="126"/>
  <c r="H78" i="126"/>
  <c r="G78" i="126"/>
  <c r="F78" i="126"/>
  <c r="E78" i="126"/>
  <c r="D78" i="126"/>
  <c r="C78" i="126"/>
  <c r="B78" i="126"/>
  <c r="K77" i="126"/>
  <c r="J77" i="126"/>
  <c r="I77" i="126"/>
  <c r="H77" i="126"/>
  <c r="G77" i="126"/>
  <c r="F77" i="126"/>
  <c r="E77" i="126"/>
  <c r="D77" i="126"/>
  <c r="C77" i="126"/>
  <c r="B77" i="126"/>
  <c r="K76" i="126"/>
  <c r="J76" i="126"/>
  <c r="I76" i="126"/>
  <c r="H76" i="126"/>
  <c r="G76" i="126"/>
  <c r="F76" i="126"/>
  <c r="E76" i="126"/>
  <c r="D76" i="126"/>
  <c r="C76" i="126"/>
  <c r="B76" i="126"/>
  <c r="J74" i="126"/>
  <c r="I74" i="126"/>
  <c r="H74" i="126"/>
  <c r="G74" i="126"/>
  <c r="F74" i="126"/>
  <c r="E74" i="126"/>
  <c r="D74" i="126"/>
  <c r="C74" i="126"/>
  <c r="B74" i="126"/>
  <c r="G70" i="126"/>
  <c r="F70" i="126"/>
  <c r="E70" i="126"/>
  <c r="D70" i="126"/>
  <c r="C70" i="126"/>
  <c r="A70" i="126"/>
  <c r="K69" i="126"/>
  <c r="J69" i="126"/>
  <c r="I69" i="126"/>
  <c r="H69" i="126"/>
  <c r="G69" i="126"/>
  <c r="F69" i="126"/>
  <c r="E69" i="126"/>
  <c r="D69" i="126"/>
  <c r="C69" i="126"/>
  <c r="B69" i="126"/>
  <c r="K68" i="126"/>
  <c r="J68" i="126"/>
  <c r="I68" i="126"/>
  <c r="H68" i="126"/>
  <c r="G68" i="126"/>
  <c r="F68" i="126"/>
  <c r="E68" i="126"/>
  <c r="D68" i="126"/>
  <c r="C68" i="126"/>
  <c r="B68" i="126"/>
  <c r="K67" i="126"/>
  <c r="J67" i="126"/>
  <c r="I67" i="126"/>
  <c r="H67" i="126"/>
  <c r="G67" i="126"/>
  <c r="F67" i="126"/>
  <c r="E67" i="126"/>
  <c r="D67" i="126"/>
  <c r="C67" i="126"/>
  <c r="B67" i="126"/>
  <c r="K66" i="126"/>
  <c r="J66" i="126"/>
  <c r="I66" i="126"/>
  <c r="H66" i="126"/>
  <c r="G66" i="126"/>
  <c r="F66" i="126"/>
  <c r="E66" i="126"/>
  <c r="D66" i="126"/>
  <c r="C66" i="126"/>
  <c r="B66" i="126"/>
  <c r="K65" i="126"/>
  <c r="J65" i="126"/>
  <c r="I65" i="126"/>
  <c r="H65" i="126"/>
  <c r="G65" i="126"/>
  <c r="F65" i="126"/>
  <c r="E65" i="126"/>
  <c r="D65" i="126"/>
  <c r="C65" i="126"/>
  <c r="B65" i="126"/>
  <c r="K64" i="126"/>
  <c r="J64" i="126"/>
  <c r="I64" i="126"/>
  <c r="H64" i="126"/>
  <c r="G64" i="126"/>
  <c r="F64" i="126"/>
  <c r="E64" i="126"/>
  <c r="D64" i="126"/>
  <c r="C64" i="126"/>
  <c r="B64" i="126"/>
  <c r="K63" i="126"/>
  <c r="J63" i="126"/>
  <c r="I63" i="126"/>
  <c r="H63" i="126"/>
  <c r="G63" i="126"/>
  <c r="F63" i="126"/>
  <c r="E63" i="126"/>
  <c r="D63" i="126"/>
  <c r="C63" i="126"/>
  <c r="B63" i="126"/>
  <c r="K62" i="126"/>
  <c r="J62" i="126"/>
  <c r="I62" i="126"/>
  <c r="H62" i="126"/>
  <c r="G62" i="126"/>
  <c r="F62" i="126"/>
  <c r="E62" i="126"/>
  <c r="D62" i="126"/>
  <c r="C62" i="126"/>
  <c r="B62" i="126"/>
  <c r="K61" i="126"/>
  <c r="J61" i="126"/>
  <c r="I61" i="126"/>
  <c r="H61" i="126"/>
  <c r="G61" i="126"/>
  <c r="F61" i="126"/>
  <c r="E61" i="126"/>
  <c r="D61" i="126"/>
  <c r="C61" i="126"/>
  <c r="B61" i="126"/>
  <c r="K60" i="126"/>
  <c r="J60" i="126"/>
  <c r="I60" i="126"/>
  <c r="H60" i="126"/>
  <c r="G60" i="126"/>
  <c r="F60" i="126"/>
  <c r="E60" i="126"/>
  <c r="D60" i="126"/>
  <c r="C60" i="126"/>
  <c r="B60" i="126"/>
  <c r="K59" i="126"/>
  <c r="J59" i="126"/>
  <c r="I59" i="126"/>
  <c r="H59" i="126"/>
  <c r="G59" i="126"/>
  <c r="F59" i="126"/>
  <c r="E59" i="126"/>
  <c r="D59" i="126"/>
  <c r="C59" i="126"/>
  <c r="B59" i="126"/>
  <c r="J57" i="126"/>
  <c r="I57" i="126"/>
  <c r="H57" i="126"/>
  <c r="G57" i="126"/>
  <c r="F57" i="126"/>
  <c r="E57" i="126"/>
  <c r="D57" i="126"/>
  <c r="C57" i="126"/>
  <c r="B57" i="126"/>
  <c r="F51" i="126"/>
  <c r="E51" i="126"/>
  <c r="D51" i="126"/>
  <c r="C51" i="126"/>
  <c r="A51" i="126"/>
  <c r="F50" i="126"/>
  <c r="E50" i="126"/>
  <c r="D50" i="126"/>
  <c r="C50" i="126"/>
  <c r="B50" i="126"/>
  <c r="F49" i="126"/>
  <c r="E49" i="126"/>
  <c r="D49" i="126"/>
  <c r="C49" i="126"/>
  <c r="B49" i="126"/>
  <c r="F48" i="126"/>
  <c r="E48" i="126"/>
  <c r="D48" i="126"/>
  <c r="C48" i="126"/>
  <c r="B48" i="126"/>
  <c r="F47" i="126"/>
  <c r="E47" i="126"/>
  <c r="D47" i="126"/>
  <c r="C47" i="126"/>
  <c r="B47" i="126"/>
  <c r="F46" i="126"/>
  <c r="E46" i="126"/>
  <c r="D46" i="126"/>
  <c r="C46" i="126"/>
  <c r="B46" i="126"/>
  <c r="F45" i="126"/>
  <c r="E45" i="126"/>
  <c r="D45" i="126"/>
  <c r="C45" i="126"/>
  <c r="B45" i="126"/>
  <c r="F44" i="126"/>
  <c r="E44" i="126"/>
  <c r="D44" i="126"/>
  <c r="C44" i="126"/>
  <c r="B44" i="126"/>
  <c r="F43" i="126"/>
  <c r="E43" i="126"/>
  <c r="D43" i="126"/>
  <c r="C43" i="126"/>
  <c r="B43" i="126"/>
  <c r="F42" i="126"/>
  <c r="E42" i="126"/>
  <c r="D42" i="126"/>
  <c r="C42" i="126"/>
  <c r="B42" i="126"/>
  <c r="F41" i="126"/>
  <c r="E41" i="126"/>
  <c r="D41" i="126"/>
  <c r="C41" i="126"/>
  <c r="B41" i="126"/>
  <c r="F40" i="126"/>
  <c r="E40" i="126"/>
  <c r="D40" i="126"/>
  <c r="C40" i="126"/>
  <c r="B40" i="126"/>
  <c r="F39" i="126"/>
  <c r="E39" i="126"/>
  <c r="D39" i="126"/>
  <c r="C39" i="126"/>
  <c r="C38" i="126"/>
  <c r="B38" i="126"/>
  <c r="F34" i="126"/>
  <c r="E34" i="126"/>
  <c r="D34" i="126"/>
  <c r="C34" i="126"/>
  <c r="A34" i="126"/>
  <c r="F33" i="126"/>
  <c r="E33" i="126"/>
  <c r="D33" i="126"/>
  <c r="C33" i="126"/>
  <c r="B33" i="126"/>
  <c r="F32" i="126"/>
  <c r="E32" i="126"/>
  <c r="D32" i="126"/>
  <c r="C32" i="126"/>
  <c r="B32" i="126"/>
  <c r="F31" i="126"/>
  <c r="E31" i="126"/>
  <c r="D31" i="126"/>
  <c r="C31" i="126"/>
  <c r="B31" i="126"/>
  <c r="F30" i="126"/>
  <c r="E30" i="126"/>
  <c r="D30" i="126"/>
  <c r="C30" i="126"/>
  <c r="B30" i="126"/>
  <c r="F29" i="126"/>
  <c r="E29" i="126"/>
  <c r="D29" i="126"/>
  <c r="C29" i="126"/>
  <c r="B29" i="126"/>
  <c r="F28" i="126"/>
  <c r="E28" i="126"/>
  <c r="D28" i="126"/>
  <c r="C28" i="126"/>
  <c r="B28" i="126"/>
  <c r="F27" i="126"/>
  <c r="E27" i="126"/>
  <c r="D27" i="126"/>
  <c r="C27" i="126"/>
  <c r="B27" i="126"/>
  <c r="F26" i="126"/>
  <c r="E26" i="126"/>
  <c r="D26" i="126"/>
  <c r="C26" i="126"/>
  <c r="B26" i="126"/>
  <c r="F25" i="126"/>
  <c r="E25" i="126"/>
  <c r="D25" i="126"/>
  <c r="C25" i="126"/>
  <c r="B25" i="126"/>
  <c r="F24" i="126"/>
  <c r="E24" i="126"/>
  <c r="D24" i="126"/>
  <c r="C24" i="126"/>
  <c r="B24" i="126"/>
  <c r="F23" i="126"/>
  <c r="E23" i="126"/>
  <c r="D23" i="126"/>
  <c r="C23" i="126"/>
  <c r="B23" i="126"/>
  <c r="F22" i="126"/>
  <c r="E22" i="126"/>
  <c r="D22" i="126"/>
  <c r="C22" i="126"/>
  <c r="B21" i="126"/>
  <c r="A10" i="126"/>
  <c r="A1" i="126"/>
  <c r="N67" i="88"/>
  <c r="M67" i="88"/>
  <c r="L67" i="88"/>
  <c r="K67" i="88"/>
  <c r="J67" i="88"/>
  <c r="I67" i="88"/>
  <c r="H67" i="88"/>
  <c r="G67" i="88"/>
  <c r="F67" i="88"/>
  <c r="E67" i="88"/>
  <c r="D67" i="88"/>
  <c r="C67" i="88"/>
  <c r="C61" i="88"/>
  <c r="A61" i="88"/>
  <c r="C60" i="88"/>
  <c r="N58" i="88"/>
  <c r="M58" i="88"/>
  <c r="L58" i="88"/>
  <c r="K58" i="88"/>
  <c r="J58" i="88"/>
  <c r="I58" i="88"/>
  <c r="H58" i="88"/>
  <c r="G58" i="88"/>
  <c r="F58" i="88"/>
  <c r="E58" i="88"/>
  <c r="D58" i="88"/>
  <c r="C58" i="88"/>
  <c r="B58" i="88"/>
  <c r="N57" i="88"/>
  <c r="M57" i="88"/>
  <c r="L57" i="88"/>
  <c r="K57" i="88"/>
  <c r="J57" i="88"/>
  <c r="I57" i="88"/>
  <c r="H57" i="88"/>
  <c r="G57" i="88"/>
  <c r="F57" i="88"/>
  <c r="E57" i="88"/>
  <c r="D57" i="88"/>
  <c r="C57" i="88"/>
  <c r="B57" i="88"/>
  <c r="N56" i="88"/>
  <c r="M56" i="88"/>
  <c r="L56" i="88"/>
  <c r="K56" i="88"/>
  <c r="J56" i="88"/>
  <c r="I56" i="88"/>
  <c r="H56" i="88"/>
  <c r="G56" i="88"/>
  <c r="F56" i="88"/>
  <c r="E56" i="88"/>
  <c r="D56" i="88"/>
  <c r="C56" i="88"/>
  <c r="B56" i="88"/>
  <c r="N55" i="88"/>
  <c r="M55" i="88"/>
  <c r="L55" i="88"/>
  <c r="K55" i="88"/>
  <c r="J55" i="88"/>
  <c r="I55" i="88"/>
  <c r="H55" i="88"/>
  <c r="G55" i="88"/>
  <c r="F55" i="88"/>
  <c r="E55" i="88"/>
  <c r="D55" i="88"/>
  <c r="C55" i="88"/>
  <c r="B55" i="88"/>
  <c r="N54" i="88"/>
  <c r="M54" i="88"/>
  <c r="L54" i="88"/>
  <c r="K54" i="88"/>
  <c r="J54" i="88"/>
  <c r="I54" i="88"/>
  <c r="H54" i="88"/>
  <c r="G54" i="88"/>
  <c r="F54" i="88"/>
  <c r="E54" i="88"/>
  <c r="D54" i="88"/>
  <c r="C54" i="88"/>
  <c r="B54" i="88"/>
  <c r="N53" i="88"/>
  <c r="M53" i="88"/>
  <c r="L53" i="88"/>
  <c r="K53" i="88"/>
  <c r="J53" i="88"/>
  <c r="I53" i="88"/>
  <c r="H53" i="88"/>
  <c r="G53" i="88"/>
  <c r="F53" i="88"/>
  <c r="E53" i="88"/>
  <c r="D53" i="88"/>
  <c r="C53" i="88"/>
  <c r="B53" i="88"/>
  <c r="N52" i="88"/>
  <c r="M52" i="88"/>
  <c r="L52" i="88"/>
  <c r="K52" i="88"/>
  <c r="J52" i="88"/>
  <c r="I52" i="88"/>
  <c r="H52" i="88"/>
  <c r="G52" i="88"/>
  <c r="F52" i="88"/>
  <c r="E52" i="88"/>
  <c r="D52" i="88"/>
  <c r="C52" i="88"/>
  <c r="B52" i="88"/>
  <c r="N51" i="88"/>
  <c r="M51" i="88"/>
  <c r="L51" i="88"/>
  <c r="K51" i="88"/>
  <c r="J51" i="88"/>
  <c r="I51" i="88"/>
  <c r="H51" i="88"/>
  <c r="G51" i="88"/>
  <c r="F51" i="88"/>
  <c r="E51" i="88"/>
  <c r="D51" i="88"/>
  <c r="C51" i="88"/>
  <c r="B51" i="88"/>
  <c r="N50" i="88"/>
  <c r="M50" i="88"/>
  <c r="L50" i="88"/>
  <c r="K50" i="88"/>
  <c r="J50" i="88"/>
  <c r="I50" i="88"/>
  <c r="H50" i="88"/>
  <c r="G50" i="88"/>
  <c r="F50" i="88"/>
  <c r="E50" i="88"/>
  <c r="D50" i="88"/>
  <c r="C50" i="88"/>
  <c r="B50" i="88"/>
  <c r="N49" i="88"/>
  <c r="M49" i="88"/>
  <c r="L49" i="88"/>
  <c r="K49" i="88"/>
  <c r="J49" i="88"/>
  <c r="I49" i="88"/>
  <c r="H49" i="88"/>
  <c r="G49" i="88"/>
  <c r="F49" i="88"/>
  <c r="E49" i="88"/>
  <c r="D49" i="88"/>
  <c r="C49" i="88"/>
  <c r="B49" i="88"/>
  <c r="N48" i="88"/>
  <c r="M48" i="88"/>
  <c r="L48" i="88"/>
  <c r="K48" i="88"/>
  <c r="J48" i="88"/>
  <c r="I48" i="88"/>
  <c r="H48" i="88"/>
  <c r="G48" i="88"/>
  <c r="F48" i="88"/>
  <c r="E48" i="88"/>
  <c r="D48" i="88"/>
  <c r="C48" i="88"/>
  <c r="B48" i="88"/>
  <c r="N47" i="88"/>
  <c r="M47" i="88"/>
  <c r="L47" i="88"/>
  <c r="K47" i="88"/>
  <c r="J47" i="88"/>
  <c r="I47" i="88"/>
  <c r="H47" i="88"/>
  <c r="G47" i="88"/>
  <c r="F47" i="88"/>
  <c r="E47" i="88"/>
  <c r="D47" i="88"/>
  <c r="C47" i="88"/>
  <c r="B47" i="88"/>
  <c r="N46" i="88"/>
  <c r="M46" i="88"/>
  <c r="L46" i="88"/>
  <c r="K46" i="88"/>
  <c r="J46" i="88"/>
  <c r="I46" i="88"/>
  <c r="H46" i="88"/>
  <c r="G46" i="88"/>
  <c r="F46" i="88"/>
  <c r="E46" i="88"/>
  <c r="D46" i="88"/>
  <c r="C46" i="88"/>
  <c r="B46" i="88"/>
  <c r="N45" i="88"/>
  <c r="M45" i="88"/>
  <c r="L45" i="88"/>
  <c r="K45" i="88"/>
  <c r="J45" i="88"/>
  <c r="I45" i="88"/>
  <c r="H45" i="88"/>
  <c r="G45" i="88"/>
  <c r="F45" i="88"/>
  <c r="E45" i="88"/>
  <c r="D45" i="88"/>
  <c r="C45" i="88"/>
  <c r="B45" i="88"/>
  <c r="N44" i="88"/>
  <c r="M44" i="88"/>
  <c r="L44" i="88"/>
  <c r="K44" i="88"/>
  <c r="J44" i="88"/>
  <c r="I44" i="88"/>
  <c r="H44" i="88"/>
  <c r="G44" i="88"/>
  <c r="F44" i="88"/>
  <c r="E44" i="88"/>
  <c r="D44" i="88"/>
  <c r="C44" i="88"/>
  <c r="B44" i="88"/>
  <c r="N43" i="88"/>
  <c r="M43" i="88"/>
  <c r="L43" i="88"/>
  <c r="K43" i="88"/>
  <c r="J43" i="88"/>
  <c r="I43" i="88"/>
  <c r="H43" i="88"/>
  <c r="G43" i="88"/>
  <c r="F43" i="88"/>
  <c r="E43" i="88"/>
  <c r="D43" i="88"/>
  <c r="C43" i="88"/>
  <c r="B43" i="88"/>
  <c r="N42" i="88"/>
  <c r="M42" i="88"/>
  <c r="L42" i="88"/>
  <c r="K42" i="88"/>
  <c r="J42" i="88"/>
  <c r="I42" i="88"/>
  <c r="H42" i="88"/>
  <c r="G42" i="88"/>
  <c r="F42" i="88"/>
  <c r="E42" i="88"/>
  <c r="D42" i="88"/>
  <c r="C42" i="88"/>
  <c r="B42" i="88"/>
  <c r="N41" i="88"/>
  <c r="M41" i="88"/>
  <c r="L41" i="88"/>
  <c r="K41" i="88"/>
  <c r="J41" i="88"/>
  <c r="I41" i="88"/>
  <c r="H41" i="88"/>
  <c r="G41" i="88"/>
  <c r="F41" i="88"/>
  <c r="E41" i="88"/>
  <c r="D41" i="88"/>
  <c r="C41" i="88"/>
  <c r="B41" i="88"/>
  <c r="N40" i="88"/>
  <c r="M40" i="88"/>
  <c r="L40" i="88"/>
  <c r="K40" i="88"/>
  <c r="J40" i="88"/>
  <c r="I40" i="88"/>
  <c r="H40" i="88"/>
  <c r="G40" i="88"/>
  <c r="F40" i="88"/>
  <c r="E40" i="88"/>
  <c r="D40" i="88"/>
  <c r="C40" i="88"/>
  <c r="B40" i="88"/>
  <c r="N39" i="88"/>
  <c r="M39" i="88"/>
  <c r="L39" i="88"/>
  <c r="K39" i="88"/>
  <c r="J39" i="88"/>
  <c r="I39" i="88"/>
  <c r="H39" i="88"/>
  <c r="G39" i="88"/>
  <c r="F39" i="88"/>
  <c r="E39" i="88"/>
  <c r="D39" i="88"/>
  <c r="C39" i="88"/>
  <c r="B39" i="88"/>
  <c r="N38" i="88"/>
  <c r="M38" i="88"/>
  <c r="L38" i="88"/>
  <c r="K38" i="88"/>
  <c r="J38" i="88"/>
  <c r="I38" i="88"/>
  <c r="H38" i="88"/>
  <c r="G38" i="88"/>
  <c r="F38" i="88"/>
  <c r="E38" i="88"/>
  <c r="D38" i="88"/>
  <c r="C38" i="88"/>
  <c r="B38" i="88"/>
  <c r="N34" i="88"/>
  <c r="M34" i="88"/>
  <c r="L34" i="88"/>
  <c r="K34" i="88"/>
  <c r="J34" i="88"/>
  <c r="I34" i="88"/>
  <c r="H34" i="88"/>
  <c r="G34" i="88"/>
  <c r="F34" i="88"/>
  <c r="E34" i="88"/>
  <c r="D34" i="88"/>
  <c r="C34" i="88"/>
  <c r="B34" i="88"/>
  <c r="N33" i="88"/>
  <c r="M33" i="88"/>
  <c r="L33" i="88"/>
  <c r="K33" i="88"/>
  <c r="J33" i="88"/>
  <c r="I33" i="88"/>
  <c r="H33" i="88"/>
  <c r="G33" i="88"/>
  <c r="F33" i="88"/>
  <c r="E33" i="88"/>
  <c r="D33" i="88"/>
  <c r="C33" i="88"/>
  <c r="B33" i="88"/>
  <c r="N32" i="88"/>
  <c r="M32" i="88"/>
  <c r="L32" i="88"/>
  <c r="K32" i="88"/>
  <c r="J32" i="88"/>
  <c r="I32" i="88"/>
  <c r="H32" i="88"/>
  <c r="G32" i="88"/>
  <c r="F32" i="88"/>
  <c r="E32" i="88"/>
  <c r="D32" i="88"/>
  <c r="C32" i="88"/>
  <c r="B32" i="88"/>
  <c r="N31" i="88"/>
  <c r="M31" i="88"/>
  <c r="L31" i="88"/>
  <c r="K31" i="88"/>
  <c r="J31" i="88"/>
  <c r="I31" i="88"/>
  <c r="H31" i="88"/>
  <c r="G31" i="88"/>
  <c r="F31" i="88"/>
  <c r="E31" i="88"/>
  <c r="D31" i="88"/>
  <c r="C31" i="88"/>
  <c r="B31" i="88"/>
  <c r="N30" i="88"/>
  <c r="M30" i="88"/>
  <c r="L30" i="88"/>
  <c r="K30" i="88"/>
  <c r="J30" i="88"/>
  <c r="I30" i="88"/>
  <c r="H30" i="88"/>
  <c r="G30" i="88"/>
  <c r="F30" i="88"/>
  <c r="E30" i="88"/>
  <c r="D30" i="88"/>
  <c r="C30" i="88"/>
  <c r="B30" i="88"/>
  <c r="N29" i="88"/>
  <c r="M29" i="88"/>
  <c r="L29" i="88"/>
  <c r="K29" i="88"/>
  <c r="J29" i="88"/>
  <c r="I29" i="88"/>
  <c r="H29" i="88"/>
  <c r="G29" i="88"/>
  <c r="F29" i="88"/>
  <c r="E29" i="88"/>
  <c r="D29" i="88"/>
  <c r="C29" i="88"/>
  <c r="B29" i="88"/>
  <c r="N28" i="88"/>
  <c r="M28" i="88"/>
  <c r="L28" i="88"/>
  <c r="K28" i="88"/>
  <c r="J28" i="88"/>
  <c r="I28" i="88"/>
  <c r="H28" i="88"/>
  <c r="G28" i="88"/>
  <c r="F28" i="88"/>
  <c r="E28" i="88"/>
  <c r="D28" i="88"/>
  <c r="C28" i="88"/>
  <c r="B28" i="88"/>
  <c r="N27" i="88"/>
  <c r="M27" i="88"/>
  <c r="L27" i="88"/>
  <c r="K27" i="88"/>
  <c r="J27" i="88"/>
  <c r="I27" i="88"/>
  <c r="H27" i="88"/>
  <c r="G27" i="88"/>
  <c r="F27" i="88"/>
  <c r="E27" i="88"/>
  <c r="D27" i="88"/>
  <c r="C27" i="88"/>
  <c r="B27" i="88"/>
  <c r="N26" i="88"/>
  <c r="M26" i="88"/>
  <c r="L26" i="88"/>
  <c r="K26" i="88"/>
  <c r="J26" i="88"/>
  <c r="I26" i="88"/>
  <c r="H26" i="88"/>
  <c r="G26" i="88"/>
  <c r="F26" i="88"/>
  <c r="E26" i="88"/>
  <c r="D26" i="88"/>
  <c r="C26" i="88"/>
  <c r="B26" i="88"/>
  <c r="N25" i="88"/>
  <c r="M25" i="88"/>
  <c r="L25" i="88"/>
  <c r="K25" i="88"/>
  <c r="J25" i="88"/>
  <c r="I25" i="88"/>
  <c r="H25" i="88"/>
  <c r="G25" i="88"/>
  <c r="F25" i="88"/>
  <c r="E25" i="88"/>
  <c r="D25" i="88"/>
  <c r="C25" i="88"/>
  <c r="B25" i="88"/>
  <c r="N24" i="88"/>
  <c r="M24" i="88"/>
  <c r="L24" i="88"/>
  <c r="K24" i="88"/>
  <c r="J24" i="88"/>
  <c r="I24" i="88"/>
  <c r="H24" i="88"/>
  <c r="G24" i="88"/>
  <c r="F24" i="88"/>
  <c r="E24" i="88"/>
  <c r="D24" i="88"/>
  <c r="C24" i="88"/>
  <c r="B24" i="88"/>
  <c r="N23" i="88"/>
  <c r="M23" i="88"/>
  <c r="L23" i="88"/>
  <c r="K23" i="88"/>
  <c r="J23" i="88"/>
  <c r="I23" i="88"/>
  <c r="H23" i="88"/>
  <c r="G23" i="88"/>
  <c r="F23" i="88"/>
  <c r="E23" i="88"/>
  <c r="D23" i="88"/>
  <c r="C23" i="88"/>
  <c r="B23" i="88"/>
  <c r="N22" i="88"/>
  <c r="M22" i="88"/>
  <c r="L22" i="88"/>
  <c r="K22" i="88"/>
  <c r="J22" i="88"/>
  <c r="I22" i="88"/>
  <c r="H22" i="88"/>
  <c r="G22" i="88"/>
  <c r="F22" i="88"/>
  <c r="E22" i="88"/>
  <c r="D22" i="88"/>
  <c r="C22" i="88"/>
  <c r="B22" i="88"/>
  <c r="N21" i="88"/>
  <c r="M21" i="88"/>
  <c r="L21" i="88"/>
  <c r="K21" i="88"/>
  <c r="J21" i="88"/>
  <c r="I21" i="88"/>
  <c r="H21" i="88"/>
  <c r="G21" i="88"/>
  <c r="F21" i="88"/>
  <c r="E21" i="88"/>
  <c r="D21" i="88"/>
  <c r="C21" i="88"/>
  <c r="B21" i="88"/>
  <c r="N20" i="88"/>
  <c r="M20" i="88"/>
  <c r="L20" i="88"/>
  <c r="K20" i="88"/>
  <c r="J20" i="88"/>
  <c r="I20" i="88"/>
  <c r="H20" i="88"/>
  <c r="G20" i="88"/>
  <c r="F20" i="88"/>
  <c r="E20" i="88"/>
  <c r="D20" i="88"/>
  <c r="C20" i="88"/>
  <c r="B20" i="88"/>
  <c r="N19" i="88"/>
  <c r="M19" i="88"/>
  <c r="L19" i="88"/>
  <c r="K19" i="88"/>
  <c r="J19" i="88"/>
  <c r="I19" i="88"/>
  <c r="H19" i="88"/>
  <c r="G19" i="88"/>
  <c r="F19" i="88"/>
  <c r="E19" i="88"/>
  <c r="D19" i="88"/>
  <c r="C19" i="88"/>
  <c r="B19" i="88"/>
  <c r="N18" i="88"/>
  <c r="M18" i="88"/>
  <c r="L18" i="88"/>
  <c r="K18" i="88"/>
  <c r="J18" i="88"/>
  <c r="I18" i="88"/>
  <c r="H18" i="88"/>
  <c r="G18" i="88"/>
  <c r="F18" i="88"/>
  <c r="E18" i="88"/>
  <c r="D18" i="88"/>
  <c r="C18" i="88"/>
  <c r="B18" i="88"/>
  <c r="N17" i="88"/>
  <c r="M17" i="88"/>
  <c r="L17" i="88"/>
  <c r="K17" i="88"/>
  <c r="J17" i="88"/>
  <c r="I17" i="88"/>
  <c r="H17" i="88"/>
  <c r="G17" i="88"/>
  <c r="F17" i="88"/>
  <c r="E17" i="88"/>
  <c r="D17" i="88"/>
  <c r="C17" i="88"/>
  <c r="B17" i="88"/>
  <c r="N16" i="88"/>
  <c r="M16" i="88"/>
  <c r="L16" i="88"/>
  <c r="K16" i="88"/>
  <c r="J16" i="88"/>
  <c r="I16" i="88"/>
  <c r="H16" i="88"/>
  <c r="G16" i="88"/>
  <c r="F16" i="88"/>
  <c r="E16" i="88"/>
  <c r="D16" i="88"/>
  <c r="C16" i="88"/>
  <c r="B16" i="88"/>
  <c r="N15" i="88"/>
  <c r="M15" i="88"/>
  <c r="L15" i="88"/>
  <c r="K15" i="88"/>
  <c r="J15" i="88"/>
  <c r="I15" i="88"/>
  <c r="H15" i="88"/>
  <c r="G15" i="88"/>
  <c r="F15" i="88"/>
  <c r="E15" i="88"/>
  <c r="D15" i="88"/>
  <c r="C15" i="88"/>
  <c r="N14" i="88"/>
  <c r="M14" i="88"/>
  <c r="L14" i="88"/>
  <c r="K14" i="88"/>
  <c r="J14" i="88"/>
  <c r="I14" i="88"/>
  <c r="H14" i="88"/>
  <c r="G14" i="88"/>
  <c r="F14" i="88"/>
  <c r="E14" i="88"/>
  <c r="D14" i="88"/>
  <c r="C14" i="88"/>
  <c r="A10" i="88"/>
  <c r="A1" i="88"/>
  <c r="N643" i="92"/>
  <c r="M643" i="92"/>
  <c r="L643" i="92"/>
  <c r="K643" i="92"/>
  <c r="J643" i="92"/>
  <c r="I643" i="92"/>
  <c r="H643" i="92"/>
  <c r="G643" i="92"/>
  <c r="F643" i="92"/>
  <c r="E643" i="92"/>
  <c r="D643" i="92"/>
  <c r="C643" i="92"/>
  <c r="A643" i="92"/>
  <c r="N642" i="92"/>
  <c r="M642" i="92"/>
  <c r="L642" i="92"/>
  <c r="K642" i="92"/>
  <c r="J642" i="92"/>
  <c r="I642" i="92"/>
  <c r="H642" i="92"/>
  <c r="G642" i="92"/>
  <c r="F642" i="92"/>
  <c r="E642" i="92"/>
  <c r="D642" i="92"/>
  <c r="C642" i="92"/>
  <c r="N641" i="92"/>
  <c r="M641" i="92"/>
  <c r="L641" i="92"/>
  <c r="K641" i="92"/>
  <c r="J641" i="92"/>
  <c r="I641" i="92"/>
  <c r="H641" i="92"/>
  <c r="G641" i="92"/>
  <c r="F641" i="92"/>
  <c r="E641" i="92"/>
  <c r="D641" i="92"/>
  <c r="C641" i="92"/>
  <c r="B641" i="92"/>
  <c r="N640" i="92"/>
  <c r="M640" i="92"/>
  <c r="L640" i="92"/>
  <c r="K640" i="92"/>
  <c r="J640" i="92"/>
  <c r="I640" i="92"/>
  <c r="H640" i="92"/>
  <c r="G640" i="92"/>
  <c r="F640" i="92"/>
  <c r="E640" i="92"/>
  <c r="D640" i="92"/>
  <c r="C640" i="92"/>
  <c r="B640" i="92"/>
  <c r="N639" i="92"/>
  <c r="M639" i="92"/>
  <c r="L639" i="92"/>
  <c r="K639" i="92"/>
  <c r="J639" i="92"/>
  <c r="I639" i="92"/>
  <c r="H639" i="92"/>
  <c r="G639" i="92"/>
  <c r="F639" i="92"/>
  <c r="E639" i="92"/>
  <c r="D639" i="92"/>
  <c r="C639" i="92"/>
  <c r="B639" i="92"/>
  <c r="N638" i="92"/>
  <c r="M638" i="92"/>
  <c r="L638" i="92"/>
  <c r="K638" i="92"/>
  <c r="J638" i="92"/>
  <c r="I638" i="92"/>
  <c r="H638" i="92"/>
  <c r="G638" i="92"/>
  <c r="F638" i="92"/>
  <c r="E638" i="92"/>
  <c r="D638" i="92"/>
  <c r="C638" i="92"/>
  <c r="B638" i="92"/>
  <c r="N637" i="92"/>
  <c r="M637" i="92"/>
  <c r="L637" i="92"/>
  <c r="K637" i="92"/>
  <c r="J637" i="92"/>
  <c r="I637" i="92"/>
  <c r="H637" i="92"/>
  <c r="G637" i="92"/>
  <c r="F637" i="92"/>
  <c r="E637" i="92"/>
  <c r="D637" i="92"/>
  <c r="C637" i="92"/>
  <c r="B637" i="92"/>
  <c r="N636" i="92"/>
  <c r="M636" i="92"/>
  <c r="L636" i="92"/>
  <c r="K636" i="92"/>
  <c r="J636" i="92"/>
  <c r="I636" i="92"/>
  <c r="H636" i="92"/>
  <c r="G636" i="92"/>
  <c r="F636" i="92"/>
  <c r="E636" i="92"/>
  <c r="D636" i="92"/>
  <c r="C636" i="92"/>
  <c r="B636" i="92"/>
  <c r="N635" i="92"/>
  <c r="M635" i="92"/>
  <c r="L635" i="92"/>
  <c r="K635" i="92"/>
  <c r="J635" i="92"/>
  <c r="I635" i="92"/>
  <c r="H635" i="92"/>
  <c r="G635" i="92"/>
  <c r="F635" i="92"/>
  <c r="E635" i="92"/>
  <c r="D635" i="92"/>
  <c r="C635" i="92"/>
  <c r="B635" i="92"/>
  <c r="N634" i="92"/>
  <c r="M634" i="92"/>
  <c r="L634" i="92"/>
  <c r="K634" i="92"/>
  <c r="J634" i="92"/>
  <c r="I634" i="92"/>
  <c r="H634" i="92"/>
  <c r="G634" i="92"/>
  <c r="F634" i="92"/>
  <c r="E634" i="92"/>
  <c r="D634" i="92"/>
  <c r="C634" i="92"/>
  <c r="B634" i="92"/>
  <c r="N633" i="92"/>
  <c r="M633" i="92"/>
  <c r="L633" i="92"/>
  <c r="K633" i="92"/>
  <c r="J633" i="92"/>
  <c r="I633" i="92"/>
  <c r="H633" i="92"/>
  <c r="G633" i="92"/>
  <c r="F633" i="92"/>
  <c r="E633" i="92"/>
  <c r="D633" i="92"/>
  <c r="C633" i="92"/>
  <c r="B633" i="92"/>
  <c r="N632" i="92"/>
  <c r="M632" i="92"/>
  <c r="L632" i="92"/>
  <c r="K632" i="92"/>
  <c r="J632" i="92"/>
  <c r="I632" i="92"/>
  <c r="H632" i="92"/>
  <c r="G632" i="92"/>
  <c r="F632" i="92"/>
  <c r="E632" i="92"/>
  <c r="D632" i="92"/>
  <c r="C632" i="92"/>
  <c r="B632" i="92"/>
  <c r="N631" i="92"/>
  <c r="M631" i="92"/>
  <c r="L631" i="92"/>
  <c r="K631" i="92"/>
  <c r="J631" i="92"/>
  <c r="I631" i="92"/>
  <c r="H631" i="92"/>
  <c r="G631" i="92"/>
  <c r="F631" i="92"/>
  <c r="E631" i="92"/>
  <c r="D631" i="92"/>
  <c r="C631" i="92"/>
  <c r="B631" i="92"/>
  <c r="N630" i="92"/>
  <c r="M630" i="92"/>
  <c r="L630" i="92"/>
  <c r="K630" i="92"/>
  <c r="J630" i="92"/>
  <c r="I630" i="92"/>
  <c r="H630" i="92"/>
  <c r="G630" i="92"/>
  <c r="F630" i="92"/>
  <c r="E630" i="92"/>
  <c r="D630" i="92"/>
  <c r="C630" i="92"/>
  <c r="B630" i="92"/>
  <c r="N629" i="92"/>
  <c r="M629" i="92"/>
  <c r="L629" i="92"/>
  <c r="K629" i="92"/>
  <c r="J629" i="92"/>
  <c r="I629" i="92"/>
  <c r="H629" i="92"/>
  <c r="G629" i="92"/>
  <c r="F629" i="92"/>
  <c r="E629" i="92"/>
  <c r="D629" i="92"/>
  <c r="C629" i="92"/>
  <c r="B629" i="92"/>
  <c r="N628" i="92"/>
  <c r="M628" i="92"/>
  <c r="L628" i="92"/>
  <c r="K628" i="92"/>
  <c r="J628" i="92"/>
  <c r="I628" i="92"/>
  <c r="H628" i="92"/>
  <c r="G628" i="92"/>
  <c r="F628" i="92"/>
  <c r="E628" i="92"/>
  <c r="D628" i="92"/>
  <c r="C628" i="92"/>
  <c r="B628" i="92"/>
  <c r="N627" i="92"/>
  <c r="M627" i="92"/>
  <c r="L627" i="92"/>
  <c r="K627" i="92"/>
  <c r="J627" i="92"/>
  <c r="I627" i="92"/>
  <c r="H627" i="92"/>
  <c r="G627" i="92"/>
  <c r="F627" i="92"/>
  <c r="E627" i="92"/>
  <c r="D627" i="92"/>
  <c r="C627" i="92"/>
  <c r="B627" i="92"/>
  <c r="N626" i="92"/>
  <c r="M626" i="92"/>
  <c r="L626" i="92"/>
  <c r="K626" i="92"/>
  <c r="J626" i="92"/>
  <c r="I626" i="92"/>
  <c r="H626" i="92"/>
  <c r="G626" i="92"/>
  <c r="F626" i="92"/>
  <c r="E626" i="92"/>
  <c r="D626" i="92"/>
  <c r="C626" i="92"/>
  <c r="B626" i="92"/>
  <c r="N625" i="92"/>
  <c r="M625" i="92"/>
  <c r="L625" i="92"/>
  <c r="K625" i="92"/>
  <c r="J625" i="92"/>
  <c r="I625" i="92"/>
  <c r="H625" i="92"/>
  <c r="G625" i="92"/>
  <c r="F625" i="92"/>
  <c r="E625" i="92"/>
  <c r="D625" i="92"/>
  <c r="C625" i="92"/>
  <c r="B625" i="92"/>
  <c r="N624" i="92"/>
  <c r="M624" i="92"/>
  <c r="L624" i="92"/>
  <c r="K624" i="92"/>
  <c r="J624" i="92"/>
  <c r="I624" i="92"/>
  <c r="H624" i="92"/>
  <c r="G624" i="92"/>
  <c r="F624" i="92"/>
  <c r="E624" i="92"/>
  <c r="D624" i="92"/>
  <c r="C624" i="92"/>
  <c r="B624" i="92"/>
  <c r="N623" i="92"/>
  <c r="M623" i="92"/>
  <c r="L623" i="92"/>
  <c r="K623" i="92"/>
  <c r="J623" i="92"/>
  <c r="I623" i="92"/>
  <c r="H623" i="92"/>
  <c r="G623" i="92"/>
  <c r="F623" i="92"/>
  <c r="E623" i="92"/>
  <c r="D623" i="92"/>
  <c r="C623" i="92"/>
  <c r="B623" i="92"/>
  <c r="N622" i="92"/>
  <c r="M622" i="92"/>
  <c r="L622" i="92"/>
  <c r="K622" i="92"/>
  <c r="J622" i="92"/>
  <c r="I622" i="92"/>
  <c r="H622" i="92"/>
  <c r="G622" i="92"/>
  <c r="F622" i="92"/>
  <c r="E622" i="92"/>
  <c r="D622" i="92"/>
  <c r="C622" i="92"/>
  <c r="B622" i="92"/>
  <c r="C618" i="92"/>
  <c r="B618" i="92"/>
  <c r="C617" i="92"/>
  <c r="B617" i="92"/>
  <c r="C616" i="92"/>
  <c r="B616" i="92"/>
  <c r="C615" i="92"/>
  <c r="B615" i="92"/>
  <c r="C614" i="92"/>
  <c r="B614" i="92"/>
  <c r="C613" i="92"/>
  <c r="B613" i="92"/>
  <c r="C612" i="92"/>
  <c r="B612" i="92"/>
  <c r="C611" i="92"/>
  <c r="B611" i="92"/>
  <c r="C610" i="92"/>
  <c r="B610" i="92"/>
  <c r="C609" i="92"/>
  <c r="B609" i="92"/>
  <c r="C608" i="92"/>
  <c r="B608" i="92"/>
  <c r="C607" i="92"/>
  <c r="B607" i="92"/>
  <c r="C606" i="92"/>
  <c r="B606" i="92"/>
  <c r="C605" i="92"/>
  <c r="B605" i="92"/>
  <c r="C604" i="92"/>
  <c r="B604" i="92"/>
  <c r="C603" i="92"/>
  <c r="B603" i="92"/>
  <c r="C602" i="92"/>
  <c r="B602" i="92"/>
  <c r="C601" i="92"/>
  <c r="B601" i="92"/>
  <c r="C600" i="92"/>
  <c r="B600" i="92"/>
  <c r="C599" i="92"/>
  <c r="B599" i="92"/>
  <c r="N593" i="92"/>
  <c r="M593" i="92"/>
  <c r="L593" i="92"/>
  <c r="K593" i="92"/>
  <c r="J593" i="92"/>
  <c r="I593" i="92"/>
  <c r="H593" i="92"/>
  <c r="G593" i="92"/>
  <c r="F593" i="92"/>
  <c r="E593" i="92"/>
  <c r="D593" i="92"/>
  <c r="C593" i="92"/>
  <c r="A593" i="92"/>
  <c r="N592" i="92"/>
  <c r="M592" i="92"/>
  <c r="L592" i="92"/>
  <c r="K592" i="92"/>
  <c r="J592" i="92"/>
  <c r="I592" i="92"/>
  <c r="H592" i="92"/>
  <c r="G592" i="92"/>
  <c r="F592" i="92"/>
  <c r="E592" i="92"/>
  <c r="D592" i="92"/>
  <c r="C592" i="92"/>
  <c r="B592" i="92"/>
  <c r="N591" i="92"/>
  <c r="M591" i="92"/>
  <c r="L591" i="92"/>
  <c r="K591" i="92"/>
  <c r="J591" i="92"/>
  <c r="I591" i="92"/>
  <c r="H591" i="92"/>
  <c r="G591" i="92"/>
  <c r="F591" i="92"/>
  <c r="E591" i="92"/>
  <c r="D591" i="92"/>
  <c r="C591" i="92"/>
  <c r="B591" i="92"/>
  <c r="N590" i="92"/>
  <c r="M590" i="92"/>
  <c r="L590" i="92"/>
  <c r="K590" i="92"/>
  <c r="J590" i="92"/>
  <c r="I590" i="92"/>
  <c r="H590" i="92"/>
  <c r="G590" i="92"/>
  <c r="F590" i="92"/>
  <c r="E590" i="92"/>
  <c r="D590" i="92"/>
  <c r="C590" i="92"/>
  <c r="B590" i="92"/>
  <c r="N589" i="92"/>
  <c r="M589" i="92"/>
  <c r="L589" i="92"/>
  <c r="K589" i="92"/>
  <c r="J589" i="92"/>
  <c r="I589" i="92"/>
  <c r="H589" i="92"/>
  <c r="G589" i="92"/>
  <c r="F589" i="92"/>
  <c r="E589" i="92"/>
  <c r="D589" i="92"/>
  <c r="C589" i="92"/>
  <c r="B589" i="92"/>
  <c r="N588" i="92"/>
  <c r="M588" i="92"/>
  <c r="L588" i="92"/>
  <c r="K588" i="92"/>
  <c r="J588" i="92"/>
  <c r="I588" i="92"/>
  <c r="H588" i="92"/>
  <c r="G588" i="92"/>
  <c r="F588" i="92"/>
  <c r="E588" i="92"/>
  <c r="D588" i="92"/>
  <c r="C588" i="92"/>
  <c r="B588" i="92"/>
  <c r="N587" i="92"/>
  <c r="M587" i="92"/>
  <c r="L587" i="92"/>
  <c r="K587" i="92"/>
  <c r="J587" i="92"/>
  <c r="I587" i="92"/>
  <c r="H587" i="92"/>
  <c r="G587" i="92"/>
  <c r="F587" i="92"/>
  <c r="E587" i="92"/>
  <c r="D587" i="92"/>
  <c r="C587" i="92"/>
  <c r="B587" i="92"/>
  <c r="N586" i="92"/>
  <c r="M586" i="92"/>
  <c r="L586" i="92"/>
  <c r="K586" i="92"/>
  <c r="J586" i="92"/>
  <c r="I586" i="92"/>
  <c r="H586" i="92"/>
  <c r="G586" i="92"/>
  <c r="F586" i="92"/>
  <c r="E586" i="92"/>
  <c r="D586" i="92"/>
  <c r="C586" i="92"/>
  <c r="B586" i="92"/>
  <c r="N585" i="92"/>
  <c r="M585" i="92"/>
  <c r="L585" i="92"/>
  <c r="K585" i="92"/>
  <c r="J585" i="92"/>
  <c r="I585" i="92"/>
  <c r="H585" i="92"/>
  <c r="G585" i="92"/>
  <c r="F585" i="92"/>
  <c r="E585" i="92"/>
  <c r="D585" i="92"/>
  <c r="C585" i="92"/>
  <c r="B585" i="92"/>
  <c r="N584" i="92"/>
  <c r="M584" i="92"/>
  <c r="L584" i="92"/>
  <c r="K584" i="92"/>
  <c r="J584" i="92"/>
  <c r="I584" i="92"/>
  <c r="H584" i="92"/>
  <c r="G584" i="92"/>
  <c r="F584" i="92"/>
  <c r="E584" i="92"/>
  <c r="D584" i="92"/>
  <c r="C584" i="92"/>
  <c r="B584" i="92"/>
  <c r="N583" i="92"/>
  <c r="M583" i="92"/>
  <c r="L583" i="92"/>
  <c r="K583" i="92"/>
  <c r="J583" i="92"/>
  <c r="I583" i="92"/>
  <c r="H583" i="92"/>
  <c r="G583" i="92"/>
  <c r="F583" i="92"/>
  <c r="E583" i="92"/>
  <c r="D583" i="92"/>
  <c r="C583" i="92"/>
  <c r="B583" i="92"/>
  <c r="N582" i="92"/>
  <c r="M582" i="92"/>
  <c r="L582" i="92"/>
  <c r="K582" i="92"/>
  <c r="J582" i="92"/>
  <c r="I582" i="92"/>
  <c r="H582" i="92"/>
  <c r="G582" i="92"/>
  <c r="F582" i="92"/>
  <c r="E582" i="92"/>
  <c r="D582" i="92"/>
  <c r="C582" i="92"/>
  <c r="B582" i="92"/>
  <c r="N581" i="92"/>
  <c r="M581" i="92"/>
  <c r="L581" i="92"/>
  <c r="K581" i="92"/>
  <c r="J581" i="92"/>
  <c r="I581" i="92"/>
  <c r="H581" i="92"/>
  <c r="G581" i="92"/>
  <c r="F581" i="92"/>
  <c r="E581" i="92"/>
  <c r="D581" i="92"/>
  <c r="C581" i="92"/>
  <c r="B581" i="92"/>
  <c r="N580" i="92"/>
  <c r="M580" i="92"/>
  <c r="L580" i="92"/>
  <c r="K580" i="92"/>
  <c r="J580" i="92"/>
  <c r="I580" i="92"/>
  <c r="H580" i="92"/>
  <c r="G580" i="92"/>
  <c r="F580" i="92"/>
  <c r="E580" i="92"/>
  <c r="D580" i="92"/>
  <c r="C580" i="92"/>
  <c r="B580" i="92"/>
  <c r="N579" i="92"/>
  <c r="M579" i="92"/>
  <c r="L579" i="92"/>
  <c r="K579" i="92"/>
  <c r="J579" i="92"/>
  <c r="I579" i="92"/>
  <c r="H579" i="92"/>
  <c r="G579" i="92"/>
  <c r="F579" i="92"/>
  <c r="E579" i="92"/>
  <c r="D579" i="92"/>
  <c r="C579" i="92"/>
  <c r="B579" i="92"/>
  <c r="N578" i="92"/>
  <c r="M578" i="92"/>
  <c r="L578" i="92"/>
  <c r="K578" i="92"/>
  <c r="J578" i="92"/>
  <c r="I578" i="92"/>
  <c r="H578" i="92"/>
  <c r="G578" i="92"/>
  <c r="F578" i="92"/>
  <c r="E578" i="92"/>
  <c r="D578" i="92"/>
  <c r="C578" i="92"/>
  <c r="B578" i="92"/>
  <c r="N577" i="92"/>
  <c r="M577" i="92"/>
  <c r="L577" i="92"/>
  <c r="K577" i="92"/>
  <c r="J577" i="92"/>
  <c r="I577" i="92"/>
  <c r="H577" i="92"/>
  <c r="G577" i="92"/>
  <c r="F577" i="92"/>
  <c r="E577" i="92"/>
  <c r="D577" i="92"/>
  <c r="C577" i="92"/>
  <c r="B577" i="92"/>
  <c r="N576" i="92"/>
  <c r="M576" i="92"/>
  <c r="L576" i="92"/>
  <c r="K576" i="92"/>
  <c r="J576" i="92"/>
  <c r="I576" i="92"/>
  <c r="H576" i="92"/>
  <c r="G576" i="92"/>
  <c r="F576" i="92"/>
  <c r="E576" i="92"/>
  <c r="D576" i="92"/>
  <c r="C576" i="92"/>
  <c r="B576" i="92"/>
  <c r="N575" i="92"/>
  <c r="M575" i="92"/>
  <c r="L575" i="92"/>
  <c r="K575" i="92"/>
  <c r="J575" i="92"/>
  <c r="I575" i="92"/>
  <c r="H575" i="92"/>
  <c r="G575" i="92"/>
  <c r="F575" i="92"/>
  <c r="E575" i="92"/>
  <c r="D575" i="92"/>
  <c r="C575" i="92"/>
  <c r="B575" i="92"/>
  <c r="N574" i="92"/>
  <c r="M574" i="92"/>
  <c r="L574" i="92"/>
  <c r="K574" i="92"/>
  <c r="J574" i="92"/>
  <c r="I574" i="92"/>
  <c r="H574" i="92"/>
  <c r="G574" i="92"/>
  <c r="F574" i="92"/>
  <c r="E574" i="92"/>
  <c r="D574" i="92"/>
  <c r="C574" i="92"/>
  <c r="B574" i="92"/>
  <c r="N573" i="92"/>
  <c r="M573" i="92"/>
  <c r="L573" i="92"/>
  <c r="K573" i="92"/>
  <c r="J573" i="92"/>
  <c r="I573" i="92"/>
  <c r="H573" i="92"/>
  <c r="G573" i="92"/>
  <c r="F573" i="92"/>
  <c r="E573" i="92"/>
  <c r="D573" i="92"/>
  <c r="C573" i="92"/>
  <c r="B573" i="92"/>
  <c r="N572" i="92"/>
  <c r="M572" i="92"/>
  <c r="L572" i="92"/>
  <c r="K572" i="92"/>
  <c r="J572" i="92"/>
  <c r="I572" i="92"/>
  <c r="H572" i="92"/>
  <c r="G572" i="92"/>
  <c r="F572" i="92"/>
  <c r="E572" i="92"/>
  <c r="D572" i="92"/>
  <c r="C572" i="92"/>
  <c r="B572" i="92"/>
  <c r="C568" i="92"/>
  <c r="B568" i="92"/>
  <c r="C567" i="92"/>
  <c r="B567" i="92"/>
  <c r="C566" i="92"/>
  <c r="B566" i="92"/>
  <c r="C565" i="92"/>
  <c r="B565" i="92"/>
  <c r="C564" i="92"/>
  <c r="B564" i="92"/>
  <c r="C563" i="92"/>
  <c r="B563" i="92"/>
  <c r="C562" i="92"/>
  <c r="B562" i="92"/>
  <c r="C561" i="92"/>
  <c r="B561" i="92"/>
  <c r="C560" i="92"/>
  <c r="B560" i="92"/>
  <c r="C559" i="92"/>
  <c r="B559" i="92"/>
  <c r="C558" i="92"/>
  <c r="B558" i="92"/>
  <c r="C557" i="92"/>
  <c r="B557" i="92"/>
  <c r="C556" i="92"/>
  <c r="B556" i="92"/>
  <c r="C555" i="92"/>
  <c r="B555" i="92"/>
  <c r="C554" i="92"/>
  <c r="B554" i="92"/>
  <c r="C553" i="92"/>
  <c r="B553" i="92"/>
  <c r="C552" i="92"/>
  <c r="B552" i="92"/>
  <c r="C551" i="92"/>
  <c r="B551" i="92"/>
  <c r="C550" i="92"/>
  <c r="B550" i="92"/>
  <c r="B549" i="92"/>
  <c r="N543" i="92"/>
  <c r="M543" i="92"/>
  <c r="L543" i="92"/>
  <c r="K543" i="92"/>
  <c r="J543" i="92"/>
  <c r="I543" i="92"/>
  <c r="H543" i="92"/>
  <c r="G543" i="92"/>
  <c r="F543" i="92"/>
  <c r="E543" i="92"/>
  <c r="D543" i="92"/>
  <c r="C543" i="92"/>
  <c r="A543" i="92"/>
  <c r="N542" i="92"/>
  <c r="M542" i="92"/>
  <c r="L542" i="92"/>
  <c r="K542" i="92"/>
  <c r="J542" i="92"/>
  <c r="I542" i="92"/>
  <c r="H542" i="92"/>
  <c r="G542" i="92"/>
  <c r="F542" i="92"/>
  <c r="E542" i="92"/>
  <c r="D542" i="92"/>
  <c r="C542" i="92"/>
  <c r="B542" i="92"/>
  <c r="N541" i="92"/>
  <c r="M541" i="92"/>
  <c r="L541" i="92"/>
  <c r="K541" i="92"/>
  <c r="J541" i="92"/>
  <c r="I541" i="92"/>
  <c r="H541" i="92"/>
  <c r="G541" i="92"/>
  <c r="F541" i="92"/>
  <c r="E541" i="92"/>
  <c r="D541" i="92"/>
  <c r="C541" i="92"/>
  <c r="B541" i="92"/>
  <c r="N540" i="92"/>
  <c r="M540" i="92"/>
  <c r="L540" i="92"/>
  <c r="K540" i="92"/>
  <c r="J540" i="92"/>
  <c r="I540" i="92"/>
  <c r="H540" i="92"/>
  <c r="G540" i="92"/>
  <c r="F540" i="92"/>
  <c r="E540" i="92"/>
  <c r="D540" i="92"/>
  <c r="C540" i="92"/>
  <c r="B540" i="92"/>
  <c r="N539" i="92"/>
  <c r="M539" i="92"/>
  <c r="L539" i="92"/>
  <c r="K539" i="92"/>
  <c r="J539" i="92"/>
  <c r="I539" i="92"/>
  <c r="H539" i="92"/>
  <c r="G539" i="92"/>
  <c r="F539" i="92"/>
  <c r="E539" i="92"/>
  <c r="D539" i="92"/>
  <c r="C539" i="92"/>
  <c r="B539" i="92"/>
  <c r="N538" i="92"/>
  <c r="M538" i="92"/>
  <c r="L538" i="92"/>
  <c r="K538" i="92"/>
  <c r="J538" i="92"/>
  <c r="I538" i="92"/>
  <c r="H538" i="92"/>
  <c r="G538" i="92"/>
  <c r="F538" i="92"/>
  <c r="E538" i="92"/>
  <c r="D538" i="92"/>
  <c r="C538" i="92"/>
  <c r="B538" i="92"/>
  <c r="N537" i="92"/>
  <c r="M537" i="92"/>
  <c r="L537" i="92"/>
  <c r="K537" i="92"/>
  <c r="J537" i="92"/>
  <c r="I537" i="92"/>
  <c r="H537" i="92"/>
  <c r="G537" i="92"/>
  <c r="F537" i="92"/>
  <c r="E537" i="92"/>
  <c r="D537" i="92"/>
  <c r="C537" i="92"/>
  <c r="B537" i="92"/>
  <c r="N536" i="92"/>
  <c r="M536" i="92"/>
  <c r="L536" i="92"/>
  <c r="K536" i="92"/>
  <c r="J536" i="92"/>
  <c r="I536" i="92"/>
  <c r="H536" i="92"/>
  <c r="G536" i="92"/>
  <c r="F536" i="92"/>
  <c r="E536" i="92"/>
  <c r="D536" i="92"/>
  <c r="C536" i="92"/>
  <c r="B536" i="92"/>
  <c r="N535" i="92"/>
  <c r="M535" i="92"/>
  <c r="L535" i="92"/>
  <c r="K535" i="92"/>
  <c r="J535" i="92"/>
  <c r="I535" i="92"/>
  <c r="H535" i="92"/>
  <c r="G535" i="92"/>
  <c r="F535" i="92"/>
  <c r="E535" i="92"/>
  <c r="D535" i="92"/>
  <c r="C535" i="92"/>
  <c r="B535" i="92"/>
  <c r="N534" i="92"/>
  <c r="M534" i="92"/>
  <c r="L534" i="92"/>
  <c r="K534" i="92"/>
  <c r="J534" i="92"/>
  <c r="I534" i="92"/>
  <c r="H534" i="92"/>
  <c r="G534" i="92"/>
  <c r="F534" i="92"/>
  <c r="E534" i="92"/>
  <c r="D534" i="92"/>
  <c r="C534" i="92"/>
  <c r="B534" i="92"/>
  <c r="N533" i="92"/>
  <c r="M533" i="92"/>
  <c r="L533" i="92"/>
  <c r="K533" i="92"/>
  <c r="J533" i="92"/>
  <c r="I533" i="92"/>
  <c r="H533" i="92"/>
  <c r="G533" i="92"/>
  <c r="F533" i="92"/>
  <c r="E533" i="92"/>
  <c r="D533" i="92"/>
  <c r="C533" i="92"/>
  <c r="B533" i="92"/>
  <c r="N532" i="92"/>
  <c r="M532" i="92"/>
  <c r="L532" i="92"/>
  <c r="K532" i="92"/>
  <c r="J532" i="92"/>
  <c r="I532" i="92"/>
  <c r="H532" i="92"/>
  <c r="G532" i="92"/>
  <c r="F532" i="92"/>
  <c r="E532" i="92"/>
  <c r="D532" i="92"/>
  <c r="C532" i="92"/>
  <c r="B532" i="92"/>
  <c r="N531" i="92"/>
  <c r="M531" i="92"/>
  <c r="L531" i="92"/>
  <c r="K531" i="92"/>
  <c r="J531" i="92"/>
  <c r="I531" i="92"/>
  <c r="H531" i="92"/>
  <c r="G531" i="92"/>
  <c r="F531" i="92"/>
  <c r="E531" i="92"/>
  <c r="D531" i="92"/>
  <c r="C531" i="92"/>
  <c r="B531" i="92"/>
  <c r="N530" i="92"/>
  <c r="M530" i="92"/>
  <c r="L530" i="92"/>
  <c r="K530" i="92"/>
  <c r="J530" i="92"/>
  <c r="I530" i="92"/>
  <c r="H530" i="92"/>
  <c r="G530" i="92"/>
  <c r="F530" i="92"/>
  <c r="E530" i="92"/>
  <c r="D530" i="92"/>
  <c r="C530" i="92"/>
  <c r="B530" i="92"/>
  <c r="N529" i="92"/>
  <c r="M529" i="92"/>
  <c r="L529" i="92"/>
  <c r="K529" i="92"/>
  <c r="J529" i="92"/>
  <c r="I529" i="92"/>
  <c r="H529" i="92"/>
  <c r="G529" i="92"/>
  <c r="F529" i="92"/>
  <c r="E529" i="92"/>
  <c r="D529" i="92"/>
  <c r="C529" i="92"/>
  <c r="B529" i="92"/>
  <c r="N528" i="92"/>
  <c r="M528" i="92"/>
  <c r="L528" i="92"/>
  <c r="K528" i="92"/>
  <c r="J528" i="92"/>
  <c r="I528" i="92"/>
  <c r="H528" i="92"/>
  <c r="G528" i="92"/>
  <c r="F528" i="92"/>
  <c r="E528" i="92"/>
  <c r="D528" i="92"/>
  <c r="C528" i="92"/>
  <c r="B528" i="92"/>
  <c r="N527" i="92"/>
  <c r="M527" i="92"/>
  <c r="L527" i="92"/>
  <c r="K527" i="92"/>
  <c r="J527" i="92"/>
  <c r="I527" i="92"/>
  <c r="H527" i="92"/>
  <c r="G527" i="92"/>
  <c r="F527" i="92"/>
  <c r="E527" i="92"/>
  <c r="D527" i="92"/>
  <c r="C527" i="92"/>
  <c r="B527" i="92"/>
  <c r="N526" i="92"/>
  <c r="M526" i="92"/>
  <c r="L526" i="92"/>
  <c r="K526" i="92"/>
  <c r="J526" i="92"/>
  <c r="I526" i="92"/>
  <c r="H526" i="92"/>
  <c r="G526" i="92"/>
  <c r="F526" i="92"/>
  <c r="E526" i="92"/>
  <c r="D526" i="92"/>
  <c r="C526" i="92"/>
  <c r="B526" i="92"/>
  <c r="N525" i="92"/>
  <c r="M525" i="92"/>
  <c r="L525" i="92"/>
  <c r="K525" i="92"/>
  <c r="J525" i="92"/>
  <c r="I525" i="92"/>
  <c r="H525" i="92"/>
  <c r="G525" i="92"/>
  <c r="F525" i="92"/>
  <c r="E525" i="92"/>
  <c r="D525" i="92"/>
  <c r="C525" i="92"/>
  <c r="B525" i="92"/>
  <c r="N524" i="92"/>
  <c r="M524" i="92"/>
  <c r="L524" i="92"/>
  <c r="K524" i="92"/>
  <c r="J524" i="92"/>
  <c r="I524" i="92"/>
  <c r="H524" i="92"/>
  <c r="G524" i="92"/>
  <c r="F524" i="92"/>
  <c r="E524" i="92"/>
  <c r="D524" i="92"/>
  <c r="C524" i="92"/>
  <c r="B524" i="92"/>
  <c r="N523" i="92"/>
  <c r="M523" i="92"/>
  <c r="L523" i="92"/>
  <c r="K523" i="92"/>
  <c r="J523" i="92"/>
  <c r="I523" i="92"/>
  <c r="H523" i="92"/>
  <c r="G523" i="92"/>
  <c r="F523" i="92"/>
  <c r="E523" i="92"/>
  <c r="D523" i="92"/>
  <c r="C523" i="92"/>
  <c r="B523" i="92"/>
  <c r="N522" i="92"/>
  <c r="M522" i="92"/>
  <c r="L522" i="92"/>
  <c r="K522" i="92"/>
  <c r="J522" i="92"/>
  <c r="I522" i="92"/>
  <c r="H522" i="92"/>
  <c r="G522" i="92"/>
  <c r="F522" i="92"/>
  <c r="E522" i="92"/>
  <c r="D522" i="92"/>
  <c r="C522" i="92"/>
  <c r="B522" i="92"/>
  <c r="N519" i="92"/>
  <c r="M519" i="92"/>
  <c r="L519" i="92"/>
  <c r="K519" i="92"/>
  <c r="J519" i="92"/>
  <c r="I519" i="92"/>
  <c r="H519" i="92"/>
  <c r="G519" i="92"/>
  <c r="F519" i="92"/>
  <c r="E519" i="92"/>
  <c r="D519" i="92"/>
  <c r="C519" i="92"/>
  <c r="N518" i="92"/>
  <c r="M518" i="92"/>
  <c r="L518" i="92"/>
  <c r="K518" i="92"/>
  <c r="J518" i="92"/>
  <c r="I518" i="92"/>
  <c r="H518" i="92"/>
  <c r="G518" i="92"/>
  <c r="F518" i="92"/>
  <c r="E518" i="92"/>
  <c r="D518" i="92"/>
  <c r="C518" i="92"/>
  <c r="O510" i="92"/>
  <c r="N510" i="92"/>
  <c r="M510" i="92"/>
  <c r="L510" i="92"/>
  <c r="K510" i="92"/>
  <c r="J510" i="92"/>
  <c r="I510" i="92"/>
  <c r="H510" i="92"/>
  <c r="G510" i="92"/>
  <c r="F510" i="92"/>
  <c r="E510" i="92"/>
  <c r="D510" i="92"/>
  <c r="C510" i="92"/>
  <c r="A510" i="92"/>
  <c r="N509" i="92"/>
  <c r="M509" i="92"/>
  <c r="L509" i="92"/>
  <c r="K509" i="92"/>
  <c r="J509" i="92"/>
  <c r="I509" i="92"/>
  <c r="H509" i="92"/>
  <c r="G509" i="92"/>
  <c r="F509" i="92"/>
  <c r="E509" i="92"/>
  <c r="D509" i="92"/>
  <c r="C509" i="92"/>
  <c r="B509" i="92"/>
  <c r="N508" i="92"/>
  <c r="M508" i="92"/>
  <c r="L508" i="92"/>
  <c r="K508" i="92"/>
  <c r="J508" i="92"/>
  <c r="I508" i="92"/>
  <c r="H508" i="92"/>
  <c r="G508" i="92"/>
  <c r="F508" i="92"/>
  <c r="E508" i="92"/>
  <c r="D508" i="92"/>
  <c r="C508" i="92"/>
  <c r="B508" i="92"/>
  <c r="N507" i="92"/>
  <c r="M507" i="92"/>
  <c r="L507" i="92"/>
  <c r="K507" i="92"/>
  <c r="J507" i="92"/>
  <c r="I507" i="92"/>
  <c r="H507" i="92"/>
  <c r="G507" i="92"/>
  <c r="F507" i="92"/>
  <c r="E507" i="92"/>
  <c r="D507" i="92"/>
  <c r="C507" i="92"/>
  <c r="B507" i="92"/>
  <c r="N506" i="92"/>
  <c r="M506" i="92"/>
  <c r="L506" i="92"/>
  <c r="K506" i="92"/>
  <c r="J506" i="92"/>
  <c r="I506" i="92"/>
  <c r="H506" i="92"/>
  <c r="G506" i="92"/>
  <c r="F506" i="92"/>
  <c r="E506" i="92"/>
  <c r="D506" i="92"/>
  <c r="C506" i="92"/>
  <c r="B506" i="92"/>
  <c r="N505" i="92"/>
  <c r="M505" i="92"/>
  <c r="L505" i="92"/>
  <c r="K505" i="92"/>
  <c r="J505" i="92"/>
  <c r="I505" i="92"/>
  <c r="H505" i="92"/>
  <c r="G505" i="92"/>
  <c r="F505" i="92"/>
  <c r="E505" i="92"/>
  <c r="D505" i="92"/>
  <c r="C505" i="92"/>
  <c r="B505" i="92"/>
  <c r="N504" i="92"/>
  <c r="M504" i="92"/>
  <c r="L504" i="92"/>
  <c r="K504" i="92"/>
  <c r="J504" i="92"/>
  <c r="I504" i="92"/>
  <c r="H504" i="92"/>
  <c r="G504" i="92"/>
  <c r="F504" i="92"/>
  <c r="E504" i="92"/>
  <c r="D504" i="92"/>
  <c r="C504" i="92"/>
  <c r="B504" i="92"/>
  <c r="N503" i="92"/>
  <c r="M503" i="92"/>
  <c r="L503" i="92"/>
  <c r="K503" i="92"/>
  <c r="J503" i="92"/>
  <c r="I503" i="92"/>
  <c r="H503" i="92"/>
  <c r="G503" i="92"/>
  <c r="F503" i="92"/>
  <c r="E503" i="92"/>
  <c r="D503" i="92"/>
  <c r="C503" i="92"/>
  <c r="B503" i="92"/>
  <c r="N502" i="92"/>
  <c r="M502" i="92"/>
  <c r="L502" i="92"/>
  <c r="K502" i="92"/>
  <c r="J502" i="92"/>
  <c r="I502" i="92"/>
  <c r="H502" i="92"/>
  <c r="G502" i="92"/>
  <c r="F502" i="92"/>
  <c r="E502" i="92"/>
  <c r="D502" i="92"/>
  <c r="C502" i="92"/>
  <c r="B502" i="92"/>
  <c r="N501" i="92"/>
  <c r="M501" i="92"/>
  <c r="L501" i="92"/>
  <c r="K501" i="92"/>
  <c r="J501" i="92"/>
  <c r="I501" i="92"/>
  <c r="H501" i="92"/>
  <c r="G501" i="92"/>
  <c r="F501" i="92"/>
  <c r="E501" i="92"/>
  <c r="D501" i="92"/>
  <c r="C501" i="92"/>
  <c r="B501" i="92"/>
  <c r="N500" i="92"/>
  <c r="M500" i="92"/>
  <c r="L500" i="92"/>
  <c r="K500" i="92"/>
  <c r="J500" i="92"/>
  <c r="I500" i="92"/>
  <c r="H500" i="92"/>
  <c r="G500" i="92"/>
  <c r="F500" i="92"/>
  <c r="E500" i="92"/>
  <c r="D500" i="92"/>
  <c r="C500" i="92"/>
  <c r="B500" i="92"/>
  <c r="N499" i="92"/>
  <c r="M499" i="92"/>
  <c r="L499" i="92"/>
  <c r="K499" i="92"/>
  <c r="J499" i="92"/>
  <c r="I499" i="92"/>
  <c r="H499" i="92"/>
  <c r="G499" i="92"/>
  <c r="F499" i="92"/>
  <c r="E499" i="92"/>
  <c r="D499" i="92"/>
  <c r="C499" i="92"/>
  <c r="B499" i="92"/>
  <c r="N498" i="92"/>
  <c r="M498" i="92"/>
  <c r="L498" i="92"/>
  <c r="K498" i="92"/>
  <c r="J498" i="92"/>
  <c r="I498" i="92"/>
  <c r="H498" i="92"/>
  <c r="G498" i="92"/>
  <c r="F498" i="92"/>
  <c r="E498" i="92"/>
  <c r="D498" i="92"/>
  <c r="C498" i="92"/>
  <c r="B498" i="92"/>
  <c r="N497" i="92"/>
  <c r="M497" i="92"/>
  <c r="L497" i="92"/>
  <c r="K497" i="92"/>
  <c r="J497" i="92"/>
  <c r="I497" i="92"/>
  <c r="H497" i="92"/>
  <c r="G497" i="92"/>
  <c r="F497" i="92"/>
  <c r="E497" i="92"/>
  <c r="D497" i="92"/>
  <c r="C497" i="92"/>
  <c r="B497" i="92"/>
  <c r="N496" i="92"/>
  <c r="M496" i="92"/>
  <c r="L496" i="92"/>
  <c r="K496" i="92"/>
  <c r="J496" i="92"/>
  <c r="I496" i="92"/>
  <c r="H496" i="92"/>
  <c r="G496" i="92"/>
  <c r="F496" i="92"/>
  <c r="E496" i="92"/>
  <c r="D496" i="92"/>
  <c r="C496" i="92"/>
  <c r="B496" i="92"/>
  <c r="N495" i="92"/>
  <c r="M495" i="92"/>
  <c r="L495" i="92"/>
  <c r="K495" i="92"/>
  <c r="J495" i="92"/>
  <c r="I495" i="92"/>
  <c r="H495" i="92"/>
  <c r="G495" i="92"/>
  <c r="F495" i="92"/>
  <c r="E495" i="92"/>
  <c r="D495" i="92"/>
  <c r="C495" i="92"/>
  <c r="B495" i="92"/>
  <c r="N494" i="92"/>
  <c r="M494" i="92"/>
  <c r="L494" i="92"/>
  <c r="K494" i="92"/>
  <c r="J494" i="92"/>
  <c r="I494" i="92"/>
  <c r="H494" i="92"/>
  <c r="G494" i="92"/>
  <c r="F494" i="92"/>
  <c r="E494" i="92"/>
  <c r="D494" i="92"/>
  <c r="C494" i="92"/>
  <c r="B494" i="92"/>
  <c r="N493" i="92"/>
  <c r="M493" i="92"/>
  <c r="L493" i="92"/>
  <c r="K493" i="92"/>
  <c r="J493" i="92"/>
  <c r="I493" i="92"/>
  <c r="H493" i="92"/>
  <c r="G493" i="92"/>
  <c r="F493" i="92"/>
  <c r="E493" i="92"/>
  <c r="D493" i="92"/>
  <c r="C493" i="92"/>
  <c r="B493" i="92"/>
  <c r="N492" i="92"/>
  <c r="M492" i="92"/>
  <c r="L492" i="92"/>
  <c r="K492" i="92"/>
  <c r="J492" i="92"/>
  <c r="I492" i="92"/>
  <c r="H492" i="92"/>
  <c r="G492" i="92"/>
  <c r="F492" i="92"/>
  <c r="E492" i="92"/>
  <c r="D492" i="92"/>
  <c r="C492" i="92"/>
  <c r="B492" i="92"/>
  <c r="N491" i="92"/>
  <c r="M491" i="92"/>
  <c r="L491" i="92"/>
  <c r="K491" i="92"/>
  <c r="J491" i="92"/>
  <c r="I491" i="92"/>
  <c r="H491" i="92"/>
  <c r="G491" i="92"/>
  <c r="F491" i="92"/>
  <c r="E491" i="92"/>
  <c r="D491" i="92"/>
  <c r="C491" i="92"/>
  <c r="B491" i="92"/>
  <c r="N490" i="92"/>
  <c r="M490" i="92"/>
  <c r="L490" i="92"/>
  <c r="K490" i="92"/>
  <c r="J490" i="92"/>
  <c r="I490" i="92"/>
  <c r="H490" i="92"/>
  <c r="G490" i="92"/>
  <c r="F490" i="92"/>
  <c r="E490" i="92"/>
  <c r="D490" i="92"/>
  <c r="C490" i="92"/>
  <c r="B490" i="92"/>
  <c r="N489" i="92"/>
  <c r="M489" i="92"/>
  <c r="L489" i="92"/>
  <c r="K489" i="92"/>
  <c r="J489" i="92"/>
  <c r="I489" i="92"/>
  <c r="H489" i="92"/>
  <c r="G489" i="92"/>
  <c r="F489" i="92"/>
  <c r="E489" i="92"/>
  <c r="D489" i="92"/>
  <c r="C489" i="92"/>
  <c r="B489" i="92"/>
  <c r="N483" i="92"/>
  <c r="M483" i="92"/>
  <c r="L483" i="92"/>
  <c r="K483" i="92"/>
  <c r="J483" i="92"/>
  <c r="I483" i="92"/>
  <c r="H483" i="92"/>
  <c r="G483" i="92"/>
  <c r="F483" i="92"/>
  <c r="E483" i="92"/>
  <c r="D483" i="92"/>
  <c r="C483" i="92"/>
  <c r="A483" i="92"/>
  <c r="N482" i="92"/>
  <c r="M482" i="92"/>
  <c r="L482" i="92"/>
  <c r="K482" i="92"/>
  <c r="J482" i="92"/>
  <c r="I482" i="92"/>
  <c r="H482" i="92"/>
  <c r="G482" i="92"/>
  <c r="F482" i="92"/>
  <c r="E482" i="92"/>
  <c r="D482" i="92"/>
  <c r="C482" i="92"/>
  <c r="B482" i="92"/>
  <c r="N481" i="92"/>
  <c r="M481" i="92"/>
  <c r="L481" i="92"/>
  <c r="K481" i="92"/>
  <c r="J481" i="92"/>
  <c r="I481" i="92"/>
  <c r="H481" i="92"/>
  <c r="G481" i="92"/>
  <c r="F481" i="92"/>
  <c r="E481" i="92"/>
  <c r="D481" i="92"/>
  <c r="C481" i="92"/>
  <c r="B481" i="92"/>
  <c r="N480" i="92"/>
  <c r="M480" i="92"/>
  <c r="L480" i="92"/>
  <c r="K480" i="92"/>
  <c r="J480" i="92"/>
  <c r="I480" i="92"/>
  <c r="H480" i="92"/>
  <c r="G480" i="92"/>
  <c r="F480" i="92"/>
  <c r="E480" i="92"/>
  <c r="D480" i="92"/>
  <c r="C480" i="92"/>
  <c r="B480" i="92"/>
  <c r="N479" i="92"/>
  <c r="M479" i="92"/>
  <c r="L479" i="92"/>
  <c r="K479" i="92"/>
  <c r="J479" i="92"/>
  <c r="I479" i="92"/>
  <c r="H479" i="92"/>
  <c r="G479" i="92"/>
  <c r="F479" i="92"/>
  <c r="E479" i="92"/>
  <c r="D479" i="92"/>
  <c r="C479" i="92"/>
  <c r="B479" i="92"/>
  <c r="N478" i="92"/>
  <c r="M478" i="92"/>
  <c r="L478" i="92"/>
  <c r="K478" i="92"/>
  <c r="J478" i="92"/>
  <c r="I478" i="92"/>
  <c r="H478" i="92"/>
  <c r="G478" i="92"/>
  <c r="F478" i="92"/>
  <c r="E478" i="92"/>
  <c r="D478" i="92"/>
  <c r="C478" i="92"/>
  <c r="B478" i="92"/>
  <c r="N477" i="92"/>
  <c r="M477" i="92"/>
  <c r="L477" i="92"/>
  <c r="K477" i="92"/>
  <c r="J477" i="92"/>
  <c r="I477" i="92"/>
  <c r="H477" i="92"/>
  <c r="G477" i="92"/>
  <c r="F477" i="92"/>
  <c r="E477" i="92"/>
  <c r="D477" i="92"/>
  <c r="C477" i="92"/>
  <c r="B477" i="92"/>
  <c r="N476" i="92"/>
  <c r="M476" i="92"/>
  <c r="L476" i="92"/>
  <c r="K476" i="92"/>
  <c r="J476" i="92"/>
  <c r="I476" i="92"/>
  <c r="H476" i="92"/>
  <c r="G476" i="92"/>
  <c r="F476" i="92"/>
  <c r="E476" i="92"/>
  <c r="D476" i="92"/>
  <c r="C476" i="92"/>
  <c r="B476" i="92"/>
  <c r="N475" i="92"/>
  <c r="M475" i="92"/>
  <c r="L475" i="92"/>
  <c r="K475" i="92"/>
  <c r="J475" i="92"/>
  <c r="I475" i="92"/>
  <c r="H475" i="92"/>
  <c r="G475" i="92"/>
  <c r="F475" i="92"/>
  <c r="E475" i="92"/>
  <c r="D475" i="92"/>
  <c r="C475" i="92"/>
  <c r="B475" i="92"/>
  <c r="N474" i="92"/>
  <c r="M474" i="92"/>
  <c r="L474" i="92"/>
  <c r="K474" i="92"/>
  <c r="J474" i="92"/>
  <c r="I474" i="92"/>
  <c r="H474" i="92"/>
  <c r="G474" i="92"/>
  <c r="F474" i="92"/>
  <c r="E474" i="92"/>
  <c r="D474" i="92"/>
  <c r="C474" i="92"/>
  <c r="B474" i="92"/>
  <c r="N473" i="92"/>
  <c r="M473" i="92"/>
  <c r="L473" i="92"/>
  <c r="K473" i="92"/>
  <c r="J473" i="92"/>
  <c r="I473" i="92"/>
  <c r="H473" i="92"/>
  <c r="G473" i="92"/>
  <c r="F473" i="92"/>
  <c r="E473" i="92"/>
  <c r="D473" i="92"/>
  <c r="C473" i="92"/>
  <c r="B473" i="92"/>
  <c r="N472" i="92"/>
  <c r="M472" i="92"/>
  <c r="L472" i="92"/>
  <c r="K472" i="92"/>
  <c r="J472" i="92"/>
  <c r="I472" i="92"/>
  <c r="H472" i="92"/>
  <c r="G472" i="92"/>
  <c r="F472" i="92"/>
  <c r="E472" i="92"/>
  <c r="D472" i="92"/>
  <c r="C472" i="92"/>
  <c r="B472" i="92"/>
  <c r="N471" i="92"/>
  <c r="M471" i="92"/>
  <c r="L471" i="92"/>
  <c r="K471" i="92"/>
  <c r="J471" i="92"/>
  <c r="I471" i="92"/>
  <c r="H471" i="92"/>
  <c r="G471" i="92"/>
  <c r="F471" i="92"/>
  <c r="E471" i="92"/>
  <c r="D471" i="92"/>
  <c r="C471" i="92"/>
  <c r="B471" i="92"/>
  <c r="N470" i="92"/>
  <c r="M470" i="92"/>
  <c r="L470" i="92"/>
  <c r="K470" i="92"/>
  <c r="J470" i="92"/>
  <c r="I470" i="92"/>
  <c r="H470" i="92"/>
  <c r="G470" i="92"/>
  <c r="F470" i="92"/>
  <c r="E470" i="92"/>
  <c r="D470" i="92"/>
  <c r="C470" i="92"/>
  <c r="B470" i="92"/>
  <c r="N469" i="92"/>
  <c r="M469" i="92"/>
  <c r="L469" i="92"/>
  <c r="K469" i="92"/>
  <c r="J469" i="92"/>
  <c r="I469" i="92"/>
  <c r="H469" i="92"/>
  <c r="G469" i="92"/>
  <c r="F469" i="92"/>
  <c r="E469" i="92"/>
  <c r="D469" i="92"/>
  <c r="C469" i="92"/>
  <c r="B469" i="92"/>
  <c r="N468" i="92"/>
  <c r="M468" i="92"/>
  <c r="L468" i="92"/>
  <c r="K468" i="92"/>
  <c r="J468" i="92"/>
  <c r="I468" i="92"/>
  <c r="H468" i="92"/>
  <c r="G468" i="92"/>
  <c r="F468" i="92"/>
  <c r="E468" i="92"/>
  <c r="D468" i="92"/>
  <c r="C468" i="92"/>
  <c r="B468" i="92"/>
  <c r="N467" i="92"/>
  <c r="M467" i="92"/>
  <c r="L467" i="92"/>
  <c r="K467" i="92"/>
  <c r="J467" i="92"/>
  <c r="I467" i="92"/>
  <c r="H467" i="92"/>
  <c r="G467" i="92"/>
  <c r="F467" i="92"/>
  <c r="E467" i="92"/>
  <c r="D467" i="92"/>
  <c r="C467" i="92"/>
  <c r="B467" i="92"/>
  <c r="N466" i="92"/>
  <c r="M466" i="92"/>
  <c r="L466" i="92"/>
  <c r="K466" i="92"/>
  <c r="J466" i="92"/>
  <c r="I466" i="92"/>
  <c r="H466" i="92"/>
  <c r="G466" i="92"/>
  <c r="F466" i="92"/>
  <c r="E466" i="92"/>
  <c r="D466" i="92"/>
  <c r="C466" i="92"/>
  <c r="B466" i="92"/>
  <c r="N465" i="92"/>
  <c r="M465" i="92"/>
  <c r="L465" i="92"/>
  <c r="K465" i="92"/>
  <c r="J465" i="92"/>
  <c r="I465" i="92"/>
  <c r="H465" i="92"/>
  <c r="G465" i="92"/>
  <c r="F465" i="92"/>
  <c r="E465" i="92"/>
  <c r="D465" i="92"/>
  <c r="C465" i="92"/>
  <c r="B465" i="92"/>
  <c r="N464" i="92"/>
  <c r="M464" i="92"/>
  <c r="L464" i="92"/>
  <c r="K464" i="92"/>
  <c r="J464" i="92"/>
  <c r="I464" i="92"/>
  <c r="H464" i="92"/>
  <c r="G464" i="92"/>
  <c r="F464" i="92"/>
  <c r="E464" i="92"/>
  <c r="D464" i="92"/>
  <c r="C464" i="92"/>
  <c r="B464" i="92"/>
  <c r="N463" i="92"/>
  <c r="M463" i="92"/>
  <c r="L463" i="92"/>
  <c r="K463" i="92"/>
  <c r="J463" i="92"/>
  <c r="I463" i="92"/>
  <c r="H463" i="92"/>
  <c r="G463" i="92"/>
  <c r="F463" i="92"/>
  <c r="E463" i="92"/>
  <c r="D463" i="92"/>
  <c r="C463" i="92"/>
  <c r="B463" i="92"/>
  <c r="N462" i="92"/>
  <c r="M462" i="92"/>
  <c r="L462" i="92"/>
  <c r="K462" i="92"/>
  <c r="J462" i="92"/>
  <c r="I462" i="92"/>
  <c r="H462" i="92"/>
  <c r="G462" i="92"/>
  <c r="F462" i="92"/>
  <c r="E462" i="92"/>
  <c r="D462" i="92"/>
  <c r="C462" i="92"/>
  <c r="B462" i="92"/>
  <c r="N459" i="92"/>
  <c r="M459" i="92"/>
  <c r="L459" i="92"/>
  <c r="K459" i="92"/>
  <c r="J459" i="92"/>
  <c r="I459" i="92"/>
  <c r="H459" i="92"/>
  <c r="G459" i="92"/>
  <c r="F459" i="92"/>
  <c r="E459" i="92"/>
  <c r="D459" i="92"/>
  <c r="C459" i="92"/>
  <c r="A459" i="92"/>
  <c r="N458" i="92"/>
  <c r="M458" i="92"/>
  <c r="L458" i="92"/>
  <c r="K458" i="92"/>
  <c r="J458" i="92"/>
  <c r="I458" i="92"/>
  <c r="H458" i="92"/>
  <c r="G458" i="92"/>
  <c r="F458" i="92"/>
  <c r="E458" i="92"/>
  <c r="D458" i="92"/>
  <c r="C458" i="92"/>
  <c r="B458" i="92"/>
  <c r="N457" i="92"/>
  <c r="M457" i="92"/>
  <c r="L457" i="92"/>
  <c r="K457" i="92"/>
  <c r="J457" i="92"/>
  <c r="I457" i="92"/>
  <c r="H457" i="92"/>
  <c r="G457" i="92"/>
  <c r="F457" i="92"/>
  <c r="E457" i="92"/>
  <c r="D457" i="92"/>
  <c r="C457" i="92"/>
  <c r="B457" i="92"/>
  <c r="N456" i="92"/>
  <c r="M456" i="92"/>
  <c r="L456" i="92"/>
  <c r="K456" i="92"/>
  <c r="J456" i="92"/>
  <c r="I456" i="92"/>
  <c r="H456" i="92"/>
  <c r="G456" i="92"/>
  <c r="F456" i="92"/>
  <c r="E456" i="92"/>
  <c r="D456" i="92"/>
  <c r="C456" i="92"/>
  <c r="B456" i="92"/>
  <c r="N455" i="92"/>
  <c r="M455" i="92"/>
  <c r="L455" i="92"/>
  <c r="K455" i="92"/>
  <c r="J455" i="92"/>
  <c r="I455" i="92"/>
  <c r="H455" i="92"/>
  <c r="G455" i="92"/>
  <c r="F455" i="92"/>
  <c r="E455" i="92"/>
  <c r="D455" i="92"/>
  <c r="C455" i="92"/>
  <c r="B455" i="92"/>
  <c r="N454" i="92"/>
  <c r="M454" i="92"/>
  <c r="L454" i="92"/>
  <c r="K454" i="92"/>
  <c r="J454" i="92"/>
  <c r="I454" i="92"/>
  <c r="H454" i="92"/>
  <c r="G454" i="92"/>
  <c r="F454" i="92"/>
  <c r="E454" i="92"/>
  <c r="D454" i="92"/>
  <c r="C454" i="92"/>
  <c r="B454" i="92"/>
  <c r="N453" i="92"/>
  <c r="M453" i="92"/>
  <c r="L453" i="92"/>
  <c r="K453" i="92"/>
  <c r="J453" i="92"/>
  <c r="I453" i="92"/>
  <c r="H453" i="92"/>
  <c r="G453" i="92"/>
  <c r="F453" i="92"/>
  <c r="E453" i="92"/>
  <c r="D453" i="92"/>
  <c r="C453" i="92"/>
  <c r="B453" i="92"/>
  <c r="N452" i="92"/>
  <c r="M452" i="92"/>
  <c r="L452" i="92"/>
  <c r="K452" i="92"/>
  <c r="J452" i="92"/>
  <c r="I452" i="92"/>
  <c r="H452" i="92"/>
  <c r="G452" i="92"/>
  <c r="F452" i="92"/>
  <c r="E452" i="92"/>
  <c r="D452" i="92"/>
  <c r="C452" i="92"/>
  <c r="B452" i="92"/>
  <c r="N451" i="92"/>
  <c r="M451" i="92"/>
  <c r="L451" i="92"/>
  <c r="K451" i="92"/>
  <c r="J451" i="92"/>
  <c r="I451" i="92"/>
  <c r="H451" i="92"/>
  <c r="G451" i="92"/>
  <c r="F451" i="92"/>
  <c r="E451" i="92"/>
  <c r="D451" i="92"/>
  <c r="C451" i="92"/>
  <c r="B451" i="92"/>
  <c r="N450" i="92"/>
  <c r="M450" i="92"/>
  <c r="L450" i="92"/>
  <c r="K450" i="92"/>
  <c r="J450" i="92"/>
  <c r="I450" i="92"/>
  <c r="H450" i="92"/>
  <c r="G450" i="92"/>
  <c r="F450" i="92"/>
  <c r="E450" i="92"/>
  <c r="D450" i="92"/>
  <c r="C450" i="92"/>
  <c r="B450" i="92"/>
  <c r="N449" i="92"/>
  <c r="M449" i="92"/>
  <c r="L449" i="92"/>
  <c r="K449" i="92"/>
  <c r="J449" i="92"/>
  <c r="I449" i="92"/>
  <c r="H449" i="92"/>
  <c r="G449" i="92"/>
  <c r="F449" i="92"/>
  <c r="E449" i="92"/>
  <c r="D449" i="92"/>
  <c r="C449" i="92"/>
  <c r="B449" i="92"/>
  <c r="N448" i="92"/>
  <c r="M448" i="92"/>
  <c r="L448" i="92"/>
  <c r="K448" i="92"/>
  <c r="J448" i="92"/>
  <c r="I448" i="92"/>
  <c r="H448" i="92"/>
  <c r="G448" i="92"/>
  <c r="F448" i="92"/>
  <c r="E448" i="92"/>
  <c r="D448" i="92"/>
  <c r="C448" i="92"/>
  <c r="B448" i="92"/>
  <c r="N447" i="92"/>
  <c r="M447" i="92"/>
  <c r="L447" i="92"/>
  <c r="K447" i="92"/>
  <c r="J447" i="92"/>
  <c r="I447" i="92"/>
  <c r="H447" i="92"/>
  <c r="G447" i="92"/>
  <c r="F447" i="92"/>
  <c r="E447" i="92"/>
  <c r="D447" i="92"/>
  <c r="C447" i="92"/>
  <c r="B447" i="92"/>
  <c r="N446" i="92"/>
  <c r="M446" i="92"/>
  <c r="L446" i="92"/>
  <c r="K446" i="92"/>
  <c r="J446" i="92"/>
  <c r="I446" i="92"/>
  <c r="H446" i="92"/>
  <c r="G446" i="92"/>
  <c r="F446" i="92"/>
  <c r="E446" i="92"/>
  <c r="D446" i="92"/>
  <c r="C446" i="92"/>
  <c r="B446" i="92"/>
  <c r="N445" i="92"/>
  <c r="M445" i="92"/>
  <c r="L445" i="92"/>
  <c r="K445" i="92"/>
  <c r="J445" i="92"/>
  <c r="I445" i="92"/>
  <c r="H445" i="92"/>
  <c r="G445" i="92"/>
  <c r="F445" i="92"/>
  <c r="E445" i="92"/>
  <c r="D445" i="92"/>
  <c r="C445" i="92"/>
  <c r="B445" i="92"/>
  <c r="N444" i="92"/>
  <c r="M444" i="92"/>
  <c r="L444" i="92"/>
  <c r="K444" i="92"/>
  <c r="J444" i="92"/>
  <c r="I444" i="92"/>
  <c r="H444" i="92"/>
  <c r="G444" i="92"/>
  <c r="F444" i="92"/>
  <c r="E444" i="92"/>
  <c r="D444" i="92"/>
  <c r="C444" i="92"/>
  <c r="B444" i="92"/>
  <c r="N443" i="92"/>
  <c r="M443" i="92"/>
  <c r="L443" i="92"/>
  <c r="K443" i="92"/>
  <c r="J443" i="92"/>
  <c r="I443" i="92"/>
  <c r="H443" i="92"/>
  <c r="G443" i="92"/>
  <c r="F443" i="92"/>
  <c r="E443" i="92"/>
  <c r="D443" i="92"/>
  <c r="C443" i="92"/>
  <c r="B443" i="92"/>
  <c r="N442" i="92"/>
  <c r="M442" i="92"/>
  <c r="L442" i="92"/>
  <c r="K442" i="92"/>
  <c r="J442" i="92"/>
  <c r="I442" i="92"/>
  <c r="H442" i="92"/>
  <c r="G442" i="92"/>
  <c r="F442" i="92"/>
  <c r="E442" i="92"/>
  <c r="D442" i="92"/>
  <c r="C442" i="92"/>
  <c r="B442" i="92"/>
  <c r="N441" i="92"/>
  <c r="M441" i="92"/>
  <c r="L441" i="92"/>
  <c r="K441" i="92"/>
  <c r="J441" i="92"/>
  <c r="I441" i="92"/>
  <c r="H441" i="92"/>
  <c r="G441" i="92"/>
  <c r="F441" i="92"/>
  <c r="E441" i="92"/>
  <c r="D441" i="92"/>
  <c r="C441" i="92"/>
  <c r="B441" i="92"/>
  <c r="N440" i="92"/>
  <c r="M440" i="92"/>
  <c r="L440" i="92"/>
  <c r="K440" i="92"/>
  <c r="J440" i="92"/>
  <c r="I440" i="92"/>
  <c r="H440" i="92"/>
  <c r="G440" i="92"/>
  <c r="F440" i="92"/>
  <c r="E440" i="92"/>
  <c r="D440" i="92"/>
  <c r="C440" i="92"/>
  <c r="B440" i="92"/>
  <c r="N439" i="92"/>
  <c r="M439" i="92"/>
  <c r="L439" i="92"/>
  <c r="K439" i="92"/>
  <c r="J439" i="92"/>
  <c r="I439" i="92"/>
  <c r="H439" i="92"/>
  <c r="G439" i="92"/>
  <c r="F439" i="92"/>
  <c r="E439" i="92"/>
  <c r="D439" i="92"/>
  <c r="C439" i="92"/>
  <c r="B439" i="92"/>
  <c r="N438" i="92"/>
  <c r="M438" i="92"/>
  <c r="L438" i="92"/>
  <c r="K438" i="92"/>
  <c r="J438" i="92"/>
  <c r="I438" i="92"/>
  <c r="H438" i="92"/>
  <c r="G438" i="92"/>
  <c r="F438" i="92"/>
  <c r="E438" i="92"/>
  <c r="D438" i="92"/>
  <c r="C438" i="92"/>
  <c r="B438" i="92"/>
  <c r="O434" i="92"/>
  <c r="N434" i="92"/>
  <c r="M434" i="92"/>
  <c r="L434" i="92"/>
  <c r="K434" i="92"/>
  <c r="J434" i="92"/>
  <c r="I434" i="92"/>
  <c r="H434" i="92"/>
  <c r="G434" i="92"/>
  <c r="F434" i="92"/>
  <c r="E434" i="92"/>
  <c r="D434" i="92"/>
  <c r="C434" i="92"/>
  <c r="A434" i="92"/>
  <c r="N433" i="92"/>
  <c r="M433" i="92"/>
  <c r="L433" i="92"/>
  <c r="K433" i="92"/>
  <c r="J433" i="92"/>
  <c r="I433" i="92"/>
  <c r="H433" i="92"/>
  <c r="G433" i="92"/>
  <c r="F433" i="92"/>
  <c r="E433" i="92"/>
  <c r="D433" i="92"/>
  <c r="C433" i="92"/>
  <c r="B433" i="92"/>
  <c r="N432" i="92"/>
  <c r="M432" i="92"/>
  <c r="L432" i="92"/>
  <c r="K432" i="92"/>
  <c r="J432" i="92"/>
  <c r="I432" i="92"/>
  <c r="H432" i="92"/>
  <c r="G432" i="92"/>
  <c r="F432" i="92"/>
  <c r="E432" i="92"/>
  <c r="D432" i="92"/>
  <c r="C432" i="92"/>
  <c r="B432" i="92"/>
  <c r="N431" i="92"/>
  <c r="M431" i="92"/>
  <c r="L431" i="92"/>
  <c r="K431" i="92"/>
  <c r="J431" i="92"/>
  <c r="I431" i="92"/>
  <c r="H431" i="92"/>
  <c r="G431" i="92"/>
  <c r="F431" i="92"/>
  <c r="E431" i="92"/>
  <c r="D431" i="92"/>
  <c r="C431" i="92"/>
  <c r="B431" i="92"/>
  <c r="N430" i="92"/>
  <c r="M430" i="92"/>
  <c r="L430" i="92"/>
  <c r="K430" i="92"/>
  <c r="J430" i="92"/>
  <c r="I430" i="92"/>
  <c r="H430" i="92"/>
  <c r="G430" i="92"/>
  <c r="F430" i="92"/>
  <c r="E430" i="92"/>
  <c r="D430" i="92"/>
  <c r="C430" i="92"/>
  <c r="B430" i="92"/>
  <c r="N429" i="92"/>
  <c r="M429" i="92"/>
  <c r="L429" i="92"/>
  <c r="K429" i="92"/>
  <c r="J429" i="92"/>
  <c r="I429" i="92"/>
  <c r="H429" i="92"/>
  <c r="G429" i="92"/>
  <c r="F429" i="92"/>
  <c r="E429" i="92"/>
  <c r="D429" i="92"/>
  <c r="C429" i="92"/>
  <c r="B429" i="92"/>
  <c r="N428" i="92"/>
  <c r="M428" i="92"/>
  <c r="L428" i="92"/>
  <c r="K428" i="92"/>
  <c r="J428" i="92"/>
  <c r="I428" i="92"/>
  <c r="H428" i="92"/>
  <c r="G428" i="92"/>
  <c r="F428" i="92"/>
  <c r="E428" i="92"/>
  <c r="D428" i="92"/>
  <c r="C428" i="92"/>
  <c r="B428" i="92"/>
  <c r="N427" i="92"/>
  <c r="M427" i="92"/>
  <c r="L427" i="92"/>
  <c r="K427" i="92"/>
  <c r="J427" i="92"/>
  <c r="I427" i="92"/>
  <c r="H427" i="92"/>
  <c r="G427" i="92"/>
  <c r="F427" i="92"/>
  <c r="E427" i="92"/>
  <c r="D427" i="92"/>
  <c r="C427" i="92"/>
  <c r="B427" i="92"/>
  <c r="N426" i="92"/>
  <c r="M426" i="92"/>
  <c r="L426" i="92"/>
  <c r="K426" i="92"/>
  <c r="J426" i="92"/>
  <c r="I426" i="92"/>
  <c r="H426" i="92"/>
  <c r="G426" i="92"/>
  <c r="F426" i="92"/>
  <c r="E426" i="92"/>
  <c r="D426" i="92"/>
  <c r="C426" i="92"/>
  <c r="B426" i="92"/>
  <c r="N425" i="92"/>
  <c r="M425" i="92"/>
  <c r="L425" i="92"/>
  <c r="K425" i="92"/>
  <c r="J425" i="92"/>
  <c r="I425" i="92"/>
  <c r="H425" i="92"/>
  <c r="G425" i="92"/>
  <c r="F425" i="92"/>
  <c r="E425" i="92"/>
  <c r="D425" i="92"/>
  <c r="C425" i="92"/>
  <c r="B425" i="92"/>
  <c r="N424" i="92"/>
  <c r="M424" i="92"/>
  <c r="L424" i="92"/>
  <c r="K424" i="92"/>
  <c r="J424" i="92"/>
  <c r="I424" i="92"/>
  <c r="H424" i="92"/>
  <c r="G424" i="92"/>
  <c r="F424" i="92"/>
  <c r="E424" i="92"/>
  <c r="D424" i="92"/>
  <c r="C424" i="92"/>
  <c r="B424" i="92"/>
  <c r="N423" i="92"/>
  <c r="M423" i="92"/>
  <c r="L423" i="92"/>
  <c r="K423" i="92"/>
  <c r="J423" i="92"/>
  <c r="I423" i="92"/>
  <c r="H423" i="92"/>
  <c r="G423" i="92"/>
  <c r="F423" i="92"/>
  <c r="E423" i="92"/>
  <c r="D423" i="92"/>
  <c r="C423" i="92"/>
  <c r="B423" i="92"/>
  <c r="N422" i="92"/>
  <c r="M422" i="92"/>
  <c r="L422" i="92"/>
  <c r="K422" i="92"/>
  <c r="J422" i="92"/>
  <c r="I422" i="92"/>
  <c r="H422" i="92"/>
  <c r="G422" i="92"/>
  <c r="F422" i="92"/>
  <c r="E422" i="92"/>
  <c r="D422" i="92"/>
  <c r="C422" i="92"/>
  <c r="B422" i="92"/>
  <c r="N421" i="92"/>
  <c r="M421" i="92"/>
  <c r="L421" i="92"/>
  <c r="K421" i="92"/>
  <c r="J421" i="92"/>
  <c r="I421" i="92"/>
  <c r="H421" i="92"/>
  <c r="G421" i="92"/>
  <c r="F421" i="92"/>
  <c r="E421" i="92"/>
  <c r="D421" i="92"/>
  <c r="C421" i="92"/>
  <c r="B421" i="92"/>
  <c r="N420" i="92"/>
  <c r="M420" i="92"/>
  <c r="L420" i="92"/>
  <c r="K420" i="92"/>
  <c r="J420" i="92"/>
  <c r="I420" i="92"/>
  <c r="H420" i="92"/>
  <c r="G420" i="92"/>
  <c r="F420" i="92"/>
  <c r="E420" i="92"/>
  <c r="D420" i="92"/>
  <c r="C420" i="92"/>
  <c r="B420" i="92"/>
  <c r="N419" i="92"/>
  <c r="M419" i="92"/>
  <c r="L419" i="92"/>
  <c r="K419" i="92"/>
  <c r="J419" i="92"/>
  <c r="I419" i="92"/>
  <c r="H419" i="92"/>
  <c r="G419" i="92"/>
  <c r="F419" i="92"/>
  <c r="E419" i="92"/>
  <c r="D419" i="92"/>
  <c r="C419" i="92"/>
  <c r="B419" i="92"/>
  <c r="N418" i="92"/>
  <c r="M418" i="92"/>
  <c r="L418" i="92"/>
  <c r="K418" i="92"/>
  <c r="J418" i="92"/>
  <c r="I418" i="92"/>
  <c r="H418" i="92"/>
  <c r="G418" i="92"/>
  <c r="F418" i="92"/>
  <c r="E418" i="92"/>
  <c r="D418" i="92"/>
  <c r="C418" i="92"/>
  <c r="B418" i="92"/>
  <c r="N417" i="92"/>
  <c r="M417" i="92"/>
  <c r="L417" i="92"/>
  <c r="K417" i="92"/>
  <c r="J417" i="92"/>
  <c r="I417" i="92"/>
  <c r="H417" i="92"/>
  <c r="G417" i="92"/>
  <c r="F417" i="92"/>
  <c r="E417" i="92"/>
  <c r="D417" i="92"/>
  <c r="C417" i="92"/>
  <c r="B417" i="92"/>
  <c r="N416" i="92"/>
  <c r="M416" i="92"/>
  <c r="L416" i="92"/>
  <c r="K416" i="92"/>
  <c r="J416" i="92"/>
  <c r="I416" i="92"/>
  <c r="H416" i="92"/>
  <c r="G416" i="92"/>
  <c r="F416" i="92"/>
  <c r="E416" i="92"/>
  <c r="D416" i="92"/>
  <c r="C416" i="92"/>
  <c r="B416" i="92"/>
  <c r="N415" i="92"/>
  <c r="M415" i="92"/>
  <c r="L415" i="92"/>
  <c r="K415" i="92"/>
  <c r="J415" i="92"/>
  <c r="I415" i="92"/>
  <c r="H415" i="92"/>
  <c r="G415" i="92"/>
  <c r="F415" i="92"/>
  <c r="E415" i="92"/>
  <c r="D415" i="92"/>
  <c r="C415" i="92"/>
  <c r="B415" i="92"/>
  <c r="N414" i="92"/>
  <c r="M414" i="92"/>
  <c r="L414" i="92"/>
  <c r="K414" i="92"/>
  <c r="J414" i="92"/>
  <c r="I414" i="92"/>
  <c r="H414" i="92"/>
  <c r="G414" i="92"/>
  <c r="F414" i="92"/>
  <c r="E414" i="92"/>
  <c r="D414" i="92"/>
  <c r="C414" i="92"/>
  <c r="B414" i="92"/>
  <c r="O408" i="92"/>
  <c r="N408" i="92"/>
  <c r="M408" i="92"/>
  <c r="L408" i="92"/>
  <c r="K408" i="92"/>
  <c r="J408" i="92"/>
  <c r="I408" i="92"/>
  <c r="H408" i="92"/>
  <c r="G408" i="92"/>
  <c r="F408" i="92"/>
  <c r="E408" i="92"/>
  <c r="D408" i="92"/>
  <c r="C408" i="92"/>
  <c r="A408" i="92"/>
  <c r="N407" i="92"/>
  <c r="M407" i="92"/>
  <c r="L407" i="92"/>
  <c r="K407" i="92"/>
  <c r="J407" i="92"/>
  <c r="I407" i="92"/>
  <c r="H407" i="92"/>
  <c r="G407" i="92"/>
  <c r="F407" i="92"/>
  <c r="E407" i="92"/>
  <c r="D407" i="92"/>
  <c r="C407" i="92"/>
  <c r="B407" i="92"/>
  <c r="N406" i="92"/>
  <c r="M406" i="92"/>
  <c r="L406" i="92"/>
  <c r="K406" i="92"/>
  <c r="J406" i="92"/>
  <c r="I406" i="92"/>
  <c r="H406" i="92"/>
  <c r="G406" i="92"/>
  <c r="F406" i="92"/>
  <c r="E406" i="92"/>
  <c r="D406" i="92"/>
  <c r="C406" i="92"/>
  <c r="B406" i="92"/>
  <c r="N405" i="92"/>
  <c r="M405" i="92"/>
  <c r="L405" i="92"/>
  <c r="K405" i="92"/>
  <c r="J405" i="92"/>
  <c r="I405" i="92"/>
  <c r="H405" i="92"/>
  <c r="G405" i="92"/>
  <c r="F405" i="92"/>
  <c r="E405" i="92"/>
  <c r="D405" i="92"/>
  <c r="C405" i="92"/>
  <c r="B405" i="92"/>
  <c r="N404" i="92"/>
  <c r="M404" i="92"/>
  <c r="L404" i="92"/>
  <c r="K404" i="92"/>
  <c r="J404" i="92"/>
  <c r="I404" i="92"/>
  <c r="H404" i="92"/>
  <c r="G404" i="92"/>
  <c r="F404" i="92"/>
  <c r="E404" i="92"/>
  <c r="D404" i="92"/>
  <c r="C404" i="92"/>
  <c r="B404" i="92"/>
  <c r="N403" i="92"/>
  <c r="M403" i="92"/>
  <c r="L403" i="92"/>
  <c r="K403" i="92"/>
  <c r="J403" i="92"/>
  <c r="I403" i="92"/>
  <c r="H403" i="92"/>
  <c r="G403" i="92"/>
  <c r="F403" i="92"/>
  <c r="E403" i="92"/>
  <c r="D403" i="92"/>
  <c r="C403" i="92"/>
  <c r="B403" i="92"/>
  <c r="N402" i="92"/>
  <c r="M402" i="92"/>
  <c r="L402" i="92"/>
  <c r="K402" i="92"/>
  <c r="J402" i="92"/>
  <c r="I402" i="92"/>
  <c r="H402" i="92"/>
  <c r="G402" i="92"/>
  <c r="F402" i="92"/>
  <c r="E402" i="92"/>
  <c r="D402" i="92"/>
  <c r="C402" i="92"/>
  <c r="B402" i="92"/>
  <c r="N401" i="92"/>
  <c r="M401" i="92"/>
  <c r="L401" i="92"/>
  <c r="K401" i="92"/>
  <c r="J401" i="92"/>
  <c r="I401" i="92"/>
  <c r="H401" i="92"/>
  <c r="G401" i="92"/>
  <c r="F401" i="92"/>
  <c r="E401" i="92"/>
  <c r="D401" i="92"/>
  <c r="C401" i="92"/>
  <c r="B401" i="92"/>
  <c r="N400" i="92"/>
  <c r="M400" i="92"/>
  <c r="L400" i="92"/>
  <c r="K400" i="92"/>
  <c r="J400" i="92"/>
  <c r="I400" i="92"/>
  <c r="H400" i="92"/>
  <c r="G400" i="92"/>
  <c r="F400" i="92"/>
  <c r="E400" i="92"/>
  <c r="D400" i="92"/>
  <c r="C400" i="92"/>
  <c r="B400" i="92"/>
  <c r="N399" i="92"/>
  <c r="M399" i="92"/>
  <c r="L399" i="92"/>
  <c r="K399" i="92"/>
  <c r="J399" i="92"/>
  <c r="I399" i="92"/>
  <c r="H399" i="92"/>
  <c r="G399" i="92"/>
  <c r="F399" i="92"/>
  <c r="E399" i="92"/>
  <c r="D399" i="92"/>
  <c r="C399" i="92"/>
  <c r="B399" i="92"/>
  <c r="N398" i="92"/>
  <c r="M398" i="92"/>
  <c r="L398" i="92"/>
  <c r="K398" i="92"/>
  <c r="J398" i="92"/>
  <c r="I398" i="92"/>
  <c r="H398" i="92"/>
  <c r="G398" i="92"/>
  <c r="F398" i="92"/>
  <c r="E398" i="92"/>
  <c r="D398" i="92"/>
  <c r="C398" i="92"/>
  <c r="B398" i="92"/>
  <c r="N397" i="92"/>
  <c r="M397" i="92"/>
  <c r="L397" i="92"/>
  <c r="K397" i="92"/>
  <c r="J397" i="92"/>
  <c r="I397" i="92"/>
  <c r="H397" i="92"/>
  <c r="G397" i="92"/>
  <c r="F397" i="92"/>
  <c r="E397" i="92"/>
  <c r="D397" i="92"/>
  <c r="C397" i="92"/>
  <c r="B397" i="92"/>
  <c r="N396" i="92"/>
  <c r="M396" i="92"/>
  <c r="L396" i="92"/>
  <c r="K396" i="92"/>
  <c r="J396" i="92"/>
  <c r="I396" i="92"/>
  <c r="H396" i="92"/>
  <c r="G396" i="92"/>
  <c r="F396" i="92"/>
  <c r="E396" i="92"/>
  <c r="D396" i="92"/>
  <c r="C396" i="92"/>
  <c r="B396" i="92"/>
  <c r="N395" i="92"/>
  <c r="M395" i="92"/>
  <c r="L395" i="92"/>
  <c r="K395" i="92"/>
  <c r="J395" i="92"/>
  <c r="I395" i="92"/>
  <c r="H395" i="92"/>
  <c r="G395" i="92"/>
  <c r="F395" i="92"/>
  <c r="E395" i="92"/>
  <c r="D395" i="92"/>
  <c r="C395" i="92"/>
  <c r="B395" i="92"/>
  <c r="N394" i="92"/>
  <c r="M394" i="92"/>
  <c r="L394" i="92"/>
  <c r="K394" i="92"/>
  <c r="J394" i="92"/>
  <c r="I394" i="92"/>
  <c r="H394" i="92"/>
  <c r="G394" i="92"/>
  <c r="F394" i="92"/>
  <c r="E394" i="92"/>
  <c r="D394" i="92"/>
  <c r="C394" i="92"/>
  <c r="B394" i="92"/>
  <c r="N393" i="92"/>
  <c r="M393" i="92"/>
  <c r="L393" i="92"/>
  <c r="K393" i="92"/>
  <c r="J393" i="92"/>
  <c r="I393" i="92"/>
  <c r="H393" i="92"/>
  <c r="G393" i="92"/>
  <c r="F393" i="92"/>
  <c r="E393" i="92"/>
  <c r="D393" i="92"/>
  <c r="C393" i="92"/>
  <c r="B393" i="92"/>
  <c r="N392" i="92"/>
  <c r="M392" i="92"/>
  <c r="L392" i="92"/>
  <c r="K392" i="92"/>
  <c r="J392" i="92"/>
  <c r="I392" i="92"/>
  <c r="H392" i="92"/>
  <c r="G392" i="92"/>
  <c r="F392" i="92"/>
  <c r="E392" i="92"/>
  <c r="D392" i="92"/>
  <c r="C392" i="92"/>
  <c r="B392" i="92"/>
  <c r="N391" i="92"/>
  <c r="M391" i="92"/>
  <c r="L391" i="92"/>
  <c r="K391" i="92"/>
  <c r="J391" i="92"/>
  <c r="I391" i="92"/>
  <c r="H391" i="92"/>
  <c r="G391" i="92"/>
  <c r="F391" i="92"/>
  <c r="E391" i="92"/>
  <c r="D391" i="92"/>
  <c r="C391" i="92"/>
  <c r="B391" i="92"/>
  <c r="N390" i="92"/>
  <c r="M390" i="92"/>
  <c r="L390" i="92"/>
  <c r="K390" i="92"/>
  <c r="J390" i="92"/>
  <c r="I390" i="92"/>
  <c r="H390" i="92"/>
  <c r="G390" i="92"/>
  <c r="F390" i="92"/>
  <c r="E390" i="92"/>
  <c r="D390" i="92"/>
  <c r="C390" i="92"/>
  <c r="B390" i="92"/>
  <c r="N389" i="92"/>
  <c r="M389" i="92"/>
  <c r="L389" i="92"/>
  <c r="K389" i="92"/>
  <c r="J389" i="92"/>
  <c r="I389" i="92"/>
  <c r="H389" i="92"/>
  <c r="G389" i="92"/>
  <c r="F389" i="92"/>
  <c r="E389" i="92"/>
  <c r="D389" i="92"/>
  <c r="C389" i="92"/>
  <c r="B389" i="92"/>
  <c r="N388" i="92"/>
  <c r="M388" i="92"/>
  <c r="L388" i="92"/>
  <c r="K388" i="92"/>
  <c r="J388" i="92"/>
  <c r="I388" i="92"/>
  <c r="H388" i="92"/>
  <c r="G388" i="92"/>
  <c r="F388" i="92"/>
  <c r="E388" i="92"/>
  <c r="D388" i="92"/>
  <c r="C388" i="92"/>
  <c r="B388" i="92"/>
  <c r="N387" i="92"/>
  <c r="M387" i="92"/>
  <c r="L387" i="92"/>
  <c r="K387" i="92"/>
  <c r="J387" i="92"/>
  <c r="I387" i="92"/>
  <c r="H387" i="92"/>
  <c r="G387" i="92"/>
  <c r="F387" i="92"/>
  <c r="E387" i="92"/>
  <c r="D387" i="92"/>
  <c r="C387" i="92"/>
  <c r="B387" i="92"/>
  <c r="N385" i="92"/>
  <c r="M385" i="92"/>
  <c r="L385" i="92"/>
  <c r="K385" i="92"/>
  <c r="J385" i="92"/>
  <c r="I385" i="92"/>
  <c r="H385" i="92"/>
  <c r="G385" i="92"/>
  <c r="F385" i="92"/>
  <c r="E385" i="92"/>
  <c r="D385" i="92"/>
  <c r="C385" i="92"/>
  <c r="O384" i="92"/>
  <c r="N384" i="92"/>
  <c r="M384" i="92"/>
  <c r="L384" i="92"/>
  <c r="K384" i="92"/>
  <c r="J384" i="92"/>
  <c r="I384" i="92"/>
  <c r="H384" i="92"/>
  <c r="G384" i="92"/>
  <c r="F384" i="92"/>
  <c r="E384" i="92"/>
  <c r="D384" i="92"/>
  <c r="C384" i="92"/>
  <c r="A384" i="92"/>
  <c r="N383" i="92"/>
  <c r="M383" i="92"/>
  <c r="L383" i="92"/>
  <c r="K383" i="92"/>
  <c r="J383" i="92"/>
  <c r="I383" i="92"/>
  <c r="H383" i="92"/>
  <c r="G383" i="92"/>
  <c r="F383" i="92"/>
  <c r="E383" i="92"/>
  <c r="D383" i="92"/>
  <c r="C383" i="92"/>
  <c r="B383" i="92"/>
  <c r="N382" i="92"/>
  <c r="M382" i="92"/>
  <c r="L382" i="92"/>
  <c r="K382" i="92"/>
  <c r="J382" i="92"/>
  <c r="I382" i="92"/>
  <c r="H382" i="92"/>
  <c r="G382" i="92"/>
  <c r="F382" i="92"/>
  <c r="E382" i="92"/>
  <c r="D382" i="92"/>
  <c r="C382" i="92"/>
  <c r="B382" i="92"/>
  <c r="N381" i="92"/>
  <c r="M381" i="92"/>
  <c r="L381" i="92"/>
  <c r="K381" i="92"/>
  <c r="J381" i="92"/>
  <c r="I381" i="92"/>
  <c r="H381" i="92"/>
  <c r="G381" i="92"/>
  <c r="F381" i="92"/>
  <c r="E381" i="92"/>
  <c r="D381" i="92"/>
  <c r="C381" i="92"/>
  <c r="B381" i="92"/>
  <c r="N380" i="92"/>
  <c r="M380" i="92"/>
  <c r="L380" i="92"/>
  <c r="K380" i="92"/>
  <c r="J380" i="92"/>
  <c r="I380" i="92"/>
  <c r="H380" i="92"/>
  <c r="G380" i="92"/>
  <c r="F380" i="92"/>
  <c r="E380" i="92"/>
  <c r="D380" i="92"/>
  <c r="C380" i="92"/>
  <c r="B380" i="92"/>
  <c r="N379" i="92"/>
  <c r="M379" i="92"/>
  <c r="L379" i="92"/>
  <c r="K379" i="92"/>
  <c r="J379" i="92"/>
  <c r="I379" i="92"/>
  <c r="H379" i="92"/>
  <c r="G379" i="92"/>
  <c r="F379" i="92"/>
  <c r="E379" i="92"/>
  <c r="D379" i="92"/>
  <c r="C379" i="92"/>
  <c r="B379" i="92"/>
  <c r="N378" i="92"/>
  <c r="M378" i="92"/>
  <c r="L378" i="92"/>
  <c r="K378" i="92"/>
  <c r="J378" i="92"/>
  <c r="I378" i="92"/>
  <c r="H378" i="92"/>
  <c r="G378" i="92"/>
  <c r="F378" i="92"/>
  <c r="E378" i="92"/>
  <c r="D378" i="92"/>
  <c r="C378" i="92"/>
  <c r="B378" i="92"/>
  <c r="N377" i="92"/>
  <c r="M377" i="92"/>
  <c r="L377" i="92"/>
  <c r="K377" i="92"/>
  <c r="J377" i="92"/>
  <c r="I377" i="92"/>
  <c r="H377" i="92"/>
  <c r="G377" i="92"/>
  <c r="F377" i="92"/>
  <c r="E377" i="92"/>
  <c r="D377" i="92"/>
  <c r="C377" i="92"/>
  <c r="B377" i="92"/>
  <c r="N376" i="92"/>
  <c r="M376" i="92"/>
  <c r="L376" i="92"/>
  <c r="K376" i="92"/>
  <c r="J376" i="92"/>
  <c r="I376" i="92"/>
  <c r="H376" i="92"/>
  <c r="G376" i="92"/>
  <c r="F376" i="92"/>
  <c r="E376" i="92"/>
  <c r="D376" i="92"/>
  <c r="C376" i="92"/>
  <c r="B376" i="92"/>
  <c r="N375" i="92"/>
  <c r="M375" i="92"/>
  <c r="L375" i="92"/>
  <c r="K375" i="92"/>
  <c r="J375" i="92"/>
  <c r="I375" i="92"/>
  <c r="H375" i="92"/>
  <c r="G375" i="92"/>
  <c r="F375" i="92"/>
  <c r="E375" i="92"/>
  <c r="D375" i="92"/>
  <c r="C375" i="92"/>
  <c r="B375" i="92"/>
  <c r="N374" i="92"/>
  <c r="M374" i="92"/>
  <c r="L374" i="92"/>
  <c r="K374" i="92"/>
  <c r="J374" i="92"/>
  <c r="I374" i="92"/>
  <c r="H374" i="92"/>
  <c r="G374" i="92"/>
  <c r="F374" i="92"/>
  <c r="E374" i="92"/>
  <c r="D374" i="92"/>
  <c r="C374" i="92"/>
  <c r="B374" i="92"/>
  <c r="N373" i="92"/>
  <c r="M373" i="92"/>
  <c r="L373" i="92"/>
  <c r="K373" i="92"/>
  <c r="J373" i="92"/>
  <c r="I373" i="92"/>
  <c r="H373" i="92"/>
  <c r="G373" i="92"/>
  <c r="F373" i="92"/>
  <c r="E373" i="92"/>
  <c r="D373" i="92"/>
  <c r="C373" i="92"/>
  <c r="B373" i="92"/>
  <c r="N372" i="92"/>
  <c r="M372" i="92"/>
  <c r="L372" i="92"/>
  <c r="K372" i="92"/>
  <c r="J372" i="92"/>
  <c r="I372" i="92"/>
  <c r="H372" i="92"/>
  <c r="G372" i="92"/>
  <c r="F372" i="92"/>
  <c r="E372" i="92"/>
  <c r="D372" i="92"/>
  <c r="C372" i="92"/>
  <c r="B372" i="92"/>
  <c r="N371" i="92"/>
  <c r="M371" i="92"/>
  <c r="L371" i="92"/>
  <c r="K371" i="92"/>
  <c r="J371" i="92"/>
  <c r="I371" i="92"/>
  <c r="H371" i="92"/>
  <c r="G371" i="92"/>
  <c r="F371" i="92"/>
  <c r="E371" i="92"/>
  <c r="D371" i="92"/>
  <c r="C371" i="92"/>
  <c r="B371" i="92"/>
  <c r="N370" i="92"/>
  <c r="M370" i="92"/>
  <c r="L370" i="92"/>
  <c r="K370" i="92"/>
  <c r="J370" i="92"/>
  <c r="I370" i="92"/>
  <c r="H370" i="92"/>
  <c r="G370" i="92"/>
  <c r="F370" i="92"/>
  <c r="E370" i="92"/>
  <c r="D370" i="92"/>
  <c r="C370" i="92"/>
  <c r="B370" i="92"/>
  <c r="N369" i="92"/>
  <c r="M369" i="92"/>
  <c r="L369" i="92"/>
  <c r="K369" i="92"/>
  <c r="J369" i="92"/>
  <c r="I369" i="92"/>
  <c r="H369" i="92"/>
  <c r="G369" i="92"/>
  <c r="F369" i="92"/>
  <c r="E369" i="92"/>
  <c r="D369" i="92"/>
  <c r="C369" i="92"/>
  <c r="B369" i="92"/>
  <c r="N368" i="92"/>
  <c r="M368" i="92"/>
  <c r="L368" i="92"/>
  <c r="K368" i="92"/>
  <c r="J368" i="92"/>
  <c r="I368" i="92"/>
  <c r="H368" i="92"/>
  <c r="G368" i="92"/>
  <c r="F368" i="92"/>
  <c r="E368" i="92"/>
  <c r="D368" i="92"/>
  <c r="C368" i="92"/>
  <c r="B368" i="92"/>
  <c r="N367" i="92"/>
  <c r="M367" i="92"/>
  <c r="L367" i="92"/>
  <c r="K367" i="92"/>
  <c r="J367" i="92"/>
  <c r="I367" i="92"/>
  <c r="H367" i="92"/>
  <c r="G367" i="92"/>
  <c r="F367" i="92"/>
  <c r="E367" i="92"/>
  <c r="D367" i="92"/>
  <c r="C367" i="92"/>
  <c r="B367" i="92"/>
  <c r="N366" i="92"/>
  <c r="M366" i="92"/>
  <c r="L366" i="92"/>
  <c r="K366" i="92"/>
  <c r="J366" i="92"/>
  <c r="I366" i="92"/>
  <c r="H366" i="92"/>
  <c r="G366" i="92"/>
  <c r="F366" i="92"/>
  <c r="E366" i="92"/>
  <c r="D366" i="92"/>
  <c r="C366" i="92"/>
  <c r="B366" i="92"/>
  <c r="N365" i="92"/>
  <c r="M365" i="92"/>
  <c r="L365" i="92"/>
  <c r="K365" i="92"/>
  <c r="J365" i="92"/>
  <c r="I365" i="92"/>
  <c r="H365" i="92"/>
  <c r="G365" i="92"/>
  <c r="F365" i="92"/>
  <c r="E365" i="92"/>
  <c r="D365" i="92"/>
  <c r="C365" i="92"/>
  <c r="B365" i="92"/>
  <c r="N364" i="92"/>
  <c r="M364" i="92"/>
  <c r="L364" i="92"/>
  <c r="K364" i="92"/>
  <c r="J364" i="92"/>
  <c r="I364" i="92"/>
  <c r="H364" i="92"/>
  <c r="G364" i="92"/>
  <c r="F364" i="92"/>
  <c r="E364" i="92"/>
  <c r="D364" i="92"/>
  <c r="C364" i="92"/>
  <c r="B364" i="92"/>
  <c r="N363" i="92"/>
  <c r="M363" i="92"/>
  <c r="L363" i="92"/>
  <c r="K363" i="92"/>
  <c r="J363" i="92"/>
  <c r="I363" i="92"/>
  <c r="H363" i="92"/>
  <c r="G363" i="92"/>
  <c r="F363" i="92"/>
  <c r="E363" i="92"/>
  <c r="D363" i="92"/>
  <c r="C363" i="92"/>
  <c r="B363" i="92"/>
  <c r="O359" i="92"/>
  <c r="N359" i="92"/>
  <c r="M359" i="92"/>
  <c r="L359" i="92"/>
  <c r="K359" i="92"/>
  <c r="J359" i="92"/>
  <c r="I359" i="92"/>
  <c r="H359" i="92"/>
  <c r="G359" i="92"/>
  <c r="F359" i="92"/>
  <c r="E359" i="92"/>
  <c r="D359" i="92"/>
  <c r="C359" i="92"/>
  <c r="A359" i="92"/>
  <c r="N358" i="92"/>
  <c r="M358" i="92"/>
  <c r="L358" i="92"/>
  <c r="K358" i="92"/>
  <c r="J358" i="92"/>
  <c r="I358" i="92"/>
  <c r="H358" i="92"/>
  <c r="G358" i="92"/>
  <c r="F358" i="92"/>
  <c r="E358" i="92"/>
  <c r="D358" i="92"/>
  <c r="C358" i="92"/>
  <c r="B358" i="92"/>
  <c r="N357" i="92"/>
  <c r="M357" i="92"/>
  <c r="L357" i="92"/>
  <c r="K357" i="92"/>
  <c r="J357" i="92"/>
  <c r="I357" i="92"/>
  <c r="H357" i="92"/>
  <c r="G357" i="92"/>
  <c r="F357" i="92"/>
  <c r="E357" i="92"/>
  <c r="D357" i="92"/>
  <c r="C357" i="92"/>
  <c r="B357" i="92"/>
  <c r="N356" i="92"/>
  <c r="M356" i="92"/>
  <c r="L356" i="92"/>
  <c r="K356" i="92"/>
  <c r="J356" i="92"/>
  <c r="I356" i="92"/>
  <c r="H356" i="92"/>
  <c r="G356" i="92"/>
  <c r="F356" i="92"/>
  <c r="E356" i="92"/>
  <c r="D356" i="92"/>
  <c r="C356" i="92"/>
  <c r="B356" i="92"/>
  <c r="N355" i="92"/>
  <c r="M355" i="92"/>
  <c r="L355" i="92"/>
  <c r="K355" i="92"/>
  <c r="J355" i="92"/>
  <c r="I355" i="92"/>
  <c r="H355" i="92"/>
  <c r="G355" i="92"/>
  <c r="F355" i="92"/>
  <c r="E355" i="92"/>
  <c r="D355" i="92"/>
  <c r="C355" i="92"/>
  <c r="B355" i="92"/>
  <c r="N354" i="92"/>
  <c r="M354" i="92"/>
  <c r="L354" i="92"/>
  <c r="K354" i="92"/>
  <c r="J354" i="92"/>
  <c r="I354" i="92"/>
  <c r="H354" i="92"/>
  <c r="G354" i="92"/>
  <c r="F354" i="92"/>
  <c r="E354" i="92"/>
  <c r="D354" i="92"/>
  <c r="C354" i="92"/>
  <c r="B354" i="92"/>
  <c r="N353" i="92"/>
  <c r="M353" i="92"/>
  <c r="L353" i="92"/>
  <c r="K353" i="92"/>
  <c r="J353" i="92"/>
  <c r="I353" i="92"/>
  <c r="H353" i="92"/>
  <c r="G353" i="92"/>
  <c r="F353" i="92"/>
  <c r="E353" i="92"/>
  <c r="D353" i="92"/>
  <c r="C353" i="92"/>
  <c r="B353" i="92"/>
  <c r="N352" i="92"/>
  <c r="M352" i="92"/>
  <c r="L352" i="92"/>
  <c r="K352" i="92"/>
  <c r="J352" i="92"/>
  <c r="I352" i="92"/>
  <c r="H352" i="92"/>
  <c r="G352" i="92"/>
  <c r="F352" i="92"/>
  <c r="E352" i="92"/>
  <c r="D352" i="92"/>
  <c r="C352" i="92"/>
  <c r="B352" i="92"/>
  <c r="N351" i="92"/>
  <c r="M351" i="92"/>
  <c r="L351" i="92"/>
  <c r="K351" i="92"/>
  <c r="J351" i="92"/>
  <c r="I351" i="92"/>
  <c r="H351" i="92"/>
  <c r="G351" i="92"/>
  <c r="F351" i="92"/>
  <c r="E351" i="92"/>
  <c r="D351" i="92"/>
  <c r="C351" i="92"/>
  <c r="B351" i="92"/>
  <c r="N350" i="92"/>
  <c r="M350" i="92"/>
  <c r="L350" i="92"/>
  <c r="K350" i="92"/>
  <c r="J350" i="92"/>
  <c r="I350" i="92"/>
  <c r="H350" i="92"/>
  <c r="G350" i="92"/>
  <c r="F350" i="92"/>
  <c r="E350" i="92"/>
  <c r="D350" i="92"/>
  <c r="C350" i="92"/>
  <c r="B350" i="92"/>
  <c r="N349" i="92"/>
  <c r="M349" i="92"/>
  <c r="L349" i="92"/>
  <c r="K349" i="92"/>
  <c r="J349" i="92"/>
  <c r="I349" i="92"/>
  <c r="H349" i="92"/>
  <c r="G349" i="92"/>
  <c r="F349" i="92"/>
  <c r="E349" i="92"/>
  <c r="D349" i="92"/>
  <c r="C349" i="92"/>
  <c r="B349" i="92"/>
  <c r="N348" i="92"/>
  <c r="M348" i="92"/>
  <c r="L348" i="92"/>
  <c r="K348" i="92"/>
  <c r="J348" i="92"/>
  <c r="I348" i="92"/>
  <c r="H348" i="92"/>
  <c r="G348" i="92"/>
  <c r="F348" i="92"/>
  <c r="E348" i="92"/>
  <c r="D348" i="92"/>
  <c r="C348" i="92"/>
  <c r="B348" i="92"/>
  <c r="N347" i="92"/>
  <c r="M347" i="92"/>
  <c r="L347" i="92"/>
  <c r="K347" i="92"/>
  <c r="J347" i="92"/>
  <c r="I347" i="92"/>
  <c r="H347" i="92"/>
  <c r="G347" i="92"/>
  <c r="F347" i="92"/>
  <c r="E347" i="92"/>
  <c r="D347" i="92"/>
  <c r="C347" i="92"/>
  <c r="B347" i="92"/>
  <c r="N346" i="92"/>
  <c r="M346" i="92"/>
  <c r="L346" i="92"/>
  <c r="K346" i="92"/>
  <c r="J346" i="92"/>
  <c r="I346" i="92"/>
  <c r="H346" i="92"/>
  <c r="G346" i="92"/>
  <c r="F346" i="92"/>
  <c r="E346" i="92"/>
  <c r="D346" i="92"/>
  <c r="C346" i="92"/>
  <c r="B346" i="92"/>
  <c r="N345" i="92"/>
  <c r="M345" i="92"/>
  <c r="L345" i="92"/>
  <c r="K345" i="92"/>
  <c r="J345" i="92"/>
  <c r="I345" i="92"/>
  <c r="H345" i="92"/>
  <c r="G345" i="92"/>
  <c r="F345" i="92"/>
  <c r="E345" i="92"/>
  <c r="D345" i="92"/>
  <c r="C345" i="92"/>
  <c r="B345" i="92"/>
  <c r="N344" i="92"/>
  <c r="M344" i="92"/>
  <c r="L344" i="92"/>
  <c r="K344" i="92"/>
  <c r="J344" i="92"/>
  <c r="I344" i="92"/>
  <c r="H344" i="92"/>
  <c r="G344" i="92"/>
  <c r="F344" i="92"/>
  <c r="E344" i="92"/>
  <c r="D344" i="92"/>
  <c r="C344" i="92"/>
  <c r="B344" i="92"/>
  <c r="N343" i="92"/>
  <c r="M343" i="92"/>
  <c r="L343" i="92"/>
  <c r="K343" i="92"/>
  <c r="J343" i="92"/>
  <c r="I343" i="92"/>
  <c r="H343" i="92"/>
  <c r="G343" i="92"/>
  <c r="F343" i="92"/>
  <c r="E343" i="92"/>
  <c r="D343" i="92"/>
  <c r="C343" i="92"/>
  <c r="B343" i="92"/>
  <c r="N342" i="92"/>
  <c r="M342" i="92"/>
  <c r="L342" i="92"/>
  <c r="K342" i="92"/>
  <c r="J342" i="92"/>
  <c r="I342" i="92"/>
  <c r="H342" i="92"/>
  <c r="G342" i="92"/>
  <c r="F342" i="92"/>
  <c r="E342" i="92"/>
  <c r="D342" i="92"/>
  <c r="C342" i="92"/>
  <c r="B342" i="92"/>
  <c r="N341" i="92"/>
  <c r="M341" i="92"/>
  <c r="L341" i="92"/>
  <c r="K341" i="92"/>
  <c r="J341" i="92"/>
  <c r="I341" i="92"/>
  <c r="H341" i="92"/>
  <c r="G341" i="92"/>
  <c r="F341" i="92"/>
  <c r="E341" i="92"/>
  <c r="D341" i="92"/>
  <c r="C341" i="92"/>
  <c r="B341" i="92"/>
  <c r="N340" i="92"/>
  <c r="M340" i="92"/>
  <c r="L340" i="92"/>
  <c r="K340" i="92"/>
  <c r="J340" i="92"/>
  <c r="I340" i="92"/>
  <c r="H340" i="92"/>
  <c r="G340" i="92"/>
  <c r="F340" i="92"/>
  <c r="E340" i="92"/>
  <c r="D340" i="92"/>
  <c r="C340" i="92"/>
  <c r="B340" i="92"/>
  <c r="N339" i="92"/>
  <c r="M339" i="92"/>
  <c r="L339" i="92"/>
  <c r="K339" i="92"/>
  <c r="J339" i="92"/>
  <c r="I339" i="92"/>
  <c r="H339" i="92"/>
  <c r="G339" i="92"/>
  <c r="F339" i="92"/>
  <c r="E339" i="92"/>
  <c r="D339" i="92"/>
  <c r="C339" i="92"/>
  <c r="B339" i="92"/>
  <c r="N338" i="92"/>
  <c r="M338" i="92"/>
  <c r="L338" i="92"/>
  <c r="K338" i="92"/>
  <c r="J338" i="92"/>
  <c r="I338" i="92"/>
  <c r="H338" i="92"/>
  <c r="G338" i="92"/>
  <c r="F338" i="92"/>
  <c r="E338" i="92"/>
  <c r="D338" i="92"/>
  <c r="C338" i="92"/>
  <c r="B338" i="92"/>
  <c r="N334" i="92"/>
  <c r="M334" i="92"/>
  <c r="L334" i="92"/>
  <c r="K334" i="92"/>
  <c r="J334" i="92"/>
  <c r="I334" i="92"/>
  <c r="H334" i="92"/>
  <c r="G334" i="92"/>
  <c r="F334" i="92"/>
  <c r="E334" i="92"/>
  <c r="D334" i="92"/>
  <c r="C334" i="92"/>
  <c r="A334" i="92"/>
  <c r="O333" i="92"/>
  <c r="N333" i="92"/>
  <c r="M333" i="92"/>
  <c r="L333" i="92"/>
  <c r="K333" i="92"/>
  <c r="J333" i="92"/>
  <c r="I333" i="92"/>
  <c r="H333" i="92"/>
  <c r="G333" i="92"/>
  <c r="F333" i="92"/>
  <c r="E333" i="92"/>
  <c r="D333" i="92"/>
  <c r="C333" i="92"/>
  <c r="A333" i="92"/>
  <c r="N332" i="92"/>
  <c r="M332" i="92"/>
  <c r="L332" i="92"/>
  <c r="K332" i="92"/>
  <c r="J332" i="92"/>
  <c r="I332" i="92"/>
  <c r="H332" i="92"/>
  <c r="G332" i="92"/>
  <c r="F332" i="92"/>
  <c r="E332" i="92"/>
  <c r="D332" i="92"/>
  <c r="C332" i="92"/>
  <c r="B332" i="92"/>
  <c r="AB331" i="92"/>
  <c r="AA331" i="92"/>
  <c r="Z331" i="92"/>
  <c r="Y331" i="92"/>
  <c r="X331" i="92"/>
  <c r="W331" i="92"/>
  <c r="V331" i="92"/>
  <c r="U331" i="92"/>
  <c r="T331" i="92"/>
  <c r="S331" i="92"/>
  <c r="R331" i="92"/>
  <c r="Q331" i="92"/>
  <c r="N331" i="92"/>
  <c r="M331" i="92"/>
  <c r="L331" i="92"/>
  <c r="K331" i="92"/>
  <c r="J331" i="92"/>
  <c r="I331" i="92"/>
  <c r="H331" i="92"/>
  <c r="G331" i="92"/>
  <c r="F331" i="92"/>
  <c r="E331" i="92"/>
  <c r="D331" i="92"/>
  <c r="C331" i="92"/>
  <c r="B331" i="92"/>
  <c r="AB330" i="92"/>
  <c r="AA330" i="92"/>
  <c r="Z330" i="92"/>
  <c r="Y330" i="92"/>
  <c r="X330" i="92"/>
  <c r="W330" i="92"/>
  <c r="V330" i="92"/>
  <c r="U330" i="92"/>
  <c r="T330" i="92"/>
  <c r="S330" i="92"/>
  <c r="R330" i="92"/>
  <c r="Q330" i="92"/>
  <c r="N330" i="92"/>
  <c r="M330" i="92"/>
  <c r="L330" i="92"/>
  <c r="K330" i="92"/>
  <c r="J330" i="92"/>
  <c r="I330" i="92"/>
  <c r="H330" i="92"/>
  <c r="G330" i="92"/>
  <c r="F330" i="92"/>
  <c r="E330" i="92"/>
  <c r="D330" i="92"/>
  <c r="C330" i="92"/>
  <c r="B330" i="92"/>
  <c r="N329" i="92"/>
  <c r="M329" i="92"/>
  <c r="L329" i="92"/>
  <c r="K329" i="92"/>
  <c r="J329" i="92"/>
  <c r="I329" i="92"/>
  <c r="H329" i="92"/>
  <c r="G329" i="92"/>
  <c r="F329" i="92"/>
  <c r="E329" i="92"/>
  <c r="D329" i="92"/>
  <c r="C329" i="92"/>
  <c r="B329" i="92"/>
  <c r="N328" i="92"/>
  <c r="M328" i="92"/>
  <c r="L328" i="92"/>
  <c r="K328" i="92"/>
  <c r="J328" i="92"/>
  <c r="I328" i="92"/>
  <c r="H328" i="92"/>
  <c r="G328" i="92"/>
  <c r="F328" i="92"/>
  <c r="E328" i="92"/>
  <c r="D328" i="92"/>
  <c r="C328" i="92"/>
  <c r="B328" i="92"/>
  <c r="N327" i="92"/>
  <c r="M327" i="92"/>
  <c r="L327" i="92"/>
  <c r="K327" i="92"/>
  <c r="J327" i="92"/>
  <c r="I327" i="92"/>
  <c r="H327" i="92"/>
  <c r="G327" i="92"/>
  <c r="F327" i="92"/>
  <c r="E327" i="92"/>
  <c r="D327" i="92"/>
  <c r="C327" i="92"/>
  <c r="B327" i="92"/>
  <c r="AB326" i="92"/>
  <c r="AA326" i="92"/>
  <c r="Z326" i="92"/>
  <c r="Y326" i="92"/>
  <c r="X326" i="92"/>
  <c r="W326" i="92"/>
  <c r="V326" i="92"/>
  <c r="U326" i="92"/>
  <c r="T326" i="92"/>
  <c r="S326" i="92"/>
  <c r="R326" i="92"/>
  <c r="Q326" i="92"/>
  <c r="N326" i="92"/>
  <c r="M326" i="92"/>
  <c r="L326" i="92"/>
  <c r="K326" i="92"/>
  <c r="J326" i="92"/>
  <c r="I326" i="92"/>
  <c r="H326" i="92"/>
  <c r="G326" i="92"/>
  <c r="F326" i="92"/>
  <c r="E326" i="92"/>
  <c r="D326" i="92"/>
  <c r="C326" i="92"/>
  <c r="B326" i="92"/>
  <c r="AB325" i="92"/>
  <c r="AA325" i="92"/>
  <c r="Z325" i="92"/>
  <c r="Y325" i="92"/>
  <c r="X325" i="92"/>
  <c r="W325" i="92"/>
  <c r="V325" i="92"/>
  <c r="U325" i="92"/>
  <c r="T325" i="92"/>
  <c r="S325" i="92"/>
  <c r="R325" i="92"/>
  <c r="Q325" i="92"/>
  <c r="N325" i="92"/>
  <c r="M325" i="92"/>
  <c r="L325" i="92"/>
  <c r="K325" i="92"/>
  <c r="J325" i="92"/>
  <c r="I325" i="92"/>
  <c r="H325" i="92"/>
  <c r="G325" i="92"/>
  <c r="F325" i="92"/>
  <c r="E325" i="92"/>
  <c r="D325" i="92"/>
  <c r="C325" i="92"/>
  <c r="B325" i="92"/>
  <c r="N324" i="92"/>
  <c r="M324" i="92"/>
  <c r="L324" i="92"/>
  <c r="K324" i="92"/>
  <c r="J324" i="92"/>
  <c r="I324" i="92"/>
  <c r="H324" i="92"/>
  <c r="G324" i="92"/>
  <c r="F324" i="92"/>
  <c r="E324" i="92"/>
  <c r="D324" i="92"/>
  <c r="C324" i="92"/>
  <c r="B324" i="92"/>
  <c r="N323" i="92"/>
  <c r="M323" i="92"/>
  <c r="L323" i="92"/>
  <c r="K323" i="92"/>
  <c r="J323" i="92"/>
  <c r="I323" i="92"/>
  <c r="H323" i="92"/>
  <c r="G323" i="92"/>
  <c r="F323" i="92"/>
  <c r="E323" i="92"/>
  <c r="D323" i="92"/>
  <c r="C323" i="92"/>
  <c r="B323" i="92"/>
  <c r="AB322" i="92"/>
  <c r="AA322" i="92"/>
  <c r="Z322" i="92"/>
  <c r="Y322" i="92"/>
  <c r="X322" i="92"/>
  <c r="W322" i="92"/>
  <c r="V322" i="92"/>
  <c r="U322" i="92"/>
  <c r="T322" i="92"/>
  <c r="S322" i="92"/>
  <c r="R322" i="92"/>
  <c r="Q322" i="92"/>
  <c r="N322" i="92"/>
  <c r="M322" i="92"/>
  <c r="L322" i="92"/>
  <c r="K322" i="92"/>
  <c r="J322" i="92"/>
  <c r="I322" i="92"/>
  <c r="H322" i="92"/>
  <c r="G322" i="92"/>
  <c r="F322" i="92"/>
  <c r="E322" i="92"/>
  <c r="D322" i="92"/>
  <c r="C322" i="92"/>
  <c r="B322" i="92"/>
  <c r="AB321" i="92"/>
  <c r="AA321" i="92"/>
  <c r="Z321" i="92"/>
  <c r="Y321" i="92"/>
  <c r="X321" i="92"/>
  <c r="W321" i="92"/>
  <c r="V321" i="92"/>
  <c r="U321" i="92"/>
  <c r="T321" i="92"/>
  <c r="S321" i="92"/>
  <c r="R321" i="92"/>
  <c r="Q321" i="92"/>
  <c r="N321" i="92"/>
  <c r="M321" i="92"/>
  <c r="L321" i="92"/>
  <c r="K321" i="92"/>
  <c r="J321" i="92"/>
  <c r="I321" i="92"/>
  <c r="H321" i="92"/>
  <c r="G321" i="92"/>
  <c r="F321" i="92"/>
  <c r="E321" i="92"/>
  <c r="D321" i="92"/>
  <c r="C321" i="92"/>
  <c r="B321" i="92"/>
  <c r="N320" i="92"/>
  <c r="M320" i="92"/>
  <c r="L320" i="92"/>
  <c r="K320" i="92"/>
  <c r="J320" i="92"/>
  <c r="I320" i="92"/>
  <c r="H320" i="92"/>
  <c r="G320" i="92"/>
  <c r="F320" i="92"/>
  <c r="E320" i="92"/>
  <c r="D320" i="92"/>
  <c r="C320" i="92"/>
  <c r="B320" i="92"/>
  <c r="N319" i="92"/>
  <c r="M319" i="92"/>
  <c r="L319" i="92"/>
  <c r="K319" i="92"/>
  <c r="J319" i="92"/>
  <c r="I319" i="92"/>
  <c r="H319" i="92"/>
  <c r="G319" i="92"/>
  <c r="F319" i="92"/>
  <c r="E319" i="92"/>
  <c r="D319" i="92"/>
  <c r="C319" i="92"/>
  <c r="B319" i="92"/>
  <c r="N318" i="92"/>
  <c r="M318" i="92"/>
  <c r="L318" i="92"/>
  <c r="K318" i="92"/>
  <c r="J318" i="92"/>
  <c r="I318" i="92"/>
  <c r="H318" i="92"/>
  <c r="G318" i="92"/>
  <c r="F318" i="92"/>
  <c r="E318" i="92"/>
  <c r="D318" i="92"/>
  <c r="C318" i="92"/>
  <c r="B318" i="92"/>
  <c r="AB317" i="92"/>
  <c r="AA317" i="92"/>
  <c r="Z317" i="92"/>
  <c r="Y317" i="92"/>
  <c r="X317" i="92"/>
  <c r="W317" i="92"/>
  <c r="V317" i="92"/>
  <c r="U317" i="92"/>
  <c r="T317" i="92"/>
  <c r="S317" i="92"/>
  <c r="R317" i="92"/>
  <c r="Q317" i="92"/>
  <c r="N317" i="92"/>
  <c r="M317" i="92"/>
  <c r="L317" i="92"/>
  <c r="K317" i="92"/>
  <c r="J317" i="92"/>
  <c r="I317" i="92"/>
  <c r="H317" i="92"/>
  <c r="G317" i="92"/>
  <c r="F317" i="92"/>
  <c r="E317" i="92"/>
  <c r="D317" i="92"/>
  <c r="C317" i="92"/>
  <c r="B317" i="92"/>
  <c r="AB316" i="92"/>
  <c r="AA316" i="92"/>
  <c r="Z316" i="92"/>
  <c r="Y316" i="92"/>
  <c r="X316" i="92"/>
  <c r="W316" i="92"/>
  <c r="V316" i="92"/>
  <c r="U316" i="92"/>
  <c r="T316" i="92"/>
  <c r="S316" i="92"/>
  <c r="R316" i="92"/>
  <c r="Q316" i="92"/>
  <c r="N316" i="92"/>
  <c r="M316" i="92"/>
  <c r="L316" i="92"/>
  <c r="K316" i="92"/>
  <c r="J316" i="92"/>
  <c r="I316" i="92"/>
  <c r="H316" i="92"/>
  <c r="G316" i="92"/>
  <c r="F316" i="92"/>
  <c r="E316" i="92"/>
  <c r="D316" i="92"/>
  <c r="C316" i="92"/>
  <c r="B316" i="92"/>
  <c r="AB315" i="92"/>
  <c r="AA315" i="92"/>
  <c r="Z315" i="92"/>
  <c r="Y315" i="92"/>
  <c r="X315" i="92"/>
  <c r="W315" i="92"/>
  <c r="V315" i="92"/>
  <c r="U315" i="92"/>
  <c r="T315" i="92"/>
  <c r="S315" i="92"/>
  <c r="R315" i="92"/>
  <c r="Q315" i="92"/>
  <c r="N315" i="92"/>
  <c r="M315" i="92"/>
  <c r="L315" i="92"/>
  <c r="K315" i="92"/>
  <c r="J315" i="92"/>
  <c r="I315" i="92"/>
  <c r="H315" i="92"/>
  <c r="G315" i="92"/>
  <c r="F315" i="92"/>
  <c r="E315" i="92"/>
  <c r="D315" i="92"/>
  <c r="C315" i="92"/>
  <c r="B315" i="92"/>
  <c r="AB314" i="92"/>
  <c r="AA314" i="92"/>
  <c r="Z314" i="92"/>
  <c r="Y314" i="92"/>
  <c r="X314" i="92"/>
  <c r="W314" i="92"/>
  <c r="V314" i="92"/>
  <c r="U314" i="92"/>
  <c r="T314" i="92"/>
  <c r="S314" i="92"/>
  <c r="R314" i="92"/>
  <c r="Q314" i="92"/>
  <c r="N314" i="92"/>
  <c r="M314" i="92"/>
  <c r="L314" i="92"/>
  <c r="K314" i="92"/>
  <c r="J314" i="92"/>
  <c r="I314" i="92"/>
  <c r="H314" i="92"/>
  <c r="G314" i="92"/>
  <c r="F314" i="92"/>
  <c r="E314" i="92"/>
  <c r="D314" i="92"/>
  <c r="C314" i="92"/>
  <c r="B314" i="92"/>
  <c r="N313" i="92"/>
  <c r="M313" i="92"/>
  <c r="L313" i="92"/>
  <c r="K313" i="92"/>
  <c r="J313" i="92"/>
  <c r="I313" i="92"/>
  <c r="H313" i="92"/>
  <c r="G313" i="92"/>
  <c r="F313" i="92"/>
  <c r="E313" i="92"/>
  <c r="D313" i="92"/>
  <c r="C313" i="92"/>
  <c r="B313" i="92"/>
  <c r="N312" i="92"/>
  <c r="M312" i="92"/>
  <c r="L312" i="92"/>
  <c r="K312" i="92"/>
  <c r="J312" i="92"/>
  <c r="I312" i="92"/>
  <c r="H312" i="92"/>
  <c r="G312" i="92"/>
  <c r="F312" i="92"/>
  <c r="E312" i="92"/>
  <c r="D312" i="92"/>
  <c r="C312" i="92"/>
  <c r="O308" i="92"/>
  <c r="N308" i="92"/>
  <c r="M308" i="92"/>
  <c r="L308" i="92"/>
  <c r="K308" i="92"/>
  <c r="J308" i="92"/>
  <c r="I308" i="92"/>
  <c r="H308" i="92"/>
  <c r="G308" i="92"/>
  <c r="F308" i="92"/>
  <c r="E308" i="92"/>
  <c r="D308" i="92"/>
  <c r="C308" i="92"/>
  <c r="A308" i="92"/>
  <c r="N307" i="92"/>
  <c r="M307" i="92"/>
  <c r="L307" i="92"/>
  <c r="K307" i="92"/>
  <c r="J307" i="92"/>
  <c r="I307" i="92"/>
  <c r="H307" i="92"/>
  <c r="G307" i="92"/>
  <c r="F307" i="92"/>
  <c r="E307" i="92"/>
  <c r="D307" i="92"/>
  <c r="C307" i="92"/>
  <c r="N306" i="92"/>
  <c r="M306" i="92"/>
  <c r="L306" i="92"/>
  <c r="K306" i="92"/>
  <c r="J306" i="92"/>
  <c r="I306" i="92"/>
  <c r="H306" i="92"/>
  <c r="G306" i="92"/>
  <c r="F306" i="92"/>
  <c r="E306" i="92"/>
  <c r="D306" i="92"/>
  <c r="C306" i="92"/>
  <c r="B306" i="92"/>
  <c r="N305" i="92"/>
  <c r="M305" i="92"/>
  <c r="L305" i="92"/>
  <c r="K305" i="92"/>
  <c r="J305" i="92"/>
  <c r="I305" i="92"/>
  <c r="H305" i="92"/>
  <c r="G305" i="92"/>
  <c r="F305" i="92"/>
  <c r="E305" i="92"/>
  <c r="D305" i="92"/>
  <c r="C305" i="92"/>
  <c r="B305" i="92"/>
  <c r="N304" i="92"/>
  <c r="M304" i="92"/>
  <c r="L304" i="92"/>
  <c r="K304" i="92"/>
  <c r="J304" i="92"/>
  <c r="I304" i="92"/>
  <c r="H304" i="92"/>
  <c r="G304" i="92"/>
  <c r="F304" i="92"/>
  <c r="E304" i="92"/>
  <c r="D304" i="92"/>
  <c r="C304" i="92"/>
  <c r="B304" i="92"/>
  <c r="N303" i="92"/>
  <c r="M303" i="92"/>
  <c r="L303" i="92"/>
  <c r="K303" i="92"/>
  <c r="J303" i="92"/>
  <c r="I303" i="92"/>
  <c r="H303" i="92"/>
  <c r="G303" i="92"/>
  <c r="F303" i="92"/>
  <c r="E303" i="92"/>
  <c r="D303" i="92"/>
  <c r="C303" i="92"/>
  <c r="B303" i="92"/>
  <c r="N302" i="92"/>
  <c r="M302" i="92"/>
  <c r="L302" i="92"/>
  <c r="K302" i="92"/>
  <c r="J302" i="92"/>
  <c r="I302" i="92"/>
  <c r="H302" i="92"/>
  <c r="G302" i="92"/>
  <c r="F302" i="92"/>
  <c r="E302" i="92"/>
  <c r="D302" i="92"/>
  <c r="C302" i="92"/>
  <c r="B302" i="92"/>
  <c r="N301" i="92"/>
  <c r="M301" i="92"/>
  <c r="L301" i="92"/>
  <c r="K301" i="92"/>
  <c r="J301" i="92"/>
  <c r="I301" i="92"/>
  <c r="H301" i="92"/>
  <c r="G301" i="92"/>
  <c r="F301" i="92"/>
  <c r="E301" i="92"/>
  <c r="D301" i="92"/>
  <c r="C301" i="92"/>
  <c r="B301" i="92"/>
  <c r="N300" i="92"/>
  <c r="M300" i="92"/>
  <c r="L300" i="92"/>
  <c r="K300" i="92"/>
  <c r="J300" i="92"/>
  <c r="I300" i="92"/>
  <c r="H300" i="92"/>
  <c r="G300" i="92"/>
  <c r="F300" i="92"/>
  <c r="E300" i="92"/>
  <c r="D300" i="92"/>
  <c r="C300" i="92"/>
  <c r="B300" i="92"/>
  <c r="N299" i="92"/>
  <c r="M299" i="92"/>
  <c r="L299" i="92"/>
  <c r="K299" i="92"/>
  <c r="J299" i="92"/>
  <c r="I299" i="92"/>
  <c r="H299" i="92"/>
  <c r="G299" i="92"/>
  <c r="F299" i="92"/>
  <c r="E299" i="92"/>
  <c r="D299" i="92"/>
  <c r="C299" i="92"/>
  <c r="B299" i="92"/>
  <c r="N298" i="92"/>
  <c r="M298" i="92"/>
  <c r="L298" i="92"/>
  <c r="K298" i="92"/>
  <c r="J298" i="92"/>
  <c r="I298" i="92"/>
  <c r="H298" i="92"/>
  <c r="G298" i="92"/>
  <c r="F298" i="92"/>
  <c r="E298" i="92"/>
  <c r="D298" i="92"/>
  <c r="C298" i="92"/>
  <c r="B298" i="92"/>
  <c r="N297" i="92"/>
  <c r="M297" i="92"/>
  <c r="L297" i="92"/>
  <c r="K297" i="92"/>
  <c r="J297" i="92"/>
  <c r="I297" i="92"/>
  <c r="H297" i="92"/>
  <c r="G297" i="92"/>
  <c r="F297" i="92"/>
  <c r="E297" i="92"/>
  <c r="D297" i="92"/>
  <c r="C297" i="92"/>
  <c r="B297" i="92"/>
  <c r="N296" i="92"/>
  <c r="M296" i="92"/>
  <c r="L296" i="92"/>
  <c r="K296" i="92"/>
  <c r="J296" i="92"/>
  <c r="I296" i="92"/>
  <c r="H296" i="92"/>
  <c r="G296" i="92"/>
  <c r="F296" i="92"/>
  <c r="E296" i="92"/>
  <c r="D296" i="92"/>
  <c r="C296" i="92"/>
  <c r="B296" i="92"/>
  <c r="N295" i="92"/>
  <c r="M295" i="92"/>
  <c r="L295" i="92"/>
  <c r="K295" i="92"/>
  <c r="J295" i="92"/>
  <c r="I295" i="92"/>
  <c r="H295" i="92"/>
  <c r="G295" i="92"/>
  <c r="F295" i="92"/>
  <c r="E295" i="92"/>
  <c r="D295" i="92"/>
  <c r="C295" i="92"/>
  <c r="B295" i="92"/>
  <c r="N294" i="92"/>
  <c r="M294" i="92"/>
  <c r="L294" i="92"/>
  <c r="K294" i="92"/>
  <c r="J294" i="92"/>
  <c r="I294" i="92"/>
  <c r="H294" i="92"/>
  <c r="G294" i="92"/>
  <c r="F294" i="92"/>
  <c r="E294" i="92"/>
  <c r="D294" i="92"/>
  <c r="C294" i="92"/>
  <c r="B294" i="92"/>
  <c r="N293" i="92"/>
  <c r="M293" i="92"/>
  <c r="L293" i="92"/>
  <c r="K293" i="92"/>
  <c r="J293" i="92"/>
  <c r="I293" i="92"/>
  <c r="H293" i="92"/>
  <c r="G293" i="92"/>
  <c r="F293" i="92"/>
  <c r="E293" i="92"/>
  <c r="D293" i="92"/>
  <c r="C293" i="92"/>
  <c r="B293" i="92"/>
  <c r="N292" i="92"/>
  <c r="M292" i="92"/>
  <c r="L292" i="92"/>
  <c r="K292" i="92"/>
  <c r="J292" i="92"/>
  <c r="I292" i="92"/>
  <c r="H292" i="92"/>
  <c r="G292" i="92"/>
  <c r="F292" i="92"/>
  <c r="E292" i="92"/>
  <c r="D292" i="92"/>
  <c r="C292" i="92"/>
  <c r="B292" i="92"/>
  <c r="N291" i="92"/>
  <c r="M291" i="92"/>
  <c r="L291" i="92"/>
  <c r="K291" i="92"/>
  <c r="J291" i="92"/>
  <c r="I291" i="92"/>
  <c r="H291" i="92"/>
  <c r="G291" i="92"/>
  <c r="F291" i="92"/>
  <c r="E291" i="92"/>
  <c r="D291" i="92"/>
  <c r="C291" i="92"/>
  <c r="B291" i="92"/>
  <c r="N290" i="92"/>
  <c r="M290" i="92"/>
  <c r="L290" i="92"/>
  <c r="K290" i="92"/>
  <c r="J290" i="92"/>
  <c r="I290" i="92"/>
  <c r="H290" i="92"/>
  <c r="G290" i="92"/>
  <c r="F290" i="92"/>
  <c r="E290" i="92"/>
  <c r="D290" i="92"/>
  <c r="C290" i="92"/>
  <c r="B290" i="92"/>
  <c r="N289" i="92"/>
  <c r="M289" i="92"/>
  <c r="L289" i="92"/>
  <c r="K289" i="92"/>
  <c r="J289" i="92"/>
  <c r="I289" i="92"/>
  <c r="H289" i="92"/>
  <c r="G289" i="92"/>
  <c r="F289" i="92"/>
  <c r="E289" i="92"/>
  <c r="D289" i="92"/>
  <c r="C289" i="92"/>
  <c r="B289" i="92"/>
  <c r="N288" i="92"/>
  <c r="M288" i="92"/>
  <c r="L288" i="92"/>
  <c r="K288" i="92"/>
  <c r="J288" i="92"/>
  <c r="I288" i="92"/>
  <c r="H288" i="92"/>
  <c r="G288" i="92"/>
  <c r="F288" i="92"/>
  <c r="E288" i="92"/>
  <c r="D288" i="92"/>
  <c r="C288" i="92"/>
  <c r="B288" i="92"/>
  <c r="N287" i="92"/>
  <c r="M287" i="92"/>
  <c r="L287" i="92"/>
  <c r="K287" i="92"/>
  <c r="J287" i="92"/>
  <c r="I287" i="92"/>
  <c r="H287" i="92"/>
  <c r="G287" i="92"/>
  <c r="F287" i="92"/>
  <c r="E287" i="92"/>
  <c r="D287" i="92"/>
  <c r="C287" i="92"/>
  <c r="N283" i="92"/>
  <c r="M283" i="92"/>
  <c r="L283" i="92"/>
  <c r="K283" i="92"/>
  <c r="J283" i="92"/>
  <c r="I283" i="92"/>
  <c r="H283" i="92"/>
  <c r="G283" i="92"/>
  <c r="F283" i="92"/>
  <c r="E283" i="92"/>
  <c r="D283" i="92"/>
  <c r="C283" i="92"/>
  <c r="A283" i="92"/>
  <c r="O282" i="92"/>
  <c r="N282" i="92"/>
  <c r="M282" i="92"/>
  <c r="L282" i="92"/>
  <c r="K282" i="92"/>
  <c r="J282" i="92"/>
  <c r="I282" i="92"/>
  <c r="H282" i="92"/>
  <c r="G282" i="92"/>
  <c r="F282" i="92"/>
  <c r="E282" i="92"/>
  <c r="D282" i="92"/>
  <c r="C282" i="92"/>
  <c r="A282" i="92"/>
  <c r="N281" i="92"/>
  <c r="M281" i="92"/>
  <c r="L281" i="92"/>
  <c r="K281" i="92"/>
  <c r="J281" i="92"/>
  <c r="I281" i="92"/>
  <c r="H281" i="92"/>
  <c r="G281" i="92"/>
  <c r="F281" i="92"/>
  <c r="E281" i="92"/>
  <c r="D281" i="92"/>
  <c r="C281" i="92"/>
  <c r="B281" i="92"/>
  <c r="AB280" i="92"/>
  <c r="AA280" i="92"/>
  <c r="Z280" i="92"/>
  <c r="Y280" i="92"/>
  <c r="X280" i="92"/>
  <c r="W280" i="92"/>
  <c r="V280" i="92"/>
  <c r="U280" i="92"/>
  <c r="T280" i="92"/>
  <c r="S280" i="92"/>
  <c r="R280" i="92"/>
  <c r="Q280" i="92"/>
  <c r="N280" i="92"/>
  <c r="M280" i="92"/>
  <c r="L280" i="92"/>
  <c r="K280" i="92"/>
  <c r="J280" i="92"/>
  <c r="I280" i="92"/>
  <c r="H280" i="92"/>
  <c r="G280" i="92"/>
  <c r="F280" i="92"/>
  <c r="E280" i="92"/>
  <c r="D280" i="92"/>
  <c r="C280" i="92"/>
  <c r="B280" i="92"/>
  <c r="AB279" i="92"/>
  <c r="AA279" i="92"/>
  <c r="Z279" i="92"/>
  <c r="Y279" i="92"/>
  <c r="X279" i="92"/>
  <c r="W279" i="92"/>
  <c r="V279" i="92"/>
  <c r="U279" i="92"/>
  <c r="T279" i="92"/>
  <c r="S279" i="92"/>
  <c r="R279" i="92"/>
  <c r="Q279" i="92"/>
  <c r="N279" i="92"/>
  <c r="M279" i="92"/>
  <c r="L279" i="92"/>
  <c r="K279" i="92"/>
  <c r="J279" i="92"/>
  <c r="I279" i="92"/>
  <c r="H279" i="92"/>
  <c r="G279" i="92"/>
  <c r="F279" i="92"/>
  <c r="E279" i="92"/>
  <c r="D279" i="92"/>
  <c r="C279" i="92"/>
  <c r="B279" i="92"/>
  <c r="N278" i="92"/>
  <c r="M278" i="92"/>
  <c r="L278" i="92"/>
  <c r="K278" i="92"/>
  <c r="J278" i="92"/>
  <c r="I278" i="92"/>
  <c r="H278" i="92"/>
  <c r="G278" i="92"/>
  <c r="F278" i="92"/>
  <c r="E278" i="92"/>
  <c r="D278" i="92"/>
  <c r="C278" i="92"/>
  <c r="B278" i="92"/>
  <c r="N277" i="92"/>
  <c r="M277" i="92"/>
  <c r="L277" i="92"/>
  <c r="K277" i="92"/>
  <c r="J277" i="92"/>
  <c r="I277" i="92"/>
  <c r="H277" i="92"/>
  <c r="G277" i="92"/>
  <c r="F277" i="92"/>
  <c r="E277" i="92"/>
  <c r="D277" i="92"/>
  <c r="C277" i="92"/>
  <c r="B277" i="92"/>
  <c r="N276" i="92"/>
  <c r="M276" i="92"/>
  <c r="L276" i="92"/>
  <c r="K276" i="92"/>
  <c r="J276" i="92"/>
  <c r="I276" i="92"/>
  <c r="H276" i="92"/>
  <c r="G276" i="92"/>
  <c r="F276" i="92"/>
  <c r="E276" i="92"/>
  <c r="D276" i="92"/>
  <c r="C276" i="92"/>
  <c r="B276" i="92"/>
  <c r="AB275" i="92"/>
  <c r="AA275" i="92"/>
  <c r="Z275" i="92"/>
  <c r="Y275" i="92"/>
  <c r="X275" i="92"/>
  <c r="W275" i="92"/>
  <c r="V275" i="92"/>
  <c r="U275" i="92"/>
  <c r="T275" i="92"/>
  <c r="S275" i="92"/>
  <c r="R275" i="92"/>
  <c r="Q275" i="92"/>
  <c r="N275" i="92"/>
  <c r="M275" i="92"/>
  <c r="L275" i="92"/>
  <c r="K275" i="92"/>
  <c r="J275" i="92"/>
  <c r="I275" i="92"/>
  <c r="H275" i="92"/>
  <c r="G275" i="92"/>
  <c r="F275" i="92"/>
  <c r="E275" i="92"/>
  <c r="D275" i="92"/>
  <c r="C275" i="92"/>
  <c r="B275" i="92"/>
  <c r="AB274" i="92"/>
  <c r="AA274" i="92"/>
  <c r="Z274" i="92"/>
  <c r="Y274" i="92"/>
  <c r="X274" i="92"/>
  <c r="W274" i="92"/>
  <c r="V274" i="92"/>
  <c r="U274" i="92"/>
  <c r="T274" i="92"/>
  <c r="S274" i="92"/>
  <c r="R274" i="92"/>
  <c r="Q274" i="92"/>
  <c r="N274" i="92"/>
  <c r="M274" i="92"/>
  <c r="L274" i="92"/>
  <c r="K274" i="92"/>
  <c r="J274" i="92"/>
  <c r="I274" i="92"/>
  <c r="H274" i="92"/>
  <c r="G274" i="92"/>
  <c r="F274" i="92"/>
  <c r="E274" i="92"/>
  <c r="D274" i="92"/>
  <c r="C274" i="92"/>
  <c r="B274" i="92"/>
  <c r="N273" i="92"/>
  <c r="M273" i="92"/>
  <c r="L273" i="92"/>
  <c r="K273" i="92"/>
  <c r="J273" i="92"/>
  <c r="I273" i="92"/>
  <c r="H273" i="92"/>
  <c r="G273" i="92"/>
  <c r="F273" i="92"/>
  <c r="E273" i="92"/>
  <c r="D273" i="92"/>
  <c r="C273" i="92"/>
  <c r="B273" i="92"/>
  <c r="N272" i="92"/>
  <c r="M272" i="92"/>
  <c r="L272" i="92"/>
  <c r="K272" i="92"/>
  <c r="J272" i="92"/>
  <c r="I272" i="92"/>
  <c r="H272" i="92"/>
  <c r="G272" i="92"/>
  <c r="F272" i="92"/>
  <c r="E272" i="92"/>
  <c r="D272" i="92"/>
  <c r="C272" i="92"/>
  <c r="B272" i="92"/>
  <c r="AB271" i="92"/>
  <c r="AA271" i="92"/>
  <c r="Z271" i="92"/>
  <c r="Y271" i="92"/>
  <c r="X271" i="92"/>
  <c r="W271" i="92"/>
  <c r="V271" i="92"/>
  <c r="U271" i="92"/>
  <c r="T271" i="92"/>
  <c r="S271" i="92"/>
  <c r="R271" i="92"/>
  <c r="Q271" i="92"/>
  <c r="N271" i="92"/>
  <c r="M271" i="92"/>
  <c r="L271" i="92"/>
  <c r="K271" i="92"/>
  <c r="J271" i="92"/>
  <c r="I271" i="92"/>
  <c r="H271" i="92"/>
  <c r="G271" i="92"/>
  <c r="F271" i="92"/>
  <c r="E271" i="92"/>
  <c r="D271" i="92"/>
  <c r="C271" i="92"/>
  <c r="B271" i="92"/>
  <c r="AB270" i="92"/>
  <c r="AA270" i="92"/>
  <c r="Z270" i="92"/>
  <c r="Y270" i="92"/>
  <c r="X270" i="92"/>
  <c r="W270" i="92"/>
  <c r="V270" i="92"/>
  <c r="U270" i="92"/>
  <c r="T270" i="92"/>
  <c r="S270" i="92"/>
  <c r="R270" i="92"/>
  <c r="Q270" i="92"/>
  <c r="N270" i="92"/>
  <c r="M270" i="92"/>
  <c r="L270" i="92"/>
  <c r="K270" i="92"/>
  <c r="J270" i="92"/>
  <c r="I270" i="92"/>
  <c r="H270" i="92"/>
  <c r="G270" i="92"/>
  <c r="F270" i="92"/>
  <c r="E270" i="92"/>
  <c r="D270" i="92"/>
  <c r="C270" i="92"/>
  <c r="B270" i="92"/>
  <c r="N269" i="92"/>
  <c r="M269" i="92"/>
  <c r="L269" i="92"/>
  <c r="K269" i="92"/>
  <c r="J269" i="92"/>
  <c r="I269" i="92"/>
  <c r="H269" i="92"/>
  <c r="G269" i="92"/>
  <c r="F269" i="92"/>
  <c r="E269" i="92"/>
  <c r="D269" i="92"/>
  <c r="C269" i="92"/>
  <c r="B269" i="92"/>
  <c r="N268" i="92"/>
  <c r="M268" i="92"/>
  <c r="L268" i="92"/>
  <c r="K268" i="92"/>
  <c r="J268" i="92"/>
  <c r="I268" i="92"/>
  <c r="H268" i="92"/>
  <c r="G268" i="92"/>
  <c r="F268" i="92"/>
  <c r="E268" i="92"/>
  <c r="D268" i="92"/>
  <c r="C268" i="92"/>
  <c r="B268" i="92"/>
  <c r="N267" i="92"/>
  <c r="M267" i="92"/>
  <c r="L267" i="92"/>
  <c r="K267" i="92"/>
  <c r="J267" i="92"/>
  <c r="I267" i="92"/>
  <c r="H267" i="92"/>
  <c r="G267" i="92"/>
  <c r="F267" i="92"/>
  <c r="E267" i="92"/>
  <c r="D267" i="92"/>
  <c r="C267" i="92"/>
  <c r="B267" i="92"/>
  <c r="AB266" i="92"/>
  <c r="AA266" i="92"/>
  <c r="Z266" i="92"/>
  <c r="Y266" i="92"/>
  <c r="X266" i="92"/>
  <c r="W266" i="92"/>
  <c r="V266" i="92"/>
  <c r="U266" i="92"/>
  <c r="T266" i="92"/>
  <c r="S266" i="92"/>
  <c r="R266" i="92"/>
  <c r="Q266" i="92"/>
  <c r="N266" i="92"/>
  <c r="M266" i="92"/>
  <c r="L266" i="92"/>
  <c r="K266" i="92"/>
  <c r="J266" i="92"/>
  <c r="I266" i="92"/>
  <c r="H266" i="92"/>
  <c r="G266" i="92"/>
  <c r="F266" i="92"/>
  <c r="E266" i="92"/>
  <c r="D266" i="92"/>
  <c r="C266" i="92"/>
  <c r="B266" i="92"/>
  <c r="AB265" i="92"/>
  <c r="AA265" i="92"/>
  <c r="Z265" i="92"/>
  <c r="Y265" i="92"/>
  <c r="X265" i="92"/>
  <c r="W265" i="92"/>
  <c r="V265" i="92"/>
  <c r="U265" i="92"/>
  <c r="T265" i="92"/>
  <c r="S265" i="92"/>
  <c r="R265" i="92"/>
  <c r="Q265" i="92"/>
  <c r="N265" i="92"/>
  <c r="M265" i="92"/>
  <c r="L265" i="92"/>
  <c r="K265" i="92"/>
  <c r="J265" i="92"/>
  <c r="I265" i="92"/>
  <c r="H265" i="92"/>
  <c r="G265" i="92"/>
  <c r="F265" i="92"/>
  <c r="E265" i="92"/>
  <c r="D265" i="92"/>
  <c r="C265" i="92"/>
  <c r="B265" i="92"/>
  <c r="AB264" i="92"/>
  <c r="AA264" i="92"/>
  <c r="Z264" i="92"/>
  <c r="Y264" i="92"/>
  <c r="X264" i="92"/>
  <c r="W264" i="92"/>
  <c r="V264" i="92"/>
  <c r="U264" i="92"/>
  <c r="T264" i="92"/>
  <c r="S264" i="92"/>
  <c r="R264" i="92"/>
  <c r="Q264" i="92"/>
  <c r="N264" i="92"/>
  <c r="M264" i="92"/>
  <c r="L264" i="92"/>
  <c r="K264" i="92"/>
  <c r="J264" i="92"/>
  <c r="I264" i="92"/>
  <c r="H264" i="92"/>
  <c r="G264" i="92"/>
  <c r="F264" i="92"/>
  <c r="E264" i="92"/>
  <c r="D264" i="92"/>
  <c r="C264" i="92"/>
  <c r="B264" i="92"/>
  <c r="AB263" i="92"/>
  <c r="AA263" i="92"/>
  <c r="Z263" i="92"/>
  <c r="Y263" i="92"/>
  <c r="X263" i="92"/>
  <c r="W263" i="92"/>
  <c r="V263" i="92"/>
  <c r="U263" i="92"/>
  <c r="T263" i="92"/>
  <c r="S263" i="92"/>
  <c r="R263" i="92"/>
  <c r="Q263" i="92"/>
  <c r="N263" i="92"/>
  <c r="M263" i="92"/>
  <c r="L263" i="92"/>
  <c r="K263" i="92"/>
  <c r="J263" i="92"/>
  <c r="I263" i="92"/>
  <c r="H263" i="92"/>
  <c r="G263" i="92"/>
  <c r="F263" i="92"/>
  <c r="E263" i="92"/>
  <c r="D263" i="92"/>
  <c r="C263" i="92"/>
  <c r="B263" i="92"/>
  <c r="N262" i="92"/>
  <c r="M262" i="92"/>
  <c r="L262" i="92"/>
  <c r="K262" i="92"/>
  <c r="J262" i="92"/>
  <c r="I262" i="92"/>
  <c r="H262" i="92"/>
  <c r="G262" i="92"/>
  <c r="F262" i="92"/>
  <c r="E262" i="92"/>
  <c r="D262" i="92"/>
  <c r="C262" i="92"/>
  <c r="B262" i="92"/>
  <c r="N261" i="92"/>
  <c r="M261" i="92"/>
  <c r="L261" i="92"/>
  <c r="K261" i="92"/>
  <c r="J261" i="92"/>
  <c r="I261" i="92"/>
  <c r="H261" i="92"/>
  <c r="G261" i="92"/>
  <c r="F261" i="92"/>
  <c r="E261" i="92"/>
  <c r="D261" i="92"/>
  <c r="C261" i="92"/>
  <c r="O257" i="92"/>
  <c r="N257" i="92"/>
  <c r="M257" i="92"/>
  <c r="L257" i="92"/>
  <c r="K257" i="92"/>
  <c r="J257" i="92"/>
  <c r="I257" i="92"/>
  <c r="H257" i="92"/>
  <c r="G257" i="92"/>
  <c r="F257" i="92"/>
  <c r="E257" i="92"/>
  <c r="D257" i="92"/>
  <c r="C257" i="92"/>
  <c r="A257" i="92"/>
  <c r="N256" i="92"/>
  <c r="M256" i="92"/>
  <c r="L256" i="92"/>
  <c r="K256" i="92"/>
  <c r="J256" i="92"/>
  <c r="I256" i="92"/>
  <c r="H256" i="92"/>
  <c r="G256" i="92"/>
  <c r="F256" i="92"/>
  <c r="E256" i="92"/>
  <c r="D256" i="92"/>
  <c r="C256" i="92"/>
  <c r="N255" i="92"/>
  <c r="M255" i="92"/>
  <c r="L255" i="92"/>
  <c r="K255" i="92"/>
  <c r="J255" i="92"/>
  <c r="I255" i="92"/>
  <c r="H255" i="92"/>
  <c r="G255" i="92"/>
  <c r="F255" i="92"/>
  <c r="E255" i="92"/>
  <c r="D255" i="92"/>
  <c r="C255" i="92"/>
  <c r="B255" i="92"/>
  <c r="N254" i="92"/>
  <c r="M254" i="92"/>
  <c r="L254" i="92"/>
  <c r="K254" i="92"/>
  <c r="J254" i="92"/>
  <c r="I254" i="92"/>
  <c r="H254" i="92"/>
  <c r="G254" i="92"/>
  <c r="F254" i="92"/>
  <c r="E254" i="92"/>
  <c r="D254" i="92"/>
  <c r="C254" i="92"/>
  <c r="B254" i="92"/>
  <c r="N253" i="92"/>
  <c r="M253" i="92"/>
  <c r="L253" i="92"/>
  <c r="K253" i="92"/>
  <c r="J253" i="92"/>
  <c r="I253" i="92"/>
  <c r="H253" i="92"/>
  <c r="G253" i="92"/>
  <c r="F253" i="92"/>
  <c r="E253" i="92"/>
  <c r="D253" i="92"/>
  <c r="C253" i="92"/>
  <c r="B253" i="92"/>
  <c r="N252" i="92"/>
  <c r="M252" i="92"/>
  <c r="L252" i="92"/>
  <c r="K252" i="92"/>
  <c r="J252" i="92"/>
  <c r="I252" i="92"/>
  <c r="H252" i="92"/>
  <c r="G252" i="92"/>
  <c r="F252" i="92"/>
  <c r="E252" i="92"/>
  <c r="D252" i="92"/>
  <c r="C252" i="92"/>
  <c r="B252" i="92"/>
  <c r="N251" i="92"/>
  <c r="M251" i="92"/>
  <c r="L251" i="92"/>
  <c r="K251" i="92"/>
  <c r="J251" i="92"/>
  <c r="I251" i="92"/>
  <c r="H251" i="92"/>
  <c r="G251" i="92"/>
  <c r="F251" i="92"/>
  <c r="E251" i="92"/>
  <c r="D251" i="92"/>
  <c r="C251" i="92"/>
  <c r="B251" i="92"/>
  <c r="N250" i="92"/>
  <c r="M250" i="92"/>
  <c r="L250" i="92"/>
  <c r="K250" i="92"/>
  <c r="J250" i="92"/>
  <c r="I250" i="92"/>
  <c r="H250" i="92"/>
  <c r="G250" i="92"/>
  <c r="F250" i="92"/>
  <c r="E250" i="92"/>
  <c r="D250" i="92"/>
  <c r="C250" i="92"/>
  <c r="B250" i="92"/>
  <c r="N249" i="92"/>
  <c r="M249" i="92"/>
  <c r="L249" i="92"/>
  <c r="K249" i="92"/>
  <c r="J249" i="92"/>
  <c r="I249" i="92"/>
  <c r="H249" i="92"/>
  <c r="G249" i="92"/>
  <c r="F249" i="92"/>
  <c r="E249" i="92"/>
  <c r="D249" i="92"/>
  <c r="C249" i="92"/>
  <c r="B249" i="92"/>
  <c r="N248" i="92"/>
  <c r="M248" i="92"/>
  <c r="L248" i="92"/>
  <c r="K248" i="92"/>
  <c r="J248" i="92"/>
  <c r="I248" i="92"/>
  <c r="H248" i="92"/>
  <c r="G248" i="92"/>
  <c r="F248" i="92"/>
  <c r="E248" i="92"/>
  <c r="D248" i="92"/>
  <c r="C248" i="92"/>
  <c r="B248" i="92"/>
  <c r="N247" i="92"/>
  <c r="M247" i="92"/>
  <c r="L247" i="92"/>
  <c r="K247" i="92"/>
  <c r="J247" i="92"/>
  <c r="I247" i="92"/>
  <c r="H247" i="92"/>
  <c r="G247" i="92"/>
  <c r="F247" i="92"/>
  <c r="E247" i="92"/>
  <c r="D247" i="92"/>
  <c r="C247" i="92"/>
  <c r="B247" i="92"/>
  <c r="N246" i="92"/>
  <c r="M246" i="92"/>
  <c r="L246" i="92"/>
  <c r="K246" i="92"/>
  <c r="J246" i="92"/>
  <c r="I246" i="92"/>
  <c r="H246" i="92"/>
  <c r="G246" i="92"/>
  <c r="F246" i="92"/>
  <c r="E246" i="92"/>
  <c r="D246" i="92"/>
  <c r="C246" i="92"/>
  <c r="B246" i="92"/>
  <c r="N245" i="92"/>
  <c r="M245" i="92"/>
  <c r="L245" i="92"/>
  <c r="K245" i="92"/>
  <c r="J245" i="92"/>
  <c r="I245" i="92"/>
  <c r="H245" i="92"/>
  <c r="G245" i="92"/>
  <c r="F245" i="92"/>
  <c r="E245" i="92"/>
  <c r="D245" i="92"/>
  <c r="C245" i="92"/>
  <c r="B245" i="92"/>
  <c r="N244" i="92"/>
  <c r="M244" i="92"/>
  <c r="L244" i="92"/>
  <c r="K244" i="92"/>
  <c r="J244" i="92"/>
  <c r="I244" i="92"/>
  <c r="H244" i="92"/>
  <c r="G244" i="92"/>
  <c r="F244" i="92"/>
  <c r="E244" i="92"/>
  <c r="D244" i="92"/>
  <c r="C244" i="92"/>
  <c r="B244" i="92"/>
  <c r="N243" i="92"/>
  <c r="M243" i="92"/>
  <c r="L243" i="92"/>
  <c r="K243" i="92"/>
  <c r="J243" i="92"/>
  <c r="I243" i="92"/>
  <c r="H243" i="92"/>
  <c r="G243" i="92"/>
  <c r="F243" i="92"/>
  <c r="E243" i="92"/>
  <c r="D243" i="92"/>
  <c r="C243" i="92"/>
  <c r="B243" i="92"/>
  <c r="N242" i="92"/>
  <c r="M242" i="92"/>
  <c r="L242" i="92"/>
  <c r="K242" i="92"/>
  <c r="J242" i="92"/>
  <c r="I242" i="92"/>
  <c r="H242" i="92"/>
  <c r="G242" i="92"/>
  <c r="F242" i="92"/>
  <c r="E242" i="92"/>
  <c r="D242" i="92"/>
  <c r="C242" i="92"/>
  <c r="B242" i="92"/>
  <c r="N241" i="92"/>
  <c r="M241" i="92"/>
  <c r="L241" i="92"/>
  <c r="K241" i="92"/>
  <c r="J241" i="92"/>
  <c r="I241" i="92"/>
  <c r="H241" i="92"/>
  <c r="G241" i="92"/>
  <c r="F241" i="92"/>
  <c r="E241" i="92"/>
  <c r="D241" i="92"/>
  <c r="C241" i="92"/>
  <c r="B241" i="92"/>
  <c r="N240" i="92"/>
  <c r="M240" i="92"/>
  <c r="L240" i="92"/>
  <c r="K240" i="92"/>
  <c r="J240" i="92"/>
  <c r="I240" i="92"/>
  <c r="H240" i="92"/>
  <c r="G240" i="92"/>
  <c r="F240" i="92"/>
  <c r="E240" i="92"/>
  <c r="D240" i="92"/>
  <c r="C240" i="92"/>
  <c r="B240" i="92"/>
  <c r="N239" i="92"/>
  <c r="M239" i="92"/>
  <c r="L239" i="92"/>
  <c r="K239" i="92"/>
  <c r="J239" i="92"/>
  <c r="I239" i="92"/>
  <c r="H239" i="92"/>
  <c r="G239" i="92"/>
  <c r="F239" i="92"/>
  <c r="E239" i="92"/>
  <c r="D239" i="92"/>
  <c r="C239" i="92"/>
  <c r="B239" i="92"/>
  <c r="N238" i="92"/>
  <c r="M238" i="92"/>
  <c r="L238" i="92"/>
  <c r="K238" i="92"/>
  <c r="J238" i="92"/>
  <c r="I238" i="92"/>
  <c r="H238" i="92"/>
  <c r="G238" i="92"/>
  <c r="F238" i="92"/>
  <c r="E238" i="92"/>
  <c r="D238" i="92"/>
  <c r="C238" i="92"/>
  <c r="B238" i="92"/>
  <c r="N237" i="92"/>
  <c r="M237" i="92"/>
  <c r="L237" i="92"/>
  <c r="K237" i="92"/>
  <c r="J237" i="92"/>
  <c r="I237" i="92"/>
  <c r="H237" i="92"/>
  <c r="G237" i="92"/>
  <c r="F237" i="92"/>
  <c r="E237" i="92"/>
  <c r="D237" i="92"/>
  <c r="C237" i="92"/>
  <c r="B237" i="92"/>
  <c r="N236" i="92"/>
  <c r="M236" i="92"/>
  <c r="L236" i="92"/>
  <c r="K236" i="92"/>
  <c r="J236" i="92"/>
  <c r="I236" i="92"/>
  <c r="H236" i="92"/>
  <c r="G236" i="92"/>
  <c r="F236" i="92"/>
  <c r="E236" i="92"/>
  <c r="D236" i="92"/>
  <c r="C236" i="92"/>
  <c r="N230" i="92"/>
  <c r="M230" i="92"/>
  <c r="L230" i="92"/>
  <c r="K230" i="92"/>
  <c r="J230" i="92"/>
  <c r="I230" i="92"/>
  <c r="H230" i="92"/>
  <c r="G230" i="92"/>
  <c r="F230" i="92"/>
  <c r="E230" i="92"/>
  <c r="D230" i="92"/>
  <c r="C230" i="92"/>
  <c r="A230" i="92"/>
  <c r="O229" i="92"/>
  <c r="N229" i="92"/>
  <c r="M229" i="92"/>
  <c r="L229" i="92"/>
  <c r="K229" i="92"/>
  <c r="J229" i="92"/>
  <c r="I229" i="92"/>
  <c r="H229" i="92"/>
  <c r="G229" i="92"/>
  <c r="F229" i="92"/>
  <c r="E229" i="92"/>
  <c r="D229" i="92"/>
  <c r="C229" i="92"/>
  <c r="A229" i="92"/>
  <c r="N228" i="92"/>
  <c r="M228" i="92"/>
  <c r="L228" i="92"/>
  <c r="K228" i="92"/>
  <c r="J228" i="92"/>
  <c r="I228" i="92"/>
  <c r="H228" i="92"/>
  <c r="G228" i="92"/>
  <c r="F228" i="92"/>
  <c r="E228" i="92"/>
  <c r="D228" i="92"/>
  <c r="C228" i="92"/>
  <c r="B228" i="92"/>
  <c r="AB227" i="92"/>
  <c r="AA227" i="92"/>
  <c r="Z227" i="92"/>
  <c r="Y227" i="92"/>
  <c r="X227" i="92"/>
  <c r="W227" i="92"/>
  <c r="V227" i="92"/>
  <c r="U227" i="92"/>
  <c r="T227" i="92"/>
  <c r="S227" i="92"/>
  <c r="R227" i="92"/>
  <c r="Q227" i="92"/>
  <c r="N227" i="92"/>
  <c r="M227" i="92"/>
  <c r="L227" i="92"/>
  <c r="K227" i="92"/>
  <c r="J227" i="92"/>
  <c r="I227" i="92"/>
  <c r="H227" i="92"/>
  <c r="G227" i="92"/>
  <c r="F227" i="92"/>
  <c r="E227" i="92"/>
  <c r="D227" i="92"/>
  <c r="C227" i="92"/>
  <c r="B227" i="92"/>
  <c r="AB226" i="92"/>
  <c r="AA226" i="92"/>
  <c r="Z226" i="92"/>
  <c r="Y226" i="92"/>
  <c r="X226" i="92"/>
  <c r="W226" i="92"/>
  <c r="V226" i="92"/>
  <c r="U226" i="92"/>
  <c r="T226" i="92"/>
  <c r="S226" i="92"/>
  <c r="R226" i="92"/>
  <c r="Q226" i="92"/>
  <c r="N226" i="92"/>
  <c r="M226" i="92"/>
  <c r="L226" i="92"/>
  <c r="K226" i="92"/>
  <c r="J226" i="92"/>
  <c r="I226" i="92"/>
  <c r="H226" i="92"/>
  <c r="G226" i="92"/>
  <c r="F226" i="92"/>
  <c r="E226" i="92"/>
  <c r="D226" i="92"/>
  <c r="C226" i="92"/>
  <c r="B226" i="92"/>
  <c r="N225" i="92"/>
  <c r="M225" i="92"/>
  <c r="L225" i="92"/>
  <c r="K225" i="92"/>
  <c r="J225" i="92"/>
  <c r="I225" i="92"/>
  <c r="H225" i="92"/>
  <c r="G225" i="92"/>
  <c r="F225" i="92"/>
  <c r="E225" i="92"/>
  <c r="D225" i="92"/>
  <c r="C225" i="92"/>
  <c r="B225" i="92"/>
  <c r="N224" i="92"/>
  <c r="M224" i="92"/>
  <c r="L224" i="92"/>
  <c r="K224" i="92"/>
  <c r="J224" i="92"/>
  <c r="I224" i="92"/>
  <c r="H224" i="92"/>
  <c r="G224" i="92"/>
  <c r="F224" i="92"/>
  <c r="E224" i="92"/>
  <c r="D224" i="92"/>
  <c r="C224" i="92"/>
  <c r="B224" i="92"/>
  <c r="N223" i="92"/>
  <c r="M223" i="92"/>
  <c r="L223" i="92"/>
  <c r="K223" i="92"/>
  <c r="J223" i="92"/>
  <c r="I223" i="92"/>
  <c r="H223" i="92"/>
  <c r="G223" i="92"/>
  <c r="F223" i="92"/>
  <c r="E223" i="92"/>
  <c r="D223" i="92"/>
  <c r="C223" i="92"/>
  <c r="B223" i="92"/>
  <c r="AB222" i="92"/>
  <c r="AA222" i="92"/>
  <c r="Z222" i="92"/>
  <c r="Y222" i="92"/>
  <c r="X222" i="92"/>
  <c r="W222" i="92"/>
  <c r="V222" i="92"/>
  <c r="U222" i="92"/>
  <c r="T222" i="92"/>
  <c r="S222" i="92"/>
  <c r="R222" i="92"/>
  <c r="Q222" i="92"/>
  <c r="N222" i="92"/>
  <c r="M222" i="92"/>
  <c r="L222" i="92"/>
  <c r="K222" i="92"/>
  <c r="J222" i="92"/>
  <c r="I222" i="92"/>
  <c r="H222" i="92"/>
  <c r="G222" i="92"/>
  <c r="F222" i="92"/>
  <c r="E222" i="92"/>
  <c r="D222" i="92"/>
  <c r="C222" i="92"/>
  <c r="B222" i="92"/>
  <c r="AB221" i="92"/>
  <c r="AA221" i="92"/>
  <c r="Z221" i="92"/>
  <c r="Y221" i="92"/>
  <c r="X221" i="92"/>
  <c r="W221" i="92"/>
  <c r="V221" i="92"/>
  <c r="U221" i="92"/>
  <c r="T221" i="92"/>
  <c r="S221" i="92"/>
  <c r="R221" i="92"/>
  <c r="Q221" i="92"/>
  <c r="N221" i="92"/>
  <c r="M221" i="92"/>
  <c r="L221" i="92"/>
  <c r="K221" i="92"/>
  <c r="J221" i="92"/>
  <c r="I221" i="92"/>
  <c r="H221" i="92"/>
  <c r="G221" i="92"/>
  <c r="F221" i="92"/>
  <c r="E221" i="92"/>
  <c r="D221" i="92"/>
  <c r="C221" i="92"/>
  <c r="B221" i="92"/>
  <c r="N220" i="92"/>
  <c r="M220" i="92"/>
  <c r="L220" i="92"/>
  <c r="K220" i="92"/>
  <c r="J220" i="92"/>
  <c r="I220" i="92"/>
  <c r="H220" i="92"/>
  <c r="G220" i="92"/>
  <c r="F220" i="92"/>
  <c r="E220" i="92"/>
  <c r="D220" i="92"/>
  <c r="C220" i="92"/>
  <c r="B220" i="92"/>
  <c r="N219" i="92"/>
  <c r="M219" i="92"/>
  <c r="L219" i="92"/>
  <c r="K219" i="92"/>
  <c r="J219" i="92"/>
  <c r="I219" i="92"/>
  <c r="H219" i="92"/>
  <c r="G219" i="92"/>
  <c r="F219" i="92"/>
  <c r="E219" i="92"/>
  <c r="D219" i="92"/>
  <c r="C219" i="92"/>
  <c r="B219" i="92"/>
  <c r="AB218" i="92"/>
  <c r="AA218" i="92"/>
  <c r="Z218" i="92"/>
  <c r="Y218" i="92"/>
  <c r="X218" i="92"/>
  <c r="W218" i="92"/>
  <c r="V218" i="92"/>
  <c r="U218" i="92"/>
  <c r="T218" i="92"/>
  <c r="S218" i="92"/>
  <c r="R218" i="92"/>
  <c r="Q218" i="92"/>
  <c r="N218" i="92"/>
  <c r="M218" i="92"/>
  <c r="L218" i="92"/>
  <c r="K218" i="92"/>
  <c r="J218" i="92"/>
  <c r="I218" i="92"/>
  <c r="H218" i="92"/>
  <c r="G218" i="92"/>
  <c r="F218" i="92"/>
  <c r="E218" i="92"/>
  <c r="D218" i="92"/>
  <c r="C218" i="92"/>
  <c r="B218" i="92"/>
  <c r="AB217" i="92"/>
  <c r="AA217" i="92"/>
  <c r="Z217" i="92"/>
  <c r="Y217" i="92"/>
  <c r="X217" i="92"/>
  <c r="W217" i="92"/>
  <c r="V217" i="92"/>
  <c r="U217" i="92"/>
  <c r="T217" i="92"/>
  <c r="S217" i="92"/>
  <c r="R217" i="92"/>
  <c r="Q217" i="92"/>
  <c r="N217" i="92"/>
  <c r="M217" i="92"/>
  <c r="L217" i="92"/>
  <c r="K217" i="92"/>
  <c r="J217" i="92"/>
  <c r="I217" i="92"/>
  <c r="H217" i="92"/>
  <c r="G217" i="92"/>
  <c r="F217" i="92"/>
  <c r="E217" i="92"/>
  <c r="D217" i="92"/>
  <c r="C217" i="92"/>
  <c r="B217" i="92"/>
  <c r="N216" i="92"/>
  <c r="M216" i="92"/>
  <c r="L216" i="92"/>
  <c r="K216" i="92"/>
  <c r="J216" i="92"/>
  <c r="I216" i="92"/>
  <c r="H216" i="92"/>
  <c r="G216" i="92"/>
  <c r="F216" i="92"/>
  <c r="E216" i="92"/>
  <c r="D216" i="92"/>
  <c r="C216" i="92"/>
  <c r="B216" i="92"/>
  <c r="N215" i="92"/>
  <c r="M215" i="92"/>
  <c r="L215" i="92"/>
  <c r="K215" i="92"/>
  <c r="J215" i="92"/>
  <c r="I215" i="92"/>
  <c r="H215" i="92"/>
  <c r="G215" i="92"/>
  <c r="F215" i="92"/>
  <c r="E215" i="92"/>
  <c r="D215" i="92"/>
  <c r="C215" i="92"/>
  <c r="B215" i="92"/>
  <c r="N214" i="92"/>
  <c r="M214" i="92"/>
  <c r="L214" i="92"/>
  <c r="K214" i="92"/>
  <c r="J214" i="92"/>
  <c r="I214" i="92"/>
  <c r="H214" i="92"/>
  <c r="G214" i="92"/>
  <c r="F214" i="92"/>
  <c r="E214" i="92"/>
  <c r="D214" i="92"/>
  <c r="C214" i="92"/>
  <c r="B214" i="92"/>
  <c r="AB213" i="92"/>
  <c r="AA213" i="92"/>
  <c r="Z213" i="92"/>
  <c r="Y213" i="92"/>
  <c r="X213" i="92"/>
  <c r="W213" i="92"/>
  <c r="V213" i="92"/>
  <c r="U213" i="92"/>
  <c r="T213" i="92"/>
  <c r="S213" i="92"/>
  <c r="R213" i="92"/>
  <c r="Q213" i="92"/>
  <c r="N213" i="92"/>
  <c r="M213" i="92"/>
  <c r="L213" i="92"/>
  <c r="K213" i="92"/>
  <c r="J213" i="92"/>
  <c r="I213" i="92"/>
  <c r="H213" i="92"/>
  <c r="G213" i="92"/>
  <c r="F213" i="92"/>
  <c r="E213" i="92"/>
  <c r="D213" i="92"/>
  <c r="C213" i="92"/>
  <c r="B213" i="92"/>
  <c r="AB212" i="92"/>
  <c r="AA212" i="92"/>
  <c r="Z212" i="92"/>
  <c r="Y212" i="92"/>
  <c r="X212" i="92"/>
  <c r="W212" i="92"/>
  <c r="V212" i="92"/>
  <c r="U212" i="92"/>
  <c r="T212" i="92"/>
  <c r="S212" i="92"/>
  <c r="R212" i="92"/>
  <c r="Q212" i="92"/>
  <c r="N212" i="92"/>
  <c r="M212" i="92"/>
  <c r="L212" i="92"/>
  <c r="K212" i="92"/>
  <c r="J212" i="92"/>
  <c r="I212" i="92"/>
  <c r="H212" i="92"/>
  <c r="G212" i="92"/>
  <c r="F212" i="92"/>
  <c r="E212" i="92"/>
  <c r="D212" i="92"/>
  <c r="C212" i="92"/>
  <c r="B212" i="92"/>
  <c r="AB211" i="92"/>
  <c r="AA211" i="92"/>
  <c r="Z211" i="92"/>
  <c r="Y211" i="92"/>
  <c r="X211" i="92"/>
  <c r="W211" i="92"/>
  <c r="V211" i="92"/>
  <c r="U211" i="92"/>
  <c r="T211" i="92"/>
  <c r="S211" i="92"/>
  <c r="R211" i="92"/>
  <c r="Q211" i="92"/>
  <c r="N211" i="92"/>
  <c r="M211" i="92"/>
  <c r="L211" i="92"/>
  <c r="K211" i="92"/>
  <c r="J211" i="92"/>
  <c r="I211" i="92"/>
  <c r="H211" i="92"/>
  <c r="G211" i="92"/>
  <c r="F211" i="92"/>
  <c r="E211" i="92"/>
  <c r="D211" i="92"/>
  <c r="C211" i="92"/>
  <c r="B211" i="92"/>
  <c r="AB210" i="92"/>
  <c r="AA210" i="92"/>
  <c r="Z210" i="92"/>
  <c r="Y210" i="92"/>
  <c r="X210" i="92"/>
  <c r="W210" i="92"/>
  <c r="V210" i="92"/>
  <c r="U210" i="92"/>
  <c r="T210" i="92"/>
  <c r="S210" i="92"/>
  <c r="R210" i="92"/>
  <c r="Q210" i="92"/>
  <c r="N210" i="92"/>
  <c r="M210" i="92"/>
  <c r="L210" i="92"/>
  <c r="K210" i="92"/>
  <c r="J210" i="92"/>
  <c r="I210" i="92"/>
  <c r="H210" i="92"/>
  <c r="G210" i="92"/>
  <c r="F210" i="92"/>
  <c r="E210" i="92"/>
  <c r="D210" i="92"/>
  <c r="C210" i="92"/>
  <c r="B210" i="92"/>
  <c r="N209" i="92"/>
  <c r="M209" i="92"/>
  <c r="L209" i="92"/>
  <c r="K209" i="92"/>
  <c r="J209" i="92"/>
  <c r="I209" i="92"/>
  <c r="H209" i="92"/>
  <c r="G209" i="92"/>
  <c r="F209" i="92"/>
  <c r="E209" i="92"/>
  <c r="D209" i="92"/>
  <c r="C209" i="92"/>
  <c r="B209" i="92"/>
  <c r="N208" i="92"/>
  <c r="M208" i="92"/>
  <c r="L208" i="92"/>
  <c r="K208" i="92"/>
  <c r="J208" i="92"/>
  <c r="I208" i="92"/>
  <c r="H208" i="92"/>
  <c r="G208" i="92"/>
  <c r="F208" i="92"/>
  <c r="E208" i="92"/>
  <c r="D208" i="92"/>
  <c r="C208" i="92"/>
  <c r="O204" i="92"/>
  <c r="N204" i="92"/>
  <c r="M204" i="92"/>
  <c r="L204" i="92"/>
  <c r="K204" i="92"/>
  <c r="J204" i="92"/>
  <c r="I204" i="92"/>
  <c r="H204" i="92"/>
  <c r="G204" i="92"/>
  <c r="F204" i="92"/>
  <c r="E204" i="92"/>
  <c r="D204" i="92"/>
  <c r="C204" i="92"/>
  <c r="A204" i="92"/>
  <c r="N203" i="92"/>
  <c r="M203" i="92"/>
  <c r="L203" i="92"/>
  <c r="K203" i="92"/>
  <c r="J203" i="92"/>
  <c r="I203" i="92"/>
  <c r="H203" i="92"/>
  <c r="G203" i="92"/>
  <c r="F203" i="92"/>
  <c r="E203" i="92"/>
  <c r="D203" i="92"/>
  <c r="C203" i="92"/>
  <c r="B203" i="92"/>
  <c r="N202" i="92"/>
  <c r="M202" i="92"/>
  <c r="L202" i="92"/>
  <c r="K202" i="92"/>
  <c r="J202" i="92"/>
  <c r="I202" i="92"/>
  <c r="H202" i="92"/>
  <c r="G202" i="92"/>
  <c r="F202" i="92"/>
  <c r="E202" i="92"/>
  <c r="D202" i="92"/>
  <c r="C202" i="92"/>
  <c r="B202" i="92"/>
  <c r="N201" i="92"/>
  <c r="M201" i="92"/>
  <c r="L201" i="92"/>
  <c r="K201" i="92"/>
  <c r="J201" i="92"/>
  <c r="I201" i="92"/>
  <c r="H201" i="92"/>
  <c r="G201" i="92"/>
  <c r="F201" i="92"/>
  <c r="E201" i="92"/>
  <c r="D201" i="92"/>
  <c r="C201" i="92"/>
  <c r="B201" i="92"/>
  <c r="N200" i="92"/>
  <c r="M200" i="92"/>
  <c r="L200" i="92"/>
  <c r="K200" i="92"/>
  <c r="J200" i="92"/>
  <c r="I200" i="92"/>
  <c r="H200" i="92"/>
  <c r="G200" i="92"/>
  <c r="F200" i="92"/>
  <c r="E200" i="92"/>
  <c r="D200" i="92"/>
  <c r="C200" i="92"/>
  <c r="B200" i="92"/>
  <c r="N199" i="92"/>
  <c r="M199" i="92"/>
  <c r="L199" i="92"/>
  <c r="K199" i="92"/>
  <c r="J199" i="92"/>
  <c r="I199" i="92"/>
  <c r="H199" i="92"/>
  <c r="G199" i="92"/>
  <c r="F199" i="92"/>
  <c r="E199" i="92"/>
  <c r="D199" i="92"/>
  <c r="C199" i="92"/>
  <c r="B199" i="92"/>
  <c r="N198" i="92"/>
  <c r="M198" i="92"/>
  <c r="L198" i="92"/>
  <c r="K198" i="92"/>
  <c r="J198" i="92"/>
  <c r="I198" i="92"/>
  <c r="H198" i="92"/>
  <c r="G198" i="92"/>
  <c r="F198" i="92"/>
  <c r="E198" i="92"/>
  <c r="D198" i="92"/>
  <c r="C198" i="92"/>
  <c r="B198" i="92"/>
  <c r="N197" i="92"/>
  <c r="M197" i="92"/>
  <c r="L197" i="92"/>
  <c r="K197" i="92"/>
  <c r="J197" i="92"/>
  <c r="I197" i="92"/>
  <c r="H197" i="92"/>
  <c r="G197" i="92"/>
  <c r="F197" i="92"/>
  <c r="E197" i="92"/>
  <c r="D197" i="92"/>
  <c r="C197" i="92"/>
  <c r="B197" i="92"/>
  <c r="N196" i="92"/>
  <c r="M196" i="92"/>
  <c r="L196" i="92"/>
  <c r="K196" i="92"/>
  <c r="J196" i="92"/>
  <c r="I196" i="92"/>
  <c r="H196" i="92"/>
  <c r="G196" i="92"/>
  <c r="F196" i="92"/>
  <c r="E196" i="92"/>
  <c r="D196" i="92"/>
  <c r="C196" i="92"/>
  <c r="B196" i="92"/>
  <c r="N195" i="92"/>
  <c r="M195" i="92"/>
  <c r="L195" i="92"/>
  <c r="K195" i="92"/>
  <c r="J195" i="92"/>
  <c r="I195" i="92"/>
  <c r="H195" i="92"/>
  <c r="G195" i="92"/>
  <c r="F195" i="92"/>
  <c r="E195" i="92"/>
  <c r="D195" i="92"/>
  <c r="C195" i="92"/>
  <c r="B195" i="92"/>
  <c r="N194" i="92"/>
  <c r="M194" i="92"/>
  <c r="L194" i="92"/>
  <c r="K194" i="92"/>
  <c r="J194" i="92"/>
  <c r="I194" i="92"/>
  <c r="H194" i="92"/>
  <c r="G194" i="92"/>
  <c r="F194" i="92"/>
  <c r="E194" i="92"/>
  <c r="D194" i="92"/>
  <c r="C194" i="92"/>
  <c r="B194" i="92"/>
  <c r="N193" i="92"/>
  <c r="M193" i="92"/>
  <c r="L193" i="92"/>
  <c r="K193" i="92"/>
  <c r="J193" i="92"/>
  <c r="I193" i="92"/>
  <c r="H193" i="92"/>
  <c r="G193" i="92"/>
  <c r="F193" i="92"/>
  <c r="E193" i="92"/>
  <c r="D193" i="92"/>
  <c r="C193" i="92"/>
  <c r="B193" i="92"/>
  <c r="N192" i="92"/>
  <c r="M192" i="92"/>
  <c r="L192" i="92"/>
  <c r="K192" i="92"/>
  <c r="J192" i="92"/>
  <c r="I192" i="92"/>
  <c r="H192" i="92"/>
  <c r="G192" i="92"/>
  <c r="F192" i="92"/>
  <c r="E192" i="92"/>
  <c r="D192" i="92"/>
  <c r="C192" i="92"/>
  <c r="B192" i="92"/>
  <c r="N191" i="92"/>
  <c r="M191" i="92"/>
  <c r="L191" i="92"/>
  <c r="K191" i="92"/>
  <c r="J191" i="92"/>
  <c r="I191" i="92"/>
  <c r="H191" i="92"/>
  <c r="G191" i="92"/>
  <c r="F191" i="92"/>
  <c r="E191" i="92"/>
  <c r="D191" i="92"/>
  <c r="C191" i="92"/>
  <c r="B191" i="92"/>
  <c r="N190" i="92"/>
  <c r="M190" i="92"/>
  <c r="L190" i="92"/>
  <c r="K190" i="92"/>
  <c r="J190" i="92"/>
  <c r="I190" i="92"/>
  <c r="H190" i="92"/>
  <c r="G190" i="92"/>
  <c r="F190" i="92"/>
  <c r="E190" i="92"/>
  <c r="D190" i="92"/>
  <c r="C190" i="92"/>
  <c r="B190" i="92"/>
  <c r="N189" i="92"/>
  <c r="M189" i="92"/>
  <c r="L189" i="92"/>
  <c r="K189" i="92"/>
  <c r="J189" i="92"/>
  <c r="I189" i="92"/>
  <c r="H189" i="92"/>
  <c r="G189" i="92"/>
  <c r="F189" i="92"/>
  <c r="E189" i="92"/>
  <c r="D189" i="92"/>
  <c r="C189" i="92"/>
  <c r="B189" i="92"/>
  <c r="N188" i="92"/>
  <c r="M188" i="92"/>
  <c r="L188" i="92"/>
  <c r="K188" i="92"/>
  <c r="J188" i="92"/>
  <c r="I188" i="92"/>
  <c r="H188" i="92"/>
  <c r="G188" i="92"/>
  <c r="F188" i="92"/>
  <c r="E188" i="92"/>
  <c r="D188" i="92"/>
  <c r="C188" i="92"/>
  <c r="B188" i="92"/>
  <c r="N187" i="92"/>
  <c r="M187" i="92"/>
  <c r="L187" i="92"/>
  <c r="K187" i="92"/>
  <c r="J187" i="92"/>
  <c r="I187" i="92"/>
  <c r="H187" i="92"/>
  <c r="G187" i="92"/>
  <c r="F187" i="92"/>
  <c r="E187" i="92"/>
  <c r="D187" i="92"/>
  <c r="C187" i="92"/>
  <c r="B187" i="92"/>
  <c r="N186" i="92"/>
  <c r="M186" i="92"/>
  <c r="L186" i="92"/>
  <c r="K186" i="92"/>
  <c r="J186" i="92"/>
  <c r="I186" i="92"/>
  <c r="H186" i="92"/>
  <c r="G186" i="92"/>
  <c r="F186" i="92"/>
  <c r="E186" i="92"/>
  <c r="D186" i="92"/>
  <c r="C186" i="92"/>
  <c r="B186" i="92"/>
  <c r="N185" i="92"/>
  <c r="M185" i="92"/>
  <c r="L185" i="92"/>
  <c r="K185" i="92"/>
  <c r="J185" i="92"/>
  <c r="I185" i="92"/>
  <c r="H185" i="92"/>
  <c r="G185" i="92"/>
  <c r="F185" i="92"/>
  <c r="E185" i="92"/>
  <c r="D185" i="92"/>
  <c r="C185" i="92"/>
  <c r="B185" i="92"/>
  <c r="N184" i="92"/>
  <c r="M184" i="92"/>
  <c r="L184" i="92"/>
  <c r="K184" i="92"/>
  <c r="J184" i="92"/>
  <c r="I184" i="92"/>
  <c r="H184" i="92"/>
  <c r="G184" i="92"/>
  <c r="F184" i="92"/>
  <c r="E184" i="92"/>
  <c r="D184" i="92"/>
  <c r="C184" i="92"/>
  <c r="B184" i="92"/>
  <c r="N183" i="92"/>
  <c r="M183" i="92"/>
  <c r="L183" i="92"/>
  <c r="K183" i="92"/>
  <c r="J183" i="92"/>
  <c r="I183" i="92"/>
  <c r="H183" i="92"/>
  <c r="G183" i="92"/>
  <c r="F183" i="92"/>
  <c r="E183" i="92"/>
  <c r="D183" i="92"/>
  <c r="C183" i="92"/>
  <c r="J177" i="92"/>
  <c r="E177" i="92"/>
  <c r="D177" i="92"/>
  <c r="C177" i="92"/>
  <c r="J176" i="92"/>
  <c r="E176" i="92"/>
  <c r="D176" i="92"/>
  <c r="C176" i="92"/>
  <c r="J175" i="92"/>
  <c r="E175" i="92"/>
  <c r="D175" i="92"/>
  <c r="C175" i="92"/>
  <c r="J174" i="92"/>
  <c r="E174" i="92"/>
  <c r="D174" i="92"/>
  <c r="C174" i="92"/>
  <c r="J173" i="92"/>
  <c r="E173" i="92"/>
  <c r="D173" i="92"/>
  <c r="C173" i="92"/>
  <c r="E172" i="92"/>
  <c r="J171" i="92"/>
  <c r="E171" i="92"/>
  <c r="D171" i="92"/>
  <c r="C171" i="92"/>
  <c r="J170" i="92"/>
  <c r="E170" i="92"/>
  <c r="D170" i="92"/>
  <c r="C170" i="92"/>
  <c r="J169" i="92"/>
  <c r="E169" i="92"/>
  <c r="D169" i="92"/>
  <c r="C169" i="92"/>
  <c r="E168" i="92"/>
  <c r="E167" i="92"/>
  <c r="E166" i="92"/>
  <c r="E165" i="92"/>
  <c r="E164" i="92"/>
  <c r="J163" i="92"/>
  <c r="E163" i="92"/>
  <c r="D163" i="92"/>
  <c r="C163" i="92"/>
  <c r="J162" i="92"/>
  <c r="E162" i="92"/>
  <c r="D162" i="92"/>
  <c r="O158" i="92"/>
  <c r="N158" i="92"/>
  <c r="M158" i="92"/>
  <c r="L158" i="92"/>
  <c r="K158" i="92"/>
  <c r="J158" i="92"/>
  <c r="I158" i="92"/>
  <c r="H158" i="92"/>
  <c r="G158" i="92"/>
  <c r="F158" i="92"/>
  <c r="E158" i="92"/>
  <c r="D158" i="92"/>
  <c r="C158" i="92"/>
  <c r="A158" i="92"/>
  <c r="N157" i="92"/>
  <c r="M157" i="92"/>
  <c r="L157" i="92"/>
  <c r="K157" i="92"/>
  <c r="J157" i="92"/>
  <c r="I157" i="92"/>
  <c r="H157" i="92"/>
  <c r="G157" i="92"/>
  <c r="F157" i="92"/>
  <c r="E157" i="92"/>
  <c r="D157" i="92"/>
  <c r="N156" i="92"/>
  <c r="M156" i="92"/>
  <c r="L156" i="92"/>
  <c r="K156" i="92"/>
  <c r="J156" i="92"/>
  <c r="I156" i="92"/>
  <c r="H156" i="92"/>
  <c r="G156" i="92"/>
  <c r="F156" i="92"/>
  <c r="E156" i="92"/>
  <c r="D156" i="92"/>
  <c r="C156" i="92"/>
  <c r="B156" i="92"/>
  <c r="N155" i="92"/>
  <c r="M155" i="92"/>
  <c r="L155" i="92"/>
  <c r="K155" i="92"/>
  <c r="J155" i="92"/>
  <c r="I155" i="92"/>
  <c r="H155" i="92"/>
  <c r="G155" i="92"/>
  <c r="F155" i="92"/>
  <c r="E155" i="92"/>
  <c r="D155" i="92"/>
  <c r="C155" i="92"/>
  <c r="B155" i="92"/>
  <c r="N154" i="92"/>
  <c r="M154" i="92"/>
  <c r="L154" i="92"/>
  <c r="K154" i="92"/>
  <c r="J154" i="92"/>
  <c r="I154" i="92"/>
  <c r="H154" i="92"/>
  <c r="G154" i="92"/>
  <c r="F154" i="92"/>
  <c r="E154" i="92"/>
  <c r="D154" i="92"/>
  <c r="C154" i="92"/>
  <c r="B154" i="92"/>
  <c r="N153" i="92"/>
  <c r="M153" i="92"/>
  <c r="L153" i="92"/>
  <c r="K153" i="92"/>
  <c r="J153" i="92"/>
  <c r="I153" i="92"/>
  <c r="H153" i="92"/>
  <c r="G153" i="92"/>
  <c r="F153" i="92"/>
  <c r="E153" i="92"/>
  <c r="D153" i="92"/>
  <c r="C153" i="92"/>
  <c r="B153" i="92"/>
  <c r="N152" i="92"/>
  <c r="M152" i="92"/>
  <c r="L152" i="92"/>
  <c r="K152" i="92"/>
  <c r="J152" i="92"/>
  <c r="I152" i="92"/>
  <c r="H152" i="92"/>
  <c r="G152" i="92"/>
  <c r="F152" i="92"/>
  <c r="E152" i="92"/>
  <c r="D152" i="92"/>
  <c r="C152" i="92"/>
  <c r="B152" i="92"/>
  <c r="N151" i="92"/>
  <c r="M151" i="92"/>
  <c r="L151" i="92"/>
  <c r="K151" i="92"/>
  <c r="J151" i="92"/>
  <c r="I151" i="92"/>
  <c r="H151" i="92"/>
  <c r="G151" i="92"/>
  <c r="F151" i="92"/>
  <c r="E151" i="92"/>
  <c r="D151" i="92"/>
  <c r="C151" i="92"/>
  <c r="B151" i="92"/>
  <c r="N150" i="92"/>
  <c r="M150" i="92"/>
  <c r="L150" i="92"/>
  <c r="K150" i="92"/>
  <c r="J150" i="92"/>
  <c r="I150" i="92"/>
  <c r="H150" i="92"/>
  <c r="G150" i="92"/>
  <c r="F150" i="92"/>
  <c r="E150" i="92"/>
  <c r="D150" i="92"/>
  <c r="C150" i="92"/>
  <c r="B150" i="92"/>
  <c r="N149" i="92"/>
  <c r="M149" i="92"/>
  <c r="L149" i="92"/>
  <c r="K149" i="92"/>
  <c r="J149" i="92"/>
  <c r="I149" i="92"/>
  <c r="H149" i="92"/>
  <c r="G149" i="92"/>
  <c r="F149" i="92"/>
  <c r="E149" i="92"/>
  <c r="D149" i="92"/>
  <c r="C149" i="92"/>
  <c r="B149" i="92"/>
  <c r="N148" i="92"/>
  <c r="M148" i="92"/>
  <c r="L148" i="92"/>
  <c r="K148" i="92"/>
  <c r="J148" i="92"/>
  <c r="I148" i="92"/>
  <c r="H148" i="92"/>
  <c r="G148" i="92"/>
  <c r="F148" i="92"/>
  <c r="E148" i="92"/>
  <c r="D148" i="92"/>
  <c r="C148" i="92"/>
  <c r="B148" i="92"/>
  <c r="N147" i="92"/>
  <c r="M147" i="92"/>
  <c r="L147" i="92"/>
  <c r="K147" i="92"/>
  <c r="J147" i="92"/>
  <c r="I147" i="92"/>
  <c r="H147" i="92"/>
  <c r="G147" i="92"/>
  <c r="F147" i="92"/>
  <c r="E147" i="92"/>
  <c r="D147" i="92"/>
  <c r="C147" i="92"/>
  <c r="B147" i="92"/>
  <c r="N146" i="92"/>
  <c r="M146" i="92"/>
  <c r="L146" i="92"/>
  <c r="K146" i="92"/>
  <c r="J146" i="92"/>
  <c r="I146" i="92"/>
  <c r="H146" i="92"/>
  <c r="G146" i="92"/>
  <c r="F146" i="92"/>
  <c r="E146" i="92"/>
  <c r="D146" i="92"/>
  <c r="C146" i="92"/>
  <c r="B146" i="92"/>
  <c r="N145" i="92"/>
  <c r="M145" i="92"/>
  <c r="L145" i="92"/>
  <c r="K145" i="92"/>
  <c r="J145" i="92"/>
  <c r="I145" i="92"/>
  <c r="H145" i="92"/>
  <c r="G145" i="92"/>
  <c r="F145" i="92"/>
  <c r="E145" i="92"/>
  <c r="D145" i="92"/>
  <c r="C145" i="92"/>
  <c r="B145" i="92"/>
  <c r="N144" i="92"/>
  <c r="M144" i="92"/>
  <c r="L144" i="92"/>
  <c r="K144" i="92"/>
  <c r="J144" i="92"/>
  <c r="I144" i="92"/>
  <c r="H144" i="92"/>
  <c r="G144" i="92"/>
  <c r="F144" i="92"/>
  <c r="E144" i="92"/>
  <c r="D144" i="92"/>
  <c r="C144" i="92"/>
  <c r="B144" i="92"/>
  <c r="N143" i="92"/>
  <c r="M143" i="92"/>
  <c r="L143" i="92"/>
  <c r="K143" i="92"/>
  <c r="J143" i="92"/>
  <c r="I143" i="92"/>
  <c r="H143" i="92"/>
  <c r="G143" i="92"/>
  <c r="F143" i="92"/>
  <c r="E143" i="92"/>
  <c r="D143" i="92"/>
  <c r="C143" i="92"/>
  <c r="B143" i="92"/>
  <c r="N142" i="92"/>
  <c r="M142" i="92"/>
  <c r="L142" i="92"/>
  <c r="K142" i="92"/>
  <c r="J142" i="92"/>
  <c r="I142" i="92"/>
  <c r="H142" i="92"/>
  <c r="G142" i="92"/>
  <c r="F142" i="92"/>
  <c r="E142" i="92"/>
  <c r="D142" i="92"/>
  <c r="C142" i="92"/>
  <c r="B142" i="92"/>
  <c r="N141" i="92"/>
  <c r="M141" i="92"/>
  <c r="L141" i="92"/>
  <c r="K141" i="92"/>
  <c r="J141" i="92"/>
  <c r="I141" i="92"/>
  <c r="H141" i="92"/>
  <c r="G141" i="92"/>
  <c r="F141" i="92"/>
  <c r="E141" i="92"/>
  <c r="D141" i="92"/>
  <c r="C141" i="92"/>
  <c r="B141" i="92"/>
  <c r="N140" i="92"/>
  <c r="M140" i="92"/>
  <c r="L140" i="92"/>
  <c r="K140" i="92"/>
  <c r="J140" i="92"/>
  <c r="I140" i="92"/>
  <c r="H140" i="92"/>
  <c r="G140" i="92"/>
  <c r="F140" i="92"/>
  <c r="E140" i="92"/>
  <c r="D140" i="92"/>
  <c r="C140" i="92"/>
  <c r="B140" i="92"/>
  <c r="N139" i="92"/>
  <c r="M139" i="92"/>
  <c r="L139" i="92"/>
  <c r="K139" i="92"/>
  <c r="J139" i="92"/>
  <c r="I139" i="92"/>
  <c r="H139" i="92"/>
  <c r="G139" i="92"/>
  <c r="F139" i="92"/>
  <c r="E139" i="92"/>
  <c r="D139" i="92"/>
  <c r="C139" i="92"/>
  <c r="B139" i="92"/>
  <c r="N138" i="92"/>
  <c r="M138" i="92"/>
  <c r="L138" i="92"/>
  <c r="K138" i="92"/>
  <c r="J138" i="92"/>
  <c r="I138" i="92"/>
  <c r="H138" i="92"/>
  <c r="G138" i="92"/>
  <c r="F138" i="92"/>
  <c r="E138" i="92"/>
  <c r="D138" i="92"/>
  <c r="C138" i="92"/>
  <c r="B138" i="92"/>
  <c r="N137" i="92"/>
  <c r="M137" i="92"/>
  <c r="L137" i="92"/>
  <c r="K137" i="92"/>
  <c r="J137" i="92"/>
  <c r="I137" i="92"/>
  <c r="H137" i="92"/>
  <c r="G137" i="92"/>
  <c r="F137" i="92"/>
  <c r="E137" i="92"/>
  <c r="D137" i="92"/>
  <c r="C137" i="92"/>
  <c r="B137" i="92"/>
  <c r="N136" i="92"/>
  <c r="M136" i="92"/>
  <c r="L136" i="92"/>
  <c r="K136" i="92"/>
  <c r="J136" i="92"/>
  <c r="I136" i="92"/>
  <c r="H136" i="92"/>
  <c r="G136" i="92"/>
  <c r="F136" i="92"/>
  <c r="E136" i="92"/>
  <c r="D136" i="92"/>
  <c r="C136" i="92"/>
  <c r="O132" i="92"/>
  <c r="N132" i="92"/>
  <c r="M132" i="92"/>
  <c r="L132" i="92"/>
  <c r="K132" i="92"/>
  <c r="J132" i="92"/>
  <c r="I132" i="92"/>
  <c r="H132" i="92"/>
  <c r="G132" i="92"/>
  <c r="F132" i="92"/>
  <c r="E132" i="92"/>
  <c r="D132" i="92"/>
  <c r="C132" i="92"/>
  <c r="A132" i="92"/>
  <c r="N131" i="92"/>
  <c r="M131" i="92"/>
  <c r="L131" i="92"/>
  <c r="K131" i="92"/>
  <c r="J131" i="92"/>
  <c r="I131" i="92"/>
  <c r="H131" i="92"/>
  <c r="G131" i="92"/>
  <c r="F131" i="92"/>
  <c r="E131" i="92"/>
  <c r="D131" i="92"/>
  <c r="N130" i="92"/>
  <c r="M130" i="92"/>
  <c r="L130" i="92"/>
  <c r="K130" i="92"/>
  <c r="J130" i="92"/>
  <c r="I130" i="92"/>
  <c r="H130" i="92"/>
  <c r="G130" i="92"/>
  <c r="F130" i="92"/>
  <c r="E130" i="92"/>
  <c r="D130" i="92"/>
  <c r="C130" i="92"/>
  <c r="N129" i="92"/>
  <c r="M129" i="92"/>
  <c r="L129" i="92"/>
  <c r="K129" i="92"/>
  <c r="J129" i="92"/>
  <c r="I129" i="92"/>
  <c r="H129" i="92"/>
  <c r="G129" i="92"/>
  <c r="F129" i="92"/>
  <c r="E129" i="92"/>
  <c r="D129" i="92"/>
  <c r="C129" i="92"/>
  <c r="B129" i="92"/>
  <c r="N128" i="92"/>
  <c r="M128" i="92"/>
  <c r="L128" i="92"/>
  <c r="K128" i="92"/>
  <c r="J128" i="92"/>
  <c r="I128" i="92"/>
  <c r="H128" i="92"/>
  <c r="G128" i="92"/>
  <c r="F128" i="92"/>
  <c r="E128" i="92"/>
  <c r="D128" i="92"/>
  <c r="C128" i="92"/>
  <c r="B128" i="92"/>
  <c r="N127" i="92"/>
  <c r="M127" i="92"/>
  <c r="L127" i="92"/>
  <c r="K127" i="92"/>
  <c r="J127" i="92"/>
  <c r="I127" i="92"/>
  <c r="H127" i="92"/>
  <c r="G127" i="92"/>
  <c r="F127" i="92"/>
  <c r="E127" i="92"/>
  <c r="D127" i="92"/>
  <c r="C127" i="92"/>
  <c r="B127" i="92"/>
  <c r="N126" i="92"/>
  <c r="M126" i="92"/>
  <c r="L126" i="92"/>
  <c r="K126" i="92"/>
  <c r="J126" i="92"/>
  <c r="I126" i="92"/>
  <c r="H126" i="92"/>
  <c r="G126" i="92"/>
  <c r="F126" i="92"/>
  <c r="E126" i="92"/>
  <c r="D126" i="92"/>
  <c r="C126" i="92"/>
  <c r="B126" i="92"/>
  <c r="N125" i="92"/>
  <c r="M125" i="92"/>
  <c r="L125" i="92"/>
  <c r="K125" i="92"/>
  <c r="J125" i="92"/>
  <c r="I125" i="92"/>
  <c r="H125" i="92"/>
  <c r="G125" i="92"/>
  <c r="F125" i="92"/>
  <c r="E125" i="92"/>
  <c r="D125" i="92"/>
  <c r="C125" i="92"/>
  <c r="B125" i="92"/>
  <c r="N124" i="92"/>
  <c r="M124" i="92"/>
  <c r="L124" i="92"/>
  <c r="K124" i="92"/>
  <c r="J124" i="92"/>
  <c r="I124" i="92"/>
  <c r="H124" i="92"/>
  <c r="G124" i="92"/>
  <c r="F124" i="92"/>
  <c r="E124" i="92"/>
  <c r="D124" i="92"/>
  <c r="C124" i="92"/>
  <c r="B124" i="92"/>
  <c r="N123" i="92"/>
  <c r="M123" i="92"/>
  <c r="L123" i="92"/>
  <c r="K123" i="92"/>
  <c r="J123" i="92"/>
  <c r="I123" i="92"/>
  <c r="H123" i="92"/>
  <c r="G123" i="92"/>
  <c r="F123" i="92"/>
  <c r="E123" i="92"/>
  <c r="D123" i="92"/>
  <c r="C123" i="92"/>
  <c r="B123" i="92"/>
  <c r="N122" i="92"/>
  <c r="M122" i="92"/>
  <c r="L122" i="92"/>
  <c r="K122" i="92"/>
  <c r="J122" i="92"/>
  <c r="I122" i="92"/>
  <c r="H122" i="92"/>
  <c r="G122" i="92"/>
  <c r="F122" i="92"/>
  <c r="E122" i="92"/>
  <c r="D122" i="92"/>
  <c r="C122" i="92"/>
  <c r="B122" i="92"/>
  <c r="N121" i="92"/>
  <c r="M121" i="92"/>
  <c r="L121" i="92"/>
  <c r="K121" i="92"/>
  <c r="J121" i="92"/>
  <c r="I121" i="92"/>
  <c r="H121" i="92"/>
  <c r="G121" i="92"/>
  <c r="F121" i="92"/>
  <c r="E121" i="92"/>
  <c r="D121" i="92"/>
  <c r="C121" i="92"/>
  <c r="B121" i="92"/>
  <c r="N120" i="92"/>
  <c r="M120" i="92"/>
  <c r="L120" i="92"/>
  <c r="K120" i="92"/>
  <c r="J120" i="92"/>
  <c r="I120" i="92"/>
  <c r="H120" i="92"/>
  <c r="G120" i="92"/>
  <c r="F120" i="92"/>
  <c r="E120" i="92"/>
  <c r="D120" i="92"/>
  <c r="C120" i="92"/>
  <c r="B120" i="92"/>
  <c r="N119" i="92"/>
  <c r="M119" i="92"/>
  <c r="L119" i="92"/>
  <c r="K119" i="92"/>
  <c r="J119" i="92"/>
  <c r="I119" i="92"/>
  <c r="H119" i="92"/>
  <c r="G119" i="92"/>
  <c r="F119" i="92"/>
  <c r="E119" i="92"/>
  <c r="D119" i="92"/>
  <c r="C119" i="92"/>
  <c r="B119" i="92"/>
  <c r="N118" i="92"/>
  <c r="M118" i="92"/>
  <c r="L118" i="92"/>
  <c r="K118" i="92"/>
  <c r="J118" i="92"/>
  <c r="I118" i="92"/>
  <c r="H118" i="92"/>
  <c r="G118" i="92"/>
  <c r="F118" i="92"/>
  <c r="E118" i="92"/>
  <c r="D118" i="92"/>
  <c r="C118" i="92"/>
  <c r="B118" i="92"/>
  <c r="N117" i="92"/>
  <c r="M117" i="92"/>
  <c r="L117" i="92"/>
  <c r="K117" i="92"/>
  <c r="J117" i="92"/>
  <c r="I117" i="92"/>
  <c r="H117" i="92"/>
  <c r="G117" i="92"/>
  <c r="F117" i="92"/>
  <c r="E117" i="92"/>
  <c r="D117" i="92"/>
  <c r="C117" i="92"/>
  <c r="B117" i="92"/>
  <c r="N116" i="92"/>
  <c r="M116" i="92"/>
  <c r="L116" i="92"/>
  <c r="K116" i="92"/>
  <c r="J116" i="92"/>
  <c r="I116" i="92"/>
  <c r="H116" i="92"/>
  <c r="G116" i="92"/>
  <c r="F116" i="92"/>
  <c r="E116" i="92"/>
  <c r="D116" i="92"/>
  <c r="C116" i="92"/>
  <c r="B116" i="92"/>
  <c r="N115" i="92"/>
  <c r="M115" i="92"/>
  <c r="L115" i="92"/>
  <c r="K115" i="92"/>
  <c r="J115" i="92"/>
  <c r="I115" i="92"/>
  <c r="H115" i="92"/>
  <c r="G115" i="92"/>
  <c r="F115" i="92"/>
  <c r="E115" i="92"/>
  <c r="D115" i="92"/>
  <c r="C115" i="92"/>
  <c r="B115" i="92"/>
  <c r="N114" i="92"/>
  <c r="M114" i="92"/>
  <c r="L114" i="92"/>
  <c r="K114" i="92"/>
  <c r="J114" i="92"/>
  <c r="I114" i="92"/>
  <c r="H114" i="92"/>
  <c r="G114" i="92"/>
  <c r="F114" i="92"/>
  <c r="E114" i="92"/>
  <c r="D114" i="92"/>
  <c r="C114" i="92"/>
  <c r="B114" i="92"/>
  <c r="N113" i="92"/>
  <c r="M113" i="92"/>
  <c r="L113" i="92"/>
  <c r="K113" i="92"/>
  <c r="J113" i="92"/>
  <c r="I113" i="92"/>
  <c r="H113" i="92"/>
  <c r="G113" i="92"/>
  <c r="F113" i="92"/>
  <c r="E113" i="92"/>
  <c r="D113" i="92"/>
  <c r="C113" i="92"/>
  <c r="B113" i="92"/>
  <c r="N112" i="92"/>
  <c r="M112" i="92"/>
  <c r="L112" i="92"/>
  <c r="K112" i="92"/>
  <c r="J112" i="92"/>
  <c r="I112" i="92"/>
  <c r="H112" i="92"/>
  <c r="G112" i="92"/>
  <c r="F112" i="92"/>
  <c r="E112" i="92"/>
  <c r="D112" i="92"/>
  <c r="C112" i="92"/>
  <c r="B112" i="92"/>
  <c r="N111" i="92"/>
  <c r="M111" i="92"/>
  <c r="L111" i="92"/>
  <c r="K111" i="92"/>
  <c r="J111" i="92"/>
  <c r="I111" i="92"/>
  <c r="H111" i="92"/>
  <c r="G111" i="92"/>
  <c r="F111" i="92"/>
  <c r="E111" i="92"/>
  <c r="D111" i="92"/>
  <c r="C111" i="92"/>
  <c r="B111" i="92"/>
  <c r="N110" i="92"/>
  <c r="M110" i="92"/>
  <c r="L110" i="92"/>
  <c r="K110" i="92"/>
  <c r="J110" i="92"/>
  <c r="I110" i="92"/>
  <c r="H110" i="92"/>
  <c r="G110" i="92"/>
  <c r="F110" i="92"/>
  <c r="E110" i="92"/>
  <c r="D110" i="92"/>
  <c r="C110" i="92"/>
  <c r="O106" i="92"/>
  <c r="N106" i="92"/>
  <c r="M106" i="92"/>
  <c r="L106" i="92"/>
  <c r="K106" i="92"/>
  <c r="J106" i="92"/>
  <c r="I106" i="92"/>
  <c r="H106" i="92"/>
  <c r="G106" i="92"/>
  <c r="F106" i="92"/>
  <c r="E106" i="92"/>
  <c r="D106" i="92"/>
  <c r="C106" i="92"/>
  <c r="A106" i="92"/>
  <c r="N105" i="92"/>
  <c r="M105" i="92"/>
  <c r="L105" i="92"/>
  <c r="K105" i="92"/>
  <c r="J105" i="92"/>
  <c r="I105" i="92"/>
  <c r="H105" i="92"/>
  <c r="G105" i="92"/>
  <c r="F105" i="92"/>
  <c r="E105" i="92"/>
  <c r="D105" i="92"/>
  <c r="N104" i="92"/>
  <c r="M104" i="92"/>
  <c r="L104" i="92"/>
  <c r="K104" i="92"/>
  <c r="J104" i="92"/>
  <c r="I104" i="92"/>
  <c r="H104" i="92"/>
  <c r="G104" i="92"/>
  <c r="F104" i="92"/>
  <c r="E104" i="92"/>
  <c r="D104" i="92"/>
  <c r="C104" i="92"/>
  <c r="B104" i="92"/>
  <c r="N103" i="92"/>
  <c r="M103" i="92"/>
  <c r="L103" i="92"/>
  <c r="K103" i="92"/>
  <c r="J103" i="92"/>
  <c r="I103" i="92"/>
  <c r="H103" i="92"/>
  <c r="G103" i="92"/>
  <c r="F103" i="92"/>
  <c r="E103" i="92"/>
  <c r="D103" i="92"/>
  <c r="C103" i="92"/>
  <c r="B103" i="92"/>
  <c r="N102" i="92"/>
  <c r="M102" i="92"/>
  <c r="L102" i="92"/>
  <c r="K102" i="92"/>
  <c r="J102" i="92"/>
  <c r="I102" i="92"/>
  <c r="H102" i="92"/>
  <c r="G102" i="92"/>
  <c r="F102" i="92"/>
  <c r="E102" i="92"/>
  <c r="D102" i="92"/>
  <c r="C102" i="92"/>
  <c r="B102" i="92"/>
  <c r="N101" i="92"/>
  <c r="M101" i="92"/>
  <c r="L101" i="92"/>
  <c r="K101" i="92"/>
  <c r="J101" i="92"/>
  <c r="I101" i="92"/>
  <c r="H101" i="92"/>
  <c r="G101" i="92"/>
  <c r="F101" i="92"/>
  <c r="E101" i="92"/>
  <c r="D101" i="92"/>
  <c r="C101" i="92"/>
  <c r="B101" i="92"/>
  <c r="N100" i="92"/>
  <c r="M100" i="92"/>
  <c r="L100" i="92"/>
  <c r="K100" i="92"/>
  <c r="J100" i="92"/>
  <c r="I100" i="92"/>
  <c r="H100" i="92"/>
  <c r="G100" i="92"/>
  <c r="F100" i="92"/>
  <c r="E100" i="92"/>
  <c r="D100" i="92"/>
  <c r="C100" i="92"/>
  <c r="B100" i="92"/>
  <c r="N99" i="92"/>
  <c r="M99" i="92"/>
  <c r="L99" i="92"/>
  <c r="K99" i="92"/>
  <c r="J99" i="92"/>
  <c r="I99" i="92"/>
  <c r="H99" i="92"/>
  <c r="G99" i="92"/>
  <c r="F99" i="92"/>
  <c r="E99" i="92"/>
  <c r="D99" i="92"/>
  <c r="C99" i="92"/>
  <c r="B99" i="92"/>
  <c r="N98" i="92"/>
  <c r="M98" i="92"/>
  <c r="L98" i="92"/>
  <c r="K98" i="92"/>
  <c r="J98" i="92"/>
  <c r="I98" i="92"/>
  <c r="H98" i="92"/>
  <c r="G98" i="92"/>
  <c r="F98" i="92"/>
  <c r="E98" i="92"/>
  <c r="D98" i="92"/>
  <c r="C98" i="92"/>
  <c r="B98" i="92"/>
  <c r="N97" i="92"/>
  <c r="M97" i="92"/>
  <c r="L97" i="92"/>
  <c r="K97" i="92"/>
  <c r="J97" i="92"/>
  <c r="I97" i="92"/>
  <c r="H97" i="92"/>
  <c r="G97" i="92"/>
  <c r="F97" i="92"/>
  <c r="E97" i="92"/>
  <c r="D97" i="92"/>
  <c r="C97" i="92"/>
  <c r="B97" i="92"/>
  <c r="N96" i="92"/>
  <c r="M96" i="92"/>
  <c r="L96" i="92"/>
  <c r="K96" i="92"/>
  <c r="J96" i="92"/>
  <c r="I96" i="92"/>
  <c r="H96" i="92"/>
  <c r="G96" i="92"/>
  <c r="F96" i="92"/>
  <c r="E96" i="92"/>
  <c r="D96" i="92"/>
  <c r="C96" i="92"/>
  <c r="B96" i="92"/>
  <c r="N95" i="92"/>
  <c r="M95" i="92"/>
  <c r="L95" i="92"/>
  <c r="K95" i="92"/>
  <c r="J95" i="92"/>
  <c r="I95" i="92"/>
  <c r="H95" i="92"/>
  <c r="G95" i="92"/>
  <c r="F95" i="92"/>
  <c r="E95" i="92"/>
  <c r="D95" i="92"/>
  <c r="C95" i="92"/>
  <c r="B95" i="92"/>
  <c r="N94" i="92"/>
  <c r="M94" i="92"/>
  <c r="L94" i="92"/>
  <c r="K94" i="92"/>
  <c r="J94" i="92"/>
  <c r="I94" i="92"/>
  <c r="H94" i="92"/>
  <c r="G94" i="92"/>
  <c r="F94" i="92"/>
  <c r="E94" i="92"/>
  <c r="D94" i="92"/>
  <c r="C94" i="92"/>
  <c r="B94" i="92"/>
  <c r="N93" i="92"/>
  <c r="M93" i="92"/>
  <c r="L93" i="92"/>
  <c r="K93" i="92"/>
  <c r="J93" i="92"/>
  <c r="I93" i="92"/>
  <c r="H93" i="92"/>
  <c r="G93" i="92"/>
  <c r="F93" i="92"/>
  <c r="E93" i="92"/>
  <c r="D93" i="92"/>
  <c r="C93" i="92"/>
  <c r="B93" i="92"/>
  <c r="N92" i="92"/>
  <c r="M92" i="92"/>
  <c r="L92" i="92"/>
  <c r="K92" i="92"/>
  <c r="J92" i="92"/>
  <c r="I92" i="92"/>
  <c r="H92" i="92"/>
  <c r="G92" i="92"/>
  <c r="F92" i="92"/>
  <c r="E92" i="92"/>
  <c r="D92" i="92"/>
  <c r="C92" i="92"/>
  <c r="B92" i="92"/>
  <c r="N91" i="92"/>
  <c r="M91" i="92"/>
  <c r="L91" i="92"/>
  <c r="K91" i="92"/>
  <c r="J91" i="92"/>
  <c r="I91" i="92"/>
  <c r="H91" i="92"/>
  <c r="G91" i="92"/>
  <c r="F91" i="92"/>
  <c r="E91" i="92"/>
  <c r="D91" i="92"/>
  <c r="C91" i="92"/>
  <c r="B91" i="92"/>
  <c r="N90" i="92"/>
  <c r="M90" i="92"/>
  <c r="L90" i="92"/>
  <c r="K90" i="92"/>
  <c r="J90" i="92"/>
  <c r="I90" i="92"/>
  <c r="H90" i="92"/>
  <c r="G90" i="92"/>
  <c r="F90" i="92"/>
  <c r="E90" i="92"/>
  <c r="D90" i="92"/>
  <c r="C90" i="92"/>
  <c r="B90" i="92"/>
  <c r="N89" i="92"/>
  <c r="M89" i="92"/>
  <c r="L89" i="92"/>
  <c r="K89" i="92"/>
  <c r="J89" i="92"/>
  <c r="I89" i="92"/>
  <c r="H89" i="92"/>
  <c r="G89" i="92"/>
  <c r="F89" i="92"/>
  <c r="E89" i="92"/>
  <c r="D89" i="92"/>
  <c r="C89" i="92"/>
  <c r="B89" i="92"/>
  <c r="N88" i="92"/>
  <c r="M88" i="92"/>
  <c r="L88" i="92"/>
  <c r="K88" i="92"/>
  <c r="J88" i="92"/>
  <c r="I88" i="92"/>
  <c r="H88" i="92"/>
  <c r="G88" i="92"/>
  <c r="F88" i="92"/>
  <c r="E88" i="92"/>
  <c r="D88" i="92"/>
  <c r="C88" i="92"/>
  <c r="B88" i="92"/>
  <c r="N87" i="92"/>
  <c r="M87" i="92"/>
  <c r="L87" i="92"/>
  <c r="K87" i="92"/>
  <c r="J87" i="92"/>
  <c r="I87" i="92"/>
  <c r="H87" i="92"/>
  <c r="G87" i="92"/>
  <c r="F87" i="92"/>
  <c r="E87" i="92"/>
  <c r="D87" i="92"/>
  <c r="C87" i="92"/>
  <c r="B87" i="92"/>
  <c r="N86" i="92"/>
  <c r="M86" i="92"/>
  <c r="L86" i="92"/>
  <c r="K86" i="92"/>
  <c r="J86" i="92"/>
  <c r="I86" i="92"/>
  <c r="H86" i="92"/>
  <c r="G86" i="92"/>
  <c r="F86" i="92"/>
  <c r="E86" i="92"/>
  <c r="D86" i="92"/>
  <c r="C86" i="92"/>
  <c r="B86" i="92"/>
  <c r="N85" i="92"/>
  <c r="M85" i="92"/>
  <c r="L85" i="92"/>
  <c r="K85" i="92"/>
  <c r="J85" i="92"/>
  <c r="I85" i="92"/>
  <c r="H85" i="92"/>
  <c r="G85" i="92"/>
  <c r="F85" i="92"/>
  <c r="E85" i="92"/>
  <c r="D85" i="92"/>
  <c r="C85" i="92"/>
  <c r="B85" i="92"/>
  <c r="N84" i="92"/>
  <c r="M84" i="92"/>
  <c r="L84" i="92"/>
  <c r="K84" i="92"/>
  <c r="J84" i="92"/>
  <c r="I84" i="92"/>
  <c r="H84" i="92"/>
  <c r="G84" i="92"/>
  <c r="F84" i="92"/>
  <c r="E84" i="92"/>
  <c r="D84" i="92"/>
  <c r="C84" i="92"/>
  <c r="N80" i="92"/>
  <c r="M80" i="92"/>
  <c r="L80" i="92"/>
  <c r="K80" i="92"/>
  <c r="J80" i="92"/>
  <c r="I80" i="92"/>
  <c r="H80" i="92"/>
  <c r="G80" i="92"/>
  <c r="F80" i="92"/>
  <c r="E80" i="92"/>
  <c r="D80" i="92"/>
  <c r="C80" i="92"/>
  <c r="N79" i="92"/>
  <c r="M79" i="92"/>
  <c r="L79" i="92"/>
  <c r="K79" i="92"/>
  <c r="J79" i="92"/>
  <c r="I79" i="92"/>
  <c r="H79" i="92"/>
  <c r="G79" i="92"/>
  <c r="F79" i="92"/>
  <c r="E79" i="92"/>
  <c r="D79" i="92"/>
  <c r="C79" i="92"/>
  <c r="N78" i="92"/>
  <c r="M78" i="92"/>
  <c r="L78" i="92"/>
  <c r="K78" i="92"/>
  <c r="J78" i="92"/>
  <c r="I78" i="92"/>
  <c r="H78" i="92"/>
  <c r="G78" i="92"/>
  <c r="F78" i="92"/>
  <c r="E78" i="92"/>
  <c r="D78" i="92"/>
  <c r="C78" i="92"/>
  <c r="N77" i="92"/>
  <c r="M77" i="92"/>
  <c r="L77" i="92"/>
  <c r="K77" i="92"/>
  <c r="J77" i="92"/>
  <c r="I77" i="92"/>
  <c r="H77" i="92"/>
  <c r="G77" i="92"/>
  <c r="F77" i="92"/>
  <c r="E77" i="92"/>
  <c r="D77" i="92"/>
  <c r="C77" i="92"/>
  <c r="E69" i="92"/>
  <c r="D69" i="92"/>
  <c r="C69" i="92"/>
  <c r="B69" i="92"/>
  <c r="E68" i="92"/>
  <c r="D68" i="92"/>
  <c r="C68" i="92"/>
  <c r="B68" i="92"/>
  <c r="E67" i="92"/>
  <c r="D67" i="92"/>
  <c r="C67" i="92"/>
  <c r="B67" i="92"/>
  <c r="E66" i="92"/>
  <c r="D66" i="92"/>
  <c r="C66" i="92"/>
  <c r="B66" i="92"/>
  <c r="E65" i="92"/>
  <c r="D65" i="92"/>
  <c r="C65" i="92"/>
  <c r="B65" i="92"/>
  <c r="E64" i="92"/>
  <c r="D64" i="92"/>
  <c r="C64" i="92"/>
  <c r="B64" i="92"/>
  <c r="E63" i="92"/>
  <c r="D63" i="92"/>
  <c r="C63" i="92"/>
  <c r="B63" i="92"/>
  <c r="E62" i="92"/>
  <c r="D62" i="92"/>
  <c r="C62" i="92"/>
  <c r="B62" i="92"/>
  <c r="E61" i="92"/>
  <c r="D61" i="92"/>
  <c r="C61" i="92"/>
  <c r="B61" i="92"/>
  <c r="E60" i="92"/>
  <c r="D60" i="92"/>
  <c r="C60" i="92"/>
  <c r="B60" i="92"/>
  <c r="E59" i="92"/>
  <c r="D59" i="92"/>
  <c r="C59" i="92"/>
  <c r="B59" i="92"/>
  <c r="E58" i="92"/>
  <c r="D58" i="92"/>
  <c r="C58" i="92"/>
  <c r="B58" i="92"/>
  <c r="E57" i="92"/>
  <c r="D57" i="92"/>
  <c r="C57" i="92"/>
  <c r="B57" i="92"/>
  <c r="E56" i="92"/>
  <c r="D56" i="92"/>
  <c r="C56" i="92"/>
  <c r="B56" i="92"/>
  <c r="E55" i="92"/>
  <c r="D55" i="92"/>
  <c r="C55" i="92"/>
  <c r="B55" i="92"/>
  <c r="E54" i="92"/>
  <c r="D54" i="92"/>
  <c r="C54" i="92"/>
  <c r="B54" i="92"/>
  <c r="E53" i="92"/>
  <c r="D53" i="92"/>
  <c r="C53" i="92"/>
  <c r="B53" i="92"/>
  <c r="E52" i="92"/>
  <c r="D52" i="92"/>
  <c r="C52" i="92"/>
  <c r="B52" i="92"/>
  <c r="E51" i="92"/>
  <c r="D51" i="92"/>
  <c r="C51" i="92"/>
  <c r="B51" i="92"/>
  <c r="E50" i="92"/>
  <c r="D50" i="92"/>
  <c r="C50" i="92"/>
  <c r="B50" i="92"/>
  <c r="D46" i="92"/>
  <c r="C46" i="92"/>
  <c r="D45" i="92"/>
  <c r="C45" i="92"/>
  <c r="D44" i="92"/>
  <c r="C44" i="92"/>
  <c r="E40" i="92"/>
  <c r="D40" i="92"/>
  <c r="C40" i="92"/>
  <c r="B40" i="92"/>
  <c r="E39" i="92"/>
  <c r="D39" i="92"/>
  <c r="C39" i="92"/>
  <c r="B39" i="92"/>
  <c r="E38" i="92"/>
  <c r="D38" i="92"/>
  <c r="C38" i="92"/>
  <c r="B38" i="92"/>
  <c r="E37" i="92"/>
  <c r="D37" i="92"/>
  <c r="C37" i="92"/>
  <c r="B37" i="92"/>
  <c r="E36" i="92"/>
  <c r="D36" i="92"/>
  <c r="C36" i="92"/>
  <c r="B36" i="92"/>
  <c r="E35" i="92"/>
  <c r="D35" i="92"/>
  <c r="C35" i="92"/>
  <c r="B35" i="92"/>
  <c r="E34" i="92"/>
  <c r="D34" i="92"/>
  <c r="C34" i="92"/>
  <c r="B34" i="92"/>
  <c r="E33" i="92"/>
  <c r="D33" i="92"/>
  <c r="C33" i="92"/>
  <c r="B33" i="92"/>
  <c r="E32" i="92"/>
  <c r="D32" i="92"/>
  <c r="C32" i="92"/>
  <c r="B32" i="92"/>
  <c r="E31" i="92"/>
  <c r="D31" i="92"/>
  <c r="C31" i="92"/>
  <c r="B31" i="92"/>
  <c r="E30" i="92"/>
  <c r="D30" i="92"/>
  <c r="C30" i="92"/>
  <c r="B30" i="92"/>
  <c r="E29" i="92"/>
  <c r="D29" i="92"/>
  <c r="C29" i="92"/>
  <c r="B29" i="92"/>
  <c r="E28" i="92"/>
  <c r="D28" i="92"/>
  <c r="C28" i="92"/>
  <c r="B28" i="92"/>
  <c r="E27" i="92"/>
  <c r="D27" i="92"/>
  <c r="C27" i="92"/>
  <c r="B27" i="92"/>
  <c r="E26" i="92"/>
  <c r="D26" i="92"/>
  <c r="C26" i="92"/>
  <c r="B26" i="92"/>
  <c r="E25" i="92"/>
  <c r="D25" i="92"/>
  <c r="C25" i="92"/>
  <c r="B25" i="92"/>
  <c r="E24" i="92"/>
  <c r="D24" i="92"/>
  <c r="C24" i="92"/>
  <c r="B24" i="92"/>
  <c r="E23" i="92"/>
  <c r="D23" i="92"/>
  <c r="C23" i="92"/>
  <c r="B23" i="92"/>
  <c r="E22" i="92"/>
  <c r="D22" i="92"/>
  <c r="C22" i="92"/>
  <c r="B22" i="92"/>
  <c r="E21" i="92"/>
  <c r="D21" i="92"/>
  <c r="C21" i="92"/>
  <c r="B21" i="92"/>
  <c r="Y15" i="92"/>
  <c r="X15" i="92"/>
  <c r="W15" i="92"/>
  <c r="V15" i="92"/>
  <c r="U15" i="92"/>
  <c r="T15" i="92"/>
  <c r="S15" i="92"/>
  <c r="R15" i="92"/>
  <c r="Q15" i="92"/>
  <c r="P15" i="92"/>
  <c r="O15" i="92"/>
  <c r="N15" i="92"/>
  <c r="B15" i="92"/>
  <c r="Y14" i="92"/>
  <c r="X14" i="92"/>
  <c r="W14" i="92"/>
  <c r="V14" i="92"/>
  <c r="U14" i="92"/>
  <c r="T14" i="92"/>
  <c r="S14" i="92"/>
  <c r="R14" i="92"/>
  <c r="Q14" i="92"/>
  <c r="P14" i="92"/>
  <c r="O14" i="92"/>
  <c r="N14" i="92"/>
  <c r="M14" i="92"/>
  <c r="L14" i="92"/>
  <c r="K14" i="92"/>
  <c r="J14" i="92"/>
  <c r="I14" i="92"/>
  <c r="H14" i="92"/>
  <c r="G14" i="92"/>
  <c r="F14" i="92"/>
  <c r="E14" i="92"/>
  <c r="D14" i="92"/>
  <c r="C14" i="92"/>
  <c r="B14" i="92"/>
  <c r="A10" i="92"/>
  <c r="A1" i="92"/>
  <c r="S69" i="113"/>
  <c r="R69" i="113"/>
  <c r="Q69" i="113"/>
  <c r="P69" i="113"/>
  <c r="O69" i="113"/>
  <c r="N69" i="113"/>
  <c r="M69" i="113"/>
  <c r="L69" i="113"/>
  <c r="K69" i="113"/>
  <c r="J69" i="113"/>
  <c r="I69" i="113"/>
  <c r="H69" i="113"/>
  <c r="G69" i="113"/>
  <c r="S68" i="113"/>
  <c r="R68" i="113"/>
  <c r="Q68" i="113"/>
  <c r="P68" i="113"/>
  <c r="O68" i="113"/>
  <c r="N68" i="113"/>
  <c r="M68" i="113"/>
  <c r="L68" i="113"/>
  <c r="K68" i="113"/>
  <c r="J68" i="113"/>
  <c r="I68" i="113"/>
  <c r="H68" i="113"/>
  <c r="G68" i="113"/>
  <c r="C68" i="113"/>
  <c r="AA57" i="113"/>
  <c r="Z57" i="113"/>
  <c r="Y57" i="113"/>
  <c r="X57" i="113"/>
  <c r="W57" i="113"/>
  <c r="V57" i="113"/>
  <c r="U57" i="113"/>
  <c r="T57" i="113"/>
  <c r="S57" i="113"/>
  <c r="R57" i="113"/>
  <c r="Q57" i="113"/>
  <c r="AA56" i="113"/>
  <c r="Z56" i="113"/>
  <c r="Y56" i="113"/>
  <c r="X56" i="113"/>
  <c r="W56" i="113"/>
  <c r="V56" i="113"/>
  <c r="U56" i="113"/>
  <c r="T56" i="113"/>
  <c r="S56" i="113"/>
  <c r="R56" i="113"/>
  <c r="Q56" i="113"/>
  <c r="P56" i="113"/>
  <c r="B56" i="113"/>
  <c r="AA55" i="113"/>
  <c r="Z55" i="113"/>
  <c r="Y55" i="113"/>
  <c r="X55" i="113"/>
  <c r="W55" i="113"/>
  <c r="V55" i="113"/>
  <c r="U55" i="113"/>
  <c r="T55" i="113"/>
  <c r="S55" i="113"/>
  <c r="R55" i="113"/>
  <c r="Q55" i="113"/>
  <c r="P55" i="113"/>
  <c r="O55" i="113"/>
  <c r="N55" i="113"/>
  <c r="M55" i="113"/>
  <c r="L55" i="113"/>
  <c r="K55" i="113"/>
  <c r="J55" i="113"/>
  <c r="I55" i="113"/>
  <c r="H55" i="113"/>
  <c r="G55" i="113"/>
  <c r="F55" i="113"/>
  <c r="E55" i="113"/>
  <c r="D55" i="113"/>
  <c r="C55" i="113"/>
  <c r="B55" i="113"/>
  <c r="AA46" i="113"/>
  <c r="Z46" i="113"/>
  <c r="Y46" i="113"/>
  <c r="X46" i="113"/>
  <c r="W46" i="113"/>
  <c r="V46" i="113"/>
  <c r="U46" i="113"/>
  <c r="T46" i="113"/>
  <c r="S46" i="113"/>
  <c r="R46" i="113"/>
  <c r="Q46" i="113"/>
  <c r="P46" i="113"/>
  <c r="AA45" i="113"/>
  <c r="Z45" i="113"/>
  <c r="Y45" i="113"/>
  <c r="X45" i="113"/>
  <c r="W45" i="113"/>
  <c r="V45" i="113"/>
  <c r="U45" i="113"/>
  <c r="T45" i="113"/>
  <c r="S45" i="113"/>
  <c r="R45" i="113"/>
  <c r="Q45" i="113"/>
  <c r="P45" i="113"/>
  <c r="O45" i="113"/>
  <c r="N45" i="113"/>
  <c r="M45" i="113"/>
  <c r="L45" i="113"/>
  <c r="K45" i="113"/>
  <c r="J45" i="113"/>
  <c r="I45" i="113"/>
  <c r="H45" i="113"/>
  <c r="G45" i="113"/>
  <c r="F45" i="113"/>
  <c r="E45" i="113"/>
  <c r="D45" i="113"/>
  <c r="C45" i="113"/>
  <c r="B45" i="113"/>
  <c r="AA41" i="113"/>
  <c r="Z41" i="113"/>
  <c r="Y41" i="113"/>
  <c r="X41" i="113"/>
  <c r="W41" i="113"/>
  <c r="V41" i="113"/>
  <c r="U41" i="113"/>
  <c r="T41" i="113"/>
  <c r="S41" i="113"/>
  <c r="R41" i="113"/>
  <c r="Q41" i="113"/>
  <c r="P41" i="113"/>
  <c r="P40" i="113"/>
  <c r="AA38" i="113"/>
  <c r="Z38" i="113"/>
  <c r="Y38" i="113"/>
  <c r="X38" i="113"/>
  <c r="W38" i="113"/>
  <c r="V38" i="113"/>
  <c r="U38" i="113"/>
  <c r="T38" i="113"/>
  <c r="S38" i="113"/>
  <c r="R38" i="113"/>
  <c r="Q38" i="113"/>
  <c r="AA37" i="113"/>
  <c r="Z37" i="113"/>
  <c r="Y37" i="113"/>
  <c r="X37" i="113"/>
  <c r="W37" i="113"/>
  <c r="V37" i="113"/>
  <c r="U37" i="113"/>
  <c r="T37" i="113"/>
  <c r="S37" i="113"/>
  <c r="R37" i="113"/>
  <c r="Q37" i="113"/>
  <c r="P37" i="113"/>
  <c r="AA34" i="113"/>
  <c r="Z34" i="113"/>
  <c r="Y34" i="113"/>
  <c r="X34" i="113"/>
  <c r="W34" i="113"/>
  <c r="V34" i="113"/>
  <c r="U34" i="113"/>
  <c r="T34" i="113"/>
  <c r="S34" i="113"/>
  <c r="R34" i="113"/>
  <c r="Q34" i="113"/>
  <c r="P34" i="113"/>
  <c r="O34" i="113"/>
  <c r="O30" i="113"/>
  <c r="O28" i="113"/>
  <c r="O27" i="113"/>
  <c r="O26" i="113"/>
  <c r="O25" i="113"/>
  <c r="O24" i="113"/>
  <c r="B24" i="113"/>
  <c r="O23" i="113"/>
  <c r="B23" i="113"/>
  <c r="AA20" i="113"/>
  <c r="Z20" i="113"/>
  <c r="Y20" i="113"/>
  <c r="X20" i="113"/>
  <c r="W20" i="113"/>
  <c r="V20" i="113"/>
  <c r="U20" i="113"/>
  <c r="T20" i="113"/>
  <c r="S20" i="113"/>
  <c r="R20" i="113"/>
  <c r="Q20" i="113"/>
  <c r="P20" i="113"/>
  <c r="O20" i="113"/>
  <c r="N20" i="113"/>
  <c r="M20" i="113"/>
  <c r="L20" i="113"/>
  <c r="K20" i="113"/>
  <c r="J20" i="113"/>
  <c r="I20" i="113"/>
  <c r="H20" i="113"/>
  <c r="G20" i="113"/>
  <c r="F20" i="113"/>
  <c r="E20" i="113"/>
  <c r="D20" i="113"/>
  <c r="AA19" i="113"/>
  <c r="Z19" i="113"/>
  <c r="Y19" i="113"/>
  <c r="X19" i="113"/>
  <c r="W19" i="113"/>
  <c r="V19" i="113"/>
  <c r="U19" i="113"/>
  <c r="T19" i="113"/>
  <c r="S19" i="113"/>
  <c r="R19" i="113"/>
  <c r="Q19" i="113"/>
  <c r="P19" i="113"/>
  <c r="O19" i="113"/>
  <c r="N19" i="113"/>
  <c r="M19" i="113"/>
  <c r="L19" i="113"/>
  <c r="K19" i="113"/>
  <c r="J19" i="113"/>
  <c r="I19" i="113"/>
  <c r="H19" i="113"/>
  <c r="G19" i="113"/>
  <c r="F19" i="113"/>
  <c r="E19" i="113"/>
  <c r="D19" i="113"/>
  <c r="C19" i="113"/>
  <c r="B19" i="113"/>
  <c r="AA18" i="113"/>
  <c r="Z18" i="113"/>
  <c r="Y18" i="113"/>
  <c r="X18" i="113"/>
  <c r="W18" i="113"/>
  <c r="V18" i="113"/>
  <c r="U18" i="113"/>
  <c r="T18" i="113"/>
  <c r="S18" i="113"/>
  <c r="R18" i="113"/>
  <c r="Q18" i="113"/>
  <c r="P18" i="113"/>
  <c r="O18" i="113"/>
  <c r="N18" i="113"/>
  <c r="M18" i="113"/>
  <c r="L18" i="113"/>
  <c r="K18" i="113"/>
  <c r="J18" i="113"/>
  <c r="I18" i="113"/>
  <c r="H18" i="113"/>
  <c r="G18" i="113"/>
  <c r="F18" i="113"/>
  <c r="E18" i="113"/>
  <c r="D18" i="113"/>
  <c r="C18" i="113"/>
  <c r="B18" i="113"/>
  <c r="R16" i="113"/>
  <c r="R12" i="113"/>
  <c r="M12" i="113"/>
  <c r="A10" i="113"/>
  <c r="A1" i="113"/>
  <c r="S76" i="104"/>
  <c r="R76" i="104"/>
  <c r="Q76" i="104"/>
  <c r="P76" i="104"/>
  <c r="O76" i="104"/>
  <c r="N76" i="104"/>
  <c r="M76" i="104"/>
  <c r="L76" i="104"/>
  <c r="K76" i="104"/>
  <c r="J76" i="104"/>
  <c r="I76" i="104"/>
  <c r="H76" i="104"/>
  <c r="G76" i="104"/>
  <c r="S75" i="104"/>
  <c r="R75" i="104"/>
  <c r="Q75" i="104"/>
  <c r="P75" i="104"/>
  <c r="O75" i="104"/>
  <c r="N75" i="104"/>
  <c r="M75" i="104"/>
  <c r="L75" i="104"/>
  <c r="K75" i="104"/>
  <c r="J75" i="104"/>
  <c r="I75" i="104"/>
  <c r="H75" i="104"/>
  <c r="G75" i="104"/>
  <c r="C75" i="104"/>
  <c r="AA64" i="104"/>
  <c r="Z64" i="104"/>
  <c r="Y64" i="104"/>
  <c r="X64" i="104"/>
  <c r="W64" i="104"/>
  <c r="V64" i="104"/>
  <c r="U64" i="104"/>
  <c r="T64" i="104"/>
  <c r="S64" i="104"/>
  <c r="R64" i="104"/>
  <c r="Q64" i="104"/>
  <c r="AA63" i="104"/>
  <c r="Z63" i="104"/>
  <c r="Y63" i="104"/>
  <c r="X63" i="104"/>
  <c r="W63" i="104"/>
  <c r="V63" i="104"/>
  <c r="U63" i="104"/>
  <c r="T63" i="104"/>
  <c r="S63" i="104"/>
  <c r="R63" i="104"/>
  <c r="Q63" i="104"/>
  <c r="P63" i="104"/>
  <c r="B63" i="104"/>
  <c r="AA62" i="104"/>
  <c r="Z62" i="104"/>
  <c r="Y62" i="104"/>
  <c r="X62" i="104"/>
  <c r="W62" i="104"/>
  <c r="V62" i="104"/>
  <c r="U62" i="104"/>
  <c r="T62" i="104"/>
  <c r="S62" i="104"/>
  <c r="R62" i="104"/>
  <c r="Q62" i="104"/>
  <c r="P62" i="104"/>
  <c r="O62" i="104"/>
  <c r="N62" i="104"/>
  <c r="M62" i="104"/>
  <c r="L62" i="104"/>
  <c r="K62" i="104"/>
  <c r="J62" i="104"/>
  <c r="I62" i="104"/>
  <c r="H62" i="104"/>
  <c r="G62" i="104"/>
  <c r="F62" i="104"/>
  <c r="E62" i="104"/>
  <c r="D62" i="104"/>
  <c r="C62" i="104"/>
  <c r="B62" i="104"/>
  <c r="AA54" i="104"/>
  <c r="Z54" i="104"/>
  <c r="Y54" i="104"/>
  <c r="X54" i="104"/>
  <c r="W54" i="104"/>
  <c r="V54" i="104"/>
  <c r="U54" i="104"/>
  <c r="T54" i="104"/>
  <c r="S54" i="104"/>
  <c r="R54" i="104"/>
  <c r="Q54" i="104"/>
  <c r="AA53" i="104"/>
  <c r="Z53" i="104"/>
  <c r="Y53" i="104"/>
  <c r="X53" i="104"/>
  <c r="W53" i="104"/>
  <c r="V53" i="104"/>
  <c r="U53" i="104"/>
  <c r="T53" i="104"/>
  <c r="S53" i="104"/>
  <c r="R53" i="104"/>
  <c r="Q53" i="104"/>
  <c r="P53" i="104"/>
  <c r="AA51" i="104"/>
  <c r="Z51" i="104"/>
  <c r="Y51" i="104"/>
  <c r="X51" i="104"/>
  <c r="W51" i="104"/>
  <c r="V51" i="104"/>
  <c r="U51" i="104"/>
  <c r="T51" i="104"/>
  <c r="S51" i="104"/>
  <c r="R51" i="104"/>
  <c r="Q51" i="104"/>
  <c r="P51" i="104"/>
  <c r="AA49" i="104"/>
  <c r="Z49" i="104"/>
  <c r="Y49" i="104"/>
  <c r="X49" i="104"/>
  <c r="W49" i="104"/>
  <c r="V49" i="104"/>
  <c r="U49" i="104"/>
  <c r="T49" i="104"/>
  <c r="S49" i="104"/>
  <c r="R49" i="104"/>
  <c r="Q49" i="104"/>
  <c r="P49" i="104"/>
  <c r="P48" i="104"/>
  <c r="O48" i="104"/>
  <c r="AA46" i="104"/>
  <c r="Z46" i="104"/>
  <c r="Y46" i="104"/>
  <c r="X46" i="104"/>
  <c r="W46" i="104"/>
  <c r="V46" i="104"/>
  <c r="U46" i="104"/>
  <c r="T46" i="104"/>
  <c r="S46" i="104"/>
  <c r="R46" i="104"/>
  <c r="Q46" i="104"/>
  <c r="P46" i="104"/>
  <c r="AA45" i="104"/>
  <c r="Z45" i="104"/>
  <c r="Y45" i="104"/>
  <c r="X45" i="104"/>
  <c r="W45" i="104"/>
  <c r="V45" i="104"/>
  <c r="U45" i="104"/>
  <c r="T45" i="104"/>
  <c r="S45" i="104"/>
  <c r="R45" i="104"/>
  <c r="Q45" i="104"/>
  <c r="P45" i="104"/>
  <c r="O45" i="104"/>
  <c r="N45" i="104"/>
  <c r="M45" i="104"/>
  <c r="L45" i="104"/>
  <c r="K45" i="104"/>
  <c r="J45" i="104"/>
  <c r="I45" i="104"/>
  <c r="H45" i="104"/>
  <c r="G45" i="104"/>
  <c r="F45" i="104"/>
  <c r="E45" i="104"/>
  <c r="D45" i="104"/>
  <c r="C45" i="104"/>
  <c r="B45" i="104"/>
  <c r="AA41" i="104"/>
  <c r="Z41" i="104"/>
  <c r="Y41" i="104"/>
  <c r="X41" i="104"/>
  <c r="W41" i="104"/>
  <c r="V41" i="104"/>
  <c r="U41" i="104"/>
  <c r="T41" i="104"/>
  <c r="S41" i="104"/>
  <c r="R41" i="104"/>
  <c r="Q41" i="104"/>
  <c r="P41" i="104"/>
  <c r="P40" i="104"/>
  <c r="AA38" i="104"/>
  <c r="Z38" i="104"/>
  <c r="Y38" i="104"/>
  <c r="X38" i="104"/>
  <c r="W38" i="104"/>
  <c r="V38" i="104"/>
  <c r="U38" i="104"/>
  <c r="T38" i="104"/>
  <c r="S38" i="104"/>
  <c r="R38" i="104"/>
  <c r="Q38" i="104"/>
  <c r="AA37" i="104"/>
  <c r="Z37" i="104"/>
  <c r="Y37" i="104"/>
  <c r="X37" i="104"/>
  <c r="W37" i="104"/>
  <c r="V37" i="104"/>
  <c r="U37" i="104"/>
  <c r="T37" i="104"/>
  <c r="S37" i="104"/>
  <c r="R37" i="104"/>
  <c r="Q37" i="104"/>
  <c r="P37" i="104"/>
  <c r="AA34" i="104"/>
  <c r="Z34" i="104"/>
  <c r="Y34" i="104"/>
  <c r="X34" i="104"/>
  <c r="W34" i="104"/>
  <c r="V34" i="104"/>
  <c r="U34" i="104"/>
  <c r="T34" i="104"/>
  <c r="S34" i="104"/>
  <c r="R34" i="104"/>
  <c r="Q34" i="104"/>
  <c r="P34" i="104"/>
  <c r="O34" i="104"/>
  <c r="O30" i="104"/>
  <c r="O28" i="104"/>
  <c r="O27" i="104"/>
  <c r="O26" i="104"/>
  <c r="O25" i="104"/>
  <c r="O24" i="104"/>
  <c r="B24" i="104"/>
  <c r="O23" i="104"/>
  <c r="B23" i="104"/>
  <c r="AA20"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AA19" i="104"/>
  <c r="Z19" i="104"/>
  <c r="Y19" i="104"/>
  <c r="X19" i="104"/>
  <c r="W19" i="104"/>
  <c r="V19" i="104"/>
  <c r="U19" i="104"/>
  <c r="T19" i="104"/>
  <c r="S19" i="104"/>
  <c r="R19" i="104"/>
  <c r="Q19" i="104"/>
  <c r="P19" i="104"/>
  <c r="O19" i="104"/>
  <c r="N19" i="104"/>
  <c r="M19" i="104"/>
  <c r="L19" i="104"/>
  <c r="K19" i="104"/>
  <c r="J19" i="104"/>
  <c r="I19" i="104"/>
  <c r="H19" i="104"/>
  <c r="G19" i="104"/>
  <c r="F19" i="104"/>
  <c r="E19" i="104"/>
  <c r="D19" i="104"/>
  <c r="C19" i="104"/>
  <c r="B19" i="104"/>
  <c r="AA18" i="104"/>
  <c r="Z18" i="104"/>
  <c r="Y18" i="104"/>
  <c r="X18" i="104"/>
  <c r="W18" i="104"/>
  <c r="V18" i="104"/>
  <c r="U18" i="104"/>
  <c r="T18" i="104"/>
  <c r="S18" i="104"/>
  <c r="R18" i="104"/>
  <c r="Q18" i="104"/>
  <c r="P18" i="104"/>
  <c r="O18" i="104"/>
  <c r="N18" i="104"/>
  <c r="M18" i="104"/>
  <c r="L18" i="104"/>
  <c r="K18" i="104"/>
  <c r="J18" i="104"/>
  <c r="I18" i="104"/>
  <c r="H18" i="104"/>
  <c r="G18" i="104"/>
  <c r="F18" i="104"/>
  <c r="E18" i="104"/>
  <c r="D18" i="104"/>
  <c r="C18" i="104"/>
  <c r="B18" i="104"/>
  <c r="R16" i="104"/>
  <c r="R12" i="104"/>
  <c r="M12" i="104"/>
  <c r="A10" i="104"/>
  <c r="A1" i="104"/>
  <c r="C52" i="93"/>
  <c r="B52" i="93"/>
  <c r="C51" i="93"/>
  <c r="B51" i="93"/>
  <c r="C50" i="93"/>
  <c r="B50" i="93"/>
  <c r="C49" i="93"/>
  <c r="AA45" i="93"/>
  <c r="Z45" i="93"/>
  <c r="Y45" i="93"/>
  <c r="X45" i="93"/>
  <c r="W45" i="93"/>
  <c r="V45" i="93"/>
  <c r="U45" i="93"/>
  <c r="T45" i="93"/>
  <c r="S45" i="93"/>
  <c r="R45" i="93"/>
  <c r="Q45" i="93"/>
  <c r="P45" i="93"/>
  <c r="O45" i="93"/>
  <c r="N45" i="93"/>
  <c r="M45" i="93"/>
  <c r="L45" i="93"/>
  <c r="K45" i="93"/>
  <c r="J45" i="93"/>
  <c r="I45" i="93"/>
  <c r="H45" i="93"/>
  <c r="G45" i="93"/>
  <c r="F45" i="93"/>
  <c r="E45" i="93"/>
  <c r="AA44" i="93"/>
  <c r="Z44" i="93"/>
  <c r="Y44" i="93"/>
  <c r="X44" i="93"/>
  <c r="W44" i="93"/>
  <c r="V44" i="93"/>
  <c r="U44" i="93"/>
  <c r="T44" i="93"/>
  <c r="S44" i="93"/>
  <c r="R44" i="93"/>
  <c r="Q44" i="93"/>
  <c r="P44" i="93"/>
  <c r="O44" i="93"/>
  <c r="N44" i="93"/>
  <c r="M44" i="93"/>
  <c r="L44" i="93"/>
  <c r="K44" i="93"/>
  <c r="J44" i="93"/>
  <c r="I44" i="93"/>
  <c r="H44" i="93"/>
  <c r="G44" i="93"/>
  <c r="F44" i="93"/>
  <c r="E44" i="93"/>
  <c r="D44" i="93"/>
  <c r="C44" i="93"/>
  <c r="B44" i="93"/>
  <c r="AA43" i="93"/>
  <c r="Z43" i="93"/>
  <c r="Y43" i="93"/>
  <c r="X43" i="93"/>
  <c r="W43" i="93"/>
  <c r="V43" i="93"/>
  <c r="U43" i="93"/>
  <c r="T43" i="93"/>
  <c r="S43" i="93"/>
  <c r="R43" i="93"/>
  <c r="Q43" i="93"/>
  <c r="P43" i="93"/>
  <c r="O43" i="93"/>
  <c r="N43" i="93"/>
  <c r="M43" i="93"/>
  <c r="L43" i="93"/>
  <c r="K43" i="93"/>
  <c r="J43" i="93"/>
  <c r="I43" i="93"/>
  <c r="H43" i="93"/>
  <c r="G43" i="93"/>
  <c r="F43" i="93"/>
  <c r="E43" i="93"/>
  <c r="D43" i="93"/>
  <c r="C43" i="93"/>
  <c r="B43" i="93"/>
  <c r="AA42" i="93"/>
  <c r="Z42" i="93"/>
  <c r="Y42" i="93"/>
  <c r="X42" i="93"/>
  <c r="W42" i="93"/>
  <c r="V42" i="93"/>
  <c r="U42" i="93"/>
  <c r="T42" i="93"/>
  <c r="S42" i="93"/>
  <c r="R42" i="93"/>
  <c r="Q42" i="93"/>
  <c r="P42" i="93"/>
  <c r="O42" i="93"/>
  <c r="N42" i="93"/>
  <c r="M42" i="93"/>
  <c r="L42" i="93"/>
  <c r="K42" i="93"/>
  <c r="J42" i="93"/>
  <c r="I42" i="93"/>
  <c r="H42" i="93"/>
  <c r="G42" i="93"/>
  <c r="F42" i="93"/>
  <c r="E42" i="93"/>
  <c r="D42" i="93"/>
  <c r="C42" i="93"/>
  <c r="B42" i="93"/>
  <c r="AA41" i="93"/>
  <c r="Z41" i="93"/>
  <c r="Y41" i="93"/>
  <c r="X41" i="93"/>
  <c r="W41" i="93"/>
  <c r="V41" i="93"/>
  <c r="U41" i="93"/>
  <c r="T41" i="93"/>
  <c r="S41" i="93"/>
  <c r="R41" i="93"/>
  <c r="Q41" i="93"/>
  <c r="P41" i="93"/>
  <c r="O41" i="93"/>
  <c r="N41" i="93"/>
  <c r="M41" i="93"/>
  <c r="L41" i="93"/>
  <c r="K41" i="93"/>
  <c r="J41" i="93"/>
  <c r="I41" i="93"/>
  <c r="H41" i="93"/>
  <c r="G41" i="93"/>
  <c r="F41" i="93"/>
  <c r="E41" i="93"/>
  <c r="D41" i="93"/>
  <c r="C41" i="93"/>
  <c r="B41" i="93"/>
  <c r="AA40" i="93"/>
  <c r="Z40" i="93"/>
  <c r="Y40" i="93"/>
  <c r="X40" i="93"/>
  <c r="W40" i="93"/>
  <c r="V40" i="93"/>
  <c r="U40" i="93"/>
  <c r="T40" i="93"/>
  <c r="S40" i="93"/>
  <c r="R40" i="93"/>
  <c r="Q40" i="93"/>
  <c r="P40" i="93"/>
  <c r="O40" i="93"/>
  <c r="N40" i="93"/>
  <c r="M40" i="93"/>
  <c r="L40" i="93"/>
  <c r="K40" i="93"/>
  <c r="J40" i="93"/>
  <c r="I40" i="93"/>
  <c r="H40" i="93"/>
  <c r="G40" i="93"/>
  <c r="F40" i="93"/>
  <c r="E40" i="93"/>
  <c r="D40" i="93"/>
  <c r="C40" i="93"/>
  <c r="B40" i="93"/>
  <c r="AA39"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AA38" i="93"/>
  <c r="Z38" i="93"/>
  <c r="Y38" i="93"/>
  <c r="X38" i="93"/>
  <c r="W38" i="93"/>
  <c r="V38" i="93"/>
  <c r="U38" i="93"/>
  <c r="T38" i="93"/>
  <c r="S38" i="93"/>
  <c r="R38" i="93"/>
  <c r="Q38" i="93"/>
  <c r="P38" i="93"/>
  <c r="O38" i="93"/>
  <c r="N38" i="93"/>
  <c r="M38" i="93"/>
  <c r="L38" i="93"/>
  <c r="K38" i="93"/>
  <c r="J38" i="93"/>
  <c r="I38" i="93"/>
  <c r="H38" i="93"/>
  <c r="G38" i="93"/>
  <c r="F38" i="93"/>
  <c r="E38" i="93"/>
  <c r="D38" i="93"/>
  <c r="C38" i="93"/>
  <c r="B38" i="93"/>
  <c r="AA34" i="93"/>
  <c r="Z34" i="93"/>
  <c r="Y34" i="93"/>
  <c r="X34" i="93"/>
  <c r="W34" i="93"/>
  <c r="V34" i="93"/>
  <c r="U34" i="93"/>
  <c r="T34" i="93"/>
  <c r="S34" i="93"/>
  <c r="R34" i="93"/>
  <c r="Q34" i="93"/>
  <c r="P34" i="93"/>
  <c r="O34" i="93"/>
  <c r="N34" i="93"/>
  <c r="M34" i="93"/>
  <c r="L34" i="93"/>
  <c r="K34" i="93"/>
  <c r="J34" i="93"/>
  <c r="I34" i="93"/>
  <c r="H34" i="93"/>
  <c r="G34" i="93"/>
  <c r="F34" i="93"/>
  <c r="E34" i="93"/>
  <c r="AA33"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AA32"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AA31" i="93"/>
  <c r="Z31" i="93"/>
  <c r="Y31" i="93"/>
  <c r="X31" i="93"/>
  <c r="W31" i="93"/>
  <c r="V31" i="93"/>
  <c r="U31" i="93"/>
  <c r="T31" i="93"/>
  <c r="S31" i="93"/>
  <c r="R31" i="93"/>
  <c r="Q31" i="93"/>
  <c r="P31" i="93"/>
  <c r="O31" i="93"/>
  <c r="N31" i="93"/>
  <c r="M31" i="93"/>
  <c r="L31" i="93"/>
  <c r="K31" i="93"/>
  <c r="J31" i="93"/>
  <c r="I31" i="93"/>
  <c r="H31" i="93"/>
  <c r="G31" i="93"/>
  <c r="F31" i="93"/>
  <c r="E31" i="93"/>
  <c r="D31" i="93"/>
  <c r="C31" i="93"/>
  <c r="B31" i="93"/>
  <c r="AA30"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AA29" i="93"/>
  <c r="Z29" i="93"/>
  <c r="Y29" i="93"/>
  <c r="X29" i="93"/>
  <c r="W29" i="93"/>
  <c r="V29" i="93"/>
  <c r="U29" i="93"/>
  <c r="T29" i="93"/>
  <c r="S29" i="93"/>
  <c r="R29" i="93"/>
  <c r="Q29" i="93"/>
  <c r="P29" i="93"/>
  <c r="O29" i="93"/>
  <c r="N29" i="93"/>
  <c r="M29" i="93"/>
  <c r="L29" i="93"/>
  <c r="K29" i="93"/>
  <c r="J29" i="93"/>
  <c r="I29" i="93"/>
  <c r="H29" i="93"/>
  <c r="G29" i="93"/>
  <c r="F29" i="93"/>
  <c r="E29" i="93"/>
  <c r="D29" i="93"/>
  <c r="C29" i="93"/>
  <c r="B29" i="93"/>
  <c r="AA28"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AA27"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AA23" i="93"/>
  <c r="Z23" i="93"/>
  <c r="Y23" i="93"/>
  <c r="X23" i="93"/>
  <c r="W23" i="93"/>
  <c r="V23" i="93"/>
  <c r="U23" i="93"/>
  <c r="T23" i="93"/>
  <c r="S23" i="93"/>
  <c r="R23" i="93"/>
  <c r="Q23" i="93"/>
  <c r="P23" i="93"/>
  <c r="O23" i="93"/>
  <c r="N23" i="93"/>
  <c r="M23" i="93"/>
  <c r="L23" i="93"/>
  <c r="K23" i="93"/>
  <c r="J23" i="93"/>
  <c r="I23" i="93"/>
  <c r="H23" i="93"/>
  <c r="G23" i="93"/>
  <c r="F23" i="93"/>
  <c r="E23" i="93"/>
  <c r="AA22" i="93"/>
  <c r="Z22" i="93"/>
  <c r="Y22" i="93"/>
  <c r="X22" i="93"/>
  <c r="W22" i="93"/>
  <c r="V22" i="93"/>
  <c r="U22" i="93"/>
  <c r="T22" i="93"/>
  <c r="S22" i="93"/>
  <c r="R22" i="93"/>
  <c r="Q22" i="93"/>
  <c r="P22" i="93"/>
  <c r="O22" i="93"/>
  <c r="N22" i="93"/>
  <c r="M22" i="93"/>
  <c r="L22" i="93"/>
  <c r="K22" i="93"/>
  <c r="J22" i="93"/>
  <c r="I22" i="93"/>
  <c r="H22" i="93"/>
  <c r="G22" i="93"/>
  <c r="F22" i="93"/>
  <c r="E22" i="93"/>
  <c r="D22" i="93"/>
  <c r="C22" i="93"/>
  <c r="AA21" i="93"/>
  <c r="Z21" i="93"/>
  <c r="Y21" i="93"/>
  <c r="X21" i="93"/>
  <c r="W21" i="93"/>
  <c r="V21" i="93"/>
  <c r="U21" i="93"/>
  <c r="T21" i="93"/>
  <c r="S21" i="93"/>
  <c r="R21" i="93"/>
  <c r="Q21" i="93"/>
  <c r="P21" i="93"/>
  <c r="O21" i="93"/>
  <c r="N21" i="93"/>
  <c r="M21" i="93"/>
  <c r="L21" i="93"/>
  <c r="K21" i="93"/>
  <c r="J21" i="93"/>
  <c r="I21" i="93"/>
  <c r="H21" i="93"/>
  <c r="G21" i="93"/>
  <c r="F21" i="93"/>
  <c r="E21" i="93"/>
  <c r="D21" i="93"/>
  <c r="C21" i="93"/>
  <c r="B21" i="93"/>
  <c r="AA20" i="93"/>
  <c r="Z20" i="93"/>
  <c r="Y20" i="93"/>
  <c r="X20" i="93"/>
  <c r="W20" i="93"/>
  <c r="V20" i="93"/>
  <c r="U20" i="93"/>
  <c r="T20" i="93"/>
  <c r="S20" i="93"/>
  <c r="R20" i="93"/>
  <c r="Q20" i="93"/>
  <c r="P20" i="93"/>
  <c r="O20" i="93"/>
  <c r="N20" i="93"/>
  <c r="M20" i="93"/>
  <c r="L20" i="93"/>
  <c r="K20" i="93"/>
  <c r="J20" i="93"/>
  <c r="I20" i="93"/>
  <c r="H20" i="93"/>
  <c r="G20" i="93"/>
  <c r="F20" i="93"/>
  <c r="E20" i="93"/>
  <c r="D20" i="93"/>
  <c r="C20" i="93"/>
  <c r="B20" i="93"/>
  <c r="AA19" i="93"/>
  <c r="Z19" i="93"/>
  <c r="Y19" i="93"/>
  <c r="X19" i="93"/>
  <c r="W19" i="93"/>
  <c r="V19" i="93"/>
  <c r="U19" i="93"/>
  <c r="T19" i="93"/>
  <c r="S19" i="93"/>
  <c r="R19" i="93"/>
  <c r="Q19" i="93"/>
  <c r="P19" i="93"/>
  <c r="O19" i="93"/>
  <c r="N19" i="93"/>
  <c r="M19" i="93"/>
  <c r="L19" i="93"/>
  <c r="K19" i="93"/>
  <c r="J19" i="93"/>
  <c r="I19" i="93"/>
  <c r="H19" i="93"/>
  <c r="G19" i="93"/>
  <c r="F19" i="93"/>
  <c r="E19" i="93"/>
  <c r="D19" i="93"/>
  <c r="C19" i="93"/>
  <c r="B19" i="93"/>
  <c r="AA18" i="93"/>
  <c r="Z18" i="93"/>
  <c r="Y18" i="93"/>
  <c r="X18" i="93"/>
  <c r="W18" i="93"/>
  <c r="V18" i="93"/>
  <c r="U18" i="93"/>
  <c r="T18" i="93"/>
  <c r="S18" i="93"/>
  <c r="R18" i="93"/>
  <c r="Q18" i="93"/>
  <c r="P18" i="93"/>
  <c r="O18" i="93"/>
  <c r="N18" i="93"/>
  <c r="M18" i="93"/>
  <c r="L18" i="93"/>
  <c r="K18" i="93"/>
  <c r="J18" i="93"/>
  <c r="I18" i="93"/>
  <c r="H18" i="93"/>
  <c r="G18" i="93"/>
  <c r="F18" i="93"/>
  <c r="E18" i="93"/>
  <c r="D18" i="93"/>
  <c r="C18" i="93"/>
  <c r="B18" i="93"/>
  <c r="AA17"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A10" i="93"/>
  <c r="A1" i="93"/>
  <c r="W102" i="111"/>
  <c r="V102" i="111"/>
  <c r="U102" i="111"/>
  <c r="T102" i="111"/>
  <c r="S102" i="111"/>
  <c r="R102" i="111"/>
  <c r="Q102" i="111"/>
  <c r="P102" i="111"/>
  <c r="O102" i="111"/>
  <c r="N102" i="111"/>
  <c r="M102" i="111"/>
  <c r="L102" i="111"/>
  <c r="K102" i="111"/>
  <c r="J102" i="111"/>
  <c r="I102" i="111"/>
  <c r="H102" i="111"/>
  <c r="G102" i="111"/>
  <c r="F102" i="111"/>
  <c r="E102" i="111"/>
  <c r="D102" i="111"/>
  <c r="C102" i="111"/>
  <c r="W101" i="111"/>
  <c r="V101" i="111"/>
  <c r="U101" i="111"/>
  <c r="T101" i="111"/>
  <c r="S101" i="111"/>
  <c r="R101" i="111"/>
  <c r="Q101" i="111"/>
  <c r="P101" i="111"/>
  <c r="O101" i="111"/>
  <c r="N101" i="111"/>
  <c r="M101" i="111"/>
  <c r="L101" i="111"/>
  <c r="K101" i="111"/>
  <c r="J101" i="111"/>
  <c r="I101" i="111"/>
  <c r="H101" i="111"/>
  <c r="G101" i="111"/>
  <c r="F101" i="111"/>
  <c r="E101" i="111"/>
  <c r="D101" i="111"/>
  <c r="C101" i="111"/>
  <c r="W100" i="111"/>
  <c r="V100" i="111"/>
  <c r="U100" i="111"/>
  <c r="T100" i="111"/>
  <c r="S100" i="111"/>
  <c r="R100" i="111"/>
  <c r="Q100" i="111"/>
  <c r="P100" i="111"/>
  <c r="O100" i="111"/>
  <c r="N100" i="111"/>
  <c r="M100" i="111"/>
  <c r="L100" i="111"/>
  <c r="K100" i="111"/>
  <c r="J100" i="111"/>
  <c r="I100" i="111"/>
  <c r="H100" i="111"/>
  <c r="G100" i="111"/>
  <c r="F100" i="111"/>
  <c r="E100" i="111"/>
  <c r="D100" i="111"/>
  <c r="C100" i="111"/>
  <c r="W99" i="111"/>
  <c r="V99" i="111"/>
  <c r="U99" i="111"/>
  <c r="T99" i="111"/>
  <c r="S99" i="111"/>
  <c r="R99" i="111"/>
  <c r="Q99" i="111"/>
  <c r="P99" i="111"/>
  <c r="O99" i="111"/>
  <c r="N99" i="111"/>
  <c r="M99" i="111"/>
  <c r="L99" i="111"/>
  <c r="K99" i="111"/>
  <c r="J99" i="111"/>
  <c r="I99" i="111"/>
  <c r="H99" i="111"/>
  <c r="G99" i="111"/>
  <c r="F99" i="111"/>
  <c r="E99" i="111"/>
  <c r="D99" i="111"/>
  <c r="C99" i="111"/>
  <c r="W98" i="111"/>
  <c r="V98" i="111"/>
  <c r="U98" i="111"/>
  <c r="T98" i="111"/>
  <c r="S98" i="111"/>
  <c r="R98" i="111"/>
  <c r="Q98" i="111"/>
  <c r="P98" i="111"/>
  <c r="O98" i="111"/>
  <c r="N98" i="111"/>
  <c r="M98" i="111"/>
  <c r="L98" i="111"/>
  <c r="K98" i="111"/>
  <c r="J98" i="111"/>
  <c r="I98" i="111"/>
  <c r="H98" i="111"/>
  <c r="G98" i="111"/>
  <c r="F98" i="111"/>
  <c r="E98" i="111"/>
  <c r="D98" i="111"/>
  <c r="C98" i="111"/>
  <c r="W97" i="111"/>
  <c r="V97" i="111"/>
  <c r="U97" i="111"/>
  <c r="T97" i="111"/>
  <c r="S97" i="111"/>
  <c r="R97" i="111"/>
  <c r="Q97" i="111"/>
  <c r="P97" i="111"/>
  <c r="O97" i="111"/>
  <c r="N97" i="111"/>
  <c r="M97" i="111"/>
  <c r="L97" i="111"/>
  <c r="K97" i="111"/>
  <c r="J97" i="111"/>
  <c r="I97" i="111"/>
  <c r="H97" i="111"/>
  <c r="G97" i="111"/>
  <c r="F97" i="111"/>
  <c r="E97" i="111"/>
  <c r="D97" i="111"/>
  <c r="C97" i="111"/>
  <c r="U96" i="111"/>
  <c r="T96" i="111"/>
  <c r="S96" i="111"/>
  <c r="R96" i="111"/>
  <c r="Q96" i="111"/>
  <c r="P96" i="111"/>
  <c r="O96" i="111"/>
  <c r="N96" i="111"/>
  <c r="M96" i="111"/>
  <c r="L96" i="111"/>
  <c r="K96" i="111"/>
  <c r="J96" i="111"/>
  <c r="I96" i="111"/>
  <c r="H96" i="111"/>
  <c r="G96" i="111"/>
  <c r="F96" i="111"/>
  <c r="E96" i="111"/>
  <c r="D96" i="111"/>
  <c r="C96" i="111"/>
  <c r="AR92" i="111"/>
  <c r="AQ92" i="111"/>
  <c r="AP92" i="111"/>
  <c r="AO92" i="111"/>
  <c r="AN92" i="111"/>
  <c r="AM92" i="111"/>
  <c r="AL92" i="111"/>
  <c r="AK92" i="111"/>
  <c r="AJ92" i="111"/>
  <c r="AI92" i="111"/>
  <c r="AH92" i="111"/>
  <c r="AG92" i="111"/>
  <c r="AF92" i="111"/>
  <c r="AE92" i="111"/>
  <c r="AD92" i="111"/>
  <c r="AC92" i="111"/>
  <c r="AB92" i="111"/>
  <c r="AA92" i="111"/>
  <c r="Z92" i="111"/>
  <c r="Y92" i="111"/>
  <c r="X92" i="111"/>
  <c r="W92" i="111"/>
  <c r="V92" i="111"/>
  <c r="U92" i="111"/>
  <c r="T92" i="111"/>
  <c r="S92" i="111"/>
  <c r="R92" i="111"/>
  <c r="Q92" i="111"/>
  <c r="P92" i="111"/>
  <c r="O92" i="111"/>
  <c r="N92" i="111"/>
  <c r="M92" i="111"/>
  <c r="L92" i="111"/>
  <c r="K92" i="111"/>
  <c r="J92" i="111"/>
  <c r="I92" i="111"/>
  <c r="H92" i="111"/>
  <c r="G92" i="111"/>
  <c r="F92" i="111"/>
  <c r="E92" i="111"/>
  <c r="D92" i="111"/>
  <c r="C92" i="111"/>
  <c r="AR91" i="111"/>
  <c r="AQ91" i="111"/>
  <c r="AP91" i="111"/>
  <c r="AO91" i="111"/>
  <c r="AN91" i="111"/>
  <c r="AM91" i="111"/>
  <c r="AL91" i="111"/>
  <c r="AK91" i="111"/>
  <c r="AJ91" i="111"/>
  <c r="AI91" i="111"/>
  <c r="AH91" i="111"/>
  <c r="AG91" i="111"/>
  <c r="AF91" i="111"/>
  <c r="AE91" i="111"/>
  <c r="AD91" i="111"/>
  <c r="AC91" i="111"/>
  <c r="AB91" i="111"/>
  <c r="AA91" i="111"/>
  <c r="Z91" i="111"/>
  <c r="Y91" i="111"/>
  <c r="X91" i="111"/>
  <c r="W91" i="111"/>
  <c r="V91" i="111"/>
  <c r="U91" i="111"/>
  <c r="T91" i="111"/>
  <c r="S91" i="111"/>
  <c r="R91" i="111"/>
  <c r="Q91" i="111"/>
  <c r="P91" i="111"/>
  <c r="O91" i="111"/>
  <c r="N91" i="111"/>
  <c r="M91" i="111"/>
  <c r="L91" i="111"/>
  <c r="K91" i="111"/>
  <c r="J91" i="111"/>
  <c r="I91" i="111"/>
  <c r="H91" i="111"/>
  <c r="G91" i="111"/>
  <c r="F91" i="111"/>
  <c r="E91" i="111"/>
  <c r="D91" i="111"/>
  <c r="C91" i="111"/>
  <c r="AQ90" i="111"/>
  <c r="AO90" i="111"/>
  <c r="AM90" i="111"/>
  <c r="AK90" i="111"/>
  <c r="AI90" i="111"/>
  <c r="AG90" i="111"/>
  <c r="AE90" i="111"/>
  <c r="AC90" i="111"/>
  <c r="AA90" i="111"/>
  <c r="Y90" i="111"/>
  <c r="W90" i="111"/>
  <c r="U90" i="111"/>
  <c r="S90" i="111"/>
  <c r="Q90" i="111"/>
  <c r="O90" i="111"/>
  <c r="M90" i="111"/>
  <c r="K90" i="111"/>
  <c r="I90" i="111"/>
  <c r="G90" i="111"/>
  <c r="E90" i="111"/>
  <c r="C90" i="111"/>
  <c r="AR87" i="111"/>
  <c r="AQ87" i="111"/>
  <c r="AP87" i="111"/>
  <c r="AO87" i="111"/>
  <c r="AN87" i="111"/>
  <c r="AM87" i="111"/>
  <c r="AL87" i="111"/>
  <c r="AK87" i="111"/>
  <c r="AJ87" i="111"/>
  <c r="AI87" i="111"/>
  <c r="AH87" i="111"/>
  <c r="AG87" i="111"/>
  <c r="AF87" i="111"/>
  <c r="AE87" i="111"/>
  <c r="AD87" i="111"/>
  <c r="AC87" i="111"/>
  <c r="AB87" i="111"/>
  <c r="AA87" i="111"/>
  <c r="Z87" i="111"/>
  <c r="Y87" i="111"/>
  <c r="X87" i="111"/>
  <c r="W87" i="111"/>
  <c r="V87" i="111"/>
  <c r="U87" i="111"/>
  <c r="T87" i="111"/>
  <c r="S87" i="111"/>
  <c r="R87" i="111"/>
  <c r="Q87" i="111"/>
  <c r="P87" i="111"/>
  <c r="O87" i="111"/>
  <c r="N87" i="111"/>
  <c r="M87" i="111"/>
  <c r="L87" i="111"/>
  <c r="K87" i="111"/>
  <c r="J87" i="111"/>
  <c r="I87" i="111"/>
  <c r="H87" i="111"/>
  <c r="G87" i="111"/>
  <c r="F87" i="111"/>
  <c r="E87" i="111"/>
  <c r="D87" i="111"/>
  <c r="C87" i="111"/>
  <c r="A87" i="111"/>
  <c r="AR85" i="111"/>
  <c r="AQ85" i="111"/>
  <c r="AP85" i="111"/>
  <c r="AO85" i="111"/>
  <c r="AN85" i="111"/>
  <c r="AM85" i="111"/>
  <c r="AL85" i="111"/>
  <c r="AK85" i="111"/>
  <c r="AJ85" i="111"/>
  <c r="AI85" i="111"/>
  <c r="AH85" i="111"/>
  <c r="AG85" i="111"/>
  <c r="AF85" i="111"/>
  <c r="AE85" i="111"/>
  <c r="AD85" i="111"/>
  <c r="AC85" i="111"/>
  <c r="AB85" i="111"/>
  <c r="AA85" i="111"/>
  <c r="Z85" i="111"/>
  <c r="Y85" i="111"/>
  <c r="X85" i="111"/>
  <c r="W85" i="111"/>
  <c r="V85" i="111"/>
  <c r="U85" i="111"/>
  <c r="T85" i="111"/>
  <c r="S85" i="111"/>
  <c r="R85" i="111"/>
  <c r="Q85" i="111"/>
  <c r="P85" i="111"/>
  <c r="O85" i="111"/>
  <c r="N85" i="111"/>
  <c r="M85" i="111"/>
  <c r="L85" i="111"/>
  <c r="K85" i="111"/>
  <c r="J85" i="111"/>
  <c r="I85" i="111"/>
  <c r="H85" i="111"/>
  <c r="G85" i="111"/>
  <c r="F85" i="111"/>
  <c r="E85" i="111"/>
  <c r="D85" i="111"/>
  <c r="C85" i="111"/>
  <c r="AR84" i="111"/>
  <c r="AQ84" i="111"/>
  <c r="AP84" i="111"/>
  <c r="AO84" i="111"/>
  <c r="AN84" i="111"/>
  <c r="AM84" i="111"/>
  <c r="AL84" i="111"/>
  <c r="AK84" i="111"/>
  <c r="AJ84" i="111"/>
  <c r="AI84" i="111"/>
  <c r="AH84" i="111"/>
  <c r="AG84" i="111"/>
  <c r="AF84" i="111"/>
  <c r="AE84" i="111"/>
  <c r="AD84" i="111"/>
  <c r="AC84" i="111"/>
  <c r="AB84" i="111"/>
  <c r="AA84" i="111"/>
  <c r="Z84" i="111"/>
  <c r="Y84" i="111"/>
  <c r="X84" i="111"/>
  <c r="W84" i="111"/>
  <c r="V84" i="111"/>
  <c r="U84" i="111"/>
  <c r="T84" i="111"/>
  <c r="S84" i="111"/>
  <c r="R84" i="111"/>
  <c r="Q84" i="111"/>
  <c r="P84" i="111"/>
  <c r="O84" i="111"/>
  <c r="N84" i="111"/>
  <c r="M84" i="111"/>
  <c r="L84" i="111"/>
  <c r="K84" i="111"/>
  <c r="J84" i="111"/>
  <c r="I84" i="111"/>
  <c r="H84" i="111"/>
  <c r="G84" i="111"/>
  <c r="F84" i="111"/>
  <c r="E84" i="111"/>
  <c r="D84" i="111"/>
  <c r="C84" i="111"/>
  <c r="B84" i="111"/>
  <c r="AR83" i="111"/>
  <c r="AQ83" i="111"/>
  <c r="AP83" i="111"/>
  <c r="AO83" i="111"/>
  <c r="AN83" i="111"/>
  <c r="AM83" i="111"/>
  <c r="AL83" i="111"/>
  <c r="AK83" i="111"/>
  <c r="AJ83" i="111"/>
  <c r="AI83" i="111"/>
  <c r="AH83" i="111"/>
  <c r="AG83" i="111"/>
  <c r="AF83" i="111"/>
  <c r="AE83" i="111"/>
  <c r="AD83" i="111"/>
  <c r="AC83" i="111"/>
  <c r="AB83" i="111"/>
  <c r="AA83" i="111"/>
  <c r="Z83" i="111"/>
  <c r="Y83" i="111"/>
  <c r="X83" i="111"/>
  <c r="W83" i="111"/>
  <c r="V83" i="111"/>
  <c r="U83" i="111"/>
  <c r="T83" i="111"/>
  <c r="S83" i="111"/>
  <c r="R83" i="111"/>
  <c r="Q83" i="111"/>
  <c r="P83" i="111"/>
  <c r="O83" i="111"/>
  <c r="N83" i="111"/>
  <c r="M83" i="111"/>
  <c r="L83" i="111"/>
  <c r="K83" i="111"/>
  <c r="J83" i="111"/>
  <c r="I83" i="111"/>
  <c r="H83" i="111"/>
  <c r="G83" i="111"/>
  <c r="F83" i="111"/>
  <c r="E83" i="111"/>
  <c r="D83" i="111"/>
  <c r="C83" i="111"/>
  <c r="B83" i="111"/>
  <c r="AR82" i="111"/>
  <c r="AQ82" i="111"/>
  <c r="AP82" i="111"/>
  <c r="AO82" i="111"/>
  <c r="AN82" i="111"/>
  <c r="AM82" i="111"/>
  <c r="AL82" i="111"/>
  <c r="AK82" i="111"/>
  <c r="AJ82" i="111"/>
  <c r="AI82" i="111"/>
  <c r="AH82" i="111"/>
  <c r="AG82" i="111"/>
  <c r="AF82" i="111"/>
  <c r="AE82" i="111"/>
  <c r="AD82" i="111"/>
  <c r="AC82" i="111"/>
  <c r="AB82" i="111"/>
  <c r="AA82" i="111"/>
  <c r="Z82" i="111"/>
  <c r="Y82" i="111"/>
  <c r="X82" i="111"/>
  <c r="W82" i="111"/>
  <c r="V82" i="111"/>
  <c r="U82" i="111"/>
  <c r="T82" i="111"/>
  <c r="S82" i="111"/>
  <c r="R82" i="111"/>
  <c r="Q82" i="111"/>
  <c r="P82" i="111"/>
  <c r="O82" i="111"/>
  <c r="N82" i="111"/>
  <c r="M82" i="111"/>
  <c r="L82" i="111"/>
  <c r="K82" i="111"/>
  <c r="J82" i="111"/>
  <c r="I82" i="111"/>
  <c r="H82" i="111"/>
  <c r="G82" i="111"/>
  <c r="F82" i="111"/>
  <c r="E82" i="111"/>
  <c r="D82" i="111"/>
  <c r="C82" i="111"/>
  <c r="B82" i="111"/>
  <c r="AR81" i="111"/>
  <c r="AQ81" i="111"/>
  <c r="AP81" i="111"/>
  <c r="AO81" i="111"/>
  <c r="AN81" i="111"/>
  <c r="AM81" i="111"/>
  <c r="AL81" i="111"/>
  <c r="AK81" i="111"/>
  <c r="AJ81" i="111"/>
  <c r="AI81" i="111"/>
  <c r="AH81" i="111"/>
  <c r="AG81" i="111"/>
  <c r="AF81" i="111"/>
  <c r="AE81" i="111"/>
  <c r="AD81" i="111"/>
  <c r="AC81" i="111"/>
  <c r="AB81" i="111"/>
  <c r="AA81" i="111"/>
  <c r="Z81" i="111"/>
  <c r="Y81" i="111"/>
  <c r="X81" i="111"/>
  <c r="W81" i="111"/>
  <c r="V81" i="111"/>
  <c r="U81" i="111"/>
  <c r="T81" i="111"/>
  <c r="S81" i="111"/>
  <c r="R81" i="111"/>
  <c r="Q81" i="111"/>
  <c r="P81" i="111"/>
  <c r="O81" i="111"/>
  <c r="N81" i="111"/>
  <c r="M81" i="111"/>
  <c r="L81" i="111"/>
  <c r="K81" i="111"/>
  <c r="J81" i="111"/>
  <c r="I81" i="111"/>
  <c r="H81" i="111"/>
  <c r="G81" i="111"/>
  <c r="F81" i="111"/>
  <c r="E81" i="111"/>
  <c r="D81" i="111"/>
  <c r="C81" i="111"/>
  <c r="B81" i="111"/>
  <c r="AR80" i="111"/>
  <c r="AQ80" i="111"/>
  <c r="AP80" i="111"/>
  <c r="AO80" i="111"/>
  <c r="AN80" i="111"/>
  <c r="AM80" i="111"/>
  <c r="AL80" i="111"/>
  <c r="AK80" i="111"/>
  <c r="AJ80" i="111"/>
  <c r="AI80" i="111"/>
  <c r="AH80" i="111"/>
  <c r="AG80" i="111"/>
  <c r="AF80" i="111"/>
  <c r="AE80" i="111"/>
  <c r="AD80" i="111"/>
  <c r="AC80" i="111"/>
  <c r="AB80" i="111"/>
  <c r="AA80" i="111"/>
  <c r="Z80" i="111"/>
  <c r="Y80" i="111"/>
  <c r="X80" i="111"/>
  <c r="W80" i="111"/>
  <c r="V80" i="111"/>
  <c r="U80" i="111"/>
  <c r="T80" i="111"/>
  <c r="S80" i="111"/>
  <c r="R80" i="111"/>
  <c r="Q80" i="111"/>
  <c r="P80" i="111"/>
  <c r="O80" i="111"/>
  <c r="N80" i="111"/>
  <c r="M80" i="111"/>
  <c r="L80" i="111"/>
  <c r="K80" i="111"/>
  <c r="J80" i="111"/>
  <c r="I80" i="111"/>
  <c r="H80" i="111"/>
  <c r="G80" i="111"/>
  <c r="F80" i="111"/>
  <c r="E80" i="111"/>
  <c r="D80" i="111"/>
  <c r="C80" i="111"/>
  <c r="B80" i="111"/>
  <c r="AR79" i="111"/>
  <c r="AQ79" i="111"/>
  <c r="AP79" i="111"/>
  <c r="AO79" i="111"/>
  <c r="AN79" i="111"/>
  <c r="AM79" i="111"/>
  <c r="AL79" i="111"/>
  <c r="AK79" i="111"/>
  <c r="AJ79" i="111"/>
  <c r="AI79" i="111"/>
  <c r="AH79" i="111"/>
  <c r="AG79" i="111"/>
  <c r="AF79" i="111"/>
  <c r="AE79" i="111"/>
  <c r="AD79" i="111"/>
  <c r="AC79" i="111"/>
  <c r="AB79" i="111"/>
  <c r="AA79" i="111"/>
  <c r="Z79" i="111"/>
  <c r="Y79" i="111"/>
  <c r="X79" i="111"/>
  <c r="W79" i="111"/>
  <c r="V79" i="111"/>
  <c r="U79" i="111"/>
  <c r="T79" i="111"/>
  <c r="S79" i="111"/>
  <c r="R79" i="111"/>
  <c r="Q79" i="111"/>
  <c r="P79" i="111"/>
  <c r="O79" i="111"/>
  <c r="N79" i="111"/>
  <c r="M79" i="111"/>
  <c r="L79" i="111"/>
  <c r="K79" i="111"/>
  <c r="J79" i="111"/>
  <c r="I79" i="111"/>
  <c r="H79" i="111"/>
  <c r="G79" i="111"/>
  <c r="F79" i="111"/>
  <c r="E79" i="111"/>
  <c r="D79" i="111"/>
  <c r="C79" i="111"/>
  <c r="B79" i="111"/>
  <c r="AR78" i="111"/>
  <c r="AQ78" i="111"/>
  <c r="AP78" i="111"/>
  <c r="AO78" i="111"/>
  <c r="AN78" i="111"/>
  <c r="AM78" i="111"/>
  <c r="AL78" i="111"/>
  <c r="AK78" i="111"/>
  <c r="AJ78" i="111"/>
  <c r="AI78" i="111"/>
  <c r="AH78" i="111"/>
  <c r="AG78" i="111"/>
  <c r="AF78" i="111"/>
  <c r="AE78" i="111"/>
  <c r="AD78" i="111"/>
  <c r="AC78" i="111"/>
  <c r="AB78" i="111"/>
  <c r="AA78" i="111"/>
  <c r="Z78" i="111"/>
  <c r="Y78" i="111"/>
  <c r="X78" i="111"/>
  <c r="W78" i="111"/>
  <c r="V78" i="111"/>
  <c r="U78" i="111"/>
  <c r="T78" i="111"/>
  <c r="S78" i="111"/>
  <c r="R78" i="111"/>
  <c r="Q78" i="111"/>
  <c r="P78" i="111"/>
  <c r="O78" i="111"/>
  <c r="N78" i="111"/>
  <c r="M78" i="111"/>
  <c r="L78" i="111"/>
  <c r="K78" i="111"/>
  <c r="J78" i="111"/>
  <c r="I78" i="111"/>
  <c r="H78" i="111"/>
  <c r="G78" i="111"/>
  <c r="F78" i="111"/>
  <c r="E78" i="111"/>
  <c r="D78" i="111"/>
  <c r="C78" i="111"/>
  <c r="B78" i="111"/>
  <c r="AR77" i="111"/>
  <c r="AQ77" i="111"/>
  <c r="AP77" i="111"/>
  <c r="AO77" i="111"/>
  <c r="AN77" i="111"/>
  <c r="AM77" i="111"/>
  <c r="AL77" i="111"/>
  <c r="AK77" i="111"/>
  <c r="AJ77" i="111"/>
  <c r="AI77" i="111"/>
  <c r="AH77" i="111"/>
  <c r="AG77" i="111"/>
  <c r="AF77" i="111"/>
  <c r="AE77" i="111"/>
  <c r="AD77" i="111"/>
  <c r="AC77" i="111"/>
  <c r="AB77" i="111"/>
  <c r="AA77" i="111"/>
  <c r="Z77" i="111"/>
  <c r="Y77" i="111"/>
  <c r="X77" i="111"/>
  <c r="W77" i="111"/>
  <c r="V77" i="111"/>
  <c r="U77" i="111"/>
  <c r="T77" i="111"/>
  <c r="S77" i="111"/>
  <c r="R77" i="111"/>
  <c r="Q77" i="111"/>
  <c r="P77" i="111"/>
  <c r="O77" i="111"/>
  <c r="N77" i="111"/>
  <c r="M77" i="111"/>
  <c r="L77" i="111"/>
  <c r="K77" i="111"/>
  <c r="J77" i="111"/>
  <c r="I77" i="111"/>
  <c r="H77" i="111"/>
  <c r="G77" i="111"/>
  <c r="F77" i="111"/>
  <c r="E77" i="111"/>
  <c r="D77" i="111"/>
  <c r="C77" i="111"/>
  <c r="B77" i="111"/>
  <c r="AR76" i="111"/>
  <c r="AQ76" i="111"/>
  <c r="AP76" i="111"/>
  <c r="AO76" i="111"/>
  <c r="AN76" i="111"/>
  <c r="AM76" i="111"/>
  <c r="AL76" i="111"/>
  <c r="AK76" i="111"/>
  <c r="AJ76" i="111"/>
  <c r="AI76" i="111"/>
  <c r="AH76" i="111"/>
  <c r="AG76" i="111"/>
  <c r="AF76" i="111"/>
  <c r="AE76" i="111"/>
  <c r="AD76" i="111"/>
  <c r="AC76" i="111"/>
  <c r="AB76" i="111"/>
  <c r="AA76" i="111"/>
  <c r="Z76" i="111"/>
  <c r="Y76" i="111"/>
  <c r="X76" i="111"/>
  <c r="W76" i="111"/>
  <c r="V76" i="111"/>
  <c r="U76" i="111"/>
  <c r="T76" i="111"/>
  <c r="S76" i="111"/>
  <c r="R76" i="111"/>
  <c r="Q76" i="111"/>
  <c r="P76" i="111"/>
  <c r="O76" i="111"/>
  <c r="N76" i="111"/>
  <c r="M76" i="111"/>
  <c r="L76" i="111"/>
  <c r="K76" i="111"/>
  <c r="J76" i="111"/>
  <c r="I76" i="111"/>
  <c r="H76" i="111"/>
  <c r="G76" i="111"/>
  <c r="F76" i="111"/>
  <c r="E76" i="111"/>
  <c r="D76" i="111"/>
  <c r="C76" i="111"/>
  <c r="B76" i="111"/>
  <c r="AR75" i="111"/>
  <c r="AQ75" i="111"/>
  <c r="AP75" i="111"/>
  <c r="AO75" i="111"/>
  <c r="AN75" i="111"/>
  <c r="AM75" i="111"/>
  <c r="AL75" i="111"/>
  <c r="AK75" i="111"/>
  <c r="AJ75" i="111"/>
  <c r="AI75" i="111"/>
  <c r="AH75" i="111"/>
  <c r="AG75" i="111"/>
  <c r="AF75" i="111"/>
  <c r="AE75" i="111"/>
  <c r="AD75" i="111"/>
  <c r="AC75" i="111"/>
  <c r="AB75" i="111"/>
  <c r="AA75" i="111"/>
  <c r="Z75" i="111"/>
  <c r="Y75" i="111"/>
  <c r="X75" i="111"/>
  <c r="W75" i="111"/>
  <c r="V75" i="111"/>
  <c r="U75" i="111"/>
  <c r="T75" i="111"/>
  <c r="S75" i="111"/>
  <c r="R75" i="111"/>
  <c r="Q75" i="111"/>
  <c r="P75" i="111"/>
  <c r="O75" i="111"/>
  <c r="N75" i="111"/>
  <c r="M75" i="111"/>
  <c r="L75" i="111"/>
  <c r="K75" i="111"/>
  <c r="J75" i="111"/>
  <c r="I75" i="111"/>
  <c r="H75" i="111"/>
  <c r="G75" i="111"/>
  <c r="F75" i="111"/>
  <c r="E75" i="111"/>
  <c r="D75" i="111"/>
  <c r="C75" i="111"/>
  <c r="B75" i="111"/>
  <c r="AR74" i="111"/>
  <c r="AQ74" i="111"/>
  <c r="AP74" i="111"/>
  <c r="AO74" i="111"/>
  <c r="AN74" i="111"/>
  <c r="AM74" i="111"/>
  <c r="AL74" i="111"/>
  <c r="AK74" i="111"/>
  <c r="AJ74" i="111"/>
  <c r="AI74" i="111"/>
  <c r="AH74" i="111"/>
  <c r="AG74" i="111"/>
  <c r="AF74" i="111"/>
  <c r="AE74" i="111"/>
  <c r="AD74" i="111"/>
  <c r="AC74" i="111"/>
  <c r="AB74" i="111"/>
  <c r="AA74" i="111"/>
  <c r="Z74" i="111"/>
  <c r="Y74" i="111"/>
  <c r="X74" i="111"/>
  <c r="W74" i="111"/>
  <c r="V74" i="111"/>
  <c r="U74" i="111"/>
  <c r="T74" i="111"/>
  <c r="S74" i="111"/>
  <c r="R74" i="111"/>
  <c r="Q74" i="111"/>
  <c r="P74" i="111"/>
  <c r="O74" i="111"/>
  <c r="N74" i="111"/>
  <c r="M74" i="111"/>
  <c r="L74" i="111"/>
  <c r="K74" i="111"/>
  <c r="J74" i="111"/>
  <c r="I74" i="111"/>
  <c r="H74" i="111"/>
  <c r="G74" i="111"/>
  <c r="F74" i="111"/>
  <c r="E74" i="111"/>
  <c r="D74" i="111"/>
  <c r="C74" i="111"/>
  <c r="AQ73" i="111"/>
  <c r="AO73" i="111"/>
  <c r="AM73" i="111"/>
  <c r="AK73" i="111"/>
  <c r="AI73" i="111"/>
  <c r="AG73" i="111"/>
  <c r="AE73" i="111"/>
  <c r="AC73" i="111"/>
  <c r="AA73" i="111"/>
  <c r="Y73" i="111"/>
  <c r="W73" i="111"/>
  <c r="U73" i="111"/>
  <c r="S73" i="111"/>
  <c r="Q73" i="111"/>
  <c r="O73" i="111"/>
  <c r="M73" i="111"/>
  <c r="K73" i="111"/>
  <c r="I73" i="111"/>
  <c r="G73" i="111"/>
  <c r="E73" i="111"/>
  <c r="C73" i="111"/>
  <c r="B73" i="111"/>
  <c r="C71" i="111"/>
  <c r="AR65" i="111"/>
  <c r="AQ65" i="111"/>
  <c r="AP65" i="111"/>
  <c r="AO65" i="111"/>
  <c r="AN65" i="111"/>
  <c r="AM65" i="111"/>
  <c r="AL65" i="111"/>
  <c r="AK65" i="111"/>
  <c r="AJ65" i="111"/>
  <c r="AI65" i="111"/>
  <c r="AH65" i="111"/>
  <c r="AG65" i="111"/>
  <c r="AF65" i="111"/>
  <c r="AE65" i="111"/>
  <c r="AD65" i="111"/>
  <c r="AC65" i="111"/>
  <c r="AB65" i="111"/>
  <c r="AA65" i="111"/>
  <c r="Z65" i="111"/>
  <c r="Y65" i="111"/>
  <c r="X65" i="111"/>
  <c r="W65" i="111"/>
  <c r="V65" i="111"/>
  <c r="U65" i="111"/>
  <c r="T65" i="111"/>
  <c r="S65" i="111"/>
  <c r="R65" i="111"/>
  <c r="Q65" i="111"/>
  <c r="P65" i="111"/>
  <c r="O65" i="111"/>
  <c r="N65" i="111"/>
  <c r="M65" i="111"/>
  <c r="L65" i="111"/>
  <c r="K65" i="111"/>
  <c r="J65" i="111"/>
  <c r="I65" i="111"/>
  <c r="H65" i="111"/>
  <c r="G65" i="111"/>
  <c r="F65" i="111"/>
  <c r="E65" i="111"/>
  <c r="D65" i="111"/>
  <c r="C65" i="111"/>
  <c r="A65" i="111"/>
  <c r="AR64" i="111"/>
  <c r="AQ64" i="111"/>
  <c r="AP64" i="111"/>
  <c r="AO64" i="111"/>
  <c r="AN64" i="111"/>
  <c r="AM64" i="111"/>
  <c r="AL64" i="111"/>
  <c r="AK64" i="111"/>
  <c r="AJ64" i="111"/>
  <c r="AI64" i="111"/>
  <c r="AH64" i="111"/>
  <c r="AG64" i="111"/>
  <c r="AF64" i="111"/>
  <c r="AE64" i="111"/>
  <c r="AD64" i="111"/>
  <c r="AC64" i="111"/>
  <c r="AB64" i="111"/>
  <c r="AA64" i="111"/>
  <c r="Z64" i="111"/>
  <c r="Y64" i="111"/>
  <c r="X64" i="111"/>
  <c r="W64" i="111"/>
  <c r="V64" i="111"/>
  <c r="U64" i="111"/>
  <c r="T64" i="111"/>
  <c r="S64" i="111"/>
  <c r="R64" i="111"/>
  <c r="Q64" i="111"/>
  <c r="P64" i="111"/>
  <c r="O64" i="111"/>
  <c r="N64" i="111"/>
  <c r="M64" i="111"/>
  <c r="L64" i="111"/>
  <c r="K64" i="111"/>
  <c r="J64" i="111"/>
  <c r="I64" i="111"/>
  <c r="H64" i="111"/>
  <c r="G64" i="111"/>
  <c r="F64" i="111"/>
  <c r="E64" i="111"/>
  <c r="D64" i="111"/>
  <c r="C64" i="111"/>
  <c r="B64" i="111"/>
  <c r="AR63" i="111"/>
  <c r="AQ63" i="111"/>
  <c r="AP63" i="111"/>
  <c r="AO63" i="111"/>
  <c r="AN63" i="111"/>
  <c r="AM63" i="111"/>
  <c r="AL63" i="111"/>
  <c r="AK63" i="111"/>
  <c r="AJ63" i="111"/>
  <c r="AI63" i="111"/>
  <c r="AH63" i="111"/>
  <c r="AG63" i="111"/>
  <c r="AF63" i="111"/>
  <c r="AE63" i="111"/>
  <c r="AD63" i="111"/>
  <c r="AC63" i="111"/>
  <c r="AB63" i="111"/>
  <c r="AA63" i="111"/>
  <c r="Z63" i="111"/>
  <c r="Y63" i="111"/>
  <c r="X63" i="111"/>
  <c r="W63" i="111"/>
  <c r="V63" i="111"/>
  <c r="U63" i="111"/>
  <c r="T63" i="111"/>
  <c r="S63" i="111"/>
  <c r="R63" i="111"/>
  <c r="Q63" i="111"/>
  <c r="P63" i="111"/>
  <c r="O63" i="111"/>
  <c r="N63" i="111"/>
  <c r="M63" i="111"/>
  <c r="L63" i="111"/>
  <c r="K63" i="111"/>
  <c r="J63" i="111"/>
  <c r="I63" i="111"/>
  <c r="H63" i="111"/>
  <c r="G63" i="111"/>
  <c r="F63" i="111"/>
  <c r="E63" i="111"/>
  <c r="D63" i="111"/>
  <c r="C63" i="111"/>
  <c r="B63" i="111"/>
  <c r="AR62" i="111"/>
  <c r="AQ62" i="111"/>
  <c r="AP62" i="111"/>
  <c r="AO62" i="111"/>
  <c r="AN62" i="111"/>
  <c r="AM62" i="111"/>
  <c r="AL62" i="111"/>
  <c r="AK62" i="111"/>
  <c r="AJ62" i="111"/>
  <c r="AI62" i="111"/>
  <c r="AH62" i="111"/>
  <c r="AG62" i="111"/>
  <c r="AF62" i="111"/>
  <c r="AE62" i="111"/>
  <c r="AD62" i="111"/>
  <c r="AC62" i="111"/>
  <c r="AB62" i="111"/>
  <c r="AA62" i="111"/>
  <c r="Z62" i="111"/>
  <c r="Y62" i="111"/>
  <c r="X62" i="111"/>
  <c r="W62" i="111"/>
  <c r="V62" i="111"/>
  <c r="U62" i="111"/>
  <c r="T62" i="111"/>
  <c r="S62" i="111"/>
  <c r="R62" i="111"/>
  <c r="Q62" i="111"/>
  <c r="P62" i="111"/>
  <c r="O62" i="111"/>
  <c r="N62" i="111"/>
  <c r="M62" i="111"/>
  <c r="L62" i="111"/>
  <c r="K62" i="111"/>
  <c r="J62" i="111"/>
  <c r="I62" i="111"/>
  <c r="H62" i="111"/>
  <c r="G62" i="111"/>
  <c r="F62" i="111"/>
  <c r="E62" i="111"/>
  <c r="D62" i="111"/>
  <c r="C62" i="111"/>
  <c r="B62" i="111"/>
  <c r="AR61" i="111"/>
  <c r="AQ61" i="111"/>
  <c r="AP61" i="111"/>
  <c r="AO61" i="111"/>
  <c r="AN61" i="111"/>
  <c r="AM61" i="111"/>
  <c r="AL61" i="111"/>
  <c r="AK61" i="111"/>
  <c r="AJ61" i="111"/>
  <c r="AI61" i="111"/>
  <c r="AH61" i="111"/>
  <c r="AG61" i="111"/>
  <c r="AF61" i="111"/>
  <c r="AE61" i="111"/>
  <c r="AD61" i="111"/>
  <c r="AC61" i="111"/>
  <c r="AB61" i="111"/>
  <c r="AA61" i="111"/>
  <c r="Z61" i="111"/>
  <c r="Y61" i="111"/>
  <c r="X61" i="111"/>
  <c r="W61" i="111"/>
  <c r="V61" i="111"/>
  <c r="U61" i="111"/>
  <c r="T61" i="111"/>
  <c r="S61" i="111"/>
  <c r="R61" i="111"/>
  <c r="Q61" i="111"/>
  <c r="P61" i="111"/>
  <c r="O61" i="111"/>
  <c r="N61" i="111"/>
  <c r="M61" i="111"/>
  <c r="L61" i="111"/>
  <c r="K61" i="111"/>
  <c r="J61" i="111"/>
  <c r="I61" i="111"/>
  <c r="H61" i="111"/>
  <c r="G61" i="111"/>
  <c r="F61" i="111"/>
  <c r="E61" i="111"/>
  <c r="D61" i="111"/>
  <c r="C61" i="111"/>
  <c r="B61" i="111"/>
  <c r="AR60" i="111"/>
  <c r="AQ60" i="111"/>
  <c r="AP60" i="111"/>
  <c r="AO60" i="111"/>
  <c r="AN60" i="111"/>
  <c r="AM60" i="111"/>
  <c r="AL60" i="111"/>
  <c r="AK60" i="111"/>
  <c r="AJ60" i="111"/>
  <c r="AI60" i="111"/>
  <c r="AH60" i="111"/>
  <c r="AG60" i="111"/>
  <c r="AF60" i="111"/>
  <c r="AE60" i="111"/>
  <c r="AD60" i="111"/>
  <c r="AC60" i="111"/>
  <c r="AB60" i="111"/>
  <c r="AA60" i="111"/>
  <c r="Z60" i="111"/>
  <c r="Y60" i="111"/>
  <c r="X60" i="111"/>
  <c r="W60" i="111"/>
  <c r="V60" i="111"/>
  <c r="U60" i="111"/>
  <c r="T60" i="111"/>
  <c r="S60" i="111"/>
  <c r="R60" i="111"/>
  <c r="Q60" i="111"/>
  <c r="P60" i="111"/>
  <c r="O60" i="111"/>
  <c r="N60" i="111"/>
  <c r="M60" i="111"/>
  <c r="L60" i="111"/>
  <c r="K60" i="111"/>
  <c r="J60" i="111"/>
  <c r="I60" i="111"/>
  <c r="H60" i="111"/>
  <c r="G60" i="111"/>
  <c r="F60" i="111"/>
  <c r="E60" i="111"/>
  <c r="D60" i="111"/>
  <c r="C60" i="111"/>
  <c r="B60" i="111"/>
  <c r="AR59" i="111"/>
  <c r="AQ59" i="111"/>
  <c r="AP59" i="111"/>
  <c r="AO59" i="111"/>
  <c r="AN59" i="111"/>
  <c r="AM59" i="111"/>
  <c r="AL59" i="111"/>
  <c r="AK59" i="111"/>
  <c r="AJ59" i="111"/>
  <c r="AI59" i="111"/>
  <c r="AH59" i="111"/>
  <c r="AG59" i="111"/>
  <c r="AF59" i="111"/>
  <c r="AE59" i="111"/>
  <c r="AD59" i="111"/>
  <c r="AC59" i="111"/>
  <c r="AB59" i="111"/>
  <c r="AA59" i="111"/>
  <c r="Z59" i="111"/>
  <c r="Y59" i="111"/>
  <c r="X59" i="111"/>
  <c r="W59" i="111"/>
  <c r="V59" i="111"/>
  <c r="U59" i="111"/>
  <c r="T59" i="111"/>
  <c r="S59" i="111"/>
  <c r="R59" i="111"/>
  <c r="Q59" i="111"/>
  <c r="P59" i="111"/>
  <c r="O59" i="111"/>
  <c r="N59" i="111"/>
  <c r="M59" i="111"/>
  <c r="L59" i="111"/>
  <c r="K59" i="111"/>
  <c r="J59" i="111"/>
  <c r="I59" i="111"/>
  <c r="H59" i="111"/>
  <c r="G59" i="111"/>
  <c r="F59" i="111"/>
  <c r="E59" i="111"/>
  <c r="D59" i="111"/>
  <c r="C59" i="111"/>
  <c r="B59" i="111"/>
  <c r="AR58" i="111"/>
  <c r="AQ58" i="111"/>
  <c r="AP58" i="111"/>
  <c r="AO58" i="111"/>
  <c r="AN58" i="111"/>
  <c r="AM58" i="111"/>
  <c r="AL58" i="111"/>
  <c r="AK58" i="111"/>
  <c r="AJ58" i="111"/>
  <c r="AI58" i="111"/>
  <c r="AH58" i="111"/>
  <c r="AG58" i="111"/>
  <c r="AF58" i="111"/>
  <c r="AE58" i="111"/>
  <c r="AD58" i="111"/>
  <c r="AC58" i="111"/>
  <c r="AB58" i="111"/>
  <c r="AA58" i="111"/>
  <c r="Z58" i="111"/>
  <c r="Y58" i="111"/>
  <c r="X58" i="111"/>
  <c r="W58" i="111"/>
  <c r="V58" i="111"/>
  <c r="U58" i="111"/>
  <c r="T58" i="111"/>
  <c r="S58" i="111"/>
  <c r="R58" i="111"/>
  <c r="Q58" i="111"/>
  <c r="P58" i="111"/>
  <c r="O58" i="111"/>
  <c r="N58" i="111"/>
  <c r="M58" i="111"/>
  <c r="L58" i="111"/>
  <c r="K58" i="111"/>
  <c r="J58" i="111"/>
  <c r="I58" i="111"/>
  <c r="H58" i="111"/>
  <c r="G58" i="111"/>
  <c r="F58" i="111"/>
  <c r="E58" i="111"/>
  <c r="D58" i="111"/>
  <c r="C58" i="111"/>
  <c r="B58" i="111"/>
  <c r="AR57" i="111"/>
  <c r="AQ57" i="111"/>
  <c r="AP57" i="111"/>
  <c r="AO57" i="111"/>
  <c r="AN57" i="111"/>
  <c r="AM57" i="111"/>
  <c r="AL57" i="111"/>
  <c r="AK57" i="111"/>
  <c r="AJ57" i="111"/>
  <c r="AI57" i="111"/>
  <c r="AH57" i="111"/>
  <c r="AG57" i="111"/>
  <c r="AF57" i="111"/>
  <c r="AE57" i="111"/>
  <c r="AD57" i="111"/>
  <c r="AC57" i="111"/>
  <c r="AB57" i="111"/>
  <c r="AA57" i="111"/>
  <c r="Z57" i="111"/>
  <c r="Y57" i="111"/>
  <c r="X57" i="111"/>
  <c r="W57" i="111"/>
  <c r="V57" i="111"/>
  <c r="U57" i="111"/>
  <c r="T57" i="111"/>
  <c r="S57" i="111"/>
  <c r="R57" i="111"/>
  <c r="Q57" i="111"/>
  <c r="P57" i="111"/>
  <c r="O57" i="111"/>
  <c r="N57" i="111"/>
  <c r="M57" i="111"/>
  <c r="L57" i="111"/>
  <c r="K57" i="111"/>
  <c r="J57" i="111"/>
  <c r="I57" i="111"/>
  <c r="H57" i="111"/>
  <c r="G57" i="111"/>
  <c r="F57" i="111"/>
  <c r="E57" i="111"/>
  <c r="D57" i="111"/>
  <c r="C57" i="111"/>
  <c r="B57" i="111"/>
  <c r="AR56" i="111"/>
  <c r="AQ56" i="111"/>
  <c r="AP56" i="111"/>
  <c r="AO56" i="111"/>
  <c r="AN56" i="111"/>
  <c r="AM56" i="111"/>
  <c r="AL56" i="111"/>
  <c r="AK56" i="111"/>
  <c r="AJ56" i="111"/>
  <c r="AI56" i="111"/>
  <c r="AH56" i="111"/>
  <c r="AG56" i="111"/>
  <c r="AF56" i="111"/>
  <c r="AE56" i="111"/>
  <c r="AD56" i="111"/>
  <c r="AC56" i="111"/>
  <c r="AB56" i="111"/>
  <c r="AA56" i="111"/>
  <c r="Z56" i="111"/>
  <c r="Y56" i="111"/>
  <c r="X56" i="111"/>
  <c r="W56" i="111"/>
  <c r="V56" i="111"/>
  <c r="U56" i="111"/>
  <c r="T56" i="111"/>
  <c r="S56" i="111"/>
  <c r="R56" i="111"/>
  <c r="Q56" i="111"/>
  <c r="P56" i="111"/>
  <c r="O56" i="111"/>
  <c r="N56" i="111"/>
  <c r="M56" i="111"/>
  <c r="L56" i="111"/>
  <c r="K56" i="111"/>
  <c r="J56" i="111"/>
  <c r="I56" i="111"/>
  <c r="H56" i="111"/>
  <c r="G56" i="111"/>
  <c r="F56" i="111"/>
  <c r="E56" i="111"/>
  <c r="D56" i="111"/>
  <c r="C56" i="111"/>
  <c r="B56" i="111"/>
  <c r="AR55" i="111"/>
  <c r="AQ55" i="111"/>
  <c r="AP55" i="111"/>
  <c r="AO55" i="111"/>
  <c r="AN55" i="111"/>
  <c r="AM55" i="111"/>
  <c r="AL55" i="111"/>
  <c r="AK55" i="111"/>
  <c r="AJ55" i="111"/>
  <c r="AI55" i="111"/>
  <c r="AH55" i="111"/>
  <c r="AG55" i="111"/>
  <c r="AF55" i="111"/>
  <c r="AE55" i="111"/>
  <c r="AD55" i="111"/>
  <c r="AC55" i="111"/>
  <c r="AB55" i="111"/>
  <c r="AA55" i="111"/>
  <c r="Z55" i="111"/>
  <c r="Y55" i="111"/>
  <c r="X55" i="111"/>
  <c r="W55" i="111"/>
  <c r="V55" i="111"/>
  <c r="U55" i="111"/>
  <c r="T55" i="111"/>
  <c r="S55" i="111"/>
  <c r="R55" i="111"/>
  <c r="Q55" i="111"/>
  <c r="P55" i="111"/>
  <c r="O55" i="111"/>
  <c r="N55" i="111"/>
  <c r="M55" i="111"/>
  <c r="L55" i="111"/>
  <c r="K55" i="111"/>
  <c r="J55" i="111"/>
  <c r="I55" i="111"/>
  <c r="H55" i="111"/>
  <c r="G55" i="111"/>
  <c r="F55" i="111"/>
  <c r="E55" i="111"/>
  <c r="D55" i="111"/>
  <c r="C55" i="111"/>
  <c r="B55" i="111"/>
  <c r="AR54" i="111"/>
  <c r="AQ54" i="111"/>
  <c r="AP54" i="111"/>
  <c r="AO54" i="111"/>
  <c r="AN54" i="111"/>
  <c r="AM54" i="111"/>
  <c r="AL54" i="111"/>
  <c r="AK54" i="111"/>
  <c r="AJ54" i="111"/>
  <c r="AI54" i="111"/>
  <c r="AH54" i="111"/>
  <c r="AG54" i="111"/>
  <c r="AF54" i="111"/>
  <c r="AE54" i="111"/>
  <c r="AD54" i="111"/>
  <c r="AC54" i="111"/>
  <c r="AB54" i="111"/>
  <c r="AA54" i="111"/>
  <c r="Z54" i="111"/>
  <c r="Y54" i="111"/>
  <c r="X54" i="111"/>
  <c r="W54" i="111"/>
  <c r="V54" i="111"/>
  <c r="U54" i="111"/>
  <c r="T54" i="111"/>
  <c r="S54" i="111"/>
  <c r="R54" i="111"/>
  <c r="Q54" i="111"/>
  <c r="P54" i="111"/>
  <c r="O54" i="111"/>
  <c r="N54" i="111"/>
  <c r="M54" i="111"/>
  <c r="L54" i="111"/>
  <c r="K54" i="111"/>
  <c r="J54" i="111"/>
  <c r="I54" i="111"/>
  <c r="H54" i="111"/>
  <c r="G54" i="111"/>
  <c r="F54" i="111"/>
  <c r="E54" i="111"/>
  <c r="D54" i="111"/>
  <c r="C54" i="111"/>
  <c r="B54" i="111"/>
  <c r="AR53" i="111"/>
  <c r="AQ53" i="111"/>
  <c r="AP53" i="111"/>
  <c r="AO53" i="111"/>
  <c r="AN53" i="111"/>
  <c r="AM53" i="111"/>
  <c r="AL53" i="111"/>
  <c r="AK53" i="111"/>
  <c r="AJ53" i="111"/>
  <c r="AI53" i="111"/>
  <c r="AH53" i="111"/>
  <c r="AG53" i="111"/>
  <c r="AF53" i="111"/>
  <c r="AE53" i="111"/>
  <c r="AD53" i="111"/>
  <c r="AC53" i="111"/>
  <c r="AB53" i="111"/>
  <c r="AA53" i="111"/>
  <c r="Z53" i="111"/>
  <c r="Y53" i="111"/>
  <c r="X53" i="111"/>
  <c r="W53" i="111"/>
  <c r="V53" i="111"/>
  <c r="U53" i="111"/>
  <c r="T53" i="111"/>
  <c r="S53" i="111"/>
  <c r="R53" i="111"/>
  <c r="Q53" i="111"/>
  <c r="P53" i="111"/>
  <c r="O53" i="111"/>
  <c r="N53" i="111"/>
  <c r="M53" i="111"/>
  <c r="L53" i="111"/>
  <c r="K53" i="111"/>
  <c r="J53" i="111"/>
  <c r="I53" i="111"/>
  <c r="H53" i="111"/>
  <c r="G53" i="111"/>
  <c r="F53" i="111"/>
  <c r="E53" i="111"/>
  <c r="D53" i="111"/>
  <c r="C53" i="111"/>
  <c r="AQ52" i="111"/>
  <c r="AO52" i="111"/>
  <c r="AM52" i="111"/>
  <c r="AK52" i="111"/>
  <c r="AI52" i="111"/>
  <c r="AG52" i="111"/>
  <c r="AE52" i="111"/>
  <c r="AC52" i="111"/>
  <c r="AA52" i="111"/>
  <c r="Y52" i="111"/>
  <c r="W52" i="111"/>
  <c r="U52" i="111"/>
  <c r="S52" i="111"/>
  <c r="Q52" i="111"/>
  <c r="O52" i="111"/>
  <c r="M52" i="111"/>
  <c r="K52" i="111"/>
  <c r="I52" i="111"/>
  <c r="G52" i="111"/>
  <c r="E52" i="111"/>
  <c r="C52" i="111"/>
  <c r="B52" i="111"/>
  <c r="AR48" i="111"/>
  <c r="AQ48" i="111"/>
  <c r="AP48" i="111"/>
  <c r="AO48" i="111"/>
  <c r="AN48" i="111"/>
  <c r="AM48" i="111"/>
  <c r="AL48" i="111"/>
  <c r="AK48" i="111"/>
  <c r="AJ48" i="111"/>
  <c r="AI48" i="111"/>
  <c r="AH48" i="111"/>
  <c r="AG48" i="111"/>
  <c r="AF48" i="111"/>
  <c r="AE48" i="111"/>
  <c r="AD48" i="111"/>
  <c r="AC48" i="111"/>
  <c r="AB48" i="111"/>
  <c r="AA48" i="111"/>
  <c r="Z48" i="111"/>
  <c r="Y48" i="111"/>
  <c r="X48" i="111"/>
  <c r="W48" i="111"/>
  <c r="V48" i="111"/>
  <c r="U48" i="111"/>
  <c r="T48" i="111"/>
  <c r="S48" i="111"/>
  <c r="R48" i="111"/>
  <c r="Q48" i="111"/>
  <c r="P48" i="111"/>
  <c r="O48" i="111"/>
  <c r="N48" i="111"/>
  <c r="M48" i="111"/>
  <c r="L48" i="111"/>
  <c r="K48" i="111"/>
  <c r="J48" i="111"/>
  <c r="I48" i="111"/>
  <c r="H48" i="111"/>
  <c r="G48" i="111"/>
  <c r="F48" i="111"/>
  <c r="E48" i="111"/>
  <c r="D48" i="111"/>
  <c r="C48" i="111"/>
  <c r="A48" i="111"/>
  <c r="AR47" i="111"/>
  <c r="AQ47" i="111"/>
  <c r="AP47" i="111"/>
  <c r="AO47" i="111"/>
  <c r="AN47" i="111"/>
  <c r="AM47" i="111"/>
  <c r="AL47" i="111"/>
  <c r="AK47" i="111"/>
  <c r="AJ47" i="111"/>
  <c r="AI47" i="111"/>
  <c r="AH47" i="111"/>
  <c r="AG47" i="111"/>
  <c r="AF47" i="111"/>
  <c r="AE47" i="111"/>
  <c r="AD47" i="111"/>
  <c r="AC47" i="111"/>
  <c r="AB47" i="111"/>
  <c r="AA47" i="111"/>
  <c r="Z47" i="111"/>
  <c r="Y47" i="111"/>
  <c r="X47" i="111"/>
  <c r="W47" i="111"/>
  <c r="V47" i="111"/>
  <c r="U47" i="111"/>
  <c r="T47" i="111"/>
  <c r="S47" i="111"/>
  <c r="R47" i="111"/>
  <c r="Q47" i="111"/>
  <c r="P47" i="111"/>
  <c r="O47" i="111"/>
  <c r="N47" i="111"/>
  <c r="M47" i="111"/>
  <c r="L47" i="111"/>
  <c r="K47" i="111"/>
  <c r="J47" i="111"/>
  <c r="I47" i="111"/>
  <c r="H47" i="111"/>
  <c r="G47" i="111"/>
  <c r="F47" i="111"/>
  <c r="E47" i="111"/>
  <c r="D47" i="111"/>
  <c r="C47" i="111"/>
  <c r="B47" i="111"/>
  <c r="AR46" i="111"/>
  <c r="AQ46" i="111"/>
  <c r="AP46" i="111"/>
  <c r="AO46" i="111"/>
  <c r="AN46" i="111"/>
  <c r="AM46" i="111"/>
  <c r="AL46" i="111"/>
  <c r="AK46" i="111"/>
  <c r="AJ46" i="111"/>
  <c r="AI46" i="111"/>
  <c r="AH46" i="111"/>
  <c r="AG46" i="111"/>
  <c r="AF46" i="111"/>
  <c r="AE46" i="111"/>
  <c r="AD46" i="111"/>
  <c r="AC46" i="111"/>
  <c r="AB46" i="111"/>
  <c r="AA46" i="111"/>
  <c r="Z46" i="111"/>
  <c r="Y46" i="111"/>
  <c r="X46" i="111"/>
  <c r="W46" i="111"/>
  <c r="V46" i="111"/>
  <c r="U46" i="111"/>
  <c r="T46" i="111"/>
  <c r="S46" i="111"/>
  <c r="R46" i="111"/>
  <c r="Q46" i="111"/>
  <c r="P46" i="111"/>
  <c r="O46" i="111"/>
  <c r="N46" i="111"/>
  <c r="M46" i="111"/>
  <c r="L46" i="111"/>
  <c r="K46" i="111"/>
  <c r="J46" i="111"/>
  <c r="I46" i="111"/>
  <c r="H46" i="111"/>
  <c r="G46" i="111"/>
  <c r="F46" i="111"/>
  <c r="E46" i="111"/>
  <c r="D46" i="111"/>
  <c r="C46" i="111"/>
  <c r="B46" i="111"/>
  <c r="AR45" i="111"/>
  <c r="AQ45" i="111"/>
  <c r="AP45" i="111"/>
  <c r="AO45" i="111"/>
  <c r="AN45" i="111"/>
  <c r="AM45" i="111"/>
  <c r="AL45" i="111"/>
  <c r="AK45" i="111"/>
  <c r="AJ45" i="111"/>
  <c r="AI45" i="111"/>
  <c r="AH45" i="111"/>
  <c r="AG45" i="111"/>
  <c r="AF45" i="111"/>
  <c r="AE45" i="111"/>
  <c r="AD45" i="111"/>
  <c r="AC45" i="111"/>
  <c r="AB45" i="111"/>
  <c r="AA45" i="111"/>
  <c r="Z45" i="111"/>
  <c r="Y45" i="111"/>
  <c r="X45" i="111"/>
  <c r="W45" i="111"/>
  <c r="V45" i="111"/>
  <c r="U45" i="111"/>
  <c r="T45" i="111"/>
  <c r="S45" i="111"/>
  <c r="R45" i="111"/>
  <c r="Q45" i="111"/>
  <c r="P45" i="111"/>
  <c r="O45" i="111"/>
  <c r="N45" i="111"/>
  <c r="M45" i="111"/>
  <c r="L45" i="111"/>
  <c r="K45" i="111"/>
  <c r="J45" i="111"/>
  <c r="I45" i="111"/>
  <c r="H45" i="111"/>
  <c r="G45" i="111"/>
  <c r="F45" i="111"/>
  <c r="E45" i="111"/>
  <c r="D45" i="111"/>
  <c r="C45" i="111"/>
  <c r="B45" i="111"/>
  <c r="AR44" i="111"/>
  <c r="AQ44" i="111"/>
  <c r="AP44" i="111"/>
  <c r="AO44" i="111"/>
  <c r="AN44" i="111"/>
  <c r="AM44" i="111"/>
  <c r="AL44" i="111"/>
  <c r="AK44" i="111"/>
  <c r="AJ44" i="111"/>
  <c r="AI44" i="111"/>
  <c r="AH44" i="111"/>
  <c r="AG44" i="111"/>
  <c r="AF44" i="111"/>
  <c r="AE44" i="111"/>
  <c r="AD44" i="111"/>
  <c r="AC44" i="111"/>
  <c r="AB44" i="111"/>
  <c r="AA44" i="111"/>
  <c r="Z44" i="111"/>
  <c r="Y44" i="111"/>
  <c r="X44" i="111"/>
  <c r="W44" i="111"/>
  <c r="V44" i="111"/>
  <c r="U44" i="111"/>
  <c r="T44" i="111"/>
  <c r="S44" i="111"/>
  <c r="R44" i="111"/>
  <c r="Q44" i="111"/>
  <c r="P44" i="111"/>
  <c r="O44" i="111"/>
  <c r="N44" i="111"/>
  <c r="M44" i="111"/>
  <c r="L44" i="111"/>
  <c r="K44" i="111"/>
  <c r="J44" i="111"/>
  <c r="I44" i="111"/>
  <c r="H44" i="111"/>
  <c r="G44" i="111"/>
  <c r="F44" i="111"/>
  <c r="E44" i="111"/>
  <c r="D44" i="111"/>
  <c r="C44" i="111"/>
  <c r="B44" i="111"/>
  <c r="AR43" i="111"/>
  <c r="AQ43" i="111"/>
  <c r="AP43" i="111"/>
  <c r="AO43" i="111"/>
  <c r="AN43" i="111"/>
  <c r="AM43" i="111"/>
  <c r="AL43" i="111"/>
  <c r="AK43" i="111"/>
  <c r="AJ43" i="111"/>
  <c r="AI43" i="111"/>
  <c r="AH43" i="111"/>
  <c r="AG43" i="111"/>
  <c r="AF43" i="111"/>
  <c r="AE43" i="111"/>
  <c r="AD43" i="111"/>
  <c r="AC43" i="111"/>
  <c r="AB43" i="111"/>
  <c r="AA43" i="111"/>
  <c r="Z43" i="111"/>
  <c r="Y43" i="111"/>
  <c r="X43" i="111"/>
  <c r="W43" i="111"/>
  <c r="V43" i="111"/>
  <c r="U43" i="111"/>
  <c r="T43" i="111"/>
  <c r="S43" i="111"/>
  <c r="R43" i="111"/>
  <c r="Q43" i="111"/>
  <c r="P43" i="111"/>
  <c r="O43" i="111"/>
  <c r="N43" i="111"/>
  <c r="M43" i="111"/>
  <c r="L43" i="111"/>
  <c r="K43" i="111"/>
  <c r="J43" i="111"/>
  <c r="I43" i="111"/>
  <c r="H43" i="111"/>
  <c r="G43" i="111"/>
  <c r="F43" i="111"/>
  <c r="E43" i="111"/>
  <c r="D43" i="111"/>
  <c r="C43" i="111"/>
  <c r="B43" i="111"/>
  <c r="AR42" i="111"/>
  <c r="AQ42" i="111"/>
  <c r="AP42" i="111"/>
  <c r="AO42" i="111"/>
  <c r="AN42" i="111"/>
  <c r="AM42" i="111"/>
  <c r="AL42" i="111"/>
  <c r="AK42" i="111"/>
  <c r="AJ42" i="111"/>
  <c r="AI42" i="111"/>
  <c r="AH42" i="111"/>
  <c r="AG42" i="111"/>
  <c r="AF42" i="111"/>
  <c r="AE42" i="111"/>
  <c r="AD42" i="111"/>
  <c r="AC42" i="111"/>
  <c r="AB42" i="111"/>
  <c r="AA42" i="111"/>
  <c r="Z42" i="111"/>
  <c r="Y42" i="111"/>
  <c r="X42" i="111"/>
  <c r="W42" i="111"/>
  <c r="V42" i="111"/>
  <c r="U42" i="111"/>
  <c r="T42" i="111"/>
  <c r="S42" i="111"/>
  <c r="R42" i="111"/>
  <c r="Q42" i="111"/>
  <c r="P42" i="111"/>
  <c r="O42" i="111"/>
  <c r="N42" i="111"/>
  <c r="M42" i="111"/>
  <c r="L42" i="111"/>
  <c r="K42" i="111"/>
  <c r="J42" i="111"/>
  <c r="I42" i="111"/>
  <c r="H42" i="111"/>
  <c r="G42" i="111"/>
  <c r="F42" i="111"/>
  <c r="E42" i="111"/>
  <c r="D42" i="111"/>
  <c r="C42" i="111"/>
  <c r="B42" i="111"/>
  <c r="AR41"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G41" i="111"/>
  <c r="F41" i="111"/>
  <c r="E41" i="111"/>
  <c r="D41" i="111"/>
  <c r="C41" i="111"/>
  <c r="B41" i="111"/>
  <c r="AR40" i="111"/>
  <c r="AQ40" i="111"/>
  <c r="AP40" i="111"/>
  <c r="AO40" i="111"/>
  <c r="AN40" i="111"/>
  <c r="AM40" i="111"/>
  <c r="AL40" i="111"/>
  <c r="AK40" i="111"/>
  <c r="AJ40" i="111"/>
  <c r="AI40" i="111"/>
  <c r="AH40" i="111"/>
  <c r="AG40" i="111"/>
  <c r="AF40" i="111"/>
  <c r="AE40" i="111"/>
  <c r="AD40" i="111"/>
  <c r="AC40" i="111"/>
  <c r="AB40" i="111"/>
  <c r="AA40" i="111"/>
  <c r="Z40" i="111"/>
  <c r="Y40" i="111"/>
  <c r="X40" i="111"/>
  <c r="W40" i="111"/>
  <c r="V40" i="111"/>
  <c r="U40" i="111"/>
  <c r="T40" i="111"/>
  <c r="S40" i="111"/>
  <c r="R40" i="111"/>
  <c r="Q40" i="111"/>
  <c r="P40" i="111"/>
  <c r="O40" i="111"/>
  <c r="N40" i="111"/>
  <c r="M40" i="111"/>
  <c r="L40" i="111"/>
  <c r="K40" i="111"/>
  <c r="J40" i="111"/>
  <c r="I40" i="111"/>
  <c r="H40" i="111"/>
  <c r="G40" i="111"/>
  <c r="F40" i="111"/>
  <c r="E40" i="111"/>
  <c r="D40" i="111"/>
  <c r="C40" i="111"/>
  <c r="B40" i="111"/>
  <c r="AR39" i="111"/>
  <c r="AQ39" i="111"/>
  <c r="AP39" i="111"/>
  <c r="AO39" i="111"/>
  <c r="AN39" i="111"/>
  <c r="AM39" i="111"/>
  <c r="AL39" i="111"/>
  <c r="AK39" i="111"/>
  <c r="AJ39" i="111"/>
  <c r="AI39" i="111"/>
  <c r="AH39" i="111"/>
  <c r="AG39" i="111"/>
  <c r="AF39" i="111"/>
  <c r="AE39" i="111"/>
  <c r="AD39" i="111"/>
  <c r="AC39" i="111"/>
  <c r="AB39" i="111"/>
  <c r="AA39" i="111"/>
  <c r="Z39" i="111"/>
  <c r="Y39" i="111"/>
  <c r="X39" i="111"/>
  <c r="W39" i="111"/>
  <c r="V39" i="111"/>
  <c r="U39" i="111"/>
  <c r="T39" i="111"/>
  <c r="S39" i="111"/>
  <c r="R39" i="111"/>
  <c r="Q39" i="111"/>
  <c r="P39" i="111"/>
  <c r="O39" i="111"/>
  <c r="N39" i="111"/>
  <c r="M39" i="111"/>
  <c r="L39" i="111"/>
  <c r="K39" i="111"/>
  <c r="J39" i="111"/>
  <c r="I39" i="111"/>
  <c r="H39" i="111"/>
  <c r="G39" i="111"/>
  <c r="F39" i="111"/>
  <c r="E39" i="111"/>
  <c r="D39" i="111"/>
  <c r="C39" i="111"/>
  <c r="B39" i="11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AR37" i="111"/>
  <c r="AQ37" i="111"/>
  <c r="AP37" i="111"/>
  <c r="AO37" i="111"/>
  <c r="AN37" i="111"/>
  <c r="AM37" i="111"/>
  <c r="AL37" i="111"/>
  <c r="AK37" i="111"/>
  <c r="AJ37" i="111"/>
  <c r="AI37" i="111"/>
  <c r="AH37" i="111"/>
  <c r="AG37" i="111"/>
  <c r="AF37" i="111"/>
  <c r="AE37" i="111"/>
  <c r="AD37" i="111"/>
  <c r="AC37" i="111"/>
  <c r="AB37" i="111"/>
  <c r="AA37" i="111"/>
  <c r="Z37" i="111"/>
  <c r="Y37" i="111"/>
  <c r="X37" i="111"/>
  <c r="W37" i="111"/>
  <c r="V37" i="111"/>
  <c r="U37" i="111"/>
  <c r="T37" i="111"/>
  <c r="S37" i="111"/>
  <c r="R37" i="111"/>
  <c r="Q37" i="111"/>
  <c r="P37" i="111"/>
  <c r="O37" i="111"/>
  <c r="N37" i="111"/>
  <c r="M37" i="111"/>
  <c r="L37" i="111"/>
  <c r="K37" i="111"/>
  <c r="J37" i="111"/>
  <c r="I37" i="111"/>
  <c r="H37" i="111"/>
  <c r="G37" i="111"/>
  <c r="F37" i="111"/>
  <c r="E37" i="111"/>
  <c r="D37" i="111"/>
  <c r="C37" i="111"/>
  <c r="B37" i="111"/>
  <c r="AR36" i="111"/>
  <c r="AQ36" i="111"/>
  <c r="AP36" i="111"/>
  <c r="AO36" i="111"/>
  <c r="AN36" i="111"/>
  <c r="AM36" i="111"/>
  <c r="AL36" i="111"/>
  <c r="AK36" i="111"/>
  <c r="AJ36" i="111"/>
  <c r="AI36" i="111"/>
  <c r="AH36" i="111"/>
  <c r="AG36" i="111"/>
  <c r="AF36" i="111"/>
  <c r="AE36" i="111"/>
  <c r="AD36" i="111"/>
  <c r="AC36" i="111"/>
  <c r="AB36" i="111"/>
  <c r="AA36" i="111"/>
  <c r="Z36" i="111"/>
  <c r="Y36" i="111"/>
  <c r="X36" i="111"/>
  <c r="W36" i="111"/>
  <c r="V36" i="111"/>
  <c r="U36" i="111"/>
  <c r="T36" i="111"/>
  <c r="S36" i="111"/>
  <c r="R36" i="111"/>
  <c r="Q36" i="111"/>
  <c r="P36" i="111"/>
  <c r="O36" i="111"/>
  <c r="N36" i="111"/>
  <c r="M36" i="111"/>
  <c r="L36" i="111"/>
  <c r="K36" i="111"/>
  <c r="J36" i="111"/>
  <c r="I36" i="111"/>
  <c r="H36" i="111"/>
  <c r="G36" i="111"/>
  <c r="F36" i="111"/>
  <c r="E36" i="111"/>
  <c r="D36" i="111"/>
  <c r="C36" i="111"/>
  <c r="AQ35" i="111"/>
  <c r="AO35" i="111"/>
  <c r="AM35" i="111"/>
  <c r="AK35" i="111"/>
  <c r="AI35" i="111"/>
  <c r="AG35" i="111"/>
  <c r="AE35" i="111"/>
  <c r="AC35" i="111"/>
  <c r="AA35" i="111"/>
  <c r="Y35" i="111"/>
  <c r="W35" i="111"/>
  <c r="U35" i="111"/>
  <c r="S35" i="111"/>
  <c r="Q35" i="111"/>
  <c r="O35" i="111"/>
  <c r="M35" i="111"/>
  <c r="K35" i="111"/>
  <c r="I35" i="111"/>
  <c r="G35" i="111"/>
  <c r="E35" i="111"/>
  <c r="C35" i="111"/>
  <c r="B35" i="111"/>
  <c r="B33" i="111"/>
  <c r="AR31" i="111"/>
  <c r="AQ31" i="111"/>
  <c r="AP31" i="111"/>
  <c r="AO31" i="111"/>
  <c r="AN31" i="111"/>
  <c r="AM31" i="111"/>
  <c r="AL31" i="111"/>
  <c r="AK31" i="111"/>
  <c r="AJ31" i="111"/>
  <c r="AI31" i="111"/>
  <c r="AH31" i="111"/>
  <c r="AG31" i="111"/>
  <c r="AF31" i="111"/>
  <c r="AE31" i="111"/>
  <c r="AD31" i="111"/>
  <c r="AC31" i="111"/>
  <c r="AB31" i="111"/>
  <c r="AA31" i="111"/>
  <c r="Z31" i="111"/>
  <c r="Y31" i="111"/>
  <c r="X31" i="111"/>
  <c r="W31" i="111"/>
  <c r="V31" i="111"/>
  <c r="U31" i="111"/>
  <c r="T31" i="111"/>
  <c r="S31" i="111"/>
  <c r="R31" i="111"/>
  <c r="Q31" i="111"/>
  <c r="P31" i="111"/>
  <c r="O31" i="111"/>
  <c r="N31" i="111"/>
  <c r="M31" i="111"/>
  <c r="L31" i="111"/>
  <c r="K31" i="111"/>
  <c r="J31" i="111"/>
  <c r="I31" i="111"/>
  <c r="H31" i="111"/>
  <c r="G31" i="111"/>
  <c r="F31" i="111"/>
  <c r="E31" i="111"/>
  <c r="D31" i="111"/>
  <c r="C31" i="111"/>
  <c r="A31" i="111"/>
  <c r="AR30" i="111"/>
  <c r="AQ30" i="111"/>
  <c r="AP30" i="111"/>
  <c r="AO30" i="111"/>
  <c r="AN30" i="111"/>
  <c r="AM30" i="111"/>
  <c r="AL30" i="111"/>
  <c r="AK30" i="111"/>
  <c r="AJ30" i="111"/>
  <c r="AI30" i="111"/>
  <c r="AH30" i="111"/>
  <c r="AG30" i="111"/>
  <c r="AF30" i="111"/>
  <c r="AE30" i="111"/>
  <c r="AD30" i="111"/>
  <c r="AC30" i="111"/>
  <c r="AB30" i="111"/>
  <c r="AA30" i="111"/>
  <c r="Z30" i="111"/>
  <c r="Y30" i="111"/>
  <c r="X30" i="111"/>
  <c r="W30" i="111"/>
  <c r="V30" i="111"/>
  <c r="U30" i="111"/>
  <c r="T30" i="111"/>
  <c r="S30" i="111"/>
  <c r="R30" i="111"/>
  <c r="Q30" i="111"/>
  <c r="P30" i="111"/>
  <c r="O30" i="111"/>
  <c r="N30" i="111"/>
  <c r="M30" i="111"/>
  <c r="L30" i="111"/>
  <c r="K30" i="111"/>
  <c r="J30" i="111"/>
  <c r="I30" i="111"/>
  <c r="H30" i="111"/>
  <c r="G30" i="111"/>
  <c r="F30" i="111"/>
  <c r="E30" i="111"/>
  <c r="D30" i="111"/>
  <c r="C30" i="111"/>
  <c r="B30" i="111"/>
  <c r="AR29" i="111"/>
  <c r="AQ29" i="111"/>
  <c r="AP29" i="111"/>
  <c r="AO29" i="111"/>
  <c r="AN29" i="111"/>
  <c r="AM29" i="111"/>
  <c r="AL29" i="111"/>
  <c r="AK29" i="111"/>
  <c r="AJ29" i="111"/>
  <c r="AI29" i="111"/>
  <c r="AH29" i="111"/>
  <c r="AG29" i="111"/>
  <c r="AF29" i="111"/>
  <c r="AE29" i="111"/>
  <c r="AD29" i="111"/>
  <c r="AC29" i="111"/>
  <c r="AB29" i="111"/>
  <c r="AA29" i="111"/>
  <c r="Z29" i="111"/>
  <c r="Y29" i="111"/>
  <c r="X29" i="111"/>
  <c r="W29" i="111"/>
  <c r="V29" i="111"/>
  <c r="U29" i="111"/>
  <c r="T29" i="111"/>
  <c r="S29" i="111"/>
  <c r="R29" i="111"/>
  <c r="Q29" i="111"/>
  <c r="P29" i="111"/>
  <c r="O29" i="111"/>
  <c r="N29" i="111"/>
  <c r="M29" i="111"/>
  <c r="L29" i="111"/>
  <c r="K29" i="111"/>
  <c r="J29" i="111"/>
  <c r="I29" i="111"/>
  <c r="H29" i="111"/>
  <c r="G29" i="111"/>
  <c r="F29" i="111"/>
  <c r="E29" i="111"/>
  <c r="D29" i="111"/>
  <c r="C29" i="111"/>
  <c r="B29" i="111"/>
  <c r="AR28" i="111"/>
  <c r="AQ28" i="111"/>
  <c r="AP28" i="111"/>
  <c r="AO28" i="111"/>
  <c r="AN28" i="111"/>
  <c r="AM28" i="111"/>
  <c r="AL28" i="111"/>
  <c r="AK28" i="111"/>
  <c r="AJ28" i="111"/>
  <c r="AI28" i="111"/>
  <c r="AH28" i="111"/>
  <c r="AG28" i="111"/>
  <c r="AF28" i="111"/>
  <c r="AE28" i="111"/>
  <c r="AD28" i="111"/>
  <c r="AC28" i="111"/>
  <c r="AB28" i="111"/>
  <c r="AA28" i="111"/>
  <c r="Z28" i="111"/>
  <c r="Y28" i="111"/>
  <c r="X28" i="111"/>
  <c r="W28" i="111"/>
  <c r="V28" i="111"/>
  <c r="U28" i="111"/>
  <c r="T28" i="111"/>
  <c r="S28" i="111"/>
  <c r="R28" i="111"/>
  <c r="Q28" i="111"/>
  <c r="P28" i="111"/>
  <c r="O28" i="111"/>
  <c r="N28" i="111"/>
  <c r="M28" i="111"/>
  <c r="L28" i="111"/>
  <c r="K28" i="111"/>
  <c r="J28" i="111"/>
  <c r="I28" i="111"/>
  <c r="H28" i="111"/>
  <c r="G28" i="111"/>
  <c r="F28" i="111"/>
  <c r="E28" i="111"/>
  <c r="D28" i="111"/>
  <c r="C28" i="111"/>
  <c r="B28" i="111"/>
  <c r="AR27" i="111"/>
  <c r="AQ27" i="111"/>
  <c r="AP27" i="111"/>
  <c r="AO27" i="111"/>
  <c r="AN27" i="111"/>
  <c r="AM27" i="111"/>
  <c r="AL27" i="111"/>
  <c r="AK27" i="111"/>
  <c r="AJ27" i="111"/>
  <c r="AI27" i="111"/>
  <c r="AH27" i="111"/>
  <c r="AG27" i="111"/>
  <c r="AF27" i="111"/>
  <c r="AE27" i="111"/>
  <c r="AD27" i="111"/>
  <c r="AC27" i="111"/>
  <c r="AB27" i="111"/>
  <c r="AA27" i="111"/>
  <c r="Z27" i="111"/>
  <c r="Y27" i="111"/>
  <c r="X27" i="111"/>
  <c r="W27" i="111"/>
  <c r="V27" i="111"/>
  <c r="U27" i="111"/>
  <c r="T27" i="111"/>
  <c r="S27" i="111"/>
  <c r="R27" i="111"/>
  <c r="Q27" i="111"/>
  <c r="P27" i="111"/>
  <c r="O27" i="111"/>
  <c r="N27" i="111"/>
  <c r="M27" i="111"/>
  <c r="L27" i="111"/>
  <c r="K27" i="111"/>
  <c r="J27" i="111"/>
  <c r="I27" i="111"/>
  <c r="H27" i="111"/>
  <c r="G27" i="111"/>
  <c r="F27" i="111"/>
  <c r="E27" i="111"/>
  <c r="D27" i="111"/>
  <c r="C27" i="111"/>
  <c r="B27" i="111"/>
  <c r="AR26" i="111"/>
  <c r="AQ26" i="111"/>
  <c r="AP26" i="111"/>
  <c r="AO26" i="111"/>
  <c r="AN26" i="111"/>
  <c r="AM26" i="111"/>
  <c r="AL26" i="111"/>
  <c r="AK26" i="111"/>
  <c r="AJ26" i="111"/>
  <c r="AI26" i="111"/>
  <c r="AH26" i="111"/>
  <c r="AG26" i="111"/>
  <c r="AF26" i="111"/>
  <c r="AE26" i="111"/>
  <c r="AD26" i="111"/>
  <c r="AC26" i="111"/>
  <c r="AB26" i="111"/>
  <c r="AA26" i="111"/>
  <c r="Z26" i="111"/>
  <c r="Y26" i="111"/>
  <c r="X26" i="111"/>
  <c r="W26" i="111"/>
  <c r="V26" i="111"/>
  <c r="U26" i="111"/>
  <c r="T26" i="111"/>
  <c r="S26" i="111"/>
  <c r="R26" i="111"/>
  <c r="Q26" i="111"/>
  <c r="P26" i="111"/>
  <c r="O26" i="111"/>
  <c r="N26" i="111"/>
  <c r="M26" i="111"/>
  <c r="L26" i="111"/>
  <c r="K26" i="111"/>
  <c r="J26" i="111"/>
  <c r="I26" i="111"/>
  <c r="H26" i="111"/>
  <c r="G26" i="111"/>
  <c r="F26" i="111"/>
  <c r="E26" i="111"/>
  <c r="D26" i="111"/>
  <c r="C26" i="111"/>
  <c r="B26"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Q25" i="111"/>
  <c r="P25" i="111"/>
  <c r="O25" i="111"/>
  <c r="N25" i="111"/>
  <c r="M25" i="111"/>
  <c r="L25" i="111"/>
  <c r="K25" i="111"/>
  <c r="J25" i="111"/>
  <c r="I25" i="111"/>
  <c r="H25" i="111"/>
  <c r="G25" i="111"/>
  <c r="F25" i="111"/>
  <c r="E25" i="111"/>
  <c r="D25" i="111"/>
  <c r="C25" i="111"/>
  <c r="B25"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C24" i="111"/>
  <c r="B24" i="111"/>
  <c r="AR23" i="111"/>
  <c r="AQ23" i="111"/>
  <c r="AP23" i="111"/>
  <c r="AO23" i="111"/>
  <c r="AN23" i="111"/>
  <c r="AM23" i="111"/>
  <c r="AL23" i="111"/>
  <c r="AK23" i="111"/>
  <c r="AJ23" i="111"/>
  <c r="AI23" i="111"/>
  <c r="AH23" i="111"/>
  <c r="AG23" i="111"/>
  <c r="AF23" i="111"/>
  <c r="AE23" i="111"/>
  <c r="AD23" i="111"/>
  <c r="AC23" i="111"/>
  <c r="AB23" i="111"/>
  <c r="AA23" i="111"/>
  <c r="Z23" i="111"/>
  <c r="Y23" i="111"/>
  <c r="X23" i="111"/>
  <c r="W23" i="111"/>
  <c r="V23" i="111"/>
  <c r="U23" i="111"/>
  <c r="T23" i="111"/>
  <c r="S23" i="111"/>
  <c r="R23" i="111"/>
  <c r="Q23" i="111"/>
  <c r="P23" i="111"/>
  <c r="O23" i="111"/>
  <c r="N23" i="111"/>
  <c r="M23" i="111"/>
  <c r="L23" i="111"/>
  <c r="K23" i="111"/>
  <c r="J23" i="111"/>
  <c r="I23" i="111"/>
  <c r="H23" i="111"/>
  <c r="G23" i="111"/>
  <c r="F23" i="111"/>
  <c r="E23" i="111"/>
  <c r="D23" i="111"/>
  <c r="C23" i="111"/>
  <c r="B23" i="111"/>
  <c r="AR22" i="111"/>
  <c r="AQ22" i="111"/>
  <c r="AP22" i="111"/>
  <c r="AO22" i="111"/>
  <c r="AN22" i="111"/>
  <c r="AM22" i="111"/>
  <c r="AL22" i="111"/>
  <c r="AK22" i="111"/>
  <c r="AJ22" i="111"/>
  <c r="AI22" i="111"/>
  <c r="AH22" i="111"/>
  <c r="AG22" i="111"/>
  <c r="AF22" i="111"/>
  <c r="AE22" i="111"/>
  <c r="AD22" i="111"/>
  <c r="AC22" i="111"/>
  <c r="AB22" i="111"/>
  <c r="AA22" i="111"/>
  <c r="Z22" i="111"/>
  <c r="Y22" i="111"/>
  <c r="X22" i="111"/>
  <c r="W22" i="111"/>
  <c r="V22" i="111"/>
  <c r="U22" i="111"/>
  <c r="T22" i="111"/>
  <c r="S22" i="111"/>
  <c r="R22" i="111"/>
  <c r="Q22" i="111"/>
  <c r="P22" i="111"/>
  <c r="O22" i="111"/>
  <c r="N22" i="111"/>
  <c r="M22" i="111"/>
  <c r="L22" i="111"/>
  <c r="K22" i="111"/>
  <c r="J22" i="111"/>
  <c r="I22" i="111"/>
  <c r="H22" i="111"/>
  <c r="G22" i="111"/>
  <c r="F22" i="111"/>
  <c r="E22" i="111"/>
  <c r="D22" i="111"/>
  <c r="C22" i="111"/>
  <c r="B22" i="111"/>
  <c r="AR21" i="111"/>
  <c r="AQ21" i="111"/>
  <c r="AP21" i="111"/>
  <c r="AO21" i="111"/>
  <c r="AN21" i="111"/>
  <c r="AM21" i="111"/>
  <c r="AL21" i="111"/>
  <c r="AK21" i="111"/>
  <c r="AJ21" i="111"/>
  <c r="AI21" i="111"/>
  <c r="AH21" i="111"/>
  <c r="AG21" i="111"/>
  <c r="AF21" i="111"/>
  <c r="AE21" i="111"/>
  <c r="AD21" i="111"/>
  <c r="AC21" i="111"/>
  <c r="AB21" i="111"/>
  <c r="AA21" i="111"/>
  <c r="Z21" i="111"/>
  <c r="Y21" i="111"/>
  <c r="X21" i="111"/>
  <c r="W21" i="111"/>
  <c r="V21" i="111"/>
  <c r="U21" i="111"/>
  <c r="T21" i="111"/>
  <c r="S21" i="111"/>
  <c r="R21" i="111"/>
  <c r="Q21" i="111"/>
  <c r="P21" i="111"/>
  <c r="O21" i="111"/>
  <c r="N21" i="111"/>
  <c r="M21" i="111"/>
  <c r="L21" i="111"/>
  <c r="K21" i="111"/>
  <c r="J21" i="111"/>
  <c r="I21" i="111"/>
  <c r="H21" i="111"/>
  <c r="G21" i="111"/>
  <c r="F21" i="111"/>
  <c r="E21" i="111"/>
  <c r="D21" i="111"/>
  <c r="C21" i="111"/>
  <c r="B21" i="111"/>
  <c r="AR20" i="111"/>
  <c r="AQ20" i="111"/>
  <c r="AP20" i="111"/>
  <c r="AO20" i="111"/>
  <c r="AN20" i="111"/>
  <c r="AM20" i="111"/>
  <c r="AL20" i="111"/>
  <c r="AK20" i="111"/>
  <c r="AJ20" i="111"/>
  <c r="AI20" i="111"/>
  <c r="AH20" i="111"/>
  <c r="AG20" i="111"/>
  <c r="AF20" i="111"/>
  <c r="AE20" i="111"/>
  <c r="AD20" i="111"/>
  <c r="AC20" i="111"/>
  <c r="AB20" i="111"/>
  <c r="AA20" i="111"/>
  <c r="Z20" i="111"/>
  <c r="Y20" i="111"/>
  <c r="X20" i="111"/>
  <c r="W20" i="111"/>
  <c r="V20" i="111"/>
  <c r="U20" i="111"/>
  <c r="T20" i="111"/>
  <c r="S20" i="111"/>
  <c r="R20" i="111"/>
  <c r="Q20" i="111"/>
  <c r="P20" i="111"/>
  <c r="O20" i="111"/>
  <c r="N20" i="111"/>
  <c r="M20" i="111"/>
  <c r="L20" i="111"/>
  <c r="K20" i="111"/>
  <c r="J20" i="111"/>
  <c r="I20" i="111"/>
  <c r="H20" i="111"/>
  <c r="G20" i="111"/>
  <c r="F20" i="111"/>
  <c r="E20" i="111"/>
  <c r="D20" i="111"/>
  <c r="C20" i="111"/>
  <c r="B20" i="111"/>
  <c r="AR19" i="111"/>
  <c r="AQ19" i="111"/>
  <c r="AP19" i="111"/>
  <c r="AO19" i="111"/>
  <c r="AN19" i="111"/>
  <c r="AM19" i="111"/>
  <c r="AL19" i="111"/>
  <c r="AK19" i="111"/>
  <c r="AJ19" i="111"/>
  <c r="AI19" i="111"/>
  <c r="AH19" i="111"/>
  <c r="AG19" i="111"/>
  <c r="AF19" i="111"/>
  <c r="AE19" i="111"/>
  <c r="AD19" i="111"/>
  <c r="AC19" i="111"/>
  <c r="AB19" i="111"/>
  <c r="AA19" i="111"/>
  <c r="Z19" i="111"/>
  <c r="Y19" i="111"/>
  <c r="X19" i="111"/>
  <c r="W19" i="111"/>
  <c r="V19" i="111"/>
  <c r="U19" i="111"/>
  <c r="T19" i="111"/>
  <c r="S19" i="111"/>
  <c r="R19" i="111"/>
  <c r="Q19" i="111"/>
  <c r="P19" i="111"/>
  <c r="O19" i="111"/>
  <c r="N19" i="111"/>
  <c r="M19" i="111"/>
  <c r="L19" i="111"/>
  <c r="K19" i="111"/>
  <c r="J19" i="111"/>
  <c r="I19" i="111"/>
  <c r="H19" i="111"/>
  <c r="G19" i="111"/>
  <c r="F19" i="111"/>
  <c r="E19" i="111"/>
  <c r="D19" i="111"/>
  <c r="C19" i="111"/>
  <c r="AQ18" i="111"/>
  <c r="AO18" i="111"/>
  <c r="AM18" i="111"/>
  <c r="AK18" i="111"/>
  <c r="AI18" i="111"/>
  <c r="AG18" i="111"/>
  <c r="AE18" i="111"/>
  <c r="AC18" i="111"/>
  <c r="AA18" i="111"/>
  <c r="Y18" i="111"/>
  <c r="W18" i="111"/>
  <c r="U18" i="111"/>
  <c r="S18" i="111"/>
  <c r="Q18" i="111"/>
  <c r="O18" i="111"/>
  <c r="M18" i="111"/>
  <c r="K18" i="111"/>
  <c r="I18" i="111"/>
  <c r="G18" i="111"/>
  <c r="E18" i="111"/>
  <c r="C18" i="111"/>
  <c r="B18" i="111"/>
  <c r="J12" i="111"/>
  <c r="A10" i="111"/>
  <c r="A1" i="111"/>
  <c r="E66" i="96"/>
  <c r="A66" i="96"/>
  <c r="E65" i="96"/>
  <c r="E64" i="96"/>
  <c r="J62" i="96"/>
  <c r="I62" i="96"/>
  <c r="G62" i="96"/>
  <c r="E62" i="96"/>
  <c r="D62" i="96"/>
  <c r="C62" i="96"/>
  <c r="B62" i="96"/>
  <c r="J61" i="96"/>
  <c r="I61" i="96"/>
  <c r="G61" i="96"/>
  <c r="E61" i="96"/>
  <c r="D61" i="96"/>
  <c r="C61" i="96"/>
  <c r="B61" i="96"/>
  <c r="J60" i="96"/>
  <c r="I60" i="96"/>
  <c r="G60" i="96"/>
  <c r="E60" i="96"/>
  <c r="D60" i="96"/>
  <c r="C60" i="96"/>
  <c r="B60" i="96"/>
  <c r="J59" i="96"/>
  <c r="I59" i="96"/>
  <c r="G59" i="96"/>
  <c r="E59" i="96"/>
  <c r="D59" i="96"/>
  <c r="C59" i="96"/>
  <c r="B59" i="96"/>
  <c r="J58" i="96"/>
  <c r="I58" i="96"/>
  <c r="G58" i="96"/>
  <c r="E58" i="96"/>
  <c r="D58" i="96"/>
  <c r="C58" i="96"/>
  <c r="B58" i="96"/>
  <c r="J57" i="96"/>
  <c r="I57" i="96"/>
  <c r="G57" i="96"/>
  <c r="E57" i="96"/>
  <c r="D57" i="96"/>
  <c r="C57" i="96"/>
  <c r="B57" i="96"/>
  <c r="J56" i="96"/>
  <c r="I56" i="96"/>
  <c r="G56" i="96"/>
  <c r="E56" i="96"/>
  <c r="D56" i="96"/>
  <c r="C56" i="96"/>
  <c r="B56" i="96"/>
  <c r="J55" i="96"/>
  <c r="I55" i="96"/>
  <c r="G55" i="96"/>
  <c r="E55" i="96"/>
  <c r="D55" i="96"/>
  <c r="C55" i="96"/>
  <c r="B55" i="96"/>
  <c r="J54" i="96"/>
  <c r="I54" i="96"/>
  <c r="G54" i="96"/>
  <c r="E54" i="96"/>
  <c r="D54" i="96"/>
  <c r="C54" i="96"/>
  <c r="B54" i="96"/>
  <c r="J53" i="96"/>
  <c r="I53" i="96"/>
  <c r="G53" i="96"/>
  <c r="E53" i="96"/>
  <c r="D53" i="96"/>
  <c r="C53" i="96"/>
  <c r="B53" i="96"/>
  <c r="J52" i="96"/>
  <c r="I52" i="96"/>
  <c r="G52" i="96"/>
  <c r="E52" i="96"/>
  <c r="D52" i="96"/>
  <c r="C52" i="96"/>
  <c r="B52" i="96"/>
  <c r="J51" i="96"/>
  <c r="I51" i="96"/>
  <c r="G51" i="96"/>
  <c r="E51" i="96"/>
  <c r="D51" i="96"/>
  <c r="C51" i="96"/>
  <c r="B51" i="96"/>
  <c r="J50" i="96"/>
  <c r="I50" i="96"/>
  <c r="G50" i="96"/>
  <c r="E50" i="96"/>
  <c r="D50" i="96"/>
  <c r="C50" i="96"/>
  <c r="B50" i="96"/>
  <c r="J49" i="96"/>
  <c r="I49" i="96"/>
  <c r="G49" i="96"/>
  <c r="E49" i="96"/>
  <c r="D49" i="96"/>
  <c r="C49" i="96"/>
  <c r="B49" i="96"/>
  <c r="J48" i="96"/>
  <c r="I48" i="96"/>
  <c r="G48" i="96"/>
  <c r="E48" i="96"/>
  <c r="D48" i="96"/>
  <c r="C48" i="96"/>
  <c r="B48" i="96"/>
  <c r="J47" i="96"/>
  <c r="I47" i="96"/>
  <c r="G47" i="96"/>
  <c r="E47" i="96"/>
  <c r="D47" i="96"/>
  <c r="C47" i="96"/>
  <c r="B47" i="96"/>
  <c r="J46" i="96"/>
  <c r="I46" i="96"/>
  <c r="G46" i="96"/>
  <c r="E46" i="96"/>
  <c r="D46" i="96"/>
  <c r="C46" i="96"/>
  <c r="B46" i="96"/>
  <c r="J45" i="96"/>
  <c r="I45" i="96"/>
  <c r="G45" i="96"/>
  <c r="E45" i="96"/>
  <c r="D45" i="96"/>
  <c r="C45" i="96"/>
  <c r="B45" i="96"/>
  <c r="J44" i="96"/>
  <c r="I44" i="96"/>
  <c r="G44" i="96"/>
  <c r="E44" i="96"/>
  <c r="D44" i="96"/>
  <c r="C44" i="96"/>
  <c r="B44" i="96"/>
  <c r="I43" i="96"/>
  <c r="G43" i="96"/>
  <c r="F39" i="96"/>
  <c r="E39" i="96"/>
  <c r="A39" i="96"/>
  <c r="F38" i="96"/>
  <c r="E38" i="96"/>
  <c r="A38" i="96"/>
  <c r="U36" i="96"/>
  <c r="T36" i="96"/>
  <c r="S36" i="96"/>
  <c r="R36" i="96"/>
  <c r="Q36" i="96"/>
  <c r="P36" i="96"/>
  <c r="O36" i="96"/>
  <c r="N36" i="96"/>
  <c r="M36" i="96"/>
  <c r="L36" i="96"/>
  <c r="K36" i="96"/>
  <c r="J36" i="96"/>
  <c r="I36" i="96"/>
  <c r="H36" i="96"/>
  <c r="G36" i="96"/>
  <c r="F36" i="96"/>
  <c r="E36" i="96"/>
  <c r="D36" i="96"/>
  <c r="C36" i="96"/>
  <c r="U35" i="96"/>
  <c r="T35" i="96"/>
  <c r="S35" i="96"/>
  <c r="R35" i="96"/>
  <c r="Q35" i="96"/>
  <c r="P35" i="96"/>
  <c r="O35" i="96"/>
  <c r="N35" i="96"/>
  <c r="M35" i="96"/>
  <c r="L35" i="96"/>
  <c r="K35" i="96"/>
  <c r="J35" i="96"/>
  <c r="I35" i="96"/>
  <c r="H35" i="96"/>
  <c r="G35" i="96"/>
  <c r="F35" i="96"/>
  <c r="E35" i="96"/>
  <c r="D35" i="96"/>
  <c r="C35" i="96"/>
  <c r="U34" i="96"/>
  <c r="T34" i="96"/>
  <c r="S34" i="96"/>
  <c r="R34" i="96"/>
  <c r="Q34" i="96"/>
  <c r="P34" i="96"/>
  <c r="O34" i="96"/>
  <c r="N34" i="96"/>
  <c r="M34" i="96"/>
  <c r="L34" i="96"/>
  <c r="K34" i="96"/>
  <c r="J34" i="96"/>
  <c r="I34" i="96"/>
  <c r="H34" i="96"/>
  <c r="G34" i="96"/>
  <c r="F34" i="96"/>
  <c r="E34" i="96"/>
  <c r="D34" i="96"/>
  <c r="C34" i="96"/>
  <c r="U33" i="96"/>
  <c r="T33" i="96"/>
  <c r="S33" i="96"/>
  <c r="R33" i="96"/>
  <c r="Q33" i="96"/>
  <c r="P33" i="96"/>
  <c r="O33" i="96"/>
  <c r="N33" i="96"/>
  <c r="M33" i="96"/>
  <c r="L33" i="96"/>
  <c r="K33" i="96"/>
  <c r="J33" i="96"/>
  <c r="I33" i="96"/>
  <c r="H33" i="96"/>
  <c r="G33" i="96"/>
  <c r="F33" i="96"/>
  <c r="E33" i="96"/>
  <c r="D33" i="96"/>
  <c r="C33" i="96"/>
  <c r="U32" i="96"/>
  <c r="T32" i="96"/>
  <c r="S32" i="96"/>
  <c r="R32" i="96"/>
  <c r="Q32" i="96"/>
  <c r="P32" i="96"/>
  <c r="O32" i="96"/>
  <c r="N32" i="96"/>
  <c r="M32" i="96"/>
  <c r="L32" i="96"/>
  <c r="K32" i="96"/>
  <c r="J32" i="96"/>
  <c r="I32" i="96"/>
  <c r="H32" i="96"/>
  <c r="G32" i="96"/>
  <c r="F32" i="96"/>
  <c r="E32" i="96"/>
  <c r="D32" i="96"/>
  <c r="C32" i="96"/>
  <c r="U31" i="96"/>
  <c r="T31" i="96"/>
  <c r="S31" i="96"/>
  <c r="R31" i="96"/>
  <c r="Q31" i="96"/>
  <c r="P31" i="96"/>
  <c r="O31" i="96"/>
  <c r="N31" i="96"/>
  <c r="M31" i="96"/>
  <c r="L31" i="96"/>
  <c r="K31" i="96"/>
  <c r="J31" i="96"/>
  <c r="I31" i="96"/>
  <c r="H31" i="96"/>
  <c r="G31" i="96"/>
  <c r="F31" i="96"/>
  <c r="E31" i="96"/>
  <c r="D31" i="96"/>
  <c r="C31" i="96"/>
  <c r="U30" i="96"/>
  <c r="T30" i="96"/>
  <c r="S30" i="96"/>
  <c r="R30" i="96"/>
  <c r="Q30" i="96"/>
  <c r="P30" i="96"/>
  <c r="O30" i="96"/>
  <c r="N30" i="96"/>
  <c r="M30" i="96"/>
  <c r="L30" i="96"/>
  <c r="K30" i="96"/>
  <c r="J30" i="96"/>
  <c r="I30" i="96"/>
  <c r="H30" i="96"/>
  <c r="G30" i="96"/>
  <c r="F30" i="96"/>
  <c r="E30" i="96"/>
  <c r="D30" i="96"/>
  <c r="C30" i="96"/>
  <c r="AN25" i="96"/>
  <c r="AM25" i="96"/>
  <c r="AL25" i="96"/>
  <c r="AK25" i="96"/>
  <c r="AJ25" i="96"/>
  <c r="AI25" i="96"/>
  <c r="AH25" i="96"/>
  <c r="AG25" i="96"/>
  <c r="AF25" i="96"/>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C25" i="96"/>
  <c r="AN24" i="96"/>
  <c r="AM24" i="96"/>
  <c r="AL24"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AM22" i="96"/>
  <c r="AK22" i="96"/>
  <c r="AI22" i="96"/>
  <c r="AG22" i="96"/>
  <c r="AE22" i="96"/>
  <c r="AC22" i="96"/>
  <c r="AA22" i="96"/>
  <c r="Y22" i="96"/>
  <c r="W22" i="96"/>
  <c r="U22" i="96"/>
  <c r="S22" i="96"/>
  <c r="Q22" i="96"/>
  <c r="O22" i="96"/>
  <c r="M22" i="96"/>
  <c r="K22" i="96"/>
  <c r="I22" i="96"/>
  <c r="G22" i="96"/>
  <c r="E22" i="96"/>
  <c r="C22" i="96"/>
  <c r="C17" i="96"/>
  <c r="C16" i="96"/>
  <c r="C15" i="96"/>
  <c r="C14" i="96"/>
  <c r="A10" i="96"/>
  <c r="A1" i="96"/>
  <c r="P99" i="169"/>
  <c r="O99" i="169"/>
  <c r="N99" i="169"/>
  <c r="M99" i="169"/>
  <c r="L99" i="169"/>
  <c r="K99" i="169"/>
  <c r="J99" i="169"/>
  <c r="I99" i="169"/>
  <c r="H99" i="169"/>
  <c r="G99" i="169"/>
  <c r="F99" i="169"/>
  <c r="E99" i="169"/>
  <c r="D99" i="169"/>
  <c r="C99" i="169"/>
  <c r="B99" i="169"/>
  <c r="P98" i="169"/>
  <c r="O98" i="169"/>
  <c r="N98" i="169"/>
  <c r="M98" i="169"/>
  <c r="L98" i="169"/>
  <c r="K98" i="169"/>
  <c r="J98" i="169"/>
  <c r="I98" i="169"/>
  <c r="H98" i="169"/>
  <c r="G98" i="169"/>
  <c r="F98" i="169"/>
  <c r="E98" i="169"/>
  <c r="D98" i="169"/>
  <c r="C98" i="169"/>
  <c r="B98" i="169"/>
  <c r="P97" i="169"/>
  <c r="O97" i="169"/>
  <c r="N97" i="169"/>
  <c r="M97" i="169"/>
  <c r="L97" i="169"/>
  <c r="K97" i="169"/>
  <c r="J97" i="169"/>
  <c r="I97" i="169"/>
  <c r="H97" i="169"/>
  <c r="G97" i="169"/>
  <c r="F97" i="169"/>
  <c r="E97" i="169"/>
  <c r="D97" i="169"/>
  <c r="C97" i="169"/>
  <c r="B97" i="169"/>
  <c r="P96" i="169"/>
  <c r="O96" i="169"/>
  <c r="N96" i="169"/>
  <c r="M96" i="169"/>
  <c r="L96" i="169"/>
  <c r="K96" i="169"/>
  <c r="J96" i="169"/>
  <c r="I96" i="169"/>
  <c r="H96" i="169"/>
  <c r="G96" i="169"/>
  <c r="F96" i="169"/>
  <c r="E96" i="169"/>
  <c r="D96" i="169"/>
  <c r="C96" i="169"/>
  <c r="B96" i="169"/>
  <c r="P95" i="169"/>
  <c r="O95" i="169"/>
  <c r="N95" i="169"/>
  <c r="M95" i="169"/>
  <c r="L95" i="169"/>
  <c r="K95" i="169"/>
  <c r="J95" i="169"/>
  <c r="I95" i="169"/>
  <c r="H95" i="169"/>
  <c r="G95" i="169"/>
  <c r="F95" i="169"/>
  <c r="E95" i="169"/>
  <c r="D95" i="169"/>
  <c r="C95" i="169"/>
  <c r="B95" i="169"/>
  <c r="P94" i="169"/>
  <c r="O94" i="169"/>
  <c r="N94" i="169"/>
  <c r="M94" i="169"/>
  <c r="L94" i="169"/>
  <c r="K94" i="169"/>
  <c r="J94" i="169"/>
  <c r="I94" i="169"/>
  <c r="H94" i="169"/>
  <c r="G94" i="169"/>
  <c r="F94" i="169"/>
  <c r="E94" i="169"/>
  <c r="D94" i="169"/>
  <c r="C94" i="169"/>
  <c r="B94" i="169"/>
  <c r="P93" i="169"/>
  <c r="O93" i="169"/>
  <c r="N93" i="169"/>
  <c r="M93" i="169"/>
  <c r="L93" i="169"/>
  <c r="K93" i="169"/>
  <c r="J93" i="169"/>
  <c r="I93" i="169"/>
  <c r="H93" i="169"/>
  <c r="G93" i="169"/>
  <c r="F93" i="169"/>
  <c r="E93" i="169"/>
  <c r="D93" i="169"/>
  <c r="C93" i="169"/>
  <c r="B93" i="169"/>
  <c r="P92" i="169"/>
  <c r="O92" i="169"/>
  <c r="N92" i="169"/>
  <c r="M92" i="169"/>
  <c r="L92" i="169"/>
  <c r="K92" i="169"/>
  <c r="J92" i="169"/>
  <c r="I92" i="169"/>
  <c r="H92" i="169"/>
  <c r="G92" i="169"/>
  <c r="F92" i="169"/>
  <c r="E92" i="169"/>
  <c r="D92" i="169"/>
  <c r="C92" i="169"/>
  <c r="B92" i="169"/>
  <c r="P91" i="169"/>
  <c r="O91" i="169"/>
  <c r="N91" i="169"/>
  <c r="M91" i="169"/>
  <c r="L91" i="169"/>
  <c r="K91" i="169"/>
  <c r="J91" i="169"/>
  <c r="I91" i="169"/>
  <c r="H91" i="169"/>
  <c r="G91" i="169"/>
  <c r="F91" i="169"/>
  <c r="E91" i="169"/>
  <c r="D91" i="169"/>
  <c r="C91" i="169"/>
  <c r="B91" i="169"/>
  <c r="P90" i="169"/>
  <c r="O90" i="169"/>
  <c r="N90" i="169"/>
  <c r="M90" i="169"/>
  <c r="L90" i="169"/>
  <c r="K90" i="169"/>
  <c r="J90" i="169"/>
  <c r="I90" i="169"/>
  <c r="H90" i="169"/>
  <c r="G90" i="169"/>
  <c r="F90" i="169"/>
  <c r="E90" i="169"/>
  <c r="D90" i="169"/>
  <c r="C90" i="169"/>
  <c r="B90" i="169"/>
  <c r="P89" i="169"/>
  <c r="O89" i="169"/>
  <c r="N89" i="169"/>
  <c r="M89" i="169"/>
  <c r="L89" i="169"/>
  <c r="K89" i="169"/>
  <c r="J89" i="169"/>
  <c r="I89" i="169"/>
  <c r="H89" i="169"/>
  <c r="G89" i="169"/>
  <c r="F89" i="169"/>
  <c r="E89" i="169"/>
  <c r="D89" i="169"/>
  <c r="C89" i="169"/>
  <c r="B89" i="169"/>
  <c r="P88" i="169"/>
  <c r="O88" i="169"/>
  <c r="N88" i="169"/>
  <c r="M88" i="169"/>
  <c r="L88" i="169"/>
  <c r="K88" i="169"/>
  <c r="J88" i="169"/>
  <c r="I88" i="169"/>
  <c r="H88" i="169"/>
  <c r="G88" i="169"/>
  <c r="F88" i="169"/>
  <c r="E88" i="169"/>
  <c r="D88" i="169"/>
  <c r="C88" i="169"/>
  <c r="B88" i="169"/>
  <c r="P84" i="169"/>
  <c r="O84" i="169"/>
  <c r="N84" i="169"/>
  <c r="M84" i="169"/>
  <c r="L84" i="169"/>
  <c r="K84" i="169"/>
  <c r="J84" i="169"/>
  <c r="I84" i="169"/>
  <c r="H84" i="169"/>
  <c r="G84" i="169"/>
  <c r="F84" i="169"/>
  <c r="E84" i="169"/>
  <c r="D84" i="169"/>
  <c r="C84" i="169"/>
  <c r="B84" i="169"/>
  <c r="P83" i="169"/>
  <c r="O83" i="169"/>
  <c r="N83" i="169"/>
  <c r="M83" i="169"/>
  <c r="L83" i="169"/>
  <c r="K83" i="169"/>
  <c r="J83" i="169"/>
  <c r="I83" i="169"/>
  <c r="H83" i="169"/>
  <c r="G83" i="169"/>
  <c r="F83" i="169"/>
  <c r="E83" i="169"/>
  <c r="D83" i="169"/>
  <c r="C83" i="169"/>
  <c r="B83" i="169"/>
  <c r="P82" i="169"/>
  <c r="O82" i="169"/>
  <c r="N82" i="169"/>
  <c r="M82" i="169"/>
  <c r="L82" i="169"/>
  <c r="K82" i="169"/>
  <c r="J82" i="169"/>
  <c r="I82" i="169"/>
  <c r="H82" i="169"/>
  <c r="G82" i="169"/>
  <c r="F82" i="169"/>
  <c r="E82" i="169"/>
  <c r="D82" i="169"/>
  <c r="C82" i="169"/>
  <c r="B82" i="169"/>
  <c r="P81" i="169"/>
  <c r="O81" i="169"/>
  <c r="N81" i="169"/>
  <c r="M81" i="169"/>
  <c r="L81" i="169"/>
  <c r="K81" i="169"/>
  <c r="J81" i="169"/>
  <c r="I81" i="169"/>
  <c r="H81" i="169"/>
  <c r="G81" i="169"/>
  <c r="F81" i="169"/>
  <c r="E81" i="169"/>
  <c r="D81" i="169"/>
  <c r="C81" i="169"/>
  <c r="B81" i="169"/>
  <c r="P80" i="169"/>
  <c r="O80" i="169"/>
  <c r="N80" i="169"/>
  <c r="M80" i="169"/>
  <c r="L80" i="169"/>
  <c r="K80" i="169"/>
  <c r="J80" i="169"/>
  <c r="I80" i="169"/>
  <c r="H80" i="169"/>
  <c r="G80" i="169"/>
  <c r="F80" i="169"/>
  <c r="E80" i="169"/>
  <c r="D80" i="169"/>
  <c r="C80" i="169"/>
  <c r="B80" i="169"/>
  <c r="P79" i="169"/>
  <c r="O79" i="169"/>
  <c r="N79" i="169"/>
  <c r="M79" i="169"/>
  <c r="L79" i="169"/>
  <c r="K79" i="169"/>
  <c r="J79" i="169"/>
  <c r="I79" i="169"/>
  <c r="H79" i="169"/>
  <c r="G79" i="169"/>
  <c r="F79" i="169"/>
  <c r="E79" i="169"/>
  <c r="D79" i="169"/>
  <c r="C79" i="169"/>
  <c r="B79" i="169"/>
  <c r="P78" i="169"/>
  <c r="O78" i="169"/>
  <c r="N78" i="169"/>
  <c r="M78" i="169"/>
  <c r="L78" i="169"/>
  <c r="K78" i="169"/>
  <c r="J78" i="169"/>
  <c r="I78" i="169"/>
  <c r="H78" i="169"/>
  <c r="G78" i="169"/>
  <c r="F78" i="169"/>
  <c r="E78" i="169"/>
  <c r="D78" i="169"/>
  <c r="C78" i="169"/>
  <c r="B78" i="169"/>
  <c r="P77" i="169"/>
  <c r="O77" i="169"/>
  <c r="N77" i="169"/>
  <c r="M77" i="169"/>
  <c r="L77" i="169"/>
  <c r="K77" i="169"/>
  <c r="J77" i="169"/>
  <c r="I77" i="169"/>
  <c r="H77" i="169"/>
  <c r="G77" i="169"/>
  <c r="F77" i="169"/>
  <c r="E77" i="169"/>
  <c r="D77" i="169"/>
  <c r="C77" i="169"/>
  <c r="B77" i="169"/>
  <c r="P76" i="169"/>
  <c r="O76" i="169"/>
  <c r="N76" i="169"/>
  <c r="M76" i="169"/>
  <c r="L76" i="169"/>
  <c r="K76" i="169"/>
  <c r="J76" i="169"/>
  <c r="I76" i="169"/>
  <c r="H76" i="169"/>
  <c r="G76" i="169"/>
  <c r="F76" i="169"/>
  <c r="E76" i="169"/>
  <c r="D76" i="169"/>
  <c r="C76" i="169"/>
  <c r="B76" i="169"/>
  <c r="P75" i="169"/>
  <c r="O75" i="169"/>
  <c r="N75" i="169"/>
  <c r="M75" i="169"/>
  <c r="L75" i="169"/>
  <c r="K75" i="169"/>
  <c r="J75" i="169"/>
  <c r="I75" i="169"/>
  <c r="H75" i="169"/>
  <c r="G75" i="169"/>
  <c r="F75" i="169"/>
  <c r="E75" i="169"/>
  <c r="D75" i="169"/>
  <c r="C75" i="169"/>
  <c r="B75" i="169"/>
  <c r="P74" i="169"/>
  <c r="O74" i="169"/>
  <c r="N74" i="169"/>
  <c r="M74" i="169"/>
  <c r="L74" i="169"/>
  <c r="K74" i="169"/>
  <c r="J74" i="169"/>
  <c r="I74" i="169"/>
  <c r="H74" i="169"/>
  <c r="G74" i="169"/>
  <c r="F74" i="169"/>
  <c r="E74" i="169"/>
  <c r="D74" i="169"/>
  <c r="C74" i="169"/>
  <c r="B74" i="169"/>
  <c r="P73" i="169"/>
  <c r="O73" i="169"/>
  <c r="N73" i="169"/>
  <c r="M73" i="169"/>
  <c r="L73" i="169"/>
  <c r="K73" i="169"/>
  <c r="J73" i="169"/>
  <c r="I73" i="169"/>
  <c r="H73" i="169"/>
  <c r="G73" i="169"/>
  <c r="F73" i="169"/>
  <c r="E73" i="169"/>
  <c r="D73" i="169"/>
  <c r="C73" i="169"/>
  <c r="B73" i="169"/>
  <c r="F71" i="169"/>
  <c r="P67" i="169"/>
  <c r="O67" i="169"/>
  <c r="N67" i="169"/>
  <c r="M67" i="169"/>
  <c r="L67" i="169"/>
  <c r="K67" i="169"/>
  <c r="J67" i="169"/>
  <c r="I67" i="169"/>
  <c r="H67" i="169"/>
  <c r="G67" i="169"/>
  <c r="F67" i="169"/>
  <c r="E67" i="169"/>
  <c r="D67" i="169"/>
  <c r="C67" i="169"/>
  <c r="B67" i="169"/>
  <c r="P66" i="169"/>
  <c r="O66" i="169"/>
  <c r="N66" i="169"/>
  <c r="M66" i="169"/>
  <c r="L66" i="169"/>
  <c r="K66" i="169"/>
  <c r="J66" i="169"/>
  <c r="I66" i="169"/>
  <c r="H66" i="169"/>
  <c r="G66" i="169"/>
  <c r="F66" i="169"/>
  <c r="E66" i="169"/>
  <c r="D66" i="169"/>
  <c r="C66" i="169"/>
  <c r="B66" i="169"/>
  <c r="P65" i="169"/>
  <c r="O65" i="169"/>
  <c r="N65" i="169"/>
  <c r="M65" i="169"/>
  <c r="L65" i="169"/>
  <c r="K65" i="169"/>
  <c r="J65" i="169"/>
  <c r="I65" i="169"/>
  <c r="H65" i="169"/>
  <c r="G65" i="169"/>
  <c r="F65" i="169"/>
  <c r="E65" i="169"/>
  <c r="D65" i="169"/>
  <c r="C65" i="169"/>
  <c r="B65" i="169"/>
  <c r="P64" i="169"/>
  <c r="O64" i="169"/>
  <c r="N64" i="169"/>
  <c r="M64" i="169"/>
  <c r="L64" i="169"/>
  <c r="K64" i="169"/>
  <c r="J64" i="169"/>
  <c r="I64" i="169"/>
  <c r="H64" i="169"/>
  <c r="G64" i="169"/>
  <c r="F64" i="169"/>
  <c r="E64" i="169"/>
  <c r="D64" i="169"/>
  <c r="C64" i="169"/>
  <c r="B64" i="169"/>
  <c r="P63" i="169"/>
  <c r="O63" i="169"/>
  <c r="N63" i="169"/>
  <c r="M63" i="169"/>
  <c r="L63" i="169"/>
  <c r="K63" i="169"/>
  <c r="J63" i="169"/>
  <c r="I63" i="169"/>
  <c r="H63" i="169"/>
  <c r="G63" i="169"/>
  <c r="F63" i="169"/>
  <c r="E63" i="169"/>
  <c r="D63" i="169"/>
  <c r="C63" i="169"/>
  <c r="B63" i="169"/>
  <c r="P62" i="169"/>
  <c r="O62" i="169"/>
  <c r="N62" i="169"/>
  <c r="M62" i="169"/>
  <c r="L62" i="169"/>
  <c r="K62" i="169"/>
  <c r="J62" i="169"/>
  <c r="I62" i="169"/>
  <c r="H62" i="169"/>
  <c r="G62" i="169"/>
  <c r="F62" i="169"/>
  <c r="E62" i="169"/>
  <c r="D62" i="169"/>
  <c r="C62" i="169"/>
  <c r="B62" i="169"/>
  <c r="P61" i="169"/>
  <c r="O61" i="169"/>
  <c r="N61" i="169"/>
  <c r="M61" i="169"/>
  <c r="L61" i="169"/>
  <c r="K61" i="169"/>
  <c r="J61" i="169"/>
  <c r="I61" i="169"/>
  <c r="H61" i="169"/>
  <c r="G61" i="169"/>
  <c r="F61" i="169"/>
  <c r="E61" i="169"/>
  <c r="D61" i="169"/>
  <c r="C61" i="169"/>
  <c r="B61" i="169"/>
  <c r="P60" i="169"/>
  <c r="O60" i="169"/>
  <c r="N60" i="169"/>
  <c r="M60" i="169"/>
  <c r="L60" i="169"/>
  <c r="K60" i="169"/>
  <c r="J60" i="169"/>
  <c r="I60" i="169"/>
  <c r="H60" i="169"/>
  <c r="G60" i="169"/>
  <c r="F60" i="169"/>
  <c r="E60" i="169"/>
  <c r="D60" i="169"/>
  <c r="C60" i="169"/>
  <c r="B60" i="169"/>
  <c r="P59" i="169"/>
  <c r="O59" i="169"/>
  <c r="N59" i="169"/>
  <c r="M59" i="169"/>
  <c r="L59" i="169"/>
  <c r="K59" i="169"/>
  <c r="J59" i="169"/>
  <c r="I59" i="169"/>
  <c r="H59" i="169"/>
  <c r="G59" i="169"/>
  <c r="F59" i="169"/>
  <c r="E59" i="169"/>
  <c r="D59" i="169"/>
  <c r="C59" i="169"/>
  <c r="B59" i="169"/>
  <c r="P58" i="169"/>
  <c r="O58" i="169"/>
  <c r="N58" i="169"/>
  <c r="M58" i="169"/>
  <c r="L58" i="169"/>
  <c r="K58" i="169"/>
  <c r="J58" i="169"/>
  <c r="I58" i="169"/>
  <c r="H58" i="169"/>
  <c r="G58" i="169"/>
  <c r="F58" i="169"/>
  <c r="E58" i="169"/>
  <c r="D58" i="169"/>
  <c r="C58" i="169"/>
  <c r="B58" i="169"/>
  <c r="P57" i="169"/>
  <c r="O57" i="169"/>
  <c r="N57" i="169"/>
  <c r="M57" i="169"/>
  <c r="L57" i="169"/>
  <c r="K57" i="169"/>
  <c r="J57" i="169"/>
  <c r="I57" i="169"/>
  <c r="H57" i="169"/>
  <c r="G57" i="169"/>
  <c r="F57" i="169"/>
  <c r="E57" i="169"/>
  <c r="D57" i="169"/>
  <c r="C57" i="169"/>
  <c r="B57" i="169"/>
  <c r="P56" i="169"/>
  <c r="O56" i="169"/>
  <c r="N56" i="169"/>
  <c r="M56" i="169"/>
  <c r="L56" i="169"/>
  <c r="K56" i="169"/>
  <c r="J56" i="169"/>
  <c r="I56" i="169"/>
  <c r="H56" i="169"/>
  <c r="G56" i="169"/>
  <c r="F56" i="169"/>
  <c r="E56" i="169"/>
  <c r="D56" i="169"/>
  <c r="C56" i="169"/>
  <c r="B56" i="169"/>
  <c r="B54" i="169"/>
  <c r="P52" i="169"/>
  <c r="O52" i="169"/>
  <c r="N52" i="169"/>
  <c r="M52" i="169"/>
  <c r="L52" i="169"/>
  <c r="K52" i="169"/>
  <c r="J52" i="169"/>
  <c r="I52" i="169"/>
  <c r="H52" i="169"/>
  <c r="G52" i="169"/>
  <c r="F52" i="169"/>
  <c r="E52" i="169"/>
  <c r="D52" i="169"/>
  <c r="C52" i="169"/>
  <c r="B52" i="169"/>
  <c r="P51" i="169"/>
  <c r="O51" i="169"/>
  <c r="N51" i="169"/>
  <c r="M51" i="169"/>
  <c r="L51" i="169"/>
  <c r="K51" i="169"/>
  <c r="J51" i="169"/>
  <c r="I51" i="169"/>
  <c r="H51" i="169"/>
  <c r="G51" i="169"/>
  <c r="F51" i="169"/>
  <c r="E51" i="169"/>
  <c r="D51" i="169"/>
  <c r="C51" i="169"/>
  <c r="B51" i="169"/>
  <c r="P50" i="169"/>
  <c r="O50" i="169"/>
  <c r="N50" i="169"/>
  <c r="M50" i="169"/>
  <c r="L50" i="169"/>
  <c r="K50" i="169"/>
  <c r="J50" i="169"/>
  <c r="I50" i="169"/>
  <c r="H50" i="169"/>
  <c r="G50" i="169"/>
  <c r="F50" i="169"/>
  <c r="E50" i="169"/>
  <c r="D50" i="169"/>
  <c r="C50" i="169"/>
  <c r="B50" i="169"/>
  <c r="P49" i="169"/>
  <c r="O49" i="169"/>
  <c r="N49" i="169"/>
  <c r="M49" i="169"/>
  <c r="L49" i="169"/>
  <c r="K49" i="169"/>
  <c r="J49" i="169"/>
  <c r="I49" i="169"/>
  <c r="H49" i="169"/>
  <c r="G49" i="169"/>
  <c r="F49" i="169"/>
  <c r="E49" i="169"/>
  <c r="D49" i="169"/>
  <c r="C49" i="169"/>
  <c r="B49" i="169"/>
  <c r="P48" i="169"/>
  <c r="O48" i="169"/>
  <c r="N48" i="169"/>
  <c r="M48" i="169"/>
  <c r="L48" i="169"/>
  <c r="K48" i="169"/>
  <c r="J48" i="169"/>
  <c r="I48" i="169"/>
  <c r="H48" i="169"/>
  <c r="G48" i="169"/>
  <c r="F48" i="169"/>
  <c r="E48" i="169"/>
  <c r="D48" i="169"/>
  <c r="C48" i="169"/>
  <c r="B48" i="169"/>
  <c r="P47" i="169"/>
  <c r="O47" i="169"/>
  <c r="N47" i="169"/>
  <c r="M47" i="169"/>
  <c r="L47" i="169"/>
  <c r="K47" i="169"/>
  <c r="J47" i="169"/>
  <c r="I47" i="169"/>
  <c r="H47" i="169"/>
  <c r="G47" i="169"/>
  <c r="F47" i="169"/>
  <c r="E47" i="169"/>
  <c r="D47" i="169"/>
  <c r="C47" i="169"/>
  <c r="B47" i="169"/>
  <c r="P46" i="169"/>
  <c r="O46" i="169"/>
  <c r="N46" i="169"/>
  <c r="M46" i="169"/>
  <c r="L46" i="169"/>
  <c r="K46" i="169"/>
  <c r="J46" i="169"/>
  <c r="I46" i="169"/>
  <c r="H46" i="169"/>
  <c r="G46" i="169"/>
  <c r="F46" i="169"/>
  <c r="E46" i="169"/>
  <c r="D46" i="169"/>
  <c r="C46" i="169"/>
  <c r="B46" i="169"/>
  <c r="P45" i="169"/>
  <c r="O45" i="169"/>
  <c r="N45" i="169"/>
  <c r="M45" i="169"/>
  <c r="L45" i="169"/>
  <c r="K45" i="169"/>
  <c r="J45" i="169"/>
  <c r="I45" i="169"/>
  <c r="H45" i="169"/>
  <c r="G45" i="169"/>
  <c r="F45" i="169"/>
  <c r="E45" i="169"/>
  <c r="D45" i="169"/>
  <c r="C45" i="169"/>
  <c r="B45" i="169"/>
  <c r="P44" i="169"/>
  <c r="O44" i="169"/>
  <c r="N44" i="169"/>
  <c r="M44" i="169"/>
  <c r="L44" i="169"/>
  <c r="K44" i="169"/>
  <c r="J44" i="169"/>
  <c r="I44" i="169"/>
  <c r="H44" i="169"/>
  <c r="G44" i="169"/>
  <c r="F44" i="169"/>
  <c r="E44" i="169"/>
  <c r="D44" i="169"/>
  <c r="C44" i="169"/>
  <c r="B44" i="169"/>
  <c r="P43" i="169"/>
  <c r="O43" i="169"/>
  <c r="N43" i="169"/>
  <c r="M43" i="169"/>
  <c r="L43" i="169"/>
  <c r="K43" i="169"/>
  <c r="J43" i="169"/>
  <c r="I43" i="169"/>
  <c r="H43" i="169"/>
  <c r="G43" i="169"/>
  <c r="F43" i="169"/>
  <c r="E43" i="169"/>
  <c r="D43" i="169"/>
  <c r="C43" i="169"/>
  <c r="B43" i="169"/>
  <c r="P42" i="169"/>
  <c r="O42" i="169"/>
  <c r="N42" i="169"/>
  <c r="M42" i="169"/>
  <c r="L42" i="169"/>
  <c r="K42" i="169"/>
  <c r="J42" i="169"/>
  <c r="I42" i="169"/>
  <c r="H42" i="169"/>
  <c r="G42" i="169"/>
  <c r="F42" i="169"/>
  <c r="E42" i="169"/>
  <c r="D42" i="169"/>
  <c r="C42" i="169"/>
  <c r="B42" i="169"/>
  <c r="P41" i="169"/>
  <c r="O41" i="169"/>
  <c r="N41" i="169"/>
  <c r="M41" i="169"/>
  <c r="L41" i="169"/>
  <c r="K41" i="169"/>
  <c r="J41" i="169"/>
  <c r="I41" i="169"/>
  <c r="H41" i="169"/>
  <c r="G41" i="169"/>
  <c r="F41" i="169"/>
  <c r="E41" i="169"/>
  <c r="D41" i="169"/>
  <c r="C41" i="169"/>
  <c r="B41" i="169"/>
  <c r="F39" i="169"/>
  <c r="B39" i="169"/>
  <c r="H35" i="169"/>
  <c r="G35" i="169"/>
  <c r="F35" i="169"/>
  <c r="E35" i="169"/>
  <c r="D35" i="169"/>
  <c r="C35" i="169"/>
  <c r="B35" i="169"/>
  <c r="H34" i="169"/>
  <c r="G34" i="169"/>
  <c r="F34" i="169"/>
  <c r="E34" i="169"/>
  <c r="D34" i="169"/>
  <c r="C34" i="169"/>
  <c r="B34" i="169"/>
  <c r="H33" i="169"/>
  <c r="G33" i="169"/>
  <c r="F33" i="169"/>
  <c r="E33" i="169"/>
  <c r="D33" i="169"/>
  <c r="C33" i="169"/>
  <c r="B33" i="169"/>
  <c r="H32" i="169"/>
  <c r="G32" i="169"/>
  <c r="F32" i="169"/>
  <c r="E32" i="169"/>
  <c r="D32" i="169"/>
  <c r="C32" i="169"/>
  <c r="B32" i="169"/>
  <c r="H31" i="169"/>
  <c r="G31" i="169"/>
  <c r="F31" i="169"/>
  <c r="E31" i="169"/>
  <c r="D31" i="169"/>
  <c r="C31" i="169"/>
  <c r="B31" i="169"/>
  <c r="H30" i="169"/>
  <c r="G30" i="169"/>
  <c r="F30" i="169"/>
  <c r="E30" i="169"/>
  <c r="D30" i="169"/>
  <c r="C30" i="169"/>
  <c r="B30" i="169"/>
  <c r="H29" i="169"/>
  <c r="G29" i="169"/>
  <c r="F29" i="169"/>
  <c r="E29" i="169"/>
  <c r="D29" i="169"/>
  <c r="C29" i="169"/>
  <c r="B29" i="169"/>
  <c r="H28" i="169"/>
  <c r="G28" i="169"/>
  <c r="F28" i="169"/>
  <c r="E28" i="169"/>
  <c r="D28" i="169"/>
  <c r="C28" i="169"/>
  <c r="B28" i="169"/>
  <c r="H27" i="169"/>
  <c r="G27" i="169"/>
  <c r="F27" i="169"/>
  <c r="E27" i="169"/>
  <c r="D27" i="169"/>
  <c r="C27" i="169"/>
  <c r="B27" i="169"/>
  <c r="H26" i="169"/>
  <c r="G26" i="169"/>
  <c r="F26" i="169"/>
  <c r="E26" i="169"/>
  <c r="D26" i="169"/>
  <c r="C26" i="169"/>
  <c r="B26" i="169"/>
  <c r="H25" i="169"/>
  <c r="G25" i="169"/>
  <c r="F25" i="169"/>
  <c r="E25" i="169"/>
  <c r="D25" i="169"/>
  <c r="C25" i="169"/>
  <c r="B25" i="169"/>
  <c r="H24" i="169"/>
  <c r="G24" i="169"/>
  <c r="F24" i="169"/>
  <c r="E24" i="169"/>
  <c r="D24" i="169"/>
  <c r="C24" i="169"/>
  <c r="B24" i="169"/>
  <c r="F23" i="169"/>
  <c r="C23" i="169"/>
  <c r="C22" i="169"/>
  <c r="B18" i="169"/>
  <c r="A10" i="169"/>
  <c r="A1" i="169"/>
  <c r="P99" i="167"/>
  <c r="O99" i="167"/>
  <c r="N99" i="167"/>
  <c r="M99" i="167"/>
  <c r="L99" i="167"/>
  <c r="K99" i="167"/>
  <c r="J99" i="167"/>
  <c r="I99" i="167"/>
  <c r="H99" i="167"/>
  <c r="G99" i="167"/>
  <c r="F99" i="167"/>
  <c r="E99" i="167"/>
  <c r="D99" i="167"/>
  <c r="C99" i="167"/>
  <c r="B99" i="167"/>
  <c r="P98" i="167"/>
  <c r="O98" i="167"/>
  <c r="N98" i="167"/>
  <c r="M98" i="167"/>
  <c r="L98" i="167"/>
  <c r="K98" i="167"/>
  <c r="J98" i="167"/>
  <c r="I98" i="167"/>
  <c r="H98" i="167"/>
  <c r="G98" i="167"/>
  <c r="F98" i="167"/>
  <c r="E98" i="167"/>
  <c r="D98" i="167"/>
  <c r="C98" i="167"/>
  <c r="B98" i="167"/>
  <c r="P97" i="167"/>
  <c r="O97" i="167"/>
  <c r="N97" i="167"/>
  <c r="M97" i="167"/>
  <c r="L97" i="167"/>
  <c r="K97" i="167"/>
  <c r="J97" i="167"/>
  <c r="I97" i="167"/>
  <c r="H97" i="167"/>
  <c r="G97" i="167"/>
  <c r="F97" i="167"/>
  <c r="E97" i="167"/>
  <c r="D97" i="167"/>
  <c r="C97" i="167"/>
  <c r="B97" i="167"/>
  <c r="P96" i="167"/>
  <c r="O96" i="167"/>
  <c r="N96" i="167"/>
  <c r="M96" i="167"/>
  <c r="L96" i="167"/>
  <c r="K96" i="167"/>
  <c r="J96" i="167"/>
  <c r="I96" i="167"/>
  <c r="H96" i="167"/>
  <c r="G96" i="167"/>
  <c r="F96" i="167"/>
  <c r="E96" i="167"/>
  <c r="D96" i="167"/>
  <c r="C96" i="167"/>
  <c r="B96" i="167"/>
  <c r="P95" i="167"/>
  <c r="O95" i="167"/>
  <c r="N95" i="167"/>
  <c r="M95" i="167"/>
  <c r="L95" i="167"/>
  <c r="K95" i="167"/>
  <c r="J95" i="167"/>
  <c r="I95" i="167"/>
  <c r="H95" i="167"/>
  <c r="G95" i="167"/>
  <c r="F95" i="167"/>
  <c r="E95" i="167"/>
  <c r="D95" i="167"/>
  <c r="C95" i="167"/>
  <c r="B95" i="167"/>
  <c r="P94" i="167"/>
  <c r="O94" i="167"/>
  <c r="N94" i="167"/>
  <c r="M94" i="167"/>
  <c r="L94" i="167"/>
  <c r="K94" i="167"/>
  <c r="J94" i="167"/>
  <c r="I94" i="167"/>
  <c r="H94" i="167"/>
  <c r="G94" i="167"/>
  <c r="F94" i="167"/>
  <c r="E94" i="167"/>
  <c r="D94" i="167"/>
  <c r="C94" i="167"/>
  <c r="B94" i="167"/>
  <c r="P93" i="167"/>
  <c r="O93" i="167"/>
  <c r="N93" i="167"/>
  <c r="M93" i="167"/>
  <c r="L93" i="167"/>
  <c r="K93" i="167"/>
  <c r="J93" i="167"/>
  <c r="I93" i="167"/>
  <c r="H93" i="167"/>
  <c r="G93" i="167"/>
  <c r="F93" i="167"/>
  <c r="E93" i="167"/>
  <c r="D93" i="167"/>
  <c r="C93" i="167"/>
  <c r="B93" i="167"/>
  <c r="P92" i="167"/>
  <c r="O92" i="167"/>
  <c r="N92" i="167"/>
  <c r="M92" i="167"/>
  <c r="L92" i="167"/>
  <c r="K92" i="167"/>
  <c r="J92" i="167"/>
  <c r="I92" i="167"/>
  <c r="H92" i="167"/>
  <c r="G92" i="167"/>
  <c r="F92" i="167"/>
  <c r="E92" i="167"/>
  <c r="D92" i="167"/>
  <c r="C92" i="167"/>
  <c r="B92" i="167"/>
  <c r="P91" i="167"/>
  <c r="O91" i="167"/>
  <c r="N91" i="167"/>
  <c r="M91" i="167"/>
  <c r="L91" i="167"/>
  <c r="K91" i="167"/>
  <c r="J91" i="167"/>
  <c r="I91" i="167"/>
  <c r="H91" i="167"/>
  <c r="G91" i="167"/>
  <c r="F91" i="167"/>
  <c r="E91" i="167"/>
  <c r="D91" i="167"/>
  <c r="C91" i="167"/>
  <c r="B91" i="167"/>
  <c r="P90" i="167"/>
  <c r="O90" i="167"/>
  <c r="N90" i="167"/>
  <c r="M90" i="167"/>
  <c r="L90" i="167"/>
  <c r="K90" i="167"/>
  <c r="J90" i="167"/>
  <c r="I90" i="167"/>
  <c r="H90" i="167"/>
  <c r="G90" i="167"/>
  <c r="F90" i="167"/>
  <c r="E90" i="167"/>
  <c r="D90" i="167"/>
  <c r="C90" i="167"/>
  <c r="B90" i="167"/>
  <c r="P89" i="167"/>
  <c r="O89" i="167"/>
  <c r="N89" i="167"/>
  <c r="M89" i="167"/>
  <c r="L89" i="167"/>
  <c r="K89" i="167"/>
  <c r="J89" i="167"/>
  <c r="I89" i="167"/>
  <c r="H89" i="167"/>
  <c r="G89" i="167"/>
  <c r="F89" i="167"/>
  <c r="E89" i="167"/>
  <c r="D89" i="167"/>
  <c r="C89" i="167"/>
  <c r="B89" i="167"/>
  <c r="P88" i="167"/>
  <c r="O88" i="167"/>
  <c r="N88" i="167"/>
  <c r="M88" i="167"/>
  <c r="L88" i="167"/>
  <c r="K88" i="167"/>
  <c r="J88" i="167"/>
  <c r="I88" i="167"/>
  <c r="H88" i="167"/>
  <c r="G88" i="167"/>
  <c r="F88" i="167"/>
  <c r="E88" i="167"/>
  <c r="D88" i="167"/>
  <c r="C88" i="167"/>
  <c r="B88" i="167"/>
  <c r="P84" i="167"/>
  <c r="O84" i="167"/>
  <c r="N84" i="167"/>
  <c r="M84" i="167"/>
  <c r="L84" i="167"/>
  <c r="K84" i="167"/>
  <c r="J84" i="167"/>
  <c r="I84" i="167"/>
  <c r="H84" i="167"/>
  <c r="G84" i="167"/>
  <c r="F84" i="167"/>
  <c r="E84" i="167"/>
  <c r="D84" i="167"/>
  <c r="C84" i="167"/>
  <c r="B84" i="167"/>
  <c r="P83" i="167"/>
  <c r="O83" i="167"/>
  <c r="N83" i="167"/>
  <c r="M83" i="167"/>
  <c r="L83" i="167"/>
  <c r="K83" i="167"/>
  <c r="J83" i="167"/>
  <c r="I83" i="167"/>
  <c r="H83" i="167"/>
  <c r="G83" i="167"/>
  <c r="F83" i="167"/>
  <c r="E83" i="167"/>
  <c r="D83" i="167"/>
  <c r="C83" i="167"/>
  <c r="B83" i="167"/>
  <c r="P82" i="167"/>
  <c r="O82" i="167"/>
  <c r="N82" i="167"/>
  <c r="M82" i="167"/>
  <c r="L82" i="167"/>
  <c r="K82" i="167"/>
  <c r="J82" i="167"/>
  <c r="I82" i="167"/>
  <c r="H82" i="167"/>
  <c r="G82" i="167"/>
  <c r="F82" i="167"/>
  <c r="E82" i="167"/>
  <c r="D82" i="167"/>
  <c r="C82" i="167"/>
  <c r="B82" i="167"/>
  <c r="P81" i="167"/>
  <c r="O81" i="167"/>
  <c r="N81" i="167"/>
  <c r="M81" i="167"/>
  <c r="L81" i="167"/>
  <c r="K81" i="167"/>
  <c r="J81" i="167"/>
  <c r="I81" i="167"/>
  <c r="H81" i="167"/>
  <c r="G81" i="167"/>
  <c r="F81" i="167"/>
  <c r="E81" i="167"/>
  <c r="D81" i="167"/>
  <c r="C81" i="167"/>
  <c r="B81" i="167"/>
  <c r="P80" i="167"/>
  <c r="O80" i="167"/>
  <c r="N80" i="167"/>
  <c r="M80" i="167"/>
  <c r="L80" i="167"/>
  <c r="K80" i="167"/>
  <c r="J80" i="167"/>
  <c r="I80" i="167"/>
  <c r="H80" i="167"/>
  <c r="G80" i="167"/>
  <c r="F80" i="167"/>
  <c r="E80" i="167"/>
  <c r="D80" i="167"/>
  <c r="C80" i="167"/>
  <c r="B80" i="167"/>
  <c r="P79" i="167"/>
  <c r="O79" i="167"/>
  <c r="N79" i="167"/>
  <c r="M79" i="167"/>
  <c r="L79" i="167"/>
  <c r="K79" i="167"/>
  <c r="J79" i="167"/>
  <c r="I79" i="167"/>
  <c r="H79" i="167"/>
  <c r="G79" i="167"/>
  <c r="F79" i="167"/>
  <c r="E79" i="167"/>
  <c r="D79" i="167"/>
  <c r="C79" i="167"/>
  <c r="B79" i="167"/>
  <c r="P78" i="167"/>
  <c r="O78" i="167"/>
  <c r="N78" i="167"/>
  <c r="M78" i="167"/>
  <c r="L78" i="167"/>
  <c r="K78" i="167"/>
  <c r="J78" i="167"/>
  <c r="I78" i="167"/>
  <c r="H78" i="167"/>
  <c r="G78" i="167"/>
  <c r="F78" i="167"/>
  <c r="E78" i="167"/>
  <c r="D78" i="167"/>
  <c r="C78" i="167"/>
  <c r="B78" i="167"/>
  <c r="P77" i="167"/>
  <c r="O77" i="167"/>
  <c r="N77" i="167"/>
  <c r="M77" i="167"/>
  <c r="L77" i="167"/>
  <c r="K77" i="167"/>
  <c r="J77" i="167"/>
  <c r="I77" i="167"/>
  <c r="H77" i="167"/>
  <c r="G77" i="167"/>
  <c r="F77" i="167"/>
  <c r="E77" i="167"/>
  <c r="D77" i="167"/>
  <c r="C77" i="167"/>
  <c r="B77" i="167"/>
  <c r="P76" i="167"/>
  <c r="O76" i="167"/>
  <c r="N76" i="167"/>
  <c r="M76" i="167"/>
  <c r="L76" i="167"/>
  <c r="K76" i="167"/>
  <c r="J76" i="167"/>
  <c r="I76" i="167"/>
  <c r="H76" i="167"/>
  <c r="G76" i="167"/>
  <c r="F76" i="167"/>
  <c r="E76" i="167"/>
  <c r="D76" i="167"/>
  <c r="C76" i="167"/>
  <c r="B76" i="167"/>
  <c r="P75" i="167"/>
  <c r="O75" i="167"/>
  <c r="N75" i="167"/>
  <c r="M75" i="167"/>
  <c r="L75" i="167"/>
  <c r="K75" i="167"/>
  <c r="J75" i="167"/>
  <c r="I75" i="167"/>
  <c r="H75" i="167"/>
  <c r="G75" i="167"/>
  <c r="F75" i="167"/>
  <c r="E75" i="167"/>
  <c r="D75" i="167"/>
  <c r="C75" i="167"/>
  <c r="B75" i="167"/>
  <c r="P74" i="167"/>
  <c r="O74" i="167"/>
  <c r="N74" i="167"/>
  <c r="M74" i="167"/>
  <c r="L74" i="167"/>
  <c r="K74" i="167"/>
  <c r="J74" i="167"/>
  <c r="I74" i="167"/>
  <c r="H74" i="167"/>
  <c r="G74" i="167"/>
  <c r="F74" i="167"/>
  <c r="E74" i="167"/>
  <c r="D74" i="167"/>
  <c r="C74" i="167"/>
  <c r="B74" i="167"/>
  <c r="P73" i="167"/>
  <c r="O73" i="167"/>
  <c r="N73" i="167"/>
  <c r="M73" i="167"/>
  <c r="L73" i="167"/>
  <c r="K73" i="167"/>
  <c r="J73" i="167"/>
  <c r="I73" i="167"/>
  <c r="H73" i="167"/>
  <c r="G73" i="167"/>
  <c r="F73" i="167"/>
  <c r="E73" i="167"/>
  <c r="D73" i="167"/>
  <c r="C73" i="167"/>
  <c r="B73" i="167"/>
  <c r="F71" i="167"/>
  <c r="P67" i="167"/>
  <c r="O67" i="167"/>
  <c r="N67" i="167"/>
  <c r="M67" i="167"/>
  <c r="L67" i="167"/>
  <c r="K67" i="167"/>
  <c r="J67" i="167"/>
  <c r="I67" i="167"/>
  <c r="H67" i="167"/>
  <c r="G67" i="167"/>
  <c r="F67" i="167"/>
  <c r="E67" i="167"/>
  <c r="D67" i="167"/>
  <c r="C67" i="167"/>
  <c r="B67" i="167"/>
  <c r="P66" i="167"/>
  <c r="O66" i="167"/>
  <c r="N66" i="167"/>
  <c r="M66" i="167"/>
  <c r="L66" i="167"/>
  <c r="K66" i="167"/>
  <c r="J66" i="167"/>
  <c r="I66" i="167"/>
  <c r="H66" i="167"/>
  <c r="G66" i="167"/>
  <c r="F66" i="167"/>
  <c r="E66" i="167"/>
  <c r="D66" i="167"/>
  <c r="C66" i="167"/>
  <c r="B66" i="167"/>
  <c r="P65" i="167"/>
  <c r="O65" i="167"/>
  <c r="N65" i="167"/>
  <c r="M65" i="167"/>
  <c r="L65" i="167"/>
  <c r="K65" i="167"/>
  <c r="J65" i="167"/>
  <c r="I65" i="167"/>
  <c r="H65" i="167"/>
  <c r="G65" i="167"/>
  <c r="F65" i="167"/>
  <c r="E65" i="167"/>
  <c r="D65" i="167"/>
  <c r="C65" i="167"/>
  <c r="B65" i="167"/>
  <c r="P64" i="167"/>
  <c r="O64" i="167"/>
  <c r="N64" i="167"/>
  <c r="M64" i="167"/>
  <c r="L64" i="167"/>
  <c r="K64" i="167"/>
  <c r="J64" i="167"/>
  <c r="I64" i="167"/>
  <c r="H64" i="167"/>
  <c r="G64" i="167"/>
  <c r="F64" i="167"/>
  <c r="E64" i="167"/>
  <c r="D64" i="167"/>
  <c r="C64" i="167"/>
  <c r="B64" i="167"/>
  <c r="P63" i="167"/>
  <c r="O63" i="167"/>
  <c r="N63" i="167"/>
  <c r="M63" i="167"/>
  <c r="L63" i="167"/>
  <c r="K63" i="167"/>
  <c r="J63" i="167"/>
  <c r="I63" i="167"/>
  <c r="H63" i="167"/>
  <c r="G63" i="167"/>
  <c r="F63" i="167"/>
  <c r="E63" i="167"/>
  <c r="D63" i="167"/>
  <c r="C63" i="167"/>
  <c r="B63" i="167"/>
  <c r="P62" i="167"/>
  <c r="O62" i="167"/>
  <c r="N62" i="167"/>
  <c r="M62" i="167"/>
  <c r="L62" i="167"/>
  <c r="K62" i="167"/>
  <c r="J62" i="167"/>
  <c r="I62" i="167"/>
  <c r="H62" i="167"/>
  <c r="G62" i="167"/>
  <c r="F62" i="167"/>
  <c r="E62" i="167"/>
  <c r="D62" i="167"/>
  <c r="C62" i="167"/>
  <c r="B62" i="167"/>
  <c r="P61" i="167"/>
  <c r="O61" i="167"/>
  <c r="N61" i="167"/>
  <c r="M61" i="167"/>
  <c r="L61" i="167"/>
  <c r="K61" i="167"/>
  <c r="J61" i="167"/>
  <c r="I61" i="167"/>
  <c r="H61" i="167"/>
  <c r="G61" i="167"/>
  <c r="F61" i="167"/>
  <c r="E61" i="167"/>
  <c r="D61" i="167"/>
  <c r="C61" i="167"/>
  <c r="B61" i="167"/>
  <c r="P60" i="167"/>
  <c r="O60" i="167"/>
  <c r="N60" i="167"/>
  <c r="M60" i="167"/>
  <c r="L60" i="167"/>
  <c r="K60" i="167"/>
  <c r="J60" i="167"/>
  <c r="I60" i="167"/>
  <c r="H60" i="167"/>
  <c r="G60" i="167"/>
  <c r="F60" i="167"/>
  <c r="E60" i="167"/>
  <c r="D60" i="167"/>
  <c r="C60" i="167"/>
  <c r="B60" i="167"/>
  <c r="P59" i="167"/>
  <c r="O59" i="167"/>
  <c r="N59" i="167"/>
  <c r="M59" i="167"/>
  <c r="L59" i="167"/>
  <c r="K59" i="167"/>
  <c r="J59" i="167"/>
  <c r="I59" i="167"/>
  <c r="H59" i="167"/>
  <c r="G59" i="167"/>
  <c r="F59" i="167"/>
  <c r="E59" i="167"/>
  <c r="D59" i="167"/>
  <c r="C59" i="167"/>
  <c r="B59" i="167"/>
  <c r="P58" i="167"/>
  <c r="O58" i="167"/>
  <c r="N58" i="167"/>
  <c r="M58" i="167"/>
  <c r="L58" i="167"/>
  <c r="K58" i="167"/>
  <c r="J58" i="167"/>
  <c r="I58" i="167"/>
  <c r="H58" i="167"/>
  <c r="G58" i="167"/>
  <c r="F58" i="167"/>
  <c r="E58" i="167"/>
  <c r="D58" i="167"/>
  <c r="C58" i="167"/>
  <c r="B58" i="167"/>
  <c r="P57" i="167"/>
  <c r="O57" i="167"/>
  <c r="N57" i="167"/>
  <c r="M57" i="167"/>
  <c r="L57" i="167"/>
  <c r="K57" i="167"/>
  <c r="J57" i="167"/>
  <c r="I57" i="167"/>
  <c r="H57" i="167"/>
  <c r="G57" i="167"/>
  <c r="F57" i="167"/>
  <c r="E57" i="167"/>
  <c r="D57" i="167"/>
  <c r="C57" i="167"/>
  <c r="B57" i="167"/>
  <c r="P56" i="167"/>
  <c r="O56" i="167"/>
  <c r="N56" i="167"/>
  <c r="M56" i="167"/>
  <c r="L56" i="167"/>
  <c r="K56" i="167"/>
  <c r="J56" i="167"/>
  <c r="I56" i="167"/>
  <c r="H56" i="167"/>
  <c r="G56" i="167"/>
  <c r="F56" i="167"/>
  <c r="E56" i="167"/>
  <c r="D56" i="167"/>
  <c r="C56" i="167"/>
  <c r="B56" i="167"/>
  <c r="B54" i="167"/>
  <c r="P52" i="167"/>
  <c r="O52" i="167"/>
  <c r="N52" i="167"/>
  <c r="M52" i="167"/>
  <c r="L52" i="167"/>
  <c r="K52" i="167"/>
  <c r="J52" i="167"/>
  <c r="I52" i="167"/>
  <c r="H52" i="167"/>
  <c r="G52" i="167"/>
  <c r="F52" i="167"/>
  <c r="E52" i="167"/>
  <c r="D52" i="167"/>
  <c r="C52" i="167"/>
  <c r="B52" i="167"/>
  <c r="P51" i="167"/>
  <c r="O51" i="167"/>
  <c r="N51" i="167"/>
  <c r="M51" i="167"/>
  <c r="L51" i="167"/>
  <c r="K51" i="167"/>
  <c r="J51" i="167"/>
  <c r="I51" i="167"/>
  <c r="H51" i="167"/>
  <c r="G51" i="167"/>
  <c r="F51" i="167"/>
  <c r="E51" i="167"/>
  <c r="D51" i="167"/>
  <c r="C51" i="167"/>
  <c r="B51" i="167"/>
  <c r="P50" i="167"/>
  <c r="O50" i="167"/>
  <c r="N50" i="167"/>
  <c r="M50" i="167"/>
  <c r="L50" i="167"/>
  <c r="K50" i="167"/>
  <c r="J50" i="167"/>
  <c r="I50" i="167"/>
  <c r="H50" i="167"/>
  <c r="G50" i="167"/>
  <c r="F50" i="167"/>
  <c r="E50" i="167"/>
  <c r="D50" i="167"/>
  <c r="C50" i="167"/>
  <c r="B50" i="167"/>
  <c r="P49" i="167"/>
  <c r="O49" i="167"/>
  <c r="N49" i="167"/>
  <c r="M49" i="167"/>
  <c r="L49" i="167"/>
  <c r="K49" i="167"/>
  <c r="J49" i="167"/>
  <c r="I49" i="167"/>
  <c r="H49" i="167"/>
  <c r="G49" i="167"/>
  <c r="F49" i="167"/>
  <c r="E49" i="167"/>
  <c r="D49" i="167"/>
  <c r="C49" i="167"/>
  <c r="B49" i="167"/>
  <c r="P48" i="167"/>
  <c r="O48" i="167"/>
  <c r="N48" i="167"/>
  <c r="M48" i="167"/>
  <c r="L48" i="167"/>
  <c r="K48" i="167"/>
  <c r="J48" i="167"/>
  <c r="I48" i="167"/>
  <c r="H48" i="167"/>
  <c r="G48" i="167"/>
  <c r="F48" i="167"/>
  <c r="E48" i="167"/>
  <c r="D48" i="167"/>
  <c r="C48" i="167"/>
  <c r="B48" i="167"/>
  <c r="P47" i="167"/>
  <c r="O47" i="167"/>
  <c r="N47" i="167"/>
  <c r="M47" i="167"/>
  <c r="L47" i="167"/>
  <c r="K47" i="167"/>
  <c r="J47" i="167"/>
  <c r="I47" i="167"/>
  <c r="H47" i="167"/>
  <c r="G47" i="167"/>
  <c r="F47" i="167"/>
  <c r="E47" i="167"/>
  <c r="D47" i="167"/>
  <c r="C47" i="167"/>
  <c r="B47" i="167"/>
  <c r="P46" i="167"/>
  <c r="O46" i="167"/>
  <c r="N46" i="167"/>
  <c r="M46" i="167"/>
  <c r="L46" i="167"/>
  <c r="K46" i="167"/>
  <c r="J46" i="167"/>
  <c r="I46" i="167"/>
  <c r="H46" i="167"/>
  <c r="G46" i="167"/>
  <c r="F46" i="167"/>
  <c r="E46" i="167"/>
  <c r="D46" i="167"/>
  <c r="C46" i="167"/>
  <c r="B46" i="167"/>
  <c r="P45" i="167"/>
  <c r="O45" i="167"/>
  <c r="N45" i="167"/>
  <c r="M45" i="167"/>
  <c r="L45" i="167"/>
  <c r="K45" i="167"/>
  <c r="J45" i="167"/>
  <c r="I45" i="167"/>
  <c r="H45" i="167"/>
  <c r="G45" i="167"/>
  <c r="F45" i="167"/>
  <c r="E45" i="167"/>
  <c r="D45" i="167"/>
  <c r="C45" i="167"/>
  <c r="B45" i="167"/>
  <c r="P44" i="167"/>
  <c r="O44" i="167"/>
  <c r="N44" i="167"/>
  <c r="M44" i="167"/>
  <c r="L44" i="167"/>
  <c r="K44" i="167"/>
  <c r="J44" i="167"/>
  <c r="I44" i="167"/>
  <c r="H44" i="167"/>
  <c r="G44" i="167"/>
  <c r="F44" i="167"/>
  <c r="E44" i="167"/>
  <c r="D44" i="167"/>
  <c r="C44" i="167"/>
  <c r="B44" i="167"/>
  <c r="P43" i="167"/>
  <c r="O43" i="167"/>
  <c r="N43" i="167"/>
  <c r="M43" i="167"/>
  <c r="L43" i="167"/>
  <c r="K43" i="167"/>
  <c r="J43" i="167"/>
  <c r="I43" i="167"/>
  <c r="H43" i="167"/>
  <c r="G43" i="167"/>
  <c r="F43" i="167"/>
  <c r="E43" i="167"/>
  <c r="D43" i="167"/>
  <c r="C43" i="167"/>
  <c r="B43" i="167"/>
  <c r="P42" i="167"/>
  <c r="O42" i="167"/>
  <c r="N42" i="167"/>
  <c r="M42" i="167"/>
  <c r="L42" i="167"/>
  <c r="K42" i="167"/>
  <c r="J42" i="167"/>
  <c r="I42" i="167"/>
  <c r="H42" i="167"/>
  <c r="G42" i="167"/>
  <c r="F42" i="167"/>
  <c r="E42" i="167"/>
  <c r="D42" i="167"/>
  <c r="C42" i="167"/>
  <c r="B42" i="167"/>
  <c r="P41" i="167"/>
  <c r="O41" i="167"/>
  <c r="N41" i="167"/>
  <c r="M41" i="167"/>
  <c r="L41" i="167"/>
  <c r="K41" i="167"/>
  <c r="J41" i="167"/>
  <c r="I41" i="167"/>
  <c r="H41" i="167"/>
  <c r="G41" i="167"/>
  <c r="F41" i="167"/>
  <c r="E41" i="167"/>
  <c r="D41" i="167"/>
  <c r="C41" i="167"/>
  <c r="B41" i="167"/>
  <c r="F39" i="167"/>
  <c r="B39" i="167"/>
  <c r="H35" i="167"/>
  <c r="G35" i="167"/>
  <c r="F35" i="167"/>
  <c r="E35" i="167"/>
  <c r="D35" i="167"/>
  <c r="C35" i="167"/>
  <c r="B35" i="167"/>
  <c r="H34" i="167"/>
  <c r="G34" i="167"/>
  <c r="F34" i="167"/>
  <c r="E34" i="167"/>
  <c r="D34" i="167"/>
  <c r="C34" i="167"/>
  <c r="B34" i="167"/>
  <c r="H33" i="167"/>
  <c r="G33" i="167"/>
  <c r="F33" i="167"/>
  <c r="E33" i="167"/>
  <c r="D33" i="167"/>
  <c r="C33" i="167"/>
  <c r="B33" i="167"/>
  <c r="H32" i="167"/>
  <c r="G32" i="167"/>
  <c r="F32" i="167"/>
  <c r="E32" i="167"/>
  <c r="D32" i="167"/>
  <c r="C32" i="167"/>
  <c r="B32" i="167"/>
  <c r="H31" i="167"/>
  <c r="G31" i="167"/>
  <c r="F31" i="167"/>
  <c r="E31" i="167"/>
  <c r="D31" i="167"/>
  <c r="C31" i="167"/>
  <c r="B31" i="167"/>
  <c r="H30" i="167"/>
  <c r="G30" i="167"/>
  <c r="F30" i="167"/>
  <c r="E30" i="167"/>
  <c r="D30" i="167"/>
  <c r="C30" i="167"/>
  <c r="B30" i="167"/>
  <c r="H29" i="167"/>
  <c r="G29" i="167"/>
  <c r="F29" i="167"/>
  <c r="E29" i="167"/>
  <c r="D29" i="167"/>
  <c r="C29" i="167"/>
  <c r="B29" i="167"/>
  <c r="H28" i="167"/>
  <c r="G28" i="167"/>
  <c r="F28" i="167"/>
  <c r="E28" i="167"/>
  <c r="D28" i="167"/>
  <c r="C28" i="167"/>
  <c r="B28" i="167"/>
  <c r="H27" i="167"/>
  <c r="G27" i="167"/>
  <c r="F27" i="167"/>
  <c r="E27" i="167"/>
  <c r="D27" i="167"/>
  <c r="C27" i="167"/>
  <c r="B27" i="167"/>
  <c r="H26" i="167"/>
  <c r="G26" i="167"/>
  <c r="F26" i="167"/>
  <c r="E26" i="167"/>
  <c r="D26" i="167"/>
  <c r="C26" i="167"/>
  <c r="B26" i="167"/>
  <c r="H25" i="167"/>
  <c r="G25" i="167"/>
  <c r="F25" i="167"/>
  <c r="E25" i="167"/>
  <c r="D25" i="167"/>
  <c r="C25" i="167"/>
  <c r="B25" i="167"/>
  <c r="H24" i="167"/>
  <c r="G24" i="167"/>
  <c r="F24" i="167"/>
  <c r="E24" i="167"/>
  <c r="D24" i="167"/>
  <c r="C24" i="167"/>
  <c r="B24" i="167"/>
  <c r="F23" i="167"/>
  <c r="C23" i="167"/>
  <c r="C22" i="167"/>
  <c r="B18" i="167"/>
  <c r="A10" i="167"/>
  <c r="A1" i="167"/>
  <c r="P110" i="166"/>
  <c r="O110" i="166"/>
  <c r="N110" i="166"/>
  <c r="M110" i="166"/>
  <c r="L110" i="166"/>
  <c r="K110" i="166"/>
  <c r="J110" i="166"/>
  <c r="I110" i="166"/>
  <c r="H110" i="166"/>
  <c r="G110" i="166"/>
  <c r="F110" i="166"/>
  <c r="E110" i="166"/>
  <c r="D110" i="166"/>
  <c r="C110" i="166"/>
  <c r="P109" i="166"/>
  <c r="O109" i="166"/>
  <c r="N109" i="166"/>
  <c r="M109" i="166"/>
  <c r="L109" i="166"/>
  <c r="K109" i="166"/>
  <c r="J109" i="166"/>
  <c r="I109" i="166"/>
  <c r="H109" i="166"/>
  <c r="G109" i="166"/>
  <c r="F109" i="166"/>
  <c r="E109" i="166"/>
  <c r="D109" i="166"/>
  <c r="C109" i="166"/>
  <c r="P108" i="166"/>
  <c r="O108" i="166"/>
  <c r="N108" i="166"/>
  <c r="M108" i="166"/>
  <c r="L108" i="166"/>
  <c r="K108" i="166"/>
  <c r="J108" i="166"/>
  <c r="I108" i="166"/>
  <c r="H108" i="166"/>
  <c r="G108" i="166"/>
  <c r="F108" i="166"/>
  <c r="E108" i="166"/>
  <c r="D108" i="166"/>
  <c r="C108" i="166"/>
  <c r="P107" i="166"/>
  <c r="O107" i="166"/>
  <c r="N107" i="166"/>
  <c r="M107" i="166"/>
  <c r="L107" i="166"/>
  <c r="K107" i="166"/>
  <c r="J107" i="166"/>
  <c r="I107" i="166"/>
  <c r="H107" i="166"/>
  <c r="G107" i="166"/>
  <c r="F107" i="166"/>
  <c r="E107" i="166"/>
  <c r="D107" i="166"/>
  <c r="C107" i="166"/>
  <c r="P106" i="166"/>
  <c r="O106" i="166"/>
  <c r="N106" i="166"/>
  <c r="M106" i="166"/>
  <c r="L106" i="166"/>
  <c r="K106" i="166"/>
  <c r="J106" i="166"/>
  <c r="I106" i="166"/>
  <c r="H106" i="166"/>
  <c r="G106" i="166"/>
  <c r="F106" i="166"/>
  <c r="E106" i="166"/>
  <c r="D106" i="166"/>
  <c r="C106" i="166"/>
  <c r="P105" i="166"/>
  <c r="O105" i="166"/>
  <c r="N105" i="166"/>
  <c r="M105" i="166"/>
  <c r="L105" i="166"/>
  <c r="K105" i="166"/>
  <c r="J105" i="166"/>
  <c r="I105" i="166"/>
  <c r="H105" i="166"/>
  <c r="G105" i="166"/>
  <c r="F105" i="166"/>
  <c r="E105" i="166"/>
  <c r="D105" i="166"/>
  <c r="C105" i="166"/>
  <c r="P104" i="166"/>
  <c r="O104" i="166"/>
  <c r="N104" i="166"/>
  <c r="M104" i="166"/>
  <c r="L104" i="166"/>
  <c r="K104" i="166"/>
  <c r="J104" i="166"/>
  <c r="I104" i="166"/>
  <c r="H104" i="166"/>
  <c r="G104" i="166"/>
  <c r="F104" i="166"/>
  <c r="E104" i="166"/>
  <c r="D104" i="166"/>
  <c r="C104" i="166"/>
  <c r="P99" i="166"/>
  <c r="O99" i="166"/>
  <c r="N99" i="166"/>
  <c r="M99" i="166"/>
  <c r="L99" i="166"/>
  <c r="K99" i="166"/>
  <c r="J99" i="166"/>
  <c r="I99" i="166"/>
  <c r="H99" i="166"/>
  <c r="G99" i="166"/>
  <c r="F99" i="166"/>
  <c r="E99" i="166"/>
  <c r="D99" i="166"/>
  <c r="C99" i="166"/>
  <c r="B99" i="166"/>
  <c r="P98" i="166"/>
  <c r="O98" i="166"/>
  <c r="N98" i="166"/>
  <c r="M98" i="166"/>
  <c r="L98" i="166"/>
  <c r="K98" i="166"/>
  <c r="J98" i="166"/>
  <c r="I98" i="166"/>
  <c r="H98" i="166"/>
  <c r="G98" i="166"/>
  <c r="F98" i="166"/>
  <c r="E98" i="166"/>
  <c r="D98" i="166"/>
  <c r="C98" i="166"/>
  <c r="B98" i="166"/>
  <c r="P97" i="166"/>
  <c r="O97" i="166"/>
  <c r="N97" i="166"/>
  <c r="M97" i="166"/>
  <c r="L97" i="166"/>
  <c r="K97" i="166"/>
  <c r="J97" i="166"/>
  <c r="I97" i="166"/>
  <c r="H97" i="166"/>
  <c r="G97" i="166"/>
  <c r="F97" i="166"/>
  <c r="E97" i="166"/>
  <c r="D97" i="166"/>
  <c r="C97" i="166"/>
  <c r="B97" i="166"/>
  <c r="P96" i="166"/>
  <c r="O96" i="166"/>
  <c r="N96" i="166"/>
  <c r="M96" i="166"/>
  <c r="L96" i="166"/>
  <c r="K96" i="166"/>
  <c r="J96" i="166"/>
  <c r="I96" i="166"/>
  <c r="H96" i="166"/>
  <c r="G96" i="166"/>
  <c r="F96" i="166"/>
  <c r="E96" i="166"/>
  <c r="D96" i="166"/>
  <c r="C96" i="166"/>
  <c r="B96" i="166"/>
  <c r="P95" i="166"/>
  <c r="O95" i="166"/>
  <c r="N95" i="166"/>
  <c r="M95" i="166"/>
  <c r="L95" i="166"/>
  <c r="K95" i="166"/>
  <c r="J95" i="166"/>
  <c r="I95" i="166"/>
  <c r="H95" i="166"/>
  <c r="G95" i="166"/>
  <c r="F95" i="166"/>
  <c r="E95" i="166"/>
  <c r="D95" i="166"/>
  <c r="C95" i="166"/>
  <c r="B95" i="166"/>
  <c r="P94" i="166"/>
  <c r="O94" i="166"/>
  <c r="N94" i="166"/>
  <c r="M94" i="166"/>
  <c r="L94" i="166"/>
  <c r="K94" i="166"/>
  <c r="J94" i="166"/>
  <c r="I94" i="166"/>
  <c r="H94" i="166"/>
  <c r="G94" i="166"/>
  <c r="F94" i="166"/>
  <c r="E94" i="166"/>
  <c r="D94" i="166"/>
  <c r="C94" i="166"/>
  <c r="B94" i="166"/>
  <c r="P93" i="166"/>
  <c r="O93" i="166"/>
  <c r="N93" i="166"/>
  <c r="M93" i="166"/>
  <c r="L93" i="166"/>
  <c r="K93" i="166"/>
  <c r="J93" i="166"/>
  <c r="I93" i="166"/>
  <c r="H93" i="166"/>
  <c r="G93" i="166"/>
  <c r="F93" i="166"/>
  <c r="E93" i="166"/>
  <c r="D93" i="166"/>
  <c r="C93" i="166"/>
  <c r="B93" i="166"/>
  <c r="P92" i="166"/>
  <c r="O92" i="166"/>
  <c r="N92" i="166"/>
  <c r="M92" i="166"/>
  <c r="L92" i="166"/>
  <c r="K92" i="166"/>
  <c r="J92" i="166"/>
  <c r="I92" i="166"/>
  <c r="H92" i="166"/>
  <c r="G92" i="166"/>
  <c r="F92" i="166"/>
  <c r="E92" i="166"/>
  <c r="D92" i="166"/>
  <c r="C92" i="166"/>
  <c r="B92" i="166"/>
  <c r="P91" i="166"/>
  <c r="O91" i="166"/>
  <c r="N91" i="166"/>
  <c r="M91" i="166"/>
  <c r="L91" i="166"/>
  <c r="K91" i="166"/>
  <c r="J91" i="166"/>
  <c r="I91" i="166"/>
  <c r="H91" i="166"/>
  <c r="G91" i="166"/>
  <c r="F91" i="166"/>
  <c r="E91" i="166"/>
  <c r="D91" i="166"/>
  <c r="C91" i="166"/>
  <c r="B91" i="166"/>
  <c r="P90" i="166"/>
  <c r="O90" i="166"/>
  <c r="N90" i="166"/>
  <c r="M90" i="166"/>
  <c r="L90" i="166"/>
  <c r="K90" i="166"/>
  <c r="J90" i="166"/>
  <c r="I90" i="166"/>
  <c r="H90" i="166"/>
  <c r="G90" i="166"/>
  <c r="F90" i="166"/>
  <c r="E90" i="166"/>
  <c r="D90" i="166"/>
  <c r="C90" i="166"/>
  <c r="B90" i="166"/>
  <c r="P89" i="166"/>
  <c r="O89" i="166"/>
  <c r="N89" i="166"/>
  <c r="M89" i="166"/>
  <c r="L89" i="166"/>
  <c r="K89" i="166"/>
  <c r="J89" i="166"/>
  <c r="I89" i="166"/>
  <c r="H89" i="166"/>
  <c r="G89" i="166"/>
  <c r="F89" i="166"/>
  <c r="E89" i="166"/>
  <c r="D89" i="166"/>
  <c r="C89" i="166"/>
  <c r="B89" i="166"/>
  <c r="P88" i="166"/>
  <c r="O88" i="166"/>
  <c r="N88" i="166"/>
  <c r="M88" i="166"/>
  <c r="L88" i="166"/>
  <c r="K88" i="166"/>
  <c r="J88" i="166"/>
  <c r="I88" i="166"/>
  <c r="H88" i="166"/>
  <c r="G88" i="166"/>
  <c r="F88" i="166"/>
  <c r="E88" i="166"/>
  <c r="D88" i="166"/>
  <c r="C88" i="166"/>
  <c r="B88" i="166"/>
  <c r="P84" i="166"/>
  <c r="O84" i="166"/>
  <c r="N84" i="166"/>
  <c r="M84" i="166"/>
  <c r="L84" i="166"/>
  <c r="K84" i="166"/>
  <c r="J84" i="166"/>
  <c r="I84" i="166"/>
  <c r="H84" i="166"/>
  <c r="G84" i="166"/>
  <c r="F84" i="166"/>
  <c r="E84" i="166"/>
  <c r="D84" i="166"/>
  <c r="C84" i="166"/>
  <c r="B84" i="166"/>
  <c r="P83" i="166"/>
  <c r="O83" i="166"/>
  <c r="N83" i="166"/>
  <c r="M83" i="166"/>
  <c r="L83" i="166"/>
  <c r="K83" i="166"/>
  <c r="J83" i="166"/>
  <c r="I83" i="166"/>
  <c r="H83" i="166"/>
  <c r="G83" i="166"/>
  <c r="F83" i="166"/>
  <c r="E83" i="166"/>
  <c r="D83" i="166"/>
  <c r="C83" i="166"/>
  <c r="B83" i="166"/>
  <c r="P82" i="166"/>
  <c r="O82" i="166"/>
  <c r="N82" i="166"/>
  <c r="M82" i="166"/>
  <c r="L82" i="166"/>
  <c r="K82" i="166"/>
  <c r="J82" i="166"/>
  <c r="I82" i="166"/>
  <c r="H82" i="166"/>
  <c r="G82" i="166"/>
  <c r="F82" i="166"/>
  <c r="E82" i="166"/>
  <c r="D82" i="166"/>
  <c r="C82" i="166"/>
  <c r="B82" i="166"/>
  <c r="P81" i="166"/>
  <c r="O81" i="166"/>
  <c r="N81" i="166"/>
  <c r="M81" i="166"/>
  <c r="L81" i="166"/>
  <c r="K81" i="166"/>
  <c r="J81" i="166"/>
  <c r="I81" i="166"/>
  <c r="H81" i="166"/>
  <c r="G81" i="166"/>
  <c r="F81" i="166"/>
  <c r="E81" i="166"/>
  <c r="D81" i="166"/>
  <c r="C81" i="166"/>
  <c r="B81" i="166"/>
  <c r="P80" i="166"/>
  <c r="O80" i="166"/>
  <c r="N80" i="166"/>
  <c r="M80" i="166"/>
  <c r="L80" i="166"/>
  <c r="K80" i="166"/>
  <c r="J80" i="166"/>
  <c r="I80" i="166"/>
  <c r="H80" i="166"/>
  <c r="G80" i="166"/>
  <c r="F80" i="166"/>
  <c r="E80" i="166"/>
  <c r="D80" i="166"/>
  <c r="C80" i="166"/>
  <c r="B80" i="166"/>
  <c r="P79" i="166"/>
  <c r="O79" i="166"/>
  <c r="N79" i="166"/>
  <c r="M79" i="166"/>
  <c r="L79" i="166"/>
  <c r="K79" i="166"/>
  <c r="J79" i="166"/>
  <c r="I79" i="166"/>
  <c r="H79" i="166"/>
  <c r="G79" i="166"/>
  <c r="F79" i="166"/>
  <c r="E79" i="166"/>
  <c r="D79" i="166"/>
  <c r="C79" i="166"/>
  <c r="B79" i="166"/>
  <c r="P78" i="166"/>
  <c r="O78" i="166"/>
  <c r="N78" i="166"/>
  <c r="M78" i="166"/>
  <c r="L78" i="166"/>
  <c r="K78" i="166"/>
  <c r="J78" i="166"/>
  <c r="I78" i="166"/>
  <c r="H78" i="166"/>
  <c r="G78" i="166"/>
  <c r="F78" i="166"/>
  <c r="E78" i="166"/>
  <c r="D78" i="166"/>
  <c r="C78" i="166"/>
  <c r="B78" i="166"/>
  <c r="P77" i="166"/>
  <c r="O77" i="166"/>
  <c r="N77" i="166"/>
  <c r="M77" i="166"/>
  <c r="L77" i="166"/>
  <c r="K77" i="166"/>
  <c r="J77" i="166"/>
  <c r="I77" i="166"/>
  <c r="H77" i="166"/>
  <c r="G77" i="166"/>
  <c r="F77" i="166"/>
  <c r="E77" i="166"/>
  <c r="D77" i="166"/>
  <c r="C77" i="166"/>
  <c r="B77" i="166"/>
  <c r="P76" i="166"/>
  <c r="O76" i="166"/>
  <c r="N76" i="166"/>
  <c r="M76" i="166"/>
  <c r="L76" i="166"/>
  <c r="K76" i="166"/>
  <c r="J76" i="166"/>
  <c r="I76" i="166"/>
  <c r="H76" i="166"/>
  <c r="G76" i="166"/>
  <c r="F76" i="166"/>
  <c r="E76" i="166"/>
  <c r="D76" i="166"/>
  <c r="C76" i="166"/>
  <c r="B76" i="166"/>
  <c r="P75" i="166"/>
  <c r="O75" i="166"/>
  <c r="N75" i="166"/>
  <c r="M75" i="166"/>
  <c r="L75" i="166"/>
  <c r="K75" i="166"/>
  <c r="J75" i="166"/>
  <c r="I75" i="166"/>
  <c r="H75" i="166"/>
  <c r="G75" i="166"/>
  <c r="F75" i="166"/>
  <c r="E75" i="166"/>
  <c r="D75" i="166"/>
  <c r="C75" i="166"/>
  <c r="B75" i="166"/>
  <c r="P74" i="166"/>
  <c r="O74" i="166"/>
  <c r="N74" i="166"/>
  <c r="M74" i="166"/>
  <c r="L74" i="166"/>
  <c r="K74" i="166"/>
  <c r="J74" i="166"/>
  <c r="I74" i="166"/>
  <c r="H74" i="166"/>
  <c r="G74" i="166"/>
  <c r="F74" i="166"/>
  <c r="E74" i="166"/>
  <c r="D74" i="166"/>
  <c r="C74" i="166"/>
  <c r="B74" i="166"/>
  <c r="P73" i="166"/>
  <c r="O73" i="166"/>
  <c r="N73" i="166"/>
  <c r="M73" i="166"/>
  <c r="L73" i="166"/>
  <c r="K73" i="166"/>
  <c r="J73" i="166"/>
  <c r="I73" i="166"/>
  <c r="H73" i="166"/>
  <c r="G73" i="166"/>
  <c r="F73" i="166"/>
  <c r="E73" i="166"/>
  <c r="D73" i="166"/>
  <c r="C73" i="166"/>
  <c r="B73" i="166"/>
  <c r="F71" i="166"/>
  <c r="P67" i="166"/>
  <c r="O67" i="166"/>
  <c r="N67" i="166"/>
  <c r="M67" i="166"/>
  <c r="L67" i="166"/>
  <c r="K67" i="166"/>
  <c r="J67" i="166"/>
  <c r="I67" i="166"/>
  <c r="H67" i="166"/>
  <c r="G67" i="166"/>
  <c r="F67" i="166"/>
  <c r="E67" i="166"/>
  <c r="D67" i="166"/>
  <c r="C67" i="166"/>
  <c r="B67" i="166"/>
  <c r="P66" i="166"/>
  <c r="O66" i="166"/>
  <c r="N66" i="166"/>
  <c r="M66" i="166"/>
  <c r="L66" i="166"/>
  <c r="K66" i="166"/>
  <c r="J66" i="166"/>
  <c r="I66" i="166"/>
  <c r="H66" i="166"/>
  <c r="G66" i="166"/>
  <c r="F66" i="166"/>
  <c r="E66" i="166"/>
  <c r="D66" i="166"/>
  <c r="C66" i="166"/>
  <c r="B66" i="166"/>
  <c r="P65" i="166"/>
  <c r="O65" i="166"/>
  <c r="N65" i="166"/>
  <c r="M65" i="166"/>
  <c r="L65" i="166"/>
  <c r="K65" i="166"/>
  <c r="J65" i="166"/>
  <c r="I65" i="166"/>
  <c r="H65" i="166"/>
  <c r="G65" i="166"/>
  <c r="F65" i="166"/>
  <c r="E65" i="166"/>
  <c r="D65" i="166"/>
  <c r="C65" i="166"/>
  <c r="B65" i="166"/>
  <c r="P64" i="166"/>
  <c r="O64" i="166"/>
  <c r="N64" i="166"/>
  <c r="M64" i="166"/>
  <c r="L64" i="166"/>
  <c r="K64" i="166"/>
  <c r="J64" i="166"/>
  <c r="I64" i="166"/>
  <c r="H64" i="166"/>
  <c r="G64" i="166"/>
  <c r="F64" i="166"/>
  <c r="E64" i="166"/>
  <c r="D64" i="166"/>
  <c r="C64" i="166"/>
  <c r="B64" i="166"/>
  <c r="P63" i="166"/>
  <c r="O63" i="166"/>
  <c r="N63" i="166"/>
  <c r="M63" i="166"/>
  <c r="L63" i="166"/>
  <c r="K63" i="166"/>
  <c r="J63" i="166"/>
  <c r="I63" i="166"/>
  <c r="H63" i="166"/>
  <c r="G63" i="166"/>
  <c r="F63" i="166"/>
  <c r="E63" i="166"/>
  <c r="D63" i="166"/>
  <c r="C63" i="166"/>
  <c r="B63" i="166"/>
  <c r="P62" i="166"/>
  <c r="O62" i="166"/>
  <c r="N62" i="166"/>
  <c r="M62" i="166"/>
  <c r="L62" i="166"/>
  <c r="K62" i="166"/>
  <c r="J62" i="166"/>
  <c r="I62" i="166"/>
  <c r="H62" i="166"/>
  <c r="G62" i="166"/>
  <c r="F62" i="166"/>
  <c r="E62" i="166"/>
  <c r="D62" i="166"/>
  <c r="C62" i="166"/>
  <c r="B62" i="166"/>
  <c r="P61" i="166"/>
  <c r="O61" i="166"/>
  <c r="N61" i="166"/>
  <c r="M61" i="166"/>
  <c r="L61" i="166"/>
  <c r="K61" i="166"/>
  <c r="J61" i="166"/>
  <c r="I61" i="166"/>
  <c r="H61" i="166"/>
  <c r="G61" i="166"/>
  <c r="F61" i="166"/>
  <c r="E61" i="166"/>
  <c r="D61" i="166"/>
  <c r="C61" i="166"/>
  <c r="B61" i="166"/>
  <c r="P60" i="166"/>
  <c r="O60" i="166"/>
  <c r="N60" i="166"/>
  <c r="M60" i="166"/>
  <c r="L60" i="166"/>
  <c r="K60" i="166"/>
  <c r="J60" i="166"/>
  <c r="I60" i="166"/>
  <c r="H60" i="166"/>
  <c r="G60" i="166"/>
  <c r="F60" i="166"/>
  <c r="E60" i="166"/>
  <c r="D60" i="166"/>
  <c r="C60" i="166"/>
  <c r="B60" i="166"/>
  <c r="P59" i="166"/>
  <c r="O59" i="166"/>
  <c r="N59" i="166"/>
  <c r="M59" i="166"/>
  <c r="L59" i="166"/>
  <c r="K59" i="166"/>
  <c r="J59" i="166"/>
  <c r="I59" i="166"/>
  <c r="H59" i="166"/>
  <c r="G59" i="166"/>
  <c r="F59" i="166"/>
  <c r="E59" i="166"/>
  <c r="D59" i="166"/>
  <c r="C59" i="166"/>
  <c r="B59" i="166"/>
  <c r="P58" i="166"/>
  <c r="O58" i="166"/>
  <c r="N58" i="166"/>
  <c r="M58" i="166"/>
  <c r="L58" i="166"/>
  <c r="K58" i="166"/>
  <c r="J58" i="166"/>
  <c r="I58" i="166"/>
  <c r="H58" i="166"/>
  <c r="G58" i="166"/>
  <c r="F58" i="166"/>
  <c r="E58" i="166"/>
  <c r="D58" i="166"/>
  <c r="C58" i="166"/>
  <c r="B58" i="166"/>
  <c r="P57" i="166"/>
  <c r="O57" i="166"/>
  <c r="N57" i="166"/>
  <c r="M57" i="166"/>
  <c r="L57" i="166"/>
  <c r="K57" i="166"/>
  <c r="J57" i="166"/>
  <c r="I57" i="166"/>
  <c r="H57" i="166"/>
  <c r="G57" i="166"/>
  <c r="F57" i="166"/>
  <c r="E57" i="166"/>
  <c r="D57" i="166"/>
  <c r="C57" i="166"/>
  <c r="B57" i="166"/>
  <c r="P56" i="166"/>
  <c r="O56" i="166"/>
  <c r="N56" i="166"/>
  <c r="M56" i="166"/>
  <c r="L56" i="166"/>
  <c r="K56" i="166"/>
  <c r="J56" i="166"/>
  <c r="I56" i="166"/>
  <c r="H56" i="166"/>
  <c r="G56" i="166"/>
  <c r="F56" i="166"/>
  <c r="E56" i="166"/>
  <c r="D56" i="166"/>
  <c r="C56" i="166"/>
  <c r="B56" i="166"/>
  <c r="B54" i="166"/>
  <c r="P52" i="166"/>
  <c r="O52" i="166"/>
  <c r="N52" i="166"/>
  <c r="M52" i="166"/>
  <c r="L52" i="166"/>
  <c r="K52" i="166"/>
  <c r="J52" i="166"/>
  <c r="I52" i="166"/>
  <c r="H52" i="166"/>
  <c r="G52" i="166"/>
  <c r="F52" i="166"/>
  <c r="E52" i="166"/>
  <c r="D52" i="166"/>
  <c r="C52" i="166"/>
  <c r="B52" i="166"/>
  <c r="P51" i="166"/>
  <c r="O51" i="166"/>
  <c r="N51" i="166"/>
  <c r="M51" i="166"/>
  <c r="L51" i="166"/>
  <c r="K51" i="166"/>
  <c r="J51" i="166"/>
  <c r="I51" i="166"/>
  <c r="H51" i="166"/>
  <c r="G51" i="166"/>
  <c r="F51" i="166"/>
  <c r="E51" i="166"/>
  <c r="D51" i="166"/>
  <c r="C51" i="166"/>
  <c r="B51" i="166"/>
  <c r="P50" i="166"/>
  <c r="O50" i="166"/>
  <c r="N50" i="166"/>
  <c r="M50" i="166"/>
  <c r="L50" i="166"/>
  <c r="K50" i="166"/>
  <c r="J50" i="166"/>
  <c r="I50" i="166"/>
  <c r="H50" i="166"/>
  <c r="G50" i="166"/>
  <c r="F50" i="166"/>
  <c r="E50" i="166"/>
  <c r="D50" i="166"/>
  <c r="C50" i="166"/>
  <c r="B50" i="166"/>
  <c r="P49" i="166"/>
  <c r="O49" i="166"/>
  <c r="N49" i="166"/>
  <c r="M49" i="166"/>
  <c r="L49" i="166"/>
  <c r="K49" i="166"/>
  <c r="J49" i="166"/>
  <c r="I49" i="166"/>
  <c r="H49" i="166"/>
  <c r="G49" i="166"/>
  <c r="F49" i="166"/>
  <c r="E49" i="166"/>
  <c r="D49" i="166"/>
  <c r="C49" i="166"/>
  <c r="B49" i="166"/>
  <c r="P48" i="166"/>
  <c r="O48" i="166"/>
  <c r="N48" i="166"/>
  <c r="M48" i="166"/>
  <c r="L48" i="166"/>
  <c r="K48" i="166"/>
  <c r="J48" i="166"/>
  <c r="I48" i="166"/>
  <c r="H48" i="166"/>
  <c r="G48" i="166"/>
  <c r="F48" i="166"/>
  <c r="E48" i="166"/>
  <c r="D48" i="166"/>
  <c r="C48" i="166"/>
  <c r="B48" i="166"/>
  <c r="P47" i="166"/>
  <c r="O47" i="166"/>
  <c r="N47" i="166"/>
  <c r="M47" i="166"/>
  <c r="L47" i="166"/>
  <c r="K47" i="166"/>
  <c r="J47" i="166"/>
  <c r="I47" i="166"/>
  <c r="H47" i="166"/>
  <c r="G47" i="166"/>
  <c r="F47" i="166"/>
  <c r="E47" i="166"/>
  <c r="D47" i="166"/>
  <c r="C47" i="166"/>
  <c r="B47" i="166"/>
  <c r="P46" i="166"/>
  <c r="O46" i="166"/>
  <c r="N46" i="166"/>
  <c r="M46" i="166"/>
  <c r="L46" i="166"/>
  <c r="K46" i="166"/>
  <c r="J46" i="166"/>
  <c r="I46" i="166"/>
  <c r="H46" i="166"/>
  <c r="G46" i="166"/>
  <c r="F46" i="166"/>
  <c r="E46" i="166"/>
  <c r="D46" i="166"/>
  <c r="C46" i="166"/>
  <c r="B46" i="166"/>
  <c r="P45" i="166"/>
  <c r="O45" i="166"/>
  <c r="N45" i="166"/>
  <c r="M45" i="166"/>
  <c r="L45" i="166"/>
  <c r="K45" i="166"/>
  <c r="J45" i="166"/>
  <c r="I45" i="166"/>
  <c r="H45" i="166"/>
  <c r="G45" i="166"/>
  <c r="F45" i="166"/>
  <c r="E45" i="166"/>
  <c r="D45" i="166"/>
  <c r="C45" i="166"/>
  <c r="B45" i="166"/>
  <c r="P44" i="166"/>
  <c r="O44" i="166"/>
  <c r="N44" i="166"/>
  <c r="M44" i="166"/>
  <c r="L44" i="166"/>
  <c r="K44" i="166"/>
  <c r="J44" i="166"/>
  <c r="I44" i="166"/>
  <c r="H44" i="166"/>
  <c r="G44" i="166"/>
  <c r="F44" i="166"/>
  <c r="E44" i="166"/>
  <c r="D44" i="166"/>
  <c r="C44" i="166"/>
  <c r="B44" i="166"/>
  <c r="P43" i="166"/>
  <c r="O43" i="166"/>
  <c r="N43" i="166"/>
  <c r="M43" i="166"/>
  <c r="L43" i="166"/>
  <c r="K43" i="166"/>
  <c r="J43" i="166"/>
  <c r="I43" i="166"/>
  <c r="H43" i="166"/>
  <c r="G43" i="166"/>
  <c r="F43" i="166"/>
  <c r="E43" i="166"/>
  <c r="D43" i="166"/>
  <c r="C43" i="166"/>
  <c r="B43" i="166"/>
  <c r="P42" i="166"/>
  <c r="O42" i="166"/>
  <c r="N42" i="166"/>
  <c r="M42" i="166"/>
  <c r="L42" i="166"/>
  <c r="K42" i="166"/>
  <c r="J42" i="166"/>
  <c r="I42" i="166"/>
  <c r="H42" i="166"/>
  <c r="G42" i="166"/>
  <c r="F42" i="166"/>
  <c r="E42" i="166"/>
  <c r="D42" i="166"/>
  <c r="C42" i="166"/>
  <c r="B42" i="166"/>
  <c r="P41" i="166"/>
  <c r="O41" i="166"/>
  <c r="N41" i="166"/>
  <c r="M41" i="166"/>
  <c r="L41" i="166"/>
  <c r="K41" i="166"/>
  <c r="J41" i="166"/>
  <c r="I41" i="166"/>
  <c r="H41" i="166"/>
  <c r="G41" i="166"/>
  <c r="F41" i="166"/>
  <c r="E41" i="166"/>
  <c r="D41" i="166"/>
  <c r="C41" i="166"/>
  <c r="B41" i="166"/>
  <c r="F39" i="166"/>
  <c r="B39" i="166"/>
  <c r="H35" i="166"/>
  <c r="G35" i="166"/>
  <c r="F35" i="166"/>
  <c r="E35" i="166"/>
  <c r="D35" i="166"/>
  <c r="C35" i="166"/>
  <c r="B35" i="166"/>
  <c r="H34" i="166"/>
  <c r="G34" i="166"/>
  <c r="F34" i="166"/>
  <c r="E34" i="166"/>
  <c r="D34" i="166"/>
  <c r="C34" i="166"/>
  <c r="B34" i="166"/>
  <c r="H33" i="166"/>
  <c r="G33" i="166"/>
  <c r="F33" i="166"/>
  <c r="E33" i="166"/>
  <c r="D33" i="166"/>
  <c r="C33" i="166"/>
  <c r="B33" i="166"/>
  <c r="H32" i="166"/>
  <c r="G32" i="166"/>
  <c r="F32" i="166"/>
  <c r="E32" i="166"/>
  <c r="D32" i="166"/>
  <c r="C32" i="166"/>
  <c r="B32" i="166"/>
  <c r="H31" i="166"/>
  <c r="G31" i="166"/>
  <c r="F31" i="166"/>
  <c r="E31" i="166"/>
  <c r="D31" i="166"/>
  <c r="C31" i="166"/>
  <c r="B31" i="166"/>
  <c r="H30" i="166"/>
  <c r="G30" i="166"/>
  <c r="F30" i="166"/>
  <c r="E30" i="166"/>
  <c r="D30" i="166"/>
  <c r="C30" i="166"/>
  <c r="B30" i="166"/>
  <c r="H29" i="166"/>
  <c r="G29" i="166"/>
  <c r="F29" i="166"/>
  <c r="E29" i="166"/>
  <c r="D29" i="166"/>
  <c r="C29" i="166"/>
  <c r="B29" i="166"/>
  <c r="H28" i="166"/>
  <c r="G28" i="166"/>
  <c r="F28" i="166"/>
  <c r="E28" i="166"/>
  <c r="D28" i="166"/>
  <c r="C28" i="166"/>
  <c r="B28" i="166"/>
  <c r="H27" i="166"/>
  <c r="G27" i="166"/>
  <c r="F27" i="166"/>
  <c r="E27" i="166"/>
  <c r="D27" i="166"/>
  <c r="C27" i="166"/>
  <c r="B27" i="166"/>
  <c r="H26" i="166"/>
  <c r="G26" i="166"/>
  <c r="F26" i="166"/>
  <c r="E26" i="166"/>
  <c r="D26" i="166"/>
  <c r="C26" i="166"/>
  <c r="B26" i="166"/>
  <c r="H25" i="166"/>
  <c r="G25" i="166"/>
  <c r="F25" i="166"/>
  <c r="E25" i="166"/>
  <c r="D25" i="166"/>
  <c r="C25" i="166"/>
  <c r="B25" i="166"/>
  <c r="H24" i="166"/>
  <c r="G24" i="166"/>
  <c r="F24" i="166"/>
  <c r="E24" i="166"/>
  <c r="D24" i="166"/>
  <c r="C24" i="166"/>
  <c r="B24" i="166"/>
  <c r="F23" i="166"/>
  <c r="C23" i="166"/>
  <c r="C22" i="166"/>
  <c r="B18" i="166"/>
  <c r="A10" i="166"/>
  <c r="A1" i="166"/>
  <c r="P80" i="124"/>
  <c r="O80" i="124"/>
  <c r="N80" i="124"/>
  <c r="M80" i="124"/>
  <c r="L80" i="124"/>
  <c r="K80" i="124"/>
  <c r="J80" i="124"/>
  <c r="I80" i="124"/>
  <c r="H80" i="124"/>
  <c r="G80" i="124"/>
  <c r="F80" i="124"/>
  <c r="E80" i="124"/>
  <c r="D80" i="124"/>
  <c r="C80" i="124"/>
  <c r="B80" i="124"/>
  <c r="P79" i="124"/>
  <c r="O79" i="124"/>
  <c r="N79" i="124"/>
  <c r="M79" i="124"/>
  <c r="L79" i="124"/>
  <c r="K79" i="124"/>
  <c r="J79" i="124"/>
  <c r="I79" i="124"/>
  <c r="H79" i="124"/>
  <c r="G79" i="124"/>
  <c r="F79" i="124"/>
  <c r="E79" i="124"/>
  <c r="D79" i="124"/>
  <c r="C79" i="124"/>
  <c r="B79" i="124"/>
  <c r="P78" i="124"/>
  <c r="O78" i="124"/>
  <c r="N78" i="124"/>
  <c r="M78" i="124"/>
  <c r="L78" i="124"/>
  <c r="K78" i="124"/>
  <c r="J78" i="124"/>
  <c r="I78" i="124"/>
  <c r="H78" i="124"/>
  <c r="G78" i="124"/>
  <c r="F78" i="124"/>
  <c r="E78" i="124"/>
  <c r="D78" i="124"/>
  <c r="C78" i="124"/>
  <c r="B78" i="124"/>
  <c r="P77" i="124"/>
  <c r="O77" i="124"/>
  <c r="N77" i="124"/>
  <c r="M77" i="124"/>
  <c r="L77" i="124"/>
  <c r="K77" i="124"/>
  <c r="J77" i="124"/>
  <c r="I77" i="124"/>
  <c r="H77" i="124"/>
  <c r="G77" i="124"/>
  <c r="F77" i="124"/>
  <c r="E77" i="124"/>
  <c r="D77" i="124"/>
  <c r="C77" i="124"/>
  <c r="B77" i="124"/>
  <c r="P76" i="124"/>
  <c r="O76" i="124"/>
  <c r="N76" i="124"/>
  <c r="M76" i="124"/>
  <c r="L76" i="124"/>
  <c r="K76" i="124"/>
  <c r="J76" i="124"/>
  <c r="I76" i="124"/>
  <c r="H76" i="124"/>
  <c r="G76" i="124"/>
  <c r="F76" i="124"/>
  <c r="E76" i="124"/>
  <c r="D76" i="124"/>
  <c r="C76" i="124"/>
  <c r="B76" i="124"/>
  <c r="P75" i="124"/>
  <c r="O75" i="124"/>
  <c r="N75" i="124"/>
  <c r="M75" i="124"/>
  <c r="L75" i="124"/>
  <c r="K75" i="124"/>
  <c r="J75" i="124"/>
  <c r="I75" i="124"/>
  <c r="H75" i="124"/>
  <c r="G75" i="124"/>
  <c r="F75" i="124"/>
  <c r="E75" i="124"/>
  <c r="D75" i="124"/>
  <c r="C75" i="124"/>
  <c r="B75" i="124"/>
  <c r="P74" i="124"/>
  <c r="O74" i="124"/>
  <c r="N74" i="124"/>
  <c r="M74" i="124"/>
  <c r="L74" i="124"/>
  <c r="K74" i="124"/>
  <c r="J74" i="124"/>
  <c r="I74" i="124"/>
  <c r="H74" i="124"/>
  <c r="G74" i="124"/>
  <c r="F74" i="124"/>
  <c r="E74" i="124"/>
  <c r="D74" i="124"/>
  <c r="C74" i="124"/>
  <c r="B74" i="124"/>
  <c r="P73" i="124"/>
  <c r="O73" i="124"/>
  <c r="N73" i="124"/>
  <c r="M73" i="124"/>
  <c r="L73" i="124"/>
  <c r="K73" i="124"/>
  <c r="J73" i="124"/>
  <c r="I73" i="124"/>
  <c r="H73" i="124"/>
  <c r="G73" i="124"/>
  <c r="F73" i="124"/>
  <c r="E73" i="124"/>
  <c r="D73" i="124"/>
  <c r="C73" i="124"/>
  <c r="B73" i="124"/>
  <c r="P72" i="124"/>
  <c r="O72" i="124"/>
  <c r="N72" i="124"/>
  <c r="M72" i="124"/>
  <c r="L72" i="124"/>
  <c r="K72" i="124"/>
  <c r="J72" i="124"/>
  <c r="I72" i="124"/>
  <c r="H72" i="124"/>
  <c r="G72" i="124"/>
  <c r="F72" i="124"/>
  <c r="E72" i="124"/>
  <c r="D72" i="124"/>
  <c r="C72" i="124"/>
  <c r="B72" i="124"/>
  <c r="P71" i="124"/>
  <c r="O71" i="124"/>
  <c r="N71" i="124"/>
  <c r="M71" i="124"/>
  <c r="L71" i="124"/>
  <c r="K71" i="124"/>
  <c r="J71" i="124"/>
  <c r="I71" i="124"/>
  <c r="H71" i="124"/>
  <c r="G71" i="124"/>
  <c r="F71" i="124"/>
  <c r="E71" i="124"/>
  <c r="D71" i="124"/>
  <c r="C71" i="124"/>
  <c r="B71" i="124"/>
  <c r="P70" i="124"/>
  <c r="O70" i="124"/>
  <c r="N70" i="124"/>
  <c r="M70" i="124"/>
  <c r="L70" i="124"/>
  <c r="K70" i="124"/>
  <c r="J70" i="124"/>
  <c r="I70" i="124"/>
  <c r="H70" i="124"/>
  <c r="G70" i="124"/>
  <c r="F70" i="124"/>
  <c r="E70" i="124"/>
  <c r="D70" i="124"/>
  <c r="C70" i="124"/>
  <c r="B70" i="124"/>
  <c r="P69" i="124"/>
  <c r="O69" i="124"/>
  <c r="N69" i="124"/>
  <c r="M69" i="124"/>
  <c r="L69" i="124"/>
  <c r="K69" i="124"/>
  <c r="J69" i="124"/>
  <c r="I69" i="124"/>
  <c r="H69" i="124"/>
  <c r="G69" i="124"/>
  <c r="F69" i="124"/>
  <c r="E69" i="124"/>
  <c r="D69" i="124"/>
  <c r="C69" i="124"/>
  <c r="B69" i="124"/>
  <c r="P65" i="124"/>
  <c r="O65" i="124"/>
  <c r="N65" i="124"/>
  <c r="M65" i="124"/>
  <c r="L65" i="124"/>
  <c r="K65" i="124"/>
  <c r="J65" i="124"/>
  <c r="I65" i="124"/>
  <c r="H65" i="124"/>
  <c r="G65" i="124"/>
  <c r="F65" i="124"/>
  <c r="E65" i="124"/>
  <c r="D65" i="124"/>
  <c r="C65" i="124"/>
  <c r="B65" i="124"/>
  <c r="P64" i="124"/>
  <c r="O64" i="124"/>
  <c r="N64" i="124"/>
  <c r="M64" i="124"/>
  <c r="L64" i="124"/>
  <c r="K64" i="124"/>
  <c r="J64" i="124"/>
  <c r="I64" i="124"/>
  <c r="H64" i="124"/>
  <c r="G64" i="124"/>
  <c r="F64" i="124"/>
  <c r="E64" i="124"/>
  <c r="D64" i="124"/>
  <c r="C64" i="124"/>
  <c r="B64" i="124"/>
  <c r="P63" i="124"/>
  <c r="O63" i="124"/>
  <c r="N63" i="124"/>
  <c r="M63" i="124"/>
  <c r="L63" i="124"/>
  <c r="K63" i="124"/>
  <c r="J63" i="124"/>
  <c r="I63" i="124"/>
  <c r="H63" i="124"/>
  <c r="G63" i="124"/>
  <c r="F63" i="124"/>
  <c r="E63" i="124"/>
  <c r="D63" i="124"/>
  <c r="C63" i="124"/>
  <c r="B63" i="124"/>
  <c r="P62" i="124"/>
  <c r="O62" i="124"/>
  <c r="N62" i="124"/>
  <c r="M62" i="124"/>
  <c r="L62" i="124"/>
  <c r="K62" i="124"/>
  <c r="J62" i="124"/>
  <c r="I62" i="124"/>
  <c r="H62" i="124"/>
  <c r="G62" i="124"/>
  <c r="F62" i="124"/>
  <c r="E62" i="124"/>
  <c r="D62" i="124"/>
  <c r="C62" i="124"/>
  <c r="B62" i="124"/>
  <c r="P61" i="124"/>
  <c r="O61" i="124"/>
  <c r="N61" i="124"/>
  <c r="M61" i="124"/>
  <c r="L61" i="124"/>
  <c r="K61" i="124"/>
  <c r="J61" i="124"/>
  <c r="I61" i="124"/>
  <c r="H61" i="124"/>
  <c r="G61" i="124"/>
  <c r="F61" i="124"/>
  <c r="E61" i="124"/>
  <c r="D61" i="124"/>
  <c r="C61" i="124"/>
  <c r="B61" i="124"/>
  <c r="P60" i="124"/>
  <c r="O60" i="124"/>
  <c r="N60" i="124"/>
  <c r="M60" i="124"/>
  <c r="L60" i="124"/>
  <c r="K60" i="124"/>
  <c r="J60" i="124"/>
  <c r="I60" i="124"/>
  <c r="H60" i="124"/>
  <c r="G60" i="124"/>
  <c r="F60" i="124"/>
  <c r="E60" i="124"/>
  <c r="D60" i="124"/>
  <c r="C60" i="124"/>
  <c r="B60" i="124"/>
  <c r="P59" i="124"/>
  <c r="O59" i="124"/>
  <c r="N59" i="124"/>
  <c r="M59" i="124"/>
  <c r="L59" i="124"/>
  <c r="K59" i="124"/>
  <c r="J59" i="124"/>
  <c r="I59" i="124"/>
  <c r="H59" i="124"/>
  <c r="G59" i="124"/>
  <c r="F59" i="124"/>
  <c r="E59" i="124"/>
  <c r="D59" i="124"/>
  <c r="C59" i="124"/>
  <c r="B59" i="124"/>
  <c r="P58" i="124"/>
  <c r="O58" i="124"/>
  <c r="N58" i="124"/>
  <c r="M58" i="124"/>
  <c r="L58" i="124"/>
  <c r="K58" i="124"/>
  <c r="J58" i="124"/>
  <c r="I58" i="124"/>
  <c r="H58" i="124"/>
  <c r="G58" i="124"/>
  <c r="F58" i="124"/>
  <c r="E58" i="124"/>
  <c r="D58" i="124"/>
  <c r="C58" i="124"/>
  <c r="B58" i="124"/>
  <c r="P57" i="124"/>
  <c r="O57" i="124"/>
  <c r="N57" i="124"/>
  <c r="M57" i="124"/>
  <c r="L57" i="124"/>
  <c r="K57" i="124"/>
  <c r="J57" i="124"/>
  <c r="I57" i="124"/>
  <c r="H57" i="124"/>
  <c r="G57" i="124"/>
  <c r="F57" i="124"/>
  <c r="E57" i="124"/>
  <c r="D57" i="124"/>
  <c r="C57" i="124"/>
  <c r="B57" i="124"/>
  <c r="P56" i="124"/>
  <c r="O56" i="124"/>
  <c r="N56" i="124"/>
  <c r="M56" i="124"/>
  <c r="L56" i="124"/>
  <c r="K56" i="124"/>
  <c r="J56" i="124"/>
  <c r="I56" i="124"/>
  <c r="H56" i="124"/>
  <c r="G56" i="124"/>
  <c r="F56" i="124"/>
  <c r="E56" i="124"/>
  <c r="D56" i="124"/>
  <c r="C56" i="124"/>
  <c r="B56" i="124"/>
  <c r="P55" i="124"/>
  <c r="O55" i="124"/>
  <c r="N55" i="124"/>
  <c r="M55" i="124"/>
  <c r="L55" i="124"/>
  <c r="K55" i="124"/>
  <c r="J55" i="124"/>
  <c r="I55" i="124"/>
  <c r="H55" i="124"/>
  <c r="G55" i="124"/>
  <c r="F55" i="124"/>
  <c r="E55" i="124"/>
  <c r="D55" i="124"/>
  <c r="C55" i="124"/>
  <c r="B55" i="124"/>
  <c r="P54" i="124"/>
  <c r="O54" i="124"/>
  <c r="N54" i="124"/>
  <c r="M54" i="124"/>
  <c r="L54" i="124"/>
  <c r="K54" i="124"/>
  <c r="J54" i="124"/>
  <c r="I54" i="124"/>
  <c r="H54" i="124"/>
  <c r="G54" i="124"/>
  <c r="F54" i="124"/>
  <c r="E54" i="124"/>
  <c r="D54" i="124"/>
  <c r="C54" i="124"/>
  <c r="B54" i="124"/>
  <c r="I48" i="124"/>
  <c r="H48" i="124"/>
  <c r="G48" i="124"/>
  <c r="F48" i="124"/>
  <c r="E48" i="124"/>
  <c r="D48" i="124"/>
  <c r="C48" i="124"/>
  <c r="B48" i="124"/>
  <c r="I47" i="124"/>
  <c r="H47" i="124"/>
  <c r="G47" i="124"/>
  <c r="F47" i="124"/>
  <c r="E47" i="124"/>
  <c r="D47" i="124"/>
  <c r="C47" i="124"/>
  <c r="B47" i="124"/>
  <c r="I46" i="124"/>
  <c r="H46" i="124"/>
  <c r="G46" i="124"/>
  <c r="F46" i="124"/>
  <c r="E46" i="124"/>
  <c r="D46" i="124"/>
  <c r="C46" i="124"/>
  <c r="C42" i="124"/>
  <c r="B42" i="124"/>
  <c r="C41" i="124"/>
  <c r="B41" i="124"/>
  <c r="C40" i="124"/>
  <c r="B40" i="124"/>
  <c r="C39" i="124"/>
  <c r="B39" i="124"/>
  <c r="C38" i="124"/>
  <c r="B38" i="124"/>
  <c r="C37" i="124"/>
  <c r="B37" i="124"/>
  <c r="C36" i="124"/>
  <c r="B36" i="124"/>
  <c r="C35" i="124"/>
  <c r="B35" i="124"/>
  <c r="C34" i="124"/>
  <c r="B34" i="124"/>
  <c r="C33" i="124"/>
  <c r="B33" i="124"/>
  <c r="C32" i="124"/>
  <c r="B32" i="124"/>
  <c r="C31" i="124"/>
  <c r="B31" i="124"/>
  <c r="B29" i="124"/>
  <c r="C27" i="124"/>
  <c r="B27" i="124"/>
  <c r="C26" i="124"/>
  <c r="B26" i="124"/>
  <c r="C25" i="124"/>
  <c r="B25" i="124"/>
  <c r="C24" i="124"/>
  <c r="B24" i="124"/>
  <c r="C23" i="124"/>
  <c r="B23" i="124"/>
  <c r="C22" i="124"/>
  <c r="B22" i="124"/>
  <c r="C21" i="124"/>
  <c r="B21" i="124"/>
  <c r="C20" i="124"/>
  <c r="B20" i="124"/>
  <c r="C19" i="124"/>
  <c r="B19" i="124"/>
  <c r="C18" i="124"/>
  <c r="B18" i="124"/>
  <c r="C17" i="124"/>
  <c r="B17" i="124"/>
  <c r="C16" i="124"/>
  <c r="B16" i="124"/>
  <c r="B14" i="124"/>
  <c r="A10" i="124"/>
  <c r="A1" i="124"/>
  <c r="P80" i="123"/>
  <c r="O80" i="123"/>
  <c r="N80" i="123"/>
  <c r="M80" i="123"/>
  <c r="L80" i="123"/>
  <c r="K80" i="123"/>
  <c r="J80" i="123"/>
  <c r="I80" i="123"/>
  <c r="H80" i="123"/>
  <c r="G80" i="123"/>
  <c r="F80" i="123"/>
  <c r="E80" i="123"/>
  <c r="D80" i="123"/>
  <c r="C80" i="123"/>
  <c r="B80" i="123"/>
  <c r="P79" i="123"/>
  <c r="O79" i="123"/>
  <c r="N79" i="123"/>
  <c r="M79" i="123"/>
  <c r="L79" i="123"/>
  <c r="K79" i="123"/>
  <c r="J79" i="123"/>
  <c r="I79" i="123"/>
  <c r="H79" i="123"/>
  <c r="G79" i="123"/>
  <c r="F79" i="123"/>
  <c r="E79" i="123"/>
  <c r="D79" i="123"/>
  <c r="C79" i="123"/>
  <c r="B79" i="123"/>
  <c r="P78" i="123"/>
  <c r="O78" i="123"/>
  <c r="N78" i="123"/>
  <c r="M78" i="123"/>
  <c r="L78" i="123"/>
  <c r="K78" i="123"/>
  <c r="J78" i="123"/>
  <c r="I78" i="123"/>
  <c r="H78" i="123"/>
  <c r="G78" i="123"/>
  <c r="F78" i="123"/>
  <c r="E78" i="123"/>
  <c r="D78" i="123"/>
  <c r="C78" i="123"/>
  <c r="B78" i="123"/>
  <c r="P77" i="123"/>
  <c r="O77" i="123"/>
  <c r="N77" i="123"/>
  <c r="M77" i="123"/>
  <c r="L77" i="123"/>
  <c r="K77" i="123"/>
  <c r="J77" i="123"/>
  <c r="I77" i="123"/>
  <c r="H77" i="123"/>
  <c r="G77" i="123"/>
  <c r="F77" i="123"/>
  <c r="E77" i="123"/>
  <c r="D77" i="123"/>
  <c r="C77" i="123"/>
  <c r="B77" i="123"/>
  <c r="P76" i="123"/>
  <c r="O76" i="123"/>
  <c r="N76" i="123"/>
  <c r="M76" i="123"/>
  <c r="L76" i="123"/>
  <c r="K76" i="123"/>
  <c r="J76" i="123"/>
  <c r="I76" i="123"/>
  <c r="H76" i="123"/>
  <c r="G76" i="123"/>
  <c r="F76" i="123"/>
  <c r="E76" i="123"/>
  <c r="D76" i="123"/>
  <c r="C76" i="123"/>
  <c r="B76" i="123"/>
  <c r="P75" i="123"/>
  <c r="O75" i="123"/>
  <c r="N75" i="123"/>
  <c r="M75" i="123"/>
  <c r="L75" i="123"/>
  <c r="K75" i="123"/>
  <c r="J75" i="123"/>
  <c r="I75" i="123"/>
  <c r="H75" i="123"/>
  <c r="G75" i="123"/>
  <c r="F75" i="123"/>
  <c r="E75" i="123"/>
  <c r="D75" i="123"/>
  <c r="C75" i="123"/>
  <c r="B75" i="123"/>
  <c r="P74" i="123"/>
  <c r="O74" i="123"/>
  <c r="N74" i="123"/>
  <c r="M74" i="123"/>
  <c r="L74" i="123"/>
  <c r="K74" i="123"/>
  <c r="J74" i="123"/>
  <c r="I74" i="123"/>
  <c r="H74" i="123"/>
  <c r="G74" i="123"/>
  <c r="F74" i="123"/>
  <c r="E74" i="123"/>
  <c r="D74" i="123"/>
  <c r="C74" i="123"/>
  <c r="B74" i="123"/>
  <c r="P73" i="123"/>
  <c r="O73" i="123"/>
  <c r="N73" i="123"/>
  <c r="M73" i="123"/>
  <c r="L73" i="123"/>
  <c r="K73" i="123"/>
  <c r="J73" i="123"/>
  <c r="I73" i="123"/>
  <c r="H73" i="123"/>
  <c r="G73" i="123"/>
  <c r="F73" i="123"/>
  <c r="E73" i="123"/>
  <c r="D73" i="123"/>
  <c r="C73" i="123"/>
  <c r="B73" i="123"/>
  <c r="P72" i="123"/>
  <c r="O72" i="123"/>
  <c r="N72" i="123"/>
  <c r="M72" i="123"/>
  <c r="L72" i="123"/>
  <c r="K72" i="123"/>
  <c r="J72" i="123"/>
  <c r="I72" i="123"/>
  <c r="H72" i="123"/>
  <c r="G72" i="123"/>
  <c r="F72" i="123"/>
  <c r="E72" i="123"/>
  <c r="D72" i="123"/>
  <c r="C72" i="123"/>
  <c r="B72" i="123"/>
  <c r="P71" i="123"/>
  <c r="O71" i="123"/>
  <c r="N71" i="123"/>
  <c r="M71" i="123"/>
  <c r="L71" i="123"/>
  <c r="K71" i="123"/>
  <c r="J71" i="123"/>
  <c r="I71" i="123"/>
  <c r="H71" i="123"/>
  <c r="G71" i="123"/>
  <c r="F71" i="123"/>
  <c r="E71" i="123"/>
  <c r="D71" i="123"/>
  <c r="C71" i="123"/>
  <c r="B71" i="123"/>
  <c r="P70" i="123"/>
  <c r="O70" i="123"/>
  <c r="N70" i="123"/>
  <c r="M70" i="123"/>
  <c r="L70" i="123"/>
  <c r="K70" i="123"/>
  <c r="J70" i="123"/>
  <c r="I70" i="123"/>
  <c r="H70" i="123"/>
  <c r="G70" i="123"/>
  <c r="F70" i="123"/>
  <c r="E70" i="123"/>
  <c r="D70" i="123"/>
  <c r="C70" i="123"/>
  <c r="B70" i="123"/>
  <c r="P69" i="123"/>
  <c r="O69" i="123"/>
  <c r="N69" i="123"/>
  <c r="M69" i="123"/>
  <c r="L69" i="123"/>
  <c r="K69" i="123"/>
  <c r="J69" i="123"/>
  <c r="I69" i="123"/>
  <c r="H69" i="123"/>
  <c r="G69" i="123"/>
  <c r="F69" i="123"/>
  <c r="E69" i="123"/>
  <c r="D69" i="123"/>
  <c r="C69" i="123"/>
  <c r="B69" i="123"/>
  <c r="P65" i="123"/>
  <c r="O65" i="123"/>
  <c r="N65" i="123"/>
  <c r="M65" i="123"/>
  <c r="L65" i="123"/>
  <c r="K65" i="123"/>
  <c r="J65" i="123"/>
  <c r="I65" i="123"/>
  <c r="H65" i="123"/>
  <c r="G65" i="123"/>
  <c r="F65" i="123"/>
  <c r="E65" i="123"/>
  <c r="D65" i="123"/>
  <c r="C65" i="123"/>
  <c r="B65" i="123"/>
  <c r="P64" i="123"/>
  <c r="O64" i="123"/>
  <c r="N64" i="123"/>
  <c r="M64" i="123"/>
  <c r="L64" i="123"/>
  <c r="K64" i="123"/>
  <c r="J64" i="123"/>
  <c r="I64" i="123"/>
  <c r="H64" i="123"/>
  <c r="G64" i="123"/>
  <c r="F64" i="123"/>
  <c r="E64" i="123"/>
  <c r="D64" i="123"/>
  <c r="C64" i="123"/>
  <c r="B64" i="123"/>
  <c r="P63" i="123"/>
  <c r="O63" i="123"/>
  <c r="N63" i="123"/>
  <c r="M63" i="123"/>
  <c r="L63" i="123"/>
  <c r="K63" i="123"/>
  <c r="J63" i="123"/>
  <c r="I63" i="123"/>
  <c r="H63" i="123"/>
  <c r="G63" i="123"/>
  <c r="F63" i="123"/>
  <c r="E63" i="123"/>
  <c r="D63" i="123"/>
  <c r="C63" i="123"/>
  <c r="B63" i="123"/>
  <c r="P62" i="123"/>
  <c r="O62" i="123"/>
  <c r="N62" i="123"/>
  <c r="M62" i="123"/>
  <c r="L62" i="123"/>
  <c r="K62" i="123"/>
  <c r="J62" i="123"/>
  <c r="I62" i="123"/>
  <c r="H62" i="123"/>
  <c r="G62" i="123"/>
  <c r="F62" i="123"/>
  <c r="E62" i="123"/>
  <c r="D62" i="123"/>
  <c r="C62" i="123"/>
  <c r="B62" i="123"/>
  <c r="P61" i="123"/>
  <c r="O61" i="123"/>
  <c r="N61" i="123"/>
  <c r="M61" i="123"/>
  <c r="L61" i="123"/>
  <c r="K61" i="123"/>
  <c r="J61" i="123"/>
  <c r="I61" i="123"/>
  <c r="H61" i="123"/>
  <c r="G61" i="123"/>
  <c r="F61" i="123"/>
  <c r="E61" i="123"/>
  <c r="D61" i="123"/>
  <c r="C61" i="123"/>
  <c r="B61" i="123"/>
  <c r="P60" i="123"/>
  <c r="O60" i="123"/>
  <c r="N60" i="123"/>
  <c r="M60" i="123"/>
  <c r="L60" i="123"/>
  <c r="K60" i="123"/>
  <c r="J60" i="123"/>
  <c r="I60" i="123"/>
  <c r="H60" i="123"/>
  <c r="G60" i="123"/>
  <c r="F60" i="123"/>
  <c r="E60" i="123"/>
  <c r="D60" i="123"/>
  <c r="C60" i="123"/>
  <c r="B60" i="123"/>
  <c r="P59" i="123"/>
  <c r="O59" i="123"/>
  <c r="N59" i="123"/>
  <c r="M59" i="123"/>
  <c r="L59" i="123"/>
  <c r="K59" i="123"/>
  <c r="J59" i="123"/>
  <c r="I59" i="123"/>
  <c r="H59" i="123"/>
  <c r="G59" i="123"/>
  <c r="F59" i="123"/>
  <c r="E59" i="123"/>
  <c r="D59" i="123"/>
  <c r="C59" i="123"/>
  <c r="B59" i="123"/>
  <c r="P58" i="123"/>
  <c r="O58" i="123"/>
  <c r="N58" i="123"/>
  <c r="M58" i="123"/>
  <c r="L58" i="123"/>
  <c r="K58" i="123"/>
  <c r="J58" i="123"/>
  <c r="I58" i="123"/>
  <c r="H58" i="123"/>
  <c r="G58" i="123"/>
  <c r="F58" i="123"/>
  <c r="E58" i="123"/>
  <c r="D58" i="123"/>
  <c r="C58" i="123"/>
  <c r="B58" i="123"/>
  <c r="P57" i="123"/>
  <c r="O57" i="123"/>
  <c r="N57" i="123"/>
  <c r="M57" i="123"/>
  <c r="L57" i="123"/>
  <c r="K57" i="123"/>
  <c r="J57" i="123"/>
  <c r="I57" i="123"/>
  <c r="H57" i="123"/>
  <c r="G57" i="123"/>
  <c r="F57" i="123"/>
  <c r="E57" i="123"/>
  <c r="D57" i="123"/>
  <c r="C57" i="123"/>
  <c r="B57" i="123"/>
  <c r="P56" i="123"/>
  <c r="O56" i="123"/>
  <c r="N56" i="123"/>
  <c r="M56" i="123"/>
  <c r="L56" i="123"/>
  <c r="K56" i="123"/>
  <c r="J56" i="123"/>
  <c r="I56" i="123"/>
  <c r="H56" i="123"/>
  <c r="G56" i="123"/>
  <c r="F56" i="123"/>
  <c r="E56" i="123"/>
  <c r="D56" i="123"/>
  <c r="C56" i="123"/>
  <c r="B56" i="123"/>
  <c r="P55" i="123"/>
  <c r="O55" i="123"/>
  <c r="N55" i="123"/>
  <c r="M55" i="123"/>
  <c r="L55" i="123"/>
  <c r="K55" i="123"/>
  <c r="J55" i="123"/>
  <c r="I55" i="123"/>
  <c r="H55" i="123"/>
  <c r="G55" i="123"/>
  <c r="F55" i="123"/>
  <c r="E55" i="123"/>
  <c r="D55" i="123"/>
  <c r="C55" i="123"/>
  <c r="B55" i="123"/>
  <c r="I54" i="123"/>
  <c r="H54" i="123"/>
  <c r="G54" i="123"/>
  <c r="F54" i="123"/>
  <c r="E54" i="123"/>
  <c r="D54" i="123"/>
  <c r="C54" i="123"/>
  <c r="B54" i="123"/>
  <c r="I48" i="123"/>
  <c r="H48" i="123"/>
  <c r="G48" i="123"/>
  <c r="F48" i="123"/>
  <c r="E48" i="123"/>
  <c r="D48" i="123"/>
  <c r="C48" i="123"/>
  <c r="B48" i="123"/>
  <c r="I47" i="123"/>
  <c r="H47" i="123"/>
  <c r="G47" i="123"/>
  <c r="F47" i="123"/>
  <c r="E47" i="123"/>
  <c r="D47" i="123"/>
  <c r="C47" i="123"/>
  <c r="B47" i="123"/>
  <c r="I46" i="123"/>
  <c r="H46" i="123"/>
  <c r="G46" i="123"/>
  <c r="F46" i="123"/>
  <c r="E46" i="123"/>
  <c r="D46" i="123"/>
  <c r="C46" i="123"/>
  <c r="C42" i="123"/>
  <c r="B42" i="123"/>
  <c r="C41" i="123"/>
  <c r="B41" i="123"/>
  <c r="C40" i="123"/>
  <c r="B40" i="123"/>
  <c r="C39" i="123"/>
  <c r="B39" i="123"/>
  <c r="C38" i="123"/>
  <c r="B38" i="123"/>
  <c r="C37" i="123"/>
  <c r="B37" i="123"/>
  <c r="C36" i="123"/>
  <c r="B36" i="123"/>
  <c r="C35" i="123"/>
  <c r="B35" i="123"/>
  <c r="C34" i="123"/>
  <c r="B34" i="123"/>
  <c r="C33" i="123"/>
  <c r="B33" i="123"/>
  <c r="C32" i="123"/>
  <c r="B32" i="123"/>
  <c r="C31" i="123"/>
  <c r="B31" i="123"/>
  <c r="B29" i="123"/>
  <c r="C27" i="123"/>
  <c r="B27" i="123"/>
  <c r="C26" i="123"/>
  <c r="B26" i="123"/>
  <c r="C25" i="123"/>
  <c r="B25" i="123"/>
  <c r="C24" i="123"/>
  <c r="B24" i="123"/>
  <c r="C23" i="123"/>
  <c r="B23" i="123"/>
  <c r="C22" i="123"/>
  <c r="B22" i="123"/>
  <c r="C21" i="123"/>
  <c r="B21" i="123"/>
  <c r="C20" i="123"/>
  <c r="B20" i="123"/>
  <c r="C19" i="123"/>
  <c r="B19" i="123"/>
  <c r="C18" i="123"/>
  <c r="B18" i="123"/>
  <c r="C17" i="123"/>
  <c r="B17" i="123"/>
  <c r="C16" i="123"/>
  <c r="B16" i="123"/>
  <c r="B14" i="123"/>
  <c r="A10" i="123"/>
  <c r="A1" i="123"/>
  <c r="G150" i="100"/>
  <c r="F150" i="100"/>
  <c r="E150" i="100"/>
  <c r="D150" i="100"/>
  <c r="C150" i="100"/>
  <c r="B150" i="100"/>
  <c r="G149" i="100"/>
  <c r="F149" i="100"/>
  <c r="E149" i="100"/>
  <c r="D149" i="100"/>
  <c r="C149" i="100"/>
  <c r="B149" i="100"/>
  <c r="G148" i="100"/>
  <c r="F148" i="100"/>
  <c r="E148" i="100"/>
  <c r="D148" i="100"/>
  <c r="C148" i="100"/>
  <c r="B148" i="100"/>
  <c r="G147" i="100"/>
  <c r="F147" i="100"/>
  <c r="E147" i="100"/>
  <c r="D147" i="100"/>
  <c r="C147" i="100"/>
  <c r="B147" i="100"/>
  <c r="G146" i="100"/>
  <c r="F146" i="100"/>
  <c r="E146" i="100"/>
  <c r="D146" i="100"/>
  <c r="C146" i="100"/>
  <c r="B146" i="100"/>
  <c r="G145" i="100"/>
  <c r="F145" i="100"/>
  <c r="E145" i="100"/>
  <c r="D145" i="100"/>
  <c r="C145" i="100"/>
  <c r="B145" i="100"/>
  <c r="G144" i="100"/>
  <c r="F144" i="100"/>
  <c r="E144" i="100"/>
  <c r="D144" i="100"/>
  <c r="C144" i="100"/>
  <c r="B144" i="100"/>
  <c r="G143" i="100"/>
  <c r="F143" i="100"/>
  <c r="E143" i="100"/>
  <c r="D143" i="100"/>
  <c r="C143" i="100"/>
  <c r="B143" i="100"/>
  <c r="G142" i="100"/>
  <c r="F142" i="100"/>
  <c r="E142" i="100"/>
  <c r="D142" i="100"/>
  <c r="C142" i="100"/>
  <c r="B142" i="100"/>
  <c r="G141" i="100"/>
  <c r="F141" i="100"/>
  <c r="E141" i="100"/>
  <c r="D141" i="100"/>
  <c r="C141" i="100"/>
  <c r="B141" i="100"/>
  <c r="G140" i="100"/>
  <c r="F140" i="100"/>
  <c r="E140" i="100"/>
  <c r="D140" i="100"/>
  <c r="C140" i="100"/>
  <c r="B140" i="100"/>
  <c r="F138" i="100"/>
  <c r="E138" i="100"/>
  <c r="D138" i="100"/>
  <c r="C138" i="100"/>
  <c r="B138" i="100"/>
  <c r="G134" i="100"/>
  <c r="F134" i="100"/>
  <c r="E134" i="100"/>
  <c r="D134" i="100"/>
  <c r="C134" i="100"/>
  <c r="B134" i="100"/>
  <c r="G133" i="100"/>
  <c r="F133" i="100"/>
  <c r="E133" i="100"/>
  <c r="D133" i="100"/>
  <c r="C133" i="100"/>
  <c r="B133" i="100"/>
  <c r="G132" i="100"/>
  <c r="F132" i="100"/>
  <c r="E132" i="100"/>
  <c r="D132" i="100"/>
  <c r="C132" i="100"/>
  <c r="B132" i="100"/>
  <c r="G131" i="100"/>
  <c r="F131" i="100"/>
  <c r="E131" i="100"/>
  <c r="D131" i="100"/>
  <c r="C131" i="100"/>
  <c r="B131" i="100"/>
  <c r="G130" i="100"/>
  <c r="F130" i="100"/>
  <c r="E130" i="100"/>
  <c r="D130" i="100"/>
  <c r="C130" i="100"/>
  <c r="B130" i="100"/>
  <c r="G129" i="100"/>
  <c r="F129" i="100"/>
  <c r="E129" i="100"/>
  <c r="D129" i="100"/>
  <c r="C129" i="100"/>
  <c r="B129" i="100"/>
  <c r="G128" i="100"/>
  <c r="F128" i="100"/>
  <c r="E128" i="100"/>
  <c r="D128" i="100"/>
  <c r="C128" i="100"/>
  <c r="B128" i="100"/>
  <c r="G127" i="100"/>
  <c r="F127" i="100"/>
  <c r="E127" i="100"/>
  <c r="D127" i="100"/>
  <c r="C127" i="100"/>
  <c r="B127" i="100"/>
  <c r="G126" i="100"/>
  <c r="F126" i="100"/>
  <c r="E126" i="100"/>
  <c r="D126" i="100"/>
  <c r="C126" i="100"/>
  <c r="B126" i="100"/>
  <c r="G125" i="100"/>
  <c r="F125" i="100"/>
  <c r="E125" i="100"/>
  <c r="D125" i="100"/>
  <c r="C125" i="100"/>
  <c r="B125" i="100"/>
  <c r="G124" i="100"/>
  <c r="F124" i="100"/>
  <c r="E124" i="100"/>
  <c r="D124" i="100"/>
  <c r="C124" i="100"/>
  <c r="B124" i="100"/>
  <c r="F122" i="100"/>
  <c r="E122" i="100"/>
  <c r="D122" i="100"/>
  <c r="C122" i="100"/>
  <c r="B122" i="100"/>
  <c r="F118" i="100"/>
  <c r="E118" i="100"/>
  <c r="D118" i="100"/>
  <c r="C118" i="100"/>
  <c r="B118" i="100"/>
  <c r="F117" i="100"/>
  <c r="E117" i="100"/>
  <c r="D117" i="100"/>
  <c r="C117" i="100"/>
  <c r="B117" i="100"/>
  <c r="F116" i="100"/>
  <c r="E116" i="100"/>
  <c r="D116" i="100"/>
  <c r="C116" i="100"/>
  <c r="B116" i="100"/>
  <c r="F115" i="100"/>
  <c r="E115" i="100"/>
  <c r="D115" i="100"/>
  <c r="C115" i="100"/>
  <c r="B115" i="100"/>
  <c r="F114" i="100"/>
  <c r="E114" i="100"/>
  <c r="D114" i="100"/>
  <c r="C114" i="100"/>
  <c r="B114" i="100"/>
  <c r="F113" i="100"/>
  <c r="E113" i="100"/>
  <c r="D113" i="100"/>
  <c r="C113" i="100"/>
  <c r="B113" i="100"/>
  <c r="F112" i="100"/>
  <c r="E112" i="100"/>
  <c r="D112" i="100"/>
  <c r="C112" i="100"/>
  <c r="B112" i="100"/>
  <c r="F111" i="100"/>
  <c r="E111" i="100"/>
  <c r="D111" i="100"/>
  <c r="C111" i="100"/>
  <c r="B111" i="100"/>
  <c r="F110" i="100"/>
  <c r="E110" i="100"/>
  <c r="D110" i="100"/>
  <c r="C110" i="100"/>
  <c r="B110" i="100"/>
  <c r="F109" i="100"/>
  <c r="E109" i="100"/>
  <c r="D109" i="100"/>
  <c r="C109" i="100"/>
  <c r="B109" i="100"/>
  <c r="F108" i="100"/>
  <c r="E108" i="100"/>
  <c r="D108" i="100"/>
  <c r="C108" i="100"/>
  <c r="B108" i="100"/>
  <c r="F107" i="100"/>
  <c r="E107" i="100"/>
  <c r="D107" i="100"/>
  <c r="C107" i="100"/>
  <c r="C106" i="100"/>
  <c r="B106" i="100"/>
  <c r="F102" i="100"/>
  <c r="E102" i="100"/>
  <c r="D102" i="100"/>
  <c r="C102" i="100"/>
  <c r="B102" i="100"/>
  <c r="F101" i="100"/>
  <c r="E101" i="100"/>
  <c r="D101" i="100"/>
  <c r="C101" i="100"/>
  <c r="B101" i="100"/>
  <c r="F100" i="100"/>
  <c r="E100" i="100"/>
  <c r="D100" i="100"/>
  <c r="C100" i="100"/>
  <c r="B100" i="100"/>
  <c r="F99" i="100"/>
  <c r="E99" i="100"/>
  <c r="D99" i="100"/>
  <c r="C99" i="100"/>
  <c r="B99" i="100"/>
  <c r="F98" i="100"/>
  <c r="E98" i="100"/>
  <c r="D98" i="100"/>
  <c r="C98" i="100"/>
  <c r="B98" i="100"/>
  <c r="F97" i="100"/>
  <c r="E97" i="100"/>
  <c r="D97" i="100"/>
  <c r="C97" i="100"/>
  <c r="B97" i="100"/>
  <c r="F96" i="100"/>
  <c r="E96" i="100"/>
  <c r="D96" i="100"/>
  <c r="C96" i="100"/>
  <c r="B96" i="100"/>
  <c r="F95" i="100"/>
  <c r="E95" i="100"/>
  <c r="D95" i="100"/>
  <c r="C95" i="100"/>
  <c r="B95" i="100"/>
  <c r="F94" i="100"/>
  <c r="E94" i="100"/>
  <c r="D94" i="100"/>
  <c r="C94" i="100"/>
  <c r="B94" i="100"/>
  <c r="F93" i="100"/>
  <c r="E93" i="100"/>
  <c r="D93" i="100"/>
  <c r="C93" i="100"/>
  <c r="B93" i="100"/>
  <c r="F92" i="100"/>
  <c r="E92" i="100"/>
  <c r="D92" i="100"/>
  <c r="C92" i="100"/>
  <c r="B92" i="100"/>
  <c r="F91" i="100"/>
  <c r="E91" i="100"/>
  <c r="D91" i="100"/>
  <c r="C91" i="100"/>
  <c r="C90" i="100"/>
  <c r="B90" i="100"/>
  <c r="F86" i="100"/>
  <c r="E86" i="100"/>
  <c r="D86" i="100"/>
  <c r="C86" i="100"/>
  <c r="A86" i="100"/>
  <c r="F85" i="100"/>
  <c r="E85" i="100"/>
  <c r="D85" i="100"/>
  <c r="C85" i="100"/>
  <c r="B85" i="100"/>
  <c r="F84" i="100"/>
  <c r="E84" i="100"/>
  <c r="D84" i="100"/>
  <c r="C84" i="100"/>
  <c r="B84" i="100"/>
  <c r="F83" i="100"/>
  <c r="E83" i="100"/>
  <c r="D83" i="100"/>
  <c r="C83" i="100"/>
  <c r="B83" i="100"/>
  <c r="F82" i="100"/>
  <c r="E82" i="100"/>
  <c r="D82" i="100"/>
  <c r="C82" i="100"/>
  <c r="B82" i="100"/>
  <c r="F81" i="100"/>
  <c r="E81" i="100"/>
  <c r="D81" i="100"/>
  <c r="C81" i="100"/>
  <c r="B81" i="100"/>
  <c r="F80" i="100"/>
  <c r="E80" i="100"/>
  <c r="D80" i="100"/>
  <c r="C80" i="100"/>
  <c r="B80" i="100"/>
  <c r="F79" i="100"/>
  <c r="E79" i="100"/>
  <c r="D79" i="100"/>
  <c r="C79" i="100"/>
  <c r="B79" i="100"/>
  <c r="F78" i="100"/>
  <c r="E78" i="100"/>
  <c r="D78" i="100"/>
  <c r="C78" i="100"/>
  <c r="B78" i="100"/>
  <c r="F77" i="100"/>
  <c r="E77" i="100"/>
  <c r="D77" i="100"/>
  <c r="C77" i="100"/>
  <c r="B77" i="100"/>
  <c r="F76" i="100"/>
  <c r="E76" i="100"/>
  <c r="D76" i="100"/>
  <c r="C76" i="100"/>
  <c r="B76" i="100"/>
  <c r="F75" i="100"/>
  <c r="E75" i="100"/>
  <c r="D75" i="100"/>
  <c r="C75" i="100"/>
  <c r="B75" i="100"/>
  <c r="F74" i="100"/>
  <c r="E74" i="100"/>
  <c r="D74" i="100"/>
  <c r="C74" i="100"/>
  <c r="C73" i="100"/>
  <c r="B73" i="100"/>
  <c r="F69" i="100"/>
  <c r="E69" i="100"/>
  <c r="D69" i="100"/>
  <c r="C69" i="100"/>
  <c r="A69" i="100"/>
  <c r="F68" i="100"/>
  <c r="E68" i="100"/>
  <c r="D68" i="100"/>
  <c r="C68" i="100"/>
  <c r="B68" i="100"/>
  <c r="F67" i="100"/>
  <c r="E67" i="100"/>
  <c r="D67" i="100"/>
  <c r="C67" i="100"/>
  <c r="B67" i="100"/>
  <c r="F66" i="100"/>
  <c r="E66" i="100"/>
  <c r="D66" i="100"/>
  <c r="C66" i="100"/>
  <c r="B66" i="100"/>
  <c r="F65" i="100"/>
  <c r="E65" i="100"/>
  <c r="D65" i="100"/>
  <c r="C65" i="100"/>
  <c r="B65" i="100"/>
  <c r="F64" i="100"/>
  <c r="E64" i="100"/>
  <c r="D64" i="100"/>
  <c r="C64" i="100"/>
  <c r="B64" i="100"/>
  <c r="F63" i="100"/>
  <c r="E63" i="100"/>
  <c r="D63" i="100"/>
  <c r="C63" i="100"/>
  <c r="B63" i="100"/>
  <c r="F62" i="100"/>
  <c r="E62" i="100"/>
  <c r="D62" i="100"/>
  <c r="C62" i="100"/>
  <c r="B62" i="100"/>
  <c r="F61" i="100"/>
  <c r="E61" i="100"/>
  <c r="D61" i="100"/>
  <c r="C61" i="100"/>
  <c r="B61" i="100"/>
  <c r="F60" i="100"/>
  <c r="E60" i="100"/>
  <c r="D60" i="100"/>
  <c r="C60" i="100"/>
  <c r="B60" i="100"/>
  <c r="F59" i="100"/>
  <c r="E59" i="100"/>
  <c r="D59" i="100"/>
  <c r="C59" i="100"/>
  <c r="B59" i="100"/>
  <c r="F58" i="100"/>
  <c r="E58" i="100"/>
  <c r="D58" i="100"/>
  <c r="C58" i="100"/>
  <c r="B58" i="100"/>
  <c r="F57" i="100"/>
  <c r="E57" i="100"/>
  <c r="D57" i="100"/>
  <c r="C57" i="100"/>
  <c r="C56" i="100"/>
  <c r="B56" i="100"/>
  <c r="B52" i="100"/>
  <c r="F50" i="100"/>
  <c r="E50" i="100"/>
  <c r="D50" i="100"/>
  <c r="C50" i="100"/>
  <c r="A50" i="100"/>
  <c r="F49" i="100"/>
  <c r="E49" i="100"/>
  <c r="D49" i="100"/>
  <c r="C49" i="100"/>
  <c r="B49" i="100"/>
  <c r="F48" i="100"/>
  <c r="E48" i="100"/>
  <c r="D48" i="100"/>
  <c r="C48" i="100"/>
  <c r="B48" i="100"/>
  <c r="F47" i="100"/>
  <c r="E47" i="100"/>
  <c r="D47" i="100"/>
  <c r="C47" i="100"/>
  <c r="B47" i="100"/>
  <c r="F46" i="100"/>
  <c r="E46" i="100"/>
  <c r="D46" i="100"/>
  <c r="C46" i="100"/>
  <c r="B46" i="100"/>
  <c r="F45" i="100"/>
  <c r="E45" i="100"/>
  <c r="D45" i="100"/>
  <c r="C45" i="100"/>
  <c r="B45" i="100"/>
  <c r="F44" i="100"/>
  <c r="E44" i="100"/>
  <c r="D44" i="100"/>
  <c r="C44" i="100"/>
  <c r="B44" i="100"/>
  <c r="F43" i="100"/>
  <c r="E43" i="100"/>
  <c r="D43" i="100"/>
  <c r="C43" i="100"/>
  <c r="B43" i="100"/>
  <c r="F42" i="100"/>
  <c r="E42" i="100"/>
  <c r="D42" i="100"/>
  <c r="C42" i="100"/>
  <c r="B42" i="100"/>
  <c r="F41" i="100"/>
  <c r="E41" i="100"/>
  <c r="D41" i="100"/>
  <c r="C41" i="100"/>
  <c r="B41" i="100"/>
  <c r="F40" i="100"/>
  <c r="E40" i="100"/>
  <c r="D40" i="100"/>
  <c r="C40" i="100"/>
  <c r="B40" i="100"/>
  <c r="F39" i="100"/>
  <c r="E39" i="100"/>
  <c r="D39" i="100"/>
  <c r="C39" i="100"/>
  <c r="B39" i="100"/>
  <c r="F38" i="100"/>
  <c r="E38" i="100"/>
  <c r="D38" i="100"/>
  <c r="C38" i="100"/>
  <c r="C37" i="100"/>
  <c r="B37" i="100"/>
  <c r="B35" i="100"/>
  <c r="F33" i="100"/>
  <c r="E33" i="100"/>
  <c r="D33" i="100"/>
  <c r="C33" i="100"/>
  <c r="A33" i="100"/>
  <c r="F32" i="100"/>
  <c r="E32" i="100"/>
  <c r="D32" i="100"/>
  <c r="C32" i="100"/>
  <c r="B32" i="100"/>
  <c r="F31" i="100"/>
  <c r="E31" i="100"/>
  <c r="D31" i="100"/>
  <c r="C31" i="100"/>
  <c r="B31" i="100"/>
  <c r="F30" i="100"/>
  <c r="E30" i="100"/>
  <c r="D30" i="100"/>
  <c r="C30" i="100"/>
  <c r="B30" i="100"/>
  <c r="F29" i="100"/>
  <c r="E29" i="100"/>
  <c r="D29" i="100"/>
  <c r="C29" i="100"/>
  <c r="B29" i="100"/>
  <c r="F28" i="100"/>
  <c r="E28" i="100"/>
  <c r="D28" i="100"/>
  <c r="C28" i="100"/>
  <c r="B28" i="100"/>
  <c r="F27" i="100"/>
  <c r="E27" i="100"/>
  <c r="D27" i="100"/>
  <c r="C27" i="100"/>
  <c r="B27" i="100"/>
  <c r="F26" i="100"/>
  <c r="E26" i="100"/>
  <c r="D26" i="100"/>
  <c r="C26" i="100"/>
  <c r="B26" i="100"/>
  <c r="F25" i="100"/>
  <c r="E25" i="100"/>
  <c r="D25" i="100"/>
  <c r="C25" i="100"/>
  <c r="B25" i="100"/>
  <c r="F24" i="100"/>
  <c r="E24" i="100"/>
  <c r="D24" i="100"/>
  <c r="C24" i="100"/>
  <c r="B24" i="100"/>
  <c r="F23" i="100"/>
  <c r="E23" i="100"/>
  <c r="D23" i="100"/>
  <c r="C23" i="100"/>
  <c r="B23" i="100"/>
  <c r="F22" i="100"/>
  <c r="E22" i="100"/>
  <c r="D22" i="100"/>
  <c r="C22" i="100"/>
  <c r="B22" i="100"/>
  <c r="F21" i="100"/>
  <c r="E21" i="100"/>
  <c r="D21" i="100"/>
  <c r="C21" i="100"/>
  <c r="B20" i="100"/>
  <c r="B18" i="100"/>
  <c r="K14" i="100"/>
  <c r="J14" i="100"/>
  <c r="I14" i="100"/>
  <c r="H14" i="100"/>
  <c r="A10" i="100"/>
  <c r="A1" i="100"/>
  <c r="G150" i="121"/>
  <c r="F150" i="121"/>
  <c r="E150" i="121"/>
  <c r="D150" i="121"/>
  <c r="C150" i="121"/>
  <c r="B150" i="121"/>
  <c r="G149" i="121"/>
  <c r="F149" i="121"/>
  <c r="E149" i="121"/>
  <c r="D149" i="121"/>
  <c r="C149" i="121"/>
  <c r="B149" i="121"/>
  <c r="G148" i="121"/>
  <c r="F148" i="121"/>
  <c r="E148" i="121"/>
  <c r="D148" i="121"/>
  <c r="C148" i="121"/>
  <c r="B148" i="121"/>
  <c r="G147" i="121"/>
  <c r="F147" i="121"/>
  <c r="E147" i="121"/>
  <c r="D147" i="121"/>
  <c r="C147" i="121"/>
  <c r="B147" i="121"/>
  <c r="G146" i="121"/>
  <c r="F146" i="121"/>
  <c r="E146" i="121"/>
  <c r="D146" i="121"/>
  <c r="C146" i="121"/>
  <c r="B146" i="121"/>
  <c r="G145" i="121"/>
  <c r="F145" i="121"/>
  <c r="E145" i="121"/>
  <c r="D145" i="121"/>
  <c r="C145" i="121"/>
  <c r="B145" i="121"/>
  <c r="G144" i="121"/>
  <c r="F144" i="121"/>
  <c r="E144" i="121"/>
  <c r="D144" i="121"/>
  <c r="C144" i="121"/>
  <c r="B144" i="121"/>
  <c r="G143" i="121"/>
  <c r="F143" i="121"/>
  <c r="E143" i="121"/>
  <c r="D143" i="121"/>
  <c r="C143" i="121"/>
  <c r="B143" i="121"/>
  <c r="G142" i="121"/>
  <c r="F142" i="121"/>
  <c r="E142" i="121"/>
  <c r="D142" i="121"/>
  <c r="C142" i="121"/>
  <c r="B142" i="121"/>
  <c r="G141" i="121"/>
  <c r="F141" i="121"/>
  <c r="E141" i="121"/>
  <c r="D141" i="121"/>
  <c r="C141" i="121"/>
  <c r="B141" i="121"/>
  <c r="G140" i="121"/>
  <c r="F140" i="121"/>
  <c r="E140" i="121"/>
  <c r="D140" i="121"/>
  <c r="C140" i="121"/>
  <c r="B140" i="121"/>
  <c r="F138" i="121"/>
  <c r="E138" i="121"/>
  <c r="D138" i="121"/>
  <c r="C138" i="121"/>
  <c r="B138" i="121"/>
  <c r="G134" i="121"/>
  <c r="F134" i="121"/>
  <c r="E134" i="121"/>
  <c r="D134" i="121"/>
  <c r="C134" i="121"/>
  <c r="B134" i="121"/>
  <c r="G133" i="121"/>
  <c r="F133" i="121"/>
  <c r="E133" i="121"/>
  <c r="D133" i="121"/>
  <c r="C133" i="121"/>
  <c r="B133" i="121"/>
  <c r="G132" i="121"/>
  <c r="F132" i="121"/>
  <c r="E132" i="121"/>
  <c r="D132" i="121"/>
  <c r="C132" i="121"/>
  <c r="B132" i="121"/>
  <c r="G131" i="121"/>
  <c r="F131" i="121"/>
  <c r="E131" i="121"/>
  <c r="D131" i="121"/>
  <c r="C131" i="121"/>
  <c r="B131" i="121"/>
  <c r="G130" i="121"/>
  <c r="F130" i="121"/>
  <c r="E130" i="121"/>
  <c r="D130" i="121"/>
  <c r="C130" i="121"/>
  <c r="B130" i="121"/>
  <c r="G129" i="121"/>
  <c r="F129" i="121"/>
  <c r="E129" i="121"/>
  <c r="D129" i="121"/>
  <c r="C129" i="121"/>
  <c r="B129" i="121"/>
  <c r="G128" i="121"/>
  <c r="F128" i="121"/>
  <c r="E128" i="121"/>
  <c r="D128" i="121"/>
  <c r="C128" i="121"/>
  <c r="B128" i="121"/>
  <c r="G127" i="121"/>
  <c r="F127" i="121"/>
  <c r="E127" i="121"/>
  <c r="D127" i="121"/>
  <c r="C127" i="121"/>
  <c r="B127" i="121"/>
  <c r="G126" i="121"/>
  <c r="F126" i="121"/>
  <c r="E126" i="121"/>
  <c r="D126" i="121"/>
  <c r="C126" i="121"/>
  <c r="B126" i="121"/>
  <c r="G125" i="121"/>
  <c r="F125" i="121"/>
  <c r="E125" i="121"/>
  <c r="D125" i="121"/>
  <c r="C125" i="121"/>
  <c r="B125" i="121"/>
  <c r="G124" i="121"/>
  <c r="F124" i="121"/>
  <c r="E124" i="121"/>
  <c r="D124" i="121"/>
  <c r="C124" i="121"/>
  <c r="B124" i="121"/>
  <c r="F122" i="121"/>
  <c r="E122" i="121"/>
  <c r="D122" i="121"/>
  <c r="C122" i="121"/>
  <c r="B122" i="121"/>
  <c r="F118" i="121"/>
  <c r="E118" i="121"/>
  <c r="D118" i="121"/>
  <c r="C118" i="121"/>
  <c r="B118" i="121"/>
  <c r="F117" i="121"/>
  <c r="E117" i="121"/>
  <c r="D117" i="121"/>
  <c r="C117" i="121"/>
  <c r="B117" i="121"/>
  <c r="F116" i="121"/>
  <c r="E116" i="121"/>
  <c r="D116" i="121"/>
  <c r="C116" i="121"/>
  <c r="B116" i="121"/>
  <c r="F115" i="121"/>
  <c r="E115" i="121"/>
  <c r="D115" i="121"/>
  <c r="C115" i="121"/>
  <c r="B115" i="121"/>
  <c r="F114" i="121"/>
  <c r="E114" i="121"/>
  <c r="D114" i="121"/>
  <c r="C114" i="121"/>
  <c r="B114" i="121"/>
  <c r="F113" i="121"/>
  <c r="E113" i="121"/>
  <c r="D113" i="121"/>
  <c r="C113" i="121"/>
  <c r="B113" i="121"/>
  <c r="F112" i="121"/>
  <c r="E112" i="121"/>
  <c r="D112" i="121"/>
  <c r="C112" i="121"/>
  <c r="B112" i="121"/>
  <c r="F111" i="121"/>
  <c r="E111" i="121"/>
  <c r="D111" i="121"/>
  <c r="C111" i="121"/>
  <c r="B111" i="121"/>
  <c r="F110" i="121"/>
  <c r="E110" i="121"/>
  <c r="D110" i="121"/>
  <c r="C110" i="121"/>
  <c r="B110" i="121"/>
  <c r="F109" i="121"/>
  <c r="E109" i="121"/>
  <c r="D109" i="121"/>
  <c r="C109" i="121"/>
  <c r="B109" i="121"/>
  <c r="F108" i="121"/>
  <c r="E108" i="121"/>
  <c r="D108" i="121"/>
  <c r="C108" i="121"/>
  <c r="B108" i="121"/>
  <c r="F107" i="121"/>
  <c r="E107" i="121"/>
  <c r="D107" i="121"/>
  <c r="C107" i="121"/>
  <c r="C106" i="121"/>
  <c r="B106" i="121"/>
  <c r="F102" i="121"/>
  <c r="E102" i="121"/>
  <c r="D102" i="121"/>
  <c r="C102" i="121"/>
  <c r="B102" i="121"/>
  <c r="F101" i="121"/>
  <c r="E101" i="121"/>
  <c r="D101" i="121"/>
  <c r="C101" i="121"/>
  <c r="B101" i="121"/>
  <c r="F100" i="121"/>
  <c r="E100" i="121"/>
  <c r="D100" i="121"/>
  <c r="C100" i="121"/>
  <c r="B100" i="121"/>
  <c r="F99" i="121"/>
  <c r="E99" i="121"/>
  <c r="D99" i="121"/>
  <c r="C99" i="121"/>
  <c r="B99" i="121"/>
  <c r="F98" i="121"/>
  <c r="E98" i="121"/>
  <c r="D98" i="121"/>
  <c r="C98" i="121"/>
  <c r="B98" i="121"/>
  <c r="F97" i="121"/>
  <c r="E97" i="121"/>
  <c r="D97" i="121"/>
  <c r="C97" i="121"/>
  <c r="B97" i="121"/>
  <c r="F96" i="121"/>
  <c r="E96" i="121"/>
  <c r="D96" i="121"/>
  <c r="C96" i="121"/>
  <c r="B96" i="121"/>
  <c r="F95" i="121"/>
  <c r="E95" i="121"/>
  <c r="D95" i="121"/>
  <c r="C95" i="121"/>
  <c r="B95" i="121"/>
  <c r="F94" i="121"/>
  <c r="E94" i="121"/>
  <c r="D94" i="121"/>
  <c r="C94" i="121"/>
  <c r="B94" i="121"/>
  <c r="F93" i="121"/>
  <c r="E93" i="121"/>
  <c r="D93" i="121"/>
  <c r="C93" i="121"/>
  <c r="B93" i="121"/>
  <c r="F92" i="121"/>
  <c r="E92" i="121"/>
  <c r="D92" i="121"/>
  <c r="C92" i="121"/>
  <c r="B92" i="121"/>
  <c r="F91" i="121"/>
  <c r="E91" i="121"/>
  <c r="D91" i="121"/>
  <c r="C91" i="121"/>
  <c r="C90" i="121"/>
  <c r="B90" i="121"/>
  <c r="F86" i="121"/>
  <c r="E86" i="121"/>
  <c r="D86" i="121"/>
  <c r="C86" i="121"/>
  <c r="A86" i="121"/>
  <c r="F85" i="121"/>
  <c r="E85" i="121"/>
  <c r="D85" i="121"/>
  <c r="C85" i="121"/>
  <c r="B85" i="121"/>
  <c r="F84" i="121"/>
  <c r="E84" i="121"/>
  <c r="D84" i="121"/>
  <c r="C84" i="121"/>
  <c r="B84" i="121"/>
  <c r="F83" i="121"/>
  <c r="E83" i="121"/>
  <c r="D83" i="121"/>
  <c r="C83" i="121"/>
  <c r="B83" i="121"/>
  <c r="F82" i="121"/>
  <c r="E82" i="121"/>
  <c r="D82" i="121"/>
  <c r="C82" i="121"/>
  <c r="B82" i="121"/>
  <c r="F81" i="121"/>
  <c r="E81" i="121"/>
  <c r="D81" i="121"/>
  <c r="C81" i="121"/>
  <c r="B81" i="121"/>
  <c r="F80" i="121"/>
  <c r="E80" i="121"/>
  <c r="D80" i="121"/>
  <c r="C80" i="121"/>
  <c r="B80" i="121"/>
  <c r="F79" i="121"/>
  <c r="E79" i="121"/>
  <c r="D79" i="121"/>
  <c r="C79" i="121"/>
  <c r="B79" i="121"/>
  <c r="F78" i="121"/>
  <c r="E78" i="121"/>
  <c r="D78" i="121"/>
  <c r="C78" i="121"/>
  <c r="B78" i="121"/>
  <c r="F77" i="121"/>
  <c r="E77" i="121"/>
  <c r="D77" i="121"/>
  <c r="C77" i="121"/>
  <c r="B77" i="121"/>
  <c r="F76" i="121"/>
  <c r="E76" i="121"/>
  <c r="D76" i="121"/>
  <c r="C76" i="121"/>
  <c r="B76" i="121"/>
  <c r="F75" i="121"/>
  <c r="E75" i="121"/>
  <c r="D75" i="121"/>
  <c r="C75" i="121"/>
  <c r="B75" i="121"/>
  <c r="F74" i="121"/>
  <c r="E74" i="121"/>
  <c r="D74" i="121"/>
  <c r="C74" i="121"/>
  <c r="C73" i="121"/>
  <c r="B73" i="121"/>
  <c r="F69" i="121"/>
  <c r="E69" i="121"/>
  <c r="D69" i="121"/>
  <c r="C69" i="121"/>
  <c r="A69" i="121"/>
  <c r="F68" i="121"/>
  <c r="E68" i="121"/>
  <c r="D68" i="121"/>
  <c r="C68" i="121"/>
  <c r="B68" i="121"/>
  <c r="F67" i="121"/>
  <c r="E67" i="121"/>
  <c r="D67" i="121"/>
  <c r="C67" i="121"/>
  <c r="B67" i="121"/>
  <c r="F66" i="121"/>
  <c r="E66" i="121"/>
  <c r="D66" i="121"/>
  <c r="C66" i="121"/>
  <c r="B66" i="121"/>
  <c r="F65" i="121"/>
  <c r="E65" i="121"/>
  <c r="D65" i="121"/>
  <c r="C65" i="121"/>
  <c r="B65" i="121"/>
  <c r="F64" i="121"/>
  <c r="E64" i="121"/>
  <c r="D64" i="121"/>
  <c r="C64" i="121"/>
  <c r="B64" i="121"/>
  <c r="F63" i="121"/>
  <c r="E63" i="121"/>
  <c r="D63" i="121"/>
  <c r="C63" i="121"/>
  <c r="B63" i="121"/>
  <c r="F62" i="121"/>
  <c r="E62" i="121"/>
  <c r="D62" i="121"/>
  <c r="C62" i="121"/>
  <c r="B62" i="121"/>
  <c r="F61" i="121"/>
  <c r="E61" i="121"/>
  <c r="D61" i="121"/>
  <c r="C61" i="121"/>
  <c r="B61" i="121"/>
  <c r="F60" i="121"/>
  <c r="E60" i="121"/>
  <c r="D60" i="121"/>
  <c r="C60" i="121"/>
  <c r="B60" i="121"/>
  <c r="F59" i="121"/>
  <c r="E59" i="121"/>
  <c r="D59" i="121"/>
  <c r="C59" i="121"/>
  <c r="B59" i="121"/>
  <c r="F58" i="121"/>
  <c r="E58" i="121"/>
  <c r="D58" i="121"/>
  <c r="C58" i="121"/>
  <c r="B58" i="121"/>
  <c r="F57" i="121"/>
  <c r="E57" i="121"/>
  <c r="D57" i="121"/>
  <c r="C57" i="121"/>
  <c r="C56" i="121"/>
  <c r="B56" i="121"/>
  <c r="F50" i="121"/>
  <c r="E50" i="121"/>
  <c r="D50" i="121"/>
  <c r="C50" i="121"/>
  <c r="A50" i="121"/>
  <c r="F49" i="121"/>
  <c r="E49" i="121"/>
  <c r="D49" i="121"/>
  <c r="C49" i="121"/>
  <c r="B49" i="121"/>
  <c r="F48" i="121"/>
  <c r="E48" i="121"/>
  <c r="D48" i="121"/>
  <c r="C48" i="121"/>
  <c r="B48" i="121"/>
  <c r="F47" i="121"/>
  <c r="E47" i="121"/>
  <c r="D47" i="121"/>
  <c r="C47" i="121"/>
  <c r="B47" i="121"/>
  <c r="F46" i="121"/>
  <c r="E46" i="121"/>
  <c r="D46" i="121"/>
  <c r="C46" i="121"/>
  <c r="B46" i="121"/>
  <c r="F45" i="121"/>
  <c r="E45" i="121"/>
  <c r="D45" i="121"/>
  <c r="C45" i="121"/>
  <c r="B45" i="121"/>
  <c r="F44" i="121"/>
  <c r="E44" i="121"/>
  <c r="D44" i="121"/>
  <c r="C44" i="121"/>
  <c r="B44" i="121"/>
  <c r="F43" i="121"/>
  <c r="E43" i="121"/>
  <c r="D43" i="121"/>
  <c r="C43" i="121"/>
  <c r="B43" i="121"/>
  <c r="F42" i="121"/>
  <c r="E42" i="121"/>
  <c r="D42" i="121"/>
  <c r="C42" i="121"/>
  <c r="B42" i="121"/>
  <c r="F41" i="121"/>
  <c r="E41" i="121"/>
  <c r="D41" i="121"/>
  <c r="C41" i="121"/>
  <c r="B41" i="121"/>
  <c r="F40" i="121"/>
  <c r="E40" i="121"/>
  <c r="D40" i="121"/>
  <c r="C40" i="121"/>
  <c r="B40" i="121"/>
  <c r="F39" i="121"/>
  <c r="E39" i="121"/>
  <c r="D39" i="121"/>
  <c r="C39" i="121"/>
  <c r="B39" i="121"/>
  <c r="F38" i="121"/>
  <c r="E38" i="121"/>
  <c r="D38" i="121"/>
  <c r="C38" i="121"/>
  <c r="C37" i="121"/>
  <c r="B37" i="121"/>
  <c r="B35" i="121"/>
  <c r="F33" i="121"/>
  <c r="E33" i="121"/>
  <c r="D33" i="121"/>
  <c r="C33" i="121"/>
  <c r="A33" i="121"/>
  <c r="F32" i="121"/>
  <c r="E32" i="121"/>
  <c r="D32" i="121"/>
  <c r="C32" i="121"/>
  <c r="B32" i="121"/>
  <c r="F31" i="121"/>
  <c r="E31" i="121"/>
  <c r="D31" i="121"/>
  <c r="C31" i="121"/>
  <c r="B31" i="121"/>
  <c r="F30" i="121"/>
  <c r="E30" i="121"/>
  <c r="D30" i="121"/>
  <c r="C30" i="121"/>
  <c r="B30" i="121"/>
  <c r="F29" i="121"/>
  <c r="E29" i="121"/>
  <c r="D29" i="121"/>
  <c r="C29" i="121"/>
  <c r="B29" i="121"/>
  <c r="F28" i="121"/>
  <c r="E28" i="121"/>
  <c r="D28" i="121"/>
  <c r="C28" i="121"/>
  <c r="B28" i="121"/>
  <c r="F27" i="121"/>
  <c r="E27" i="121"/>
  <c r="D27" i="121"/>
  <c r="C27" i="121"/>
  <c r="B27" i="121"/>
  <c r="F26" i="121"/>
  <c r="E26" i="121"/>
  <c r="D26" i="121"/>
  <c r="C26" i="121"/>
  <c r="B26" i="121"/>
  <c r="F25" i="121"/>
  <c r="E25" i="121"/>
  <c r="D25" i="121"/>
  <c r="C25" i="121"/>
  <c r="B25" i="121"/>
  <c r="F24" i="121"/>
  <c r="E24" i="121"/>
  <c r="D24" i="121"/>
  <c r="C24" i="121"/>
  <c r="B24" i="121"/>
  <c r="F23" i="121"/>
  <c r="E23" i="121"/>
  <c r="D23" i="121"/>
  <c r="C23" i="121"/>
  <c r="B23" i="121"/>
  <c r="F22" i="121"/>
  <c r="E22" i="121"/>
  <c r="D22" i="121"/>
  <c r="C22" i="121"/>
  <c r="B22" i="121"/>
  <c r="F21" i="121"/>
  <c r="E21" i="121"/>
  <c r="D21" i="121"/>
  <c r="C21" i="121"/>
  <c r="B20" i="121"/>
  <c r="B18" i="121"/>
  <c r="A10" i="121"/>
  <c r="A1" i="121"/>
  <c r="G150" i="117"/>
  <c r="F150" i="117"/>
  <c r="E150" i="117"/>
  <c r="D150" i="117"/>
  <c r="C150" i="117"/>
  <c r="B150" i="117"/>
  <c r="G149" i="117"/>
  <c r="F149" i="117"/>
  <c r="E149" i="117"/>
  <c r="D149" i="117"/>
  <c r="C149" i="117"/>
  <c r="B149" i="117"/>
  <c r="G148" i="117"/>
  <c r="F148" i="117"/>
  <c r="E148" i="117"/>
  <c r="D148" i="117"/>
  <c r="C148" i="117"/>
  <c r="B148" i="117"/>
  <c r="G147" i="117"/>
  <c r="F147" i="117"/>
  <c r="E147" i="117"/>
  <c r="D147" i="117"/>
  <c r="C147" i="117"/>
  <c r="B147" i="117"/>
  <c r="G146" i="117"/>
  <c r="F146" i="117"/>
  <c r="E146" i="117"/>
  <c r="D146" i="117"/>
  <c r="C146" i="117"/>
  <c r="B146" i="117"/>
  <c r="G145" i="117"/>
  <c r="F145" i="117"/>
  <c r="E145" i="117"/>
  <c r="D145" i="117"/>
  <c r="C145" i="117"/>
  <c r="B145" i="117"/>
  <c r="G144" i="117"/>
  <c r="F144" i="117"/>
  <c r="E144" i="117"/>
  <c r="D144" i="117"/>
  <c r="C144" i="117"/>
  <c r="B144" i="117"/>
  <c r="G143" i="117"/>
  <c r="F143" i="117"/>
  <c r="E143" i="117"/>
  <c r="D143" i="117"/>
  <c r="C143" i="117"/>
  <c r="B143" i="117"/>
  <c r="G142" i="117"/>
  <c r="F142" i="117"/>
  <c r="E142" i="117"/>
  <c r="D142" i="117"/>
  <c r="C142" i="117"/>
  <c r="B142" i="117"/>
  <c r="G141" i="117"/>
  <c r="F141" i="117"/>
  <c r="E141" i="117"/>
  <c r="D141" i="117"/>
  <c r="C141" i="117"/>
  <c r="B141" i="117"/>
  <c r="G140" i="117"/>
  <c r="F140" i="117"/>
  <c r="E140" i="117"/>
  <c r="D140" i="117"/>
  <c r="C140" i="117"/>
  <c r="B140" i="117"/>
  <c r="F138" i="117"/>
  <c r="E138" i="117"/>
  <c r="D138" i="117"/>
  <c r="C138" i="117"/>
  <c r="B138" i="117"/>
  <c r="G134" i="117"/>
  <c r="F134" i="117"/>
  <c r="E134" i="117"/>
  <c r="D134" i="117"/>
  <c r="C134" i="117"/>
  <c r="B134" i="117"/>
  <c r="G133" i="117"/>
  <c r="F133" i="117"/>
  <c r="E133" i="117"/>
  <c r="D133" i="117"/>
  <c r="C133" i="117"/>
  <c r="B133" i="117"/>
  <c r="G132" i="117"/>
  <c r="F132" i="117"/>
  <c r="E132" i="117"/>
  <c r="D132" i="117"/>
  <c r="C132" i="117"/>
  <c r="B132" i="117"/>
  <c r="G131" i="117"/>
  <c r="F131" i="117"/>
  <c r="E131" i="117"/>
  <c r="D131" i="117"/>
  <c r="C131" i="117"/>
  <c r="B131" i="117"/>
  <c r="G130" i="117"/>
  <c r="F130" i="117"/>
  <c r="E130" i="117"/>
  <c r="D130" i="117"/>
  <c r="C130" i="117"/>
  <c r="B130" i="117"/>
  <c r="G129" i="117"/>
  <c r="F129" i="117"/>
  <c r="E129" i="117"/>
  <c r="D129" i="117"/>
  <c r="C129" i="117"/>
  <c r="B129" i="117"/>
  <c r="G128" i="117"/>
  <c r="F128" i="117"/>
  <c r="E128" i="117"/>
  <c r="D128" i="117"/>
  <c r="C128" i="117"/>
  <c r="B128" i="117"/>
  <c r="G127" i="117"/>
  <c r="F127" i="117"/>
  <c r="E127" i="117"/>
  <c r="D127" i="117"/>
  <c r="C127" i="117"/>
  <c r="B127" i="117"/>
  <c r="G126" i="117"/>
  <c r="F126" i="117"/>
  <c r="E126" i="117"/>
  <c r="D126" i="117"/>
  <c r="C126" i="117"/>
  <c r="B126" i="117"/>
  <c r="G125" i="117"/>
  <c r="F125" i="117"/>
  <c r="E125" i="117"/>
  <c r="D125" i="117"/>
  <c r="C125" i="117"/>
  <c r="B125" i="117"/>
  <c r="G124" i="117"/>
  <c r="F124" i="117"/>
  <c r="E124" i="117"/>
  <c r="D124" i="117"/>
  <c r="C124" i="117"/>
  <c r="B124" i="117"/>
  <c r="F122" i="117"/>
  <c r="E122" i="117"/>
  <c r="D122" i="117"/>
  <c r="C122" i="117"/>
  <c r="B122" i="117"/>
  <c r="F118" i="117"/>
  <c r="E118" i="117"/>
  <c r="D118" i="117"/>
  <c r="C118" i="117"/>
  <c r="B118" i="117"/>
  <c r="F117" i="117"/>
  <c r="E117" i="117"/>
  <c r="D117" i="117"/>
  <c r="C117" i="117"/>
  <c r="B117" i="117"/>
  <c r="F116" i="117"/>
  <c r="E116" i="117"/>
  <c r="D116" i="117"/>
  <c r="C116" i="117"/>
  <c r="B116" i="117"/>
  <c r="F115" i="117"/>
  <c r="E115" i="117"/>
  <c r="D115" i="117"/>
  <c r="C115" i="117"/>
  <c r="B115" i="117"/>
  <c r="F114" i="117"/>
  <c r="E114" i="117"/>
  <c r="D114" i="117"/>
  <c r="C114" i="117"/>
  <c r="B114" i="117"/>
  <c r="F113" i="117"/>
  <c r="E113" i="117"/>
  <c r="D113" i="117"/>
  <c r="C113" i="117"/>
  <c r="B113" i="117"/>
  <c r="F112" i="117"/>
  <c r="E112" i="117"/>
  <c r="D112" i="117"/>
  <c r="C112" i="117"/>
  <c r="B112" i="117"/>
  <c r="F111" i="117"/>
  <c r="E111" i="117"/>
  <c r="D111" i="117"/>
  <c r="C111" i="117"/>
  <c r="B111" i="117"/>
  <c r="F110" i="117"/>
  <c r="E110" i="117"/>
  <c r="D110" i="117"/>
  <c r="C110" i="117"/>
  <c r="B110" i="117"/>
  <c r="F109" i="117"/>
  <c r="E109" i="117"/>
  <c r="D109" i="117"/>
  <c r="C109" i="117"/>
  <c r="B109" i="117"/>
  <c r="F108" i="117"/>
  <c r="E108" i="117"/>
  <c r="D108" i="117"/>
  <c r="C108" i="117"/>
  <c r="B108" i="117"/>
  <c r="F107" i="117"/>
  <c r="E107" i="117"/>
  <c r="D107" i="117"/>
  <c r="C107" i="117"/>
  <c r="C106" i="117"/>
  <c r="B106" i="117"/>
  <c r="F102" i="117"/>
  <c r="E102" i="117"/>
  <c r="D102" i="117"/>
  <c r="C102" i="117"/>
  <c r="B102" i="117"/>
  <c r="F101" i="117"/>
  <c r="E101" i="117"/>
  <c r="D101" i="117"/>
  <c r="C101" i="117"/>
  <c r="B101" i="117"/>
  <c r="F100" i="117"/>
  <c r="E100" i="117"/>
  <c r="D100" i="117"/>
  <c r="C100" i="117"/>
  <c r="B100" i="117"/>
  <c r="F99" i="117"/>
  <c r="E99" i="117"/>
  <c r="D99" i="117"/>
  <c r="C99" i="117"/>
  <c r="B99" i="117"/>
  <c r="F98" i="117"/>
  <c r="E98" i="117"/>
  <c r="D98" i="117"/>
  <c r="C98" i="117"/>
  <c r="B98" i="117"/>
  <c r="F97" i="117"/>
  <c r="E97" i="117"/>
  <c r="D97" i="117"/>
  <c r="C97" i="117"/>
  <c r="B97" i="117"/>
  <c r="F96" i="117"/>
  <c r="E96" i="117"/>
  <c r="D96" i="117"/>
  <c r="C96" i="117"/>
  <c r="B96" i="117"/>
  <c r="F95" i="117"/>
  <c r="E95" i="117"/>
  <c r="D95" i="117"/>
  <c r="C95" i="117"/>
  <c r="B95" i="117"/>
  <c r="F94" i="117"/>
  <c r="E94" i="117"/>
  <c r="D94" i="117"/>
  <c r="C94" i="117"/>
  <c r="B94" i="117"/>
  <c r="F93" i="117"/>
  <c r="E93" i="117"/>
  <c r="D93" i="117"/>
  <c r="C93" i="117"/>
  <c r="B93" i="117"/>
  <c r="F92" i="117"/>
  <c r="E92" i="117"/>
  <c r="D92" i="117"/>
  <c r="C92" i="117"/>
  <c r="B92" i="117"/>
  <c r="F91" i="117"/>
  <c r="E91" i="117"/>
  <c r="D91" i="117"/>
  <c r="C91" i="117"/>
  <c r="C90" i="117"/>
  <c r="B90" i="117"/>
  <c r="F86" i="117"/>
  <c r="E86" i="117"/>
  <c r="D86" i="117"/>
  <c r="C86" i="117"/>
  <c r="A86" i="117"/>
  <c r="F85" i="117"/>
  <c r="E85" i="117"/>
  <c r="D85" i="117"/>
  <c r="C85" i="117"/>
  <c r="B85" i="117"/>
  <c r="F84" i="117"/>
  <c r="E84" i="117"/>
  <c r="D84" i="117"/>
  <c r="C84" i="117"/>
  <c r="B84" i="117"/>
  <c r="F83" i="117"/>
  <c r="E83" i="117"/>
  <c r="D83" i="117"/>
  <c r="C83" i="117"/>
  <c r="B83" i="117"/>
  <c r="F82" i="117"/>
  <c r="E82" i="117"/>
  <c r="D82" i="117"/>
  <c r="C82" i="117"/>
  <c r="B82" i="117"/>
  <c r="F81" i="117"/>
  <c r="E81" i="117"/>
  <c r="D81" i="117"/>
  <c r="C81" i="117"/>
  <c r="B81" i="117"/>
  <c r="F80" i="117"/>
  <c r="E80" i="117"/>
  <c r="D80" i="117"/>
  <c r="C80" i="117"/>
  <c r="B80" i="117"/>
  <c r="F79" i="117"/>
  <c r="E79" i="117"/>
  <c r="D79" i="117"/>
  <c r="C79" i="117"/>
  <c r="B79" i="117"/>
  <c r="F78" i="117"/>
  <c r="E78" i="117"/>
  <c r="D78" i="117"/>
  <c r="C78" i="117"/>
  <c r="B78" i="117"/>
  <c r="F77" i="117"/>
  <c r="E77" i="117"/>
  <c r="D77" i="117"/>
  <c r="C77" i="117"/>
  <c r="B77" i="117"/>
  <c r="F76" i="117"/>
  <c r="E76" i="117"/>
  <c r="D76" i="117"/>
  <c r="C76" i="117"/>
  <c r="B76" i="117"/>
  <c r="F75" i="117"/>
  <c r="E75" i="117"/>
  <c r="D75" i="117"/>
  <c r="C75" i="117"/>
  <c r="B75" i="117"/>
  <c r="F74" i="117"/>
  <c r="E74" i="117"/>
  <c r="D74" i="117"/>
  <c r="C74" i="117"/>
  <c r="C73" i="117"/>
  <c r="B73" i="117"/>
  <c r="F69" i="117"/>
  <c r="E69" i="117"/>
  <c r="D69" i="117"/>
  <c r="C69" i="117"/>
  <c r="A69" i="117"/>
  <c r="F68" i="117"/>
  <c r="E68" i="117"/>
  <c r="D68" i="117"/>
  <c r="C68" i="117"/>
  <c r="B68" i="117"/>
  <c r="F67" i="117"/>
  <c r="E67" i="117"/>
  <c r="D67" i="117"/>
  <c r="C67" i="117"/>
  <c r="B67" i="117"/>
  <c r="F66" i="117"/>
  <c r="E66" i="117"/>
  <c r="D66" i="117"/>
  <c r="C66" i="117"/>
  <c r="B66" i="117"/>
  <c r="F65" i="117"/>
  <c r="E65" i="117"/>
  <c r="D65" i="117"/>
  <c r="C65" i="117"/>
  <c r="B65" i="117"/>
  <c r="F64" i="117"/>
  <c r="E64" i="117"/>
  <c r="D64" i="117"/>
  <c r="C64" i="117"/>
  <c r="B64" i="117"/>
  <c r="F63" i="117"/>
  <c r="E63" i="117"/>
  <c r="D63" i="117"/>
  <c r="C63" i="117"/>
  <c r="B63" i="117"/>
  <c r="F62" i="117"/>
  <c r="E62" i="117"/>
  <c r="D62" i="117"/>
  <c r="C62" i="117"/>
  <c r="B62" i="117"/>
  <c r="F61" i="117"/>
  <c r="E61" i="117"/>
  <c r="D61" i="117"/>
  <c r="C61" i="117"/>
  <c r="B61" i="117"/>
  <c r="F60" i="117"/>
  <c r="E60" i="117"/>
  <c r="D60" i="117"/>
  <c r="C60" i="117"/>
  <c r="B60" i="117"/>
  <c r="F59" i="117"/>
  <c r="E59" i="117"/>
  <c r="D59" i="117"/>
  <c r="C59" i="117"/>
  <c r="B59" i="117"/>
  <c r="F58" i="117"/>
  <c r="E58" i="117"/>
  <c r="D58" i="117"/>
  <c r="C58" i="117"/>
  <c r="B58" i="117"/>
  <c r="F57" i="117"/>
  <c r="E57" i="117"/>
  <c r="D57" i="117"/>
  <c r="C57" i="117"/>
  <c r="C56" i="117"/>
  <c r="B56" i="117"/>
  <c r="F50" i="117"/>
  <c r="E50" i="117"/>
  <c r="D50" i="117"/>
  <c r="C50" i="117"/>
  <c r="A50" i="117"/>
  <c r="F49" i="117"/>
  <c r="E49" i="117"/>
  <c r="D49" i="117"/>
  <c r="C49" i="117"/>
  <c r="B49" i="117"/>
  <c r="F48" i="117"/>
  <c r="E48" i="117"/>
  <c r="D48" i="117"/>
  <c r="C48" i="117"/>
  <c r="B48" i="117"/>
  <c r="F47" i="117"/>
  <c r="E47" i="117"/>
  <c r="D47" i="117"/>
  <c r="C47" i="117"/>
  <c r="B47" i="117"/>
  <c r="F46" i="117"/>
  <c r="E46" i="117"/>
  <c r="D46" i="117"/>
  <c r="C46" i="117"/>
  <c r="B46" i="117"/>
  <c r="F45" i="117"/>
  <c r="E45" i="117"/>
  <c r="D45" i="117"/>
  <c r="C45" i="117"/>
  <c r="B45" i="117"/>
  <c r="F44" i="117"/>
  <c r="E44" i="117"/>
  <c r="D44" i="117"/>
  <c r="C44" i="117"/>
  <c r="B44" i="117"/>
  <c r="F43" i="117"/>
  <c r="E43" i="117"/>
  <c r="D43" i="117"/>
  <c r="C43" i="117"/>
  <c r="B43" i="117"/>
  <c r="F42" i="117"/>
  <c r="E42" i="117"/>
  <c r="D42" i="117"/>
  <c r="C42" i="117"/>
  <c r="B42" i="117"/>
  <c r="F41" i="117"/>
  <c r="E41" i="117"/>
  <c r="D41" i="117"/>
  <c r="C41" i="117"/>
  <c r="B41" i="117"/>
  <c r="F40" i="117"/>
  <c r="E40" i="117"/>
  <c r="D40" i="117"/>
  <c r="C40" i="117"/>
  <c r="B40" i="117"/>
  <c r="F39" i="117"/>
  <c r="E39" i="117"/>
  <c r="D39" i="117"/>
  <c r="C39" i="117"/>
  <c r="B39" i="117"/>
  <c r="F38" i="117"/>
  <c r="E38" i="117"/>
  <c r="D38" i="117"/>
  <c r="C38" i="117"/>
  <c r="C37" i="117"/>
  <c r="B37" i="117"/>
  <c r="B35" i="117"/>
  <c r="F33" i="117"/>
  <c r="E33" i="117"/>
  <c r="D33" i="117"/>
  <c r="C33" i="117"/>
  <c r="A33" i="117"/>
  <c r="F32" i="117"/>
  <c r="E32" i="117"/>
  <c r="D32" i="117"/>
  <c r="C32" i="117"/>
  <c r="B32" i="117"/>
  <c r="F31" i="117"/>
  <c r="E31" i="117"/>
  <c r="D31" i="117"/>
  <c r="C31" i="117"/>
  <c r="B31" i="117"/>
  <c r="F30" i="117"/>
  <c r="E30" i="117"/>
  <c r="D30" i="117"/>
  <c r="C30" i="117"/>
  <c r="B30" i="117"/>
  <c r="F29" i="117"/>
  <c r="E29" i="117"/>
  <c r="D29" i="117"/>
  <c r="C29" i="117"/>
  <c r="B29" i="117"/>
  <c r="F28" i="117"/>
  <c r="E28" i="117"/>
  <c r="D28" i="117"/>
  <c r="C28" i="117"/>
  <c r="B28" i="117"/>
  <c r="F27" i="117"/>
  <c r="E27" i="117"/>
  <c r="D27" i="117"/>
  <c r="C27" i="117"/>
  <c r="B27" i="117"/>
  <c r="F26" i="117"/>
  <c r="E26" i="117"/>
  <c r="D26" i="117"/>
  <c r="C26" i="117"/>
  <c r="B26" i="117"/>
  <c r="F25" i="117"/>
  <c r="E25" i="117"/>
  <c r="D25" i="117"/>
  <c r="C25" i="117"/>
  <c r="B25" i="117"/>
  <c r="F24" i="117"/>
  <c r="E24" i="117"/>
  <c r="D24" i="117"/>
  <c r="C24" i="117"/>
  <c r="B24" i="117"/>
  <c r="F23" i="117"/>
  <c r="E23" i="117"/>
  <c r="D23" i="117"/>
  <c r="C23" i="117"/>
  <c r="B23" i="117"/>
  <c r="F22" i="117"/>
  <c r="E22" i="117"/>
  <c r="D22" i="117"/>
  <c r="C22" i="117"/>
  <c r="B22" i="117"/>
  <c r="F21" i="117"/>
  <c r="E21" i="117"/>
  <c r="D21" i="117"/>
  <c r="C21" i="117"/>
  <c r="B20" i="117"/>
  <c r="B18" i="117"/>
  <c r="K14" i="117"/>
  <c r="J14" i="117"/>
  <c r="I14" i="117"/>
  <c r="H14" i="117"/>
  <c r="A10" i="117"/>
  <c r="A1" i="117"/>
  <c r="G150" i="120"/>
  <c r="F150" i="120"/>
  <c r="E150" i="120"/>
  <c r="D150" i="120"/>
  <c r="C150" i="120"/>
  <c r="B150" i="120"/>
  <c r="G149" i="120"/>
  <c r="F149" i="120"/>
  <c r="E149" i="120"/>
  <c r="D149" i="120"/>
  <c r="C149" i="120"/>
  <c r="B149" i="120"/>
  <c r="G148" i="120"/>
  <c r="F148" i="120"/>
  <c r="E148" i="120"/>
  <c r="D148" i="120"/>
  <c r="C148" i="120"/>
  <c r="B148" i="120"/>
  <c r="G147" i="120"/>
  <c r="F147" i="120"/>
  <c r="E147" i="120"/>
  <c r="D147" i="120"/>
  <c r="C147" i="120"/>
  <c r="B147" i="120"/>
  <c r="G146" i="120"/>
  <c r="F146" i="120"/>
  <c r="E146" i="120"/>
  <c r="D146" i="120"/>
  <c r="C146" i="120"/>
  <c r="B146" i="120"/>
  <c r="G145" i="120"/>
  <c r="F145" i="120"/>
  <c r="E145" i="120"/>
  <c r="D145" i="120"/>
  <c r="C145" i="120"/>
  <c r="B145" i="120"/>
  <c r="G144" i="120"/>
  <c r="F144" i="120"/>
  <c r="E144" i="120"/>
  <c r="D144" i="120"/>
  <c r="C144" i="120"/>
  <c r="B144" i="120"/>
  <c r="G143" i="120"/>
  <c r="F143" i="120"/>
  <c r="E143" i="120"/>
  <c r="D143" i="120"/>
  <c r="C143" i="120"/>
  <c r="B143" i="120"/>
  <c r="G142" i="120"/>
  <c r="F142" i="120"/>
  <c r="E142" i="120"/>
  <c r="D142" i="120"/>
  <c r="C142" i="120"/>
  <c r="B142" i="120"/>
  <c r="G141" i="120"/>
  <c r="F141" i="120"/>
  <c r="E141" i="120"/>
  <c r="D141" i="120"/>
  <c r="C141" i="120"/>
  <c r="B141" i="120"/>
  <c r="G140" i="120"/>
  <c r="F140" i="120"/>
  <c r="E140" i="120"/>
  <c r="D140" i="120"/>
  <c r="C140" i="120"/>
  <c r="B140" i="120"/>
  <c r="F138" i="120"/>
  <c r="E138" i="120"/>
  <c r="D138" i="120"/>
  <c r="C138" i="120"/>
  <c r="B138" i="120"/>
  <c r="G134" i="120"/>
  <c r="F134" i="120"/>
  <c r="E134" i="120"/>
  <c r="D134" i="120"/>
  <c r="C134" i="120"/>
  <c r="B134" i="120"/>
  <c r="G133" i="120"/>
  <c r="F133" i="120"/>
  <c r="E133" i="120"/>
  <c r="D133" i="120"/>
  <c r="C133" i="120"/>
  <c r="B133" i="120"/>
  <c r="G132" i="120"/>
  <c r="F132" i="120"/>
  <c r="E132" i="120"/>
  <c r="D132" i="120"/>
  <c r="C132" i="120"/>
  <c r="B132" i="120"/>
  <c r="G131" i="120"/>
  <c r="F131" i="120"/>
  <c r="E131" i="120"/>
  <c r="D131" i="120"/>
  <c r="C131" i="120"/>
  <c r="B131" i="120"/>
  <c r="G130" i="120"/>
  <c r="F130" i="120"/>
  <c r="E130" i="120"/>
  <c r="D130" i="120"/>
  <c r="C130" i="120"/>
  <c r="B130" i="120"/>
  <c r="G129" i="120"/>
  <c r="F129" i="120"/>
  <c r="E129" i="120"/>
  <c r="D129" i="120"/>
  <c r="C129" i="120"/>
  <c r="B129" i="120"/>
  <c r="G128" i="120"/>
  <c r="F128" i="120"/>
  <c r="E128" i="120"/>
  <c r="D128" i="120"/>
  <c r="C128" i="120"/>
  <c r="B128" i="120"/>
  <c r="G127" i="120"/>
  <c r="F127" i="120"/>
  <c r="E127" i="120"/>
  <c r="D127" i="120"/>
  <c r="C127" i="120"/>
  <c r="B127" i="120"/>
  <c r="G126" i="120"/>
  <c r="F126" i="120"/>
  <c r="E126" i="120"/>
  <c r="D126" i="120"/>
  <c r="C126" i="120"/>
  <c r="B126" i="120"/>
  <c r="G125" i="120"/>
  <c r="F125" i="120"/>
  <c r="E125" i="120"/>
  <c r="D125" i="120"/>
  <c r="C125" i="120"/>
  <c r="B125" i="120"/>
  <c r="G124" i="120"/>
  <c r="F124" i="120"/>
  <c r="E124" i="120"/>
  <c r="D124" i="120"/>
  <c r="C124" i="120"/>
  <c r="B124" i="120"/>
  <c r="F122" i="120"/>
  <c r="E122" i="120"/>
  <c r="D122" i="120"/>
  <c r="C122" i="120"/>
  <c r="B122" i="120"/>
  <c r="F118" i="120"/>
  <c r="E118" i="120"/>
  <c r="D118" i="120"/>
  <c r="C118" i="120"/>
  <c r="B118" i="120"/>
  <c r="F117" i="120"/>
  <c r="E117" i="120"/>
  <c r="D117" i="120"/>
  <c r="C117" i="120"/>
  <c r="B117" i="120"/>
  <c r="F116" i="120"/>
  <c r="E116" i="120"/>
  <c r="D116" i="120"/>
  <c r="C116" i="120"/>
  <c r="B116" i="120"/>
  <c r="F115" i="120"/>
  <c r="E115" i="120"/>
  <c r="D115" i="120"/>
  <c r="C115" i="120"/>
  <c r="B115" i="120"/>
  <c r="F114" i="120"/>
  <c r="E114" i="120"/>
  <c r="D114" i="120"/>
  <c r="C114" i="120"/>
  <c r="B114" i="120"/>
  <c r="F113" i="120"/>
  <c r="E113" i="120"/>
  <c r="D113" i="120"/>
  <c r="C113" i="120"/>
  <c r="B113" i="120"/>
  <c r="F112" i="120"/>
  <c r="E112" i="120"/>
  <c r="D112" i="120"/>
  <c r="C112" i="120"/>
  <c r="B112" i="120"/>
  <c r="F111" i="120"/>
  <c r="E111" i="120"/>
  <c r="D111" i="120"/>
  <c r="C111" i="120"/>
  <c r="B111" i="120"/>
  <c r="F110" i="120"/>
  <c r="E110" i="120"/>
  <c r="D110" i="120"/>
  <c r="C110" i="120"/>
  <c r="B110" i="120"/>
  <c r="F109" i="120"/>
  <c r="E109" i="120"/>
  <c r="D109" i="120"/>
  <c r="C109" i="120"/>
  <c r="B109" i="120"/>
  <c r="F108" i="120"/>
  <c r="E108" i="120"/>
  <c r="D108" i="120"/>
  <c r="C108" i="120"/>
  <c r="B108" i="120"/>
  <c r="F107" i="120"/>
  <c r="E107" i="120"/>
  <c r="D107" i="120"/>
  <c r="C107" i="120"/>
  <c r="C106" i="120"/>
  <c r="B106" i="120"/>
  <c r="F102" i="120"/>
  <c r="E102" i="120"/>
  <c r="D102" i="120"/>
  <c r="C102" i="120"/>
  <c r="B102" i="120"/>
  <c r="F101" i="120"/>
  <c r="E101" i="120"/>
  <c r="D101" i="120"/>
  <c r="C101" i="120"/>
  <c r="B101" i="120"/>
  <c r="F100" i="120"/>
  <c r="E100" i="120"/>
  <c r="D100" i="120"/>
  <c r="C100" i="120"/>
  <c r="B100" i="120"/>
  <c r="F99" i="120"/>
  <c r="E99" i="120"/>
  <c r="D99" i="120"/>
  <c r="C99" i="120"/>
  <c r="B99" i="120"/>
  <c r="F98" i="120"/>
  <c r="E98" i="120"/>
  <c r="D98" i="120"/>
  <c r="C98" i="120"/>
  <c r="B98" i="120"/>
  <c r="F97" i="120"/>
  <c r="E97" i="120"/>
  <c r="D97" i="120"/>
  <c r="C97" i="120"/>
  <c r="B97" i="120"/>
  <c r="F96" i="120"/>
  <c r="E96" i="120"/>
  <c r="D96" i="120"/>
  <c r="C96" i="120"/>
  <c r="B96" i="120"/>
  <c r="F95" i="120"/>
  <c r="E95" i="120"/>
  <c r="D95" i="120"/>
  <c r="C95" i="120"/>
  <c r="B95" i="120"/>
  <c r="F94" i="120"/>
  <c r="E94" i="120"/>
  <c r="D94" i="120"/>
  <c r="C94" i="120"/>
  <c r="B94" i="120"/>
  <c r="F93" i="120"/>
  <c r="E93" i="120"/>
  <c r="D93" i="120"/>
  <c r="C93" i="120"/>
  <c r="B93" i="120"/>
  <c r="F92" i="120"/>
  <c r="E92" i="120"/>
  <c r="D92" i="120"/>
  <c r="C92" i="120"/>
  <c r="B92" i="120"/>
  <c r="F91" i="120"/>
  <c r="E91" i="120"/>
  <c r="D91" i="120"/>
  <c r="C91" i="120"/>
  <c r="C90" i="120"/>
  <c r="B90" i="120"/>
  <c r="F86" i="120"/>
  <c r="E86" i="120"/>
  <c r="D86" i="120"/>
  <c r="C86" i="120"/>
  <c r="A86" i="120"/>
  <c r="F85" i="120"/>
  <c r="E85" i="120"/>
  <c r="D85" i="120"/>
  <c r="C85" i="120"/>
  <c r="B85" i="120"/>
  <c r="F84" i="120"/>
  <c r="E84" i="120"/>
  <c r="D84" i="120"/>
  <c r="C84" i="120"/>
  <c r="B84" i="120"/>
  <c r="F83" i="120"/>
  <c r="E83" i="120"/>
  <c r="D83" i="120"/>
  <c r="C83" i="120"/>
  <c r="B83" i="120"/>
  <c r="F82" i="120"/>
  <c r="E82" i="120"/>
  <c r="D82" i="120"/>
  <c r="C82" i="120"/>
  <c r="B82" i="120"/>
  <c r="F81" i="120"/>
  <c r="E81" i="120"/>
  <c r="D81" i="120"/>
  <c r="C81" i="120"/>
  <c r="B81" i="120"/>
  <c r="F80" i="120"/>
  <c r="E80" i="120"/>
  <c r="D80" i="120"/>
  <c r="C80" i="120"/>
  <c r="B80" i="120"/>
  <c r="F79" i="120"/>
  <c r="E79" i="120"/>
  <c r="D79" i="120"/>
  <c r="C79" i="120"/>
  <c r="B79" i="120"/>
  <c r="F78" i="120"/>
  <c r="E78" i="120"/>
  <c r="D78" i="120"/>
  <c r="C78" i="120"/>
  <c r="B78" i="120"/>
  <c r="F77" i="120"/>
  <c r="E77" i="120"/>
  <c r="D77" i="120"/>
  <c r="C77" i="120"/>
  <c r="B77" i="120"/>
  <c r="F76" i="120"/>
  <c r="E76" i="120"/>
  <c r="D76" i="120"/>
  <c r="C76" i="120"/>
  <c r="B76" i="120"/>
  <c r="F75" i="120"/>
  <c r="E75" i="120"/>
  <c r="D75" i="120"/>
  <c r="C75" i="120"/>
  <c r="B75" i="120"/>
  <c r="F74" i="120"/>
  <c r="E74" i="120"/>
  <c r="D74" i="120"/>
  <c r="C74" i="120"/>
  <c r="C73" i="120"/>
  <c r="B73" i="120"/>
  <c r="F69" i="120"/>
  <c r="E69" i="120"/>
  <c r="D69" i="120"/>
  <c r="C69" i="120"/>
  <c r="A69" i="120"/>
  <c r="F68" i="120"/>
  <c r="E68" i="120"/>
  <c r="D68" i="120"/>
  <c r="C68" i="120"/>
  <c r="B68" i="120"/>
  <c r="F67" i="120"/>
  <c r="E67" i="120"/>
  <c r="D67" i="120"/>
  <c r="C67" i="120"/>
  <c r="B67" i="120"/>
  <c r="F66" i="120"/>
  <c r="E66" i="120"/>
  <c r="D66" i="120"/>
  <c r="C66" i="120"/>
  <c r="B66" i="120"/>
  <c r="F65" i="120"/>
  <c r="E65" i="120"/>
  <c r="D65" i="120"/>
  <c r="C65" i="120"/>
  <c r="B65" i="120"/>
  <c r="F64" i="120"/>
  <c r="E64" i="120"/>
  <c r="D64" i="120"/>
  <c r="C64" i="120"/>
  <c r="B64" i="120"/>
  <c r="F63" i="120"/>
  <c r="E63" i="120"/>
  <c r="D63" i="120"/>
  <c r="C63" i="120"/>
  <c r="B63" i="120"/>
  <c r="F62" i="120"/>
  <c r="E62" i="120"/>
  <c r="D62" i="120"/>
  <c r="C62" i="120"/>
  <c r="B62" i="120"/>
  <c r="F61" i="120"/>
  <c r="E61" i="120"/>
  <c r="D61" i="120"/>
  <c r="C61" i="120"/>
  <c r="B61" i="120"/>
  <c r="F60" i="120"/>
  <c r="E60" i="120"/>
  <c r="D60" i="120"/>
  <c r="C60" i="120"/>
  <c r="B60" i="120"/>
  <c r="F59" i="120"/>
  <c r="E59" i="120"/>
  <c r="D59" i="120"/>
  <c r="C59" i="120"/>
  <c r="B59" i="120"/>
  <c r="F58" i="120"/>
  <c r="E58" i="120"/>
  <c r="D58" i="120"/>
  <c r="C58" i="120"/>
  <c r="B58" i="120"/>
  <c r="F57" i="120"/>
  <c r="E57" i="120"/>
  <c r="D57" i="120"/>
  <c r="C57" i="120"/>
  <c r="C56" i="120"/>
  <c r="B56" i="120"/>
  <c r="F50" i="120"/>
  <c r="E50" i="120"/>
  <c r="D50" i="120"/>
  <c r="C50" i="120"/>
  <c r="A50" i="120"/>
  <c r="F49" i="120"/>
  <c r="E49" i="120"/>
  <c r="D49" i="120"/>
  <c r="C49" i="120"/>
  <c r="B49" i="120"/>
  <c r="F48" i="120"/>
  <c r="E48" i="120"/>
  <c r="D48" i="120"/>
  <c r="C48" i="120"/>
  <c r="B48" i="120"/>
  <c r="F47" i="120"/>
  <c r="E47" i="120"/>
  <c r="D47" i="120"/>
  <c r="C47" i="120"/>
  <c r="B47" i="120"/>
  <c r="F46" i="120"/>
  <c r="E46" i="120"/>
  <c r="D46" i="120"/>
  <c r="C46" i="120"/>
  <c r="B46" i="120"/>
  <c r="F45" i="120"/>
  <c r="E45" i="120"/>
  <c r="D45" i="120"/>
  <c r="C45" i="120"/>
  <c r="B45" i="120"/>
  <c r="F44" i="120"/>
  <c r="E44" i="120"/>
  <c r="D44" i="120"/>
  <c r="C44" i="120"/>
  <c r="B44" i="120"/>
  <c r="F43" i="120"/>
  <c r="E43" i="120"/>
  <c r="D43" i="120"/>
  <c r="C43" i="120"/>
  <c r="B43" i="120"/>
  <c r="F42" i="120"/>
  <c r="E42" i="120"/>
  <c r="D42" i="120"/>
  <c r="C42" i="120"/>
  <c r="B42" i="120"/>
  <c r="F41" i="120"/>
  <c r="E41" i="120"/>
  <c r="D41" i="120"/>
  <c r="C41" i="120"/>
  <c r="B41" i="120"/>
  <c r="F40" i="120"/>
  <c r="E40" i="120"/>
  <c r="D40" i="120"/>
  <c r="C40" i="120"/>
  <c r="B40" i="120"/>
  <c r="F39" i="120"/>
  <c r="E39" i="120"/>
  <c r="D39" i="120"/>
  <c r="C39" i="120"/>
  <c r="B39" i="120"/>
  <c r="F38" i="120"/>
  <c r="E38" i="120"/>
  <c r="D38" i="120"/>
  <c r="C38" i="120"/>
  <c r="C37" i="120"/>
  <c r="B37" i="120"/>
  <c r="B35" i="120"/>
  <c r="F33" i="120"/>
  <c r="E33" i="120"/>
  <c r="D33" i="120"/>
  <c r="C33" i="120"/>
  <c r="A33" i="120"/>
  <c r="F32" i="120"/>
  <c r="E32" i="120"/>
  <c r="D32" i="120"/>
  <c r="C32" i="120"/>
  <c r="B32" i="120"/>
  <c r="F31" i="120"/>
  <c r="E31" i="120"/>
  <c r="D31" i="120"/>
  <c r="C31" i="120"/>
  <c r="B31" i="120"/>
  <c r="F30" i="120"/>
  <c r="E30" i="120"/>
  <c r="D30" i="120"/>
  <c r="C30" i="120"/>
  <c r="B30" i="120"/>
  <c r="F29" i="120"/>
  <c r="E29" i="120"/>
  <c r="D29" i="120"/>
  <c r="C29" i="120"/>
  <c r="B29" i="120"/>
  <c r="F28" i="120"/>
  <c r="E28" i="120"/>
  <c r="D28" i="120"/>
  <c r="C28" i="120"/>
  <c r="B28" i="120"/>
  <c r="F27" i="120"/>
  <c r="E27" i="120"/>
  <c r="D27" i="120"/>
  <c r="C27" i="120"/>
  <c r="B27" i="120"/>
  <c r="F26" i="120"/>
  <c r="E26" i="120"/>
  <c r="D26" i="120"/>
  <c r="C26" i="120"/>
  <c r="B26" i="120"/>
  <c r="F25" i="120"/>
  <c r="E25" i="120"/>
  <c r="D25" i="120"/>
  <c r="C25" i="120"/>
  <c r="B25" i="120"/>
  <c r="F24" i="120"/>
  <c r="E24" i="120"/>
  <c r="D24" i="120"/>
  <c r="C24" i="120"/>
  <c r="B24" i="120"/>
  <c r="F23" i="120"/>
  <c r="E23" i="120"/>
  <c r="D23" i="120"/>
  <c r="C23" i="120"/>
  <c r="B23" i="120"/>
  <c r="F22" i="120"/>
  <c r="E22" i="120"/>
  <c r="D22" i="120"/>
  <c r="C22" i="120"/>
  <c r="B22" i="120"/>
  <c r="F21" i="120"/>
  <c r="E21" i="120"/>
  <c r="D21" i="120"/>
  <c r="C21" i="120"/>
  <c r="B20" i="120"/>
  <c r="B18" i="120"/>
  <c r="A10" i="120"/>
  <c r="A1" i="120"/>
  <c r="G150" i="118"/>
  <c r="F150" i="118"/>
  <c r="E150" i="118"/>
  <c r="D150" i="118"/>
  <c r="C150" i="118"/>
  <c r="B150" i="118"/>
  <c r="G149" i="118"/>
  <c r="F149" i="118"/>
  <c r="E149" i="118"/>
  <c r="D149" i="118"/>
  <c r="C149" i="118"/>
  <c r="B149" i="118"/>
  <c r="G148" i="118"/>
  <c r="F148" i="118"/>
  <c r="E148" i="118"/>
  <c r="D148" i="118"/>
  <c r="C148" i="118"/>
  <c r="B148" i="118"/>
  <c r="G147" i="118"/>
  <c r="F147" i="118"/>
  <c r="E147" i="118"/>
  <c r="D147" i="118"/>
  <c r="C147" i="118"/>
  <c r="B147" i="118"/>
  <c r="G146" i="118"/>
  <c r="F146" i="118"/>
  <c r="E146" i="118"/>
  <c r="D146" i="118"/>
  <c r="C146" i="118"/>
  <c r="B146" i="118"/>
  <c r="G145" i="118"/>
  <c r="F145" i="118"/>
  <c r="E145" i="118"/>
  <c r="D145" i="118"/>
  <c r="C145" i="118"/>
  <c r="B145" i="118"/>
  <c r="G144" i="118"/>
  <c r="F144" i="118"/>
  <c r="E144" i="118"/>
  <c r="D144" i="118"/>
  <c r="C144" i="118"/>
  <c r="B144" i="118"/>
  <c r="G143" i="118"/>
  <c r="F143" i="118"/>
  <c r="E143" i="118"/>
  <c r="D143" i="118"/>
  <c r="C143" i="118"/>
  <c r="B143" i="118"/>
  <c r="G142" i="118"/>
  <c r="F142" i="118"/>
  <c r="E142" i="118"/>
  <c r="D142" i="118"/>
  <c r="C142" i="118"/>
  <c r="B142" i="118"/>
  <c r="G141" i="118"/>
  <c r="F141" i="118"/>
  <c r="E141" i="118"/>
  <c r="D141" i="118"/>
  <c r="C141" i="118"/>
  <c r="B141" i="118"/>
  <c r="G140" i="118"/>
  <c r="F140" i="118"/>
  <c r="E140" i="118"/>
  <c r="D140" i="118"/>
  <c r="C140" i="118"/>
  <c r="B140" i="118"/>
  <c r="F138" i="118"/>
  <c r="E138" i="118"/>
  <c r="D138" i="118"/>
  <c r="C138" i="118"/>
  <c r="B138" i="118"/>
  <c r="G134" i="118"/>
  <c r="F134" i="118"/>
  <c r="E134" i="118"/>
  <c r="D134" i="118"/>
  <c r="C134" i="118"/>
  <c r="B134" i="118"/>
  <c r="G133" i="118"/>
  <c r="F133" i="118"/>
  <c r="E133" i="118"/>
  <c r="D133" i="118"/>
  <c r="C133" i="118"/>
  <c r="B133" i="118"/>
  <c r="G132" i="118"/>
  <c r="F132" i="118"/>
  <c r="E132" i="118"/>
  <c r="D132" i="118"/>
  <c r="C132" i="118"/>
  <c r="B132" i="118"/>
  <c r="G131" i="118"/>
  <c r="F131" i="118"/>
  <c r="E131" i="118"/>
  <c r="D131" i="118"/>
  <c r="C131" i="118"/>
  <c r="B131" i="118"/>
  <c r="G130" i="118"/>
  <c r="F130" i="118"/>
  <c r="E130" i="118"/>
  <c r="D130" i="118"/>
  <c r="C130" i="118"/>
  <c r="B130" i="118"/>
  <c r="G129" i="118"/>
  <c r="F129" i="118"/>
  <c r="E129" i="118"/>
  <c r="D129" i="118"/>
  <c r="C129" i="118"/>
  <c r="B129" i="118"/>
  <c r="G128" i="118"/>
  <c r="F128" i="118"/>
  <c r="E128" i="118"/>
  <c r="D128" i="118"/>
  <c r="C128" i="118"/>
  <c r="B128" i="118"/>
  <c r="G127" i="118"/>
  <c r="F127" i="118"/>
  <c r="E127" i="118"/>
  <c r="D127" i="118"/>
  <c r="C127" i="118"/>
  <c r="B127" i="118"/>
  <c r="G126" i="118"/>
  <c r="F126" i="118"/>
  <c r="E126" i="118"/>
  <c r="D126" i="118"/>
  <c r="C126" i="118"/>
  <c r="B126" i="118"/>
  <c r="G125" i="118"/>
  <c r="F125" i="118"/>
  <c r="E125" i="118"/>
  <c r="D125" i="118"/>
  <c r="C125" i="118"/>
  <c r="B125" i="118"/>
  <c r="G124" i="118"/>
  <c r="F124" i="118"/>
  <c r="E124" i="118"/>
  <c r="D124" i="118"/>
  <c r="C124" i="118"/>
  <c r="B124" i="118"/>
  <c r="F122" i="118"/>
  <c r="E122" i="118"/>
  <c r="D122" i="118"/>
  <c r="C122" i="118"/>
  <c r="B122" i="118"/>
  <c r="F118" i="118"/>
  <c r="E118" i="118"/>
  <c r="D118" i="118"/>
  <c r="C118" i="118"/>
  <c r="B118" i="118"/>
  <c r="F117" i="118"/>
  <c r="E117" i="118"/>
  <c r="D117" i="118"/>
  <c r="C117" i="118"/>
  <c r="B117" i="118"/>
  <c r="F116" i="118"/>
  <c r="E116" i="118"/>
  <c r="D116" i="118"/>
  <c r="C116" i="118"/>
  <c r="B116" i="118"/>
  <c r="F115" i="118"/>
  <c r="E115" i="118"/>
  <c r="D115" i="118"/>
  <c r="C115" i="118"/>
  <c r="B115" i="118"/>
  <c r="F114" i="118"/>
  <c r="E114" i="118"/>
  <c r="D114" i="118"/>
  <c r="C114" i="118"/>
  <c r="B114" i="118"/>
  <c r="F113" i="118"/>
  <c r="E113" i="118"/>
  <c r="D113" i="118"/>
  <c r="C113" i="118"/>
  <c r="B113" i="118"/>
  <c r="F112" i="118"/>
  <c r="E112" i="118"/>
  <c r="D112" i="118"/>
  <c r="C112" i="118"/>
  <c r="B112" i="118"/>
  <c r="F111" i="118"/>
  <c r="E111" i="118"/>
  <c r="D111" i="118"/>
  <c r="C111" i="118"/>
  <c r="B111" i="118"/>
  <c r="F110" i="118"/>
  <c r="E110" i="118"/>
  <c r="D110" i="118"/>
  <c r="C110" i="118"/>
  <c r="B110" i="118"/>
  <c r="F109" i="118"/>
  <c r="E109" i="118"/>
  <c r="D109" i="118"/>
  <c r="C109" i="118"/>
  <c r="B109" i="118"/>
  <c r="F108" i="118"/>
  <c r="E108" i="118"/>
  <c r="D108" i="118"/>
  <c r="C108" i="118"/>
  <c r="B108" i="118"/>
  <c r="F107" i="118"/>
  <c r="E107" i="118"/>
  <c r="D107" i="118"/>
  <c r="C107" i="118"/>
  <c r="C106" i="118"/>
  <c r="B106" i="118"/>
  <c r="F102" i="118"/>
  <c r="E102" i="118"/>
  <c r="D102" i="118"/>
  <c r="C102" i="118"/>
  <c r="B102" i="118"/>
  <c r="F101" i="118"/>
  <c r="E101" i="118"/>
  <c r="D101" i="118"/>
  <c r="C101" i="118"/>
  <c r="B101" i="118"/>
  <c r="F100" i="118"/>
  <c r="E100" i="118"/>
  <c r="D100" i="118"/>
  <c r="C100" i="118"/>
  <c r="B100" i="118"/>
  <c r="F99" i="118"/>
  <c r="E99" i="118"/>
  <c r="D99" i="118"/>
  <c r="C99" i="118"/>
  <c r="B99" i="118"/>
  <c r="F98" i="118"/>
  <c r="E98" i="118"/>
  <c r="D98" i="118"/>
  <c r="C98" i="118"/>
  <c r="B98" i="118"/>
  <c r="F97" i="118"/>
  <c r="E97" i="118"/>
  <c r="D97" i="118"/>
  <c r="C97" i="118"/>
  <c r="B97" i="118"/>
  <c r="F96" i="118"/>
  <c r="E96" i="118"/>
  <c r="D96" i="118"/>
  <c r="C96" i="118"/>
  <c r="B96" i="118"/>
  <c r="F95" i="118"/>
  <c r="E95" i="118"/>
  <c r="D95" i="118"/>
  <c r="C95" i="118"/>
  <c r="B95" i="118"/>
  <c r="F94" i="118"/>
  <c r="E94" i="118"/>
  <c r="D94" i="118"/>
  <c r="C94" i="118"/>
  <c r="B94" i="118"/>
  <c r="F93" i="118"/>
  <c r="E93" i="118"/>
  <c r="D93" i="118"/>
  <c r="C93" i="118"/>
  <c r="B93" i="118"/>
  <c r="F92" i="118"/>
  <c r="E92" i="118"/>
  <c r="D92" i="118"/>
  <c r="C92" i="118"/>
  <c r="B92" i="118"/>
  <c r="F91" i="118"/>
  <c r="E91" i="118"/>
  <c r="D91" i="118"/>
  <c r="C91" i="118"/>
  <c r="C90" i="118"/>
  <c r="B90" i="118"/>
  <c r="F86" i="118"/>
  <c r="E86" i="118"/>
  <c r="D86" i="118"/>
  <c r="C86" i="118"/>
  <c r="A86" i="118"/>
  <c r="F85" i="118"/>
  <c r="E85" i="118"/>
  <c r="D85" i="118"/>
  <c r="C85" i="118"/>
  <c r="B85" i="118"/>
  <c r="F84" i="118"/>
  <c r="E84" i="118"/>
  <c r="D84" i="118"/>
  <c r="C84" i="118"/>
  <c r="B84" i="118"/>
  <c r="F83" i="118"/>
  <c r="E83" i="118"/>
  <c r="D83" i="118"/>
  <c r="C83" i="118"/>
  <c r="B83" i="118"/>
  <c r="F82" i="118"/>
  <c r="E82" i="118"/>
  <c r="D82" i="118"/>
  <c r="C82" i="118"/>
  <c r="B82" i="118"/>
  <c r="F81" i="118"/>
  <c r="E81" i="118"/>
  <c r="D81" i="118"/>
  <c r="C81" i="118"/>
  <c r="B81" i="118"/>
  <c r="F80" i="118"/>
  <c r="E80" i="118"/>
  <c r="D80" i="118"/>
  <c r="C80" i="118"/>
  <c r="B80" i="118"/>
  <c r="F79" i="118"/>
  <c r="E79" i="118"/>
  <c r="D79" i="118"/>
  <c r="C79" i="118"/>
  <c r="B79" i="118"/>
  <c r="F78" i="118"/>
  <c r="E78" i="118"/>
  <c r="D78" i="118"/>
  <c r="C78" i="118"/>
  <c r="B78" i="118"/>
  <c r="F77" i="118"/>
  <c r="E77" i="118"/>
  <c r="D77" i="118"/>
  <c r="C77" i="118"/>
  <c r="B77" i="118"/>
  <c r="F76" i="118"/>
  <c r="E76" i="118"/>
  <c r="D76" i="118"/>
  <c r="C76" i="118"/>
  <c r="B76" i="118"/>
  <c r="F75" i="118"/>
  <c r="E75" i="118"/>
  <c r="D75" i="118"/>
  <c r="C75" i="118"/>
  <c r="B75" i="118"/>
  <c r="F74" i="118"/>
  <c r="E74" i="118"/>
  <c r="D74" i="118"/>
  <c r="C74" i="118"/>
  <c r="C73" i="118"/>
  <c r="B73" i="118"/>
  <c r="F69" i="118"/>
  <c r="E69" i="118"/>
  <c r="D69" i="118"/>
  <c r="C69" i="118"/>
  <c r="A69" i="118"/>
  <c r="F68" i="118"/>
  <c r="E68" i="118"/>
  <c r="D68" i="118"/>
  <c r="C68" i="118"/>
  <c r="B68" i="118"/>
  <c r="F67" i="118"/>
  <c r="E67" i="118"/>
  <c r="D67" i="118"/>
  <c r="C67" i="118"/>
  <c r="B67" i="118"/>
  <c r="F66" i="118"/>
  <c r="E66" i="118"/>
  <c r="D66" i="118"/>
  <c r="C66" i="118"/>
  <c r="B66" i="118"/>
  <c r="F65" i="118"/>
  <c r="E65" i="118"/>
  <c r="D65" i="118"/>
  <c r="C65" i="118"/>
  <c r="B65" i="118"/>
  <c r="F64" i="118"/>
  <c r="E64" i="118"/>
  <c r="D64" i="118"/>
  <c r="C64" i="118"/>
  <c r="B64" i="118"/>
  <c r="F63" i="118"/>
  <c r="E63" i="118"/>
  <c r="D63" i="118"/>
  <c r="C63" i="118"/>
  <c r="B63" i="118"/>
  <c r="F62" i="118"/>
  <c r="E62" i="118"/>
  <c r="D62" i="118"/>
  <c r="C62" i="118"/>
  <c r="B62" i="118"/>
  <c r="F61" i="118"/>
  <c r="E61" i="118"/>
  <c r="D61" i="118"/>
  <c r="C61" i="118"/>
  <c r="B61" i="118"/>
  <c r="F60" i="118"/>
  <c r="E60" i="118"/>
  <c r="D60" i="118"/>
  <c r="C60" i="118"/>
  <c r="B60" i="118"/>
  <c r="F59" i="118"/>
  <c r="E59" i="118"/>
  <c r="D59" i="118"/>
  <c r="C59" i="118"/>
  <c r="B59" i="118"/>
  <c r="F58" i="118"/>
  <c r="E58" i="118"/>
  <c r="D58" i="118"/>
  <c r="C58" i="118"/>
  <c r="B58" i="118"/>
  <c r="F57" i="118"/>
  <c r="E57" i="118"/>
  <c r="D57" i="118"/>
  <c r="C57" i="118"/>
  <c r="C56" i="118"/>
  <c r="B56" i="118"/>
  <c r="F50" i="118"/>
  <c r="E50" i="118"/>
  <c r="D50" i="118"/>
  <c r="C50" i="118"/>
  <c r="A50" i="118"/>
  <c r="F49" i="118"/>
  <c r="E49" i="118"/>
  <c r="D49" i="118"/>
  <c r="C49" i="118"/>
  <c r="B49" i="118"/>
  <c r="F48" i="118"/>
  <c r="E48" i="118"/>
  <c r="D48" i="118"/>
  <c r="C48" i="118"/>
  <c r="B48" i="118"/>
  <c r="F47" i="118"/>
  <c r="E47" i="118"/>
  <c r="D47" i="118"/>
  <c r="C47" i="118"/>
  <c r="B47" i="118"/>
  <c r="F46" i="118"/>
  <c r="E46" i="118"/>
  <c r="D46" i="118"/>
  <c r="C46" i="118"/>
  <c r="B46" i="118"/>
  <c r="F45" i="118"/>
  <c r="E45" i="118"/>
  <c r="D45" i="118"/>
  <c r="C45" i="118"/>
  <c r="B45" i="118"/>
  <c r="F44" i="118"/>
  <c r="E44" i="118"/>
  <c r="D44" i="118"/>
  <c r="C44" i="118"/>
  <c r="B44" i="118"/>
  <c r="F43" i="118"/>
  <c r="E43" i="118"/>
  <c r="D43" i="118"/>
  <c r="C43" i="118"/>
  <c r="B43" i="118"/>
  <c r="F42" i="118"/>
  <c r="E42" i="118"/>
  <c r="D42" i="118"/>
  <c r="C42" i="118"/>
  <c r="B42" i="118"/>
  <c r="F41" i="118"/>
  <c r="E41" i="118"/>
  <c r="D41" i="118"/>
  <c r="C41" i="118"/>
  <c r="B41" i="118"/>
  <c r="F40" i="118"/>
  <c r="E40" i="118"/>
  <c r="D40" i="118"/>
  <c r="C40" i="118"/>
  <c r="B40" i="118"/>
  <c r="F39" i="118"/>
  <c r="E39" i="118"/>
  <c r="D39" i="118"/>
  <c r="C39" i="118"/>
  <c r="B39" i="118"/>
  <c r="F38" i="118"/>
  <c r="E38" i="118"/>
  <c r="D38" i="118"/>
  <c r="C38" i="118"/>
  <c r="C37" i="118"/>
  <c r="B37" i="118"/>
  <c r="B35" i="118"/>
  <c r="F33" i="118"/>
  <c r="E33" i="118"/>
  <c r="D33" i="118"/>
  <c r="C33" i="118"/>
  <c r="A33" i="118"/>
  <c r="F32" i="118"/>
  <c r="E32" i="118"/>
  <c r="D32" i="118"/>
  <c r="C32" i="118"/>
  <c r="B32" i="118"/>
  <c r="F31" i="118"/>
  <c r="E31" i="118"/>
  <c r="D31" i="118"/>
  <c r="C31" i="118"/>
  <c r="B31" i="118"/>
  <c r="F30" i="118"/>
  <c r="E30" i="118"/>
  <c r="D30" i="118"/>
  <c r="C30" i="118"/>
  <c r="B30" i="118"/>
  <c r="F29" i="118"/>
  <c r="E29" i="118"/>
  <c r="D29" i="118"/>
  <c r="C29" i="118"/>
  <c r="B29" i="118"/>
  <c r="F28" i="118"/>
  <c r="E28" i="118"/>
  <c r="D28" i="118"/>
  <c r="C28" i="118"/>
  <c r="B28" i="118"/>
  <c r="F27" i="118"/>
  <c r="E27" i="118"/>
  <c r="D27" i="118"/>
  <c r="C27" i="118"/>
  <c r="B27" i="118"/>
  <c r="F26" i="118"/>
  <c r="E26" i="118"/>
  <c r="D26" i="118"/>
  <c r="C26" i="118"/>
  <c r="B26" i="118"/>
  <c r="F25" i="118"/>
  <c r="E25" i="118"/>
  <c r="D25" i="118"/>
  <c r="C25" i="118"/>
  <c r="B25" i="118"/>
  <c r="F24" i="118"/>
  <c r="E24" i="118"/>
  <c r="D24" i="118"/>
  <c r="C24" i="118"/>
  <c r="B24" i="118"/>
  <c r="F23" i="118"/>
  <c r="E23" i="118"/>
  <c r="D23" i="118"/>
  <c r="C23" i="118"/>
  <c r="B23" i="118"/>
  <c r="F22" i="118"/>
  <c r="E22" i="118"/>
  <c r="D22" i="118"/>
  <c r="C22" i="118"/>
  <c r="B22" i="118"/>
  <c r="F21" i="118"/>
  <c r="E21" i="118"/>
  <c r="D21" i="118"/>
  <c r="C21" i="118"/>
  <c r="B20" i="118"/>
  <c r="B18" i="118"/>
  <c r="K14" i="118"/>
  <c r="J14" i="118"/>
  <c r="I14" i="118"/>
  <c r="H14" i="118"/>
  <c r="A10" i="118"/>
  <c r="A1" i="118"/>
  <c r="G150" i="119"/>
  <c r="F150" i="119"/>
  <c r="E150" i="119"/>
  <c r="D150" i="119"/>
  <c r="C150" i="119"/>
  <c r="B150" i="119"/>
  <c r="G149" i="119"/>
  <c r="F149" i="119"/>
  <c r="E149" i="119"/>
  <c r="D149" i="119"/>
  <c r="C149" i="119"/>
  <c r="B149" i="119"/>
  <c r="G148" i="119"/>
  <c r="F148" i="119"/>
  <c r="E148" i="119"/>
  <c r="D148" i="119"/>
  <c r="C148" i="119"/>
  <c r="B148" i="119"/>
  <c r="G147" i="119"/>
  <c r="F147" i="119"/>
  <c r="E147" i="119"/>
  <c r="D147" i="119"/>
  <c r="C147" i="119"/>
  <c r="B147" i="119"/>
  <c r="G146" i="119"/>
  <c r="F146" i="119"/>
  <c r="E146" i="119"/>
  <c r="D146" i="119"/>
  <c r="C146" i="119"/>
  <c r="B146" i="119"/>
  <c r="G145" i="119"/>
  <c r="F145" i="119"/>
  <c r="E145" i="119"/>
  <c r="D145" i="119"/>
  <c r="C145" i="119"/>
  <c r="B145" i="119"/>
  <c r="G144" i="119"/>
  <c r="F144" i="119"/>
  <c r="E144" i="119"/>
  <c r="D144" i="119"/>
  <c r="C144" i="119"/>
  <c r="B144" i="119"/>
  <c r="G143" i="119"/>
  <c r="F143" i="119"/>
  <c r="E143" i="119"/>
  <c r="D143" i="119"/>
  <c r="C143" i="119"/>
  <c r="B143" i="119"/>
  <c r="G142" i="119"/>
  <c r="F142" i="119"/>
  <c r="E142" i="119"/>
  <c r="D142" i="119"/>
  <c r="C142" i="119"/>
  <c r="B142" i="119"/>
  <c r="G141" i="119"/>
  <c r="F141" i="119"/>
  <c r="E141" i="119"/>
  <c r="D141" i="119"/>
  <c r="C141" i="119"/>
  <c r="B141" i="119"/>
  <c r="G140" i="119"/>
  <c r="F140" i="119"/>
  <c r="E140" i="119"/>
  <c r="D140" i="119"/>
  <c r="C140" i="119"/>
  <c r="B140" i="119"/>
  <c r="F138" i="119"/>
  <c r="E138" i="119"/>
  <c r="D138" i="119"/>
  <c r="C138" i="119"/>
  <c r="B138" i="119"/>
  <c r="G134" i="119"/>
  <c r="F134" i="119"/>
  <c r="E134" i="119"/>
  <c r="D134" i="119"/>
  <c r="C134" i="119"/>
  <c r="B134" i="119"/>
  <c r="G133" i="119"/>
  <c r="F133" i="119"/>
  <c r="E133" i="119"/>
  <c r="D133" i="119"/>
  <c r="C133" i="119"/>
  <c r="B133" i="119"/>
  <c r="G132" i="119"/>
  <c r="F132" i="119"/>
  <c r="E132" i="119"/>
  <c r="D132" i="119"/>
  <c r="C132" i="119"/>
  <c r="B132" i="119"/>
  <c r="G131" i="119"/>
  <c r="F131" i="119"/>
  <c r="E131" i="119"/>
  <c r="D131" i="119"/>
  <c r="C131" i="119"/>
  <c r="B131" i="119"/>
  <c r="G130" i="119"/>
  <c r="F130" i="119"/>
  <c r="E130" i="119"/>
  <c r="D130" i="119"/>
  <c r="C130" i="119"/>
  <c r="B130" i="119"/>
  <c r="G129" i="119"/>
  <c r="F129" i="119"/>
  <c r="E129" i="119"/>
  <c r="D129" i="119"/>
  <c r="C129" i="119"/>
  <c r="B129" i="119"/>
  <c r="G128" i="119"/>
  <c r="F128" i="119"/>
  <c r="E128" i="119"/>
  <c r="D128" i="119"/>
  <c r="C128" i="119"/>
  <c r="B128" i="119"/>
  <c r="G127" i="119"/>
  <c r="F127" i="119"/>
  <c r="E127" i="119"/>
  <c r="D127" i="119"/>
  <c r="C127" i="119"/>
  <c r="B127" i="119"/>
  <c r="G126" i="119"/>
  <c r="F126" i="119"/>
  <c r="E126" i="119"/>
  <c r="D126" i="119"/>
  <c r="C126" i="119"/>
  <c r="B126" i="119"/>
  <c r="G125" i="119"/>
  <c r="F125" i="119"/>
  <c r="E125" i="119"/>
  <c r="D125" i="119"/>
  <c r="C125" i="119"/>
  <c r="B125" i="119"/>
  <c r="G124" i="119"/>
  <c r="F124" i="119"/>
  <c r="E124" i="119"/>
  <c r="D124" i="119"/>
  <c r="C124" i="119"/>
  <c r="B124" i="119"/>
  <c r="F122" i="119"/>
  <c r="E122" i="119"/>
  <c r="D122" i="119"/>
  <c r="C122" i="119"/>
  <c r="B122" i="119"/>
  <c r="F118" i="119"/>
  <c r="E118" i="119"/>
  <c r="D118" i="119"/>
  <c r="C118" i="119"/>
  <c r="B118" i="119"/>
  <c r="F117" i="119"/>
  <c r="E117" i="119"/>
  <c r="D117" i="119"/>
  <c r="C117" i="119"/>
  <c r="B117" i="119"/>
  <c r="F116" i="119"/>
  <c r="E116" i="119"/>
  <c r="D116" i="119"/>
  <c r="C116" i="119"/>
  <c r="B116" i="119"/>
  <c r="F115" i="119"/>
  <c r="E115" i="119"/>
  <c r="D115" i="119"/>
  <c r="C115" i="119"/>
  <c r="B115" i="119"/>
  <c r="F114" i="119"/>
  <c r="E114" i="119"/>
  <c r="D114" i="119"/>
  <c r="C114" i="119"/>
  <c r="B114" i="119"/>
  <c r="F113" i="119"/>
  <c r="E113" i="119"/>
  <c r="D113" i="119"/>
  <c r="C113" i="119"/>
  <c r="B113" i="119"/>
  <c r="F112" i="119"/>
  <c r="E112" i="119"/>
  <c r="D112" i="119"/>
  <c r="C112" i="119"/>
  <c r="B112" i="119"/>
  <c r="F111" i="119"/>
  <c r="E111" i="119"/>
  <c r="D111" i="119"/>
  <c r="C111" i="119"/>
  <c r="B111" i="119"/>
  <c r="F110" i="119"/>
  <c r="E110" i="119"/>
  <c r="D110" i="119"/>
  <c r="C110" i="119"/>
  <c r="B110" i="119"/>
  <c r="F109" i="119"/>
  <c r="E109" i="119"/>
  <c r="D109" i="119"/>
  <c r="C109" i="119"/>
  <c r="B109" i="119"/>
  <c r="F108" i="119"/>
  <c r="E108" i="119"/>
  <c r="D108" i="119"/>
  <c r="C108" i="119"/>
  <c r="B108" i="119"/>
  <c r="F107" i="119"/>
  <c r="E107" i="119"/>
  <c r="D107" i="119"/>
  <c r="C107" i="119"/>
  <c r="C106" i="119"/>
  <c r="B106" i="119"/>
  <c r="F102" i="119"/>
  <c r="E102" i="119"/>
  <c r="D102" i="119"/>
  <c r="C102" i="119"/>
  <c r="B102" i="119"/>
  <c r="F101" i="119"/>
  <c r="E101" i="119"/>
  <c r="D101" i="119"/>
  <c r="C101" i="119"/>
  <c r="B101" i="119"/>
  <c r="F100" i="119"/>
  <c r="E100" i="119"/>
  <c r="D100" i="119"/>
  <c r="C100" i="119"/>
  <c r="B100" i="119"/>
  <c r="F99" i="119"/>
  <c r="E99" i="119"/>
  <c r="D99" i="119"/>
  <c r="C99" i="119"/>
  <c r="B99" i="119"/>
  <c r="F98" i="119"/>
  <c r="E98" i="119"/>
  <c r="D98" i="119"/>
  <c r="C98" i="119"/>
  <c r="B98" i="119"/>
  <c r="F97" i="119"/>
  <c r="E97" i="119"/>
  <c r="D97" i="119"/>
  <c r="C97" i="119"/>
  <c r="B97" i="119"/>
  <c r="F96" i="119"/>
  <c r="E96" i="119"/>
  <c r="D96" i="119"/>
  <c r="C96" i="119"/>
  <c r="B96" i="119"/>
  <c r="F95" i="119"/>
  <c r="E95" i="119"/>
  <c r="D95" i="119"/>
  <c r="C95" i="119"/>
  <c r="B95" i="119"/>
  <c r="F94" i="119"/>
  <c r="E94" i="119"/>
  <c r="D94" i="119"/>
  <c r="C94" i="119"/>
  <c r="B94" i="119"/>
  <c r="F93" i="119"/>
  <c r="E93" i="119"/>
  <c r="D93" i="119"/>
  <c r="C93" i="119"/>
  <c r="B93" i="119"/>
  <c r="F92" i="119"/>
  <c r="E92" i="119"/>
  <c r="D92" i="119"/>
  <c r="C92" i="119"/>
  <c r="B92" i="119"/>
  <c r="F91" i="119"/>
  <c r="E91" i="119"/>
  <c r="D91" i="119"/>
  <c r="C91" i="119"/>
  <c r="C90" i="119"/>
  <c r="B90" i="119"/>
  <c r="F86" i="119"/>
  <c r="E86" i="119"/>
  <c r="D86" i="119"/>
  <c r="C86" i="119"/>
  <c r="A86" i="119"/>
  <c r="F85" i="119"/>
  <c r="E85" i="119"/>
  <c r="D85" i="119"/>
  <c r="C85" i="119"/>
  <c r="B85" i="119"/>
  <c r="F84" i="119"/>
  <c r="E84" i="119"/>
  <c r="D84" i="119"/>
  <c r="C84" i="119"/>
  <c r="B84" i="119"/>
  <c r="F83" i="119"/>
  <c r="E83" i="119"/>
  <c r="D83" i="119"/>
  <c r="C83" i="119"/>
  <c r="B83" i="119"/>
  <c r="F82" i="119"/>
  <c r="E82" i="119"/>
  <c r="D82" i="119"/>
  <c r="C82" i="119"/>
  <c r="B82" i="119"/>
  <c r="F81" i="119"/>
  <c r="E81" i="119"/>
  <c r="D81" i="119"/>
  <c r="C81" i="119"/>
  <c r="B81" i="119"/>
  <c r="F80" i="119"/>
  <c r="E80" i="119"/>
  <c r="D80" i="119"/>
  <c r="C80" i="119"/>
  <c r="B80" i="119"/>
  <c r="F79" i="119"/>
  <c r="E79" i="119"/>
  <c r="D79" i="119"/>
  <c r="C79" i="119"/>
  <c r="B79" i="119"/>
  <c r="F78" i="119"/>
  <c r="E78" i="119"/>
  <c r="D78" i="119"/>
  <c r="C78" i="119"/>
  <c r="B78" i="119"/>
  <c r="F77" i="119"/>
  <c r="E77" i="119"/>
  <c r="D77" i="119"/>
  <c r="C77" i="119"/>
  <c r="B77" i="119"/>
  <c r="F76" i="119"/>
  <c r="E76" i="119"/>
  <c r="D76" i="119"/>
  <c r="C76" i="119"/>
  <c r="B76" i="119"/>
  <c r="F75" i="119"/>
  <c r="E75" i="119"/>
  <c r="D75" i="119"/>
  <c r="C75" i="119"/>
  <c r="B75" i="119"/>
  <c r="F74" i="119"/>
  <c r="E74" i="119"/>
  <c r="D74" i="119"/>
  <c r="C74" i="119"/>
  <c r="C73" i="119"/>
  <c r="B73" i="119"/>
  <c r="F69" i="119"/>
  <c r="E69" i="119"/>
  <c r="D69" i="119"/>
  <c r="C69" i="119"/>
  <c r="A69" i="119"/>
  <c r="F68" i="119"/>
  <c r="E68" i="119"/>
  <c r="D68" i="119"/>
  <c r="C68" i="119"/>
  <c r="B68" i="119"/>
  <c r="F67" i="119"/>
  <c r="E67" i="119"/>
  <c r="D67" i="119"/>
  <c r="C67" i="119"/>
  <c r="B67" i="119"/>
  <c r="F66" i="119"/>
  <c r="E66" i="119"/>
  <c r="D66" i="119"/>
  <c r="C66" i="119"/>
  <c r="B66" i="119"/>
  <c r="F65" i="119"/>
  <c r="E65" i="119"/>
  <c r="D65" i="119"/>
  <c r="C65" i="119"/>
  <c r="B65" i="119"/>
  <c r="F64" i="119"/>
  <c r="E64" i="119"/>
  <c r="D64" i="119"/>
  <c r="C64" i="119"/>
  <c r="B64" i="119"/>
  <c r="F63" i="119"/>
  <c r="E63" i="119"/>
  <c r="D63" i="119"/>
  <c r="C63" i="119"/>
  <c r="B63" i="119"/>
  <c r="F62" i="119"/>
  <c r="E62" i="119"/>
  <c r="D62" i="119"/>
  <c r="C62" i="119"/>
  <c r="B62" i="119"/>
  <c r="F61" i="119"/>
  <c r="E61" i="119"/>
  <c r="D61" i="119"/>
  <c r="C61" i="119"/>
  <c r="B61" i="119"/>
  <c r="F60" i="119"/>
  <c r="E60" i="119"/>
  <c r="D60" i="119"/>
  <c r="C60" i="119"/>
  <c r="B60" i="119"/>
  <c r="F59" i="119"/>
  <c r="E59" i="119"/>
  <c r="D59" i="119"/>
  <c r="C59" i="119"/>
  <c r="B59" i="119"/>
  <c r="F58" i="119"/>
  <c r="E58" i="119"/>
  <c r="D58" i="119"/>
  <c r="C58" i="119"/>
  <c r="B58" i="119"/>
  <c r="F57" i="119"/>
  <c r="E57" i="119"/>
  <c r="D57" i="119"/>
  <c r="C57" i="119"/>
  <c r="C56" i="119"/>
  <c r="B56" i="119"/>
  <c r="F50" i="119"/>
  <c r="E50" i="119"/>
  <c r="D50" i="119"/>
  <c r="C50" i="119"/>
  <c r="A50" i="119"/>
  <c r="F49" i="119"/>
  <c r="E49" i="119"/>
  <c r="D49" i="119"/>
  <c r="C49" i="119"/>
  <c r="B49" i="119"/>
  <c r="F48" i="119"/>
  <c r="E48" i="119"/>
  <c r="D48" i="119"/>
  <c r="C48" i="119"/>
  <c r="B48" i="119"/>
  <c r="F47" i="119"/>
  <c r="E47" i="119"/>
  <c r="D47" i="119"/>
  <c r="C47" i="119"/>
  <c r="B47" i="119"/>
  <c r="F46" i="119"/>
  <c r="E46" i="119"/>
  <c r="D46" i="119"/>
  <c r="C46" i="119"/>
  <c r="B46" i="119"/>
  <c r="F45" i="119"/>
  <c r="E45" i="119"/>
  <c r="D45" i="119"/>
  <c r="C45" i="119"/>
  <c r="B45" i="119"/>
  <c r="F44" i="119"/>
  <c r="E44" i="119"/>
  <c r="D44" i="119"/>
  <c r="C44" i="119"/>
  <c r="B44" i="119"/>
  <c r="F43" i="119"/>
  <c r="E43" i="119"/>
  <c r="D43" i="119"/>
  <c r="C43" i="119"/>
  <c r="B43" i="119"/>
  <c r="F42" i="119"/>
  <c r="E42" i="119"/>
  <c r="D42" i="119"/>
  <c r="C42" i="119"/>
  <c r="B42" i="119"/>
  <c r="F41" i="119"/>
  <c r="E41" i="119"/>
  <c r="D41" i="119"/>
  <c r="C41" i="119"/>
  <c r="B41" i="119"/>
  <c r="F40" i="119"/>
  <c r="E40" i="119"/>
  <c r="D40" i="119"/>
  <c r="C40" i="119"/>
  <c r="B40" i="119"/>
  <c r="F39" i="119"/>
  <c r="E39" i="119"/>
  <c r="D39" i="119"/>
  <c r="C39" i="119"/>
  <c r="B39" i="119"/>
  <c r="F38" i="119"/>
  <c r="E38" i="119"/>
  <c r="D38" i="119"/>
  <c r="C38" i="119"/>
  <c r="C37" i="119"/>
  <c r="B37" i="119"/>
  <c r="B35" i="119"/>
  <c r="F33" i="119"/>
  <c r="E33" i="119"/>
  <c r="D33" i="119"/>
  <c r="C33" i="119"/>
  <c r="A33" i="119"/>
  <c r="F32" i="119"/>
  <c r="E32" i="119"/>
  <c r="D32" i="119"/>
  <c r="C32" i="119"/>
  <c r="B32" i="119"/>
  <c r="F31" i="119"/>
  <c r="E31" i="119"/>
  <c r="D31" i="119"/>
  <c r="C31" i="119"/>
  <c r="B31" i="119"/>
  <c r="F30" i="119"/>
  <c r="E30" i="119"/>
  <c r="D30" i="119"/>
  <c r="C30" i="119"/>
  <c r="B30" i="119"/>
  <c r="F29" i="119"/>
  <c r="E29" i="119"/>
  <c r="D29" i="119"/>
  <c r="C29" i="119"/>
  <c r="B29" i="119"/>
  <c r="F28" i="119"/>
  <c r="E28" i="119"/>
  <c r="D28" i="119"/>
  <c r="C28" i="119"/>
  <c r="B28" i="119"/>
  <c r="F27" i="119"/>
  <c r="E27" i="119"/>
  <c r="D27" i="119"/>
  <c r="C27" i="119"/>
  <c r="B27" i="119"/>
  <c r="F26" i="119"/>
  <c r="E26" i="119"/>
  <c r="D26" i="119"/>
  <c r="C26" i="119"/>
  <c r="B26" i="119"/>
  <c r="F25" i="119"/>
  <c r="E25" i="119"/>
  <c r="D25" i="119"/>
  <c r="C25" i="119"/>
  <c r="B25" i="119"/>
  <c r="F24" i="119"/>
  <c r="E24" i="119"/>
  <c r="D24" i="119"/>
  <c r="C24" i="119"/>
  <c r="B24" i="119"/>
  <c r="F23" i="119"/>
  <c r="E23" i="119"/>
  <c r="D23" i="119"/>
  <c r="C23" i="119"/>
  <c r="B23" i="119"/>
  <c r="F22" i="119"/>
  <c r="E22" i="119"/>
  <c r="D22" i="119"/>
  <c r="C22" i="119"/>
  <c r="B22" i="119"/>
  <c r="F21" i="119"/>
  <c r="E21" i="119"/>
  <c r="D21" i="119"/>
  <c r="C21" i="119"/>
  <c r="B20" i="119"/>
  <c r="B18" i="119"/>
  <c r="A10" i="119"/>
  <c r="A1" i="119"/>
  <c r="O74" i="225"/>
  <c r="N74" i="225"/>
  <c r="M74" i="225"/>
  <c r="L74" i="225"/>
  <c r="K74" i="225"/>
  <c r="J74" i="225"/>
  <c r="I74" i="225"/>
  <c r="H74" i="225"/>
  <c r="G74" i="225"/>
  <c r="F74" i="225"/>
  <c r="E74" i="225"/>
  <c r="D74" i="225"/>
  <c r="O73" i="225"/>
  <c r="N73" i="225"/>
  <c r="M73" i="225"/>
  <c r="L73" i="225"/>
  <c r="K73" i="225"/>
  <c r="J73" i="225"/>
  <c r="I73" i="225"/>
  <c r="H73" i="225"/>
  <c r="G73" i="225"/>
  <c r="F73" i="225"/>
  <c r="E73" i="225"/>
  <c r="D73" i="225"/>
  <c r="O72" i="225"/>
  <c r="N72" i="225"/>
  <c r="M72" i="225"/>
  <c r="L72" i="225"/>
  <c r="K72" i="225"/>
  <c r="J72" i="225"/>
  <c r="I72" i="225"/>
  <c r="H72" i="225"/>
  <c r="G72" i="225"/>
  <c r="F72" i="225"/>
  <c r="E72" i="225"/>
  <c r="D72" i="225"/>
  <c r="O71" i="225"/>
  <c r="N71" i="225"/>
  <c r="M71" i="225"/>
  <c r="L71" i="225"/>
  <c r="K71" i="225"/>
  <c r="J71" i="225"/>
  <c r="I71" i="225"/>
  <c r="H71" i="225"/>
  <c r="G71" i="225"/>
  <c r="F71" i="225"/>
  <c r="E71" i="225"/>
  <c r="D71" i="225"/>
  <c r="O70" i="225"/>
  <c r="N70" i="225"/>
  <c r="M70" i="225"/>
  <c r="L70" i="225"/>
  <c r="K70" i="225"/>
  <c r="J70" i="225"/>
  <c r="I70" i="225"/>
  <c r="H70" i="225"/>
  <c r="G70" i="225"/>
  <c r="F70" i="225"/>
  <c r="E70" i="225"/>
  <c r="D70" i="225"/>
  <c r="O69" i="225"/>
  <c r="N69" i="225"/>
  <c r="M69" i="225"/>
  <c r="L69" i="225"/>
  <c r="K69" i="225"/>
  <c r="J69" i="225"/>
  <c r="I69" i="225"/>
  <c r="H69" i="225"/>
  <c r="G69" i="225"/>
  <c r="F69" i="225"/>
  <c r="E69" i="225"/>
  <c r="D69" i="225"/>
  <c r="O68" i="225"/>
  <c r="N68" i="225"/>
  <c r="M68" i="225"/>
  <c r="L68" i="225"/>
  <c r="K68" i="225"/>
  <c r="J68" i="225"/>
  <c r="I68" i="225"/>
  <c r="H68" i="225"/>
  <c r="G68" i="225"/>
  <c r="F68" i="225"/>
  <c r="E68" i="225"/>
  <c r="D68" i="225"/>
  <c r="O67" i="225"/>
  <c r="N67" i="225"/>
  <c r="M67" i="225"/>
  <c r="L67" i="225"/>
  <c r="K67" i="225"/>
  <c r="J67" i="225"/>
  <c r="I67" i="225"/>
  <c r="H67" i="225"/>
  <c r="G67" i="225"/>
  <c r="F67" i="225"/>
  <c r="E67" i="225"/>
  <c r="D67" i="225"/>
  <c r="O66" i="225"/>
  <c r="N66" i="225"/>
  <c r="M66" i="225"/>
  <c r="L66" i="225"/>
  <c r="K66" i="225"/>
  <c r="J66" i="225"/>
  <c r="I66" i="225"/>
  <c r="H66" i="225"/>
  <c r="G66" i="225"/>
  <c r="F66" i="225"/>
  <c r="E66" i="225"/>
  <c r="D66" i="225"/>
  <c r="O65" i="225"/>
  <c r="N65" i="225"/>
  <c r="M65" i="225"/>
  <c r="L65" i="225"/>
  <c r="K65" i="225"/>
  <c r="J65" i="225"/>
  <c r="I65" i="225"/>
  <c r="H65" i="225"/>
  <c r="G65" i="225"/>
  <c r="F65" i="225"/>
  <c r="E65" i="225"/>
  <c r="D65" i="225"/>
  <c r="O64" i="225"/>
  <c r="N64" i="225"/>
  <c r="M64" i="225"/>
  <c r="L64" i="225"/>
  <c r="K64" i="225"/>
  <c r="J64" i="225"/>
  <c r="I64" i="225"/>
  <c r="H64" i="225"/>
  <c r="G64" i="225"/>
  <c r="F64" i="225"/>
  <c r="E64" i="225"/>
  <c r="D64" i="225"/>
  <c r="O63" i="225"/>
  <c r="N63" i="225"/>
  <c r="M63" i="225"/>
  <c r="L63" i="225"/>
  <c r="K63" i="225"/>
  <c r="J63" i="225"/>
  <c r="I63" i="225"/>
  <c r="H63" i="225"/>
  <c r="G63" i="225"/>
  <c r="F63" i="225"/>
  <c r="E63" i="225"/>
  <c r="D63" i="225"/>
  <c r="O62" i="225"/>
  <c r="N62" i="225"/>
  <c r="M62" i="225"/>
  <c r="L62" i="225"/>
  <c r="K62" i="225"/>
  <c r="J62" i="225"/>
  <c r="I62" i="225"/>
  <c r="H62" i="225"/>
  <c r="G62" i="225"/>
  <c r="F62" i="225"/>
  <c r="E62" i="225"/>
  <c r="D62" i="225"/>
  <c r="O61" i="225"/>
  <c r="N61" i="225"/>
  <c r="M61" i="225"/>
  <c r="L61" i="225"/>
  <c r="K61" i="225"/>
  <c r="J61" i="225"/>
  <c r="I61" i="225"/>
  <c r="H61" i="225"/>
  <c r="G61" i="225"/>
  <c r="F61" i="225"/>
  <c r="E61" i="225"/>
  <c r="D61" i="225"/>
  <c r="O60" i="225"/>
  <c r="N60" i="225"/>
  <c r="M60" i="225"/>
  <c r="L60" i="225"/>
  <c r="K60" i="225"/>
  <c r="J60" i="225"/>
  <c r="I60" i="225"/>
  <c r="H60" i="225"/>
  <c r="G60" i="225"/>
  <c r="F60" i="225"/>
  <c r="E60" i="225"/>
  <c r="D60" i="225"/>
  <c r="O59" i="225"/>
  <c r="N59" i="225"/>
  <c r="M59" i="225"/>
  <c r="L59" i="225"/>
  <c r="K59" i="225"/>
  <c r="J59" i="225"/>
  <c r="I59" i="225"/>
  <c r="H59" i="225"/>
  <c r="G59" i="225"/>
  <c r="F59" i="225"/>
  <c r="E59" i="225"/>
  <c r="D59" i="225"/>
  <c r="O58" i="225"/>
  <c r="N58" i="225"/>
  <c r="M58" i="225"/>
  <c r="L58" i="225"/>
  <c r="K58" i="225"/>
  <c r="J58" i="225"/>
  <c r="I58" i="225"/>
  <c r="H58" i="225"/>
  <c r="G58" i="225"/>
  <c r="F58" i="225"/>
  <c r="E58" i="225"/>
  <c r="D58" i="225"/>
  <c r="O57" i="225"/>
  <c r="N57" i="225"/>
  <c r="M57" i="225"/>
  <c r="L57" i="225"/>
  <c r="K57" i="225"/>
  <c r="J57" i="225"/>
  <c r="I57" i="225"/>
  <c r="H57" i="225"/>
  <c r="G57" i="225"/>
  <c r="F57" i="225"/>
  <c r="E57" i="225"/>
  <c r="D57" i="225"/>
  <c r="O56" i="225"/>
  <c r="N56" i="225"/>
  <c r="M56" i="225"/>
  <c r="L56" i="225"/>
  <c r="K56" i="225"/>
  <c r="J56" i="225"/>
  <c r="I56" i="225"/>
  <c r="H56" i="225"/>
  <c r="G56" i="225"/>
  <c r="F56" i="225"/>
  <c r="E56" i="225"/>
  <c r="D56" i="225"/>
  <c r="O55" i="225"/>
  <c r="N55" i="225"/>
  <c r="M55" i="225"/>
  <c r="L55" i="225"/>
  <c r="K55" i="225"/>
  <c r="J55" i="225"/>
  <c r="I55" i="225"/>
  <c r="H55" i="225"/>
  <c r="G55" i="225"/>
  <c r="F55" i="225"/>
  <c r="E55" i="225"/>
  <c r="D55" i="225"/>
  <c r="O54" i="225"/>
  <c r="N54" i="225"/>
  <c r="M54" i="225"/>
  <c r="L54" i="225"/>
  <c r="K54" i="225"/>
  <c r="J54" i="225"/>
  <c r="I54" i="225"/>
  <c r="H54" i="225"/>
  <c r="G54" i="225"/>
  <c r="F54" i="225"/>
  <c r="E54" i="225"/>
  <c r="D54" i="225"/>
  <c r="O53" i="225"/>
  <c r="N53" i="225"/>
  <c r="M53" i="225"/>
  <c r="L53" i="225"/>
  <c r="K53" i="225"/>
  <c r="J53" i="225"/>
  <c r="I53" i="225"/>
  <c r="H53" i="225"/>
  <c r="G53" i="225"/>
  <c r="F53" i="225"/>
  <c r="E53" i="225"/>
  <c r="D53" i="225"/>
  <c r="O52" i="225"/>
  <c r="N52" i="225"/>
  <c r="M52" i="225"/>
  <c r="L52" i="225"/>
  <c r="K52" i="225"/>
  <c r="J52" i="225"/>
  <c r="I52" i="225"/>
  <c r="H52" i="225"/>
  <c r="G52" i="225"/>
  <c r="F52" i="225"/>
  <c r="E52" i="225"/>
  <c r="D52" i="225"/>
  <c r="O51" i="225"/>
  <c r="N51" i="225"/>
  <c r="M51" i="225"/>
  <c r="L51" i="225"/>
  <c r="K51" i="225"/>
  <c r="J51" i="225"/>
  <c r="I51" i="225"/>
  <c r="H51" i="225"/>
  <c r="G51" i="225"/>
  <c r="F51" i="225"/>
  <c r="E51" i="225"/>
  <c r="D51" i="225"/>
  <c r="O50" i="225"/>
  <c r="N50" i="225"/>
  <c r="M50" i="225"/>
  <c r="L50" i="225"/>
  <c r="K50" i="225"/>
  <c r="J50" i="225"/>
  <c r="I50" i="225"/>
  <c r="H50" i="225"/>
  <c r="G50" i="225"/>
  <c r="F50" i="225"/>
  <c r="E50" i="225"/>
  <c r="D50" i="225"/>
  <c r="O49" i="225"/>
  <c r="N49" i="225"/>
  <c r="M49" i="225"/>
  <c r="L49" i="225"/>
  <c r="K49" i="225"/>
  <c r="J49" i="225"/>
  <c r="I49" i="225"/>
  <c r="H49" i="225"/>
  <c r="G49" i="225"/>
  <c r="F49" i="225"/>
  <c r="E49" i="225"/>
  <c r="D49" i="225"/>
  <c r="O48" i="225"/>
  <c r="N48" i="225"/>
  <c r="M48" i="225"/>
  <c r="L48" i="225"/>
  <c r="K48" i="225"/>
  <c r="J48" i="225"/>
  <c r="I48" i="225"/>
  <c r="H48" i="225"/>
  <c r="G48" i="225"/>
  <c r="F48" i="225"/>
  <c r="E48" i="225"/>
  <c r="D48" i="225"/>
  <c r="O47" i="225"/>
  <c r="N47" i="225"/>
  <c r="M47" i="225"/>
  <c r="L47" i="225"/>
  <c r="K47" i="225"/>
  <c r="J47" i="225"/>
  <c r="I47" i="225"/>
  <c r="H47" i="225"/>
  <c r="G47" i="225"/>
  <c r="F47" i="225"/>
  <c r="E47" i="225"/>
  <c r="D47" i="225"/>
  <c r="O46" i="225"/>
  <c r="N46" i="225"/>
  <c r="M46" i="225"/>
  <c r="L46" i="225"/>
  <c r="K46" i="225"/>
  <c r="J46" i="225"/>
  <c r="I46" i="225"/>
  <c r="H46" i="225"/>
  <c r="G46" i="225"/>
  <c r="F46" i="225"/>
  <c r="E46" i="225"/>
  <c r="D46" i="225"/>
  <c r="O45" i="225"/>
  <c r="N45" i="225"/>
  <c r="M45" i="225"/>
  <c r="L45" i="225"/>
  <c r="K45" i="225"/>
  <c r="J45" i="225"/>
  <c r="I45" i="225"/>
  <c r="H45" i="225"/>
  <c r="G45" i="225"/>
  <c r="F45" i="225"/>
  <c r="E45" i="225"/>
  <c r="D45" i="225"/>
  <c r="O44" i="225"/>
  <c r="N44" i="225"/>
  <c r="M44" i="225"/>
  <c r="L44" i="225"/>
  <c r="K44" i="225"/>
  <c r="J44" i="225"/>
  <c r="I44" i="225"/>
  <c r="H44" i="225"/>
  <c r="G44" i="225"/>
  <c r="F44" i="225"/>
  <c r="E44" i="225"/>
  <c r="D44" i="225"/>
  <c r="O43" i="225"/>
  <c r="N43" i="225"/>
  <c r="M43" i="225"/>
  <c r="L43" i="225"/>
  <c r="K43" i="225"/>
  <c r="J43" i="225"/>
  <c r="I43" i="225"/>
  <c r="H43" i="225"/>
  <c r="G43" i="225"/>
  <c r="F43" i="225"/>
  <c r="E43" i="225"/>
  <c r="D43" i="225"/>
  <c r="O42" i="225"/>
  <c r="N42" i="225"/>
  <c r="M42" i="225"/>
  <c r="L42" i="225"/>
  <c r="K42" i="225"/>
  <c r="J42" i="225"/>
  <c r="I42" i="225"/>
  <c r="H42" i="225"/>
  <c r="G42" i="225"/>
  <c r="F42" i="225"/>
  <c r="E42" i="225"/>
  <c r="D42" i="225"/>
  <c r="O41" i="225"/>
  <c r="N41" i="225"/>
  <c r="M41" i="225"/>
  <c r="L41" i="225"/>
  <c r="K41" i="225"/>
  <c r="J41" i="225"/>
  <c r="I41" i="225"/>
  <c r="H41" i="225"/>
  <c r="G41" i="225"/>
  <c r="F41" i="225"/>
  <c r="E41" i="225"/>
  <c r="D41" i="225"/>
  <c r="O40" i="225"/>
  <c r="N40" i="225"/>
  <c r="M40" i="225"/>
  <c r="L40" i="225"/>
  <c r="K40" i="225"/>
  <c r="J40" i="225"/>
  <c r="I40" i="225"/>
  <c r="H40" i="225"/>
  <c r="G40" i="225"/>
  <c r="F40" i="225"/>
  <c r="E40" i="225"/>
  <c r="D40" i="225"/>
  <c r="O39" i="225"/>
  <c r="N39" i="225"/>
  <c r="M39" i="225"/>
  <c r="L39" i="225"/>
  <c r="K39" i="225"/>
  <c r="J39" i="225"/>
  <c r="I39" i="225"/>
  <c r="H39" i="225"/>
  <c r="G39" i="225"/>
  <c r="F39" i="225"/>
  <c r="E39" i="225"/>
  <c r="D39" i="225"/>
  <c r="O38" i="225"/>
  <c r="N38" i="225"/>
  <c r="M38" i="225"/>
  <c r="L38" i="225"/>
  <c r="K38" i="225"/>
  <c r="J38" i="225"/>
  <c r="I38" i="225"/>
  <c r="H38" i="225"/>
  <c r="G38" i="225"/>
  <c r="F38" i="225"/>
  <c r="E38" i="225"/>
  <c r="D38" i="225"/>
  <c r="O37" i="225"/>
  <c r="N37" i="225"/>
  <c r="M37" i="225"/>
  <c r="L37" i="225"/>
  <c r="K37" i="225"/>
  <c r="J37" i="225"/>
  <c r="I37" i="225"/>
  <c r="H37" i="225"/>
  <c r="G37" i="225"/>
  <c r="F37" i="225"/>
  <c r="E37" i="225"/>
  <c r="D37" i="225"/>
  <c r="AA36" i="225"/>
  <c r="Z36" i="225"/>
  <c r="Y36" i="225"/>
  <c r="X36" i="225"/>
  <c r="W36" i="225"/>
  <c r="V36" i="225"/>
  <c r="U36" i="225"/>
  <c r="T36" i="225"/>
  <c r="S36" i="225"/>
  <c r="R36" i="225"/>
  <c r="Q36" i="225"/>
  <c r="P36" i="225"/>
  <c r="O36" i="225"/>
  <c r="N36" i="225"/>
  <c r="M36" i="225"/>
  <c r="L36" i="225"/>
  <c r="K36" i="225"/>
  <c r="J36" i="225"/>
  <c r="I36" i="225"/>
  <c r="H36" i="225"/>
  <c r="G36" i="225"/>
  <c r="F36" i="225"/>
  <c r="E36" i="225"/>
  <c r="D36" i="225"/>
  <c r="O35" i="225"/>
  <c r="N35" i="225"/>
  <c r="M35" i="225"/>
  <c r="L35" i="225"/>
  <c r="K35" i="225"/>
  <c r="J35" i="225"/>
  <c r="I35" i="225"/>
  <c r="H35" i="225"/>
  <c r="G35" i="225"/>
  <c r="F35" i="225"/>
  <c r="E35" i="225"/>
  <c r="D35" i="225"/>
  <c r="O34" i="225"/>
  <c r="N34" i="225"/>
  <c r="M34" i="225"/>
  <c r="L34" i="225"/>
  <c r="K34" i="225"/>
  <c r="J34" i="225"/>
  <c r="I34" i="225"/>
  <c r="H34" i="225"/>
  <c r="G34" i="225"/>
  <c r="F34" i="225"/>
  <c r="E34" i="225"/>
  <c r="D34" i="225"/>
  <c r="O33" i="225"/>
  <c r="N33" i="225"/>
  <c r="M33" i="225"/>
  <c r="L33" i="225"/>
  <c r="K33" i="225"/>
  <c r="J33" i="225"/>
  <c r="I33" i="225"/>
  <c r="H33" i="225"/>
  <c r="G33" i="225"/>
  <c r="F33" i="225"/>
  <c r="E33" i="225"/>
  <c r="D33" i="225"/>
  <c r="O32" i="225"/>
  <c r="N32" i="225"/>
  <c r="M32" i="225"/>
  <c r="L32" i="225"/>
  <c r="K32" i="225"/>
  <c r="J32" i="225"/>
  <c r="I32" i="225"/>
  <c r="H32" i="225"/>
  <c r="G32" i="225"/>
  <c r="F32" i="225"/>
  <c r="E32" i="225"/>
  <c r="D32" i="225"/>
  <c r="O31" i="225"/>
  <c r="N31" i="225"/>
  <c r="M31" i="225"/>
  <c r="L31" i="225"/>
  <c r="K31" i="225"/>
  <c r="J31" i="225"/>
  <c r="I31" i="225"/>
  <c r="H31" i="225"/>
  <c r="G31" i="225"/>
  <c r="F31" i="225"/>
  <c r="E31" i="225"/>
  <c r="D31" i="225"/>
  <c r="O30" i="225"/>
  <c r="N30" i="225"/>
  <c r="M30" i="225"/>
  <c r="L30" i="225"/>
  <c r="K30" i="225"/>
  <c r="J30" i="225"/>
  <c r="I30" i="225"/>
  <c r="H30" i="225"/>
  <c r="G30" i="225"/>
  <c r="F30" i="225"/>
  <c r="E30" i="225"/>
  <c r="D30" i="225"/>
  <c r="O29" i="225"/>
  <c r="N29" i="225"/>
  <c r="M29" i="225"/>
  <c r="L29" i="225"/>
  <c r="K29" i="225"/>
  <c r="J29" i="225"/>
  <c r="I29" i="225"/>
  <c r="H29" i="225"/>
  <c r="G29" i="225"/>
  <c r="F29" i="225"/>
  <c r="E29" i="225"/>
  <c r="D29" i="225"/>
  <c r="O28" i="225"/>
  <c r="N28" i="225"/>
  <c r="M28" i="225"/>
  <c r="L28" i="225"/>
  <c r="K28" i="225"/>
  <c r="J28" i="225"/>
  <c r="I28" i="225"/>
  <c r="H28" i="225"/>
  <c r="G28" i="225"/>
  <c r="F28" i="225"/>
  <c r="E28" i="225"/>
  <c r="D28" i="225"/>
  <c r="O27" i="225"/>
  <c r="N27" i="225"/>
  <c r="M27" i="225"/>
  <c r="L27" i="225"/>
  <c r="K27" i="225"/>
  <c r="J27" i="225"/>
  <c r="I27" i="225"/>
  <c r="H27" i="225"/>
  <c r="G27" i="225"/>
  <c r="F27" i="225"/>
  <c r="E27" i="225"/>
  <c r="D27" i="225"/>
  <c r="O26" i="225"/>
  <c r="N26" i="225"/>
  <c r="M26" i="225"/>
  <c r="L26" i="225"/>
  <c r="K26" i="225"/>
  <c r="J26" i="225"/>
  <c r="I26" i="225"/>
  <c r="H26" i="225"/>
  <c r="G26" i="225"/>
  <c r="F26" i="225"/>
  <c r="E26" i="225"/>
  <c r="D26" i="225"/>
  <c r="O25" i="225"/>
  <c r="N25" i="225"/>
  <c r="M25" i="225"/>
  <c r="L25" i="225"/>
  <c r="K25" i="225"/>
  <c r="J25" i="225"/>
  <c r="I25" i="225"/>
  <c r="H25" i="225"/>
  <c r="G25" i="225"/>
  <c r="F25" i="225"/>
  <c r="E25" i="225"/>
  <c r="D25" i="225"/>
  <c r="O24" i="225"/>
  <c r="N24" i="225"/>
  <c r="M24" i="225"/>
  <c r="L24" i="225"/>
  <c r="K24" i="225"/>
  <c r="J24" i="225"/>
  <c r="I24" i="225"/>
  <c r="H24" i="225"/>
  <c r="G24" i="225"/>
  <c r="F24" i="225"/>
  <c r="E24" i="225"/>
  <c r="D24" i="225"/>
  <c r="O23" i="225"/>
  <c r="N23" i="225"/>
  <c r="M23" i="225"/>
  <c r="L23" i="225"/>
  <c r="K23" i="225"/>
  <c r="J23" i="225"/>
  <c r="I23" i="225"/>
  <c r="H23" i="225"/>
  <c r="G23" i="225"/>
  <c r="F23" i="225"/>
  <c r="E23" i="225"/>
  <c r="D23" i="225"/>
  <c r="O22" i="225"/>
  <c r="N22" i="225"/>
  <c r="M22" i="225"/>
  <c r="L22" i="225"/>
  <c r="K22" i="225"/>
  <c r="J22" i="225"/>
  <c r="I22" i="225"/>
  <c r="H22" i="225"/>
  <c r="G22" i="225"/>
  <c r="F22" i="225"/>
  <c r="E22" i="225"/>
  <c r="D22" i="225"/>
  <c r="O21" i="225"/>
  <c r="N21" i="225"/>
  <c r="M21" i="225"/>
  <c r="L21" i="225"/>
  <c r="K21" i="225"/>
  <c r="J21" i="225"/>
  <c r="I21" i="225"/>
  <c r="H21" i="225"/>
  <c r="G21" i="225"/>
  <c r="F21" i="225"/>
  <c r="E21" i="225"/>
  <c r="D21" i="225"/>
  <c r="O20" i="225"/>
  <c r="N20" i="225"/>
  <c r="M20" i="225"/>
  <c r="L20" i="225"/>
  <c r="K20" i="225"/>
  <c r="J20" i="225"/>
  <c r="I20" i="225"/>
  <c r="H20" i="225"/>
  <c r="G20" i="225"/>
  <c r="F20" i="225"/>
  <c r="E20" i="225"/>
  <c r="D20" i="225"/>
  <c r="O19" i="225"/>
  <c r="N19" i="225"/>
  <c r="M19" i="225"/>
  <c r="L19" i="225"/>
  <c r="K19" i="225"/>
  <c r="J19" i="225"/>
  <c r="I19" i="225"/>
  <c r="H19" i="225"/>
  <c r="G19" i="225"/>
  <c r="F19" i="225"/>
  <c r="E19" i="225"/>
  <c r="D19" i="225"/>
  <c r="O18" i="225"/>
  <c r="N18" i="225"/>
  <c r="M18" i="225"/>
  <c r="L18" i="225"/>
  <c r="K18" i="225"/>
  <c r="J18" i="225"/>
  <c r="I18" i="225"/>
  <c r="H18" i="225"/>
  <c r="G18" i="225"/>
  <c r="F18" i="225"/>
  <c r="E18" i="225"/>
  <c r="D18" i="225"/>
  <c r="O17" i="225"/>
  <c r="N17" i="225"/>
  <c r="M17" i="225"/>
  <c r="L17" i="225"/>
  <c r="K17" i="225"/>
  <c r="J17" i="225"/>
  <c r="I17" i="225"/>
  <c r="H17" i="225"/>
  <c r="G17" i="225"/>
  <c r="F17" i="225"/>
  <c r="E17" i="225"/>
  <c r="D17" i="225"/>
  <c r="A1" i="225"/>
  <c r="L313" i="108"/>
  <c r="F313" i="108"/>
  <c r="D313" i="108"/>
  <c r="L312" i="108"/>
  <c r="F312" i="108"/>
  <c r="D312" i="108"/>
  <c r="L311" i="108"/>
  <c r="F311" i="108"/>
  <c r="D311" i="108"/>
  <c r="L310" i="108"/>
  <c r="F310" i="108"/>
  <c r="D310" i="108"/>
  <c r="L309" i="108"/>
  <c r="F309" i="108"/>
  <c r="D309" i="108"/>
  <c r="L308" i="108"/>
  <c r="F308" i="108"/>
  <c r="D308" i="108"/>
  <c r="L307" i="108"/>
  <c r="F307" i="108"/>
  <c r="D307" i="108"/>
  <c r="L306" i="108"/>
  <c r="F306" i="108"/>
  <c r="D306" i="108"/>
  <c r="L305" i="108"/>
  <c r="F305" i="108"/>
  <c r="D305" i="108"/>
  <c r="L304" i="108"/>
  <c r="F304" i="108"/>
  <c r="D304" i="108"/>
  <c r="L303" i="108"/>
  <c r="F303" i="108"/>
  <c r="D303" i="108"/>
  <c r="L302" i="108"/>
  <c r="F302" i="108"/>
  <c r="D302" i="108"/>
  <c r="L301" i="108"/>
  <c r="F301" i="108"/>
  <c r="D301" i="108"/>
  <c r="L300" i="108"/>
  <c r="F300" i="108"/>
  <c r="D300" i="108"/>
  <c r="L299" i="108"/>
  <c r="F299" i="108"/>
  <c r="D299" i="108"/>
  <c r="L298" i="108"/>
  <c r="F298" i="108"/>
  <c r="D298" i="108"/>
  <c r="L297" i="108"/>
  <c r="F297" i="108"/>
  <c r="D297" i="108"/>
  <c r="L296" i="108"/>
  <c r="F296" i="108"/>
  <c r="D296" i="108"/>
  <c r="L295" i="108"/>
  <c r="F295" i="108"/>
  <c r="D295" i="108"/>
  <c r="L294" i="108"/>
  <c r="F294" i="108"/>
  <c r="D294" i="108"/>
  <c r="E287" i="108"/>
  <c r="D287" i="108"/>
  <c r="E286" i="108"/>
  <c r="D286" i="108"/>
  <c r="E285" i="108"/>
  <c r="D285" i="108"/>
  <c r="E284" i="108"/>
  <c r="D284" i="108"/>
  <c r="E283" i="108"/>
  <c r="D283" i="108"/>
  <c r="E282" i="108"/>
  <c r="D282" i="108"/>
  <c r="E281" i="108"/>
  <c r="D281" i="108"/>
  <c r="E280" i="108"/>
  <c r="D280" i="108"/>
  <c r="E279" i="108"/>
  <c r="D279" i="108"/>
  <c r="E278" i="108"/>
  <c r="D278" i="108"/>
  <c r="E277" i="108"/>
  <c r="D277" i="108"/>
  <c r="E276" i="108"/>
  <c r="D276" i="108"/>
  <c r="E275" i="108"/>
  <c r="D275" i="108"/>
  <c r="E274" i="108"/>
  <c r="D274" i="108"/>
  <c r="E273" i="108"/>
  <c r="D273" i="108"/>
  <c r="E272" i="108"/>
  <c r="D272" i="108"/>
  <c r="E271" i="108"/>
  <c r="D271" i="108"/>
  <c r="E270" i="108"/>
  <c r="D270" i="108"/>
  <c r="E269" i="108"/>
  <c r="D269" i="108"/>
  <c r="E268" i="108"/>
  <c r="D268" i="108"/>
  <c r="E267" i="108"/>
  <c r="D267" i="108"/>
  <c r="E266" i="108"/>
  <c r="D266" i="108"/>
  <c r="E265" i="108"/>
  <c r="D265" i="108"/>
  <c r="E264" i="108"/>
  <c r="D264" i="108"/>
  <c r="E263" i="108"/>
  <c r="D263" i="108"/>
  <c r="E262" i="108"/>
  <c r="D262" i="108"/>
  <c r="E261" i="108"/>
  <c r="D261" i="108"/>
  <c r="E260" i="108"/>
  <c r="D260" i="108"/>
  <c r="E259" i="108"/>
  <c r="D259" i="108"/>
  <c r="E258" i="108"/>
  <c r="D258" i="108"/>
  <c r="E257" i="108"/>
  <c r="D257" i="108"/>
  <c r="E256" i="108"/>
  <c r="D256" i="108"/>
  <c r="E255" i="108"/>
  <c r="D255" i="108"/>
  <c r="E254" i="108"/>
  <c r="D254" i="108"/>
  <c r="E253" i="108"/>
  <c r="D253" i="108"/>
  <c r="E252" i="108"/>
  <c r="D252" i="108"/>
  <c r="E251" i="108"/>
  <c r="D251" i="108"/>
  <c r="E250" i="108"/>
  <c r="D250" i="108"/>
  <c r="D249" i="108"/>
  <c r="D248" i="108"/>
  <c r="D247" i="108"/>
  <c r="D246" i="108"/>
  <c r="D245" i="108"/>
  <c r="D244" i="108"/>
  <c r="D243" i="108"/>
  <c r="D242" i="108"/>
  <c r="D241" i="108"/>
  <c r="D240" i="108"/>
  <c r="D239" i="108"/>
  <c r="D238" i="108"/>
  <c r="D237" i="108"/>
  <c r="D236" i="108"/>
  <c r="D235" i="108"/>
  <c r="D234" i="108"/>
  <c r="D233" i="108"/>
  <c r="D232" i="108"/>
  <c r="D231" i="108"/>
  <c r="D230" i="108"/>
  <c r="D227" i="108"/>
  <c r="C227" i="108"/>
  <c r="D222" i="108"/>
  <c r="D221" i="108"/>
  <c r="D220" i="108"/>
  <c r="K214" i="108"/>
  <c r="J214" i="108"/>
  <c r="I214" i="108"/>
  <c r="H214" i="108"/>
  <c r="G214" i="108"/>
  <c r="F214" i="108"/>
  <c r="E214" i="108"/>
  <c r="D214" i="108"/>
  <c r="K213" i="108"/>
  <c r="J213" i="108"/>
  <c r="I213" i="108"/>
  <c r="H213" i="108"/>
  <c r="G213" i="108"/>
  <c r="F213" i="108"/>
  <c r="E213" i="108"/>
  <c r="D213" i="108"/>
  <c r="K212" i="108"/>
  <c r="J212" i="108"/>
  <c r="I212" i="108"/>
  <c r="H212" i="108"/>
  <c r="G212" i="108"/>
  <c r="F212" i="108"/>
  <c r="E212" i="108"/>
  <c r="D212" i="108"/>
  <c r="K211" i="108"/>
  <c r="J211" i="108"/>
  <c r="I211" i="108"/>
  <c r="H211" i="108"/>
  <c r="G211" i="108"/>
  <c r="F211" i="108"/>
  <c r="E211" i="108"/>
  <c r="D211" i="108"/>
  <c r="K210" i="108"/>
  <c r="J210" i="108"/>
  <c r="I210" i="108"/>
  <c r="H210" i="108"/>
  <c r="G210" i="108"/>
  <c r="F210" i="108"/>
  <c r="E210" i="108"/>
  <c r="D210" i="108"/>
  <c r="K209" i="108"/>
  <c r="J209" i="108"/>
  <c r="I209" i="108"/>
  <c r="H209" i="108"/>
  <c r="G209" i="108"/>
  <c r="F209" i="108"/>
  <c r="E209" i="108"/>
  <c r="D209" i="108"/>
  <c r="K208" i="108"/>
  <c r="J208" i="108"/>
  <c r="I208" i="108"/>
  <c r="H208" i="108"/>
  <c r="G208" i="108"/>
  <c r="F208" i="108"/>
  <c r="E208" i="108"/>
  <c r="D208" i="108"/>
  <c r="K207" i="108"/>
  <c r="J207" i="108"/>
  <c r="I207" i="108"/>
  <c r="H207" i="108"/>
  <c r="G207" i="108"/>
  <c r="F207" i="108"/>
  <c r="E207" i="108"/>
  <c r="D207" i="108"/>
  <c r="K206" i="108"/>
  <c r="J206" i="108"/>
  <c r="I206" i="108"/>
  <c r="H206" i="108"/>
  <c r="G206" i="108"/>
  <c r="F206" i="108"/>
  <c r="E206" i="108"/>
  <c r="D206" i="108"/>
  <c r="K205" i="108"/>
  <c r="J205" i="108"/>
  <c r="I205" i="108"/>
  <c r="H205" i="108"/>
  <c r="G205" i="108"/>
  <c r="F205" i="108"/>
  <c r="E205" i="108"/>
  <c r="D205" i="108"/>
  <c r="K204" i="108"/>
  <c r="J204" i="108"/>
  <c r="I204" i="108"/>
  <c r="H204" i="108"/>
  <c r="G204" i="108"/>
  <c r="F204" i="108"/>
  <c r="E204" i="108"/>
  <c r="D204" i="108"/>
  <c r="K203" i="108"/>
  <c r="J203" i="108"/>
  <c r="I203" i="108"/>
  <c r="H203" i="108"/>
  <c r="G203" i="108"/>
  <c r="F203" i="108"/>
  <c r="E203" i="108"/>
  <c r="D203" i="108"/>
  <c r="K202" i="108"/>
  <c r="J202" i="108"/>
  <c r="I202" i="108"/>
  <c r="H202" i="108"/>
  <c r="G202" i="108"/>
  <c r="F202" i="108"/>
  <c r="E202" i="108"/>
  <c r="D202" i="108"/>
  <c r="K201" i="108"/>
  <c r="J201" i="108"/>
  <c r="I201" i="108"/>
  <c r="H201" i="108"/>
  <c r="G201" i="108"/>
  <c r="F201" i="108"/>
  <c r="E201" i="108"/>
  <c r="D201" i="108"/>
  <c r="K200" i="108"/>
  <c r="J200" i="108"/>
  <c r="I200" i="108"/>
  <c r="H200" i="108"/>
  <c r="G200" i="108"/>
  <c r="F200" i="108"/>
  <c r="E200" i="108"/>
  <c r="D200" i="108"/>
  <c r="K199" i="108"/>
  <c r="J199" i="108"/>
  <c r="I199" i="108"/>
  <c r="H199" i="108"/>
  <c r="G199" i="108"/>
  <c r="F199" i="108"/>
  <c r="E199" i="108"/>
  <c r="D199" i="108"/>
  <c r="K198" i="108"/>
  <c r="J198" i="108"/>
  <c r="I198" i="108"/>
  <c r="H198" i="108"/>
  <c r="G198" i="108"/>
  <c r="F198" i="108"/>
  <c r="E198" i="108"/>
  <c r="D198" i="108"/>
  <c r="K197" i="108"/>
  <c r="J197" i="108"/>
  <c r="I197" i="108"/>
  <c r="H197" i="108"/>
  <c r="G197" i="108"/>
  <c r="F197" i="108"/>
  <c r="E197" i="108"/>
  <c r="D197" i="108"/>
  <c r="K196" i="108"/>
  <c r="J196" i="108"/>
  <c r="I196" i="108"/>
  <c r="H196" i="108"/>
  <c r="G196" i="108"/>
  <c r="F196" i="108"/>
  <c r="E196" i="108"/>
  <c r="D196" i="108"/>
  <c r="K195" i="108"/>
  <c r="J195" i="108"/>
  <c r="I195" i="108"/>
  <c r="H195" i="108"/>
  <c r="G195" i="108"/>
  <c r="F195" i="108"/>
  <c r="E195" i="108"/>
  <c r="D195" i="108"/>
  <c r="K194" i="108"/>
  <c r="J194" i="108"/>
  <c r="I194" i="108"/>
  <c r="H194" i="108"/>
  <c r="G194" i="108"/>
  <c r="F194" i="108"/>
  <c r="E194" i="108"/>
  <c r="D194" i="108"/>
  <c r="K193" i="108"/>
  <c r="J193" i="108"/>
  <c r="I193" i="108"/>
  <c r="H193" i="108"/>
  <c r="G193" i="108"/>
  <c r="F193" i="108"/>
  <c r="E193" i="108"/>
  <c r="D193" i="108"/>
  <c r="K192" i="108"/>
  <c r="J192" i="108"/>
  <c r="I192" i="108"/>
  <c r="H192" i="108"/>
  <c r="G192" i="108"/>
  <c r="F192" i="108"/>
  <c r="E192" i="108"/>
  <c r="D192" i="108"/>
  <c r="K191" i="108"/>
  <c r="J191" i="108"/>
  <c r="I191" i="108"/>
  <c r="H191" i="108"/>
  <c r="G191" i="108"/>
  <c r="F191" i="108"/>
  <c r="E191" i="108"/>
  <c r="D191" i="108"/>
  <c r="K190" i="108"/>
  <c r="J190" i="108"/>
  <c r="I190" i="108"/>
  <c r="H190" i="108"/>
  <c r="G190" i="108"/>
  <c r="F190" i="108"/>
  <c r="E190" i="108"/>
  <c r="D190" i="108"/>
  <c r="K189" i="108"/>
  <c r="J189" i="108"/>
  <c r="I189" i="108"/>
  <c r="H189" i="108"/>
  <c r="G189" i="108"/>
  <c r="F189" i="108"/>
  <c r="E189" i="108"/>
  <c r="D189" i="108"/>
  <c r="K188" i="108"/>
  <c r="J188" i="108"/>
  <c r="I188" i="108"/>
  <c r="H188" i="108"/>
  <c r="G188" i="108"/>
  <c r="F188" i="108"/>
  <c r="E188" i="108"/>
  <c r="D188" i="108"/>
  <c r="K187" i="108"/>
  <c r="J187" i="108"/>
  <c r="I187" i="108"/>
  <c r="H187" i="108"/>
  <c r="G187" i="108"/>
  <c r="F187" i="108"/>
  <c r="E187" i="108"/>
  <c r="D187" i="108"/>
  <c r="K186" i="108"/>
  <c r="J186" i="108"/>
  <c r="I186" i="108"/>
  <c r="H186" i="108"/>
  <c r="G186" i="108"/>
  <c r="F186" i="108"/>
  <c r="E186" i="108"/>
  <c r="D186" i="108"/>
  <c r="K185" i="108"/>
  <c r="J185" i="108"/>
  <c r="I185" i="108"/>
  <c r="H185" i="108"/>
  <c r="G185" i="108"/>
  <c r="F185" i="108"/>
  <c r="E185" i="108"/>
  <c r="D185" i="108"/>
  <c r="K184" i="108"/>
  <c r="J184" i="108"/>
  <c r="I184" i="108"/>
  <c r="H184" i="108"/>
  <c r="G184" i="108"/>
  <c r="F184" i="108"/>
  <c r="E184" i="108"/>
  <c r="D184" i="108"/>
  <c r="K183" i="108"/>
  <c r="J183" i="108"/>
  <c r="I183" i="108"/>
  <c r="H183" i="108"/>
  <c r="G183" i="108"/>
  <c r="F183" i="108"/>
  <c r="E183" i="108"/>
  <c r="D183" i="108"/>
  <c r="K182" i="108"/>
  <c r="J182" i="108"/>
  <c r="I182" i="108"/>
  <c r="H182" i="108"/>
  <c r="G182" i="108"/>
  <c r="F182" i="108"/>
  <c r="E182" i="108"/>
  <c r="D182" i="108"/>
  <c r="K181" i="108"/>
  <c r="J181" i="108"/>
  <c r="I181" i="108"/>
  <c r="H181" i="108"/>
  <c r="G181" i="108"/>
  <c r="F181" i="108"/>
  <c r="E181" i="108"/>
  <c r="D181" i="108"/>
  <c r="K180" i="108"/>
  <c r="J180" i="108"/>
  <c r="I180" i="108"/>
  <c r="H180" i="108"/>
  <c r="G180" i="108"/>
  <c r="F180" i="108"/>
  <c r="E180" i="108"/>
  <c r="D180" i="108"/>
  <c r="K179" i="108"/>
  <c r="J179" i="108"/>
  <c r="I179" i="108"/>
  <c r="H179" i="108"/>
  <c r="G179" i="108"/>
  <c r="F179" i="108"/>
  <c r="E179" i="108"/>
  <c r="D179" i="108"/>
  <c r="K178" i="108"/>
  <c r="J178" i="108"/>
  <c r="I178" i="108"/>
  <c r="H178" i="108"/>
  <c r="G178" i="108"/>
  <c r="F178" i="108"/>
  <c r="E178" i="108"/>
  <c r="D178" i="108"/>
  <c r="K177" i="108"/>
  <c r="J177" i="108"/>
  <c r="I177" i="108"/>
  <c r="H177" i="108"/>
  <c r="G177" i="108"/>
  <c r="F177" i="108"/>
  <c r="E177" i="108"/>
  <c r="D177" i="108"/>
  <c r="G176" i="108"/>
  <c r="F176" i="108"/>
  <c r="E176" i="108"/>
  <c r="D176" i="108"/>
  <c r="G175" i="108"/>
  <c r="F175" i="108"/>
  <c r="E175" i="108"/>
  <c r="D175" i="108"/>
  <c r="G174" i="108"/>
  <c r="F174" i="108"/>
  <c r="E174" i="108"/>
  <c r="D174" i="108"/>
  <c r="G173" i="108"/>
  <c r="F173" i="108"/>
  <c r="E173" i="108"/>
  <c r="D173" i="108"/>
  <c r="G172" i="108"/>
  <c r="F172" i="108"/>
  <c r="E172" i="108"/>
  <c r="D172" i="108"/>
  <c r="G171" i="108"/>
  <c r="F171" i="108"/>
  <c r="E171" i="108"/>
  <c r="D171" i="108"/>
  <c r="G170" i="108"/>
  <c r="F170" i="108"/>
  <c r="E170" i="108"/>
  <c r="D170" i="108"/>
  <c r="G169" i="108"/>
  <c r="F169" i="108"/>
  <c r="E169" i="108"/>
  <c r="D169" i="108"/>
  <c r="G168" i="108"/>
  <c r="F168" i="108"/>
  <c r="E168" i="108"/>
  <c r="D168" i="108"/>
  <c r="G167" i="108"/>
  <c r="F167" i="108"/>
  <c r="E167" i="108"/>
  <c r="D167" i="108"/>
  <c r="G166" i="108"/>
  <c r="F166" i="108"/>
  <c r="E166" i="108"/>
  <c r="D166" i="108"/>
  <c r="G165" i="108"/>
  <c r="F165" i="108"/>
  <c r="E165" i="108"/>
  <c r="D165" i="108"/>
  <c r="G164" i="108"/>
  <c r="F164" i="108"/>
  <c r="E164" i="108"/>
  <c r="D164" i="108"/>
  <c r="G163" i="108"/>
  <c r="F163" i="108"/>
  <c r="E163" i="108"/>
  <c r="D163" i="108"/>
  <c r="G162" i="108"/>
  <c r="F162" i="108"/>
  <c r="E162" i="108"/>
  <c r="D162" i="108"/>
  <c r="G161" i="108"/>
  <c r="F161" i="108"/>
  <c r="E161" i="108"/>
  <c r="D161" i="108"/>
  <c r="G160" i="108"/>
  <c r="F160" i="108"/>
  <c r="E160" i="108"/>
  <c r="D160" i="108"/>
  <c r="G159" i="108"/>
  <c r="F159" i="108"/>
  <c r="E159" i="108"/>
  <c r="D159" i="108"/>
  <c r="G158" i="108"/>
  <c r="F158" i="108"/>
  <c r="E158" i="108"/>
  <c r="D158" i="108"/>
  <c r="G157" i="108"/>
  <c r="F157" i="108"/>
  <c r="E157" i="108"/>
  <c r="D157" i="108"/>
  <c r="D154" i="108"/>
  <c r="G149" i="108"/>
  <c r="F149" i="108"/>
  <c r="E149" i="108"/>
  <c r="D149" i="108"/>
  <c r="G148" i="108"/>
  <c r="F148" i="108"/>
  <c r="E148" i="108"/>
  <c r="D148" i="108"/>
  <c r="G147" i="108"/>
  <c r="F147" i="108"/>
  <c r="E147" i="108"/>
  <c r="D147" i="108"/>
  <c r="G146" i="108"/>
  <c r="F146" i="108"/>
  <c r="E146" i="108"/>
  <c r="D146" i="108"/>
  <c r="D141" i="108"/>
  <c r="D140" i="108"/>
  <c r="C140" i="108"/>
  <c r="D139" i="108"/>
  <c r="C139" i="108"/>
  <c r="D138" i="108"/>
  <c r="C138" i="108"/>
  <c r="D134" i="108"/>
  <c r="D133" i="108"/>
  <c r="C133" i="108"/>
  <c r="D132" i="108"/>
  <c r="C132" i="108"/>
  <c r="D131" i="108"/>
  <c r="C131" i="108"/>
  <c r="D125" i="108"/>
  <c r="E124" i="108"/>
  <c r="D124" i="108"/>
  <c r="E123" i="108"/>
  <c r="D123" i="108"/>
  <c r="E122" i="108"/>
  <c r="D122" i="108"/>
  <c r="E121" i="108"/>
  <c r="D121" i="108"/>
  <c r="E120" i="108"/>
  <c r="D120" i="108"/>
  <c r="D119" i="108"/>
  <c r="D115" i="108"/>
  <c r="E114" i="108"/>
  <c r="D114" i="108"/>
  <c r="E113" i="108"/>
  <c r="D113" i="108"/>
  <c r="E112" i="108"/>
  <c r="D112" i="108"/>
  <c r="E111" i="108"/>
  <c r="D111" i="108"/>
  <c r="E110" i="108"/>
  <c r="D110" i="108"/>
  <c r="D109" i="108"/>
  <c r="D103" i="108"/>
  <c r="D97" i="108"/>
  <c r="D93" i="108"/>
  <c r="D87" i="108"/>
  <c r="D81" i="108"/>
  <c r="D80" i="108"/>
  <c r="D73" i="108"/>
  <c r="D69" i="108"/>
  <c r="D68" i="108"/>
  <c r="D61" i="108"/>
  <c r="AB55" i="108"/>
  <c r="AA55" i="108"/>
  <c r="Z55" i="108"/>
  <c r="Y55" i="108"/>
  <c r="X55" i="108"/>
  <c r="W55" i="108"/>
  <c r="V55" i="108"/>
  <c r="U55" i="108"/>
  <c r="T55" i="108"/>
  <c r="S55" i="108"/>
  <c r="R55" i="108"/>
  <c r="Q55" i="108"/>
  <c r="P55" i="108"/>
  <c r="O55" i="108"/>
  <c r="N55" i="108"/>
  <c r="M55" i="108"/>
  <c r="L55" i="108"/>
  <c r="K55" i="108"/>
  <c r="J55" i="108"/>
  <c r="I55" i="108"/>
  <c r="H55" i="108"/>
  <c r="G55" i="108"/>
  <c r="F55" i="108"/>
  <c r="E55" i="108"/>
  <c r="D55" i="108"/>
  <c r="C55" i="108"/>
  <c r="AB54" i="108"/>
  <c r="AA54" i="108"/>
  <c r="Z54" i="108"/>
  <c r="Y54" i="108"/>
  <c r="X54" i="108"/>
  <c r="W54" i="108"/>
  <c r="V54" i="108"/>
  <c r="U54" i="108"/>
  <c r="T54" i="108"/>
  <c r="S54" i="108"/>
  <c r="R54" i="108"/>
  <c r="Q54" i="108"/>
  <c r="P54" i="108"/>
  <c r="O54" i="108"/>
  <c r="N54" i="108"/>
  <c r="M54" i="108"/>
  <c r="L54" i="108"/>
  <c r="K54" i="108"/>
  <c r="J54" i="108"/>
  <c r="I54" i="108"/>
  <c r="H54" i="108"/>
  <c r="G54" i="108"/>
  <c r="F54" i="108"/>
  <c r="E54" i="108"/>
  <c r="D54" i="108"/>
  <c r="C54" i="108"/>
  <c r="AB53" i="108"/>
  <c r="AA53" i="108"/>
  <c r="Z53" i="108"/>
  <c r="Y53" i="108"/>
  <c r="X53" i="108"/>
  <c r="W53" i="108"/>
  <c r="V53" i="108"/>
  <c r="U53" i="108"/>
  <c r="T53" i="108"/>
  <c r="S53" i="108"/>
  <c r="R53" i="108"/>
  <c r="Q53" i="108"/>
  <c r="P53" i="108"/>
  <c r="O53" i="108"/>
  <c r="N53" i="108"/>
  <c r="M53" i="108"/>
  <c r="L53" i="108"/>
  <c r="K53" i="108"/>
  <c r="J53" i="108"/>
  <c r="I53" i="108"/>
  <c r="H53" i="108"/>
  <c r="G53" i="108"/>
  <c r="F53" i="108"/>
  <c r="E53" i="108"/>
  <c r="D53" i="108"/>
  <c r="C53" i="108"/>
  <c r="AB51" i="108"/>
  <c r="AA51" i="108"/>
  <c r="Z51" i="108"/>
  <c r="Y51" i="108"/>
  <c r="X51" i="108"/>
  <c r="W51" i="108"/>
  <c r="V51" i="108"/>
  <c r="U51" i="108"/>
  <c r="T51" i="108"/>
  <c r="S51" i="108"/>
  <c r="R51" i="108"/>
  <c r="Q51" i="108"/>
  <c r="P51" i="108"/>
  <c r="O51" i="108"/>
  <c r="N51" i="108"/>
  <c r="M51" i="108"/>
  <c r="L51" i="108"/>
  <c r="K51" i="108"/>
  <c r="J51" i="108"/>
  <c r="I51" i="108"/>
  <c r="H51" i="108"/>
  <c r="G51" i="108"/>
  <c r="F51" i="108"/>
  <c r="E51" i="108"/>
  <c r="D51" i="108"/>
  <c r="C51" i="108"/>
  <c r="AB50" i="108"/>
  <c r="AA50" i="108"/>
  <c r="Z50" i="108"/>
  <c r="Y50" i="108"/>
  <c r="X50" i="108"/>
  <c r="W50" i="108"/>
  <c r="V50" i="108"/>
  <c r="U50" i="108"/>
  <c r="T50" i="108"/>
  <c r="S50" i="108"/>
  <c r="R50" i="108"/>
  <c r="Q50" i="108"/>
  <c r="P50" i="108"/>
  <c r="O50" i="108"/>
  <c r="N50" i="108"/>
  <c r="M50" i="108"/>
  <c r="L50" i="108"/>
  <c r="K50" i="108"/>
  <c r="J50" i="108"/>
  <c r="I50" i="108"/>
  <c r="H50" i="108"/>
  <c r="G50" i="108"/>
  <c r="F50" i="108"/>
  <c r="E50" i="108"/>
  <c r="D50" i="108"/>
  <c r="C50" i="108"/>
  <c r="AB49" i="108"/>
  <c r="AA49" i="108"/>
  <c r="Z49"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AB47"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C47" i="108"/>
  <c r="AB46" i="108"/>
  <c r="AA46" i="108"/>
  <c r="Z46" i="108"/>
  <c r="Y46" i="108"/>
  <c r="X46" i="108"/>
  <c r="W46" i="108"/>
  <c r="V46" i="108"/>
  <c r="U46" i="108"/>
  <c r="T46" i="108"/>
  <c r="S46" i="108"/>
  <c r="R46" i="108"/>
  <c r="Q46" i="108"/>
  <c r="P46" i="108"/>
  <c r="O46" i="108"/>
  <c r="N46" i="108"/>
  <c r="M46" i="108"/>
  <c r="L46" i="108"/>
  <c r="K46" i="108"/>
  <c r="J46" i="108"/>
  <c r="I46" i="108"/>
  <c r="H46" i="108"/>
  <c r="G46" i="108"/>
  <c r="F46" i="108"/>
  <c r="E46" i="108"/>
  <c r="D46" i="108"/>
  <c r="C46" i="108"/>
  <c r="AB45" i="108"/>
  <c r="AA45" i="108"/>
  <c r="Z45"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AB43" i="108"/>
  <c r="AA43" i="108"/>
  <c r="Z43"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AB42" i="108"/>
  <c r="AA42" i="108"/>
  <c r="Z42" i="108"/>
  <c r="Y42" i="108"/>
  <c r="X42" i="108"/>
  <c r="W42" i="108"/>
  <c r="V42" i="108"/>
  <c r="U42" i="108"/>
  <c r="T42" i="108"/>
  <c r="S42" i="108"/>
  <c r="R42" i="108"/>
  <c r="Q42" i="108"/>
  <c r="P42" i="108"/>
  <c r="O42" i="108"/>
  <c r="N42" i="108"/>
  <c r="M42" i="108"/>
  <c r="L42" i="108"/>
  <c r="K42" i="108"/>
  <c r="J42" i="108"/>
  <c r="I42" i="108"/>
  <c r="H42" i="108"/>
  <c r="G42" i="108"/>
  <c r="F42" i="108"/>
  <c r="E42" i="108"/>
  <c r="D42" i="108"/>
  <c r="C42" i="108"/>
  <c r="AB41"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C41" i="108"/>
  <c r="AB38" i="108"/>
  <c r="AA38" i="108"/>
  <c r="Z38" i="108"/>
  <c r="Y38" i="108"/>
  <c r="X38" i="108"/>
  <c r="W38" i="108"/>
  <c r="V38" i="108"/>
  <c r="U38" i="108"/>
  <c r="T38" i="108"/>
  <c r="S38" i="108"/>
  <c r="R38" i="108"/>
  <c r="Q38" i="108"/>
  <c r="P38" i="108"/>
  <c r="O38" i="108"/>
  <c r="N38" i="108"/>
  <c r="M38" i="108"/>
  <c r="L38" i="108"/>
  <c r="K38" i="108"/>
  <c r="J38" i="108"/>
  <c r="I38" i="108"/>
  <c r="H38" i="108"/>
  <c r="G38" i="108"/>
  <c r="F38" i="108"/>
  <c r="E38" i="108"/>
  <c r="D38" i="108"/>
  <c r="AB37"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AB36" i="108"/>
  <c r="AA36" i="108"/>
  <c r="Z36" i="108"/>
  <c r="Y36" i="108"/>
  <c r="X36" i="108"/>
  <c r="W36" i="108"/>
  <c r="V36" i="108"/>
  <c r="U36" i="108"/>
  <c r="T36" i="108"/>
  <c r="S36" i="108"/>
  <c r="R36" i="108"/>
  <c r="Q36" i="108"/>
  <c r="P36" i="108"/>
  <c r="O36" i="108"/>
  <c r="N36" i="108"/>
  <c r="M36" i="108"/>
  <c r="L36" i="108"/>
  <c r="K36" i="108"/>
  <c r="J36" i="108"/>
  <c r="I36" i="108"/>
  <c r="H36" i="108"/>
  <c r="G36" i="108"/>
  <c r="F36" i="108"/>
  <c r="E36" i="108"/>
  <c r="D36" i="108"/>
  <c r="AB35" i="108"/>
  <c r="AA35" i="108"/>
  <c r="Z35" i="108"/>
  <c r="Y35" i="108"/>
  <c r="X35" i="108"/>
  <c r="W35" i="108"/>
  <c r="V35" i="108"/>
  <c r="U35" i="108"/>
  <c r="T35" i="108"/>
  <c r="S35" i="108"/>
  <c r="R35" i="108"/>
  <c r="Q35" i="108"/>
  <c r="P35" i="108"/>
  <c r="O35" i="108"/>
  <c r="N35" i="108"/>
  <c r="M35" i="108"/>
  <c r="L35" i="108"/>
  <c r="K35" i="108"/>
  <c r="J35" i="108"/>
  <c r="I35" i="108"/>
  <c r="H35" i="108"/>
  <c r="G35" i="108"/>
  <c r="F35" i="108"/>
  <c r="E35" i="108"/>
  <c r="D35" i="108"/>
  <c r="AB34"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J29" i="108"/>
  <c r="I29" i="108"/>
  <c r="H29" i="108"/>
  <c r="G29" i="108"/>
  <c r="F29" i="108"/>
  <c r="E29" i="108"/>
  <c r="D29" i="108"/>
  <c r="J28" i="108"/>
  <c r="I28" i="108"/>
  <c r="H28" i="108"/>
  <c r="G28" i="108"/>
  <c r="F28" i="108"/>
  <c r="E28" i="108"/>
  <c r="D28" i="108"/>
  <c r="C28" i="108"/>
  <c r="J27" i="108"/>
  <c r="I27" i="108"/>
  <c r="H27" i="108"/>
  <c r="G27" i="108"/>
  <c r="F27" i="108"/>
  <c r="E27" i="108"/>
  <c r="D27" i="108"/>
  <c r="C27" i="108"/>
  <c r="J26" i="108"/>
  <c r="I26" i="108"/>
  <c r="H26" i="108"/>
  <c r="G26" i="108"/>
  <c r="F26" i="108"/>
  <c r="E26" i="108"/>
  <c r="D26" i="108"/>
  <c r="C26" i="108"/>
  <c r="J23" i="108"/>
  <c r="I23" i="108"/>
  <c r="H23" i="108"/>
  <c r="G23" i="108"/>
  <c r="F23" i="108"/>
  <c r="E23" i="108"/>
  <c r="D23" i="108"/>
  <c r="J22" i="108"/>
  <c r="I22" i="108"/>
  <c r="H22" i="108"/>
  <c r="G22" i="108"/>
  <c r="F22" i="108"/>
  <c r="E22" i="108"/>
  <c r="D22" i="108"/>
  <c r="C22" i="108"/>
  <c r="J21" i="108"/>
  <c r="I21" i="108"/>
  <c r="H21" i="108"/>
  <c r="G21" i="108"/>
  <c r="F21" i="108"/>
  <c r="E21" i="108"/>
  <c r="D21" i="108"/>
  <c r="C21" i="108"/>
  <c r="J20" i="108"/>
  <c r="I20" i="108"/>
  <c r="H20" i="108"/>
  <c r="G20" i="108"/>
  <c r="F20" i="108"/>
  <c r="E20" i="108"/>
  <c r="D20" i="108"/>
  <c r="C20" i="108"/>
  <c r="J19" i="108"/>
  <c r="I19" i="108"/>
  <c r="H19" i="108"/>
  <c r="G19" i="108"/>
  <c r="F19" i="108"/>
  <c r="E19" i="108"/>
  <c r="D19" i="108"/>
  <c r="J17" i="108"/>
  <c r="I17" i="108"/>
  <c r="H17" i="108"/>
  <c r="G17" i="108"/>
  <c r="F17" i="108"/>
  <c r="E17" i="108"/>
  <c r="D17" i="108"/>
  <c r="J16" i="108"/>
  <c r="I16" i="108"/>
  <c r="H16" i="108"/>
  <c r="G16" i="108"/>
  <c r="F16" i="108"/>
  <c r="E16" i="108"/>
  <c r="D16" i="108"/>
  <c r="J15" i="108"/>
  <c r="I15" i="108"/>
  <c r="H15" i="108"/>
  <c r="G15" i="108"/>
  <c r="F15" i="108"/>
  <c r="E15" i="108"/>
  <c r="D15" i="108"/>
  <c r="A1" i="108"/>
  <c r="B31" i="105"/>
  <c r="B30" i="105"/>
  <c r="B29" i="105"/>
  <c r="B28" i="105"/>
  <c r="B27" i="105"/>
  <c r="B25" i="105"/>
  <c r="B24" i="105"/>
  <c r="B23" i="105"/>
  <c r="A1" i="105"/>
  <c r="A1" i="91"/>
  <c r="E621" i="19"/>
  <c r="D621" i="19"/>
  <c r="A621" i="19"/>
  <c r="B610" i="19"/>
  <c r="B609" i="19"/>
  <c r="B608" i="19"/>
  <c r="B607" i="19"/>
  <c r="B606" i="19"/>
  <c r="B605" i="19"/>
  <c r="B604" i="19"/>
  <c r="B603" i="19"/>
  <c r="B602" i="19"/>
  <c r="B601" i="19"/>
  <c r="B600" i="19"/>
  <c r="B599" i="19"/>
  <c r="B598" i="19"/>
  <c r="B597" i="19"/>
  <c r="B596" i="19"/>
  <c r="B595" i="19"/>
  <c r="B594" i="19"/>
  <c r="B593" i="19"/>
  <c r="B592" i="19"/>
  <c r="B591" i="19"/>
  <c r="C573" i="19"/>
  <c r="C572" i="19"/>
  <c r="B559" i="19"/>
  <c r="B558" i="19"/>
  <c r="B557" i="19"/>
  <c r="B556" i="19"/>
  <c r="B555" i="19"/>
  <c r="B554" i="19"/>
  <c r="B553" i="19"/>
  <c r="B552" i="19"/>
  <c r="B551" i="19"/>
  <c r="B550" i="19"/>
  <c r="B549" i="19"/>
  <c r="B548" i="19"/>
  <c r="B547" i="19"/>
  <c r="B546" i="19"/>
  <c r="B545" i="19"/>
  <c r="B544" i="19"/>
  <c r="B543" i="19"/>
  <c r="B542" i="19"/>
  <c r="B541" i="19"/>
  <c r="B540" i="19"/>
  <c r="B528" i="19"/>
  <c r="B527" i="19"/>
  <c r="B526" i="19"/>
  <c r="B525" i="19"/>
  <c r="B524" i="19"/>
  <c r="B523" i="19"/>
  <c r="B522" i="19"/>
  <c r="B521" i="19"/>
  <c r="B520" i="19"/>
  <c r="B519" i="19"/>
  <c r="B518" i="19"/>
  <c r="B517" i="19"/>
  <c r="B516" i="19"/>
  <c r="B515" i="19"/>
  <c r="B514" i="19"/>
  <c r="B513" i="19"/>
  <c r="B512" i="19"/>
  <c r="B511" i="19"/>
  <c r="B510" i="19"/>
  <c r="B509" i="19"/>
  <c r="F462" i="19"/>
  <c r="E462" i="19"/>
  <c r="D462" i="19"/>
  <c r="C462" i="19"/>
  <c r="F454" i="19"/>
  <c r="E454" i="19"/>
  <c r="D454" i="19"/>
  <c r="C454" i="19"/>
  <c r="F446" i="19"/>
  <c r="E446" i="19"/>
  <c r="D446" i="19"/>
  <c r="C446" i="19"/>
  <c r="F438" i="19"/>
  <c r="E438" i="19"/>
  <c r="D438" i="19"/>
  <c r="C438" i="19"/>
  <c r="AA373"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373" i="19"/>
  <c r="AA364" i="19"/>
  <c r="Z364" i="19"/>
  <c r="Y364" i="19"/>
  <c r="X364" i="19"/>
  <c r="W364" i="19"/>
  <c r="V364" i="19"/>
  <c r="U364" i="19"/>
  <c r="T364" i="19"/>
  <c r="S364" i="19"/>
  <c r="R364" i="19"/>
  <c r="Q364" i="19"/>
  <c r="P364" i="19"/>
  <c r="O364" i="19"/>
  <c r="N364" i="19"/>
  <c r="M364" i="19"/>
  <c r="L364" i="19"/>
  <c r="K364" i="19"/>
  <c r="J364" i="19"/>
  <c r="I364" i="19"/>
  <c r="H364" i="19"/>
  <c r="G364" i="19"/>
  <c r="F364" i="19"/>
  <c r="E364" i="19"/>
  <c r="D364" i="19"/>
  <c r="C364" i="19"/>
  <c r="AA355" i="19"/>
  <c r="Z355" i="19"/>
  <c r="Y355" i="19"/>
  <c r="X355" i="19"/>
  <c r="W355" i="19"/>
  <c r="V355" i="19"/>
  <c r="U355" i="19"/>
  <c r="T355" i="19"/>
  <c r="S355" i="19"/>
  <c r="R355" i="19"/>
  <c r="Q355" i="19"/>
  <c r="P355" i="19"/>
  <c r="O355" i="19"/>
  <c r="N355" i="19"/>
  <c r="M355" i="19"/>
  <c r="L355" i="19"/>
  <c r="K355" i="19"/>
  <c r="J355" i="19"/>
  <c r="I355" i="19"/>
  <c r="H355" i="19"/>
  <c r="G355" i="19"/>
  <c r="F355" i="19"/>
  <c r="E355" i="19"/>
  <c r="D355" i="19"/>
  <c r="C355" i="19"/>
  <c r="G342" i="19"/>
  <c r="F342" i="19"/>
  <c r="E342" i="19"/>
  <c r="D342" i="19"/>
  <c r="C342" i="19"/>
  <c r="A342" i="19"/>
  <c r="F330" i="19"/>
  <c r="E330" i="19"/>
  <c r="D330" i="19"/>
  <c r="C330" i="19"/>
  <c r="G326" i="19"/>
  <c r="F326" i="19"/>
  <c r="E326" i="19"/>
  <c r="D326" i="19"/>
  <c r="C326" i="19"/>
  <c r="A326" i="19"/>
  <c r="F314" i="19"/>
  <c r="E314" i="19"/>
  <c r="D314" i="19"/>
  <c r="C314" i="19"/>
  <c r="M296" i="19"/>
  <c r="L296" i="19"/>
  <c r="K296" i="19"/>
  <c r="J296" i="19"/>
  <c r="I296" i="19"/>
  <c r="G296" i="19"/>
  <c r="F296" i="19"/>
  <c r="E296" i="19"/>
  <c r="D296" i="19"/>
  <c r="C296" i="19"/>
  <c r="A296" i="19"/>
  <c r="L284" i="19"/>
  <c r="K284" i="19"/>
  <c r="J284" i="19"/>
  <c r="I284" i="19"/>
  <c r="F284" i="19"/>
  <c r="E284" i="19"/>
  <c r="D284" i="19"/>
  <c r="C284" i="19"/>
  <c r="M279" i="19"/>
  <c r="L279" i="19"/>
  <c r="K279" i="19"/>
  <c r="J279" i="19"/>
  <c r="I279" i="19"/>
  <c r="G279" i="19"/>
  <c r="F279" i="19"/>
  <c r="E279" i="19"/>
  <c r="D279" i="19"/>
  <c r="C279" i="19"/>
  <c r="A279" i="19"/>
  <c r="L267" i="19"/>
  <c r="K267" i="19"/>
  <c r="J267" i="19"/>
  <c r="I267" i="19"/>
  <c r="F267" i="19"/>
  <c r="E267" i="19"/>
  <c r="D267" i="19"/>
  <c r="C267" i="19"/>
  <c r="M253" i="19"/>
  <c r="L253" i="19"/>
  <c r="K253" i="19"/>
  <c r="J253" i="19"/>
  <c r="I253" i="19"/>
  <c r="G253" i="19"/>
  <c r="F253" i="19"/>
  <c r="E253" i="19"/>
  <c r="D253" i="19"/>
  <c r="C253" i="19"/>
  <c r="A253" i="19"/>
  <c r="L241" i="19"/>
  <c r="K241" i="19"/>
  <c r="J241" i="19"/>
  <c r="I241" i="19"/>
  <c r="F241" i="19"/>
  <c r="E241" i="19"/>
  <c r="D241" i="19"/>
  <c r="C241" i="19"/>
  <c r="M236" i="19"/>
  <c r="L236" i="19"/>
  <c r="K236" i="19"/>
  <c r="J236" i="19"/>
  <c r="I236" i="19"/>
  <c r="G236" i="19"/>
  <c r="F236" i="19"/>
  <c r="E236" i="19"/>
  <c r="D236" i="19"/>
  <c r="C236" i="19"/>
  <c r="A236" i="19"/>
  <c r="L224" i="19"/>
  <c r="K224" i="19"/>
  <c r="J224" i="19"/>
  <c r="I224" i="19"/>
  <c r="F224" i="19"/>
  <c r="E224" i="19"/>
  <c r="D224" i="19"/>
  <c r="C224" i="19"/>
  <c r="M194" i="19"/>
  <c r="L194" i="19"/>
  <c r="K194" i="19"/>
  <c r="J194" i="19"/>
  <c r="I194" i="19"/>
  <c r="G194" i="19"/>
  <c r="F194" i="19"/>
  <c r="E194" i="19"/>
  <c r="D194" i="19"/>
  <c r="C194" i="19"/>
  <c r="A194" i="19"/>
  <c r="L182" i="19"/>
  <c r="K182" i="19"/>
  <c r="J182" i="19"/>
  <c r="I182" i="19"/>
  <c r="F182" i="19"/>
  <c r="E182" i="19"/>
  <c r="D182" i="19"/>
  <c r="C182" i="19"/>
  <c r="M177" i="19"/>
  <c r="L177" i="19"/>
  <c r="K177" i="19"/>
  <c r="J177" i="19"/>
  <c r="I177" i="19"/>
  <c r="G177" i="19"/>
  <c r="F177" i="19"/>
  <c r="E177" i="19"/>
  <c r="D177" i="19"/>
  <c r="C177" i="19"/>
  <c r="A177" i="19"/>
  <c r="L165" i="19"/>
  <c r="K165" i="19"/>
  <c r="J165" i="19"/>
  <c r="I165" i="19"/>
  <c r="F165" i="19"/>
  <c r="E165" i="19"/>
  <c r="D165" i="19"/>
  <c r="C165" i="19"/>
  <c r="M160" i="19"/>
  <c r="L160" i="19"/>
  <c r="K160" i="19"/>
  <c r="J160" i="19"/>
  <c r="I160" i="19"/>
  <c r="G160" i="19"/>
  <c r="F160" i="19"/>
  <c r="E160" i="19"/>
  <c r="D160" i="19"/>
  <c r="C160" i="19"/>
  <c r="A160" i="19"/>
  <c r="L148" i="19"/>
  <c r="K148" i="19"/>
  <c r="J148" i="19"/>
  <c r="I148" i="19"/>
  <c r="F148" i="19"/>
  <c r="E148" i="19"/>
  <c r="D148" i="19"/>
  <c r="C148" i="19"/>
  <c r="M143" i="19"/>
  <c r="L143" i="19"/>
  <c r="K143" i="19"/>
  <c r="J143" i="19"/>
  <c r="I143" i="19"/>
  <c r="G143" i="19"/>
  <c r="F143" i="19"/>
  <c r="E143" i="19"/>
  <c r="D143" i="19"/>
  <c r="C143" i="19"/>
  <c r="A143" i="19"/>
  <c r="L131" i="19"/>
  <c r="K131" i="19"/>
  <c r="J131" i="19"/>
  <c r="I131" i="19"/>
  <c r="D113" i="19"/>
  <c r="A113" i="19"/>
  <c r="G112" i="19"/>
  <c r="C112" i="19"/>
  <c r="G111" i="19"/>
  <c r="C111" i="19"/>
  <c r="F100" i="19"/>
  <c r="E100" i="19"/>
  <c r="D100" i="19"/>
  <c r="C100" i="19"/>
  <c r="A100" i="19"/>
  <c r="AP69" i="19"/>
  <c r="AO69" i="19"/>
  <c r="AN69" i="19"/>
  <c r="A69" i="19"/>
  <c r="AP68" i="19"/>
  <c r="AO68" i="19"/>
  <c r="AN68" i="19"/>
  <c r="A68" i="19"/>
  <c r="AP67" i="19"/>
  <c r="AO67" i="19"/>
  <c r="AN67" i="19"/>
  <c r="A67" i="19"/>
  <c r="AQ54" i="19"/>
  <c r="AO54" i="19"/>
  <c r="AM54" i="19"/>
  <c r="AK54" i="19"/>
  <c r="AI54" i="19"/>
  <c r="AG54" i="19"/>
  <c r="AE54" i="19"/>
  <c r="AC54" i="19"/>
  <c r="AA54" i="19"/>
  <c r="Y54" i="19"/>
  <c r="W54" i="19"/>
  <c r="S54" i="19"/>
  <c r="Q54" i="19"/>
  <c r="O54" i="19"/>
  <c r="M54" i="19"/>
  <c r="K54" i="19"/>
  <c r="I54" i="19"/>
  <c r="G54" i="19"/>
  <c r="E54" i="19"/>
  <c r="C54" i="19"/>
  <c r="AP53" i="19"/>
  <c r="AO53" i="19"/>
  <c r="AN53" i="19"/>
  <c r="A53" i="19"/>
  <c r="AP52" i="19"/>
  <c r="AO52" i="19"/>
  <c r="AN52" i="19"/>
  <c r="A52" i="19"/>
  <c r="AV51" i="19"/>
  <c r="AT51" i="19"/>
  <c r="AP51" i="19"/>
  <c r="AO51" i="19"/>
  <c r="AN51" i="19"/>
  <c r="A51" i="19"/>
  <c r="A9" i="19"/>
  <c r="A1" i="19"/>
  <c r="Z129" i="155"/>
  <c r="Y129" i="155"/>
  <c r="X129" i="155"/>
  <c r="W129" i="155"/>
  <c r="V129" i="155"/>
  <c r="U129" i="155"/>
  <c r="T129" i="155"/>
  <c r="S129" i="155"/>
  <c r="R129" i="155"/>
  <c r="Q129" i="155"/>
  <c r="P129" i="155"/>
  <c r="O129" i="155"/>
  <c r="N129" i="155"/>
  <c r="Z128" i="155"/>
  <c r="Y128" i="155"/>
  <c r="X128" i="155"/>
  <c r="W128" i="155"/>
  <c r="V128" i="155"/>
  <c r="U128" i="155"/>
  <c r="T128" i="155"/>
  <c r="S128" i="155"/>
  <c r="R128" i="155"/>
  <c r="Q128" i="155"/>
  <c r="P128" i="155"/>
  <c r="O128" i="155"/>
  <c r="N128" i="155"/>
  <c r="N127" i="155"/>
  <c r="M127" i="155"/>
  <c r="L127" i="155"/>
  <c r="K127" i="155"/>
  <c r="J127" i="155"/>
  <c r="I127" i="155"/>
  <c r="H127" i="155"/>
  <c r="G127" i="155"/>
  <c r="F127" i="155"/>
  <c r="E127" i="155"/>
  <c r="D127" i="155"/>
  <c r="C127" i="155"/>
  <c r="N126" i="155"/>
  <c r="M126" i="155"/>
  <c r="L126" i="155"/>
  <c r="K126" i="155"/>
  <c r="J126" i="155"/>
  <c r="I126" i="155"/>
  <c r="H126" i="155"/>
  <c r="G126" i="155"/>
  <c r="F126" i="155"/>
  <c r="E126" i="155"/>
  <c r="D126" i="155"/>
  <c r="C126" i="155"/>
  <c r="Z125" i="155"/>
  <c r="Y125" i="155"/>
  <c r="X125" i="155"/>
  <c r="W125" i="155"/>
  <c r="V125" i="155"/>
  <c r="U125" i="155"/>
  <c r="T125" i="155"/>
  <c r="S125" i="155"/>
  <c r="R125" i="155"/>
  <c r="Q125" i="155"/>
  <c r="P125" i="155"/>
  <c r="O125" i="155"/>
  <c r="N125" i="155"/>
  <c r="M125" i="155"/>
  <c r="L125" i="155"/>
  <c r="K125" i="155"/>
  <c r="J125" i="155"/>
  <c r="I125" i="155"/>
  <c r="H125" i="155"/>
  <c r="G125" i="155"/>
  <c r="F125" i="155"/>
  <c r="E125" i="155"/>
  <c r="D125" i="155"/>
  <c r="C125" i="155"/>
  <c r="Z124" i="155"/>
  <c r="Y124" i="155"/>
  <c r="X124" i="155"/>
  <c r="W124" i="155"/>
  <c r="V124" i="155"/>
  <c r="U124" i="155"/>
  <c r="T124" i="155"/>
  <c r="S124" i="155"/>
  <c r="R124" i="155"/>
  <c r="Q124" i="155"/>
  <c r="P124" i="155"/>
  <c r="O124" i="155"/>
  <c r="N124" i="155"/>
  <c r="M124" i="155"/>
  <c r="L124" i="155"/>
  <c r="K124" i="155"/>
  <c r="J124" i="155"/>
  <c r="I124" i="155"/>
  <c r="H124" i="155"/>
  <c r="G124" i="155"/>
  <c r="F124" i="155"/>
  <c r="E124" i="155"/>
  <c r="D124" i="155"/>
  <c r="C124" i="155"/>
  <c r="Z123" i="155"/>
  <c r="Y123" i="155"/>
  <c r="X123" i="155"/>
  <c r="W123" i="155"/>
  <c r="V123" i="155"/>
  <c r="U123" i="155"/>
  <c r="T123" i="155"/>
  <c r="S123" i="155"/>
  <c r="R123" i="155"/>
  <c r="Q123" i="155"/>
  <c r="P123" i="155"/>
  <c r="O123" i="155"/>
  <c r="N123" i="155"/>
  <c r="M123" i="155"/>
  <c r="L123" i="155"/>
  <c r="K123" i="155"/>
  <c r="J123" i="155"/>
  <c r="I123" i="155"/>
  <c r="H123" i="155"/>
  <c r="G123" i="155"/>
  <c r="F123" i="155"/>
  <c r="E123" i="155"/>
  <c r="D123" i="155"/>
  <c r="C123" i="155"/>
  <c r="Z122" i="155"/>
  <c r="Y122" i="155"/>
  <c r="X122" i="155"/>
  <c r="W122" i="155"/>
  <c r="V122" i="155"/>
  <c r="U122" i="155"/>
  <c r="T122" i="155"/>
  <c r="S122" i="155"/>
  <c r="R122" i="155"/>
  <c r="Q122" i="155"/>
  <c r="P122" i="155"/>
  <c r="O122" i="155"/>
  <c r="N122" i="155"/>
  <c r="M122" i="155"/>
  <c r="L122" i="155"/>
  <c r="K122" i="155"/>
  <c r="J122" i="155"/>
  <c r="I122" i="155"/>
  <c r="H122" i="155"/>
  <c r="G122" i="155"/>
  <c r="F122" i="155"/>
  <c r="E122" i="155"/>
  <c r="D122" i="155"/>
  <c r="C122" i="155"/>
  <c r="Z121" i="155"/>
  <c r="Y121" i="155"/>
  <c r="X121" i="155"/>
  <c r="W121" i="155"/>
  <c r="V121" i="155"/>
  <c r="U121" i="155"/>
  <c r="T121" i="155"/>
  <c r="S121" i="155"/>
  <c r="R121" i="155"/>
  <c r="Q121" i="155"/>
  <c r="P121" i="155"/>
  <c r="O121" i="155"/>
  <c r="N121" i="155"/>
  <c r="M121" i="155"/>
  <c r="L121" i="155"/>
  <c r="K121" i="155"/>
  <c r="J121" i="155"/>
  <c r="I121" i="155"/>
  <c r="H121" i="155"/>
  <c r="G121" i="155"/>
  <c r="F121" i="155"/>
  <c r="E121" i="155"/>
  <c r="D121" i="155"/>
  <c r="C121" i="155"/>
  <c r="AA81" i="155"/>
  <c r="Z81" i="155"/>
  <c r="Y81" i="155"/>
  <c r="X81" i="155"/>
  <c r="W81" i="155"/>
  <c r="V81" i="155"/>
  <c r="U81" i="155"/>
  <c r="T81" i="155"/>
  <c r="S81" i="155"/>
  <c r="R81" i="155"/>
  <c r="Q81" i="155"/>
  <c r="P81" i="155"/>
  <c r="O81" i="155"/>
  <c r="O80" i="155"/>
  <c r="N80" i="155"/>
  <c r="M80" i="155"/>
  <c r="L80" i="155"/>
  <c r="K80" i="155"/>
  <c r="J80" i="155"/>
  <c r="I80" i="155"/>
  <c r="H80" i="155"/>
  <c r="G80" i="155"/>
  <c r="F80" i="155"/>
  <c r="E80" i="155"/>
  <c r="D80" i="155"/>
  <c r="C80" i="155"/>
  <c r="AA79" i="155"/>
  <c r="Z79" i="155"/>
  <c r="Y79" i="155"/>
  <c r="X79" i="155"/>
  <c r="W79" i="155"/>
  <c r="V79" i="155"/>
  <c r="U79" i="155"/>
  <c r="T79" i="155"/>
  <c r="S79" i="155"/>
  <c r="R79" i="155"/>
  <c r="Q79" i="155"/>
  <c r="P79" i="155"/>
  <c r="O79" i="155"/>
  <c r="O78" i="155"/>
  <c r="N78" i="155"/>
  <c r="M78" i="155"/>
  <c r="L78" i="155"/>
  <c r="K78" i="155"/>
  <c r="J78" i="155"/>
  <c r="I78" i="155"/>
  <c r="H78" i="155"/>
  <c r="G78" i="155"/>
  <c r="F78" i="155"/>
  <c r="E78" i="155"/>
  <c r="D78" i="155"/>
  <c r="C78" i="155"/>
  <c r="AA77" i="155"/>
  <c r="Z77" i="155"/>
  <c r="Y77" i="155"/>
  <c r="X77" i="155"/>
  <c r="W77" i="155"/>
  <c r="V77" i="155"/>
  <c r="U77" i="155"/>
  <c r="T77" i="155"/>
  <c r="S77" i="155"/>
  <c r="R77" i="155"/>
  <c r="Q77" i="155"/>
  <c r="P77" i="155"/>
  <c r="O77" i="155"/>
  <c r="O76" i="155"/>
  <c r="N76" i="155"/>
  <c r="M76" i="155"/>
  <c r="L76" i="155"/>
  <c r="K76" i="155"/>
  <c r="J76" i="155"/>
  <c r="I76" i="155"/>
  <c r="H76" i="155"/>
  <c r="G76" i="155"/>
  <c r="F76" i="155"/>
  <c r="E76" i="155"/>
  <c r="D76" i="155"/>
  <c r="C76" i="155"/>
  <c r="AA75" i="155"/>
  <c r="Z75" i="155"/>
  <c r="Y75" i="155"/>
  <c r="X75" i="155"/>
  <c r="W75" i="155"/>
  <c r="V75" i="155"/>
  <c r="U75" i="155"/>
  <c r="T75" i="155"/>
  <c r="S75" i="155"/>
  <c r="R75" i="155"/>
  <c r="Q75" i="155"/>
  <c r="P75" i="155"/>
  <c r="O75" i="155"/>
  <c r="O74" i="155"/>
  <c r="N74" i="155"/>
  <c r="M74" i="155"/>
  <c r="L74" i="155"/>
  <c r="K74" i="155"/>
  <c r="J74" i="155"/>
  <c r="I74" i="155"/>
  <c r="H74" i="155"/>
  <c r="G74" i="155"/>
  <c r="F74" i="155"/>
  <c r="E74" i="155"/>
  <c r="D74" i="155"/>
  <c r="C74" i="155"/>
  <c r="AA73" i="155"/>
  <c r="Z73" i="155"/>
  <c r="Y73" i="155"/>
  <c r="X73" i="155"/>
  <c r="W73" i="155"/>
  <c r="V73" i="155"/>
  <c r="U73" i="155"/>
  <c r="T73" i="155"/>
  <c r="S73" i="155"/>
  <c r="R73" i="155"/>
  <c r="Q73" i="155"/>
  <c r="P73" i="155"/>
  <c r="O73" i="155"/>
  <c r="O72" i="155"/>
  <c r="N72" i="155"/>
  <c r="M72" i="155"/>
  <c r="L72" i="155"/>
  <c r="K72" i="155"/>
  <c r="J72" i="155"/>
  <c r="I72" i="155"/>
  <c r="H72" i="155"/>
  <c r="G72" i="155"/>
  <c r="F72" i="155"/>
  <c r="E72" i="155"/>
  <c r="D72" i="155"/>
  <c r="C72" i="155"/>
  <c r="AA71" i="155"/>
  <c r="Z71" i="155"/>
  <c r="Y71" i="155"/>
  <c r="X71" i="155"/>
  <c r="W71" i="155"/>
  <c r="V71" i="155"/>
  <c r="U71" i="155"/>
  <c r="T71" i="155"/>
  <c r="S71" i="155"/>
  <c r="R71" i="155"/>
  <c r="Q71" i="155"/>
  <c r="P71" i="155"/>
  <c r="O71" i="155"/>
  <c r="N71" i="155"/>
  <c r="M71" i="155"/>
  <c r="L71" i="155"/>
  <c r="K71" i="155"/>
  <c r="J71" i="155"/>
  <c r="I71" i="155"/>
  <c r="H71" i="155"/>
  <c r="G71" i="155"/>
  <c r="F71" i="155"/>
  <c r="E71" i="155"/>
  <c r="D71" i="155"/>
  <c r="C71" i="155"/>
  <c r="AA69" i="155"/>
  <c r="Z69" i="155"/>
  <c r="Y69" i="155"/>
  <c r="X69" i="155"/>
  <c r="W69" i="155"/>
  <c r="V69" i="155"/>
  <c r="U69" i="155"/>
  <c r="T69" i="155"/>
  <c r="S69" i="155"/>
  <c r="R69" i="155"/>
  <c r="Q69" i="155"/>
  <c r="P69" i="155"/>
  <c r="O69" i="155"/>
  <c r="N69" i="155"/>
  <c r="M69" i="155"/>
  <c r="L69" i="155"/>
  <c r="K69" i="155"/>
  <c r="J69" i="155"/>
  <c r="I69" i="155"/>
  <c r="H69" i="155"/>
  <c r="G69" i="155"/>
  <c r="F69" i="155"/>
  <c r="E69" i="155"/>
  <c r="D69" i="155"/>
  <c r="C69" i="155"/>
  <c r="AA68" i="155"/>
  <c r="Z68" i="155"/>
  <c r="Y68" i="155"/>
  <c r="X68" i="155"/>
  <c r="W68" i="155"/>
  <c r="V68" i="155"/>
  <c r="U68" i="155"/>
  <c r="T68" i="155"/>
  <c r="S68" i="155"/>
  <c r="R68" i="155"/>
  <c r="Q68" i="155"/>
  <c r="P68" i="155"/>
  <c r="O68" i="155"/>
  <c r="N68" i="155"/>
  <c r="M68" i="155"/>
  <c r="L68" i="155"/>
  <c r="K68" i="155"/>
  <c r="J68" i="155"/>
  <c r="I68" i="155"/>
  <c r="H68" i="155"/>
  <c r="G68" i="155"/>
  <c r="F68" i="155"/>
  <c r="E68" i="155"/>
  <c r="D68" i="155"/>
  <c r="C68" i="155"/>
  <c r="AA67" i="155"/>
  <c r="Z67" i="155"/>
  <c r="Y67" i="155"/>
  <c r="X67" i="155"/>
  <c r="W67" i="155"/>
  <c r="V67" i="155"/>
  <c r="U67" i="155"/>
  <c r="T67" i="155"/>
  <c r="S67" i="155"/>
  <c r="R67" i="155"/>
  <c r="Q67" i="155"/>
  <c r="P67" i="155"/>
  <c r="O67" i="155"/>
  <c r="N67" i="155"/>
  <c r="M67" i="155"/>
  <c r="L67" i="155"/>
  <c r="K67" i="155"/>
  <c r="J67" i="155"/>
  <c r="I67" i="155"/>
  <c r="H67" i="155"/>
  <c r="G67" i="155"/>
  <c r="F67" i="155"/>
  <c r="E67" i="155"/>
  <c r="D67" i="155"/>
  <c r="C67" i="155"/>
  <c r="AA65" i="155"/>
  <c r="Z65" i="155"/>
  <c r="Y65" i="155"/>
  <c r="X65" i="155"/>
  <c r="W65" i="155"/>
  <c r="V65" i="155"/>
  <c r="U65" i="155"/>
  <c r="T65" i="155"/>
  <c r="S65" i="155"/>
  <c r="R65" i="155"/>
  <c r="Q65" i="155"/>
  <c r="P65" i="155"/>
  <c r="O65" i="155"/>
  <c r="N65" i="155"/>
  <c r="M65" i="155"/>
  <c r="L65" i="155"/>
  <c r="K65" i="155"/>
  <c r="J65" i="155"/>
  <c r="I65" i="155"/>
  <c r="H65" i="155"/>
  <c r="G65" i="155"/>
  <c r="F65" i="155"/>
  <c r="E65" i="155"/>
  <c r="D65" i="155"/>
  <c r="C65" i="155"/>
  <c r="AA64" i="155"/>
  <c r="Z64" i="155"/>
  <c r="Y64" i="155"/>
  <c r="X64" i="155"/>
  <c r="W64" i="155"/>
  <c r="V64" i="155"/>
  <c r="U64" i="155"/>
  <c r="T64" i="155"/>
  <c r="S64" i="155"/>
  <c r="R64" i="155"/>
  <c r="Q64" i="155"/>
  <c r="P64" i="155"/>
  <c r="O64" i="155"/>
  <c r="N64" i="155"/>
  <c r="M64" i="155"/>
  <c r="L64" i="155"/>
  <c r="K64" i="155"/>
  <c r="J64" i="155"/>
  <c r="I64" i="155"/>
  <c r="H64" i="155"/>
  <c r="G64" i="155"/>
  <c r="F64" i="155"/>
  <c r="E64" i="155"/>
  <c r="D64" i="155"/>
  <c r="C64" i="155"/>
  <c r="AA63" i="155"/>
  <c r="Z63" i="155"/>
  <c r="Y63" i="155"/>
  <c r="X63" i="155"/>
  <c r="W63" i="155"/>
  <c r="V63" i="155"/>
  <c r="U63" i="155"/>
  <c r="T63" i="155"/>
  <c r="S63" i="155"/>
  <c r="R63" i="155"/>
  <c r="Q63" i="155"/>
  <c r="P63" i="155"/>
  <c r="O63" i="155"/>
  <c r="N63" i="155"/>
  <c r="M63" i="155"/>
  <c r="L63" i="155"/>
  <c r="K63" i="155"/>
  <c r="J63" i="155"/>
  <c r="I63" i="155"/>
  <c r="H63" i="155"/>
  <c r="G63" i="155"/>
  <c r="F63" i="155"/>
  <c r="E63" i="155"/>
  <c r="D63" i="155"/>
  <c r="C63" i="155"/>
  <c r="AA62" i="155"/>
  <c r="Z62" i="155"/>
  <c r="Y62" i="155"/>
  <c r="X62" i="155"/>
  <c r="W62" i="155"/>
  <c r="V62" i="155"/>
  <c r="U62" i="155"/>
  <c r="T62" i="155"/>
  <c r="S62" i="155"/>
  <c r="R62" i="155"/>
  <c r="Q62" i="155"/>
  <c r="P62" i="155"/>
  <c r="O62" i="155"/>
  <c r="N62" i="155"/>
  <c r="M62" i="155"/>
  <c r="L62" i="155"/>
  <c r="K62" i="155"/>
  <c r="J62" i="155"/>
  <c r="I62" i="155"/>
  <c r="H62" i="155"/>
  <c r="G62" i="155"/>
  <c r="F62" i="155"/>
  <c r="E62" i="155"/>
  <c r="D62" i="155"/>
  <c r="C62" i="155"/>
  <c r="AA59" i="155"/>
  <c r="Z59" i="155"/>
  <c r="Y59" i="155"/>
  <c r="X59" i="155"/>
  <c r="W59" i="155"/>
  <c r="V59" i="155"/>
  <c r="U59" i="155"/>
  <c r="T59" i="155"/>
  <c r="S59" i="155"/>
  <c r="R59" i="155"/>
  <c r="Q59" i="155"/>
  <c r="P59" i="155"/>
  <c r="O59" i="155"/>
  <c r="N59" i="155"/>
  <c r="M59" i="155"/>
  <c r="L59" i="155"/>
  <c r="K59" i="155"/>
  <c r="J59" i="155"/>
  <c r="I59" i="155"/>
  <c r="H59" i="155"/>
  <c r="G59" i="155"/>
  <c r="F59" i="155"/>
  <c r="E59" i="155"/>
  <c r="D59" i="155"/>
  <c r="C59" i="155"/>
  <c r="AA58" i="155"/>
  <c r="Z58" i="155"/>
  <c r="Y58" i="155"/>
  <c r="X58" i="155"/>
  <c r="W58" i="155"/>
  <c r="V58" i="155"/>
  <c r="U58" i="155"/>
  <c r="T58" i="155"/>
  <c r="S58" i="155"/>
  <c r="R58" i="155"/>
  <c r="Q58" i="155"/>
  <c r="P58" i="155"/>
  <c r="O58" i="155"/>
  <c r="N58" i="155"/>
  <c r="M58" i="155"/>
  <c r="L58" i="155"/>
  <c r="K58" i="155"/>
  <c r="J58" i="155"/>
  <c r="I58" i="155"/>
  <c r="H58" i="155"/>
  <c r="G58" i="155"/>
  <c r="F58" i="155"/>
  <c r="E58" i="155"/>
  <c r="D58" i="155"/>
  <c r="C58" i="155"/>
  <c r="AA57" i="155"/>
  <c r="Z57" i="155"/>
  <c r="Y57" i="155"/>
  <c r="X57" i="155"/>
  <c r="W57" i="155"/>
  <c r="V57" i="155"/>
  <c r="U57" i="155"/>
  <c r="T57" i="155"/>
  <c r="S57" i="155"/>
  <c r="R57" i="155"/>
  <c r="Q57" i="155"/>
  <c r="P57" i="155"/>
  <c r="O57" i="155"/>
  <c r="N57" i="155"/>
  <c r="M57" i="155"/>
  <c r="L57" i="155"/>
  <c r="K57" i="155"/>
  <c r="J57" i="155"/>
  <c r="I57" i="155"/>
  <c r="H57" i="155"/>
  <c r="G57" i="155"/>
  <c r="F57" i="155"/>
  <c r="E57" i="155"/>
  <c r="D57" i="155"/>
  <c r="C57" i="155"/>
  <c r="AA56" i="155"/>
  <c r="Z56" i="155"/>
  <c r="Y56" i="155"/>
  <c r="X56" i="155"/>
  <c r="W56" i="155"/>
  <c r="V56" i="155"/>
  <c r="U56" i="155"/>
  <c r="T56" i="155"/>
  <c r="S56" i="155"/>
  <c r="R56" i="155"/>
  <c r="Q56" i="155"/>
  <c r="P56" i="155"/>
  <c r="O56" i="155"/>
  <c r="N56" i="155"/>
  <c r="M56" i="155"/>
  <c r="L56" i="155"/>
  <c r="K56" i="155"/>
  <c r="J56" i="155"/>
  <c r="I56" i="155"/>
  <c r="H56" i="155"/>
  <c r="G56" i="155"/>
  <c r="F56" i="155"/>
  <c r="E56" i="155"/>
  <c r="D56" i="155"/>
  <c r="C56" i="155"/>
  <c r="AA53" i="155"/>
  <c r="Z53" i="155"/>
  <c r="Y53" i="155"/>
  <c r="X53" i="155"/>
  <c r="W53" i="155"/>
  <c r="V53" i="155"/>
  <c r="U53" i="155"/>
  <c r="T53" i="155"/>
  <c r="S53" i="155"/>
  <c r="R53" i="155"/>
  <c r="Q53" i="155"/>
  <c r="P53" i="155"/>
  <c r="O53" i="155"/>
  <c r="N53" i="155"/>
  <c r="M53" i="155"/>
  <c r="L53" i="155"/>
  <c r="K53" i="155"/>
  <c r="J53" i="155"/>
  <c r="I53" i="155"/>
  <c r="H53" i="155"/>
  <c r="G53" i="155"/>
  <c r="F53" i="155"/>
  <c r="E53" i="155"/>
  <c r="D53" i="155"/>
  <c r="C53" i="155"/>
  <c r="AA52" i="155"/>
  <c r="Z52" i="155"/>
  <c r="Y52" i="155"/>
  <c r="X52" i="155"/>
  <c r="W52" i="155"/>
  <c r="V52" i="155"/>
  <c r="U52" i="155"/>
  <c r="T52" i="155"/>
  <c r="S52" i="155"/>
  <c r="R52" i="155"/>
  <c r="Q52" i="155"/>
  <c r="P52" i="155"/>
  <c r="O52" i="155"/>
  <c r="N52" i="155"/>
  <c r="M52" i="155"/>
  <c r="L52" i="155"/>
  <c r="K52" i="155"/>
  <c r="J52" i="155"/>
  <c r="I52" i="155"/>
  <c r="H52" i="155"/>
  <c r="G52" i="155"/>
  <c r="F52" i="155"/>
  <c r="E52" i="155"/>
  <c r="D52" i="155"/>
  <c r="C52" i="155"/>
  <c r="AA51" i="155"/>
  <c r="Z51" i="155"/>
  <c r="Y51" i="155"/>
  <c r="X51" i="155"/>
  <c r="W51" i="155"/>
  <c r="V51" i="155"/>
  <c r="U51" i="155"/>
  <c r="T51" i="155"/>
  <c r="S51" i="155"/>
  <c r="R51" i="155"/>
  <c r="Q51" i="155"/>
  <c r="P51" i="155"/>
  <c r="O51" i="155"/>
  <c r="N51" i="155"/>
  <c r="M51" i="155"/>
  <c r="L51" i="155"/>
  <c r="K51" i="155"/>
  <c r="J51" i="155"/>
  <c r="I51" i="155"/>
  <c r="H51" i="155"/>
  <c r="G51" i="155"/>
  <c r="F51" i="155"/>
  <c r="E51" i="155"/>
  <c r="D51" i="155"/>
  <c r="C51" i="155"/>
  <c r="AA50" i="155"/>
  <c r="Z50" i="155"/>
  <c r="Y50" i="155"/>
  <c r="X50" i="155"/>
  <c r="W50" i="155"/>
  <c r="V50" i="155"/>
  <c r="U50" i="155"/>
  <c r="T50" i="155"/>
  <c r="S50" i="155"/>
  <c r="R50" i="155"/>
  <c r="Q50" i="155"/>
  <c r="P50" i="155"/>
  <c r="O50" i="155"/>
  <c r="N50" i="155"/>
  <c r="M50" i="155"/>
  <c r="L50" i="155"/>
  <c r="K50" i="155"/>
  <c r="J50" i="155"/>
  <c r="I50" i="155"/>
  <c r="H50" i="155"/>
  <c r="G50" i="155"/>
  <c r="F50" i="155"/>
  <c r="E50" i="155"/>
  <c r="D50" i="155"/>
  <c r="C50" i="155"/>
  <c r="AA47" i="155"/>
  <c r="Z47" i="155"/>
  <c r="Y47" i="155"/>
  <c r="X47" i="155"/>
  <c r="W47" i="155"/>
  <c r="V47" i="155"/>
  <c r="U47" i="155"/>
  <c r="T47" i="155"/>
  <c r="S47" i="155"/>
  <c r="R47" i="155"/>
  <c r="Q47" i="155"/>
  <c r="P47" i="155"/>
  <c r="O47" i="155"/>
  <c r="N47" i="155"/>
  <c r="M47" i="155"/>
  <c r="L47" i="155"/>
  <c r="K47" i="155"/>
  <c r="J47" i="155"/>
  <c r="I47" i="155"/>
  <c r="H47" i="155"/>
  <c r="G47" i="155"/>
  <c r="F47" i="155"/>
  <c r="E47" i="155"/>
  <c r="D47" i="155"/>
  <c r="C47" i="155"/>
  <c r="AA46" i="155"/>
  <c r="Z46" i="155"/>
  <c r="Y46" i="155"/>
  <c r="X46" i="155"/>
  <c r="W46" i="155"/>
  <c r="V46" i="155"/>
  <c r="U46" i="155"/>
  <c r="T46" i="155"/>
  <c r="S46" i="155"/>
  <c r="R46" i="155"/>
  <c r="Q46" i="155"/>
  <c r="P46" i="155"/>
  <c r="O46" i="155"/>
  <c r="N46" i="155"/>
  <c r="M46" i="155"/>
  <c r="L46" i="155"/>
  <c r="K46" i="155"/>
  <c r="J46" i="155"/>
  <c r="I46" i="155"/>
  <c r="H46" i="155"/>
  <c r="G46" i="155"/>
  <c r="F46" i="155"/>
  <c r="E46" i="155"/>
  <c r="D46" i="155"/>
  <c r="C46" i="155"/>
  <c r="AA45" i="155"/>
  <c r="Z45" i="155"/>
  <c r="Y45" i="155"/>
  <c r="X45" i="155"/>
  <c r="W45" i="155"/>
  <c r="V45" i="155"/>
  <c r="U45" i="155"/>
  <c r="T45" i="155"/>
  <c r="S45" i="155"/>
  <c r="R45" i="155"/>
  <c r="Q45" i="155"/>
  <c r="P45" i="155"/>
  <c r="O45" i="155"/>
  <c r="N45" i="155"/>
  <c r="M45" i="155"/>
  <c r="L45" i="155"/>
  <c r="K45" i="155"/>
  <c r="J45" i="155"/>
  <c r="I45" i="155"/>
  <c r="H45" i="155"/>
  <c r="G45" i="155"/>
  <c r="F45" i="155"/>
  <c r="E45" i="155"/>
  <c r="D45" i="155"/>
  <c r="C45" i="155"/>
  <c r="AA44" i="155"/>
  <c r="Z44" i="155"/>
  <c r="Y44" i="155"/>
  <c r="X44" i="155"/>
  <c r="W44" i="155"/>
  <c r="V44" i="155"/>
  <c r="U44" i="155"/>
  <c r="T44" i="155"/>
  <c r="S44" i="155"/>
  <c r="R44" i="155"/>
  <c r="Q44" i="155"/>
  <c r="P44" i="155"/>
  <c r="O44" i="155"/>
  <c r="N44" i="155"/>
  <c r="M44" i="155"/>
  <c r="L44" i="155"/>
  <c r="K44" i="155"/>
  <c r="J44" i="155"/>
  <c r="I44" i="155"/>
  <c r="H44" i="155"/>
  <c r="G44" i="155"/>
  <c r="F44" i="155"/>
  <c r="E44" i="155"/>
  <c r="D44" i="155"/>
  <c r="C44" i="155"/>
  <c r="AA41" i="155"/>
  <c r="Z41" i="155"/>
  <c r="Y41" i="155"/>
  <c r="X41" i="155"/>
  <c r="W41" i="155"/>
  <c r="V41" i="155"/>
  <c r="U41" i="155"/>
  <c r="T41" i="155"/>
  <c r="S41" i="155"/>
  <c r="R41" i="155"/>
  <c r="Q41" i="155"/>
  <c r="P41" i="155"/>
  <c r="O41" i="155"/>
  <c r="N41" i="155"/>
  <c r="M41" i="155"/>
  <c r="L41" i="155"/>
  <c r="K41" i="155"/>
  <c r="J41" i="155"/>
  <c r="I41" i="155"/>
  <c r="H41" i="155"/>
  <c r="G41" i="155"/>
  <c r="F41" i="155"/>
  <c r="E41" i="155"/>
  <c r="D41" i="155"/>
  <c r="C41" i="155"/>
  <c r="AA40" i="155"/>
  <c r="Z40" i="155"/>
  <c r="Y40" i="155"/>
  <c r="X40" i="155"/>
  <c r="W40" i="155"/>
  <c r="V40" i="155"/>
  <c r="U40" i="155"/>
  <c r="T40" i="155"/>
  <c r="S40" i="155"/>
  <c r="R40" i="155"/>
  <c r="Q40" i="155"/>
  <c r="P40" i="155"/>
  <c r="O40" i="155"/>
  <c r="N40" i="155"/>
  <c r="M40" i="155"/>
  <c r="L40" i="155"/>
  <c r="K40" i="155"/>
  <c r="J40" i="155"/>
  <c r="I40" i="155"/>
  <c r="H40" i="155"/>
  <c r="G40" i="155"/>
  <c r="F40" i="155"/>
  <c r="E40" i="155"/>
  <c r="D40" i="155"/>
  <c r="C40" i="155"/>
  <c r="AA39" i="155"/>
  <c r="Z39" i="155"/>
  <c r="Y39" i="155"/>
  <c r="X39" i="155"/>
  <c r="W39" i="155"/>
  <c r="V39" i="155"/>
  <c r="U39" i="155"/>
  <c r="T39" i="155"/>
  <c r="S39" i="155"/>
  <c r="R39" i="155"/>
  <c r="Q39" i="155"/>
  <c r="P39" i="155"/>
  <c r="O39" i="155"/>
  <c r="N39" i="155"/>
  <c r="M39" i="155"/>
  <c r="L39" i="155"/>
  <c r="K39" i="155"/>
  <c r="J39" i="155"/>
  <c r="I39" i="155"/>
  <c r="H39" i="155"/>
  <c r="G39" i="155"/>
  <c r="F39" i="155"/>
  <c r="E39" i="155"/>
  <c r="D39" i="155"/>
  <c r="C39" i="155"/>
  <c r="AA38" i="155"/>
  <c r="Z38" i="155"/>
  <c r="Y38" i="155"/>
  <c r="X38" i="155"/>
  <c r="W38" i="155"/>
  <c r="V38" i="155"/>
  <c r="U38" i="155"/>
  <c r="T38" i="155"/>
  <c r="S38" i="155"/>
  <c r="R38" i="155"/>
  <c r="Q38" i="155"/>
  <c r="P38" i="155"/>
  <c r="O38" i="155"/>
  <c r="N38" i="155"/>
  <c r="M38" i="155"/>
  <c r="L38" i="155"/>
  <c r="K38" i="155"/>
  <c r="J38" i="155"/>
  <c r="I38" i="155"/>
  <c r="H38" i="155"/>
  <c r="G38" i="155"/>
  <c r="F38" i="155"/>
  <c r="E38" i="155"/>
  <c r="D38" i="155"/>
  <c r="C38" i="155"/>
  <c r="A1" i="155"/>
  <c r="A1" i="85"/>
  <c r="A1" i="103"/>
  <c r="N83" i="287"/>
  <c r="M83" i="287"/>
  <c r="L83" i="287"/>
  <c r="K83" i="287"/>
  <c r="J83" i="287"/>
  <c r="I83" i="287"/>
  <c r="H83" i="287"/>
  <c r="G83" i="287"/>
  <c r="F83" i="287"/>
  <c r="E83" i="287"/>
  <c r="D83" i="287"/>
  <c r="C83" i="287"/>
  <c r="B83" i="287"/>
  <c r="N82" i="287"/>
  <c r="M82" i="287"/>
  <c r="L82" i="287"/>
  <c r="K82" i="287"/>
  <c r="J82" i="287"/>
  <c r="I82" i="287"/>
  <c r="H82" i="287"/>
  <c r="G82" i="287"/>
  <c r="F82" i="287"/>
  <c r="E82" i="287"/>
  <c r="D82" i="287"/>
  <c r="C82" i="287"/>
  <c r="B82" i="287"/>
  <c r="N81" i="287"/>
  <c r="M81" i="287"/>
  <c r="L81" i="287"/>
  <c r="K81" i="287"/>
  <c r="J81" i="287"/>
  <c r="I81" i="287"/>
  <c r="H81" i="287"/>
  <c r="G81" i="287"/>
  <c r="F81" i="287"/>
  <c r="E81" i="287"/>
  <c r="D81" i="287"/>
  <c r="C81" i="287"/>
  <c r="B81" i="287"/>
  <c r="N80" i="287"/>
  <c r="M80" i="287"/>
  <c r="L80" i="287"/>
  <c r="K80" i="287"/>
  <c r="J80" i="287"/>
  <c r="I80" i="287"/>
  <c r="H80" i="287"/>
  <c r="G80" i="287"/>
  <c r="F80" i="287"/>
  <c r="E80" i="287"/>
  <c r="D80" i="287"/>
  <c r="C80" i="287"/>
  <c r="N78" i="287"/>
  <c r="M78" i="287"/>
  <c r="L78" i="287"/>
  <c r="K78" i="287"/>
  <c r="J78" i="287"/>
  <c r="I78" i="287"/>
  <c r="H78" i="287"/>
  <c r="G78" i="287"/>
  <c r="F78" i="287"/>
  <c r="E78" i="287"/>
  <c r="D78" i="287"/>
  <c r="C78" i="287"/>
  <c r="B78" i="287"/>
  <c r="N77" i="287"/>
  <c r="M77" i="287"/>
  <c r="L77" i="287"/>
  <c r="K77" i="287"/>
  <c r="J77" i="287"/>
  <c r="I77" i="287"/>
  <c r="H77" i="287"/>
  <c r="G77" i="287"/>
  <c r="F77" i="287"/>
  <c r="E77" i="287"/>
  <c r="D77" i="287"/>
  <c r="C77" i="287"/>
  <c r="B77" i="287"/>
  <c r="N76" i="287"/>
  <c r="M76" i="287"/>
  <c r="L76" i="287"/>
  <c r="K76" i="287"/>
  <c r="J76" i="287"/>
  <c r="I76" i="287"/>
  <c r="H76" i="287"/>
  <c r="G76" i="287"/>
  <c r="F76" i="287"/>
  <c r="E76" i="287"/>
  <c r="D76" i="287"/>
  <c r="C76" i="287"/>
  <c r="B76" i="287"/>
  <c r="N75" i="287"/>
  <c r="M75" i="287"/>
  <c r="L75" i="287"/>
  <c r="K75" i="287"/>
  <c r="J75" i="287"/>
  <c r="I75" i="287"/>
  <c r="H75" i="287"/>
  <c r="G75" i="287"/>
  <c r="F75" i="287"/>
  <c r="E75" i="287"/>
  <c r="D75" i="287"/>
  <c r="C75" i="287"/>
  <c r="B71" i="287"/>
  <c r="B70" i="287"/>
  <c r="B69" i="287"/>
  <c r="L42" i="287"/>
  <c r="K42" i="287"/>
  <c r="J42" i="287"/>
  <c r="I42" i="287"/>
  <c r="H42" i="287"/>
  <c r="G42" i="287"/>
  <c r="F42" i="287"/>
  <c r="E42" i="287"/>
  <c r="D42" i="287"/>
  <c r="C42" i="287"/>
  <c r="L41" i="287"/>
  <c r="K41" i="287"/>
  <c r="J41" i="287"/>
  <c r="I41" i="287"/>
  <c r="H41" i="287"/>
  <c r="G41" i="287"/>
  <c r="F41" i="287"/>
  <c r="E41" i="287"/>
  <c r="D41" i="287"/>
  <c r="C41" i="287"/>
  <c r="L40" i="287"/>
  <c r="K40" i="287"/>
  <c r="J40" i="287"/>
  <c r="I40" i="287"/>
  <c r="H40" i="287"/>
  <c r="G40" i="287"/>
  <c r="F40" i="287"/>
  <c r="E40" i="287"/>
  <c r="D40" i="287"/>
  <c r="C40" i="287"/>
  <c r="L39" i="287"/>
  <c r="K39" i="287"/>
  <c r="J39" i="287"/>
  <c r="I39" i="287"/>
  <c r="H39" i="287"/>
  <c r="G39" i="287"/>
  <c r="F39" i="287"/>
  <c r="E39" i="287"/>
  <c r="D39" i="287"/>
  <c r="C39" i="287"/>
  <c r="L38" i="287"/>
  <c r="K38" i="287"/>
  <c r="J38" i="287"/>
  <c r="I38" i="287"/>
  <c r="H38" i="287"/>
  <c r="G38" i="287"/>
  <c r="F38" i="287"/>
  <c r="E38" i="287"/>
  <c r="D38" i="287"/>
  <c r="C38" i="287"/>
  <c r="L37" i="287"/>
  <c r="K37" i="287"/>
  <c r="J37" i="287"/>
  <c r="I37" i="287"/>
  <c r="H37" i="287"/>
  <c r="G37" i="287"/>
  <c r="F37" i="287"/>
  <c r="E37" i="287"/>
  <c r="D37" i="287"/>
  <c r="C37" i="287"/>
  <c r="L36" i="287"/>
  <c r="K36" i="287"/>
  <c r="J36" i="287"/>
  <c r="I36" i="287"/>
  <c r="H36" i="287"/>
  <c r="G36" i="287"/>
  <c r="F36" i="287"/>
  <c r="E36" i="287"/>
  <c r="D36" i="287"/>
  <c r="C36" i="287"/>
  <c r="L35" i="287"/>
  <c r="K35" i="287"/>
  <c r="J35" i="287"/>
  <c r="I35" i="287"/>
  <c r="H35" i="287"/>
  <c r="G35" i="287"/>
  <c r="F35" i="287"/>
  <c r="E35" i="287"/>
  <c r="D35" i="287"/>
  <c r="C35" i="287"/>
  <c r="L34" i="287"/>
  <c r="K34" i="287"/>
  <c r="J34" i="287"/>
  <c r="I34" i="287"/>
  <c r="H34" i="287"/>
  <c r="G34" i="287"/>
  <c r="F34" i="287"/>
  <c r="E34" i="287"/>
  <c r="D34" i="287"/>
  <c r="C34" i="287"/>
  <c r="L33" i="287"/>
  <c r="K33" i="287"/>
  <c r="J33" i="287"/>
  <c r="I33" i="287"/>
  <c r="H33" i="287"/>
  <c r="G33" i="287"/>
  <c r="F33" i="287"/>
  <c r="E33" i="287"/>
  <c r="D33" i="287"/>
  <c r="C33" i="287"/>
  <c r="L32" i="287"/>
  <c r="K32" i="287"/>
  <c r="J32" i="287"/>
  <c r="I32" i="287"/>
  <c r="H32" i="287"/>
  <c r="G32" i="287"/>
  <c r="F32" i="287"/>
  <c r="E32" i="287"/>
  <c r="D32" i="287"/>
  <c r="C32" i="287"/>
  <c r="L31" i="287"/>
  <c r="K31" i="287"/>
  <c r="J31" i="287"/>
  <c r="I31" i="287"/>
  <c r="H31" i="287"/>
  <c r="G31" i="287"/>
  <c r="F31" i="287"/>
  <c r="E31" i="287"/>
  <c r="D31" i="287"/>
  <c r="C31" i="287"/>
  <c r="L30" i="287"/>
  <c r="K30" i="287"/>
  <c r="J30" i="287"/>
  <c r="I30" i="287"/>
  <c r="H30" i="287"/>
  <c r="G30" i="287"/>
  <c r="F30" i="287"/>
  <c r="E30" i="287"/>
  <c r="D30" i="287"/>
  <c r="C30" i="287"/>
  <c r="L29" i="287"/>
  <c r="K29" i="287"/>
  <c r="J29" i="287"/>
  <c r="I29" i="287"/>
  <c r="H29" i="287"/>
  <c r="G29" i="287"/>
  <c r="F29" i="287"/>
  <c r="E29" i="287"/>
  <c r="D29" i="287"/>
  <c r="C29" i="287"/>
  <c r="L28" i="287"/>
  <c r="K28" i="287"/>
  <c r="J28" i="287"/>
  <c r="I28" i="287"/>
  <c r="H28" i="287"/>
  <c r="G28" i="287"/>
  <c r="F28" i="287"/>
  <c r="E28" i="287"/>
  <c r="D28" i="287"/>
  <c r="C28" i="287"/>
  <c r="L27" i="287"/>
  <c r="K27" i="287"/>
  <c r="J27" i="287"/>
  <c r="I27" i="287"/>
  <c r="H27" i="287"/>
  <c r="G27" i="287"/>
  <c r="F27" i="287"/>
  <c r="E27" i="287"/>
  <c r="D27" i="287"/>
  <c r="C27" i="287"/>
  <c r="L26" i="287"/>
  <c r="K26" i="287"/>
  <c r="J26" i="287"/>
  <c r="I26" i="287"/>
  <c r="H26" i="287"/>
  <c r="G26" i="287"/>
  <c r="F26" i="287"/>
  <c r="E26" i="287"/>
  <c r="D26" i="287"/>
  <c r="C26" i="287"/>
  <c r="L25" i="287"/>
  <c r="K25" i="287"/>
  <c r="J25" i="287"/>
  <c r="I25" i="287"/>
  <c r="H25" i="287"/>
  <c r="G25" i="287"/>
  <c r="F25" i="287"/>
  <c r="E25" i="287"/>
  <c r="D25" i="287"/>
  <c r="C25" i="287"/>
  <c r="L24" i="287"/>
  <c r="K24" i="287"/>
  <c r="J24" i="287"/>
  <c r="I24" i="287"/>
  <c r="H24" i="287"/>
  <c r="G24" i="287"/>
  <c r="F24" i="287"/>
  <c r="E24" i="287"/>
  <c r="D24" i="287"/>
  <c r="C24" i="287"/>
  <c r="L23" i="287"/>
  <c r="K23" i="287"/>
  <c r="J23" i="287"/>
  <c r="I23" i="287"/>
  <c r="H23" i="287"/>
  <c r="G23" i="287"/>
  <c r="F23" i="287"/>
  <c r="E23" i="287"/>
  <c r="D23" i="287"/>
  <c r="C23" i="287"/>
  <c r="L22" i="287"/>
  <c r="K22" i="287"/>
  <c r="J22" i="287"/>
  <c r="I22" i="287"/>
  <c r="H22" i="287"/>
  <c r="G22" i="287"/>
  <c r="F22" i="287"/>
  <c r="E22" i="287"/>
  <c r="D22" i="287"/>
  <c r="C22" i="287"/>
  <c r="L21" i="287"/>
  <c r="K21" i="287"/>
  <c r="J21" i="287"/>
  <c r="I21" i="287"/>
  <c r="H21" i="287"/>
  <c r="G21" i="287"/>
  <c r="F21" i="287"/>
  <c r="E21" i="287"/>
  <c r="D21" i="287"/>
  <c r="C21" i="287"/>
  <c r="A1" i="287"/>
  <c r="E341" i="95"/>
  <c r="D341" i="95"/>
  <c r="E340" i="95"/>
  <c r="D340" i="95"/>
  <c r="E339" i="95"/>
  <c r="D339" i="95"/>
  <c r="E338" i="95"/>
  <c r="D338" i="95"/>
  <c r="E337" i="95"/>
  <c r="D337" i="95"/>
  <c r="E336" i="95"/>
  <c r="D336" i="95"/>
  <c r="E335" i="95"/>
  <c r="D335" i="95"/>
  <c r="E334" i="95"/>
  <c r="D334" i="95"/>
  <c r="E333" i="95"/>
  <c r="D333" i="95"/>
  <c r="E332" i="95"/>
  <c r="D332" i="95"/>
  <c r="E331" i="95"/>
  <c r="D331" i="95"/>
  <c r="E330" i="95"/>
  <c r="D330" i="95"/>
  <c r="E329" i="95"/>
  <c r="D329" i="95"/>
  <c r="E328" i="95"/>
  <c r="D328" i="95"/>
  <c r="E327" i="95"/>
  <c r="D327" i="95"/>
  <c r="E326" i="95"/>
  <c r="D326" i="95"/>
  <c r="E325" i="95"/>
  <c r="D325" i="95"/>
  <c r="E324" i="95"/>
  <c r="D324" i="95"/>
  <c r="E323" i="95"/>
  <c r="D323" i="95"/>
  <c r="E322" i="95"/>
  <c r="D322" i="95"/>
  <c r="J293" i="95"/>
  <c r="I293" i="95"/>
  <c r="H293" i="95"/>
  <c r="J292" i="95"/>
  <c r="I292" i="95"/>
  <c r="H292" i="95"/>
  <c r="G292" i="95"/>
  <c r="J291" i="95"/>
  <c r="I291" i="95"/>
  <c r="H291" i="95"/>
  <c r="G291" i="95"/>
  <c r="J290" i="95"/>
  <c r="I290" i="95"/>
  <c r="H290" i="95"/>
  <c r="G290" i="95"/>
  <c r="J289" i="95"/>
  <c r="I289" i="95"/>
  <c r="H289" i="95"/>
  <c r="G289" i="95"/>
  <c r="J288" i="95"/>
  <c r="I288" i="95"/>
  <c r="H288" i="95"/>
  <c r="G288" i="95"/>
  <c r="J287" i="95"/>
  <c r="I287" i="95"/>
  <c r="H287" i="95"/>
  <c r="G287" i="95"/>
  <c r="J286" i="95"/>
  <c r="I286" i="95"/>
  <c r="H286" i="95"/>
  <c r="G286" i="95"/>
  <c r="J285" i="95"/>
  <c r="I285" i="95"/>
  <c r="H285" i="95"/>
  <c r="G285" i="95"/>
  <c r="J284" i="95"/>
  <c r="I284" i="95"/>
  <c r="H284" i="95"/>
  <c r="G284" i="95"/>
  <c r="J283" i="95"/>
  <c r="I283" i="95"/>
  <c r="H283" i="95"/>
  <c r="G283" i="95"/>
  <c r="J282" i="95"/>
  <c r="I282" i="95"/>
  <c r="H282" i="95"/>
  <c r="G282" i="95"/>
  <c r="J281" i="95"/>
  <c r="I281" i="95"/>
  <c r="H281" i="95"/>
  <c r="G281" i="95"/>
  <c r="J280" i="95"/>
  <c r="I280" i="95"/>
  <c r="H280" i="95"/>
  <c r="G280" i="95"/>
  <c r="J279" i="95"/>
  <c r="I279" i="95"/>
  <c r="H279" i="95"/>
  <c r="G279" i="95"/>
  <c r="J278" i="95"/>
  <c r="I278" i="95"/>
  <c r="H278" i="95"/>
  <c r="G278" i="95"/>
  <c r="J277" i="95"/>
  <c r="I277" i="95"/>
  <c r="H277" i="95"/>
  <c r="G277" i="95"/>
  <c r="J276" i="95"/>
  <c r="I276" i="95"/>
  <c r="H276" i="95"/>
  <c r="G276" i="95"/>
  <c r="J275" i="95"/>
  <c r="I275" i="95"/>
  <c r="H275" i="95"/>
  <c r="G275" i="95"/>
  <c r="J274" i="95"/>
  <c r="I274" i="95"/>
  <c r="H274" i="95"/>
  <c r="G274" i="95"/>
  <c r="J273" i="95"/>
  <c r="I273" i="95"/>
  <c r="H273" i="95"/>
  <c r="G273" i="95"/>
  <c r="K239" i="95"/>
  <c r="K238" i="95"/>
  <c r="AF210" i="95"/>
  <c r="AE210" i="95"/>
  <c r="AD210" i="95"/>
  <c r="AC210" i="95"/>
  <c r="AB210" i="95"/>
  <c r="AA210" i="95"/>
  <c r="Z210" i="95"/>
  <c r="Y210" i="95"/>
  <c r="X210" i="95"/>
  <c r="W210" i="95"/>
  <c r="V210" i="95"/>
  <c r="U210" i="95"/>
  <c r="T210" i="95"/>
  <c r="AF208" i="95"/>
  <c r="AE208" i="95"/>
  <c r="AD208" i="95"/>
  <c r="AC208" i="95"/>
  <c r="AB208" i="95"/>
  <c r="AA208" i="95"/>
  <c r="Z208" i="95"/>
  <c r="Y208" i="95"/>
  <c r="X208" i="95"/>
  <c r="W208" i="95"/>
  <c r="V208" i="95"/>
  <c r="U208" i="95"/>
  <c r="T208" i="95"/>
  <c r="AF206" i="95"/>
  <c r="AE206" i="95"/>
  <c r="AD206" i="95"/>
  <c r="AC206" i="95"/>
  <c r="AB206" i="95"/>
  <c r="AA206" i="95"/>
  <c r="Z206" i="95"/>
  <c r="Y206" i="95"/>
  <c r="X206" i="95"/>
  <c r="W206" i="95"/>
  <c r="V206" i="95"/>
  <c r="U206" i="95"/>
  <c r="T206" i="95"/>
  <c r="W200" i="95"/>
  <c r="V200" i="95"/>
  <c r="U200" i="95"/>
  <c r="T200" i="95"/>
  <c r="S200" i="95"/>
  <c r="R200" i="95"/>
  <c r="Q200" i="95"/>
  <c r="P200" i="95"/>
  <c r="O200" i="95"/>
  <c r="N200" i="95"/>
  <c r="M200" i="95"/>
  <c r="L200" i="95"/>
  <c r="K200" i="95"/>
  <c r="W199" i="95"/>
  <c r="V199" i="95"/>
  <c r="U199" i="95"/>
  <c r="T199" i="95"/>
  <c r="S199" i="95"/>
  <c r="R199" i="95"/>
  <c r="Q199" i="95"/>
  <c r="P199" i="95"/>
  <c r="O199" i="95"/>
  <c r="N199" i="95"/>
  <c r="M199" i="95"/>
  <c r="L199" i="95"/>
  <c r="K199" i="95"/>
  <c r="W198" i="95"/>
  <c r="V198" i="95"/>
  <c r="U198" i="95"/>
  <c r="T198" i="95"/>
  <c r="S198" i="95"/>
  <c r="R198" i="95"/>
  <c r="Q198" i="95"/>
  <c r="P198" i="95"/>
  <c r="O198" i="95"/>
  <c r="N198" i="95"/>
  <c r="M198" i="95"/>
  <c r="L198" i="95"/>
  <c r="K198" i="95"/>
  <c r="L162" i="95"/>
  <c r="K162" i="95"/>
  <c r="J162" i="95"/>
  <c r="I162" i="95"/>
  <c r="H162" i="95"/>
  <c r="G162" i="95"/>
  <c r="F162" i="95"/>
  <c r="L161" i="95"/>
  <c r="K161" i="95"/>
  <c r="J161" i="95"/>
  <c r="I161" i="95"/>
  <c r="H161" i="95"/>
  <c r="G161" i="95"/>
  <c r="F161" i="95"/>
  <c r="L160" i="95"/>
  <c r="K160" i="95"/>
  <c r="J160" i="95"/>
  <c r="I160" i="95"/>
  <c r="H160" i="95"/>
  <c r="G160" i="95"/>
  <c r="F160" i="95"/>
  <c r="D134" i="95"/>
  <c r="D133" i="95"/>
  <c r="D132" i="95"/>
  <c r="B132" i="95"/>
  <c r="D131" i="95"/>
  <c r="B131" i="95"/>
  <c r="D130" i="95"/>
  <c r="B130" i="95"/>
  <c r="D129" i="95"/>
  <c r="B129" i="95"/>
  <c r="D128" i="95"/>
  <c r="B128" i="95"/>
  <c r="D127" i="95"/>
  <c r="B127" i="95"/>
  <c r="D126" i="95"/>
  <c r="B126" i="95"/>
  <c r="D125" i="95"/>
  <c r="B125" i="95"/>
  <c r="D124" i="95"/>
  <c r="B124" i="95"/>
  <c r="D123" i="95"/>
  <c r="B123" i="95"/>
  <c r="D122" i="95"/>
  <c r="B122" i="95"/>
  <c r="D121" i="95"/>
  <c r="B121" i="95"/>
  <c r="D120" i="95"/>
  <c r="B120" i="95"/>
  <c r="D119" i="95"/>
  <c r="B119" i="95"/>
  <c r="D118" i="95"/>
  <c r="B118" i="95"/>
  <c r="D117" i="95"/>
  <c r="B117" i="95"/>
  <c r="D116" i="95"/>
  <c r="B116" i="95"/>
  <c r="D115" i="95"/>
  <c r="B115" i="95"/>
  <c r="D114" i="95"/>
  <c r="B114" i="95"/>
  <c r="D113" i="95"/>
  <c r="B113" i="95"/>
  <c r="C108" i="95"/>
  <c r="K107" i="95"/>
  <c r="J107" i="95"/>
  <c r="C107" i="95"/>
  <c r="B107" i="95"/>
  <c r="K106" i="95"/>
  <c r="J106" i="95"/>
  <c r="C106" i="95"/>
  <c r="B106" i="95"/>
  <c r="K105" i="95"/>
  <c r="J105" i="95"/>
  <c r="C105" i="95"/>
  <c r="B105" i="95"/>
  <c r="K104" i="95"/>
  <c r="J104" i="95"/>
  <c r="C104" i="95"/>
  <c r="B104" i="95"/>
  <c r="K103" i="95"/>
  <c r="J103" i="95"/>
  <c r="C103" i="95"/>
  <c r="B103" i="95"/>
  <c r="K102" i="95"/>
  <c r="J102" i="95"/>
  <c r="C102" i="95"/>
  <c r="K101" i="95"/>
  <c r="J101" i="95"/>
  <c r="C101" i="95"/>
  <c r="B101" i="95"/>
  <c r="K100" i="95"/>
  <c r="J100" i="95"/>
  <c r="C100" i="95"/>
  <c r="B100" i="95"/>
  <c r="K99" i="95"/>
  <c r="J99" i="95"/>
  <c r="C99" i="95"/>
  <c r="B99" i="95"/>
  <c r="K98" i="95"/>
  <c r="J98" i="95"/>
  <c r="C98" i="95"/>
  <c r="B98" i="95"/>
  <c r="K97" i="95"/>
  <c r="J97" i="95"/>
  <c r="C97" i="95"/>
  <c r="B97" i="95"/>
  <c r="K96" i="95"/>
  <c r="J96" i="95"/>
  <c r="C96" i="95"/>
  <c r="B96" i="95"/>
  <c r="K95" i="95"/>
  <c r="J95" i="95"/>
  <c r="C95" i="95"/>
  <c r="B95" i="95"/>
  <c r="K94" i="95"/>
  <c r="J94" i="95"/>
  <c r="C94" i="95"/>
  <c r="B94" i="95"/>
  <c r="K93" i="95"/>
  <c r="J93" i="95"/>
  <c r="C93" i="95"/>
  <c r="B93" i="95"/>
  <c r="K92" i="95"/>
  <c r="J92" i="95"/>
  <c r="C92" i="95"/>
  <c r="B92" i="95"/>
  <c r="K91" i="95"/>
  <c r="J91" i="95"/>
  <c r="C91" i="95"/>
  <c r="B91" i="95"/>
  <c r="K90" i="95"/>
  <c r="J90" i="95"/>
  <c r="C90" i="95"/>
  <c r="B90" i="95"/>
  <c r="K89" i="95"/>
  <c r="J89" i="95"/>
  <c r="C89" i="95"/>
  <c r="B89" i="95"/>
  <c r="K88" i="95"/>
  <c r="J88" i="95"/>
  <c r="C88" i="95"/>
  <c r="B88" i="95"/>
  <c r="N79" i="95"/>
  <c r="M79" i="95"/>
  <c r="L79" i="95"/>
  <c r="K79" i="95"/>
  <c r="J79" i="95"/>
  <c r="I79" i="95"/>
  <c r="H79" i="95"/>
  <c r="G79" i="95"/>
  <c r="F79" i="95"/>
  <c r="E79" i="95"/>
  <c r="D79" i="95"/>
  <c r="C79" i="95"/>
  <c r="B79" i="95"/>
  <c r="N78" i="95"/>
  <c r="M78" i="95"/>
  <c r="L78" i="95"/>
  <c r="K78" i="95"/>
  <c r="J78" i="95"/>
  <c r="I78" i="95"/>
  <c r="H78" i="95"/>
  <c r="G78" i="95"/>
  <c r="F78" i="95"/>
  <c r="E78" i="95"/>
  <c r="D78" i="95"/>
  <c r="C78" i="95"/>
  <c r="B78" i="95"/>
  <c r="N77" i="95"/>
  <c r="M77" i="95"/>
  <c r="L77" i="95"/>
  <c r="K77" i="95"/>
  <c r="J77" i="95"/>
  <c r="I77" i="95"/>
  <c r="H77" i="95"/>
  <c r="G77" i="95"/>
  <c r="F77" i="95"/>
  <c r="E77" i="95"/>
  <c r="D77" i="95"/>
  <c r="C77" i="95"/>
  <c r="B77" i="95"/>
  <c r="N76" i="95"/>
  <c r="M76" i="95"/>
  <c r="L76" i="95"/>
  <c r="K76" i="95"/>
  <c r="J76" i="95"/>
  <c r="I76" i="95"/>
  <c r="H76" i="95"/>
  <c r="G76" i="95"/>
  <c r="F76" i="95"/>
  <c r="E76" i="95"/>
  <c r="D76" i="95"/>
  <c r="C76" i="95"/>
  <c r="B76" i="95"/>
  <c r="N75" i="95"/>
  <c r="M75" i="95"/>
  <c r="L75" i="95"/>
  <c r="K75" i="95"/>
  <c r="J75" i="95"/>
  <c r="I75" i="95"/>
  <c r="H75" i="95"/>
  <c r="G75" i="95"/>
  <c r="F75" i="95"/>
  <c r="E75" i="95"/>
  <c r="D75" i="95"/>
  <c r="C75" i="95"/>
  <c r="B75" i="95"/>
  <c r="N74" i="95"/>
  <c r="M74" i="95"/>
  <c r="L74" i="95"/>
  <c r="K74" i="95"/>
  <c r="J74" i="95"/>
  <c r="I74" i="95"/>
  <c r="H74" i="95"/>
  <c r="G74" i="95"/>
  <c r="F74" i="95"/>
  <c r="E74" i="95"/>
  <c r="D74" i="95"/>
  <c r="C74" i="95"/>
  <c r="B74" i="95"/>
  <c r="N73" i="95"/>
  <c r="M73" i="95"/>
  <c r="L73" i="95"/>
  <c r="K73" i="95"/>
  <c r="J73" i="95"/>
  <c r="I73" i="95"/>
  <c r="H73" i="95"/>
  <c r="G73" i="95"/>
  <c r="F73" i="95"/>
  <c r="E73" i="95"/>
  <c r="D73" i="95"/>
  <c r="C73" i="95"/>
  <c r="B73" i="95"/>
  <c r="N72" i="95"/>
  <c r="M72" i="95"/>
  <c r="L72" i="95"/>
  <c r="K72" i="95"/>
  <c r="J72" i="95"/>
  <c r="I72" i="95"/>
  <c r="H72" i="95"/>
  <c r="G72" i="95"/>
  <c r="F72" i="95"/>
  <c r="E72" i="95"/>
  <c r="D72" i="95"/>
  <c r="C72" i="95"/>
  <c r="B72" i="95"/>
  <c r="N71" i="95"/>
  <c r="M71" i="95"/>
  <c r="L71" i="95"/>
  <c r="K71" i="95"/>
  <c r="J71" i="95"/>
  <c r="I71" i="95"/>
  <c r="H71" i="95"/>
  <c r="G71" i="95"/>
  <c r="F71" i="95"/>
  <c r="E71" i="95"/>
  <c r="D71" i="95"/>
  <c r="C71" i="95"/>
  <c r="B71" i="95"/>
  <c r="N70" i="95"/>
  <c r="M70" i="95"/>
  <c r="L70" i="95"/>
  <c r="K70" i="95"/>
  <c r="J70" i="95"/>
  <c r="I70" i="95"/>
  <c r="H70" i="95"/>
  <c r="G70" i="95"/>
  <c r="F70" i="95"/>
  <c r="E70" i="95"/>
  <c r="D70" i="95"/>
  <c r="C70" i="95"/>
  <c r="B70" i="95"/>
  <c r="N69" i="95"/>
  <c r="M69" i="95"/>
  <c r="L69" i="95"/>
  <c r="K69" i="95"/>
  <c r="J69" i="95"/>
  <c r="I69" i="95"/>
  <c r="H69" i="95"/>
  <c r="G69" i="95"/>
  <c r="F69" i="95"/>
  <c r="E69" i="95"/>
  <c r="D69" i="95"/>
  <c r="C69" i="95"/>
  <c r="B69" i="95"/>
  <c r="N68" i="95"/>
  <c r="M68" i="95"/>
  <c r="L68" i="95"/>
  <c r="K68" i="95"/>
  <c r="J68" i="95"/>
  <c r="I68" i="95"/>
  <c r="H68" i="95"/>
  <c r="G68" i="95"/>
  <c r="F68" i="95"/>
  <c r="E68" i="95"/>
  <c r="D68" i="95"/>
  <c r="C68" i="95"/>
  <c r="B68" i="95"/>
  <c r="N67" i="95"/>
  <c r="M67" i="95"/>
  <c r="L67" i="95"/>
  <c r="K67" i="95"/>
  <c r="J67" i="95"/>
  <c r="I67" i="95"/>
  <c r="H67" i="95"/>
  <c r="G67" i="95"/>
  <c r="F67" i="95"/>
  <c r="E67" i="95"/>
  <c r="D67" i="95"/>
  <c r="C67" i="95"/>
  <c r="B67" i="95"/>
  <c r="N66" i="95"/>
  <c r="M66" i="95"/>
  <c r="L66" i="95"/>
  <c r="K66" i="95"/>
  <c r="J66" i="95"/>
  <c r="I66" i="95"/>
  <c r="H66" i="95"/>
  <c r="G66" i="95"/>
  <c r="F66" i="95"/>
  <c r="E66" i="95"/>
  <c r="D66" i="95"/>
  <c r="C66" i="95"/>
  <c r="B66" i="95"/>
  <c r="N65" i="95"/>
  <c r="M65" i="95"/>
  <c r="L65" i="95"/>
  <c r="K65" i="95"/>
  <c r="J65" i="95"/>
  <c r="I65" i="95"/>
  <c r="H65" i="95"/>
  <c r="G65" i="95"/>
  <c r="F65" i="95"/>
  <c r="E65" i="95"/>
  <c r="D65" i="95"/>
  <c r="C65" i="95"/>
  <c r="B65" i="95"/>
  <c r="N64" i="95"/>
  <c r="M64" i="95"/>
  <c r="L64" i="95"/>
  <c r="K64" i="95"/>
  <c r="J64" i="95"/>
  <c r="I64" i="95"/>
  <c r="H64" i="95"/>
  <c r="G64" i="95"/>
  <c r="F64" i="95"/>
  <c r="E64" i="95"/>
  <c r="D64" i="95"/>
  <c r="C64" i="95"/>
  <c r="B64" i="95"/>
  <c r="N63" i="95"/>
  <c r="M63" i="95"/>
  <c r="L63" i="95"/>
  <c r="K63" i="95"/>
  <c r="J63" i="95"/>
  <c r="I63" i="95"/>
  <c r="H63" i="95"/>
  <c r="G63" i="95"/>
  <c r="F63" i="95"/>
  <c r="E63" i="95"/>
  <c r="D63" i="95"/>
  <c r="C63" i="95"/>
  <c r="B63" i="95"/>
  <c r="N62" i="95"/>
  <c r="M62" i="95"/>
  <c r="L62" i="95"/>
  <c r="K62" i="95"/>
  <c r="J62" i="95"/>
  <c r="I62" i="95"/>
  <c r="H62" i="95"/>
  <c r="G62" i="95"/>
  <c r="F62" i="95"/>
  <c r="E62" i="95"/>
  <c r="D62" i="95"/>
  <c r="C62" i="95"/>
  <c r="B62" i="95"/>
  <c r="N61" i="95"/>
  <c r="M61" i="95"/>
  <c r="L61" i="95"/>
  <c r="K61" i="95"/>
  <c r="J61" i="95"/>
  <c r="I61" i="95"/>
  <c r="H61" i="95"/>
  <c r="G61" i="95"/>
  <c r="F61" i="95"/>
  <c r="E61" i="95"/>
  <c r="D61" i="95"/>
  <c r="C61" i="95"/>
  <c r="B61" i="95"/>
  <c r="N60" i="95"/>
  <c r="M60" i="95"/>
  <c r="L60" i="95"/>
  <c r="K60" i="95"/>
  <c r="J60" i="95"/>
  <c r="I60" i="95"/>
  <c r="H60" i="95"/>
  <c r="G60" i="95"/>
  <c r="F60" i="95"/>
  <c r="E60" i="95"/>
  <c r="D60" i="95"/>
  <c r="C60" i="95"/>
  <c r="B60" i="95"/>
  <c r="N59" i="95"/>
  <c r="M59" i="95"/>
  <c r="L59" i="95"/>
  <c r="K59" i="95"/>
  <c r="J59" i="95"/>
  <c r="I59" i="95"/>
  <c r="H59" i="95"/>
  <c r="G59" i="95"/>
  <c r="F59" i="95"/>
  <c r="E59" i="95"/>
  <c r="D59" i="95"/>
  <c r="C59" i="95"/>
  <c r="B59" i="95"/>
  <c r="N58" i="95"/>
  <c r="M58" i="95"/>
  <c r="L58" i="95"/>
  <c r="K58" i="95"/>
  <c r="J58" i="95"/>
  <c r="I58" i="95"/>
  <c r="H58" i="95"/>
  <c r="G58" i="95"/>
  <c r="F58" i="95"/>
  <c r="E58" i="95"/>
  <c r="D58" i="95"/>
  <c r="C58" i="95"/>
  <c r="N54" i="95"/>
  <c r="M54" i="95"/>
  <c r="L54" i="95"/>
  <c r="K54" i="95"/>
  <c r="J54" i="95"/>
  <c r="I54" i="95"/>
  <c r="H54" i="95"/>
  <c r="G54" i="95"/>
  <c r="F54" i="95"/>
  <c r="E54" i="95"/>
  <c r="D54" i="95"/>
  <c r="C54" i="95"/>
  <c r="B54" i="95"/>
  <c r="N53" i="95"/>
  <c r="M53" i="95"/>
  <c r="L53" i="95"/>
  <c r="K53" i="95"/>
  <c r="J53" i="95"/>
  <c r="I53" i="95"/>
  <c r="H53" i="95"/>
  <c r="G53" i="95"/>
  <c r="F53" i="95"/>
  <c r="E53" i="95"/>
  <c r="D53" i="95"/>
  <c r="C53" i="95"/>
  <c r="B53" i="95"/>
  <c r="N52" i="95"/>
  <c r="M52" i="95"/>
  <c r="L52" i="95"/>
  <c r="K52" i="95"/>
  <c r="J52" i="95"/>
  <c r="I52" i="95"/>
  <c r="H52" i="95"/>
  <c r="G52" i="95"/>
  <c r="F52" i="95"/>
  <c r="E52" i="95"/>
  <c r="D52" i="95"/>
  <c r="C52" i="95"/>
  <c r="B52" i="95"/>
  <c r="N51" i="95"/>
  <c r="M51" i="95"/>
  <c r="L51" i="95"/>
  <c r="K51" i="95"/>
  <c r="J51" i="95"/>
  <c r="I51" i="95"/>
  <c r="H51" i="95"/>
  <c r="G51" i="95"/>
  <c r="F51" i="95"/>
  <c r="E51" i="95"/>
  <c r="D51" i="95"/>
  <c r="C51" i="95"/>
  <c r="B51" i="95"/>
  <c r="N50" i="95"/>
  <c r="M50" i="95"/>
  <c r="L50" i="95"/>
  <c r="K50" i="95"/>
  <c r="J50" i="95"/>
  <c r="I50" i="95"/>
  <c r="H50" i="95"/>
  <c r="G50" i="95"/>
  <c r="F50" i="95"/>
  <c r="E50" i="95"/>
  <c r="D50" i="95"/>
  <c r="C50" i="95"/>
  <c r="B50" i="95"/>
  <c r="N49" i="95"/>
  <c r="M49" i="95"/>
  <c r="L49" i="95"/>
  <c r="K49" i="95"/>
  <c r="J49" i="95"/>
  <c r="I49" i="95"/>
  <c r="H49" i="95"/>
  <c r="G49" i="95"/>
  <c r="F49" i="95"/>
  <c r="E49" i="95"/>
  <c r="D49" i="95"/>
  <c r="C49" i="95"/>
  <c r="B49" i="95"/>
  <c r="N48" i="95"/>
  <c r="M48" i="95"/>
  <c r="L48" i="95"/>
  <c r="K48" i="95"/>
  <c r="J48" i="95"/>
  <c r="I48" i="95"/>
  <c r="H48" i="95"/>
  <c r="G48" i="95"/>
  <c r="F48" i="95"/>
  <c r="E48" i="95"/>
  <c r="D48" i="95"/>
  <c r="C48" i="95"/>
  <c r="B48" i="95"/>
  <c r="N47" i="95"/>
  <c r="M47" i="95"/>
  <c r="L47" i="95"/>
  <c r="K47" i="95"/>
  <c r="J47" i="95"/>
  <c r="I47" i="95"/>
  <c r="H47" i="95"/>
  <c r="G47" i="95"/>
  <c r="F47" i="95"/>
  <c r="E47" i="95"/>
  <c r="D47" i="95"/>
  <c r="C47" i="95"/>
  <c r="B47" i="95"/>
  <c r="N46" i="95"/>
  <c r="M46" i="95"/>
  <c r="L46" i="95"/>
  <c r="K46" i="95"/>
  <c r="J46" i="95"/>
  <c r="I46" i="95"/>
  <c r="H46" i="95"/>
  <c r="G46" i="95"/>
  <c r="F46" i="95"/>
  <c r="E46" i="95"/>
  <c r="D46" i="95"/>
  <c r="C46" i="95"/>
  <c r="B46" i="95"/>
  <c r="N45" i="95"/>
  <c r="M45" i="95"/>
  <c r="L45" i="95"/>
  <c r="K45" i="95"/>
  <c r="J45" i="95"/>
  <c r="I45" i="95"/>
  <c r="H45" i="95"/>
  <c r="G45" i="95"/>
  <c r="F45" i="95"/>
  <c r="E45" i="95"/>
  <c r="D45" i="95"/>
  <c r="C45" i="95"/>
  <c r="B45" i="95"/>
  <c r="N44" i="95"/>
  <c r="M44" i="95"/>
  <c r="L44" i="95"/>
  <c r="K44" i="95"/>
  <c r="J44" i="95"/>
  <c r="I44" i="95"/>
  <c r="H44" i="95"/>
  <c r="G44" i="95"/>
  <c r="F44" i="95"/>
  <c r="E44" i="95"/>
  <c r="D44" i="95"/>
  <c r="C44" i="95"/>
  <c r="B44" i="95"/>
  <c r="N43" i="95"/>
  <c r="M43" i="95"/>
  <c r="L43" i="95"/>
  <c r="K43" i="95"/>
  <c r="J43" i="95"/>
  <c r="I43" i="95"/>
  <c r="H43" i="95"/>
  <c r="G43" i="95"/>
  <c r="F43" i="95"/>
  <c r="E43" i="95"/>
  <c r="D43" i="95"/>
  <c r="C43" i="95"/>
  <c r="B43" i="95"/>
  <c r="N42" i="95"/>
  <c r="M42" i="95"/>
  <c r="L42" i="95"/>
  <c r="K42" i="95"/>
  <c r="J42" i="95"/>
  <c r="I42" i="95"/>
  <c r="H42" i="95"/>
  <c r="G42" i="95"/>
  <c r="F42" i="95"/>
  <c r="E42" i="95"/>
  <c r="D42" i="95"/>
  <c r="C42" i="95"/>
  <c r="B42" i="95"/>
  <c r="N41" i="95"/>
  <c r="M41" i="95"/>
  <c r="L41" i="95"/>
  <c r="K41" i="95"/>
  <c r="J41" i="95"/>
  <c r="I41" i="95"/>
  <c r="H41" i="95"/>
  <c r="G41" i="95"/>
  <c r="F41" i="95"/>
  <c r="E41" i="95"/>
  <c r="D41" i="95"/>
  <c r="C41" i="95"/>
  <c r="B41" i="95"/>
  <c r="N40" i="95"/>
  <c r="M40" i="95"/>
  <c r="L40" i="95"/>
  <c r="K40" i="95"/>
  <c r="J40" i="95"/>
  <c r="I40" i="95"/>
  <c r="H40" i="95"/>
  <c r="G40" i="95"/>
  <c r="F40" i="95"/>
  <c r="E40" i="95"/>
  <c r="D40" i="95"/>
  <c r="C40" i="95"/>
  <c r="B40" i="95"/>
  <c r="N39" i="95"/>
  <c r="M39" i="95"/>
  <c r="L39" i="95"/>
  <c r="K39" i="95"/>
  <c r="J39" i="95"/>
  <c r="I39" i="95"/>
  <c r="H39" i="95"/>
  <c r="G39" i="95"/>
  <c r="F39" i="95"/>
  <c r="E39" i="95"/>
  <c r="D39" i="95"/>
  <c r="C39" i="95"/>
  <c r="B39" i="95"/>
  <c r="N38" i="95"/>
  <c r="M38" i="95"/>
  <c r="L38" i="95"/>
  <c r="K38" i="95"/>
  <c r="J38" i="95"/>
  <c r="I38" i="95"/>
  <c r="H38" i="95"/>
  <c r="G38" i="95"/>
  <c r="F38" i="95"/>
  <c r="E38" i="95"/>
  <c r="D38" i="95"/>
  <c r="C38" i="95"/>
  <c r="B38" i="95"/>
  <c r="AM37" i="95"/>
  <c r="AL37" i="95"/>
  <c r="AK37" i="95"/>
  <c r="AJ37" i="95"/>
  <c r="AI37" i="95"/>
  <c r="AH37" i="95"/>
  <c r="AG37" i="95"/>
  <c r="AF37" i="95"/>
  <c r="AE37" i="95"/>
  <c r="AD37" i="95"/>
  <c r="AC37" i="95"/>
  <c r="AB37" i="95"/>
  <c r="N37" i="95"/>
  <c r="M37" i="95"/>
  <c r="L37" i="95"/>
  <c r="K37" i="95"/>
  <c r="J37" i="95"/>
  <c r="I37" i="95"/>
  <c r="H37" i="95"/>
  <c r="G37" i="95"/>
  <c r="F37" i="95"/>
  <c r="E37" i="95"/>
  <c r="D37" i="95"/>
  <c r="C37" i="95"/>
  <c r="B37" i="95"/>
  <c r="AM36" i="95"/>
  <c r="AL36" i="95"/>
  <c r="AK36" i="95"/>
  <c r="AJ36" i="95"/>
  <c r="AI36" i="95"/>
  <c r="AH36" i="95"/>
  <c r="AG36" i="95"/>
  <c r="AF36" i="95"/>
  <c r="AE36" i="95"/>
  <c r="AD36" i="95"/>
  <c r="AC36" i="95"/>
  <c r="AB36" i="95"/>
  <c r="N36" i="95"/>
  <c r="M36" i="95"/>
  <c r="L36" i="95"/>
  <c r="K36" i="95"/>
  <c r="J36" i="95"/>
  <c r="I36" i="95"/>
  <c r="H36" i="95"/>
  <c r="G36" i="95"/>
  <c r="F36" i="95"/>
  <c r="E36" i="95"/>
  <c r="D36" i="95"/>
  <c r="C36" i="95"/>
  <c r="B36" i="95"/>
  <c r="AM35" i="95"/>
  <c r="AL35" i="95"/>
  <c r="AK35" i="95"/>
  <c r="AJ35" i="95"/>
  <c r="AI35" i="95"/>
  <c r="AH35" i="95"/>
  <c r="AG35" i="95"/>
  <c r="AF35" i="95"/>
  <c r="AE35" i="95"/>
  <c r="AD35" i="95"/>
  <c r="AC35" i="95"/>
  <c r="AB35" i="95"/>
  <c r="N35" i="95"/>
  <c r="M35" i="95"/>
  <c r="L35" i="95"/>
  <c r="K35" i="95"/>
  <c r="J35" i="95"/>
  <c r="I35" i="95"/>
  <c r="H35" i="95"/>
  <c r="G35" i="95"/>
  <c r="F35" i="95"/>
  <c r="E35" i="95"/>
  <c r="D35" i="95"/>
  <c r="C35" i="95"/>
  <c r="B35" i="95"/>
  <c r="AM34" i="95"/>
  <c r="AL34" i="95"/>
  <c r="AK34" i="95"/>
  <c r="AJ34" i="95"/>
  <c r="AI34" i="95"/>
  <c r="AH34" i="95"/>
  <c r="AG34" i="95"/>
  <c r="AF34" i="95"/>
  <c r="AE34" i="95"/>
  <c r="AD34" i="95"/>
  <c r="AC34" i="95"/>
  <c r="AB34" i="95"/>
  <c r="N34" i="95"/>
  <c r="M34" i="95"/>
  <c r="L34" i="95"/>
  <c r="K34" i="95"/>
  <c r="J34" i="95"/>
  <c r="I34" i="95"/>
  <c r="H34" i="95"/>
  <c r="G34" i="95"/>
  <c r="F34" i="95"/>
  <c r="E34" i="95"/>
  <c r="D34" i="95"/>
  <c r="C34" i="95"/>
  <c r="B34" i="95"/>
  <c r="AM33" i="95"/>
  <c r="AL33" i="95"/>
  <c r="AK33" i="95"/>
  <c r="AJ33" i="95"/>
  <c r="AI33" i="95"/>
  <c r="AH33" i="95"/>
  <c r="AG33" i="95"/>
  <c r="AF33" i="95"/>
  <c r="AE33" i="95"/>
  <c r="AD33" i="95"/>
  <c r="AC33" i="95"/>
  <c r="AB33" i="95"/>
  <c r="N33" i="95"/>
  <c r="M33" i="95"/>
  <c r="L33" i="95"/>
  <c r="K33" i="95"/>
  <c r="J33" i="95"/>
  <c r="I33" i="95"/>
  <c r="H33" i="95"/>
  <c r="G33" i="95"/>
  <c r="F33" i="95"/>
  <c r="E33" i="95"/>
  <c r="D33" i="95"/>
  <c r="C33" i="95"/>
  <c r="A1" i="95"/>
  <c r="D69" i="212"/>
  <c r="C69" i="212"/>
  <c r="A69" i="212"/>
  <c r="D68" i="212"/>
  <c r="C68" i="212"/>
  <c r="A68" i="212"/>
  <c r="L67" i="212"/>
  <c r="K67" i="212"/>
  <c r="H67" i="212"/>
  <c r="G67" i="212"/>
  <c r="F67" i="212"/>
  <c r="E67" i="212"/>
  <c r="C67" i="212"/>
  <c r="L66" i="212"/>
  <c r="K66" i="212"/>
  <c r="H66" i="212"/>
  <c r="G66" i="212"/>
  <c r="F66" i="212"/>
  <c r="E66" i="212"/>
  <c r="C66" i="212"/>
  <c r="L64" i="212"/>
  <c r="K64" i="212"/>
  <c r="H64" i="212"/>
  <c r="G64" i="212"/>
  <c r="F64" i="212"/>
  <c r="C64" i="212"/>
  <c r="L63" i="212"/>
  <c r="K63" i="212"/>
  <c r="J63" i="212"/>
  <c r="I63" i="212"/>
  <c r="H63" i="212"/>
  <c r="G63" i="212"/>
  <c r="F63" i="212"/>
  <c r="C63" i="212"/>
  <c r="B63" i="212"/>
  <c r="L62" i="212"/>
  <c r="K62" i="212"/>
  <c r="J62" i="212"/>
  <c r="I62" i="212"/>
  <c r="H62" i="212"/>
  <c r="G62" i="212"/>
  <c r="F62" i="212"/>
  <c r="C62" i="212"/>
  <c r="B62" i="212"/>
  <c r="L61" i="212"/>
  <c r="K61" i="212"/>
  <c r="J61" i="212"/>
  <c r="I61" i="212"/>
  <c r="H61" i="212"/>
  <c r="G61" i="212"/>
  <c r="F61" i="212"/>
  <c r="C61" i="212"/>
  <c r="B61" i="212"/>
  <c r="L60" i="212"/>
  <c r="K60" i="212"/>
  <c r="J60" i="212"/>
  <c r="I60" i="212"/>
  <c r="H60" i="212"/>
  <c r="G60" i="212"/>
  <c r="F60" i="212"/>
  <c r="C60" i="212"/>
  <c r="B60" i="212"/>
  <c r="L59" i="212"/>
  <c r="K59" i="212"/>
  <c r="J59" i="212"/>
  <c r="I59" i="212"/>
  <c r="H59" i="212"/>
  <c r="G59" i="212"/>
  <c r="F59" i="212"/>
  <c r="C59" i="212"/>
  <c r="B59" i="212"/>
  <c r="L58" i="212"/>
  <c r="K58" i="212"/>
  <c r="J58" i="212"/>
  <c r="I58" i="212"/>
  <c r="H58" i="212"/>
  <c r="G58" i="212"/>
  <c r="F58" i="212"/>
  <c r="C58" i="212"/>
  <c r="B58" i="212"/>
  <c r="L57" i="212"/>
  <c r="K57" i="212"/>
  <c r="J57" i="212"/>
  <c r="I57" i="212"/>
  <c r="H57" i="212"/>
  <c r="G57" i="212"/>
  <c r="F57" i="212"/>
  <c r="C57" i="212"/>
  <c r="B57" i="212"/>
  <c r="L56" i="212"/>
  <c r="K56" i="212"/>
  <c r="J56" i="212"/>
  <c r="I56" i="212"/>
  <c r="H56" i="212"/>
  <c r="G56" i="212"/>
  <c r="F56" i="212"/>
  <c r="C56" i="212"/>
  <c r="B56" i="212"/>
  <c r="L55" i="212"/>
  <c r="K55" i="212"/>
  <c r="J55" i="212"/>
  <c r="I55" i="212"/>
  <c r="H55" i="212"/>
  <c r="G55" i="212"/>
  <c r="F55" i="212"/>
  <c r="C55" i="212"/>
  <c r="B55" i="212"/>
  <c r="L54" i="212"/>
  <c r="K54" i="212"/>
  <c r="J54" i="212"/>
  <c r="I54" i="212"/>
  <c r="H54" i="212"/>
  <c r="G54" i="212"/>
  <c r="F54" i="212"/>
  <c r="C54" i="212"/>
  <c r="B54" i="212"/>
  <c r="L53" i="212"/>
  <c r="K53" i="212"/>
  <c r="J53" i="212"/>
  <c r="I53" i="212"/>
  <c r="H53" i="212"/>
  <c r="G53" i="212"/>
  <c r="F53" i="212"/>
  <c r="C53" i="212"/>
  <c r="B53" i="212"/>
  <c r="L52" i="212"/>
  <c r="K52" i="212"/>
  <c r="J52" i="212"/>
  <c r="I52" i="212"/>
  <c r="H52" i="212"/>
  <c r="G52" i="212"/>
  <c r="F52" i="212"/>
  <c r="C52" i="212"/>
  <c r="B52" i="212"/>
  <c r="L51" i="212"/>
  <c r="K51" i="212"/>
  <c r="J51" i="212"/>
  <c r="I51" i="212"/>
  <c r="H51" i="212"/>
  <c r="G51" i="212"/>
  <c r="F51" i="212"/>
  <c r="C51" i="212"/>
  <c r="B51" i="212"/>
  <c r="L50" i="212"/>
  <c r="K50" i="212"/>
  <c r="J50" i="212"/>
  <c r="I50" i="212"/>
  <c r="H50" i="212"/>
  <c r="G50" i="212"/>
  <c r="F50" i="212"/>
  <c r="C50" i="212"/>
  <c r="B50" i="212"/>
  <c r="L49" i="212"/>
  <c r="K49" i="212"/>
  <c r="J49" i="212"/>
  <c r="I49" i="212"/>
  <c r="H49" i="212"/>
  <c r="G49" i="212"/>
  <c r="F49" i="212"/>
  <c r="C49" i="212"/>
  <c r="B49" i="212"/>
  <c r="L48" i="212"/>
  <c r="K48" i="212"/>
  <c r="J48" i="212"/>
  <c r="I48" i="212"/>
  <c r="H48" i="212"/>
  <c r="G48" i="212"/>
  <c r="F48" i="212"/>
  <c r="C48" i="212"/>
  <c r="B48" i="212"/>
  <c r="L47" i="212"/>
  <c r="K47" i="212"/>
  <c r="J47" i="212"/>
  <c r="I47" i="212"/>
  <c r="H47" i="212"/>
  <c r="G47" i="212"/>
  <c r="F47" i="212"/>
  <c r="C47" i="212"/>
  <c r="B47" i="212"/>
  <c r="L46" i="212"/>
  <c r="K46" i="212"/>
  <c r="J46" i="212"/>
  <c r="I46" i="212"/>
  <c r="H46" i="212"/>
  <c r="G46" i="212"/>
  <c r="F46" i="212"/>
  <c r="C46" i="212"/>
  <c r="B46" i="212"/>
  <c r="L45" i="212"/>
  <c r="K45" i="212"/>
  <c r="J45" i="212"/>
  <c r="I45" i="212"/>
  <c r="H45" i="212"/>
  <c r="G45" i="212"/>
  <c r="F45" i="212"/>
  <c r="C45" i="212"/>
  <c r="B45" i="212"/>
  <c r="L44" i="212"/>
  <c r="K44" i="212"/>
  <c r="J44" i="212"/>
  <c r="I44" i="212"/>
  <c r="H44" i="212"/>
  <c r="G44" i="212"/>
  <c r="F44" i="212"/>
  <c r="C44" i="212"/>
  <c r="B44" i="212"/>
  <c r="A10" i="212"/>
  <c r="A1" i="212"/>
  <c r="A1" i="51"/>
  <c r="B1" i="288"/>
  <c r="B1" i="69"/>
  <c r="M123" i="68"/>
  <c r="M122" i="68"/>
  <c r="M121" i="68"/>
  <c r="M120" i="68"/>
  <c r="M119" i="68"/>
  <c r="M118" i="68"/>
  <c r="M117" i="68"/>
  <c r="M116" i="68"/>
  <c r="M115" i="68"/>
  <c r="M114" i="68"/>
  <c r="M113" i="68"/>
  <c r="M112" i="68"/>
  <c r="M111" i="68"/>
  <c r="M110" i="68"/>
  <c r="M109" i="68"/>
  <c r="M108" i="68"/>
  <c r="M107" i="68"/>
  <c r="M106" i="68"/>
  <c r="M104" i="68"/>
  <c r="M103" i="68"/>
  <c r="M102" i="68"/>
  <c r="M101" i="68"/>
  <c r="M97" i="68"/>
  <c r="M96" i="68"/>
  <c r="M95" i="68"/>
  <c r="M94" i="68"/>
  <c r="M93" i="68"/>
  <c r="M92" i="68"/>
  <c r="M91" i="68"/>
  <c r="M90" i="68"/>
  <c r="M89" i="68"/>
  <c r="M88" i="68"/>
  <c r="M87" i="68"/>
  <c r="M86" i="68"/>
  <c r="M85" i="68"/>
  <c r="M84" i="68"/>
  <c r="M83" i="68"/>
  <c r="M82" i="68"/>
  <c r="M81" i="68"/>
  <c r="M80" i="68"/>
  <c r="M79" i="68"/>
  <c r="M78" i="68"/>
  <c r="M77" i="68"/>
  <c r="M76" i="68"/>
  <c r="M75" i="68"/>
  <c r="M74" i="68"/>
  <c r="M73" i="68"/>
  <c r="M72" i="68"/>
  <c r="M71" i="68"/>
  <c r="M70" i="68"/>
  <c r="M69" i="68"/>
  <c r="M68" i="68"/>
  <c r="M67" i="68"/>
  <c r="M66" i="68"/>
  <c r="M65" i="68"/>
  <c r="M64" i="68"/>
  <c r="M63" i="68"/>
  <c r="M62" i="68"/>
  <c r="M61" i="68"/>
  <c r="M60" i="68"/>
  <c r="M59" i="68"/>
  <c r="M58" i="68"/>
  <c r="M57" i="68"/>
  <c r="M56" i="68"/>
  <c r="M55" i="68"/>
  <c r="M54" i="68"/>
  <c r="M53" i="68"/>
  <c r="M52" i="68"/>
  <c r="M51" i="68"/>
  <c r="M50" i="68"/>
  <c r="M49" i="68"/>
  <c r="M48" i="68"/>
  <c r="M47" i="68"/>
  <c r="M46" i="68"/>
  <c r="M45" i="68"/>
  <c r="M44" i="68"/>
  <c r="M43" i="68"/>
  <c r="M42" i="68"/>
  <c r="M41" i="68"/>
  <c r="M40" i="68"/>
  <c r="M39" i="68"/>
  <c r="M38" i="68"/>
  <c r="M37" i="68"/>
  <c r="M36" i="68"/>
  <c r="M35" i="68"/>
  <c r="M34" i="68"/>
  <c r="M33" i="68"/>
  <c r="M29" i="68"/>
  <c r="M28" i="68"/>
  <c r="M27" i="68"/>
  <c r="M26" i="68"/>
  <c r="M25" i="68"/>
  <c r="C16" i="68"/>
  <c r="H9" i="68"/>
  <c r="E3" i="68" s="1"/>
  <c r="A1" i="140" s="1"/>
  <c r="H8" i="68"/>
  <c r="E2" i="68"/>
  <c r="M17" i="68" l="1"/>
  <c r="B77" i="69" s="1"/>
  <c r="C23" i="68"/>
  <c r="C31" i="68" s="1"/>
  <c r="H10" i="68" l="1"/>
  <c r="C99" i="68"/>
</calcChain>
</file>

<file path=xl/sharedStrings.xml><?xml version="1.0" encoding="utf-8"?>
<sst xmlns="http://schemas.openxmlformats.org/spreadsheetml/2006/main" count="5939" uniqueCount="1768">
  <si>
    <t>History</t>
  </si>
  <si>
    <t>English</t>
  </si>
  <si>
    <t>Physics</t>
  </si>
  <si>
    <t>Chemistry</t>
  </si>
  <si>
    <t>Geography</t>
  </si>
  <si>
    <t>Music</t>
  </si>
  <si>
    <t>Drama</t>
  </si>
  <si>
    <t>Biology</t>
  </si>
  <si>
    <t>Total</t>
  </si>
  <si>
    <t>Details</t>
  </si>
  <si>
    <t>Name</t>
  </si>
  <si>
    <t>Calculations</t>
  </si>
  <si>
    <t>Administration</t>
  </si>
  <si>
    <t>Contents</t>
  </si>
  <si>
    <t>Version name</t>
  </si>
  <si>
    <t>Model name</t>
  </si>
  <si>
    <t>Table Key</t>
  </si>
  <si>
    <t>ModelBanner</t>
  </si>
  <si>
    <t>Model banner</t>
  </si>
  <si>
    <t>CurrentVersion</t>
  </si>
  <si>
    <t>Version</t>
  </si>
  <si>
    <t>ModelName</t>
  </si>
  <si>
    <t>Model Name</t>
  </si>
  <si>
    <t>Model Details</t>
  </si>
  <si>
    <t>Where does this sheet feed into?</t>
  </si>
  <si>
    <t>Outputs</t>
  </si>
  <si>
    <t>What does this sheet do?</t>
  </si>
  <si>
    <t>What does the spreadsheet do?</t>
  </si>
  <si>
    <t>Map of Sheets</t>
  </si>
  <si>
    <t>Subject groupings defined</t>
  </si>
  <si>
    <t>Map of sheets</t>
  </si>
  <si>
    <t>Data Inputs</t>
  </si>
  <si>
    <t>Input data</t>
  </si>
  <si>
    <t>Info sheet</t>
  </si>
  <si>
    <t>What data does it use from elsewhere?</t>
  </si>
  <si>
    <t>Primary phase</t>
  </si>
  <si>
    <t>Subjects high level:</t>
  </si>
  <si>
    <t>Notes</t>
  </si>
  <si>
    <t>Defines the phases and subjects as modelled in the TSM.</t>
  </si>
  <si>
    <t>Tab enabling users to select scenarios to be used in the model calculations.</t>
  </si>
  <si>
    <t>Primary</t>
  </si>
  <si>
    <t>Others</t>
  </si>
  <si>
    <t>Secondary total</t>
  </si>
  <si>
    <t>1. Teaching stocks data (broken down by age group and gender)</t>
  </si>
  <si>
    <t>Qualified stocks</t>
  </si>
  <si>
    <t>Age group</t>
  </si>
  <si>
    <t>Male</t>
  </si>
  <si>
    <t>Female</t>
  </si>
  <si>
    <t>20-24</t>
  </si>
  <si>
    <t>25-29</t>
  </si>
  <si>
    <t>30-34</t>
  </si>
  <si>
    <t>35-39</t>
  </si>
  <si>
    <t>40-44</t>
  </si>
  <si>
    <t>45-49</t>
  </si>
  <si>
    <t>50-54</t>
  </si>
  <si>
    <t>55-59</t>
  </si>
  <si>
    <t>60-64</t>
  </si>
  <si>
    <t>65 plus</t>
  </si>
  <si>
    <t>Unqualified stocks</t>
  </si>
  <si>
    <t>Subject</t>
  </si>
  <si>
    <t>2. Secondary workforce timetable data</t>
  </si>
  <si>
    <t>What is it?</t>
  </si>
  <si>
    <t>Additional notes</t>
  </si>
  <si>
    <t>4. Wastage rates data</t>
  </si>
  <si>
    <t xml:space="preserve">TO BE UPDATED EACH NEW MODEL </t>
  </si>
  <si>
    <t>Version of the PPM</t>
  </si>
  <si>
    <t>1. Data inputs on the qualified and unqualified stocks from the raw data inputs tab</t>
  </si>
  <si>
    <t>Qualified stock</t>
  </si>
  <si>
    <t>Total stocks</t>
  </si>
  <si>
    <t>Calculated from the inputs above with the unqualified and qualified stocks combined together.</t>
  </si>
  <si>
    <t>Check</t>
  </si>
  <si>
    <t>Year</t>
  </si>
  <si>
    <t>Year 1</t>
  </si>
  <si>
    <t>State Funded Primary Pupils (FTE)</t>
  </si>
  <si>
    <t>2. Age group breakdown in the stock of both genders for all subjects in first year.</t>
  </si>
  <si>
    <t>Teacher change factor</t>
  </si>
  <si>
    <t>Total teachers FTE</t>
  </si>
  <si>
    <t>No. of teachers FTE required</t>
  </si>
  <si>
    <t>Historical Teacher numbers</t>
  </si>
  <si>
    <t>All teachers required FTE</t>
  </si>
  <si>
    <t>Classics</t>
  </si>
  <si>
    <t>Proportion expected to be unqualified FTE</t>
  </si>
  <si>
    <t>No. of teachers required unqualified</t>
  </si>
  <si>
    <t>No. of FTE qualified teachers required</t>
  </si>
  <si>
    <t>No. of qualified teachers required by headcount</t>
  </si>
  <si>
    <t>Pupil projection figures</t>
  </si>
  <si>
    <t>Academic year</t>
  </si>
  <si>
    <t>Broken down by percent</t>
  </si>
  <si>
    <t>FTE rate</t>
  </si>
  <si>
    <t>Qualified No.s</t>
  </si>
  <si>
    <t>Unqualified No.s</t>
  </si>
  <si>
    <t>No. of qualified teachers</t>
  </si>
  <si>
    <t>FTE rates for subject</t>
  </si>
  <si>
    <t>FTE no. of qualified teachers</t>
  </si>
  <si>
    <t>FTE stock of qualified teachers all subjects</t>
  </si>
  <si>
    <t>FTE stock of unqualified teachers all subjects</t>
  </si>
  <si>
    <t>No. of unqualified teachers</t>
  </si>
  <si>
    <t>FTE no. of unqualified teachers</t>
  </si>
  <si>
    <t>Unqualified stock</t>
  </si>
  <si>
    <t>2. No.s of teachers in each subject broken down by whether qualified or unqualified.</t>
  </si>
  <si>
    <t>3. FTE no.s of teachers in each subject broken down by whether qualified or unqualified.</t>
  </si>
  <si>
    <t>Qualified stock FTE</t>
  </si>
  <si>
    <t>Unqualified stock FTE</t>
  </si>
  <si>
    <t>Total stock FTE</t>
  </si>
  <si>
    <t>All teachers FTE</t>
  </si>
  <si>
    <t>Unqualified teacher rate</t>
  </si>
  <si>
    <t>Phase/subject</t>
  </si>
  <si>
    <t>2. Forecast stock figures by headcount</t>
  </si>
  <si>
    <t>Computing</t>
  </si>
  <si>
    <t>2. Calculation of wastage rates</t>
  </si>
  <si>
    <t xml:space="preserve">MALE leaving as wastage </t>
  </si>
  <si>
    <t xml:space="preserve">FEMALE leaving as wastage </t>
  </si>
  <si>
    <t>MALE calculated wastage rates</t>
  </si>
  <si>
    <t>FEMALE calculated wastage rates</t>
  </si>
  <si>
    <t>MALE weighted wastage rates</t>
  </si>
  <si>
    <t>Weightings</t>
  </si>
  <si>
    <t>FEMALE weighted wastage rates</t>
  </si>
  <si>
    <t>2. Calculation of retirement rates</t>
  </si>
  <si>
    <t>MALE leaving as retirements</t>
  </si>
  <si>
    <t>FEMALE leaving as retirements</t>
  </si>
  <si>
    <t>MALE calculated retirement rates</t>
  </si>
  <si>
    <t>FEMALE calculated retirement rates</t>
  </si>
  <si>
    <t>MALE weighted retirement rates</t>
  </si>
  <si>
    <t>FEMALE weighted retirement rates</t>
  </si>
  <si>
    <t>n/a</t>
  </si>
  <si>
    <t xml:space="preserve">MALE SECONDARY No.s leaving as wastage </t>
  </si>
  <si>
    <t xml:space="preserve">FEMALE SECONDARY No.s leaving as wastage </t>
  </si>
  <si>
    <t>MALE SECONDARY No.s leaving as retirements</t>
  </si>
  <si>
    <t>FEMALE SECONDARY No.s leaving as retirements</t>
  </si>
  <si>
    <t>MALE PRIMARY No.s leaving as retirements</t>
  </si>
  <si>
    <t xml:space="preserve">FEMALE PRIMARY No.s leaving as wastage </t>
  </si>
  <si>
    <t xml:space="preserve">MALE PRIMARY No.s leaving as wastage </t>
  </si>
  <si>
    <t>FEMALE PRIMARY No.s leaving as retirements</t>
  </si>
  <si>
    <t xml:space="preserve">  </t>
  </si>
  <si>
    <t>3. Teaching stocks high level data</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</si>
  <si>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</si>
  <si>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</si>
  <si>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</si>
  <si>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</si>
  <si>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</si>
  <si>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</si>
  <si>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</si>
  <si>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</si>
  <si>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</si>
  <si>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</si>
  <si>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</si>
  <si>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</si>
  <si>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</si>
  <si>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</si>
  <si>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</si>
  <si>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</si>
  <si>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</si>
  <si>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</si>
  <si>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</si>
  <si>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</si>
  <si>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6. Retirement rates data</t>
  </si>
  <si>
    <t>3. Projected wastage rates using scalars</t>
  </si>
  <si>
    <t>Male projected wastage rates</t>
  </si>
  <si>
    <t>Female projected wastage rates</t>
  </si>
  <si>
    <t>8. Entrants data</t>
  </si>
  <si>
    <t>PRIMARY Age group breakdown of entrants</t>
  </si>
  <si>
    <t>SECONDARY Age group breakdown of entrants</t>
  </si>
  <si>
    <t>2. Current age and gender breakdowns</t>
  </si>
  <si>
    <t>5. Projection of the age of the starting stock</t>
  </si>
  <si>
    <t>6. Projected wastage</t>
  </si>
  <si>
    <t>7. Projected retirements</t>
  </si>
  <si>
    <t>9. Total leavers</t>
  </si>
  <si>
    <t>10. Starting stock minus leavers</t>
  </si>
  <si>
    <t>4. FTE, unqualified teacher rates and current stocks.</t>
  </si>
  <si>
    <t>Current qualified stock by headcount</t>
  </si>
  <si>
    <t>4. Starting stocks each year</t>
  </si>
  <si>
    <t>1. Entrants age group breakdowns</t>
  </si>
  <si>
    <t>SECONDARY Entrant figures</t>
  </si>
  <si>
    <t>2. Calculation of entrant age group breakdown</t>
  </si>
  <si>
    <t>SECONDARY weighted entrant age group rates</t>
  </si>
  <si>
    <t>13. Age breakdown of the expected entrants</t>
  </si>
  <si>
    <t>14. Age breakdown of the final stock</t>
  </si>
  <si>
    <t>All tabs and cells are colour coded according to what they do.</t>
  </si>
  <si>
    <t>QA Check</t>
  </si>
  <si>
    <t>Raw data inputs sheet.</t>
  </si>
  <si>
    <t>Calculation SEC wastage rates.</t>
  </si>
  <si>
    <t>High pupil projections scenario</t>
  </si>
  <si>
    <t>Low pupil projections scenario</t>
  </si>
  <si>
    <t>2024/25</t>
  </si>
  <si>
    <t>2025/26</t>
  </si>
  <si>
    <t>2026/27</t>
  </si>
  <si>
    <t>Calculation PRIM wastage rates.</t>
  </si>
  <si>
    <t>Raw data input sheets.</t>
  </si>
  <si>
    <t>Values calculated by current model (using scenarios selected)</t>
  </si>
  <si>
    <t>Current subject FTE rates</t>
  </si>
  <si>
    <t>1. Projected starting stock figures by headcount (qualified only)</t>
  </si>
  <si>
    <t>2. High pupil projections</t>
  </si>
  <si>
    <t>3. Low pupil projections</t>
  </si>
  <si>
    <t>4. Current pupil stock numbers</t>
  </si>
  <si>
    <t>Biology Leavers</t>
  </si>
  <si>
    <t>Biology Retirements</t>
  </si>
  <si>
    <t>Biology Wastage</t>
  </si>
  <si>
    <t>Chemistry Leavers</t>
  </si>
  <si>
    <t>Chemistry Retirements</t>
  </si>
  <si>
    <t>Chemistry Wastage</t>
  </si>
  <si>
    <t>Classics Leavers</t>
  </si>
  <si>
    <t>Classics Retirements</t>
  </si>
  <si>
    <t>Classics Wastage</t>
  </si>
  <si>
    <t>Computing Leavers</t>
  </si>
  <si>
    <t>Computing Retirements</t>
  </si>
  <si>
    <t>Computing Wastage</t>
  </si>
  <si>
    <t>Primary Leavers</t>
  </si>
  <si>
    <t>Primary Retirements</t>
  </si>
  <si>
    <t>Primary Wastage</t>
  </si>
  <si>
    <t>Drama Leavers</t>
  </si>
  <si>
    <t>Drama Retirements</t>
  </si>
  <si>
    <t>Drama Wastage</t>
  </si>
  <si>
    <r>
      <t xml:space="preserve">Take into account potential </t>
    </r>
    <r>
      <rPr>
        <b/>
        <i/>
        <u/>
        <sz val="12"/>
        <rFont val="Arial"/>
        <family val="2"/>
      </rPr>
      <t>oversupply</t>
    </r>
    <r>
      <rPr>
        <b/>
        <u/>
        <sz val="12"/>
        <rFont val="Arial"/>
        <family val="2"/>
      </rPr>
      <t xml:space="preserve"> of existing supply</t>
    </r>
  </si>
  <si>
    <t>English Leavers</t>
  </si>
  <si>
    <t>English Retirements</t>
  </si>
  <si>
    <t>English Wastage</t>
  </si>
  <si>
    <t>Geography Leavers</t>
  </si>
  <si>
    <t>Geography Retirements</t>
  </si>
  <si>
    <t>Geography Wastage</t>
  </si>
  <si>
    <t>History Leavers</t>
  </si>
  <si>
    <t>History Retirements</t>
  </si>
  <si>
    <t>History Wastage</t>
  </si>
  <si>
    <t>Music Leavers</t>
  </si>
  <si>
    <t>Music Retirements</t>
  </si>
  <si>
    <t>Music Wastage</t>
  </si>
  <si>
    <t>Others Leavers</t>
  </si>
  <si>
    <t>Others Retirements</t>
  </si>
  <si>
    <t>Others Wastage</t>
  </si>
  <si>
    <t>Physics Leavers</t>
  </si>
  <si>
    <t>Physics Retirements</t>
  </si>
  <si>
    <t>Physics Wastage</t>
  </si>
  <si>
    <t>Takes the raw data inputs into the model from all input sources.</t>
  </si>
  <si>
    <t>Map of the sheets in this spreadsheet.</t>
  </si>
  <si>
    <t>Stock ages breakdowns</t>
  </si>
  <si>
    <t>Forecast stock figures</t>
  </si>
  <si>
    <t>Entrant age breakdowns</t>
  </si>
  <si>
    <t>Pupils data scenarios</t>
  </si>
  <si>
    <t>Projected SEC wastage rates</t>
  </si>
  <si>
    <t>Stock calculations</t>
  </si>
  <si>
    <t>Male Low</t>
  </si>
  <si>
    <t>Male High</t>
  </si>
  <si>
    <t>Female Low</t>
  </si>
  <si>
    <t>Female High</t>
  </si>
  <si>
    <t>1. Wastage scalars</t>
  </si>
  <si>
    <t>Male scalar selected</t>
  </si>
  <si>
    <t>2. Pupil projections</t>
  </si>
  <si>
    <t>Primary age</t>
  </si>
  <si>
    <t>Primary age Pupils (FTE) High</t>
  </si>
  <si>
    <t>Primary age Pupils (FTE) Low</t>
  </si>
  <si>
    <t>Secondary</t>
  </si>
  <si>
    <t>Cap used</t>
  </si>
  <si>
    <t>Rate used</t>
  </si>
  <si>
    <t>The raw data inputs tab.</t>
  </si>
  <si>
    <t>Total Retirements</t>
  </si>
  <si>
    <t>Male Central</t>
  </si>
  <si>
    <t>Female Central</t>
  </si>
  <si>
    <t>Primary age Pupils (FTE) Central</t>
  </si>
  <si>
    <t>Teacher need by subject</t>
  </si>
  <si>
    <t>Teacher need charts over time</t>
  </si>
  <si>
    <t>3. Calculating additional teachers required from policies or initiatives affecting teacher need</t>
  </si>
  <si>
    <t>Scale up demand to provide teacher need by subject figures by headcount</t>
  </si>
  <si>
    <t>Scale down teacher need to provide final qualified teacher need by subject figures by headcount.</t>
  </si>
  <si>
    <t>1. Teacher need figures by headcount</t>
  </si>
  <si>
    <t>3. Projected qualified teacher need by headcount</t>
  </si>
  <si>
    <t xml:space="preserve">Entrant need </t>
  </si>
  <si>
    <t>If the stock is oversupplied, the 'entrant need' would be negative. To counteract this, the minimum 'entrant need' is set to zero.</t>
  </si>
  <si>
    <t>12. No. of entrants expected (calculate the entrant need)</t>
  </si>
  <si>
    <t>take away the teacher need from the starting stock and add on the expected wastage</t>
  </si>
  <si>
    <t>Raw entrant need</t>
  </si>
  <si>
    <t>Calculates the entrant need for Biology teachers. It does this by calculating the no. expected to leave/enter and estimates how the size and demographics of the stock will change over time.</t>
  </si>
  <si>
    <t>Calculates the entrant need for Chemistry teachers. It does this by calculating the no. expected to leave/enter and estimates how the size and demographics of the stock will change over time.</t>
  </si>
  <si>
    <t>Calculates the entrant need for Classics teachers. It does this by calculating the no. expected to leave/enter and estimates how the size and demographics of the stock will change over time.</t>
  </si>
  <si>
    <t>Calculates the entrant need for Computing teachers. It does this by calculating the no. expected to leave/enter and estimates how the size and demographics of the stock will change over time.</t>
  </si>
  <si>
    <t>Calculates the entrant need for Design &amp; Technology teachers. It does this by calculating the no. expected to leave/enter and estimates how the size and demographics of the stock will change over time.</t>
  </si>
  <si>
    <t>Calculates the entrant need for Drama teachers. It does this by calculating the no. expected to leave/enter and estimates how the size and demographics of the stock will change over time.</t>
  </si>
  <si>
    <t>Calculates the entrant need for English teachers. It does this by calculating the no. expected to leave/enter and estimates how the size and demographics of the stock will change over time.</t>
  </si>
  <si>
    <t>Calculates the entrant need for Geography teachers. It does this by calculating the no. expected to leave/enter and estimates how the size and demographics of the stock will change over time.</t>
  </si>
  <si>
    <t>Calculates the entrant need for History teachers. It does this by calculating the no. expected to leave/enter and estimates how the size and demographics of the stock will change over time.</t>
  </si>
  <si>
    <t>Calculates the entrant need for Music teachers. It does this by calculating the no. expected to leave/enter and estimates how the size and demographics of the stock will change over time.</t>
  </si>
  <si>
    <t>Calculates the entrant need for Others teachers. It does this by calculating the no. expected to leave/enter and estimates how the size and demographics of the stock will change over time.</t>
  </si>
  <si>
    <t>Compiles the teacher need values calculated by the model.</t>
  </si>
  <si>
    <t>Primary PTR cap manual values</t>
  </si>
  <si>
    <t>Secondary PTR cap manual values</t>
  </si>
  <si>
    <t xml:space="preserve">enter a value </t>
  </si>
  <si>
    <t>Primary PTR change rate</t>
  </si>
  <si>
    <t>Secondary PTR change rate</t>
  </si>
  <si>
    <t>Manual entered value (selected below)</t>
  </si>
  <si>
    <t>Highest Cap (24)</t>
  </si>
  <si>
    <t>2nd Highest Cap (23)</t>
  </si>
  <si>
    <t>Central Cap (22)</t>
  </si>
  <si>
    <t>2nd Lowest Cap (21)</t>
  </si>
  <si>
    <t>Lowest Cap (19.82)</t>
  </si>
  <si>
    <t>Highest Cap (17)</t>
  </si>
  <si>
    <t>2nd Highest Cap (16.5)</t>
  </si>
  <si>
    <t>Central Cap (16)</t>
  </si>
  <si>
    <t>2nd Lowest Cap (15.5)</t>
  </si>
  <si>
    <t>Lowest Cap (14.98)</t>
  </si>
  <si>
    <t>This sheet provides a map showing how the different parts of the model feed into one another.</t>
  </si>
  <si>
    <t>Extreme Cap (30)</t>
  </si>
  <si>
    <t>Extreme Cap (20)</t>
  </si>
  <si>
    <r>
      <t xml:space="preserve">The </t>
    </r>
    <r>
      <rPr>
        <b/>
        <i/>
        <sz val="10"/>
        <rFont val="Arial"/>
        <family val="2"/>
      </rPr>
      <t>central</t>
    </r>
    <r>
      <rPr>
        <i/>
        <sz val="10"/>
        <rFont val="Arial"/>
        <family val="2"/>
      </rPr>
      <t xml:space="preserve"> caps are based on the highest PTRs observed around the start of the millennium.</t>
    </r>
  </si>
  <si>
    <r>
      <t xml:space="preserve">There is also the opportunity to use </t>
    </r>
    <r>
      <rPr>
        <b/>
        <i/>
        <sz val="10"/>
        <rFont val="Arial"/>
        <family val="2"/>
      </rPr>
      <t>manually selected</t>
    </r>
    <r>
      <rPr>
        <i/>
        <sz val="10"/>
        <rFont val="Arial"/>
        <family val="2"/>
      </rPr>
      <t xml:space="preserve"> cap values by using the drop down menu and entering values (e.g. 21) in the grey boxes below.</t>
    </r>
  </si>
  <si>
    <t xml:space="preserve">Primary </t>
  </si>
  <si>
    <t>Female teachers</t>
  </si>
  <si>
    <t>Compiles and summarises all the data used by the model as assumptions.</t>
  </si>
  <si>
    <t>Primary PTR cap</t>
  </si>
  <si>
    <t>Secondary PTR cap</t>
  </si>
  <si>
    <t>These values are the percentage rates at which PTR will change for each 1% change in the pupil population. They are used by the model to calculate how the PTR will change over time (the PTR is used to estimate the teacher need).</t>
  </si>
  <si>
    <t>These values are the PTR caps used by the model to calculate how the PTR will change over time. The PTR is used to estimate the teacher need.</t>
  </si>
  <si>
    <t>5. Weighted retirement rates</t>
  </si>
  <si>
    <t>The rates are used to estimate what percentage of each age group will retire in a given year.</t>
  </si>
  <si>
    <t>7. Weighted wastage rates</t>
  </si>
  <si>
    <t>8. Projected wastage rates</t>
  </si>
  <si>
    <t>The rates are used to estimate what percentage of each age group will leave as wastage in a given year going forward.</t>
  </si>
  <si>
    <t>9. Stock calculations of FTE and unqualified rates</t>
  </si>
  <si>
    <t>These calculations show the Full Time Equivalent and unqualified rates for the different subjects.</t>
  </si>
  <si>
    <t>10. Assumed teacher need and PTRs over time</t>
  </si>
  <si>
    <t>PTR</t>
  </si>
  <si>
    <t>Teacher need (FTE)</t>
  </si>
  <si>
    <t>12. Weighted entrant ages</t>
  </si>
  <si>
    <t>The rates are used to estimate what the age group breakdown will be for entrants in a given year.</t>
  </si>
  <si>
    <t>Secondary teachers</t>
  </si>
  <si>
    <t xml:space="preserve">MALE SECONDARY Starting Stock figures </t>
  </si>
  <si>
    <t xml:space="preserve">FEMALE SECONDARY Starting Stock figures </t>
  </si>
  <si>
    <t xml:space="preserve">FEMALE PRIMARY Starting Stock figures </t>
  </si>
  <si>
    <t xml:space="preserve">MALE PRIMARY Starting Stock figures </t>
  </si>
  <si>
    <t>Users can select different projected pupil population scenarios.</t>
  </si>
  <si>
    <r>
      <t xml:space="preserve">The </t>
    </r>
    <r>
      <rPr>
        <b/>
        <i/>
        <sz val="10"/>
        <rFont val="Arial"/>
        <family val="2"/>
      </rPr>
      <t>highest</t>
    </r>
    <r>
      <rPr>
        <i/>
        <sz val="10"/>
        <rFont val="Arial"/>
        <family val="2"/>
      </rPr>
      <t xml:space="preserve"> caps are based on the PTRs observed in the 1970s when pupil populations reached the maximum levels seen in the last 50 years. </t>
    </r>
  </si>
  <si>
    <t>Total Wastage</t>
  </si>
  <si>
    <t>Total Leavers</t>
  </si>
  <si>
    <t>Primary age pupils</t>
  </si>
  <si>
    <t>Primary age LOW</t>
  </si>
  <si>
    <t>Primary age HIGH</t>
  </si>
  <si>
    <t>Calculates the FTE and unqualified rates for the stock.</t>
  </si>
  <si>
    <t>Calculates the age group breakdowns of the stocks.</t>
  </si>
  <si>
    <t>Forecasts how the size of the stock will change over time.</t>
  </si>
  <si>
    <t>Calulates the age group breakdown of entrants.</t>
  </si>
  <si>
    <t>Charts summarising teacher need over time.</t>
  </si>
  <si>
    <t>Charts summarising the pupil projections data used by the model.</t>
  </si>
  <si>
    <t>Summarises the assumptions data used by the model for calculations.</t>
  </si>
  <si>
    <t>Entrant need charts over time</t>
  </si>
  <si>
    <t>Assumptions data</t>
  </si>
  <si>
    <t>Entrant need values sheet.</t>
  </si>
  <si>
    <t>Teacher need values sheet.</t>
  </si>
  <si>
    <t>Numerous tabs including data selected by selection tab.</t>
  </si>
  <si>
    <t>The wastage and primary and secondary teacher need calculation tabs plus wastage calculation tabs.</t>
  </si>
  <si>
    <t>Primary teacher need calculations.</t>
  </si>
  <si>
    <t>Secondary teacher need calculations.</t>
  </si>
  <si>
    <t>The values currently selected by the model (via selection tab) are coloured orange.</t>
  </si>
  <si>
    <t>The entrant need calculation tabs.</t>
  </si>
  <si>
    <t>Entrant need calculation tabs.</t>
  </si>
  <si>
    <t>Almost all of the previous calculation (red) tabs feed into this sheet.</t>
  </si>
  <si>
    <t>The output tabs.</t>
  </si>
  <si>
    <t>Phase</t>
  </si>
  <si>
    <t>This is the current PTR (red). The orange values are the projected PTRs we might expect given our assumptions on PTR caps and change rates.</t>
  </si>
  <si>
    <t>If we have the PTRs calculated above and the projected pupil no.s given above, we can estimate the no. of teachers (FTE) that we would expect.</t>
  </si>
  <si>
    <t>Proportion who will be centrally employed or occasional</t>
  </si>
  <si>
    <t>Calculates the age breakdown of the entrants using historical data. This is used to allow for the age breakdown of entrants having an impact on the age group breakdown of the projected stock.</t>
  </si>
  <si>
    <t>Central pupil projections scenario</t>
  </si>
  <si>
    <t>Summarises the leavers over time by wastage as assumed by the model for all subjects in both table and chart form.</t>
  </si>
  <si>
    <t>Summarises the leavers over time by retirement for all subjects as assumed by the model in both table and chart form.</t>
  </si>
  <si>
    <t xml:space="preserve">1. Central pupil projections </t>
  </si>
  <si>
    <t>Policy area</t>
  </si>
  <si>
    <t>Brief description</t>
  </si>
  <si>
    <t>Curriculum changes</t>
  </si>
  <si>
    <t>1. Secondary policy assumptions to be included in the model</t>
  </si>
  <si>
    <t>Assumption to be used</t>
  </si>
  <si>
    <t>No.</t>
  </si>
  <si>
    <t>Assumption no.</t>
  </si>
  <si>
    <t>Cells where assumptions have been added in are highlighted light red.</t>
  </si>
  <si>
    <t>Primary age CENTRAL</t>
  </si>
  <si>
    <t>This is the current proportion, we assume this will remain constant.</t>
  </si>
  <si>
    <t>Need to subtract the no. of teachers expected who will be unqualified and convert the FTE teachers required into headcount.</t>
  </si>
  <si>
    <t>Year-on-year change</t>
  </si>
  <si>
    <t>This is to take into account that as the age demographics of the pupils change, the need for different subjects changes.</t>
  </si>
  <si>
    <t>Recalculated Total</t>
  </si>
  <si>
    <t>The impact on teaching hours of the policy assumptions combined together</t>
  </si>
  <si>
    <t>Most of the policies are accounted for in step 5 on this sheet as they affect the no. of teaching hours required. Any policy assumptions involving additional FTE teachers being added in at the end, are included here.</t>
  </si>
  <si>
    <t>Produces figures on how the overall stock sizes will change over time given assumptions on stock size change (meeting teacher need of previous year).</t>
  </si>
  <si>
    <r>
      <t>Error check</t>
    </r>
    <r>
      <rPr>
        <sz val="10"/>
        <color indexed="10"/>
        <rFont val="Arial"/>
        <family val="2"/>
      </rPr>
      <t xml:space="preserve"> (should be equal to 0)</t>
    </r>
  </si>
  <si>
    <t>Primary total</t>
  </si>
  <si>
    <t>Male Constant</t>
  </si>
  <si>
    <t>Female Constant</t>
  </si>
  <si>
    <t>Time spent teaching (hrs) each subject for each pupil at</t>
  </si>
  <si>
    <t>Constant Cap</t>
  </si>
  <si>
    <t>Charts summarising entrant teacher need over time.</t>
  </si>
  <si>
    <t>9. Pupil projections data</t>
  </si>
  <si>
    <t>16-19 population</t>
  </si>
  <si>
    <t>10. Full Time Equivalent (FTE) teacher data</t>
  </si>
  <si>
    <t>The pupil projection model.</t>
  </si>
  <si>
    <t xml:space="preserve">Values calculated by model using central (default) scenarios </t>
  </si>
  <si>
    <t>Entrant teacher need values calculated by current model (using scenarios selected)</t>
  </si>
  <si>
    <t>Total entrant teacher need</t>
  </si>
  <si>
    <t>Values calculated by model using all central (most likely) scenarios</t>
  </si>
  <si>
    <t>This sheet defines the subjects and phases as modelled in the TSM.</t>
  </si>
  <si>
    <t>This is used to identify how much of the workforce are occasional or centrally employed teachers. Occasional and centrally employed teachers are not included in the stocks tables at the very top of this sheet.</t>
  </si>
  <si>
    <t>FTE rate by phase</t>
  </si>
  <si>
    <t>Food</t>
  </si>
  <si>
    <t>Move one year along when update the model</t>
  </si>
  <si>
    <t>Move along one year when update model</t>
  </si>
  <si>
    <t>To update, move along one year</t>
  </si>
  <si>
    <t>Calculates the entrant need for Food teachers. It does this by calculating the no. expected to leave/enter and estimates how the size and demographics of the stock will change over time.</t>
  </si>
  <si>
    <t>FOOD All Central Scenario</t>
  </si>
  <si>
    <t>Food Leavers</t>
  </si>
  <si>
    <t>Food Retirements</t>
  </si>
  <si>
    <t>Food Wastage</t>
  </si>
  <si>
    <t>FOOD Scenario Selected</t>
  </si>
  <si>
    <t>Includes Chemistry and Combined/General Science (Chemistry).</t>
  </si>
  <si>
    <t>Includes Drama and Performing Arts.</t>
  </si>
  <si>
    <t>Includes English Language and Literature.</t>
  </si>
  <si>
    <t>Includes Food Technology plus Catering &amp; Hospitality.</t>
  </si>
  <si>
    <t>Includes Geography and Geology.</t>
  </si>
  <si>
    <t>Includes History.</t>
  </si>
  <si>
    <t>Includes Mathematics and Statistics.</t>
  </si>
  <si>
    <t>Includes Music.</t>
  </si>
  <si>
    <t>Includes Religious Education and Philosophy.</t>
  </si>
  <si>
    <t>Includes Physics and Combined/General Science (Physics).</t>
  </si>
  <si>
    <t>Includes Physical Education and Sports.</t>
  </si>
  <si>
    <t xml:space="preserve">Pupil projections from the Pupil Projections Model. </t>
  </si>
  <si>
    <t>School Workforce Census data on stocks of qualified/unqualified teachers.</t>
  </si>
  <si>
    <t>School Workforce Census data on the number of teachers entering and leaving the active stock.</t>
  </si>
  <si>
    <t>Is the PTR in excess of the cap?</t>
  </si>
  <si>
    <t>PTR cap</t>
  </si>
  <si>
    <t>Includes Biology, Botany, Zoology, Ecology, Combined/General Science (Biology), and Environmental Science.</t>
  </si>
  <si>
    <t>Assumed wastage conversion rates</t>
  </si>
  <si>
    <t>Group 1</t>
  </si>
  <si>
    <t>Group 2</t>
  </si>
  <si>
    <t>Group 3</t>
  </si>
  <si>
    <t>The rates are used to convert the standard all-subject wastage rate into the rates for the different subjects.</t>
  </si>
  <si>
    <t>Business Studies</t>
  </si>
  <si>
    <t>Calculates the entrant need for Physics teachers. It does this by calculating the no. expected to leave/enter and estimates how the size and demographics of the stock will change over time.</t>
  </si>
  <si>
    <t>Calculates the entrant need for Business Studies teachers. It does this by calculating the no. expected to leave/enter and estimates how the size and demographics of the stock will change over time.</t>
  </si>
  <si>
    <t>1. Wastage rates conversion rates by subject group</t>
  </si>
  <si>
    <t>To account for this, we can apply conversion rates to the projected wastage rates already calculated to account for these differences.</t>
  </si>
  <si>
    <t>Group 1 male projected wastage rates</t>
  </si>
  <si>
    <t>Group 1 female projected wastage rates</t>
  </si>
  <si>
    <t>Group 2 male projected wastage rates</t>
  </si>
  <si>
    <t>Group 2 female projected wastage rates</t>
  </si>
  <si>
    <t>Group 3 male projected wastage rates</t>
  </si>
  <si>
    <t>Group 3 female projected wastage rates</t>
  </si>
  <si>
    <t>Group 1 rates</t>
  </si>
  <si>
    <t>Group 2 rates</t>
  </si>
  <si>
    <t>Group 3 rates</t>
  </si>
  <si>
    <t>Under 40</t>
  </si>
  <si>
    <t>The rates are used to estimate what percentage of each age group will leave as wastage in a given year. This will include those going to teach in special schools, schools in Wales, PRUs, non-regular positions, independent schools, and other sectors (e.g. FE and independent schools).</t>
  </si>
  <si>
    <t>Central rate (0.5% PTR change)</t>
  </si>
  <si>
    <t>2nd Highest rate (0.625% PTR change)</t>
  </si>
  <si>
    <t>Highest rate (0.75% PTR change)</t>
  </si>
  <si>
    <t>2nd Lowest rate (0.375% PTR change)</t>
  </si>
  <si>
    <t>Lowest rate (0.25% PTR change)</t>
  </si>
  <si>
    <t>Highest rate (0.9% PTR change)</t>
  </si>
  <si>
    <t>2nd Highest rate (0.75% PTR change)</t>
  </si>
  <si>
    <t>Central rate (0.6% PTR change)</t>
  </si>
  <si>
    <t>2nd Lowest rate (0.45% PTR change)</t>
  </si>
  <si>
    <t>Lowest rate (0.3% PTR change)</t>
  </si>
  <si>
    <t>Female scalar selected</t>
  </si>
  <si>
    <t>Assume that in one in five teachers of the five year age group moves up to the age group above.</t>
  </si>
  <si>
    <t>Summarises the no. of teachers that are assumed will leave as wastage over time.</t>
  </si>
  <si>
    <t>Summarises the no. of teachers that are assumed will leave as retirements over time.</t>
  </si>
  <si>
    <t>Summarises the no. of qualified teachers estimated as being needed in the stock over time.</t>
  </si>
  <si>
    <t>Summarises the no. of qualified teachers estimated as being needed to enter into the stock each year over time.</t>
  </si>
  <si>
    <t>Teacher need figures</t>
  </si>
  <si>
    <t>All secondary</t>
  </si>
  <si>
    <t>Secondary ALL LOW</t>
  </si>
  <si>
    <t>Secondary ALL CENTRAL</t>
  </si>
  <si>
    <t>Secondary ALL HIGH</t>
  </si>
  <si>
    <t>Assume same rates as central</t>
  </si>
  <si>
    <t>The red cells show where the proportion of hours teaching in that subject have increased, otherwise they should remain the same.</t>
  </si>
  <si>
    <t>Post-16 participation</t>
  </si>
  <si>
    <t>Subject unqualified teacher rates</t>
  </si>
  <si>
    <t>Calculates the entrant teacher need for Business Studies teachers, the number of Business Studies teachers that leave, and how the Business Studies teacher stock changes over time.</t>
  </si>
  <si>
    <t>Calculates the entrant teacher need for Biology teachers, the number of Biology teachers that leave, and how the Biology teacher stock changes over time.</t>
  </si>
  <si>
    <t>Calculates the entrant teacher need for Chemistry teachers, the number of Chemistry teachers that leave, and how the Chemistry teacher stock changes over time.</t>
  </si>
  <si>
    <t>Calculates the entrant teacher need for Classics teachers, the number of Classics teachers that leave, and how the Classics teacher stock changes over time.</t>
  </si>
  <si>
    <t>Calculates the entrant teacher need for Computing teachers, the number of Computing teachers that leave, and how the Computing teacher stock changes over time.</t>
  </si>
  <si>
    <t>Calculates the entrant teacher need for Drama teachers, the number of Drama teachers that leave, and how the Drama teacher stock changes over time.</t>
  </si>
  <si>
    <t>Calculates the entrant teacher need for English teachers, the number of English teachers that leave, and how the English teacher stock changes over time.</t>
  </si>
  <si>
    <t>Calculates the entrant teacher need for Food teachers, the number of Food teachers that leave, and how the Food teacher stock changes over time.</t>
  </si>
  <si>
    <t>Calculates the entrant teacher need for Geography teachers, the number of Geography teachers that leave, and how the Geography teacher stock changes over time.</t>
  </si>
  <si>
    <t>Calculates the entrant teacher need for History teachers, the number of History teachers that leave, and how the History teacher stock changes over time.</t>
  </si>
  <si>
    <t>Calculates the entrant teacher need for Music teachers, the number of Music teachers that leave, and how the Music teacher stock changes over time.</t>
  </si>
  <si>
    <t>Calculates the entrant teacher need for Others teachers, the number of Others teachers that leave, and how the Others teacher stock changes over time.</t>
  </si>
  <si>
    <t>Calculates the entrant teacher need for Physics teachers, the number of Physics teachers that leave, and how the Physics teacher stock changes over time.</t>
  </si>
  <si>
    <t>Data from the Econometric Wastage Model to estimate how wastage rates will change in future.</t>
  </si>
  <si>
    <t>40-49</t>
  </si>
  <si>
    <t>50-59</t>
  </si>
  <si>
    <t>60 plus</t>
  </si>
  <si>
    <t>over 50</t>
  </si>
  <si>
    <t>Should be equal to zero all sheets (cell A3).</t>
  </si>
  <si>
    <t>Deaths over time</t>
  </si>
  <si>
    <t>Summarises the no. of teachers that are assumed will leave as deaths in service over time.</t>
  </si>
  <si>
    <t>Summarises the no. of teachers that are assumed will leave from service by all exit routes over time.</t>
  </si>
  <si>
    <t>Includes Design &amp; Technology, Construction and Building, Craft and D &amp; T, Electronics, Engineering, Graphics, Resistant Materials, Manufacturing, Systems &amp; Control, and Textiles.</t>
  </si>
  <si>
    <r>
      <t xml:space="preserve">The </t>
    </r>
    <r>
      <rPr>
        <b/>
        <i/>
        <sz val="10"/>
        <rFont val="Arial"/>
        <family val="2"/>
      </rPr>
      <t>central</t>
    </r>
    <r>
      <rPr>
        <i/>
        <sz val="10"/>
        <rFont val="Arial"/>
        <family val="2"/>
      </rPr>
      <t xml:space="preserve"> scenario is the scenario used in the Pupil Projections Model. The </t>
    </r>
    <r>
      <rPr>
        <b/>
        <i/>
        <sz val="10"/>
        <rFont val="Arial"/>
        <family val="2"/>
      </rPr>
      <t>high</t>
    </r>
    <r>
      <rPr>
        <i/>
        <sz val="10"/>
        <rFont val="Arial"/>
        <family val="2"/>
      </rPr>
      <t xml:space="preserve"> and </t>
    </r>
    <r>
      <rPr>
        <b/>
        <i/>
        <sz val="10"/>
        <rFont val="Arial"/>
        <family val="2"/>
      </rPr>
      <t>low</t>
    </r>
    <r>
      <rPr>
        <i/>
        <sz val="10"/>
        <rFont val="Arial"/>
        <family val="2"/>
      </rPr>
      <t xml:space="preserve"> scenarios are the highest and lowest scenarios for pupil no.s change given extremes of the maternity, immigration, and participation rates under different ONS scenarios.</t>
    </r>
  </si>
  <si>
    <r>
      <t xml:space="preserve">Is the PTR used in the model each year going forward equal to the PTR cap? </t>
    </r>
    <r>
      <rPr>
        <i/>
        <sz val="10"/>
        <rFont val="Arial"/>
        <family val="2"/>
      </rPr>
      <t xml:space="preserve">(If the answer is 'false' the PTR used in the model in that year is </t>
    </r>
    <r>
      <rPr>
        <i/>
        <u/>
        <sz val="10"/>
        <rFont val="Arial"/>
        <family val="2"/>
      </rPr>
      <t>less</t>
    </r>
    <r>
      <rPr>
        <i/>
        <sz val="10"/>
        <rFont val="Arial"/>
        <family val="2"/>
      </rPr>
      <t xml:space="preserve"> than the PTR cap)</t>
    </r>
  </si>
  <si>
    <t>PRIMARY Scenario Selected</t>
  </si>
  <si>
    <t>BIOLOGY Scenario Selected</t>
  </si>
  <si>
    <t>CHEMISTRY Scenario Selected</t>
  </si>
  <si>
    <t>CLASSICS Scenario Selected</t>
  </si>
  <si>
    <t>COMPUTING Scenario Selected</t>
  </si>
  <si>
    <t>DRAMA Scenario Selected</t>
  </si>
  <si>
    <t>ENGLISH Scenario Selected</t>
  </si>
  <si>
    <t>GEOGRAPHY Scenario Selected</t>
  </si>
  <si>
    <t>HISTORY Scenario Selected</t>
  </si>
  <si>
    <t>MUSIC Scenario Selected</t>
  </si>
  <si>
    <t>OTHERS Scenario Selected</t>
  </si>
  <si>
    <t>PHYSICS Scenario Selected</t>
  </si>
  <si>
    <t xml:space="preserve">Percentage unqualified </t>
  </si>
  <si>
    <t xml:space="preserve">Secondary </t>
  </si>
  <si>
    <t>Teachers are broken down according to the subjects that they teach. For example, if a teacher teaches Drama 0.9 and English 0.1 of the time, they are recorded as being 0.9 Drama and 0.1 English teacher. All teachers are broken down the same way irrespective of their Full Time Equivalent (FTE) rate. Differences in FTE rates between the stocks of different subjects are taken into account elsewhere within the stock derivation calculations.</t>
  </si>
  <si>
    <t>Estimation of centrally employed teachers by phase</t>
  </si>
  <si>
    <t>7. Death in service rates data</t>
  </si>
  <si>
    <t>MALE SECONDARY No.s dying in service</t>
  </si>
  <si>
    <t>MALE PRIMARY No.s dying in service</t>
  </si>
  <si>
    <t>Pupil Projections Model.</t>
  </si>
  <si>
    <t>Where the data sources used have changed compared to the previous published version of the TSM, this has been stated accordingly.</t>
  </si>
  <si>
    <t>Various sources including the School Workforce Census, Econometric Wastage Model, and the Pupil Projections Model.</t>
  </si>
  <si>
    <t>2. Calculation of death in service rates</t>
  </si>
  <si>
    <t>FEMALE deaths in service</t>
  </si>
  <si>
    <t>MALE deaths in service</t>
  </si>
  <si>
    <t>MALE calculated death in service rates</t>
  </si>
  <si>
    <t>FEMALE calculated death in service rates</t>
  </si>
  <si>
    <t>MALE weighted death in service rates</t>
  </si>
  <si>
    <t>FEMALE weighted death in service rates</t>
  </si>
  <si>
    <t>Gender breakdown</t>
  </si>
  <si>
    <t>Age group breakdown</t>
  </si>
  <si>
    <t>Move one year along when update the model.</t>
  </si>
  <si>
    <t>8. Projected deaths in service</t>
  </si>
  <si>
    <t>11. No. of leavers expected</t>
  </si>
  <si>
    <t>Biology Deaths</t>
  </si>
  <si>
    <t>Primary Deaths</t>
  </si>
  <si>
    <t>Chemistry Deaths</t>
  </si>
  <si>
    <t>Classics Deaths</t>
  </si>
  <si>
    <t>Computing Deaths</t>
  </si>
  <si>
    <t>Drama Deaths</t>
  </si>
  <si>
    <t>English Deaths</t>
  </si>
  <si>
    <t>Food Deaths</t>
  </si>
  <si>
    <t>Geography Deaths</t>
  </si>
  <si>
    <t>History Deaths</t>
  </si>
  <si>
    <t>PRIMARY All Central Scenario</t>
  </si>
  <si>
    <t>BIOLOGY All Central Scenario</t>
  </si>
  <si>
    <t>CHEMISTRY All Central Scenario</t>
  </si>
  <si>
    <t>CLASSICS All Central Scenario</t>
  </si>
  <si>
    <t>COMPUTING All Central Scenario</t>
  </si>
  <si>
    <t>DRAMA All Central Scenario</t>
  </si>
  <si>
    <t>ENGLISH All Central Scenario</t>
  </si>
  <si>
    <t>GEOGRAPHY All Central Scenario</t>
  </si>
  <si>
    <t>HISTORY All Central Scenario</t>
  </si>
  <si>
    <t>MUSIC All Central Scenario</t>
  </si>
  <si>
    <t>OTHERS All Central Scenario</t>
  </si>
  <si>
    <t>PHYSICS All Central Scenario</t>
  </si>
  <si>
    <t>Music Deaths</t>
  </si>
  <si>
    <t>Others Deaths</t>
  </si>
  <si>
    <t>Physics Deaths</t>
  </si>
  <si>
    <t>SECONDARY Scenario Selected</t>
  </si>
  <si>
    <t>SECONDARY All Central Scenario</t>
  </si>
  <si>
    <t>Summarises the death in service over time as assumed by the model for all subjects in both table and chart form.</t>
  </si>
  <si>
    <t>Business Studies Leavers</t>
  </si>
  <si>
    <t>Business Studies Retirements</t>
  </si>
  <si>
    <t>Business Studies Deaths</t>
  </si>
  <si>
    <t>Business Studies Wastage</t>
  </si>
  <si>
    <t>Calculates the entrant teacher need for Art &amp; Design teachers. It does this by calculating the no. expected to leave/enter and estimates how the size and demographics of the stock will change over time.</t>
  </si>
  <si>
    <t>BUSINESS STUDIES All Central Scenario</t>
  </si>
  <si>
    <t>BUSINESS STUDIES Scenario Selected</t>
  </si>
  <si>
    <t>Wastage over time</t>
  </si>
  <si>
    <t>Retirements over time</t>
  </si>
  <si>
    <t>Leavers over time</t>
  </si>
  <si>
    <t>6. Weighted death in service rates</t>
  </si>
  <si>
    <t>The rates are used to estimate what percentage of each age group will die in service in a given year.</t>
  </si>
  <si>
    <t>Primary historical</t>
  </si>
  <si>
    <t>Primary projected</t>
  </si>
  <si>
    <t>Art &amp; Design</t>
  </si>
  <si>
    <t>Design &amp; Technology</t>
  </si>
  <si>
    <t>Mathematics</t>
  </si>
  <si>
    <t>Modern Foreign Languages</t>
  </si>
  <si>
    <t>Physical Education</t>
  </si>
  <si>
    <t>Religious Education</t>
  </si>
  <si>
    <t>Calculates the entrant teacher need for Religious Education teachers, the number of Religious Education teachers that leave, and how the Religious Education teacher stock changes over time.</t>
  </si>
  <si>
    <t>Calculates the entrant teacher need for Physical Education teachers, the number of Physical Education teachers that leave, and how the Physical Education teacher stock changes over time.</t>
  </si>
  <si>
    <t>Calculates the entrant teacher need for Mathematics teachers, the number of Mathematics teachers that leave, and how the Mathematics teacher stock changes over time.</t>
  </si>
  <si>
    <t>Calculates the entrant teacher need for Modern Foreign Languages teachers, the number of Modern Foreign Languages teachers that leave, and how the Modern Foreign Languages teacher stock changes over time.</t>
  </si>
  <si>
    <t>Calculates the entrant teacher need for Design &amp; Technology teachers, the number of Design &amp; Technology teachers that leave, and how the Design &amp; Technology teacher stock changes over time.</t>
  </si>
  <si>
    <t>Calculates the entrant teacher need for Art &amp; Design teachers, the number of Art &amp; Design teachers that leave, and how the Art &amp; Design teacher stock changes over time.</t>
  </si>
  <si>
    <t xml:space="preserve">Modern Foreign Languages </t>
  </si>
  <si>
    <t>Centrally Employed</t>
  </si>
  <si>
    <t>Occasional Teachers</t>
  </si>
  <si>
    <t>Includes French, German, Spanish, Arabic, Bengali, Chinese, Welsh, Modern Greek, Italian, and any other Modern Languages.</t>
  </si>
  <si>
    <t>New Mathematics GCSE</t>
  </si>
  <si>
    <t>Art &amp; Design Leavers</t>
  </si>
  <si>
    <t>Art &amp; Design Retirements</t>
  </si>
  <si>
    <t>Art &amp; Design Deaths</t>
  </si>
  <si>
    <t>Art &amp; Design Wastage</t>
  </si>
  <si>
    <t>Design &amp; Technology Leavers</t>
  </si>
  <si>
    <t>Design &amp; Technology Retirements</t>
  </si>
  <si>
    <t>Design &amp; Technology Deaths</t>
  </si>
  <si>
    <t>Design &amp; Technology Wastage</t>
  </si>
  <si>
    <t>Calculates the entrant need for Mathematics teachers. It does this by calculating the no. expected to leave/enter and estimates how the size and demographics of the stock will change over time.</t>
  </si>
  <si>
    <t>Mathematics Leavers</t>
  </si>
  <si>
    <t>Mathematics Retirements</t>
  </si>
  <si>
    <t>Mathematics Deaths</t>
  </si>
  <si>
    <t>Mathematics Wastage</t>
  </si>
  <si>
    <t>Calculates the entrant need for Modern Foreign Languages teachers. It does this by calculating the no. expected to leave/enter and estimates how the size and demographics of the stock will change over time.</t>
  </si>
  <si>
    <t>Modern Foreign Languages Leavers</t>
  </si>
  <si>
    <t>Modern Foreign Languages Retirements</t>
  </si>
  <si>
    <t>Modern Foreign Languages Deaths</t>
  </si>
  <si>
    <t>Modern Foreign Languages Wastage</t>
  </si>
  <si>
    <t>Calculates the entrant need for Physical Education teachers. It does this by calculating the no. expected to leave/enter and estimates how the size and demographics of the stock will change over time.</t>
  </si>
  <si>
    <t>Physical Education Leavers</t>
  </si>
  <si>
    <t>Physical Education Retirements</t>
  </si>
  <si>
    <t>Physical Education Deaths</t>
  </si>
  <si>
    <t>Physical Education Wastage</t>
  </si>
  <si>
    <t>Calculates the entrant need for Religious Education teachers. It does this by calculating the no. expected to leave/enter and estimates how the size and demographics of the stock will change over time.</t>
  </si>
  <si>
    <t>Religious Education Leavers</t>
  </si>
  <si>
    <t>Religious Education Retirements</t>
  </si>
  <si>
    <t>Religious Education Deaths</t>
  </si>
  <si>
    <t>Religious Education Wastage</t>
  </si>
  <si>
    <t>ART &amp; DESIGN All Central Scenario</t>
  </si>
  <si>
    <t>DESIGN &amp; TECHNOLOGY All Central Scenario</t>
  </si>
  <si>
    <t>MATHEMATICS All Central Scenario</t>
  </si>
  <si>
    <t>MODERN FOREIGN LANGUAGES All Central Scenario</t>
  </si>
  <si>
    <t>PHYSICAL EDUCATION All Central Scenario</t>
  </si>
  <si>
    <t>RELIGIOUS EDUCATION All Central Scenario</t>
  </si>
  <si>
    <t>ART &amp; DESIGN Scenario Selected</t>
  </si>
  <si>
    <t>DESIGN &amp; TECHNOLOGY Scenario Selected</t>
  </si>
  <si>
    <t>MATHEMATICS Scenario Selected</t>
  </si>
  <si>
    <t>MODERN FOREIGN LANGUAGES Scenario Selected</t>
  </si>
  <si>
    <t>PHYSICAL EDUCATION Scenario Selected</t>
  </si>
  <si>
    <t>RELIGIOUS EDUCATION Scenario Selected</t>
  </si>
  <si>
    <t>Total Deaths</t>
  </si>
  <si>
    <t>Entrant need figures</t>
  </si>
  <si>
    <t>FEMALE SECONDARY No.s dying in service</t>
  </si>
  <si>
    <t>FEMALE PRIMARY No.s dying in service</t>
  </si>
  <si>
    <r>
      <t xml:space="preserve">Secondary subjects that are classed as being EBacc subjects include: </t>
    </r>
    <r>
      <rPr>
        <b/>
        <sz val="10"/>
        <rFont val="Arial"/>
        <family val="2"/>
      </rPr>
      <t>Biology, Chemistry, Classics, Computing, English, Geography, History, Mathematics, Modern Foreign Languages, and Physics.</t>
    </r>
  </si>
  <si>
    <t>The data selection tabs to select the pupil projections data that the model will use.</t>
  </si>
  <si>
    <t>The post-16 participation rate is derived using the central pupil projections data and is applied to the high and low pupil projections data.</t>
  </si>
  <si>
    <t>Primary Entrant figures</t>
  </si>
  <si>
    <t>Primary weighted entrant age group rates</t>
  </si>
  <si>
    <t>The English and Science assumptions have been tweaked to keep the proportion of teaching hours constant.</t>
  </si>
  <si>
    <t>These values are used to estimate how the size of the pupil population will change over time. The values are obtained from the Pupil Projections Model.</t>
  </si>
  <si>
    <t>Includes Applied Business Studies, Accountancy, Commercial &amp; Business Studies, Industrial Studies, other Business and Commercial subjects.</t>
  </si>
  <si>
    <t>Includes applied ICT, Computer Science, and Information &amp; Communication Technology.</t>
  </si>
  <si>
    <t>Includes Applied Art &amp; Design, Art &amp; Design, and Art.</t>
  </si>
  <si>
    <t>Includes Classics and Ancient Languages such as Ancient Greek, Ancient Hebrew, and Latin.</t>
  </si>
  <si>
    <t>PTR ratios (projected values in orange)</t>
  </si>
  <si>
    <t>Includes Child Development, Citizenship, Dance, Economics, Law, Media Studies, Other Social Studies, Other Technology, Politics, Psychology, Sociology, and Social Sciences among others.</t>
  </si>
  <si>
    <t>5. Wastage scalars from Econometric Wastage Model</t>
  </si>
  <si>
    <t>2. Wastage scalars from Econometric Wastage Model</t>
  </si>
  <si>
    <t>Takes the starting weighted wastage rate (see previous wastage calculation tabs) and applies a scalar value from the Econometric Wastage Model to project how wastage rates are likely to change over time.</t>
  </si>
  <si>
    <t>As the Econometric Wastage Model only forecasts wastage 6 years into the future, the rate beyond that is considered to be constant.</t>
  </si>
  <si>
    <t>Collates the FTE (Full Time Equivalent) rates and calculates the unqualified rates for all the different subjects. These are used by the model to estimate the proportion of the stock that will be unqualified and what the FTE rate of the stock will be in future.</t>
  </si>
  <si>
    <t>These values are used to estimate how the wastage rates will change over time compared to starting values. The scalars are derived from the Econometric Wastage Model.</t>
  </si>
  <si>
    <t>The projected wastage rates are produced using scalars from the Econometric Wastage Model.</t>
  </si>
  <si>
    <t>Converts the NQT entrant teacher need into the postgraduate ITT trainee need using estimations of how many trainees are expected to complete ITT and how many are expected to go into employment within 6 months of ITT completion.</t>
  </si>
  <si>
    <t>Conversion rates table</t>
  </si>
  <si>
    <t>Summarises the outputs to feed into the conversion rates table tab.</t>
  </si>
  <si>
    <t>Outputs for conversion rates</t>
  </si>
  <si>
    <t>Checks that the numbers of entrants expected via all entrant routes is equal to the amount required.</t>
  </si>
  <si>
    <t>Check of all entrant numbers</t>
  </si>
  <si>
    <t>Summarises the no. of teachers expected to enter as Newly Qualified Teachers (NQTs), including those who will complete training via undergraduate training courses.</t>
  </si>
  <si>
    <t>NQT entrants required inc UGs</t>
  </si>
  <si>
    <t>Summarises the no. of teachers expected to enter as 'new to the state-funded sector' entrants by subject.</t>
  </si>
  <si>
    <t>New to SF sector expected</t>
  </si>
  <si>
    <t>Summarises the no. of teachers expected to enter as 're-entrants to the state-funded sector' by subject.</t>
  </si>
  <si>
    <t>Re-entrants expected</t>
  </si>
  <si>
    <t>Calculates the proportion of Religious Education teachers expected to enter by different entrant routes.</t>
  </si>
  <si>
    <t>Calculates the proportion of Physics teachers expected to enter by different entrant routes.</t>
  </si>
  <si>
    <t>Calculates the proportion of Physical Education teachers expected to enter by different entrant routes.</t>
  </si>
  <si>
    <t>Calculates the proportion of Others teachers expected to enter by different entrant routes.</t>
  </si>
  <si>
    <t>Calculates the proportion of Music teachers expected to enter by different entrant routes.</t>
  </si>
  <si>
    <t>Calculates the proportion of Modern Foreign Languages teachers expected to enter by different entrant routes.</t>
  </si>
  <si>
    <t>Calculates the proportion of Mathematics teachers expected to enter by different entrant routes.</t>
  </si>
  <si>
    <t>Calculates the proportion of History teachers expected to enter by different entrant routes.</t>
  </si>
  <si>
    <t>Calculates the proportion of Geography teachers expected to enter by different entrant routes.</t>
  </si>
  <si>
    <t>Calculates the proportion of Food teachers expected to enter by different entrant routes.</t>
  </si>
  <si>
    <t>Calculates the proportion of English teachers expected to enter by different entrant routes.</t>
  </si>
  <si>
    <t>Calculates the proportion of Drama teachers expected to enter by different entrant routes.</t>
  </si>
  <si>
    <t>Calculates the proportion of Design &amp; Technology teachers expected to enter by different entrant routes.</t>
  </si>
  <si>
    <t>Calculates the proportion of Computing teachers expected to enter by different entrant routes.</t>
  </si>
  <si>
    <t>Calculates the proportion of Classics teachers expected to enter by different entrant routes.</t>
  </si>
  <si>
    <t>Calculates the proportion of Chemistry teachers expected to enter by different entrant routes.</t>
  </si>
  <si>
    <t>Calculates the proportion of Business Studies teachers expected to enter by different entrant routes.</t>
  </si>
  <si>
    <t>Calculates the proportion of Biology teachers expected to enter by different entrant routes.</t>
  </si>
  <si>
    <t>Calculates the proportion of Art &amp; Design teachers expected to enter by different entrant routes.</t>
  </si>
  <si>
    <t xml:space="preserve">NQT (Newly Qualified Teacher) entrants - </t>
  </si>
  <si>
    <t>Re-entrant - 'Returner to the state-funded sector'</t>
  </si>
  <si>
    <t>If a teacher deferred their entry into teaching by a year or more, they would be included within this category.</t>
  </si>
  <si>
    <t>New to the SF sector - 'New to the state-funded sector'</t>
  </si>
  <si>
    <t>Key terms</t>
  </si>
  <si>
    <t>How does this spreadsheet feed into the NCTL ITT recruitment process?</t>
  </si>
  <si>
    <t>School Workforce Census data on the Full Time Equivalent (FTE) rate of the stock and the FTE rate of part-time teachers.</t>
  </si>
  <si>
    <t>School Workforce Census data on the number of teachers entering the active stock by different entrance routes.</t>
  </si>
  <si>
    <t>School Direct</t>
  </si>
  <si>
    <t>SD (salaried)</t>
  </si>
  <si>
    <t>SD (funded)</t>
  </si>
  <si>
    <t>SCITT</t>
  </si>
  <si>
    <t>Core</t>
  </si>
  <si>
    <t>HEI</t>
  </si>
  <si>
    <t>%</t>
  </si>
  <si>
    <t>Type</t>
  </si>
  <si>
    <t>Route</t>
  </si>
  <si>
    <t>SD</t>
  </si>
  <si>
    <t>SCITT (Core)</t>
  </si>
  <si>
    <t>HEI (Core)</t>
  </si>
  <si>
    <t>Postgraduate
Employment Rate</t>
  </si>
  <si>
    <t>Postgraduate
Completion Rate</t>
  </si>
  <si>
    <t>Postgraduate Employment Rate</t>
  </si>
  <si>
    <t>Postgraduate 
Completion Rate</t>
  </si>
  <si>
    <t>NCTL ITT Census.</t>
  </si>
  <si>
    <t>Undergraduate trainees completing ITT</t>
  </si>
  <si>
    <t>The proportion of undergraduate trainees completing ITT. It is used to estimate how many trainees on courses of greater than one year length complete ITT.</t>
  </si>
  <si>
    <t xml:space="preserve">NCTL specialist website performance profiles. </t>
  </si>
  <si>
    <t>Other</t>
  </si>
  <si>
    <t>Undergraduates gaining employment within 6 months in state-funded schools sector</t>
  </si>
  <si>
    <t>The proportion of undergraduate trainees gaining employment in the state-funded schools sector within 6 months of ITT completion. It is used to estimate how many trainees on courses of greater than one year length go into employment after training as NQTs.</t>
  </si>
  <si>
    <t>The Destination of Leavers from Higher Education survey (DHLE).</t>
  </si>
  <si>
    <t>NQTs</t>
  </si>
  <si>
    <t>Re-entrants</t>
  </si>
  <si>
    <t>New to state-funded sector</t>
  </si>
  <si>
    <t>Entrant route</t>
  </si>
  <si>
    <t>Secondary part-time entrant figures (no. of entrants that are part-time)</t>
  </si>
  <si>
    <t>Primary part-time entrant figures (no. of entrants that are part-time)</t>
  </si>
  <si>
    <t>Secondary figures (no. of entrants)</t>
  </si>
  <si>
    <t>Primary figures (no. of entrants)</t>
  </si>
  <si>
    <r>
      <t xml:space="preserve">Data on the no. of entrants coming in via different routes </t>
    </r>
    <r>
      <rPr>
        <b/>
        <i/>
        <sz val="10"/>
        <color indexed="10"/>
        <rFont val="Arial"/>
        <family val="2"/>
      </rPr>
      <t>and</t>
    </r>
    <r>
      <rPr>
        <b/>
        <sz val="10"/>
        <color indexed="10"/>
        <rFont val="Arial"/>
        <family val="2"/>
      </rPr>
      <t xml:space="preserve"> the number of entrants via different routes that are recorded as being part-time.</t>
    </r>
  </si>
  <si>
    <t>Average FTE rate</t>
  </si>
  <si>
    <r>
      <t xml:space="preserve">Different entrant routes give different proportions of part-time teachers therefore we have to make an allowance of the amount of FTE teacher entrants will </t>
    </r>
    <r>
      <rPr>
        <b/>
        <u/>
        <sz val="10"/>
        <color indexed="10"/>
        <rFont val="Arial"/>
        <family val="2"/>
      </rPr>
      <t>actually</t>
    </r>
    <r>
      <rPr>
        <b/>
        <sz val="10"/>
        <color indexed="10"/>
        <rFont val="Arial"/>
        <family val="2"/>
      </rPr>
      <t xml:space="preserve"> provide.</t>
    </r>
  </si>
  <si>
    <t>Proportion that go into employment in state-funded schools in the year post training</t>
  </si>
  <si>
    <t>Proportion that gain QTS</t>
  </si>
  <si>
    <t>Proportion that are part-time</t>
  </si>
  <si>
    <t>Secondary phase</t>
  </si>
  <si>
    <t xml:space="preserve">These values are used to estimate what proportion of entrants come from different routes. </t>
  </si>
  <si>
    <t>As the NQT entrant rate is adjusted manually, the re-entrant, and new to SF sector entrant rates should fall proportionately and need to be recalculated.</t>
  </si>
  <si>
    <t>Calculated values of entrant rates by different routes using scenario selected</t>
  </si>
  <si>
    <t>Manual rate</t>
  </si>
  <si>
    <t>Central rate (historical rate)</t>
  </si>
  <si>
    <t>The values selected by the model are coloured orange.</t>
  </si>
  <si>
    <t>3. Calculation of weighted entrant rates</t>
  </si>
  <si>
    <t>2. Calculation of entrant rates</t>
  </si>
  <si>
    <t>Total up.</t>
  </si>
  <si>
    <t>Data from the raw data sheet.</t>
  </si>
  <si>
    <t>1. Entrant numbers</t>
  </si>
  <si>
    <t>The individual subject calculation sheets.</t>
  </si>
  <si>
    <t>Raw data inputs sheet and data selected by selection tab.</t>
  </si>
  <si>
    <t>4. Calculation of weighted part-time entrant rate</t>
  </si>
  <si>
    <t>3. Calculation of part-time entrant rate</t>
  </si>
  <si>
    <t>2. Part-time entrant numbers</t>
  </si>
  <si>
    <t>Total FTE</t>
  </si>
  <si>
    <t>No. needed</t>
  </si>
  <si>
    <t>QA Check - what FTE would these entrants give? Is the rate correct</t>
  </si>
  <si>
    <t>4. Outputs of the no. of entrants required by different routes</t>
  </si>
  <si>
    <t>Total FTE of all teachers by all routes</t>
  </si>
  <si>
    <t>Total FTE of entrants by that route</t>
  </si>
  <si>
    <t>Total FTE of part-time entrants</t>
  </si>
  <si>
    <t>Total FTE of full-time entrants</t>
  </si>
  <si>
    <t>No. of entrants that would be part-time</t>
  </si>
  <si>
    <t>No. of entrants that would be full-time</t>
  </si>
  <si>
    <t>Headcount expected by that route if 100 teachers were to be recruited</t>
  </si>
  <si>
    <t>Entrant rate (historical)</t>
  </si>
  <si>
    <t>the no. of 1.0 FTE teachers required to meet this need is…</t>
  </si>
  <si>
    <t>As the FTE rate of the primary stock is actually</t>
  </si>
  <si>
    <t>Part-time FTE rate</t>
  </si>
  <si>
    <t>What is the FTE rate of a part-time teacher?</t>
  </si>
  <si>
    <t>How many of those entrants are part-time?</t>
  </si>
  <si>
    <t>No. of entrants expected via different routes.</t>
  </si>
  <si>
    <t>Primary entrant rates</t>
  </si>
  <si>
    <t>3. No. of entrants required by different routes</t>
  </si>
  <si>
    <r>
      <t xml:space="preserve">The assumed FTE rate of the stock is less than 1.0. As the average FTE rate of entrants is also less than 1.0 but different to that of the stock </t>
    </r>
    <r>
      <rPr>
        <i/>
        <u/>
        <sz val="10"/>
        <color indexed="10"/>
        <rFont val="Arial"/>
        <family val="2"/>
      </rPr>
      <t>and</t>
    </r>
    <r>
      <rPr>
        <i/>
        <sz val="10"/>
        <color indexed="10"/>
        <rFont val="Arial"/>
        <family val="2"/>
      </rPr>
      <t xml:space="preserve"> the FTE rate of entrants is different via different routes we need to account for this.</t>
    </r>
  </si>
  <si>
    <t>The output tabs</t>
  </si>
  <si>
    <t>The previous calculation tabs and the raw data tabs.</t>
  </si>
  <si>
    <t>As the FTE rate of the secondary stock is actually</t>
  </si>
  <si>
    <t>Secondary entrant rates</t>
  </si>
  <si>
    <t>Calculates the no. of entrants required for Art &amp; Design teachers by each entrant route. It does this by calculating the no. expected to enter by each route using historical rates taking into account the working patterns of teachers by different routes.</t>
  </si>
  <si>
    <t>Calculates the no. of entrants required for Biology teachers by each entrant route. It does this by calculating the no. expected to enter by each route using historical rates taking into account the working patterns of teachers by different routes.</t>
  </si>
  <si>
    <t>Calculates the no. of entrants required for Business Studies teachers by each entrant route. It does this by calculating the no. expected to enter by each route using historical rates taking into account the working patterns of teachers by different routes.</t>
  </si>
  <si>
    <t>Calculates the no. of entrants required for Chemistry teachers by each entrant route. It does this by calculating the no. expected to enter by each route using historical rates taking into account the working patterns of teachers by different routes.</t>
  </si>
  <si>
    <t>Calculates the no. of entrants required for Classics teachers by each entrant route. It does this by calculating the no. expected to enter by each route using historical rates taking into account the working patterns of teachers by different routes.</t>
  </si>
  <si>
    <t>Calculates the no. of entrants required for Computing teachers by each entrant route. It does this by calculating the no. expected to enter by each route using historical rates taking into account the working patterns of teachers by different routes.</t>
  </si>
  <si>
    <t>Calculates the no. of entrants required for Design &amp; Technology teachers by each entrant route. It does this by calculating the no. expected to enter by each route using historical rates taking into account the working patterns of teachers by different routes.</t>
  </si>
  <si>
    <t>Calculates the no. of entrants required for Drama teachers by each entrant route. It does this by calculating the no. expected to enter by each route using historical rates taking into account the working patterns of teachers by different routes.</t>
  </si>
  <si>
    <t>Calculates the no. of entrants required for English teachers by each entrant route. It does this by calculating the no. expected to enter by each route using historical rates taking into account the working patterns of teachers by different routes.</t>
  </si>
  <si>
    <t>Calculates the no. of entrants required for Food teachers by each entrant route. It does this by calculating the no. expected to enter by each route using historical rates taking into account the working patterns of teachers by different routes.</t>
  </si>
  <si>
    <t>Calculates the no. of entrants required for Geography teachers by each entrant route. It does this by calculating the no. expected to enter by each route using historical rates taking into account the working patterns of teachers by different routes.</t>
  </si>
  <si>
    <t>Calculates the no. of entrants required for History teachers by each entrant route. It does this by calculating the no. expected to enter by each route using historical rates taking into account the working patterns of teachers by different routes.</t>
  </si>
  <si>
    <t>Calculates the no. of entrants required for Mathematics teachers by each entrant route. It does this by calculating the no. expected to enter by each route using historical rates taking into account the working patterns of teachers by different routes.</t>
  </si>
  <si>
    <t>Calculates the no. of entrants required for Modern Foreign Languages teachers by each entrant route. It does this by calculating the no. expected to enter by each route using historical rates taking into account the working patterns of teachers by different routes.</t>
  </si>
  <si>
    <t>Calculates the no. of entrants required for Music teachers by each entrant route. It does this by calculating the no. expected to enter by each route using historical rates taking into account the working patterns of teachers by different routes.</t>
  </si>
  <si>
    <t>Calculates the no. of entrants required for Others teachers by each entrant route. It does this by calculating the no. expected to enter by each route using historical rates taking into account the working patterns of teachers by different routes.</t>
  </si>
  <si>
    <t>Calculates the no. of entrants required for Physical Education teachers by each entrant route. It does this by calculating the no. expected to enter by each route using historical rates taking into account the working patterns of teachers by different routes.</t>
  </si>
  <si>
    <t>Calculates the no. of entrants required for Physics teachers by each entrant route. It does this by calculating the no. expected to enter by each route using historical rates taking into account the working patterns of teachers by different routes.</t>
  </si>
  <si>
    <t>Calculates the no. of entrants required for Religious Education teachers by each entrant route. It does this by calculating the no. expected to enter by each route using historical rates taking into account the working patterns of teachers by different routes.</t>
  </si>
  <si>
    <t>The different subject calculation sheets.</t>
  </si>
  <si>
    <t>Total entrants expected</t>
  </si>
  <si>
    <t>No. of NQT entrants expected</t>
  </si>
  <si>
    <t>No. of new to state-funded sector entrants expected</t>
  </si>
  <si>
    <t>No. re-entrants expected</t>
  </si>
  <si>
    <t>No. of all entrants expected</t>
  </si>
  <si>
    <t>% by each entrant route</t>
  </si>
  <si>
    <t>No. of entrants expected by each entrant route</t>
  </si>
  <si>
    <t>NQTs (including UG)</t>
  </si>
  <si>
    <t>5. No. of those trainees entering employment in the year after training</t>
  </si>
  <si>
    <t>4. No. of trainees completing ITT</t>
  </si>
  <si>
    <t>1. NQT entrants required (NQT entrant teacher need)</t>
  </si>
  <si>
    <t>The calculation of migrants tabs.</t>
  </si>
  <si>
    <t>1. NQT entrants required (scenarios selected)</t>
  </si>
  <si>
    <t>The Conversion rates table tab.</t>
  </si>
  <si>
    <t>The Calc long term NQT entrants tab.</t>
  </si>
  <si>
    <t>Summarises the outputs to feed into the NCTL conversion rates table.</t>
  </si>
  <si>
    <t>SD (training)</t>
  </si>
  <si>
    <t>Postgraduate Post-ITT Employment Rate</t>
  </si>
  <si>
    <t>Postgraduate ITT Completion Rate</t>
  </si>
  <si>
    <t>1. Conversion rates table</t>
  </si>
  <si>
    <t>The Final outputs of ITT places tab.</t>
  </si>
  <si>
    <t>The Outputs for conversion rates tab.</t>
  </si>
  <si>
    <t>Converts the NQT entrant teacher need calculated previously into the 'postgraduate ITT trainee' need using postgraduate ITT completion and employment rates.</t>
  </si>
  <si>
    <t>Conversion rates table tab.</t>
  </si>
  <si>
    <r>
      <t xml:space="preserve">The spreadsheet then estimates the projected number of 'entrant' teachers who are NQTs (Newly Qualified Teachers) that are required in each phase &amp; subject going forwards (the </t>
    </r>
    <r>
      <rPr>
        <b/>
        <sz val="10"/>
        <rFont val="Arial"/>
        <family val="2"/>
      </rPr>
      <t>'NQT entrant teacher need'</t>
    </r>
    <r>
      <rPr>
        <sz val="10"/>
        <rFont val="Arial"/>
        <family val="2"/>
      </rPr>
      <t>) in the state-funded schools sector in England. This estimate is calculated by making assumptions on the expected no. of entrants who are either re-entrants or are new to the state-funded sector (i.e. non-NQT entrants).</t>
    </r>
  </si>
  <si>
    <t>13. Entrant rates</t>
  </si>
  <si>
    <t>15. The proportion of entrants that are part-time</t>
  </si>
  <si>
    <t>16. The UG ITT success rates</t>
  </si>
  <si>
    <t>17. The UG employment success rates</t>
  </si>
  <si>
    <t>Male teachers</t>
  </si>
  <si>
    <t>Primary teachers</t>
  </si>
  <si>
    <t>14. The FTE rate of part-time teachers</t>
  </si>
  <si>
    <t>5. NQT entrant rates</t>
  </si>
  <si>
    <t>Primary 1</t>
  </si>
  <si>
    <t>Art &amp; Design 1</t>
  </si>
  <si>
    <t>Biology 1</t>
  </si>
  <si>
    <t>Business Studies 1</t>
  </si>
  <si>
    <t>Chemistry 1</t>
  </si>
  <si>
    <t>Classics 1</t>
  </si>
  <si>
    <t>Computing 1</t>
  </si>
  <si>
    <t>Design &amp; Technology 1</t>
  </si>
  <si>
    <t>Drama 1</t>
  </si>
  <si>
    <t>English 1</t>
  </si>
  <si>
    <t>Food 1</t>
  </si>
  <si>
    <t>Geography 1</t>
  </si>
  <si>
    <t>History 1</t>
  </si>
  <si>
    <t>Mathematics 1</t>
  </si>
  <si>
    <t>Modern Foreign Languages 1</t>
  </si>
  <si>
    <t>Music 1</t>
  </si>
  <si>
    <t>Others 1</t>
  </si>
  <si>
    <t>Physical Education 1</t>
  </si>
  <si>
    <t>Physics 1</t>
  </si>
  <si>
    <t>Religious Education 1</t>
  </si>
  <si>
    <t>11. Subject specific wastage rate conversion rates.</t>
  </si>
  <si>
    <t>12. Average FTE rates of part time teachers by phase.</t>
  </si>
  <si>
    <t>13. Entrant no.s by entrant route data</t>
  </si>
  <si>
    <t>14. Weighted employment outcome rates for undergraduate trainees</t>
  </si>
  <si>
    <t>15. Weighted completion rates for undergraduate trainees</t>
  </si>
  <si>
    <t>17. FTE rates of the existing stock</t>
  </si>
  <si>
    <t>18. Weighted postgraduate ITT completion rates and employment rates</t>
  </si>
  <si>
    <t>Entrant teacher need values</t>
  </si>
  <si>
    <t>No.s to be recruited</t>
  </si>
  <si>
    <t>Primary Re-entrants</t>
  </si>
  <si>
    <t>Primary NQTs</t>
  </si>
  <si>
    <t>Part timers FTE</t>
  </si>
  <si>
    <t>Full timers FTE</t>
  </si>
  <si>
    <t>Entrant need</t>
  </si>
  <si>
    <t xml:space="preserve">Primary New to SF Sector </t>
  </si>
  <si>
    <t>Newly Qualified entrants</t>
  </si>
  <si>
    <t>Scale up factors over time</t>
  </si>
  <si>
    <t>No. needed FTE</t>
  </si>
  <si>
    <t>Scale up factors</t>
  </si>
  <si>
    <t>QA check</t>
  </si>
  <si>
    <t>Primary Total</t>
  </si>
  <si>
    <t>Secondary Total</t>
  </si>
  <si>
    <t>Re-entrant figures expected</t>
  </si>
  <si>
    <t>Summarises the no. of re-entrants expected over time.</t>
  </si>
  <si>
    <t>Summarises the no. of new to the state-funded sector entrants expected over time.</t>
  </si>
  <si>
    <t>Summarises the no. of NQT entrants required over time (including undergraduates).</t>
  </si>
  <si>
    <t>THESE ARE HARDCODED IN, PASTED FROM ABOVE.</t>
  </si>
  <si>
    <t>Total Secondary Entrant Teacher Need</t>
  </si>
  <si>
    <t>Primary 2</t>
  </si>
  <si>
    <t>Art &amp; Design 2</t>
  </si>
  <si>
    <t xml:space="preserve">Biology New to SF Sector </t>
  </si>
  <si>
    <t>Biology Re-entrants</t>
  </si>
  <si>
    <t>Biology NQTs</t>
  </si>
  <si>
    <t xml:space="preserve">Business Studies New to SF Sector </t>
  </si>
  <si>
    <t>Business Studies Re-entrants</t>
  </si>
  <si>
    <t>Business Studies NQTs</t>
  </si>
  <si>
    <t>Business Studies 2</t>
  </si>
  <si>
    <t>Biology 2</t>
  </si>
  <si>
    <t>Chemistry 2</t>
  </si>
  <si>
    <t>Classics 2</t>
  </si>
  <si>
    <t>Computing 2</t>
  </si>
  <si>
    <t>Design &amp; Technology 2</t>
  </si>
  <si>
    <t>Drama 2</t>
  </si>
  <si>
    <t>Food 2</t>
  </si>
  <si>
    <t>English 2</t>
  </si>
  <si>
    <t>Geography 2</t>
  </si>
  <si>
    <t>History 2</t>
  </si>
  <si>
    <t>Mathematics 2</t>
  </si>
  <si>
    <t>Modern Foreign Languages 2</t>
  </si>
  <si>
    <t>Music 2</t>
  </si>
  <si>
    <t>Others 2</t>
  </si>
  <si>
    <t>Physical Education 2</t>
  </si>
  <si>
    <t>Physics 2</t>
  </si>
  <si>
    <t>Religious Education 2</t>
  </si>
  <si>
    <t xml:space="preserve">Chemistry New to SF Sector </t>
  </si>
  <si>
    <t>Chemistry Re-entrants</t>
  </si>
  <si>
    <t>Chemistry NQTs</t>
  </si>
  <si>
    <t xml:space="preserve">Classics New to SF Sector </t>
  </si>
  <si>
    <t>Classics Re-entrants</t>
  </si>
  <si>
    <t>Classics NQTs</t>
  </si>
  <si>
    <t xml:space="preserve">Computing New to SF Sector </t>
  </si>
  <si>
    <t>Computing Re-entrants</t>
  </si>
  <si>
    <t>Computing NQTs</t>
  </si>
  <si>
    <t xml:space="preserve">Design &amp; Technology New to SF Sector </t>
  </si>
  <si>
    <t>Design &amp; Technology Re-entrants</t>
  </si>
  <si>
    <t>Design &amp; Technology NQTs</t>
  </si>
  <si>
    <t xml:space="preserve">Drama New to SF Sector </t>
  </si>
  <si>
    <t>Drama NQTs</t>
  </si>
  <si>
    <t>Drama Re-entrants</t>
  </si>
  <si>
    <t xml:space="preserve">English New to SF Sector </t>
  </si>
  <si>
    <t>English Re-entrants</t>
  </si>
  <si>
    <t>English NQTs</t>
  </si>
  <si>
    <t xml:space="preserve">Food New to SF Sector </t>
  </si>
  <si>
    <t>Food Re-entrants</t>
  </si>
  <si>
    <t>Food NQTs</t>
  </si>
  <si>
    <t xml:space="preserve">Geography New to SF Sector </t>
  </si>
  <si>
    <t>Geography Re-entrants</t>
  </si>
  <si>
    <t>Geography NQTs</t>
  </si>
  <si>
    <t xml:space="preserve">History New to SF Sector </t>
  </si>
  <si>
    <t>History Re-entrants</t>
  </si>
  <si>
    <t>History NQTs</t>
  </si>
  <si>
    <t xml:space="preserve">Mathematics New to SF Sector </t>
  </si>
  <si>
    <t>Mathematics Re-entrants</t>
  </si>
  <si>
    <t>Mathematics NQTs</t>
  </si>
  <si>
    <t xml:space="preserve">Modern Foreign Languages New to SF Sector </t>
  </si>
  <si>
    <t>Modern Foreign Languages Re-entrants</t>
  </si>
  <si>
    <t>Modern Foreign Languages NQTs</t>
  </si>
  <si>
    <t xml:space="preserve">Music New to SF Sector </t>
  </si>
  <si>
    <t>Music Re-entrants</t>
  </si>
  <si>
    <t>Music NQTs</t>
  </si>
  <si>
    <t xml:space="preserve">Others New to SF Sector </t>
  </si>
  <si>
    <t>Others Re-entrants</t>
  </si>
  <si>
    <t>Others NQTs</t>
  </si>
  <si>
    <t xml:space="preserve">Physical Education New to SF Sector </t>
  </si>
  <si>
    <t>Physical Education Re-entrants</t>
  </si>
  <si>
    <t>Physical Education NQTs</t>
  </si>
  <si>
    <t xml:space="preserve">Physics New to SF Sector </t>
  </si>
  <si>
    <t>Physics Re-entrants</t>
  </si>
  <si>
    <t>Physics NQTs</t>
  </si>
  <si>
    <t xml:space="preserve">Religious Education New to SF Sector </t>
  </si>
  <si>
    <t>Religious Education Re-entrants</t>
  </si>
  <si>
    <t>Religious Education NQTs</t>
  </si>
  <si>
    <t>Summarises model outputs with historical data added in.</t>
  </si>
  <si>
    <t>Tabs throughout the model.</t>
  </si>
  <si>
    <t>Primary - historical</t>
  </si>
  <si>
    <t>Primary - projected</t>
  </si>
  <si>
    <t>Secondary - historical</t>
  </si>
  <si>
    <t>Secondary - projected</t>
  </si>
  <si>
    <t>Primary stock - historical</t>
  </si>
  <si>
    <t>Primary stock - projected</t>
  </si>
  <si>
    <t>Secondary stock - historical</t>
  </si>
  <si>
    <t>Primary pupils - historical</t>
  </si>
  <si>
    <t>Primary pupils - projected</t>
  </si>
  <si>
    <t>Secondary stock - projected</t>
  </si>
  <si>
    <t>Secondary pupils - historical</t>
  </si>
  <si>
    <t>Secondary pupils - projected</t>
  </si>
  <si>
    <t>Primary wastage - historical</t>
  </si>
  <si>
    <t>Primary wastage - projected</t>
  </si>
  <si>
    <t>Secondary wastage - historical</t>
  </si>
  <si>
    <t>Secondary wastage - projected</t>
  </si>
  <si>
    <t>4. Teachers wastage rate</t>
  </si>
  <si>
    <t>Primary retirements - historical</t>
  </si>
  <si>
    <t>Primary retirements - projected</t>
  </si>
  <si>
    <t>Secondary retirements - historical</t>
  </si>
  <si>
    <t>Secondary retirements - projected</t>
  </si>
  <si>
    <t>6. Teachers retirements rate</t>
  </si>
  <si>
    <t>8. Teachers deaths in service rate</t>
  </si>
  <si>
    <t>Primary deaths - historical</t>
  </si>
  <si>
    <t>Primary deaths - projected</t>
  </si>
  <si>
    <t>Secondary deaths - historical</t>
  </si>
  <si>
    <t>Secondary deaths - projected</t>
  </si>
  <si>
    <t>1. Stock size headcount (qualified only)</t>
  </si>
  <si>
    <t>2. Pupil numbers (FTE) and qualified teacher stock (headcount)</t>
  </si>
  <si>
    <t>3. Teachers leaving as wastage (headcount)</t>
  </si>
  <si>
    <t>5. Teachers leaving as retirements (headcount)</t>
  </si>
  <si>
    <t>7. Teachers leaving as deaths in service (headcount)</t>
  </si>
  <si>
    <t>Primary entrants - historical</t>
  </si>
  <si>
    <t>Primary entrants - projected</t>
  </si>
  <si>
    <t>Secondary entrants - historical</t>
  </si>
  <si>
    <t>Secondary entrants - projected</t>
  </si>
  <si>
    <t>Primary NQTs - historical</t>
  </si>
  <si>
    <t>Primary NQTs - projected</t>
  </si>
  <si>
    <t>Secondary NQTs - historical</t>
  </si>
  <si>
    <t>Secondary NQTs - projected</t>
  </si>
  <si>
    <t>Primary re-entrants - historical</t>
  </si>
  <si>
    <t>Primary re-entrants - projected</t>
  </si>
  <si>
    <t>Secondary re-entrants - historical</t>
  </si>
  <si>
    <t>Secondary re-entrants - projected</t>
  </si>
  <si>
    <t>Primary new to SF - historical</t>
  </si>
  <si>
    <t>Primary new to SF - projected</t>
  </si>
  <si>
    <t>Secondary new to SF - historical</t>
  </si>
  <si>
    <t>Secondary new to SF - projected</t>
  </si>
  <si>
    <t>Primary NQT rate - historical</t>
  </si>
  <si>
    <t>Primary NQT rate - projected</t>
  </si>
  <si>
    <t>Secondary NQT rate - historical</t>
  </si>
  <si>
    <t>Secondary NQT rate - projected</t>
  </si>
  <si>
    <t>Primary aged 20-29 - historical</t>
  </si>
  <si>
    <t>Primary aged 30-39 - historical</t>
  </si>
  <si>
    <t>Primary aged 40-49 - historical</t>
  </si>
  <si>
    <t>Primary aged 50-59 - historical</t>
  </si>
  <si>
    <t>Primary aged 60 plus - historical</t>
  </si>
  <si>
    <t>Primary aged 20-29 - projected</t>
  </si>
  <si>
    <t>Primary aged 30-39 - projected</t>
  </si>
  <si>
    <t>Primary aged 40-49 - projected</t>
  </si>
  <si>
    <t>Primary aged 50-59 - projected</t>
  </si>
  <si>
    <t>Primary aged 60 plus - projected</t>
  </si>
  <si>
    <t>Secondary aged 20-29 - historical</t>
  </si>
  <si>
    <t>Secondary aged 30-39 - historical</t>
  </si>
  <si>
    <t>Secondary aged 40-49 - historical</t>
  </si>
  <si>
    <t>Secondary aged 50-59 - historical</t>
  </si>
  <si>
    <t>Secondary aged 60 plus - historical</t>
  </si>
  <si>
    <t>Secondary aged 20-29 - projected</t>
  </si>
  <si>
    <t>Secondary aged 30-39 - projected</t>
  </si>
  <si>
    <t>Secondary aged 40-49 - projected</t>
  </si>
  <si>
    <t>Secondary aged 50-59 - projected</t>
  </si>
  <si>
    <t>Secondary aged 60 plus - projected</t>
  </si>
  <si>
    <t>Wastage - historical</t>
  </si>
  <si>
    <t>Wastage - projected</t>
  </si>
  <si>
    <t>Wastage rate - historical</t>
  </si>
  <si>
    <t>Wastage rate - projected</t>
  </si>
  <si>
    <t>Primary retirement rate - historical</t>
  </si>
  <si>
    <t>Primary retirement rate - projected</t>
  </si>
  <si>
    <t>Secondary retirement rate - historical</t>
  </si>
  <si>
    <t>Secondary retirement rate - projected</t>
  </si>
  <si>
    <t>Primary deaths rate - historical</t>
  </si>
  <si>
    <t>Primary deaths rate - projected</t>
  </si>
  <si>
    <t>Secondary deaths rate - historical</t>
  </si>
  <si>
    <t>Secondary deaths rate - projected</t>
  </si>
  <si>
    <t>ALL CHARTS SHOULD BE CONSIDERED AS COVERING QUALIFIED TEACHERS ONLY AND ALL NUMBERS SHOULD BE CONSIDERED AS BEING IN HEADCOUNT FORM (UNLESS STATED OTHERWISE).</t>
  </si>
  <si>
    <t>Longer term breakdown of proportion of entrants that will be NQTs by subject</t>
  </si>
  <si>
    <t>The final ITT outputs tab.</t>
  </si>
  <si>
    <t xml:space="preserve">Art &amp; Design New to SF Sector </t>
  </si>
  <si>
    <t>Art &amp; Design Re-entrants</t>
  </si>
  <si>
    <t>Art &amp; Design NQTs</t>
  </si>
  <si>
    <t>Physics - Historical</t>
  </si>
  <si>
    <t>Physical Education - Historical</t>
  </si>
  <si>
    <t xml:space="preserve">Primary - Historical </t>
  </si>
  <si>
    <t>Art &amp; Design - Historical</t>
  </si>
  <si>
    <t>Biology - Historical</t>
  </si>
  <si>
    <t>Business Studies - Historical</t>
  </si>
  <si>
    <t>Chemistry - Historical</t>
  </si>
  <si>
    <t>Classics - Historical</t>
  </si>
  <si>
    <t>Computing - Historical</t>
  </si>
  <si>
    <t>Design &amp; Technology - Historical</t>
  </si>
  <si>
    <t>Drama - Historical</t>
  </si>
  <si>
    <t>English - Historical</t>
  </si>
  <si>
    <t>Food - Historical</t>
  </si>
  <si>
    <t>Geography - Historical</t>
  </si>
  <si>
    <t>History - Historical</t>
  </si>
  <si>
    <t>Mathematics - Historical</t>
  </si>
  <si>
    <t>Modern Foreign Languages - Historical</t>
  </si>
  <si>
    <t>Music - Historical</t>
  </si>
  <si>
    <t>Others - Historical</t>
  </si>
  <si>
    <t>Total - Historical</t>
  </si>
  <si>
    <t xml:space="preserve">Primary - Projected </t>
  </si>
  <si>
    <t>Art &amp; Design - Projected</t>
  </si>
  <si>
    <t>Biology - Projected</t>
  </si>
  <si>
    <t>Business Studies - Projected</t>
  </si>
  <si>
    <t>Chemistry - Projected</t>
  </si>
  <si>
    <t>Classics - Projected</t>
  </si>
  <si>
    <t>Computing - Projected</t>
  </si>
  <si>
    <t>Design &amp; Technology - Projected</t>
  </si>
  <si>
    <t>Drama - Projected</t>
  </si>
  <si>
    <t>English - Projected</t>
  </si>
  <si>
    <t>Food - Projected</t>
  </si>
  <si>
    <t>Geography - Projected</t>
  </si>
  <si>
    <t>History - Projected</t>
  </si>
  <si>
    <t>Mathematics - Projected</t>
  </si>
  <si>
    <t>Modern Foreign Languages - Projected</t>
  </si>
  <si>
    <t>Music - Projected</t>
  </si>
  <si>
    <t>Others - Projected</t>
  </si>
  <si>
    <t>Physical Education - Projected</t>
  </si>
  <si>
    <t>Physics - Projected</t>
  </si>
  <si>
    <t>Total - Projected</t>
  </si>
  <si>
    <t>Summarises ITT place outputs with historical data added in on ITT places calculated by former versions of the TSM.</t>
  </si>
  <si>
    <t>Secondary total - Projected</t>
  </si>
  <si>
    <t>Secondary total - Historical</t>
  </si>
  <si>
    <t>Additional notes-</t>
  </si>
  <si>
    <t>- Classics was included in Modern Foreign Languages in the 2014/15 TSM.</t>
  </si>
  <si>
    <t>- Drama was included in English in the 2014/15 TSM.</t>
  </si>
  <si>
    <t>- Food was included in Design &amp; Technology in the 2014/15 TSM and within Others in the 2015/16 TSM.</t>
  </si>
  <si>
    <t>Proportion</t>
  </si>
  <si>
    <t>Undergraduate employment rates</t>
  </si>
  <si>
    <t>Undergraduate ITT completion rates</t>
  </si>
  <si>
    <t>3. ITT completion and employment rates</t>
  </si>
  <si>
    <t>6. Final NQT entrant teacher need for trainees starting and finishing ITT in the same year.</t>
  </si>
  <si>
    <t>These outputs are fed into the table of completion rates and employment rates to estimate the no. of postgraduate ITT places required for each year.</t>
  </si>
  <si>
    <r>
      <t xml:space="preserve">Firstly, this conversion rates table takes the NQT entrant teacher need from the previous tab and uses postgraduate completion rates to estimate the </t>
    </r>
    <r>
      <rPr>
        <b/>
        <i/>
        <sz val="10"/>
        <rFont val="Arial"/>
        <family val="2"/>
      </rPr>
      <t>QTS (Qualified Teacher Status) need</t>
    </r>
    <r>
      <rPr>
        <i/>
        <sz val="10"/>
        <rFont val="Arial"/>
        <family val="2"/>
      </rPr>
      <t>. This is the number of newly trained teachers that will both start and complete ITT in the same year that will be needed to generate the required number of NQTs actually entering into employment within the active stock of the state-funded schools sector in the year after training. In other words, meet the NQT entrant teacher need of the academic year following completion of ITT.</t>
    </r>
  </si>
  <si>
    <r>
      <t xml:space="preserve">Secondly, the table uses this QTS need and ITT completion rates to estimate the </t>
    </r>
    <r>
      <rPr>
        <b/>
        <i/>
        <sz val="10"/>
        <rFont val="Arial"/>
        <family val="2"/>
      </rPr>
      <t>'postgraduate ITT trainee need'</t>
    </r>
    <r>
      <rPr>
        <i/>
        <sz val="10"/>
        <rFont val="Arial"/>
        <family val="2"/>
      </rPr>
      <t>. This is the number of trainees both starting and finishing ITT in the same training year to meet the QTS need.</t>
    </r>
  </si>
  <si>
    <t>1. NQT entrant need</t>
  </si>
  <si>
    <t>HEI Core</t>
  </si>
  <si>
    <t>2. ITT Completion rates</t>
  </si>
  <si>
    <t>3. Post-ITT Employment rates</t>
  </si>
  <si>
    <t>4. ITT completer need (the QTS need)</t>
  </si>
  <si>
    <t>5. ITT trainee need (the Postgraduate ITT Trainee need)</t>
  </si>
  <si>
    <t>Assumed no. of undergraduate trainees in future years by ITT finish date</t>
  </si>
  <si>
    <t>Calculates the proportion of the NQT entrants needed that will be NQTs who are on longer term ITT courses that take more than one year (e.g. undergraduate courses).</t>
  </si>
  <si>
    <t>Charts summarising key assumptions and outputs of the model comparing projections to historical data.</t>
  </si>
  <si>
    <t>Outputs with historical data</t>
  </si>
  <si>
    <t>Historical and projected ITT</t>
  </si>
  <si>
    <t>Charts and tables illustrating historical ITT place outputs derived by the TSM compared to longer term ITT place projections.</t>
  </si>
  <si>
    <t>(a) Entrant teacher need output values generated by the model using the scenarios as selected.</t>
  </si>
  <si>
    <t>(b) The 'postgraduate ITT trainee need' output values generated by the model using the scenarios as selected.</t>
  </si>
  <si>
    <t>Male - Group 1</t>
  </si>
  <si>
    <t>Female - Group 1</t>
  </si>
  <si>
    <t>Male - Group 2</t>
  </si>
  <si>
    <t>Female - Group 2</t>
  </si>
  <si>
    <t>Male - Group 3</t>
  </si>
  <si>
    <t>Female - Group 3</t>
  </si>
  <si>
    <t>Secondary (all) historical</t>
  </si>
  <si>
    <t>Secondary (all) projected</t>
  </si>
  <si>
    <r>
      <t xml:space="preserve">These are entrant teachers who have </t>
    </r>
    <r>
      <rPr>
        <b/>
        <sz val="10"/>
        <rFont val="Arial"/>
        <family val="2"/>
      </rPr>
      <t xml:space="preserve">entered teaching in the year </t>
    </r>
    <r>
      <rPr>
        <b/>
        <i/>
        <sz val="10"/>
        <rFont val="Arial"/>
        <family val="2"/>
      </rPr>
      <t>after</t>
    </r>
    <r>
      <rPr>
        <b/>
        <sz val="10"/>
        <rFont val="Arial"/>
        <family val="2"/>
      </rPr>
      <t xml:space="preserve"> training,</t>
    </r>
    <r>
      <rPr>
        <sz val="10"/>
        <rFont val="Arial"/>
        <family val="2"/>
      </rPr>
      <t xml:space="preserve"> i.e. they finished ITT and went straight into teaching.</t>
    </r>
  </si>
  <si>
    <t>Presets in the model</t>
  </si>
  <si>
    <t>For context, the central rates used are:</t>
  </si>
  <si>
    <r>
      <t xml:space="preserve">Total value </t>
    </r>
    <r>
      <rPr>
        <sz val="10"/>
        <rFont val="Arial"/>
        <family val="2"/>
      </rPr>
      <t>(to be entered in for calculations)</t>
    </r>
  </si>
  <si>
    <t>Highest rate (Central rate +5%pts)</t>
  </si>
  <si>
    <t>2nd Highest rate (Central rate +2.5%pts)</t>
  </si>
  <si>
    <t>2nd Lowest rate (Central rate -2.5%pts)</t>
  </si>
  <si>
    <t>Lowest rate (Central rate -5%pts)</t>
  </si>
  <si>
    <t>Newly Qualified Teacher entrants expected</t>
  </si>
  <si>
    <t>New to state-funded sector entrants expected</t>
  </si>
  <si>
    <t>These figures are used in the output charts</t>
  </si>
  <si>
    <t>9. Teachers leaving service by all routes (headcount)</t>
  </si>
  <si>
    <t>Primary leavers - historical</t>
  </si>
  <si>
    <t>Primary leavers - projected</t>
  </si>
  <si>
    <t>Secondary leavers - historical</t>
  </si>
  <si>
    <t>Secondary leavers - projected</t>
  </si>
  <si>
    <t>10. Teachers leaving service rate</t>
  </si>
  <si>
    <t>11. Teachers entering service</t>
  </si>
  <si>
    <t>12. Teachers entrants rate</t>
  </si>
  <si>
    <t>13. Teachers entering as Newly Qualified Teachers</t>
  </si>
  <si>
    <t>14. Teachers entering as re-entrants</t>
  </si>
  <si>
    <t>15. Teachers entering as new to SF sector</t>
  </si>
  <si>
    <t>16. Proportion of teachers entering as NQTs</t>
  </si>
  <si>
    <t>17. Stock ages changing over time</t>
  </si>
  <si>
    <t>18. Stock ages changing over time (percentages)</t>
  </si>
  <si>
    <t>Secondary stock numbers broken down by age</t>
  </si>
  <si>
    <t>19. Comparison of entrant and leaver numbers</t>
  </si>
  <si>
    <t>Primary net change - historical</t>
  </si>
  <si>
    <t>Primary net change - projected</t>
  </si>
  <si>
    <t>Secondary net change - historical</t>
  </si>
  <si>
    <t>Secondary net change - projected</t>
  </si>
  <si>
    <t>The figures have been sourced from the ITT census:</t>
  </si>
  <si>
    <t>Science - Historical</t>
  </si>
  <si>
    <t>TO BE UPDATED MANUALLY</t>
  </si>
  <si>
    <t>2027/28</t>
  </si>
  <si>
    <t>Year-on-year rate of change</t>
  </si>
  <si>
    <t>Primary - projections</t>
  </si>
  <si>
    <t>Secondary - projections</t>
  </si>
  <si>
    <t>Primary leavers rate - historical</t>
  </si>
  <si>
    <t>Primary leavers rate - projected</t>
  </si>
  <si>
    <t>Secondary leavers rate - historical</t>
  </si>
  <si>
    <t>Secondary leavers rate - projected</t>
  </si>
  <si>
    <t>Update by inserting a new column between column D and E before dragging across from left to right for the time series figures. The PTRs should automatically update.</t>
  </si>
  <si>
    <t>Notes-</t>
  </si>
  <si>
    <t>The School Workforce Census (SWC) is taken in November each year. Teacher figures are generally in headcount form (unless stated otherwise). Some headcount figures will not be whole numbers as scaling factors have been applied to account for some schools not supplying a census return.</t>
  </si>
  <si>
    <r>
      <t xml:space="preserve">The November 2010 SWC relates to the 2010/11 academic year, the 2011 to the 2011/12 and so on. The model assumes that this stock is the </t>
    </r>
    <r>
      <rPr>
        <i/>
        <sz val="10"/>
        <rFont val="Arial"/>
        <family val="2"/>
      </rPr>
      <t>closing</t>
    </r>
    <r>
      <rPr>
        <sz val="10"/>
        <rFont val="Arial"/>
        <family val="2"/>
      </rPr>
      <t xml:space="preserve"> stock for that academic year.</t>
    </r>
  </si>
  <si>
    <t>What about the rates used last year?</t>
  </si>
  <si>
    <t>Weighted average over 4 years</t>
  </si>
  <si>
    <t>6. Post-ITT employment rates</t>
  </si>
  <si>
    <t>7. Unqualified teacher rates</t>
  </si>
  <si>
    <t>Subject/phase</t>
  </si>
  <si>
    <t>Postgraduate</t>
  </si>
  <si>
    <t>% of teachers that are unqualified</t>
  </si>
  <si>
    <t>The number of NQT entrants is multiplied by the post-ITT employment rate.</t>
  </si>
  <si>
    <t>The number of NQT entrants required is multiplied by the post-ITT employment rate and ITT completion rate.</t>
  </si>
  <si>
    <t>1. SWC stock levels</t>
  </si>
  <si>
    <t>Primary NQT entrants - historical</t>
  </si>
  <si>
    <t>Primary NQT entrants - projected</t>
  </si>
  <si>
    <t>Primary entrants other routes- historical</t>
  </si>
  <si>
    <t>Secondary NQT entrants - historical</t>
  </si>
  <si>
    <t>Secondary NQT entrants - projected</t>
  </si>
  <si>
    <t>Secondary entrants other routes- historical</t>
  </si>
  <si>
    <t>Primary entrants other routes - projected</t>
  </si>
  <si>
    <t>Secondary entrants other routes - projected</t>
  </si>
  <si>
    <t>Undergrad</t>
  </si>
  <si>
    <t>Rates from latest NCTL data</t>
  </si>
  <si>
    <t>These rates are used to estimate the proportion of trainees that will gain employment in the state-funded schools sector within 6 months of completing training.</t>
  </si>
  <si>
    <t>These rates are used to estimate the proportion of teachers that will be unqualified in future.</t>
  </si>
  <si>
    <t>From latest SWC data</t>
  </si>
  <si>
    <t>UQ %</t>
  </si>
  <si>
    <t>This is the current proportion, we assume this will remain constant (the value used can be changed by scenario testing).</t>
  </si>
  <si>
    <t>Rates from latest SWC data</t>
  </si>
  <si>
    <t>Scenario used</t>
  </si>
  <si>
    <t>Scenario A</t>
  </si>
  <si>
    <t>Secondary teacher need by subject calculations.</t>
  </si>
  <si>
    <r>
      <t xml:space="preserve">10. Take into account the FTE rate for each subject to provide teacher need by </t>
    </r>
    <r>
      <rPr>
        <b/>
        <i/>
        <u/>
        <sz val="12"/>
        <rFont val="Arial"/>
        <family val="2"/>
      </rPr>
      <t>headcount</t>
    </r>
    <r>
      <rPr>
        <b/>
        <u/>
        <sz val="12"/>
        <rFont val="Arial"/>
        <family val="2"/>
      </rPr>
      <t xml:space="preserve"> figures.</t>
    </r>
  </si>
  <si>
    <t>11. Take into account the unqualified teacher rate of each subject.</t>
  </si>
  <si>
    <t>9. What additional teacher need (FTE) is required for each subject resulting from policies?</t>
  </si>
  <si>
    <t>Adjustments selected by scenario selection tab</t>
  </si>
  <si>
    <t>Subtract these adjustments from the previously calculated values</t>
  </si>
  <si>
    <t>Primary NQT entrant rates manual values</t>
  </si>
  <si>
    <t>Primary PTR change rate manual values</t>
  </si>
  <si>
    <t>Secondary PTR change rate manual values</t>
  </si>
  <si>
    <t>Secondary NQT entrant rates manual values</t>
  </si>
  <si>
    <t>Science - Projected</t>
  </si>
  <si>
    <t>LIGHT GREEN HISTORICAL FIGURES WILL BE UPDATED IN FUTURE VERSIONS OF THE MODEL.</t>
  </si>
  <si>
    <t>Scenario testing</t>
  </si>
  <si>
    <t>Scenarios selected by user</t>
  </si>
  <si>
    <r>
      <t xml:space="preserve">Subject </t>
    </r>
    <r>
      <rPr>
        <b/>
        <sz val="8"/>
        <color indexed="10"/>
        <rFont val="Arial"/>
        <family val="2"/>
      </rPr>
      <t>(EBacc in red)</t>
    </r>
  </si>
  <si>
    <t>****************************************************************************************************************************************************************************************************************************************************************************************</t>
  </si>
  <si>
    <r>
      <t xml:space="preserve">Subject </t>
    </r>
    <r>
      <rPr>
        <b/>
        <i/>
        <sz val="14"/>
        <color indexed="10"/>
        <rFont val="Arial"/>
        <family val="2"/>
      </rPr>
      <t xml:space="preserve">(EBacc subjects in red) </t>
    </r>
  </si>
  <si>
    <t>Summarises the no. of entrants expected/required by state-funded schools over time by the scenarios selected as assumed by the model and using the most robust estimations.</t>
  </si>
  <si>
    <t>Primary 20-29 - historical</t>
  </si>
  <si>
    <t>Primary 30-39 - historical</t>
  </si>
  <si>
    <t>Primary 40-49 - historical</t>
  </si>
  <si>
    <t>Primary 50-59 - historical</t>
  </si>
  <si>
    <t>Primary 60 plus - historical</t>
  </si>
  <si>
    <t>Primary 20-29 - projected</t>
  </si>
  <si>
    <t>Primary 30-39 - projected</t>
  </si>
  <si>
    <t>Primary 40-49 - projected</t>
  </si>
  <si>
    <t>Primary 50-59 - projected</t>
  </si>
  <si>
    <t>Primary 60 plus - projected</t>
  </si>
  <si>
    <t>Secondary 20-29 - historical</t>
  </si>
  <si>
    <t>Secondary 30-39 - historical</t>
  </si>
  <si>
    <t>Secondary 40-49 - historical</t>
  </si>
  <si>
    <t>Secondary 50-59 - historical</t>
  </si>
  <si>
    <t>Secondary 60 plus - historical</t>
  </si>
  <si>
    <t>Secondary 20-29 - projected</t>
  </si>
  <si>
    <t>Secondary 30-39 - projected</t>
  </si>
  <si>
    <t>Secondary 40-49 - projected</t>
  </si>
  <si>
    <t>Secondary 50-59 - projected</t>
  </si>
  <si>
    <t>Secondary 60 plus - projected</t>
  </si>
  <si>
    <r>
      <t xml:space="preserve">Teach First places have </t>
    </r>
    <r>
      <rPr>
        <u/>
        <sz val="10"/>
        <color indexed="10"/>
        <rFont val="Arial"/>
        <family val="2"/>
      </rPr>
      <t>not</t>
    </r>
    <r>
      <rPr>
        <sz val="10"/>
        <color indexed="10"/>
        <rFont val="Arial"/>
        <family val="2"/>
      </rPr>
      <t xml:space="preserve"> been subtracted from this number. </t>
    </r>
  </si>
  <si>
    <t>The number of NQT entrants can be scaled up via increases in ITT places. However, the number of re-entrants and new to SF sector entrants might be relatively limited by the existing pool of such teachers that are available.</t>
  </si>
  <si>
    <t>The number of re-entrants and new to SF sector entrants can be held in the calculations below and the number of NQT entrants scaled up accordingly to provide no net change.</t>
  </si>
  <si>
    <t>Adjusted numbers of entrants</t>
  </si>
  <si>
    <t>Original numbers</t>
  </si>
  <si>
    <t>Adjustment figures</t>
  </si>
  <si>
    <t>TO BE ADDED IN MANUALLY</t>
  </si>
  <si>
    <t>Adjusted figures for New to SF Sector entrants and Re-entrants</t>
  </si>
  <si>
    <t>Have figures been adjusted?</t>
  </si>
  <si>
    <t>2015/16 data (from 2017/18 TSM)</t>
  </si>
  <si>
    <t>Percentage change</t>
  </si>
  <si>
    <t>Percentage change in teaching hours</t>
  </si>
  <si>
    <t>% dedicated to each subject</t>
  </si>
  <si>
    <t>New to SF Sector</t>
  </si>
  <si>
    <t>Figures to use for limits</t>
  </si>
  <si>
    <t xml:space="preserve">Difference </t>
  </si>
  <si>
    <t>This difference is added on to the entrant teacher need.</t>
  </si>
  <si>
    <t>Difference figures to use (only use if UQ rates are held)</t>
  </si>
  <si>
    <t>If we hold unqualified teachers at former levels we would need to make an adjustment to the entrant teacher need in 2018/19 to recruit the additional teachers required</t>
  </si>
  <si>
    <t>Figures to feed into the rest of the model</t>
  </si>
  <si>
    <t>Primary age 2017/18 TSM</t>
  </si>
  <si>
    <t>All secondary 2017/18 TSM</t>
  </si>
  <si>
    <t>Primary total 2017/18 TSM</t>
  </si>
  <si>
    <t>Secondary total 2017/18 TSM</t>
  </si>
  <si>
    <t>2017/18 TSM Primary change rates</t>
  </si>
  <si>
    <t>2017/18 TSM Secondary change rates</t>
  </si>
  <si>
    <t>2017/18 TSM Primary</t>
  </si>
  <si>
    <t>2017/18 TSM Secondary</t>
  </si>
  <si>
    <t>Note - hard-coded cells at bottom need to be updated at the end of the modelling process.</t>
  </si>
  <si>
    <t>Sources of new teachers</t>
  </si>
  <si>
    <t>End of Model ITT place adjustments</t>
  </si>
  <si>
    <t>Holding limit=</t>
  </si>
  <si>
    <t>(this figure can be changed manually)</t>
  </si>
  <si>
    <t>Teach First</t>
  </si>
  <si>
    <t>School Direct and Teach First</t>
  </si>
  <si>
    <t>Note - the ITT completion rate and post-ITT employment rate of Teach First trainees is assumed as being the same as those for School Direct trainees.</t>
  </si>
  <si>
    <t>Values are weighted averages using 4 years' worth of data. Where there are low numbers of relevant trainees for a particular subject in some or all years, a tolerance threshold rate +/- 10% of the average has been used as a proxy.</t>
  </si>
  <si>
    <t>Details of policy</t>
  </si>
  <si>
    <t>Scenario</t>
  </si>
  <si>
    <t>And if UQ rates are held at current levels (to be hard coded)</t>
  </si>
  <si>
    <t>This difference is the result of the model using a weighted average of four years' worth of wastage data to calculate the baseline value on which the projections are based.</t>
  </si>
  <si>
    <t>A similar difference occurs for retirements but the opposite way around.</t>
  </si>
  <si>
    <t xml:space="preserve">There is a difference between the final historical time series values and the projected time series values which appears to suggest an underestimation of future wastage.  </t>
  </si>
  <si>
    <t xml:space="preserve">There is a difference between the final historical time series values and the projected time series values which appears to suggest an overestimation of future retirements.  </t>
  </si>
  <si>
    <t>This difference is the result of the model using a weighted average of four years' worth of retirements data to calculate the baseline value on which the projections are based.</t>
  </si>
  <si>
    <t>A similar difference occurs for wastage but the opposite way around.</t>
  </si>
  <si>
    <t xml:space="preserve">EBacc </t>
  </si>
  <si>
    <t>Non-EBacc</t>
  </si>
  <si>
    <t>As a % of entrant need</t>
  </si>
  <si>
    <t>Adjustment required</t>
  </si>
  <si>
    <t>This allows the model to account for the recruitment of additional teachers to address (and counter) increases in the proportion of teachers that are unqualified (at the rate of increase observed in LA maintained schools).</t>
  </si>
  <si>
    <t>Manually selected scalars</t>
  </si>
  <si>
    <t>Male Manually Selected Scalars</t>
  </si>
  <si>
    <t>Female Manually Selected Scalars</t>
  </si>
  <si>
    <t>Male and female wastage scalars manually selected values</t>
  </si>
  <si>
    <t>Wastage scalars as used by the 2016/17 model</t>
  </si>
  <si>
    <t>This almost entirely cancels out the differences between the historical and projected time series for all leavers.</t>
  </si>
  <si>
    <r>
      <t xml:space="preserve">The number does </t>
    </r>
    <r>
      <rPr>
        <u/>
        <sz val="10"/>
        <color indexed="10"/>
        <rFont val="Arial"/>
        <family val="2"/>
      </rPr>
      <t>not</t>
    </r>
    <r>
      <rPr>
        <sz val="10"/>
        <color indexed="10"/>
        <rFont val="Arial"/>
        <family val="2"/>
      </rPr>
      <t xml:space="preserve"> include those NQTs who will be studying on courses lasting more than one year in length (e.g. 3 year undergraduate training courses). </t>
    </r>
  </si>
  <si>
    <t>USER TESTING TAB</t>
  </si>
  <si>
    <t xml:space="preserve">For consistency and data matching purposes, subject names are written out in full with capitalised words and ampersands. </t>
  </si>
  <si>
    <t>This sheet summarises the data selected by the user (via the user testing tab) and utilised by the model in calculations (including pupil projections, wastage scalars, and PTR caps &amp; change rates).</t>
  </si>
  <si>
    <t>1. Examination of outputs derived using scenario testing.</t>
  </si>
  <si>
    <t>These are the model outputs generated using the scenarios selected using the drop-down menus above.</t>
  </si>
  <si>
    <t>2. Scenario testing - selection of scenarios</t>
  </si>
  <si>
    <t xml:space="preserve">To provide context of the scale of the impact that the scenario testing can have, values for a 'scenario A' are provided. </t>
  </si>
  <si>
    <t>Primary - default scenarios</t>
  </si>
  <si>
    <t>Secondary - default scenarios</t>
  </si>
  <si>
    <t>Primary - user selected scenarios</t>
  </si>
  <si>
    <t>Secondary - user selected scenarios</t>
  </si>
  <si>
    <t>Additional charts comparing entrant and teacher need are provided on the next two tabs, broken down by subject.</t>
  </si>
  <si>
    <t>(a) Econometric wastage scenarios - scalars</t>
  </si>
  <si>
    <t xml:space="preserve">The same applies for the low and high scenarios which assume there will be no change in future wastage rates. </t>
  </si>
  <si>
    <t>(b) Pupil projections - scenarios</t>
  </si>
  <si>
    <t>(e) NQT (Newly Qualified Teacher) entrant rates - scenarios</t>
  </si>
  <si>
    <t>(f) Post-ITT employment rates</t>
  </si>
  <si>
    <t>(g) Unqualified teacher rates</t>
  </si>
  <si>
    <t>Most of the calculation tabs. Selects the data to be used on the tab called 'Data selected by selection tab'.</t>
  </si>
  <si>
    <t>Differences between the values calculated above and the default values.</t>
  </si>
  <si>
    <t xml:space="preserve">These are the model outputs generated using the scenarios selected using the drop-down menus at the bottom of this tab. </t>
  </si>
  <si>
    <t>Differences between the values calculated using the scenarios selected below and the default values.</t>
  </si>
  <si>
    <r>
      <t xml:space="preserve">Users can select different rates at which PTRs will change as pupil no.s change. </t>
    </r>
    <r>
      <rPr>
        <i/>
        <sz val="10"/>
        <rFont val="Arial"/>
        <family val="2"/>
      </rPr>
      <t>The higher the rate, the faster the PTR will change as pupil no.s change. For each 1% increase in the pupil population, the PTR will increase by the percentage rate selected.</t>
    </r>
  </si>
  <si>
    <t>Compares the entrant teacher need values calculated under default scenarios with those calculated using the scenarios selected by the user (dotted lines) for all phases and subjects.</t>
  </si>
  <si>
    <t>Compares the teacher need values calculated under default scenarios with those calculated using the scenarios selected by the user (dotted lines) for all phases and subjects.</t>
  </si>
  <si>
    <t>Graphically represents the pupil projections data under different scenarios (high, low, and central). The different scenarios can be selected via the user testing tab.</t>
  </si>
  <si>
    <t>If the unqualified teacher rates are held at levels from a previous year, the no. of qualified teachers required to enter into the stock in future would need to be scaled up or down accordingly.</t>
  </si>
  <si>
    <t xml:space="preserve">Charts compiling all rates </t>
  </si>
  <si>
    <t>The obesity strategy</t>
  </si>
  <si>
    <t>THESE POLICY ASSUMPTIONS FEED INTO THE TEACHER NEED BY SUBJECT TAB AND ARE USED FOR MAKING ADJUSTMENTS TO THE FINAL ITT PLACE FIGURES.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</si>
  <si>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t>
    </r>
    <r>
      <rPr>
        <sz val="10"/>
        <rFont val="Arial"/>
        <family val="2"/>
      </rPr>
      <t xml:space="preserve"> routes including as NQTs, re-entrants, and new to SF sector entrants.</t>
    </r>
  </si>
  <si>
    <r>
      <t xml:space="preserve">ITT places using the </t>
    </r>
    <r>
      <rPr>
        <sz val="10"/>
        <color indexed="10"/>
        <rFont val="Arial"/>
        <family val="2"/>
      </rPr>
      <t>currently selected</t>
    </r>
    <r>
      <rPr>
        <sz val="10"/>
        <rFont val="Arial"/>
        <family val="2"/>
      </rPr>
      <t xml:space="preserve"> scenarios</t>
    </r>
  </si>
  <si>
    <r>
      <t xml:space="preserve">Scenarios </t>
    </r>
    <r>
      <rPr>
        <sz val="10"/>
        <color indexed="10"/>
        <rFont val="Arial"/>
        <family val="2"/>
      </rPr>
      <t xml:space="preserve">currently </t>
    </r>
    <r>
      <rPr>
        <sz val="10"/>
        <color indexed="10"/>
        <rFont val="Arial"/>
        <family val="2"/>
      </rPr>
      <t>selected</t>
    </r>
    <r>
      <rPr>
        <sz val="10"/>
        <rFont val="Arial"/>
        <family val="2"/>
      </rPr>
      <t xml:space="preserve"> within the model</t>
    </r>
  </si>
  <si>
    <r>
      <t xml:space="preserve">ITT places under </t>
    </r>
    <r>
      <rPr>
        <sz val="10"/>
        <color indexed="10"/>
        <rFont val="Arial"/>
        <family val="2"/>
      </rPr>
      <t>central</t>
    </r>
    <r>
      <rPr>
        <sz val="10"/>
        <rFont val="Arial"/>
        <family val="2"/>
      </rPr>
      <t xml:space="preserve"> scenarios (default scenarios)</t>
    </r>
  </si>
  <si>
    <t>Different values can be selected using the user testing tab.</t>
  </si>
  <si>
    <t>The entrant age breakdowns are calculated using 4 years' worth of SWC data. Rates are calculated for both genders combined together.</t>
  </si>
  <si>
    <t>Users can select different projected wastage rate scenarios.</t>
  </si>
  <si>
    <t>Difference</t>
  </si>
  <si>
    <t>- Science was not broken down into Biology, Chemistry, and Physics pre-2014/15.</t>
  </si>
  <si>
    <t xml:space="preserve">Scenarios </t>
  </si>
  <si>
    <t>No. for selection</t>
  </si>
  <si>
    <t>Details of scenario</t>
  </si>
  <si>
    <t>EBacc policy</t>
  </si>
  <si>
    <r>
      <t xml:space="preserve">The projected figures are also </t>
    </r>
    <r>
      <rPr>
        <b/>
        <u/>
        <sz val="10"/>
        <rFont val="Arial"/>
        <family val="2"/>
      </rPr>
      <t>subject to future changes</t>
    </r>
    <r>
      <rPr>
        <b/>
        <sz val="10"/>
        <rFont val="Arial"/>
        <family val="2"/>
      </rPr>
      <t xml:space="preserve"> and </t>
    </r>
    <r>
      <rPr>
        <b/>
        <u/>
        <sz val="10"/>
        <rFont val="Arial"/>
        <family val="2"/>
      </rPr>
      <t>will be revised</t>
    </r>
    <r>
      <rPr>
        <b/>
        <sz val="10"/>
        <rFont val="Arial"/>
        <family val="2"/>
      </rPr>
      <t xml:space="preserve"> with data updates and assumption changes in the coming years.</t>
    </r>
  </si>
  <si>
    <t>(c) Pupil:Teacher Ratio caps - scenarios</t>
  </si>
  <si>
    <t>(d) Pupil:Teacher Ratio change rates - scenarios</t>
  </si>
  <si>
    <t>3. Pupil:Teacher Ratio caps</t>
  </si>
  <si>
    <t>4. Pupil:Teacher Ratio rate of change</t>
  </si>
  <si>
    <t>Maximum Pupil:Teacher Ratios</t>
  </si>
  <si>
    <t>4. Pupil:Teacher Ratio change rates</t>
  </si>
  <si>
    <t>Primary PTR - default</t>
  </si>
  <si>
    <t>Primary PTR - user selected</t>
  </si>
  <si>
    <t>Secondary PTR - default</t>
  </si>
  <si>
    <t>Secondary PTR - user selected</t>
  </si>
  <si>
    <t>Data selected by user testing</t>
  </si>
  <si>
    <t>Lists the data as selected by the user testing tab to play into the wider model.</t>
  </si>
  <si>
    <t>Brief summary of model along with details of current version and colour key.</t>
  </si>
  <si>
    <t>Lists the policy assumptions at primary level to play into the teacher need calculations.</t>
  </si>
  <si>
    <t>Lists the policy assumptions at secondary level to play into the teacher need calculations.</t>
  </si>
  <si>
    <t>RAW DATA INPUTS</t>
  </si>
  <si>
    <t>Calculates retirement rates for the primary phase.</t>
  </si>
  <si>
    <t>Calculates retirement rates for the secondary phase.</t>
  </si>
  <si>
    <t>Calculates death in service rates for the primary phase.</t>
  </si>
  <si>
    <t>Calculates death in service rates for the secondary phase.</t>
  </si>
  <si>
    <t>Calculates wastage rates for the primary phase.</t>
  </si>
  <si>
    <t>Calculates wastage rates for the secondary phase.</t>
  </si>
  <si>
    <t>Calculates projected wastage rates for the primary phase.</t>
  </si>
  <si>
    <t>Calculates projected wastage rates for the secondary phase.</t>
  </si>
  <si>
    <t>Calculates projected wastage rates for the secondary phase for Group 1 subjects only.</t>
  </si>
  <si>
    <t>Calculates projected wastage rates for the secondary phase for Group 2 subjects only.</t>
  </si>
  <si>
    <t>Calculates projected wastage rates for the secondary phase for Group 3 subjects only.</t>
  </si>
  <si>
    <t>Calculates the primary teacher need.</t>
  </si>
  <si>
    <t>Calculates the overall secondary teacher need for all subjects combined.</t>
  </si>
  <si>
    <t>Calculates the secondary teacher need for specific subjects.</t>
  </si>
  <si>
    <t>Calculates the entrant teacher need for primary teachers, the number of primary teachers that leave, and how the primary teacher stock changes over time.</t>
  </si>
  <si>
    <t>Calculates the proportion of primary teachers historically entering the stock via different entrant routes.</t>
  </si>
  <si>
    <t>Calculates the proportion of secondary teachers historically entering the stock via different entrant routes.</t>
  </si>
  <si>
    <t>Calculates the proportion of historical primary teacher entrants that are employed part-time via the different routes.</t>
  </si>
  <si>
    <t>Calculates the proportion of historical secondary teacher entrants that are employed part-time via the different routes.</t>
  </si>
  <si>
    <t>Calculates the proportion of primary teachers expected to enter by different entrant routes.</t>
  </si>
  <si>
    <t>Calculation of primary retirement rates</t>
  </si>
  <si>
    <t>Calculation of secondary retirement rates</t>
  </si>
  <si>
    <t>Calculation of primary death rates</t>
  </si>
  <si>
    <t>Calculation of secondary death rates</t>
  </si>
  <si>
    <t>Calculation of primary wastage rates</t>
  </si>
  <si>
    <t>Calculation of secondary wastage rates</t>
  </si>
  <si>
    <t>Projected primary wastage rates</t>
  </si>
  <si>
    <t>Projected secondary wastage rates</t>
  </si>
  <si>
    <t>Calculation of primary teacher need</t>
  </si>
  <si>
    <t>Calculation of overall secondary teacher need</t>
  </si>
  <si>
    <t>Calculation of primary entrant rates</t>
  </si>
  <si>
    <t>Calculation of secondary entrant rates</t>
  </si>
  <si>
    <t>Calculation of primary part-time entrants</t>
  </si>
  <si>
    <t>Calculation of secondary part-time entrants</t>
  </si>
  <si>
    <t>Calculation of long term NQT entrants</t>
  </si>
  <si>
    <t>Pupil projections scenarios</t>
  </si>
  <si>
    <t>Changes in subject teaching hours</t>
  </si>
  <si>
    <t>FINAL OUTPUTS OF ITT PLACES</t>
  </si>
  <si>
    <t>Comparison of pupil projections</t>
  </si>
  <si>
    <t>Summarises the entrant teacher need values calculated by the model to feed into section 2 of the model.</t>
  </si>
  <si>
    <t>OUTPUTS FOR SECTION 2 OF MODEL</t>
  </si>
  <si>
    <t>The previous calculation tabs including 'outputs for section 2 of model' and the raw data tabs.</t>
  </si>
  <si>
    <t xml:space="preserve">These figures cover all teachers entering into the 'state-funded schools sector' as defined by the TSM. This includes those entering into service in primary and secondary schools having previously been teaching in special schools, PRUs, independent schools, the FE sector, supply roles, and schools in other countries including Scotland, Wales, and Northern Ireland among others. Teachers entering teaching as newly qualified teachers, new to the state-funded sector, and those that are re-entrants are included. </t>
  </si>
  <si>
    <t>The average FTE rates of the existing stock for each subject/phase. They are used to estimate the no. of FTE teachers an entrant actually contributes on joining the active stock (one entrant teacher does not necessarily provide one FTE teacher for active service as many work part-time).</t>
  </si>
  <si>
    <t>'Teacher need by subject' tab.</t>
  </si>
  <si>
    <t>'Teacher need by subject' tab and 'FINAL OUTPUTS OF ITT PLACES' tab.</t>
  </si>
  <si>
    <t>'FINAL OUTPUTS OF ITT PLACES' tab.</t>
  </si>
  <si>
    <t>Where are the data on this sheet from?</t>
  </si>
  <si>
    <t>The entrant rates are weighted as the data are provisional and therefore incomplete for the two most recent years.</t>
  </si>
  <si>
    <t>The central scenario rate is based on weighted averages of historical rates from the most recent four years for which we have data. (As data are provisional for the two most recent years, the data are weighted).</t>
  </si>
  <si>
    <t>Input from the raw data inputs tab, they will update automatically when new data are fed into the raw data inputs tab.</t>
  </si>
  <si>
    <t>This approach is used as the two most recent years of historical data are provisional and subject to future updates.</t>
  </si>
  <si>
    <t>All red tabs which make calculations using these data. Also feeds into the data selected by selection tab.</t>
  </si>
  <si>
    <t>Where do these data come from?</t>
  </si>
  <si>
    <t>This sheet provides all the raw data that feed into the model. ONLY THIS SHEET SHOULD HAVE RAW DATA FED INTO IT.</t>
  </si>
  <si>
    <t>What year are the latest data up to?</t>
  </si>
  <si>
    <t xml:space="preserve">The data show the stock figures and the no. of teachers leaving as wastage each year. They are used to calculate wastage rates. </t>
  </si>
  <si>
    <t>The data show the projected change in wastage rates for both male and female teachers as a scalar.</t>
  </si>
  <si>
    <t>The data show the no. of teachers leaving through retirement each year. It is used to calculate the retirement rates.</t>
  </si>
  <si>
    <t>The data show the age group breakdown of those entering the stock each year. The data are used to estimate what the age group breakdown is of teachers entering the stock.</t>
  </si>
  <si>
    <t>These data come from the Pupil Projections Model. The figures come from a point in January which relates to the academic year starting in September of the previous calendar year.</t>
  </si>
  <si>
    <t xml:space="preserve">Year data relate to </t>
  </si>
  <si>
    <t xml:space="preserve">ALL DATA HAVE BEEN SOURCED FROM PREVIOUS PUBLISHED VERSIONS OF THE TSM. </t>
  </si>
  <si>
    <t xml:space="preserve">WHERE DATA FOR AN INDIVIDUAL YEAR HAVE BEEN PUBLISHED IN MORE THAN ONE VERSION OF THE TSM, THE MOST RECENTLY PUBLISHED FIGURE HAS BEEN PROVIDED. </t>
  </si>
  <si>
    <t xml:space="preserve">Graphically represents the pupil projections data from this year's and last year's TSM. </t>
  </si>
  <si>
    <t>Each year an extra year's worth of data are added into the model.</t>
  </si>
  <si>
    <t>Note - each year, a new year's worth of historical data is added in manually. The red cells calculate or source themselves, the yellow cells use model outputs, and the green cells need updating manually each year.</t>
  </si>
  <si>
    <t>Note - each year, a new year's worth of historical data is added in manually (the green cells). The red and yellow cells calculate/source themselves.</t>
  </si>
  <si>
    <t>Summarises the primary phase policy assumptions to feed into the model to account for any additional teachers that might be needed because of primary teacher related policies.</t>
  </si>
  <si>
    <t>There are no primary policy assumptions added into this model.</t>
  </si>
  <si>
    <t>The primary entrant need calculations.</t>
  </si>
  <si>
    <t>Calculates the retirement rates (proportion of each gender age group expected to leave as retirements in the year for which we have most up-to-date data) for the primary teacher stock. They are weighted towards the most recent year as data are incomplete (and provisional) for the two most recent years. The model uses this to estimate what proportion of the stock will leave as retirements in future. The model assumes that the rate will be constant going forward.</t>
  </si>
  <si>
    <t>Calculates the death in service rates (proportion of each gender age group expected to leave as deaths in service in the year for which we have most up-to-date data) for the primary teacher stock. They are weighted towards the most recent year as data are incomplete (and provisional) for the two most recent years. The model uses this to estimate what proportion of the stock will leave as deaths in service in future. The model assumes that the rate will be constant going forward.</t>
  </si>
  <si>
    <t>The projected primary wastage rates calculations tab.</t>
  </si>
  <si>
    <t>Calculates the wastage rates (proportion of each gender age group expected to leave as wastage in the year for which we have most up-to-date data) for the primary teacher stock. They are weighted towards the most recent year as data are incomplete (and provisional) for the two most recent years. The model uses this to estimate what proportion of the stock will leave as wastage in future. The model assumes that the rate will change (see projected primary wastage rates tab).</t>
  </si>
  <si>
    <t>The primary entrant need calculation tabs.</t>
  </si>
  <si>
    <t>1. Calculated primary wastage rates</t>
  </si>
  <si>
    <t>1. Break down of primary stock and by whether they are qualified or unqualified.</t>
  </si>
  <si>
    <t>The primary entrant need calculation tab.</t>
  </si>
  <si>
    <t>1. Calculating no. of FTE primary teachers required</t>
  </si>
  <si>
    <t>Current primary FTE</t>
  </si>
  <si>
    <t>These figures are high level primary stock figures. To update simply add in an extra year's data on the raw data tab and scroll along one column.</t>
  </si>
  <si>
    <t xml:space="preserve">Centrally employed (not included in the main primary stock). </t>
  </si>
  <si>
    <t>Occasional (not included in the main primary stock)</t>
  </si>
  <si>
    <t>Centrally employed or occasional FTE (assume FTE rate same as primary)</t>
  </si>
  <si>
    <t>2. Calculating no. of FTE regular primary teachers required</t>
  </si>
  <si>
    <t>There are no primary policy assumptions to be added to this model.</t>
  </si>
  <si>
    <t>4. Final primary teacher need (how many primary teachers do we need?)</t>
  </si>
  <si>
    <t>Calculates the entrant teacher need for primary teachers. It does this by calculating the no. expected to leave/enter and estimates how the size and demographics of the stock will change over time.</t>
  </si>
  <si>
    <t>Calculates the primary entrant rates (the proportion of entrants coming into the active stock via different routes e.g. as NQTs, re-entrants, and new to the SF sector entrants).</t>
  </si>
  <si>
    <t>Calculates the proportion of primary entrants who are employed part-time.</t>
  </si>
  <si>
    <t>Calculates the no. of entrants required for primary teachers by each entrant route. It does this by calculating the no. expected to enter by each route using historical rates taking into account the working patterns of teachers by different routes.</t>
  </si>
  <si>
    <t>2. FTE rate of the primary stock</t>
  </si>
  <si>
    <t>Policy assumptions primary</t>
  </si>
  <si>
    <t>Policy assumptions secondary</t>
  </si>
  <si>
    <t>The secondary phase is broken down into a series of subjects. Note - 'Food' was not modelled as an independent subject in the 2015/16 TSM and within older versions of the model.</t>
  </si>
  <si>
    <t>Note- logically all the  pupil projections scenarios should be set to the same scenario, e.g. if primary age pupil projections are at the higher projected levels, so should the projection of secondary age pupils.</t>
  </si>
  <si>
    <t>The FTE rates have been assumed as being the same for all secondary subjects.</t>
  </si>
  <si>
    <t>Data on the average FTE rate of part-time primary and secondary teachers in the existing stock. Full-time teachers are considered to have an FTE rate of 1.0</t>
  </si>
  <si>
    <t>Summarises the secondary phase policy assumptions to feed into the model to account for any additional teachers that might be needed because of secondary teacher related policies.</t>
  </si>
  <si>
    <t>The secondary entrant need calculations.</t>
  </si>
  <si>
    <t>Calculates the retirement rates (proportion of each gender age group expected to leave as retirements in the year for which we have most up-to-date data) for the secondary teacher stock. They are weighted towards the most recent year as data are incomplete (and provisional) for the two most recent years. The model uses this to estimate what proportion of the stock will leave as retirements in future. The model assumes that the rate will be constant going forward.</t>
  </si>
  <si>
    <t>Calculates the death in service rates (proportion of each gender age group expected to leave as deaths in service in the year for which we have most up-to-date data) for the secondary teacher stock. They are weighted towards the most recent year as data are incomplete (and provisional) for the two most recent years. The model uses this to estimate what proportion of the stock will leave as deaths in service in future. The model assumes that the rate will be constant going forward.</t>
  </si>
  <si>
    <t>The projected secondary wastage rates calculations tab.</t>
  </si>
  <si>
    <t>Calculate the wastage rates (proportion of each gender age group expected to leave as wastage in the year for which we have most up-to-date data) for the secondary teacher stock. They are weighted towards the most recent year as data are incomplete (and provisional) for the two most recent years. The model uses this to estimate what proportion of the stock will leave as wastage in future. The model assumes that the rate will change (see projected secondary wastage rates tab).</t>
  </si>
  <si>
    <t>The secondary entrant need calculation tabs.</t>
  </si>
  <si>
    <t>1. Calculated secondary wastage rates</t>
  </si>
  <si>
    <t>Takes the overall secondary projected wastage scalars (see previous wastage calculation tabs) and applies a conversion rate to these rates for the relevant subject group. This accounts for some subjects having higher or lower wastage rates than others.</t>
  </si>
  <si>
    <t>These rates are applied to the overall secondary projected wastage scalars. They then feed into the relevant subject tabs.</t>
  </si>
  <si>
    <t>2. Overall secondary projected wastage rates</t>
  </si>
  <si>
    <t>3. Calculation of secondary projected wastage rates for Group 1 subjects</t>
  </si>
  <si>
    <t>3. Calculation of secondary projected wastage rates for Group 2 subjects</t>
  </si>
  <si>
    <t>3. Calculation of secondary projected wastage rates for Group 3 subjects</t>
  </si>
  <si>
    <t>It breaks down the current primary and secondary stock by the % in each age group by gender. This is used to estimate what the current stock demographics are by subject.</t>
  </si>
  <si>
    <t>All secondary pupils</t>
  </si>
  <si>
    <t xml:space="preserve">Centrally employed (not incl. in the secondary by subject stock). </t>
  </si>
  <si>
    <t>Occasional (not included in the secondary by subject stock)</t>
  </si>
  <si>
    <t>Centrally employed or occasional FTE (not included in the secondary by subject stock)</t>
  </si>
  <si>
    <t>2. Calculating no. of FTE regular secondary teachers required</t>
  </si>
  <si>
    <t>3. Calculating additional teachers required from policies or initiatives affecting overall secondary teacher need</t>
  </si>
  <si>
    <t>There are no assumptions about the overall secondary teacher stock used in this model. Assumptions by subject are added into the teacher need by subject tab.</t>
  </si>
  <si>
    <t>4. Final secondary teacher need FTE (includes some unqualified teachers) (how many secondary teachers do we need?)</t>
  </si>
  <si>
    <t>1. Calculating no. of FTE secondary teachers required</t>
  </si>
  <si>
    <t>Current secondary FTE</t>
  </si>
  <si>
    <t>These figures are high level secondary stock figures. To update simply add in an extra year's data on the raw data tab and scroll along one column.</t>
  </si>
  <si>
    <t>8. What proportion of the overall secondary teacher need (FTE) is required for each subject?</t>
  </si>
  <si>
    <t>Converts the 'overall secondary teacher need' into the teacher need for particular subjects based on secondary teaching timetable information.</t>
  </si>
  <si>
    <t>Calculation overall secondary teacher need and raw data inputs sheet.</t>
  </si>
  <si>
    <t>1. What is the overall secondary teacher need?</t>
  </si>
  <si>
    <t>The primary and secondary teacher need sheets.</t>
  </si>
  <si>
    <t>Almost all of the previous secondary calculation (red) tabs feed into this sheet.</t>
  </si>
  <si>
    <t>Calculates the secondary entrant rates (the proportion of entrants coming into the active stock via different routes e.g. as NQTs, re-entrants, and new to the SF sector entrants).</t>
  </si>
  <si>
    <t>Calculates the proportion of secondary entrants who are employed part-time.</t>
  </si>
  <si>
    <t>2. FTE rate of the secondary stock</t>
  </si>
  <si>
    <t>The weighted retirement rates are weighted averages calculated using 4 years' worth of SWC data. Rates are calculated for both genders and all age groups for both primary and secondary phases.</t>
  </si>
  <si>
    <t>The weighted death in service rates are weighted averages calculated using 4 years' worth of SWC data. Rates are calculated for both genders and all age groups for both primary and secondary phases.</t>
  </si>
  <si>
    <t>The weighted wastage rates are weighted averages calculated using 4 years' worth of SWC data. Rates are calculated for both genders and all age groups for both primary and secondary phases.</t>
  </si>
  <si>
    <t>Total secondary entrant teacher need</t>
  </si>
  <si>
    <t xml:space="preserve">These are qualified entrant teachers who did not qualify in the year before they entered into the active stock. They are not recorded on the departments' datasets as having previously held a regular teaching role within a state-funded primary/secondary/academy school in England. However, they may have taught previously within a PRU, special school, independent school, or school in Wales/Scotland etc. </t>
  </si>
  <si>
    <t>These are entrant teachers who did not qualify in the year before they entered into the stock and are recorded on the departments' datasets as having previously held a regular teaching role within a state-funded primary/secondary/academy school in England at an earlier point in their career.</t>
  </si>
  <si>
    <t>Firstly, this spreadsheet estimates the projected number of 'entrant' teachers required in each phase &amp; subject going forwards (the 'entrant teacher need') in the state-funded schools sector in England. The state-funded schools sector is defined (for the purposes of the TSM) as being state-funded primary and secondary schools in England (including academies and free schools). Therefore, teachers moving from PRUs and special schools to primary or secondary schools are classed as entrants by the TSM. The model estimates values for a 'most likely' scenario (the central scenario) but also allows the user to compare this to different scenarios and possibilities that may occur e.g. a higher wastage rate, lower pupil population projections etc.</t>
  </si>
  <si>
    <t>Primary part-time entrant rates</t>
  </si>
  <si>
    <t>Primary part-time FTE rate</t>
  </si>
  <si>
    <t>Secondary part-time entrant rates</t>
  </si>
  <si>
    <t>Secondary part-time FTE rate</t>
  </si>
  <si>
    <t>Geography and History (EBacc) - Adjusting for different sources of new teachers</t>
  </si>
  <si>
    <t>'Geography 2' and 'History 2' tabs.</t>
  </si>
  <si>
    <t>Users can select different rates for the proportion of entrants who will be Newly Qualified Teachers. Obviously, this in turn also affects the proportion that won't be NQTs (e.g. the proportion that will be re-entrants or new to the SF sector entrants).</t>
  </si>
  <si>
    <t xml:space="preserve">These ITT place numbers have been calculated by previous versions of the TSM (historical figures) or this version of the model (projected figures).  </t>
  </si>
  <si>
    <t>IMPORTANT - PLEASE NOTE THE FOLLOWING INFORMATION:</t>
  </si>
  <si>
    <r>
      <t>Figures covering the 2011/12-2014/15 academic years are</t>
    </r>
    <r>
      <rPr>
        <i/>
        <sz val="10"/>
        <rFont val="Arial"/>
        <family val="2"/>
      </rPr>
      <t xml:space="preserve"> estimates</t>
    </r>
    <r>
      <rPr>
        <sz val="10"/>
        <rFont val="Arial"/>
        <family val="2"/>
      </rPr>
      <t xml:space="preserve"> of postgraduate ITT place numbers derived from previous versions of the TSM (the 2014/15 TSM and its predecessors) which may not be available elsewhere online.</t>
    </r>
  </si>
  <si>
    <t>- The historical figures for Others include Social Studies figures.</t>
  </si>
  <si>
    <t>1. Entrant need by headcount under different scenarios in section 1 of the TSM</t>
  </si>
  <si>
    <t>Summarises the total no. of leavers over time by all exit routes for all subjects in both table and chart form.</t>
  </si>
  <si>
    <t>NOTE:</t>
  </si>
  <si>
    <t>Results from selected scenario</t>
  </si>
  <si>
    <t>Differences between the values calculated in selected scenario and the default values</t>
  </si>
  <si>
    <t>Back to scenario selection</t>
  </si>
  <si>
    <t>See all teacher need charts</t>
  </si>
  <si>
    <t>See all entrant need charts</t>
  </si>
  <si>
    <t>Teacher need</t>
  </si>
  <si>
    <t>SUMMARY_OUTPUTS</t>
  </si>
  <si>
    <t>See summary of scenario outputs</t>
  </si>
  <si>
    <t>This sheet enables users to see a summary of the results of the scenarios they have selected against the default values.</t>
  </si>
  <si>
    <t>Summarises the final outputs of the allocations, teacher need, and entrant need figures.</t>
  </si>
  <si>
    <t>ITT place outputs</t>
  </si>
  <si>
    <t>See detailed ITT place outputs</t>
  </si>
  <si>
    <t>This sheet allows users to see a summary of the values calculated by their selected scenario against the default values. For further details on the methodology of how the ITT place outputs are calculated, including which trainees are and are not included, users should go to the 'FINAL OUTPUTS OF ITT PLACES' sheet.</t>
  </si>
  <si>
    <t>See detailed results of ITT place outputs under these scenarios</t>
  </si>
  <si>
    <t>Select three subjects to compare between the selected scenarios and the default values:</t>
  </si>
  <si>
    <r>
      <rPr>
        <i/>
        <u/>
        <sz val="8"/>
        <rFont val="Arial"/>
        <family val="2"/>
      </rPr>
      <t>NOTE:</t>
    </r>
    <r>
      <rPr>
        <i/>
        <sz val="8"/>
        <rFont val="Arial"/>
        <family val="2"/>
      </rPr>
      <t xml:space="preserve"> ALL NUMBERS ARE IN HEADCOUNT FORM AND COVER QUALIFIED TEACHERS ONLY</t>
    </r>
  </si>
  <si>
    <t>Into which sheet is the assumption added?</t>
  </si>
  <si>
    <t>(h) Increased EBacc entry policy assumptions</t>
  </si>
  <si>
    <t>5. Include effect of policy assumptions (increased EBacc entry rate is handled separately in section 7 which is lower down on this tab)</t>
  </si>
  <si>
    <t>7. What about the impact of increased EBacc entry rates?</t>
  </si>
  <si>
    <t>Because of the impact of the increased EBacc entry policy adjustment, additional Geography teachers may be required.</t>
  </si>
  <si>
    <t>Because of the impact of the increased EBacc entry policy adjustment, additional History teachers may be required.</t>
  </si>
  <si>
    <t>Because of the impact of the increased EBacc entry policy adjustment, additional Modern Foreign Languages teachers may be required.</t>
  </si>
  <si>
    <t>Increased EBacc scenario data</t>
  </si>
  <si>
    <t>Lists data that can be selected for different EBacc entry rate scenarios to estimate the impact of the increased EBacc entry policy via the user-testing tab.</t>
  </si>
  <si>
    <t>1. Scenarios for increased EBacc entry</t>
  </si>
  <si>
    <t>Lists data that can be selected for increased EBacc entry policy impact modelling.</t>
  </si>
  <si>
    <t>Numbers have been rounded to the nearest whole number for display; this means that some totals may appear different from manual calculation.</t>
  </si>
  <si>
    <t>Compiles the entrant teacher need outputs to feed into section 2 of the TSM, i.e. the number of qualified teachers (headcount) that will enter into the stock by any entrant route in each academic year.</t>
  </si>
  <si>
    <t>Modern Foreign Languages (EBacc) - Adjusting for different sources of new teachers</t>
  </si>
  <si>
    <t>Removal of option to take Core Science GCSE</t>
  </si>
  <si>
    <t>Teacher Supply Model 2018/19</t>
  </si>
  <si>
    <r>
      <t>Lastly, the TSM uses expected rates of trainees completing ITT successfully and rates of those gaining employment in the state-funded schools sector within 6 months of completing ITT to calculate the</t>
    </r>
    <r>
      <rPr>
        <b/>
        <sz val="10"/>
        <rFont val="Arial"/>
        <family val="2"/>
      </rPr>
      <t xml:space="preserve"> 'postgraduate ITT trainee need'</t>
    </r>
    <r>
      <rPr>
        <sz val="10"/>
        <rFont val="Arial"/>
        <family val="2"/>
      </rPr>
      <t xml:space="preserve">. This </t>
    </r>
    <r>
      <rPr>
        <b/>
        <sz val="10"/>
        <rFont val="Arial"/>
        <family val="2"/>
      </rPr>
      <t>'postgraduate</t>
    </r>
    <r>
      <rPr>
        <sz val="10"/>
        <rFont val="Arial"/>
        <family val="2"/>
      </rPr>
      <t xml:space="preserve"> </t>
    </r>
    <r>
      <rPr>
        <b/>
        <sz val="10"/>
        <rFont val="Arial"/>
        <family val="2"/>
      </rPr>
      <t xml:space="preserve">ITT trainee need' </t>
    </r>
    <r>
      <rPr>
        <sz val="10"/>
        <rFont val="Arial"/>
        <family val="2"/>
      </rPr>
      <t>then feeds directly into the 2018/19 NCTL ITT recruitment process.</t>
    </r>
  </si>
  <si>
    <r>
      <t xml:space="preserve">The final outputs of postgraduate ITT places as estimated by the 2018/19 Teacher Supply Model feed directly into the 2018/19 NCTL ITT recruitment process. However, the number of ITT places as calculated by the TSM </t>
    </r>
    <r>
      <rPr>
        <i/>
        <sz val="10"/>
        <rFont val="Arial"/>
        <family val="2"/>
      </rPr>
      <t>include</t>
    </r>
    <r>
      <rPr>
        <sz val="10"/>
        <rFont val="Arial"/>
        <family val="2"/>
      </rPr>
      <t xml:space="preserve"> Teach First places.</t>
    </r>
  </si>
  <si>
    <r>
      <t xml:space="preserve">Final outputs of 2018/19 postgraduate Initial Teacher Training places </t>
    </r>
    <r>
      <rPr>
        <b/>
        <u/>
        <sz val="16"/>
        <color indexed="10"/>
        <rFont val="Arial"/>
        <family val="2"/>
      </rPr>
      <t>(please read notes)</t>
    </r>
  </si>
  <si>
    <r>
      <t>The 2018/19 ITT place outputs used by NCTL for the 2018/19 ITT recruitment process were derived using the</t>
    </r>
    <r>
      <rPr>
        <b/>
        <sz val="10"/>
        <color indexed="10"/>
        <rFont val="Arial"/>
        <family val="2"/>
      </rPr>
      <t xml:space="preserve"> </t>
    </r>
    <r>
      <rPr>
        <b/>
        <i/>
        <sz val="10"/>
        <color indexed="10"/>
        <rFont val="Arial"/>
        <family val="2"/>
      </rPr>
      <t>default</t>
    </r>
    <r>
      <rPr>
        <b/>
        <sz val="10"/>
        <color indexed="10"/>
        <rFont val="Arial"/>
        <family val="2"/>
      </rPr>
      <t xml:space="preserve"> scenarios or the 'central' scenario values</t>
    </r>
    <r>
      <rPr>
        <sz val="10"/>
        <color indexed="10"/>
        <rFont val="Arial"/>
        <family val="2"/>
      </rPr>
      <t>, as appropriate.</t>
    </r>
  </si>
  <si>
    <r>
      <t xml:space="preserve">The model compares values derived by the model user using the scenarios selected to the values derived to feed into the 2018/19 ITT recruitment process (the </t>
    </r>
    <r>
      <rPr>
        <b/>
        <sz val="10"/>
        <color indexed="10"/>
        <rFont val="Arial"/>
        <family val="2"/>
      </rPr>
      <t>default</t>
    </r>
    <r>
      <rPr>
        <sz val="10"/>
        <color indexed="10"/>
        <rFont val="Arial"/>
        <family val="2"/>
      </rPr>
      <t xml:space="preserve"> values).</t>
    </r>
  </si>
  <si>
    <t>Scenario A values were derived using 'high' pupil projection figures and the latest (November 2016 SWC) rates for the proportion of teachers that are unqualified.</t>
  </si>
  <si>
    <t>Difference between user-derived figures and the default (actual) 2018/19 ITT place numbers</t>
  </si>
  <si>
    <t>Users may want to use the rates from previous years. As an illustration, rates are provided below from the published 2017/18 TSM (they can be tested by entering the values manually into the manual values cells above):</t>
  </si>
  <si>
    <t>Users can select different values for the post-ITT employment rates. Users can use rates calculated from the latest NCTL data or values from the 2017/18 TSM.</t>
  </si>
  <si>
    <t>The table below illustrates rates from the published 2017/18 TSM in comparison to those derived from the latest NCTL data for use in this model under the central scenario:</t>
  </si>
  <si>
    <t>Rates from the 2017/18 TSM</t>
  </si>
  <si>
    <t>2028/29</t>
  </si>
  <si>
    <t>The 2016 School Workforce Census matched dataset.</t>
  </si>
  <si>
    <t>The 2016 School Workforce Census curriculum dataset.</t>
  </si>
  <si>
    <t>The 2016 School Workforce Census matched dataset and Penstats.</t>
  </si>
  <si>
    <t>The light green figures are provisional. Figures for 2015/16, for example, relate to teachers leaving between November 2015 and November 2016.</t>
  </si>
  <si>
    <t>The light green figures are provisional. Figures for 2015/16, for example, relate to teachers leaving through retirement between November 2015 and November 2016.</t>
  </si>
  <si>
    <t>The light green figures are provisional. Figures for 2015/16, for example, relate to teachers entering between November 2015 and November 2016.</t>
  </si>
  <si>
    <t>The 2016 School Workforce Census matched dataset (these data were derived by comparing the wastage rates of different groups of subjects).</t>
  </si>
  <si>
    <t>16. No. of trainees due to finish in 2018/19 on courses longer than one year in length</t>
  </si>
  <si>
    <t>The no. of undergraduate trainees (on courses of more than one year length) by subject, who should complete ITT in 2018/19 and thus be ready to enter teaching in state-funded schools in 2019/20.</t>
  </si>
  <si>
    <t>No. of undergraduate trainees (finish date in 2018/19)</t>
  </si>
  <si>
    <t>These additional teachers would be sourced from the entrant teacher need figures feeding into 2018/19 ITT round to ensure that the model delivers them somewhere.</t>
  </si>
  <si>
    <t>Calculates the basic teacher need for primary teachers, i.e. x primary FTE teachers are required in 2018/19.</t>
  </si>
  <si>
    <t>Calculates the basic teacher need for secondary teachers, i.e. x secondary FTE teachers are required in 2018/19. The need by individual subjects is calculated on the teacher need by subject tab.</t>
  </si>
  <si>
    <t>note the opening 2017/18 stock is equal to the stock of the current year (2016/17)</t>
  </si>
  <si>
    <t>Years 7-9</t>
  </si>
  <si>
    <t>Years 10-11</t>
  </si>
  <si>
    <t>Years 12-13</t>
  </si>
  <si>
    <t>4. What no. of hours teaching time will be required for each subject to years 7-9, 10-11, and 12-13 (from the workforce) going forwards as pupil no.s change?</t>
  </si>
  <si>
    <t>Year groups</t>
  </si>
  <si>
    <t>Years 7-9 - Adjustment to keep proportion of hours consistent for English, Mathematics, and Science (unless they are increased by a policy assumption as shown in light blue)</t>
  </si>
  <si>
    <t>3. What amount of teaching time is required for each subject for each pupil in years 7-9, 10-11, and 12-13?</t>
  </si>
  <si>
    <t>No. of FTE pupils from the academic year of timetable data in years 7-9, 10-11, and 12-13:</t>
  </si>
  <si>
    <t>2. What amount of teaching time is required for each subject from the total secondary teaching workforce to years 7-9, 10-11, and 12-13?</t>
  </si>
  <si>
    <t>Years 10-11 - Adjustment to keep proportion of hours consistent for English, Mathematics, and Science (unless they are increased by a policy assumption as shown in light blue)</t>
  </si>
  <si>
    <t>Years 12-13 - Adjustment to keep proportion of hours consistent for English, Mathematics, and Science (unless they are increased by a policy assumption)</t>
  </si>
  <si>
    <t>Pupils FTE Years 7-9</t>
  </si>
  <si>
    <t>6. What amount of the total teaching time across years 7-13 is required for each subject in future?</t>
  </si>
  <si>
    <t>Years 7-9 pupils</t>
  </si>
  <si>
    <t>Years 7-9 2017/18 TSM</t>
  </si>
  <si>
    <t>Years 7-9 LOW</t>
  </si>
  <si>
    <t>Years 7-9 CENTRAL</t>
  </si>
  <si>
    <t>Years 7-9 HIGH</t>
  </si>
  <si>
    <t>Pupils FTE Years 7-9 Central</t>
  </si>
  <si>
    <t>Pupils FTE Years 7-9 High</t>
  </si>
  <si>
    <t>Pupils FTE Years 7-9 Low</t>
  </si>
  <si>
    <t>Years 7-9 historical</t>
  </si>
  <si>
    <t>Years 7-9 projected</t>
  </si>
  <si>
    <t>Years 10-11 historical</t>
  </si>
  <si>
    <t>Years 10-11 projected</t>
  </si>
  <si>
    <t>Years 12-13 historical</t>
  </si>
  <si>
    <t>Years 12-13 projected</t>
  </si>
  <si>
    <t>Pupils FTE Years 10-11 Central</t>
  </si>
  <si>
    <t>Pupils FTE Years 10-11 High</t>
  </si>
  <si>
    <t>Pupils FTE Years 10-11 Low</t>
  </si>
  <si>
    <t>Pupils FTE Years 10-11</t>
  </si>
  <si>
    <t>Years 10-11 pupils</t>
  </si>
  <si>
    <t>Years 10-11 2017/18 TSM</t>
  </si>
  <si>
    <t>Years 10-11 LOW</t>
  </si>
  <si>
    <t>Years 10-11 CENTRAL</t>
  </si>
  <si>
    <t>Years 10-11 HIGH</t>
  </si>
  <si>
    <t>Years 12-13 pupils</t>
  </si>
  <si>
    <t>Years 12-13 2017/18 TSM</t>
  </si>
  <si>
    <t>Produces charts displaying the % point change in the proportion of all secondary teaching hours dedicated to each subject at Years 7-9, Years 10-11, Years 12-13, and overall.</t>
  </si>
  <si>
    <t>Summarises the pupil projection figures using different population scenarios. Also, calculates Years 12-13 pupil projections.</t>
  </si>
  <si>
    <t>Charts displaying the percentage point change in the proportion of all secondary teaching hours dedicated to each subject at Years 7-9, Years 10-11, Years 12-13, and overall.</t>
  </si>
  <si>
    <t>Years 12-13 LOW</t>
  </si>
  <si>
    <t>Years 12-13 CENTRAL</t>
  </si>
  <si>
    <t>Years 12-13 HIGH</t>
  </si>
  <si>
    <t>Pupils FTE Years 12-13 Low</t>
  </si>
  <si>
    <t>Pupils FTE Years 12-13 Central</t>
  </si>
  <si>
    <t>Pupils FTE Years 12-13 High</t>
  </si>
  <si>
    <t>Pupils FTE Years 12-13</t>
  </si>
  <si>
    <t>NQTs and entrants via other, new initiatives</t>
  </si>
  <si>
    <t>Modern Foreign Languages NQTs and entrants via other, new initiatives</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</si>
  <si>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 recruitment</t>
    </r>
    <r>
      <rPr>
        <sz val="10"/>
        <rFont val="Arial"/>
        <family val="2"/>
      </rPr>
      <t xml:space="preserve"> routes.</t>
    </r>
  </si>
  <si>
    <t>The number of NQTs and entrants via other, new initiatives can be scaled up via increases in ITT places. However, the number of re-entrants and new to SF sector entrants might be relatively limited by the existing pool of such teachers that are available.</t>
  </si>
  <si>
    <t>Adjustment for entrants via other, new initiatives</t>
  </si>
  <si>
    <t>This provides separate numbers of NQT entrants and entrants via other, new initiatives.</t>
  </si>
  <si>
    <t>Entrants via other, new initiatives</t>
  </si>
  <si>
    <t>VALUES BELOW TO BE ADDED IN MANUALLY</t>
  </si>
  <si>
    <t>Modern Foreign Languages entrants via other, new initiatives</t>
  </si>
  <si>
    <t>Summarises the no. of entrants via other, new initiatives.</t>
  </si>
  <si>
    <t>Entrants via other, new initiatives expected</t>
  </si>
  <si>
    <t>No. of entrants via other, new initiatives</t>
  </si>
  <si>
    <t>Summarises the no. of entrants via all entrant routes required for 2019/20.</t>
  </si>
  <si>
    <t>2. No of trainees due to finish in 2018/19 who are on courses of more than 1 year length</t>
  </si>
  <si>
    <t>Calculates the proportion of the NQT entrant teacher need that will be met by those trainees on courses due to end in the same year that they start training. This is achieved by subtracting those trainees that will study on longer courses, i.e. for the 2018/19 training year, they will have started ITT on a course starting before 2018/19.</t>
  </si>
  <si>
    <t>Proportions by Route (based on 2016/17 recruitment)</t>
  </si>
  <si>
    <t>Primary age 2018/19 TSM</t>
  </si>
  <si>
    <t>Years 7-9 2018/19 TSM</t>
  </si>
  <si>
    <t>Years 10-11 2018/19 TSM</t>
  </si>
  <si>
    <t>Years 12-13 2018/19 TSM</t>
  </si>
  <si>
    <t>Primary total 2018/19 TSM</t>
  </si>
  <si>
    <t>All secondary 2018/19 TSM</t>
  </si>
  <si>
    <t>Secondary total 2018/19 TSM</t>
  </si>
  <si>
    <t>2018/19 TSM Primary</t>
  </si>
  <si>
    <t>2018/19 TSM Secondary</t>
  </si>
  <si>
    <t>2018/19 TSM Primary change rates</t>
  </si>
  <si>
    <t>2018/19 TSM Secondary change rates</t>
  </si>
  <si>
    <t>No. of ITT places for the 2017/18 training year as estimated by the 2017/18 TSM</t>
  </si>
  <si>
    <t>Holding limits based on the no. of ITT places for the 2017/18 training year</t>
  </si>
  <si>
    <r>
      <t xml:space="preserve">Outputs of postgraduate ITT places for 2018/19 only with </t>
    </r>
    <r>
      <rPr>
        <b/>
        <u/>
        <sz val="10"/>
        <rFont val="Arial"/>
        <family val="2"/>
      </rPr>
      <t>no</t>
    </r>
    <r>
      <rPr>
        <b/>
        <sz val="10"/>
        <rFont val="Arial"/>
        <family val="2"/>
      </rPr>
      <t xml:space="preserve"> end of model adjustment</t>
    </r>
  </si>
  <si>
    <t>Have 2018/19 ITT places been scaled up as an end of model adjustment?</t>
  </si>
  <si>
    <t xml:space="preserve">This is used to forecast how the teacher wastage rates will change over time from the baseline rate. </t>
  </si>
  <si>
    <t>The Econometric Wastage Model.</t>
  </si>
  <si>
    <t xml:space="preserve">The wastage figures used for the calculation of wastage rates were combined primary and secondary figures in the TSMs before 2017/18. The Econometric Wastage Model does not break down projected wastage for the primary and secondary phase separately, hence why they were previously combined together. </t>
  </si>
  <si>
    <t>This is the amount of hours that the whole secondary workforce spends teaching particular subjects at Years 7-9/10-11/12-13 in a standard week (census week). E.g. 260,068 hrs of the total teaching time to Years 7-9 pupils is spent teaching English. This is used to identify the proportion of time the secondary workforce is teaching each subject to different year groups.</t>
  </si>
  <si>
    <t xml:space="preserve">The light green figures are provisional. Figures for 2015/16, for example, relate to teachers leaving between November 2015 and November 2016. </t>
  </si>
  <si>
    <t>Wastage scalars as used by this (2018/19) model</t>
  </si>
  <si>
    <t>Summarises the no. of teachers expected to enter from other initiatives.</t>
  </si>
  <si>
    <t>Entrants via other initiatives</t>
  </si>
  <si>
    <t>Estimated 2015/16 figures</t>
  </si>
  <si>
    <t>https://www.gov.uk/government/statistics/initial-teacher-training-trainee-number-census-2016-to-2017</t>
  </si>
  <si>
    <t xml:space="preserve">https://www.gov.uk/government/statistics/teacher-supply-model-2017-to-2018 </t>
  </si>
  <si>
    <t>The 2017/18 TSM ITT places have been taken from the published 2017/18 TSM which is available at:</t>
  </si>
  <si>
    <t>Select whether to view figures for the teacher need by subject over the next five years, the entrant need by subject over the next five years, or the ITT place outputs from the TSM for each subject in 2018/19:</t>
  </si>
  <si>
    <r>
      <t>Default</t>
    </r>
    <r>
      <rPr>
        <i/>
        <sz val="8"/>
        <rFont val="Arial"/>
        <family val="2"/>
      </rPr>
      <t xml:space="preserve"> (used as actual 2018/19 ITT place numbers)</t>
    </r>
  </si>
  <si>
    <t>Have ITT places been kept at 2017/18 levels or manually scaled up at the end of the modelling process?</t>
  </si>
  <si>
    <r>
      <t xml:space="preserve">Users of the model can carry out </t>
    </r>
    <r>
      <rPr>
        <b/>
        <sz val="10"/>
        <color indexed="10"/>
        <rFont val="Arial"/>
        <family val="2"/>
      </rPr>
      <t>scenario testing</t>
    </r>
    <r>
      <rPr>
        <sz val="10"/>
        <color indexed="10"/>
        <rFont val="Arial"/>
        <family val="2"/>
      </rPr>
      <t xml:space="preserve"> within the 2018/19 TSM and are able to change and alter some of the assumptions used within the model using the </t>
    </r>
    <r>
      <rPr>
        <b/>
        <sz val="10"/>
        <color indexed="10"/>
        <rFont val="Arial"/>
        <family val="2"/>
      </rPr>
      <t>drop-down menus</t>
    </r>
    <r>
      <rPr>
        <sz val="10"/>
        <color indexed="10"/>
        <rFont val="Arial"/>
        <family val="2"/>
      </rPr>
      <t xml:space="preserve"> provided below (row 134 and below).</t>
    </r>
  </si>
  <si>
    <r>
      <t xml:space="preserve">Users can select the capped PTRs used by the model to calculate teacher need (the no. of teachers needed). The </t>
    </r>
    <r>
      <rPr>
        <b/>
        <i/>
        <sz val="10"/>
        <rFont val="Arial"/>
        <family val="2"/>
      </rPr>
      <t>lowest</t>
    </r>
    <r>
      <rPr>
        <i/>
        <sz val="10"/>
        <rFont val="Arial"/>
        <family val="2"/>
      </rPr>
      <t xml:space="preserve"> cap values were used in the 2014/15 (pre-publication) version of the TSM.</t>
    </r>
  </si>
  <si>
    <t>Rates from 2017/18 TSM</t>
  </si>
  <si>
    <t>Additional teachers to add</t>
  </si>
  <si>
    <t>NOTE - THERE ARE NO POLICIES TO BE ADDED TO THIS SECTION IN THIS VERSION OF THE TSM</t>
  </si>
  <si>
    <t>No. of qualified teachers needed in 2017/18 if UQ rates as selected</t>
  </si>
  <si>
    <t>The number of Geography re-entrants and new to SF sector entrants is limited at the figure estimated for 2015/16 by the methodology used in the May 2017 teachers analysis compendium.</t>
  </si>
  <si>
    <t>The number of History re-entrants and new to SF sector entrants is limited at the figure estimated for 2015/16 by the methodology used in the May 2017 teachers analysis compendium.</t>
  </si>
  <si>
    <t>This is the additional number of re-entrants that the department will seek for 2019/20.</t>
  </si>
  <si>
    <t>The number of Modern Foreign Languages re-entrants and new to SF sector entrants is limited at the figure estimated for 2015/16 by the methodology used in the May 2017 teachers analysis compendium.</t>
  </si>
  <si>
    <t>This is the additional number of re-entrants that the department will seek for 2019/20 via the returners package.</t>
  </si>
  <si>
    <t>2016/17 data (from 2018/19 TSM)</t>
  </si>
  <si>
    <t xml:space="preserve">Raw data tab and the 2017/18 TSM data </t>
  </si>
  <si>
    <t xml:space="preserve">This analysis enables users to examine whether the proportion of teaching time has increased or fallen for each subject compared to the TSM last year, e.g. the % of all secondary teaching time has increased in November 2016 compared to November 2015 for most EBacc subjects. </t>
  </si>
  <si>
    <t>The rates from the published 2017/18 TSM have been adjusted to account for increased/decreased numbers of School Direct (salaried) and Teach First trainees that are classed as being 'unqualified teachers' in the SWC.</t>
  </si>
  <si>
    <t>From 2017/18 TSM</t>
  </si>
  <si>
    <t>NCTL specialist website performance profiles and the destination of Leavers from Higher Education survey (DHLE).</t>
  </si>
  <si>
    <t>Values are weighted averages using 4 years' worth of data (apart from School Direct figures which are based on only three years' worth of data). Where there are low numbers of relevant trainees for a particular subject in some or all years, a tolerance threshold rate +/- 10% of the average has been used as a proxy.</t>
  </si>
  <si>
    <t>Proportions by Route (based on trainees in the 2016/17 ITT census).</t>
  </si>
  <si>
    <t>Data on the projected numbers of pupils by primary and secondary year groups.</t>
  </si>
  <si>
    <t>Secondary Wastage</t>
  </si>
  <si>
    <r>
      <t xml:space="preserve">These outputs feed directly into the 2018/19 NCTL ITT recruitment process to provide the </t>
    </r>
    <r>
      <rPr>
        <u/>
        <sz val="10"/>
        <color indexed="10"/>
        <rFont val="Arial"/>
        <family val="2"/>
      </rPr>
      <t>number of postgraduate ITT places required in 2018/19</t>
    </r>
    <r>
      <rPr>
        <sz val="10"/>
        <color indexed="10"/>
        <rFont val="Arial"/>
        <family val="2"/>
      </rPr>
      <t xml:space="preserve"> for trainees who will both start and finish ITT in 2018/19. </t>
    </r>
  </si>
  <si>
    <r>
      <t xml:space="preserve">If training places are to be granted to trainees starting in 2018/19 that will last more than one year in length, these would need to be granted </t>
    </r>
    <r>
      <rPr>
        <u/>
        <sz val="10"/>
        <color indexed="10"/>
        <rFont val="Arial"/>
        <family val="2"/>
      </rPr>
      <t>in addition</t>
    </r>
    <r>
      <rPr>
        <sz val="10"/>
        <color indexed="10"/>
        <rFont val="Arial"/>
        <family val="2"/>
      </rPr>
      <t xml:space="preserve"> to the numbers summarised below.</t>
    </r>
  </si>
  <si>
    <t>In addition to conventional ITT recruitment, the department will also seek to recruit Modern Foreign Languages teachers to enter into the stock in 2018/19 via a number of new initiatives including overseas recruitment and TSST (Teacher Subject Specialism Training). An estimate of 410 additional teachers per year through these routes has been included in the model.</t>
  </si>
  <si>
    <t>Final 2018/19 postgraduate ITT place output for 2018/19 ITT recruitment process</t>
  </si>
  <si>
    <r>
      <t xml:space="preserve">End of model adjustment to increase no. of ITT places for EBacc subjects </t>
    </r>
    <r>
      <rPr>
        <i/>
        <sz val="10"/>
        <color indexed="40"/>
        <rFont val="Arial"/>
        <family val="2"/>
      </rPr>
      <t>(light blue = adjusted and held at 2017/18 levels, if higher)</t>
    </r>
  </si>
  <si>
    <t xml:space="preserve">Summarises the final postgraduate ITT place outputs (the 'postgraduate ITT place need') of the 2018/19 Teacher Supply Model. </t>
  </si>
  <si>
    <r>
      <t xml:space="preserve">There are four additional scenarios of alternative NQT entrant rates for both phases. These rates are </t>
    </r>
    <r>
      <rPr>
        <b/>
        <i/>
        <sz val="10"/>
        <rFont val="Arial"/>
        <family val="2"/>
      </rPr>
      <t>2.5 and 5% pts higher/lower</t>
    </r>
    <r>
      <rPr>
        <i/>
        <sz val="10"/>
        <rFont val="Arial"/>
        <family val="2"/>
      </rPr>
      <t xml:space="preserve"> than the central rate.</t>
    </r>
  </si>
  <si>
    <r>
      <t>The department's standards for data suppression require that fields relating to fewer than five individuals should not be published. In the department's School Workforce statistical publication this is achieved by replacing figures based on fewer than 5 individuals with an "x". That approach does not work in the TSM as it would suppress the entire function within the model. To overcome this - and still apply the department's suppression rules - fields with fewer than 5 individuals have been aggregated either across gender or age bands.</t>
    </r>
    <r>
      <rPr>
        <b/>
        <sz val="10"/>
        <color rgb="FFFF0000"/>
        <rFont val="Arial"/>
        <family val="2"/>
      </rPr>
      <t xml:space="preserve"> The effect of this is to increase the total postgraduate ITT trainee need as calculated by this published version of the 2018/19 TSM by 3 training places compared to the actual outputs produced and used within the department.</t>
    </r>
    <r>
      <rPr>
        <sz val="10"/>
        <color rgb="FF000000"/>
        <rFont val="Arial"/>
        <family val="2"/>
      </rPr>
      <t xml:space="preserve"> This suppression only applies to the raw input data, it does not apply to assumed projections.</t>
    </r>
  </si>
  <si>
    <t>TSM_201819 Publication</t>
  </si>
  <si>
    <t>note- the model does not calculate the teacher need for 2016/17.</t>
  </si>
  <si>
    <t>Summarises the final outputs of the 2018/19 TSM to feed into the NCTL 2018/19 ITT recruitment process.</t>
  </si>
  <si>
    <t xml:space="preserve">As mainstream entry rates for all EBacc pillars, apart from languages, are currently at or in excess of 75% we have modelled additional future teaching time requirements in Modern Foreign Languages to reach an entry rate of 75% for GCSE examinations at the end of 2023/24 (the rate is kept at 75% beyond this point). This modelling is based on an analysis of teaching time in existing schools with higher EBacc entry to provide a guide of what future teacher need might be. We anticipate that individual schools will implement this policy differently, dependent on their individual circumstances, and therefore this assumption is used to provide a starting estimate of what might be needed. We will review this assumption next year with the latest SWC and GCSE entries data. </t>
  </si>
  <si>
    <t>The 2017/18 model (last year’s) included a planning assumption of increased EBacc take-up from ‘current’ levels up to 70% for GCSE examinations in the summer of 2020. By comparison, the 2018/19 model this year (following the publication of the consultation response) uses an assumption that take-up rates will increase up to 75% for examinations in the summer of 2024. Therefore, the shift towards the greater amount of MFL teaching required for increased EBacc take-up is slower, occurring over six years rather than two. Similarly, the model last year estimated reductions in demand for ITT places in non-EBacc subjects as more teaching time (as a %) would be spent on EBacc subjects to deliver increased EBacc. However, as this model uses a shallower trajectory for the future increase in EBacc take-up rate this results in the teaching of non-EBacc subjects not being required to fall by as much within the immediate term because of increased EBacc take-up.</t>
  </si>
  <si>
    <t>Computing ITT places have been protected despite a fall in the no. of teaching hours spent teaching Computing between November 2015 and 2016 (see 'Changes_in_subject_teaching_hrs' tab), largely driven by a fall in ICT teaching hours. The SWC (and therefore TSM) does not enable the isolation of 'ICT' (which is not included within the EBacc) and Computer Science (which is included within the EBacc) from within the data collated on the overall 'Computing' subject.</t>
  </si>
  <si>
    <t xml:space="preserve">The balance of teaching across secondary subjects is adjusted using internal modelling on the impact of increased EBacc entry on the number of hours taught in each secondary subject. This modelling estimates how teaching hours will be adjusted across subjects. The total number of teaching hours is not changed, only the balance between subjects. We then maintain ITT place numbers at last year's (2017/18 TSM) level for any EBacc subject where it would otherwise fall.          </t>
  </si>
  <si>
    <t>Re-entrant and new to the state-funded sector entrants for MFL can only increase up to the estimate for 2015/16 using the methodology used in the May 2017 teachers analysis compendium with an additional number added to estimate the impact of the MFL 'returners package'. A new category is added into the model for MFL recruitment via 'other, new initiatives’ from 2019/20 onward.</t>
  </si>
  <si>
    <t xml:space="preserve">Re-entrant and new to the state-funded sector entrants for Geography and History can only increase up to the estimate for 2015/16 using the methodology used in the May 2017 teachers analysis compendium for the respective subject. </t>
  </si>
  <si>
    <t>Compulsory study of Religious Education pre-16</t>
  </si>
  <si>
    <t>The study of Religious Education pre-16 is compulsory in state-funded schools. To maintain the current supply of Religious Education teachers, 2018/19 postgraduate ITT places for Religious Education cannot fall below 100% of the 2017/18 TSM levels (if higher).</t>
  </si>
  <si>
    <t xml:space="preserve">Having a good supply of Physical Education teachers will help ensure that the government is able to deliver on its commitment to improve the quality and breadth of Physical Education provision in schools, and to take action to help reduce levels of childhood obesity. To assist in the delivery of the obesity strategy, 2018/19 postgraduate ITT places for Religious Education cannot fall below 100% of the 2017/18 TSM levels (if higher). </t>
  </si>
  <si>
    <t xml:space="preserve">To reflect the continued focus on EBacc subjects, we have held demand for new trainees through ITT at the level in the previous (2017/18) TSM where the underlying data would otherwise lead to a fall. This mainly affects Geography where we protect 293 places and Computing where we protect 102 places. </t>
  </si>
  <si>
    <t xml:space="preserve">Teachers leaving as wastage include all teachers that leave the 'state-funded schools sector' as defined by the TSM except those that leave through retirement or deaths in service. This includes teachers leaving the state-funded sector to teach in special schools, PRUs, independent schools, the FE sector, supply roles, and schools in other countries including Scotland, Wales, and Northern Ireland among others. Teachers leaving teaching altogether are included. </t>
  </si>
  <si>
    <t>The data show the no. of teachers who die while in service each year.</t>
  </si>
  <si>
    <t>These data are the mean average of FTE rates for the current stock of each phase.</t>
  </si>
  <si>
    <t xml:space="preserve">Group 1 subjects comprise Biology, Chemistry, Computing, Mathematics, and Physics. Group 2 subjects comprise Classics, English, Geography, History, and Modern Foreign Languages. All other subjects fall into Group 3. </t>
  </si>
  <si>
    <r>
      <rPr>
        <b/>
        <u/>
        <sz val="10"/>
        <color indexed="10"/>
        <rFont val="Arial"/>
        <family val="2"/>
      </rPr>
      <t>Postgraduate completion rates</t>
    </r>
    <r>
      <rPr>
        <b/>
        <sz val="10"/>
        <color indexed="10"/>
        <rFont val="Arial"/>
        <family val="2"/>
      </rPr>
      <t xml:space="preserve"> are the proportion of PG trainees completing ITT. They are used to estimate how many trainees will be expected to complete ITT. The </t>
    </r>
    <r>
      <rPr>
        <b/>
        <u/>
        <sz val="10"/>
        <color indexed="10"/>
        <rFont val="Arial"/>
        <family val="2"/>
      </rPr>
      <t>postgraduate employment rates</t>
    </r>
    <r>
      <rPr>
        <b/>
        <sz val="10"/>
        <color indexed="10"/>
        <rFont val="Arial"/>
        <family val="2"/>
      </rPr>
      <t xml:space="preserve"> are the proportion of PG trainees gaining employment in the state-funded schools sector within 6 months of ITT completion. They are used to estimate how many trainees will actually go into employment after successfully training as NQTs. The two rates are used to scale up the NQT entrant teacher need to calculate the postgraduate ITT trainee need.</t>
    </r>
  </si>
  <si>
    <t>Paste in the actual values in the cells below in row 37 and below…</t>
  </si>
  <si>
    <t>These data are teacher stocks numbers broken down by whether they are qualified/unqualified and their age group and gender. This is used for current stocks data.</t>
  </si>
  <si>
    <t>As outlined above, we expect to see increases in the entry rate of EBacc and as part of this, future increases in the take-up of Geography and History. As the combined mainstream entry rate for Geography and History is currently at 75% no increases above this level are modelled within the TSM this year. However, as the numbers of new to state-funded entrants and re-entrants is likely to be limited by the existing pool of such teachers, we have limited these figures to the estimate for 2015/16 using the methodology used in the May 2017 teachers analysis compendium for the respective subject. We are assuming that all the remaining additional Geography and History teachers will be sourced via ITT. Given that the model does not assume that future take-up rates for these two subjects will increase this assumption is a little redundant this year but has been retained for future use.</t>
  </si>
  <si>
    <t xml:space="preserve">The new EBacc assumptions used this year assume that Geography and History teaching requirements do not need to increase in future because mainstream take-up has already reached 75%. These have had a downward impact on Geography ITT places which is protected against. </t>
  </si>
  <si>
    <t xml:space="preserve">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limited these figures to the estimate for 2015/16 using the methodology used in the May 2017 teachers analysis compendium. Alongside this, there are some new programmes to get more MFL teachers to meet this demand, which have not traditionally been modelled in the TSM. We have assumed that 410 teachers will be sourced by these routes in 2019/20. They are referred to within the model as teachers that are sourced via a new category of 'other, new initiatives’. We have assumed that 410 teachers will also be sourced via these initiatives in the years following 2019/20, using the 410 figure as an initial starting estimate which will be reviewed in the model next year. </t>
  </si>
  <si>
    <t>'Modern Foreign Languages 2' and 'Entrants via other initiatives' tab.</t>
  </si>
  <si>
    <t>Increased EBacc entry adjustment (added in to the 2018/19 TSM)</t>
  </si>
  <si>
    <t>Scenario 1 - Current EBacc entry rate</t>
  </si>
  <si>
    <t>Scenario 2 - 75% for GCSE exams in summer of 2024</t>
  </si>
  <si>
    <t>Scenario 1 - current EBacc entry rate</t>
  </si>
  <si>
    <t>1. Current EBacc entry rate</t>
  </si>
  <si>
    <t>2. 75% entry rate for exams in 2024</t>
  </si>
  <si>
    <r>
      <t xml:space="preserve">Users can select two scenarios for the impact of the increased EBacc entry policy on the number of secondary teaching hours required for each subject. These scenarios do not change the total number of secondary teaching hours; only the balance between subjects is changed. </t>
    </r>
    <r>
      <rPr>
        <i/>
        <sz val="10"/>
        <color rgb="FFFF0000"/>
        <rFont val="Arial"/>
        <family val="2"/>
      </rPr>
      <t>Scenario 2 is used as the default</t>
    </r>
    <r>
      <rPr>
        <i/>
        <sz val="10"/>
        <rFont val="Arial"/>
        <family val="2"/>
      </rPr>
      <t xml:space="preserve"> to estimate the ITT place projections used by NCTL for 2018/19 ITT (i.e. the default scenario figures). Scenario 1 allows users to examine the impact of Scenario 2 on the model outputs by 'turning off' the increased EBacc policy assumptions by assuming that EBacc take-up will not increase from current levels.</t>
    </r>
  </si>
  <si>
    <t>The TSM uses a central scenario based on the median value of GDP and unemployment from the HMT's comparison of independent forecasts as well as the OBR's forecast of salary increases. Additionally, high and low scenarios are provided based on the interquartile range of HMT's comparison of independent forecasts for GDP and unemployment.</t>
  </si>
  <si>
    <t>The model offers the opportunity to use the wastage scalars used by the 2016/17 model (see below) or scalars entered manually into the cells below. There are no figures for the 2017/18 model as uncertainty following the EU referendum result meant that the Econometric Wastage Model wasn't used last year.</t>
  </si>
  <si>
    <t>The 2014/15 (unpublished) version of the TSM used PTR caps of 19.82 for primary and 14.98 for secondary; they have been added in for comparison.</t>
  </si>
  <si>
    <r>
      <t xml:space="preserve">The </t>
    </r>
    <r>
      <rPr>
        <b/>
        <i/>
        <sz val="10"/>
        <rFont val="Arial"/>
        <family val="2"/>
      </rPr>
      <t>central</t>
    </r>
    <r>
      <rPr>
        <i/>
        <sz val="10"/>
        <rFont val="Arial"/>
        <family val="2"/>
      </rPr>
      <t xml:space="preserve"> rate is based on the PTR change rates observed during the longer term increases in PTR seen at the start of the millennium. The </t>
    </r>
    <r>
      <rPr>
        <b/>
        <i/>
        <sz val="10"/>
        <rFont val="Arial"/>
        <family val="2"/>
      </rPr>
      <t>2nd</t>
    </r>
    <r>
      <rPr>
        <i/>
        <sz val="10"/>
        <rFont val="Arial"/>
        <family val="2"/>
      </rPr>
      <t xml:space="preserve"> </t>
    </r>
    <r>
      <rPr>
        <b/>
        <i/>
        <sz val="10"/>
        <rFont val="Arial"/>
        <family val="2"/>
      </rPr>
      <t>highest</t>
    </r>
    <r>
      <rPr>
        <i/>
        <sz val="10"/>
        <rFont val="Arial"/>
        <family val="2"/>
      </rPr>
      <t xml:space="preserve"> and </t>
    </r>
    <r>
      <rPr>
        <b/>
        <i/>
        <sz val="10"/>
        <rFont val="Arial"/>
        <family val="2"/>
      </rPr>
      <t>2nd lowest</t>
    </r>
    <r>
      <rPr>
        <i/>
        <sz val="10"/>
        <rFont val="Arial"/>
        <family val="2"/>
      </rPr>
      <t xml:space="preserve"> rates are based on the </t>
    </r>
    <r>
      <rPr>
        <b/>
        <i/>
        <sz val="10"/>
        <rFont val="Arial"/>
        <family val="2"/>
      </rPr>
      <t xml:space="preserve">most extreme </t>
    </r>
    <r>
      <rPr>
        <i/>
        <sz val="10"/>
        <rFont val="Arial"/>
        <family val="2"/>
      </rPr>
      <t>changes in PTR around the start of the millennium. Alternative scenarios of slightly higher/lower rates are also supplied for comparison.</t>
    </r>
  </si>
  <si>
    <t>If the proportion of unqualified teachers has not increased, the value derived from the SWC for this year has been used instead. Values may be lower compared to last year if the number of School Direct (salaried) and Teach First trainees has fallen for that subject.</t>
  </si>
  <si>
    <t>Users can select different rates for the proportion of teachers in active service that will be unqualified in future.</t>
  </si>
  <si>
    <t>Users can use rates calculated from the latest School Workforce Census (SWC) data or values from the SWC of the year before and that were used in the 2017/18 TSM (the default in the model).</t>
  </si>
  <si>
    <r>
      <t xml:space="preserve">There is also the opportunity to use </t>
    </r>
    <r>
      <rPr>
        <b/>
        <i/>
        <sz val="10"/>
        <rFont val="Arial"/>
        <family val="2"/>
      </rPr>
      <t>manually selected</t>
    </r>
    <r>
      <rPr>
        <i/>
        <sz val="10"/>
        <rFont val="Arial"/>
        <family val="2"/>
      </rPr>
      <t xml:space="preserve"> PTR change rate values by using the drop down menu and entering values (e.g. 0.4) in the grey boxes below.</t>
    </r>
  </si>
  <si>
    <t>There is also the opportunity to use manually selected NQT entrant rate values by using the drop down menu and entering values (e.g. 53%) in the grey boxes below.</t>
  </si>
  <si>
    <t xml:space="preserve">From 2018/19 we expect to see increases in the EBacc entry rate up to 75% for GCSE examinations in the summer of 2024 and 90% by 2027 as outlined in the EBacc consultation response published in July 2017. The model makes a starting estimate of the first stage of this increase up to 75%; the increase up to 90% by 2027 has not been modelled in these initial estimates. </t>
  </si>
  <si>
    <t xml:space="preserve">The no. of Religious Education ITT places is maintained at last year's (2017/18 TSM) level if it would otherwise fall.         </t>
  </si>
  <si>
    <t xml:space="preserve">The no. of Physical Education ITT places is maintained at last year's (2017/18 TSM) level if it would otherwise fall.         </t>
  </si>
  <si>
    <t>School Workforce Census curriculum data on the number of sessions taught by teachers.</t>
  </si>
  <si>
    <t xml:space="preserve">Information on the curriculum and teacher related policies affecting the number of teachers required. </t>
  </si>
  <si>
    <t>NCTL data on on the number of training places allocated in previous years, ITT course lengths, and the employment &amp; ITT outcomes of trainees.</t>
  </si>
  <si>
    <t xml:space="preserve">The precise no. of ITT places allocated for each subject may differ slightly to the TSM ITT place output figures in the table below. 
</t>
  </si>
  <si>
    <r>
      <t xml:space="preserve">To limit any falls in EBacc places, the no. of 2018/19 secondary ITT places for all EBacc subjects is held (protected) at 100% </t>
    </r>
    <r>
      <rPr>
        <sz val="10"/>
        <color indexed="10"/>
        <rFont val="Arial"/>
        <family val="2"/>
      </rPr>
      <t>(see cell C36 below)</t>
    </r>
    <r>
      <rPr>
        <b/>
        <sz val="10"/>
        <color indexed="10"/>
        <rFont val="Arial"/>
        <family val="2"/>
      </rPr>
      <t xml:space="preserve"> of 2017/18 TSM levels, if this number was greater. More information is provided on the 'policy assumptions SEC' tab. The same applies to Physical Education and Religious Education. This adjustment is made in the table below (for the final 2018/19 ITT place outputs generated by the model, the protection is applied to: Biology, Chemistry, Classics, Computing, Geography, and Religious Education):</t>
    </r>
  </si>
  <si>
    <r>
      <t xml:space="preserve">This sheet enables users to select scenarios to be used within the calculations in the model, </t>
    </r>
    <r>
      <rPr>
        <b/>
        <i/>
        <sz val="10"/>
        <rFont val="Arial"/>
        <family val="2"/>
      </rPr>
      <t>e.g. high wastage rates, low pupil population projections.</t>
    </r>
  </si>
  <si>
    <t>When manually selecting an econometric wastage scalar, the model assumes that the scalar rate used in the model will remain constant at this rate going forward after 2021/22. A scalar value of 1.00 would keep the wastage rate constant at the current rates, a value below 1.00 assumes that the wastage rate will fall below current levels. To provide context, the scalars from the 2016/17 model are included below.</t>
  </si>
  <si>
    <r>
      <t xml:space="preserve">The </t>
    </r>
    <r>
      <rPr>
        <b/>
        <i/>
        <sz val="10"/>
        <rFont val="Arial"/>
        <family val="2"/>
      </rPr>
      <t>extreme</t>
    </r>
    <r>
      <rPr>
        <i/>
        <sz val="10"/>
        <rFont val="Arial"/>
        <family val="2"/>
      </rPr>
      <t xml:space="preserve"> caps are based on the PTRs observed in the 1950s when PTRs reached the maximum levels seen in the last 60 years (note- pupil numbers were actually lower than during the 1970s). </t>
    </r>
  </si>
  <si>
    <t>The table below illustrates rates from the published 2017/18 TSM for use in this model under the default scenario in comparison to those derived from the latest School Workforce Census (SWC) data.</t>
  </si>
  <si>
    <t>If the unqualified teacher rates are scaled down to a previous level the number of qualified teacher entrants would need to be scaled up accordingly.</t>
  </si>
  <si>
    <t>The model would assume these extra teachers would be recruited in the 2018/19 ITT round and are added on to the 2019/20 entrant teacher need accordingly to counter increases since 2015/16 in the % of teachers that are unqualified.</t>
  </si>
  <si>
    <t xml:space="preserve">The Pupil Projections Model does not provide Years 12-13 (those aged 16-19) pupil projections from 2014/15 onwards. This is estimated elsewhere in this model. </t>
  </si>
  <si>
    <t>Increases in Mathematics teaching requirements in years 12-13</t>
  </si>
  <si>
    <t xml:space="preserve">There will be continued growth in the take-up of post-16 Mathematics qualifications, including Core Maths. The percentage of years 12-13 teaching time dedicated to Mathematics will increase at the current rate for the next 3 years (up to and including 2019/20). </t>
  </si>
  <si>
    <t>Increases in English teaching requirements in years 10-11</t>
  </si>
  <si>
    <t>The new, expanded Mathematics GCSE will require a greater amount of Mathematics teaching per pupil in both years 7-9 and years 10-11. The 2017/18 model last year assumed that the number of hours spent teaching Mathematics in both years 7-9 and years 10-11 would increase in future. The model this year uses the same policy assumption for the new Mathematics GCSE but moved one year along to reflect that the model now uses 2016/17 SWC data.</t>
  </si>
  <si>
    <t>The number of years 10-11 Mathematics teaching hours estimated as being required in future is increased between 2016/17 &amp; 2017/18 to provide additional teachers to deliver Mathematics in years 10-11.</t>
  </si>
  <si>
    <t xml:space="preserve">For years 7-9 in the model last year, there was an assumed increase between 2015/16 &amp; 2016/17 which has now been reflected in the latest SWC data from 2016/17. For years 10-11, there was an assumed increase between 2015/16 &amp; 2016/17, and a further one between 2016/17 &amp; 2017/18, both of which were of similar magnitude to the increase observed between 2014/15 &amp; 2015/16 in the SWC. As the first part of this assumption, for years 10-11 has been reflected within the latest SWC data, the model this year only uses an assumption relating to an increase in teaching hours for years 10-11 between 2016/17 &amp; 2017/18 using the latest data from the SWC to estimate the scale of the year-on-year increase in Mathematics teaching observed within the SWC. </t>
  </si>
  <si>
    <t>The number of years 12-13 Mathematics teaching hours estimated as being required in future is increased between 2016/17 &amp; 2017/18 and the following two years to provide additional teachers to deliver Mathematics in years 12-13.</t>
  </si>
  <si>
    <t>The model will assume that the number of hours spent teaching English in years 10-11 will increase between 2016/17 &amp; 2017/18 and between 2017/18 &amp; 2018/19 at a level consistent with the increase observed in the latest year within the School Workforce Census and reflects the increased focus of schools towards the provision of English and Mathematics.</t>
  </si>
  <si>
    <t>The number of years 10-11 English teaching hours estimated as being required in future is increased between 2016/17 &amp; 2017/18 and between 2017/18 &amp; 2018/19 to provide additional teachers to deliver English in years 10-11.</t>
  </si>
  <si>
    <t xml:space="preserve">The number of years 10-11 teaching hours estimated as being required in future for Biology, Chemistry, and Physics is increased to reflect additional teaching requirements resulting from the removal of the Core Science GCSE. </t>
  </si>
  <si>
    <t>The introduction of the new Combined Science GCSE, which is equivalent to the current Core and Additional Science GCSEs, has removed the option to take the Core Science GCSE. We are expecting that for 10% of years 10-11 students, their Science teaching time will double from Sept 2016 onwards (as they move to the Combined Science GCSE - which requires more teaching time). An assumption is added into the model that from Sept 2017, 5% of years 10-11 students will have their Science teaching time doubled. This 5% assumption reflects that the latest SWC data already accounts for the impact of the policy on year 10 pupils. As 2017/18 will be the first year where all the pupils in years 10-11 will be unable to take the Core Science GCSE option, the policy assumption affects only 5% of years 10-11 pupils rather than 10%.</t>
  </si>
  <si>
    <t xml:space="preserve">Assume that Modern Foreign Languages GCSE entry rates increase up to 75% for GCSE exams in the summer of 2024 with corresponding increases in the quantity of Modern Foreign Languages teaching hours. Modern Foreign Languages teaching hours are increased at the expense of subjects other than Biology, Chemistry, Classics, English, Geography, History, Mathematics, and Physics teaching hours. </t>
  </si>
  <si>
    <t>Different subjects have higher or lower wastage rates for equivalent demographic groups (e.g. there may be a higher wastage rate for male Science teachers aged 30-34 than for male Music teachers aged 30-34).</t>
  </si>
  <si>
    <t>Calculates projected years 12-13 pupil populations as the Pupil Projections Model does not project values for the post-16 secondary schools population.</t>
  </si>
  <si>
    <t>Time (total hrs) spent teaching to:</t>
  </si>
  <si>
    <t>Time (total hrs) spent teaching each subject to:</t>
  </si>
  <si>
    <r>
      <t>ITT places for those subjects not modelled independently within the TSM are allocated as separate subjects based on requests for places from providers. Providers are allocated the full number of places they request for those subjects and</t>
    </r>
    <r>
      <rPr>
        <sz val="10"/>
        <rFont val="Arial"/>
        <family val="2"/>
      </rPr>
      <t xml:space="preserve"> have automatic permission to recruit above this number without requesting additional places.</t>
    </r>
    <r>
      <rPr>
        <sz val="10"/>
        <color rgb="FF000000"/>
        <rFont val="Arial"/>
        <family val="2"/>
      </rPr>
      <t> These subjects are modelled as part of the 'Others' group of subjects in the TSM.   </t>
    </r>
  </si>
  <si>
    <r>
      <t xml:space="preserve">We know what the headcount ratio between the different entrant routes is but they don’t give </t>
    </r>
    <r>
      <rPr>
        <i/>
        <u/>
        <sz val="10"/>
        <rFont val="Arial"/>
        <family val="2"/>
      </rPr>
      <t>equal</t>
    </r>
    <r>
      <rPr>
        <i/>
        <sz val="10"/>
        <rFont val="Arial"/>
        <family val="2"/>
      </rPr>
      <t xml:space="preserve"> FTE amounts of teachers (e.g. NQTs are proportionately more likely to be full-time). Therefore we need to work out the actual no. of teachers needed by different routes given that the different routes give different average FTE rates. To do this we work out an FTE ratio for the different entrant routes. Example below:</t>
    </r>
  </si>
  <si>
    <t>Part-time</t>
  </si>
  <si>
    <t>Full-time</t>
  </si>
  <si>
    <t>The model now subtracts the number of entrants from 'other, new initiatives' from the 'NQTs and entrants via other, new initiatives' group.</t>
  </si>
  <si>
    <t>11. Teaching time required per pupil at Years 7-9, Years 10-11, and Years 12-13 in each subject (hrs).</t>
  </si>
  <si>
    <t>Secondary Retirements</t>
  </si>
  <si>
    <t>Secondary Deaths</t>
  </si>
  <si>
    <t>Secondary Leavers</t>
  </si>
  <si>
    <t xml:space="preserve">The projected figures are the raw outputs of this model, no protection is applied (as it is for 2018/19). </t>
  </si>
  <si>
    <t xml:space="preserve">2018/19 figures may appear high compared to those for years after 2018/19; as they include ITT place protection and any adjustments for increases in the % of teachers that are unqualified..  </t>
  </si>
  <si>
    <t>Figures from the 2015/16, 2016/17, and 2017/18 training years have been obtained directly from the published versions of the relevant TSMs.</t>
  </si>
  <si>
    <t>Religious Education - Historical</t>
  </si>
  <si>
    <t>Religious Education - Projected</t>
  </si>
  <si>
    <t xml:space="preserve">This testing cannot be used as a means to test the 'accuracy' of the model outputs, e.g. creating the highest and lowest potential values to calculate a 'margin of model error'. </t>
  </si>
  <si>
    <t xml:space="preserve">Assume that EBacc entry rates stay at 'current'* rates; no modifications are made by the model to individual subject teaching levels to reflect the increased EBacc policy. 
 *The rates from the 2015/16 performance tables.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</si>
</sst>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3" formatCode="_-* #,##0.00_-;\-* #,##0.00_-;_-* &quot;-&quot;??_-;_-@_-"/>
    <numFmt numFmtId="164" formatCode="0.0"/>
    <numFmt numFmtId="165" formatCode="0.0%"/>
    <numFmt numFmtId="166" formatCode="_-* #,##0_-;\-* #,##0_-;_-* &quot;-&quot;??_-;_-@_-"/>
    <numFmt numFmtId="167" formatCode="0.000"/>
    <numFmt numFmtId="168" formatCode="[=0]&quot;-&quot;_);dd\-mmm\-yy"/>
    <numFmt numFmtId="169" formatCode="#,##0_);\(#,##0\);\-_)"/>
    <numFmt numFmtId="170" formatCode="#,##0.00_);\(#,##0.00\);\-_)"/>
    <numFmt numFmtId="171" formatCode="&quot;£&quot;#,##0_);\(&quot;£&quot;#,##0\);\-_)"/>
    <numFmt numFmtId="172" formatCode="&quot;£&quot;#,##0.000,,&quot;m&quot;_);\(&quot;£&quot;#,##0.000,,&quot;m&quot;\);\-_)"/>
    <numFmt numFmtId="173" formatCode="[$-F400]h:mm:ss\ AM/PM"/>
    <numFmt numFmtId="174" formatCode="###0"/>
    <numFmt numFmtId="175" formatCode="####.000"/>
    <numFmt numFmtId="176" formatCode="#,##0_ ;[Red]\-#,##0\ "/>
    <numFmt numFmtId="177" formatCode="####.00"/>
    <numFmt numFmtId="178" formatCode="0.00000000000000"/>
    <numFmt numFmtId="179" formatCode="0.000000000000000000"/>
    <numFmt numFmtId="180" formatCode="0.000000000000000000000"/>
    <numFmt numFmtId="181" formatCode="0.0000000000000000000000"/>
    <numFmt numFmtId="182" formatCode="#,##0.0000000"/>
    <numFmt numFmtId="183" formatCode="#,##0.00000000"/>
    <numFmt numFmtId="184" formatCode="#,##0.00000000000000000"/>
    <numFmt numFmtId="185" formatCode="0.0000%"/>
    <numFmt numFmtId="186" formatCode="0.00000%"/>
    <numFmt numFmtId="187" formatCode="#,##0.0"/>
    <numFmt numFmtId="188" formatCode="###0.0000"/>
    <numFmt numFmtId="189" formatCode="0.000000000"/>
    <numFmt numFmtId="190" formatCode="#,##0.000000000000000000"/>
    <numFmt numFmtId="191" formatCode="#,##0.000"/>
    <numFmt numFmtId="192" formatCode="0.000%"/>
    <numFmt numFmtId="193" formatCode="#,##0_ ;\-#,##0\ "/>
    <numFmt numFmtId="194" formatCode="#,##0.00000000000000"/>
    <numFmt numFmtId="195" formatCode="0_ ;\-0\ "/>
    <numFmt numFmtId="196" formatCode="0.00000000%"/>
    <numFmt numFmtId="197" formatCode="#,##0.0000"/>
    <numFmt numFmtId="198" formatCode="#,##0.0000000000000"/>
    <numFmt numFmtId="199" formatCode="#,##0.0000000000000000000"/>
    <numFmt numFmtId="200" formatCode="0.0000000000000"/>
    <numFmt numFmtId="201" formatCode="#,##0.00000"/>
    <numFmt numFmtId="202" formatCode="#,##0.0000000000"/>
    <numFmt numFmtId="203" formatCode="0.00000000000000000000000000"/>
  </numFmts>
  <fonts count="196">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sz val="9"/>
      <name val="Arial"/>
      <family val="2"/>
    </font>
    <font>
      <b/>
      <sz val="8"/>
      <name val="Arial"/>
      <family val="2"/>
    </font>
    <font>
      <sz val="10"/>
      <color indexed="10"/>
      <name val="Arial"/>
      <family val="2"/>
    </font>
    <font>
      <b/>
      <u/>
      <sz val="10"/>
      <name val="Arial"/>
      <family val="2"/>
    </font>
    <font>
      <sz val="11"/>
      <color indexed="8"/>
      <name val="Calibri"/>
      <family val="2"/>
    </font>
    <font>
      <sz val="9"/>
      <color indexed="18"/>
      <name val="Arial"/>
      <family val="2"/>
    </font>
    <font>
      <u/>
      <sz val="11"/>
      <color indexed="12"/>
      <name val="Calibri"/>
      <family val="2"/>
    </font>
    <font>
      <sz val="9"/>
      <name val="CG Times (WN)"/>
    </font>
    <font>
      <sz val="9"/>
      <name val="Arial"/>
      <family val="2"/>
    </font>
    <font>
      <b/>
      <sz val="12"/>
      <name val="Arial"/>
      <family val="2"/>
    </font>
    <font>
      <i/>
      <sz val="10"/>
      <name val="Arial"/>
      <family val="2"/>
    </font>
    <font>
      <u/>
      <sz val="10"/>
      <name val="Arial"/>
      <family val="2"/>
    </font>
    <font>
      <sz val="14"/>
      <name val="Arial"/>
      <family val="2"/>
    </font>
    <font>
      <b/>
      <i/>
      <sz val="10"/>
      <name val="Arial"/>
      <family val="2"/>
    </font>
    <font>
      <i/>
      <sz val="8"/>
      <name val="Arial"/>
      <family val="2"/>
    </font>
    <font>
      <u/>
      <sz val="10"/>
      <color indexed="48"/>
      <name val="Arial"/>
      <family val="2"/>
    </font>
    <font>
      <sz val="8"/>
      <color indexed="12"/>
      <name val="Arial"/>
      <family val="2"/>
    </font>
    <font>
      <sz val="10"/>
      <color indexed="12"/>
      <name val="Arial"/>
      <family val="2"/>
    </font>
    <font>
      <b/>
      <sz val="11"/>
      <name val="Arial"/>
      <family val="2"/>
    </font>
    <font>
      <b/>
      <u/>
      <sz val="14"/>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u/>
      <sz val="11"/>
      <color indexed="12"/>
      <name val="Arial"/>
      <family val="2"/>
    </font>
    <font>
      <b/>
      <u/>
      <sz val="12"/>
      <name val="Arial"/>
      <family val="2"/>
    </font>
    <font>
      <u/>
      <sz val="9"/>
      <color indexed="12"/>
      <name val="Arial"/>
      <family val="2"/>
    </font>
    <font>
      <b/>
      <i/>
      <u/>
      <sz val="12"/>
      <name val="Arial"/>
      <family val="2"/>
    </font>
    <font>
      <b/>
      <u/>
      <sz val="10"/>
      <color indexed="10"/>
      <name val="Arial"/>
      <family val="2"/>
    </font>
    <font>
      <i/>
      <sz val="9"/>
      <name val="Arial"/>
      <family val="2"/>
    </font>
    <font>
      <sz val="10"/>
      <name val="Arial"/>
      <family val="2"/>
    </font>
    <font>
      <b/>
      <u/>
      <sz val="8"/>
      <name val="Arial"/>
      <family val="2"/>
    </font>
    <font>
      <sz val="9"/>
      <color indexed="8"/>
      <name val="Arial"/>
      <family val="2"/>
    </font>
    <font>
      <sz val="10"/>
      <name val="Arial"/>
      <family val="2"/>
    </font>
    <font>
      <b/>
      <sz val="10"/>
      <color indexed="0"/>
      <name val="Arial"/>
      <family val="2"/>
    </font>
    <font>
      <b/>
      <sz val="9"/>
      <color indexed="8"/>
      <name val="Arial"/>
      <family val="2"/>
    </font>
    <font>
      <sz val="10"/>
      <name val="Arial"/>
      <family val="2"/>
    </font>
    <font>
      <sz val="10"/>
      <name val="Verdana"/>
      <family val="2"/>
    </font>
    <font>
      <i/>
      <u/>
      <sz val="10"/>
      <name val="Arial"/>
      <family val="2"/>
    </font>
    <font>
      <b/>
      <sz val="11"/>
      <name val="Calibri"/>
      <family val="2"/>
    </font>
    <font>
      <sz val="10"/>
      <name val="Calibri"/>
      <family val="2"/>
    </font>
    <font>
      <b/>
      <sz val="10"/>
      <name val="Calibri"/>
      <family val="2"/>
    </font>
    <font>
      <i/>
      <sz val="10"/>
      <color indexed="10"/>
      <name val="Arial"/>
      <family val="2"/>
    </font>
    <font>
      <i/>
      <u/>
      <sz val="10"/>
      <color indexed="10"/>
      <name val="Arial"/>
      <family val="2"/>
    </font>
    <font>
      <b/>
      <sz val="10"/>
      <color indexed="10"/>
      <name val="Arial"/>
      <family val="2"/>
    </font>
    <font>
      <sz val="10"/>
      <name val="Arial"/>
      <family val="2"/>
    </font>
    <font>
      <b/>
      <i/>
      <sz val="10"/>
      <color indexed="10"/>
      <name val="Arial"/>
      <family val="2"/>
    </font>
    <font>
      <sz val="10"/>
      <name val="Arial"/>
      <family val="2"/>
    </font>
    <font>
      <b/>
      <sz val="8"/>
      <color indexed="10"/>
      <name val="Arial"/>
      <family val="2"/>
    </font>
    <font>
      <sz val="10"/>
      <name val="Arial"/>
      <family val="2"/>
    </font>
    <font>
      <i/>
      <sz val="11"/>
      <name val="Calibri"/>
      <family val="2"/>
    </font>
    <font>
      <sz val="10"/>
      <name val="Arial"/>
      <family val="2"/>
    </font>
    <font>
      <sz val="10"/>
      <name val="Arial"/>
      <family val="2"/>
    </font>
    <font>
      <i/>
      <sz val="10"/>
      <color indexed="40"/>
      <name val="Arial"/>
      <family val="2"/>
    </font>
    <font>
      <u/>
      <sz val="12"/>
      <name val="Arial"/>
      <family val="2"/>
    </font>
    <font>
      <u/>
      <sz val="10"/>
      <color indexed="10"/>
      <name val="Arial"/>
      <family val="2"/>
    </font>
    <font>
      <b/>
      <sz val="14"/>
      <name val="Arial"/>
      <family val="2"/>
    </font>
    <font>
      <b/>
      <i/>
      <sz val="14"/>
      <color indexed="10"/>
      <name val="Arial"/>
      <family val="2"/>
    </font>
    <font>
      <b/>
      <u/>
      <sz val="16"/>
      <name val="Arial"/>
      <family val="2"/>
    </font>
    <font>
      <b/>
      <u/>
      <sz val="16"/>
      <color indexed="10"/>
      <name val="Arial"/>
      <family val="2"/>
    </font>
    <font>
      <sz val="7"/>
      <name val="Arial"/>
      <family val="2"/>
    </font>
    <font>
      <sz val="11"/>
      <color theme="1"/>
      <name val="Calibri"/>
      <family val="2"/>
      <scheme val="minor"/>
    </font>
    <font>
      <sz val="12"/>
      <color theme="0"/>
      <name val="Arial"/>
      <family val="2"/>
    </font>
    <font>
      <b/>
      <sz val="16"/>
      <color rgb="FF002060"/>
      <name val="Arial"/>
      <family val="2"/>
    </font>
    <font>
      <sz val="10"/>
      <color theme="0"/>
      <name val="Arial"/>
      <family val="2"/>
    </font>
    <font>
      <b/>
      <sz val="10"/>
      <color theme="0"/>
      <name val="Arial"/>
      <family val="2"/>
    </font>
    <font>
      <b/>
      <sz val="14"/>
      <color theme="0"/>
      <name val="Arial"/>
      <family val="2"/>
    </font>
    <font>
      <b/>
      <sz val="10"/>
      <color rgb="FFFF0000"/>
      <name val="Arial"/>
      <family val="2"/>
    </font>
    <font>
      <b/>
      <sz val="10"/>
      <color rgb="FFC00000"/>
      <name val="Arial"/>
      <family val="2"/>
    </font>
    <font>
      <u/>
      <sz val="10"/>
      <color theme="0"/>
      <name val="Arial"/>
      <family val="2"/>
    </font>
    <font>
      <u/>
      <sz val="10"/>
      <color theme="1"/>
      <name val="Arial"/>
      <family val="2"/>
    </font>
    <font>
      <sz val="10"/>
      <color theme="1"/>
      <name val="Arial"/>
      <family val="2"/>
    </font>
    <font>
      <sz val="9"/>
      <color theme="1"/>
      <name val="Arial"/>
      <family val="2"/>
    </font>
    <font>
      <u/>
      <sz val="9"/>
      <color theme="1"/>
      <name val="Arial"/>
      <family val="2"/>
    </font>
    <font>
      <b/>
      <u/>
      <sz val="10"/>
      <color rgb="FFFF0000"/>
      <name val="Arial"/>
      <family val="2"/>
    </font>
    <font>
      <sz val="10"/>
      <color theme="3" tint="0.39997558519241921"/>
      <name val="Arial"/>
      <family val="2"/>
    </font>
    <font>
      <b/>
      <u/>
      <sz val="10"/>
      <color theme="1"/>
      <name val="Arial"/>
      <family val="2"/>
    </font>
    <font>
      <b/>
      <sz val="11"/>
      <color theme="1"/>
      <name val="Calibri"/>
      <family val="2"/>
      <scheme val="minor"/>
    </font>
    <font>
      <i/>
      <sz val="11"/>
      <color theme="1"/>
      <name val="Calibri"/>
      <family val="2"/>
      <scheme val="minor"/>
    </font>
    <font>
      <b/>
      <u/>
      <sz val="14"/>
      <color rgb="FFFF0000"/>
      <name val="Arial"/>
      <family val="2"/>
    </font>
    <font>
      <b/>
      <sz val="14"/>
      <color rgb="FFFF0000"/>
      <name val="Arial"/>
      <family val="2"/>
    </font>
    <font>
      <b/>
      <sz val="10"/>
      <color theme="1" tint="4.9989318521683403E-2"/>
      <name val="Arial"/>
      <family val="2"/>
    </font>
    <font>
      <b/>
      <u/>
      <sz val="14"/>
      <color theme="2" tint="-0.89999084444715716"/>
      <name val="Arial"/>
      <family val="2"/>
    </font>
    <font>
      <sz val="10"/>
      <color theme="1" tint="4.9989318521683403E-2"/>
      <name val="Arial"/>
      <family val="2"/>
    </font>
    <font>
      <sz val="10"/>
      <color rgb="FFFF0000"/>
      <name val="Arial"/>
      <family val="2"/>
    </font>
    <font>
      <b/>
      <i/>
      <sz val="10"/>
      <color rgb="FFFF0000"/>
      <name val="Arial"/>
      <family val="2"/>
    </font>
    <font>
      <sz val="9"/>
      <color theme="1"/>
      <name val="Calibri"/>
      <family val="2"/>
      <scheme val="minor"/>
    </font>
    <font>
      <b/>
      <sz val="9"/>
      <color theme="1"/>
      <name val="Calibri"/>
      <family val="2"/>
      <scheme val="minor"/>
    </font>
    <font>
      <i/>
      <sz val="10"/>
      <color rgb="FFFF0000"/>
      <name val="Arial"/>
      <family val="2"/>
    </font>
    <font>
      <i/>
      <sz val="8"/>
      <color rgb="FFFF0000"/>
      <name val="Arial"/>
      <family val="2"/>
    </font>
    <font>
      <b/>
      <sz val="10"/>
      <color rgb="FF0070C0"/>
      <name val="Arial"/>
      <family val="2"/>
    </font>
    <font>
      <b/>
      <sz val="9"/>
      <color rgb="FF0070C0"/>
      <name val="Arial"/>
      <family val="2"/>
    </font>
    <font>
      <u/>
      <sz val="10"/>
      <color rgb="FF0070C0"/>
      <name val="Arial"/>
      <family val="2"/>
    </font>
    <font>
      <sz val="10"/>
      <color rgb="FF0070C0"/>
      <name val="Arial"/>
      <family val="2"/>
    </font>
    <font>
      <sz val="12"/>
      <color rgb="FF000000"/>
      <name val="Arial"/>
      <family val="2"/>
    </font>
    <font>
      <i/>
      <sz val="10"/>
      <color theme="1"/>
      <name val="Arial"/>
      <family val="2"/>
    </font>
    <font>
      <b/>
      <sz val="10"/>
      <color rgb="FFFFC000"/>
      <name val="Arial"/>
      <family val="2"/>
    </font>
    <font>
      <sz val="10"/>
      <color rgb="FFFFC000"/>
      <name val="Arial"/>
      <family val="2"/>
    </font>
    <font>
      <b/>
      <sz val="10"/>
      <color theme="1"/>
      <name val="Arial"/>
      <family val="2"/>
    </font>
    <font>
      <i/>
      <sz val="9"/>
      <color rgb="FFFF0000"/>
      <name val="Arial"/>
      <family val="2"/>
    </font>
    <font>
      <b/>
      <sz val="10"/>
      <color rgb="FF000000"/>
      <name val="Arial"/>
      <family val="2"/>
    </font>
    <font>
      <b/>
      <sz val="8"/>
      <color theme="1" tint="4.9989318521683403E-2"/>
      <name val="Arial"/>
      <family val="2"/>
    </font>
    <font>
      <b/>
      <sz val="8"/>
      <color rgb="FFFF0000"/>
      <name val="Arial"/>
      <family val="2"/>
    </font>
    <font>
      <sz val="11"/>
      <color rgb="FF1F497D"/>
      <name val="Calibri"/>
      <family val="2"/>
    </font>
    <font>
      <b/>
      <i/>
      <sz val="10"/>
      <color theme="0"/>
      <name val="Arial"/>
      <family val="2"/>
    </font>
    <font>
      <b/>
      <sz val="10"/>
      <color theme="2" tint="-0.89999084444715716"/>
      <name val="Arial"/>
      <family val="2"/>
    </font>
    <font>
      <sz val="9"/>
      <color rgb="FFFF0000"/>
      <name val="Arial"/>
      <family val="2"/>
    </font>
    <font>
      <b/>
      <sz val="9"/>
      <color rgb="FFFF0000"/>
      <name val="Arial"/>
      <family val="2"/>
    </font>
    <font>
      <b/>
      <u/>
      <sz val="14"/>
      <color theme="1" tint="4.9989318521683403E-2"/>
      <name val="Arial"/>
      <family val="2"/>
    </font>
    <font>
      <b/>
      <sz val="11"/>
      <color theme="2" tint="-0.89999084444715716"/>
      <name val="Calibri"/>
      <family val="2"/>
      <scheme val="minor"/>
    </font>
    <font>
      <sz val="10"/>
      <color theme="0" tint="-0.249977111117893"/>
      <name val="Arial"/>
      <family val="2"/>
    </font>
    <font>
      <i/>
      <sz val="8"/>
      <color theme="0" tint="-0.249977111117893"/>
      <name val="Arial"/>
      <family val="2"/>
    </font>
    <font>
      <b/>
      <u/>
      <sz val="10"/>
      <color theme="0" tint="-0.249977111117893"/>
      <name val="Arial"/>
      <family val="2"/>
    </font>
    <font>
      <b/>
      <sz val="8"/>
      <color theme="1"/>
      <name val="Arial"/>
      <family val="2"/>
    </font>
    <font>
      <b/>
      <i/>
      <sz val="10"/>
      <color theme="1" tint="4.9989318521683403E-2"/>
      <name val="Arial"/>
      <family val="2"/>
    </font>
    <font>
      <sz val="11"/>
      <name val="Calibri"/>
      <family val="2"/>
      <scheme val="minor"/>
    </font>
    <font>
      <i/>
      <sz val="11"/>
      <name val="Calibri"/>
      <family val="2"/>
      <scheme val="minor"/>
    </font>
    <font>
      <b/>
      <sz val="11"/>
      <name val="Calibri"/>
      <family val="2"/>
      <scheme val="minor"/>
    </font>
    <font>
      <b/>
      <sz val="10"/>
      <color rgb="FF00B050"/>
      <name val="Arial"/>
      <family val="2"/>
    </font>
    <font>
      <b/>
      <u/>
      <sz val="18"/>
      <color rgb="FFFF0000"/>
      <name val="Arial"/>
      <family val="2"/>
    </font>
    <font>
      <b/>
      <u/>
      <sz val="18"/>
      <color theme="1"/>
      <name val="Arial"/>
      <family val="2"/>
    </font>
    <font>
      <i/>
      <sz val="10"/>
      <color theme="1" tint="4.9989318521683403E-2"/>
      <name val="Arial"/>
      <family val="2"/>
    </font>
    <font>
      <sz val="10"/>
      <color theme="0" tint="-0.14999847407452621"/>
      <name val="Arial"/>
      <family val="2"/>
    </font>
    <font>
      <b/>
      <sz val="12"/>
      <color rgb="FFFF0000"/>
      <name val="Arial"/>
      <family val="2"/>
    </font>
    <font>
      <sz val="12"/>
      <color rgb="FFFF0000"/>
      <name val="Arial"/>
      <family val="2"/>
    </font>
    <font>
      <u/>
      <sz val="10"/>
      <color theme="1" tint="4.9989318521683403E-2"/>
      <name val="Arial"/>
      <family val="2"/>
    </font>
    <font>
      <u/>
      <sz val="12"/>
      <color rgb="FFFF0000"/>
      <name val="Arial"/>
      <family val="2"/>
    </font>
    <font>
      <b/>
      <i/>
      <sz val="8"/>
      <color rgb="FFFF0000"/>
      <name val="Arial"/>
      <family val="2"/>
    </font>
    <font>
      <i/>
      <sz val="11"/>
      <color rgb="FFFF0000"/>
      <name val="Calibri"/>
      <family val="2"/>
      <scheme val="minor"/>
    </font>
    <font>
      <b/>
      <u/>
      <sz val="14"/>
      <color rgb="FF0070C0"/>
      <name val="Arial"/>
      <family val="2"/>
    </font>
    <font>
      <sz val="8"/>
      <color theme="1"/>
      <name val="Arial"/>
      <family val="2"/>
    </font>
    <font>
      <sz val="8"/>
      <color rgb="FF0D0D0D"/>
      <name val="Arial"/>
      <family val="2"/>
    </font>
    <font>
      <i/>
      <sz val="10"/>
      <color theme="0"/>
      <name val="Arial"/>
      <family val="2"/>
    </font>
    <font>
      <sz val="10"/>
      <color theme="2" tint="-0.89999084444715716"/>
      <name val="Arial"/>
      <family val="2"/>
    </font>
    <font>
      <sz val="10"/>
      <color rgb="FF000000"/>
      <name val="Arial"/>
      <family val="2"/>
    </font>
    <font>
      <b/>
      <u/>
      <sz val="11"/>
      <name val="Arial"/>
      <family val="2"/>
    </font>
    <font>
      <u/>
      <sz val="10"/>
      <color rgb="FFFF0000"/>
      <name val="Arial"/>
      <family val="2"/>
    </font>
    <font>
      <u/>
      <sz val="16"/>
      <color indexed="12"/>
      <name val="Arial"/>
      <family val="2"/>
    </font>
    <font>
      <b/>
      <sz val="18"/>
      <name val="Arial"/>
      <family val="2"/>
    </font>
    <font>
      <b/>
      <u/>
      <sz val="18"/>
      <color indexed="12"/>
      <name val="Arial"/>
      <family val="2"/>
    </font>
    <font>
      <i/>
      <u/>
      <sz val="8"/>
      <name val="Arial"/>
      <family val="2"/>
    </font>
    <font>
      <b/>
      <sz val="8"/>
      <color theme="0"/>
      <name val="Arial"/>
      <family val="2"/>
    </font>
    <font>
      <sz val="8"/>
      <color rgb="FF000000"/>
      <name val="Arial"/>
      <family val="2"/>
    </font>
    <font>
      <sz val="11"/>
      <color rgb="FFFF0000"/>
      <name val="Calibri"/>
      <family val="2"/>
      <scheme val="minor"/>
    </font>
    <font>
      <b/>
      <i/>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9"/>
      <color rgb="FF000000"/>
      <name val="Arial"/>
      <family val="2"/>
    </font>
    <font>
      <b/>
      <u/>
      <sz val="9"/>
      <name val="Arial"/>
      <family val="2"/>
    </font>
  </fonts>
  <fills count="9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4" tint="0.79998168889431442"/>
        <bgColor indexed="65"/>
      </patternFill>
    </fill>
    <fill>
      <patternFill patternType="solid">
        <fgColor theme="6" tint="0.39997558519241921"/>
        <bgColor indexed="65"/>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000066"/>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rgb="FF00B050"/>
        <bgColor theme="0" tint="-0.14999847407452621"/>
      </patternFill>
    </fill>
    <fill>
      <patternFill patternType="solid">
        <fgColor theme="0"/>
        <bgColor theme="0" tint="-0.14999847407452621"/>
      </patternFill>
    </fill>
    <fill>
      <patternFill patternType="solid">
        <fgColor theme="3"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rgb="FF002060"/>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3">
    <border>
      <left/>
      <right/>
      <top/>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ck">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theme="0"/>
      </top>
      <bottom style="thin">
        <color theme="0"/>
      </bottom>
      <diagonal/>
    </border>
    <border>
      <left style="thin">
        <color indexed="64"/>
      </left>
      <right/>
      <top style="thin">
        <color theme="0"/>
      </top>
      <bottom/>
      <diagonal/>
    </border>
  </borders>
  <cellStyleXfs count="274">
    <xf numFmtId="0" fontId="0" fillId="0" borderId="0"/>
    <xf numFmtId="0" fontId="6" fillId="2" borderId="0" applyNumberFormat="0" applyBorder="0" applyAlignment="0" applyProtection="0"/>
    <xf numFmtId="0" fontId="96" fillId="31"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97" fillId="3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10" fontId="45" fillId="0" borderId="0" applyNumberFormat="0" applyFill="0" applyBorder="0" applyAlignment="0" applyProtection="0"/>
    <xf numFmtId="0" fontId="8" fillId="3" borderId="0" applyNumberFormat="0" applyBorder="0" applyAlignment="0" applyProtection="0"/>
    <xf numFmtId="0" fontId="46" fillId="0" borderId="0"/>
    <xf numFmtId="169" fontId="20" fillId="0" borderId="1">
      <alignment horizontal="right" vertical="top"/>
    </xf>
    <xf numFmtId="170" fontId="20" fillId="0" borderId="1">
      <alignment horizontal="right" vertical="top"/>
    </xf>
    <xf numFmtId="10" fontId="20" fillId="0" borderId="1">
      <alignment horizontal="right" vertical="top"/>
    </xf>
    <xf numFmtId="171" fontId="20" fillId="0" borderId="1">
      <alignment horizontal="right" vertical="top"/>
    </xf>
    <xf numFmtId="172" fontId="20" fillId="0" borderId="1">
      <alignment horizontal="right" vertical="top"/>
    </xf>
    <xf numFmtId="168" fontId="20" fillId="0" borderId="1">
      <alignment horizontal="right" vertical="top"/>
    </xf>
    <xf numFmtId="0" fontId="20" fillId="0" borderId="1">
      <alignment horizontal="left" vertical="top"/>
    </xf>
    <xf numFmtId="173" fontId="20" fillId="0" borderId="1">
      <alignment horizontal="right" vertical="top"/>
    </xf>
    <xf numFmtId="0" fontId="9" fillId="20" borderId="2" applyNumberFormat="0" applyAlignment="0" applyProtection="0"/>
    <xf numFmtId="0" fontId="10" fillId="21" borderId="3" applyNumberFormat="0" applyAlignment="0" applyProtection="0"/>
    <xf numFmtId="43" fontId="3"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82" fillId="0" borderId="0" applyFont="0" applyFill="0" applyBorder="0" applyAlignment="0" applyProtection="0"/>
    <xf numFmtId="43" fontId="20" fillId="0" borderId="0" applyFont="0" applyFill="0" applyBorder="0" applyAlignment="0" applyProtection="0"/>
    <xf numFmtId="0" fontId="20" fillId="22" borderId="0" applyNumberFormat="0" applyFont="0" applyBorder="0" applyAlignment="0" applyProtection="0"/>
    <xf numFmtId="0" fontId="25" fillId="0" borderId="0"/>
    <xf numFmtId="1" fontId="27" fillId="0" borderId="0">
      <alignment horizontal="center" vertical="center"/>
    </xf>
    <xf numFmtId="1" fontId="47" fillId="0" borderId="0" applyNumberFormat="0" applyFill="0" applyBorder="0" applyAlignment="0" applyProtection="0"/>
    <xf numFmtId="0" fontId="11" fillId="0" borderId="0" applyNumberFormat="0" applyFill="0" applyBorder="0" applyAlignment="0" applyProtection="0"/>
    <xf numFmtId="0" fontId="30" fillId="0" borderId="0" applyNumberFormat="0" applyFill="0" applyBorder="0" applyAlignment="0" applyProtection="0"/>
    <xf numFmtId="1" fontId="48" fillId="0" borderId="0" applyNumberFormat="0" applyFill="0" applyBorder="0" applyAlignment="0" applyProtection="0"/>
    <xf numFmtId="164" fontId="49" fillId="0" borderId="0" applyNumberFormat="0" applyFill="0" applyBorder="0" applyAlignment="0" applyProtection="0">
      <protection locked="0"/>
    </xf>
    <xf numFmtId="169" fontId="42" fillId="0" borderId="1">
      <alignment horizontal="right" vertical="top"/>
    </xf>
    <xf numFmtId="170" fontId="42" fillId="0" borderId="1">
      <alignment vertical="center"/>
    </xf>
    <xf numFmtId="10" fontId="42" fillId="0" borderId="1">
      <alignment horizontal="right" vertical="top"/>
    </xf>
    <xf numFmtId="171" fontId="42" fillId="0" borderId="1">
      <alignment horizontal="right" vertical="top"/>
    </xf>
    <xf numFmtId="172" fontId="42" fillId="0" borderId="1">
      <alignment horizontal="right" vertical="top"/>
    </xf>
    <xf numFmtId="168" fontId="42" fillId="0" borderId="1">
      <alignment horizontal="right" vertical="top"/>
    </xf>
    <xf numFmtId="0" fontId="42" fillId="0" borderId="1">
      <alignment horizontal="left" vertical="top"/>
    </xf>
    <xf numFmtId="0" fontId="12" fillId="4" borderId="0" applyNumberFormat="0" applyBorder="0" applyAlignment="0" applyProtection="0"/>
    <xf numFmtId="1" fontId="50" fillId="0" borderId="0" applyNumberFormat="0" applyFill="0" applyBorder="0" applyAlignment="0" applyProtection="0"/>
    <xf numFmtId="0" fontId="4" fillId="23" borderId="4" applyFill="0">
      <alignment horizontal="center" vertical="center" wrapText="1"/>
    </xf>
    <xf numFmtId="0" fontId="51" fillId="24" borderId="0" applyNumberFormat="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52" fillId="0" borderId="0"/>
    <xf numFmtId="0" fontId="16"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20" fillId="0" borderId="0" applyNumberFormat="0" applyFill="0" applyBorder="0" applyProtection="0">
      <alignment vertical="top" wrapText="1"/>
    </xf>
    <xf numFmtId="0" fontId="17" fillId="7" borderId="2" applyNumberFormat="0" applyAlignment="0" applyProtection="0"/>
    <xf numFmtId="169" fontId="20" fillId="25" borderId="1">
      <alignment horizontal="right" vertical="top"/>
      <protection locked="0"/>
    </xf>
    <xf numFmtId="170" fontId="20" fillId="25" borderId="1">
      <alignment horizontal="right" vertical="top"/>
      <protection locked="0"/>
    </xf>
    <xf numFmtId="10" fontId="20" fillId="25" borderId="1">
      <alignment horizontal="right" vertical="top"/>
      <protection locked="0"/>
    </xf>
    <xf numFmtId="171" fontId="20" fillId="25" borderId="1">
      <alignment horizontal="right" vertical="top"/>
      <protection locked="0"/>
    </xf>
    <xf numFmtId="172" fontId="20" fillId="25" borderId="1">
      <alignment horizontal="right" vertical="top"/>
      <protection locked="0"/>
    </xf>
    <xf numFmtId="168" fontId="20" fillId="25" borderId="1">
      <alignment horizontal="right" vertical="top"/>
      <protection locked="0"/>
    </xf>
    <xf numFmtId="49" fontId="20" fillId="25" borderId="1">
      <alignment horizontal="left" vertical="top"/>
      <protection locked="0"/>
    </xf>
    <xf numFmtId="0" fontId="18" fillId="0" borderId="8" applyNumberFormat="0" applyFill="0" applyAlignment="0" applyProtection="0"/>
    <xf numFmtId="0" fontId="53" fillId="0" borderId="0" applyNumberFormat="0" applyBorder="0">
      <alignment horizontal="left"/>
    </xf>
    <xf numFmtId="0" fontId="41" fillId="0" borderId="0" applyAlignment="0"/>
    <xf numFmtId="0" fontId="19" fillId="26" borderId="0" applyNumberFormat="0" applyBorder="0" applyAlignment="0" applyProtection="0"/>
    <xf numFmtId="0" fontId="20" fillId="0" borderId="0"/>
    <xf numFmtId="0" fontId="20" fillId="0" borderId="0" applyNumberFormat="0" applyFont="0" applyFill="0" applyBorder="0" applyAlignment="0" applyProtection="0"/>
    <xf numFmtId="0" fontId="20" fillId="0" borderId="0"/>
    <xf numFmtId="0" fontId="96" fillId="0" borderId="0"/>
    <xf numFmtId="0" fontId="20" fillId="0" borderId="0"/>
    <xf numFmtId="0" fontId="20" fillId="0" borderId="0">
      <protection locked="0"/>
    </xf>
    <xf numFmtId="0" fontId="20" fillId="0" borderId="0" applyNumberFormat="0" applyFont="0" applyFill="0" applyBorder="0" applyAlignment="0" applyProtection="0"/>
    <xf numFmtId="0" fontId="20" fillId="0" borderId="0" applyNumberFormat="0" applyFont="0" applyFill="0" applyBorder="0" applyAlignment="0" applyProtection="0"/>
    <xf numFmtId="0" fontId="20" fillId="0" borderId="0" applyNumberFormat="0" applyFont="0" applyFill="0" applyBorder="0" applyAlignment="0" applyProtection="0"/>
    <xf numFmtId="0" fontId="72" fillId="0" borderId="0" applyNumberFormat="0" applyFill="0" applyBorder="0" applyAlignment="0" applyProtection="0"/>
    <xf numFmtId="0" fontId="20" fillId="0" borderId="0"/>
    <xf numFmtId="0" fontId="96" fillId="0" borderId="0"/>
    <xf numFmtId="0" fontId="96" fillId="0" borderId="0"/>
    <xf numFmtId="0" fontId="68" fillId="0" borderId="0"/>
    <xf numFmtId="0" fontId="20" fillId="0" borderId="0"/>
    <xf numFmtId="0" fontId="3" fillId="0" borderId="0"/>
    <xf numFmtId="0" fontId="3" fillId="0" borderId="0" applyBorder="0"/>
    <xf numFmtId="0" fontId="82" fillId="0" borderId="0" applyBorder="0"/>
    <xf numFmtId="0" fontId="3" fillId="0" borderId="0"/>
    <xf numFmtId="0" fontId="82" fillId="0" borderId="0"/>
    <xf numFmtId="0" fontId="54" fillId="0" borderId="0" applyNumberFormat="0" applyFill="0" applyBorder="0" applyAlignment="0" applyProtection="0"/>
    <xf numFmtId="0" fontId="20" fillId="27" borderId="9" applyNumberFormat="0" applyFont="0" applyAlignment="0" applyProtection="0"/>
    <xf numFmtId="0" fontId="21" fillId="20" borderId="10" applyNumberFormat="0" applyAlignment="0" applyProtection="0"/>
    <xf numFmtId="9" fontId="3"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82" fillId="0" borderId="0" applyFont="0" applyFill="0" applyBorder="0" applyAlignment="0" applyProtection="0"/>
    <xf numFmtId="9" fontId="20" fillId="0" borderId="0" applyFont="0" applyFill="0" applyBorder="0" applyAlignment="0" applyProtection="0"/>
    <xf numFmtId="1" fontId="55" fillId="0" borderId="11" applyNumberFormat="0" applyFill="0" applyBorder="0" applyAlignment="0" applyProtection="0"/>
    <xf numFmtId="1" fontId="55" fillId="0" borderId="0" applyNumberFormat="0" applyFill="0" applyBorder="0" applyAlignment="0" applyProtection="0"/>
    <xf numFmtId="169" fontId="20" fillId="28" borderId="1">
      <alignment horizontal="right" vertical="top"/>
    </xf>
    <xf numFmtId="10" fontId="20" fillId="28" borderId="1">
      <alignment horizontal="right" vertical="top"/>
    </xf>
    <xf numFmtId="171" fontId="20" fillId="28" borderId="1">
      <alignment horizontal="right" vertical="top"/>
    </xf>
    <xf numFmtId="172" fontId="20" fillId="29" borderId="1">
      <alignment horizontal="right" vertical="top"/>
    </xf>
    <xf numFmtId="168" fontId="20" fillId="28" borderId="1">
      <alignment horizontal="right" vertical="top"/>
    </xf>
    <xf numFmtId="49" fontId="20" fillId="28" borderId="1">
      <alignment horizontal="left" vertical="top" wrapText="1"/>
    </xf>
    <xf numFmtId="1" fontId="20" fillId="0" borderId="12"/>
    <xf numFmtId="2" fontId="4" fillId="0" borderId="0"/>
    <xf numFmtId="0" fontId="56" fillId="0" borderId="0">
      <alignment horizontal="right"/>
    </xf>
    <xf numFmtId="1" fontId="57" fillId="0" borderId="0" applyFill="0" applyBorder="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23" fillId="0" borderId="13" applyNumberFormat="0" applyFill="0" applyAlignment="0" applyProtection="0"/>
    <xf numFmtId="0" fontId="35" fillId="0" borderId="0">
      <alignment horizontal="center" vertical="center"/>
    </xf>
    <xf numFmtId="37" fontId="32" fillId="0" borderId="0"/>
    <xf numFmtId="0" fontId="24" fillId="0" borderId="0" applyNumberFormat="0" applyFill="0" applyBorder="0" applyAlignment="0" applyProtection="0"/>
    <xf numFmtId="0" fontId="20" fillId="30" borderId="0" applyNumberFormat="0" applyFont="0" applyBorder="0" applyAlignment="0" applyProtection="0"/>
    <xf numFmtId="0" fontId="3" fillId="0" borderId="0"/>
    <xf numFmtId="0" fontId="3" fillId="0" borderId="0">
      <protection locked="0"/>
    </xf>
    <xf numFmtId="0" fontId="2" fillId="31" borderId="0" applyNumberFormat="0" applyBorder="0" applyAlignment="0" applyProtection="0"/>
    <xf numFmtId="169" fontId="3" fillId="0" borderId="1">
      <alignment horizontal="right" vertical="top"/>
    </xf>
    <xf numFmtId="170" fontId="3" fillId="0" borderId="1">
      <alignment horizontal="right" vertical="top"/>
    </xf>
    <xf numFmtId="10" fontId="3" fillId="0" borderId="1">
      <alignment horizontal="right" vertical="top"/>
    </xf>
    <xf numFmtId="171" fontId="3" fillId="0" borderId="1">
      <alignment horizontal="right" vertical="top"/>
    </xf>
    <xf numFmtId="172" fontId="3" fillId="0" borderId="1">
      <alignment horizontal="right" vertical="top"/>
    </xf>
    <xf numFmtId="168" fontId="3" fillId="0" borderId="1">
      <alignment horizontal="right" vertical="top"/>
    </xf>
    <xf numFmtId="0" fontId="3" fillId="0" borderId="1">
      <alignment horizontal="left" vertical="top"/>
    </xf>
    <xf numFmtId="173" fontId="3" fillId="0" borderId="1">
      <alignment horizontal="right" vertical="top"/>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2" borderId="0" applyNumberFormat="0" applyFont="0" applyBorder="0" applyAlignment="0" applyProtection="0"/>
    <xf numFmtId="0" fontId="3" fillId="0" borderId="0" applyNumberFormat="0" applyFill="0" applyBorder="0" applyProtection="0">
      <alignment vertical="top" wrapText="1"/>
    </xf>
    <xf numFmtId="169" fontId="3" fillId="25" borderId="1">
      <alignment horizontal="right" vertical="top"/>
      <protection locked="0"/>
    </xf>
    <xf numFmtId="170" fontId="3" fillId="25" borderId="1">
      <alignment horizontal="right" vertical="top"/>
      <protection locked="0"/>
    </xf>
    <xf numFmtId="10" fontId="3" fillId="25" borderId="1">
      <alignment horizontal="right" vertical="top"/>
      <protection locked="0"/>
    </xf>
    <xf numFmtId="171" fontId="3" fillId="25" borderId="1">
      <alignment horizontal="right" vertical="top"/>
      <protection locked="0"/>
    </xf>
    <xf numFmtId="172" fontId="3" fillId="25" borderId="1">
      <alignment horizontal="right" vertical="top"/>
      <protection locked="0"/>
    </xf>
    <xf numFmtId="168" fontId="3" fillId="25" borderId="1">
      <alignment horizontal="right" vertical="top"/>
      <protection locked="0"/>
    </xf>
    <xf numFmtId="49" fontId="3" fillId="25" borderId="1">
      <alignment horizontal="left" vertical="top"/>
      <protection locked="0"/>
    </xf>
    <xf numFmtId="0" fontId="3" fillId="0" borderId="0"/>
    <xf numFmtId="0" fontId="3" fillId="0" borderId="0" applyNumberFormat="0" applyFont="0" applyFill="0" applyBorder="0" applyAlignment="0" applyProtection="0"/>
    <xf numFmtId="0" fontId="3" fillId="0" borderId="0"/>
    <xf numFmtId="0" fontId="2" fillId="0" borderId="0"/>
    <xf numFmtId="0" fontId="3"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xf numFmtId="0" fontId="2" fillId="0" borderId="0"/>
    <xf numFmtId="0" fontId="2"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69" fontId="3" fillId="28" borderId="1">
      <alignment horizontal="right" vertical="top"/>
    </xf>
    <xf numFmtId="10" fontId="3" fillId="28" borderId="1">
      <alignment horizontal="right" vertical="top"/>
    </xf>
    <xf numFmtId="171" fontId="3" fillId="28" borderId="1">
      <alignment horizontal="right" vertical="top"/>
    </xf>
    <xf numFmtId="172" fontId="3" fillId="29" borderId="1">
      <alignment horizontal="right" vertical="top"/>
    </xf>
    <xf numFmtId="168" fontId="3" fillId="28" borderId="1">
      <alignment horizontal="right" vertical="top"/>
    </xf>
    <xf numFmtId="49" fontId="3" fillId="28" borderId="1">
      <alignment horizontal="left" vertical="top" wrapText="1"/>
    </xf>
    <xf numFmtId="1" fontId="3" fillId="0" borderId="12"/>
    <xf numFmtId="0" fontId="3" fillId="30" borderId="0" applyNumberFormat="0" applyFont="0" applyBorder="0" applyAlignment="0" applyProtection="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80" fillId="0" borderId="0" applyNumberFormat="0" applyFill="0" applyBorder="0" applyAlignment="0" applyProtection="0"/>
    <xf numFmtId="0" fontId="181" fillId="0" borderId="52" applyNumberFormat="0" applyFill="0" applyAlignment="0" applyProtection="0"/>
    <xf numFmtId="0" fontId="182" fillId="0" borderId="53" applyNumberFormat="0" applyFill="0" applyAlignment="0" applyProtection="0"/>
    <xf numFmtId="0" fontId="183" fillId="0" borderId="54" applyNumberFormat="0" applyFill="0" applyAlignment="0" applyProtection="0"/>
    <xf numFmtId="0" fontId="183" fillId="0" borderId="0" applyNumberFormat="0" applyFill="0" applyBorder="0" applyAlignment="0" applyProtection="0"/>
    <xf numFmtId="0" fontId="184" fillId="62" borderId="0" applyNumberFormat="0" applyBorder="0" applyAlignment="0" applyProtection="0"/>
    <xf numFmtId="0" fontId="185" fillId="63" borderId="0" applyNumberFormat="0" applyBorder="0" applyAlignment="0" applyProtection="0"/>
    <xf numFmtId="0" fontId="186" fillId="64" borderId="0" applyNumberFormat="0" applyBorder="0" applyAlignment="0" applyProtection="0"/>
    <xf numFmtId="0" fontId="187" fillId="65" borderId="55" applyNumberFormat="0" applyAlignment="0" applyProtection="0"/>
    <xf numFmtId="0" fontId="188" fillId="66" borderId="56" applyNumberFormat="0" applyAlignment="0" applyProtection="0"/>
    <xf numFmtId="0" fontId="189" fillId="66" borderId="55" applyNumberFormat="0" applyAlignment="0" applyProtection="0"/>
    <xf numFmtId="0" fontId="190" fillId="0" borderId="57" applyNumberFormat="0" applyFill="0" applyAlignment="0" applyProtection="0"/>
    <xf numFmtId="0" fontId="191" fillId="67" borderId="58" applyNumberFormat="0" applyAlignment="0" applyProtection="0"/>
    <xf numFmtId="0" fontId="178" fillId="0" borderId="0" applyNumberFormat="0" applyFill="0" applyBorder="0" applyAlignment="0" applyProtection="0"/>
    <xf numFmtId="0" fontId="1" fillId="68" borderId="59" applyNumberFormat="0" applyFont="0" applyAlignment="0" applyProtection="0"/>
    <xf numFmtId="0" fontId="192" fillId="0" borderId="0" applyNumberFormat="0" applyFill="0" applyBorder="0" applyAlignment="0" applyProtection="0"/>
    <xf numFmtId="0" fontId="112" fillId="0" borderId="60" applyNumberFormat="0" applyFill="0" applyAlignment="0" applyProtection="0"/>
    <xf numFmtId="0" fontId="193" fillId="69" borderId="0" applyNumberFormat="0" applyBorder="0" applyAlignment="0" applyProtection="0"/>
    <xf numFmtId="0" fontId="1" fillId="31" borderId="0" applyNumberFormat="0" applyBorder="0" applyAlignment="0" applyProtection="0"/>
    <xf numFmtId="0" fontId="1" fillId="70" borderId="0" applyNumberFormat="0" applyBorder="0" applyAlignment="0" applyProtection="0"/>
    <xf numFmtId="0" fontId="193" fillId="71" borderId="0" applyNumberFormat="0" applyBorder="0" applyAlignment="0" applyProtection="0"/>
    <xf numFmtId="0" fontId="193" fillId="72"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93" fillId="75" borderId="0" applyNumberFormat="0" applyBorder="0" applyAlignment="0" applyProtection="0"/>
    <xf numFmtId="0" fontId="193" fillId="76"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93" fillId="32" borderId="0" applyNumberFormat="0" applyBorder="0" applyAlignment="0" applyProtection="0"/>
    <xf numFmtId="0" fontId="193" fillId="79" borderId="0" applyNumberFormat="0" applyBorder="0" applyAlignment="0" applyProtection="0"/>
    <xf numFmtId="0" fontId="1" fillId="80" borderId="0" applyNumberFormat="0" applyBorder="0" applyAlignment="0" applyProtection="0"/>
    <xf numFmtId="0" fontId="1" fillId="81" borderId="0" applyNumberFormat="0" applyBorder="0" applyAlignment="0" applyProtection="0"/>
    <xf numFmtId="0" fontId="193" fillId="82" borderId="0" applyNumberFormat="0" applyBorder="0" applyAlignment="0" applyProtection="0"/>
    <xf numFmtId="0" fontId="193" fillId="83" borderId="0" applyNumberFormat="0" applyBorder="0" applyAlignment="0" applyProtection="0"/>
    <xf numFmtId="0" fontId="1" fillId="84" borderId="0" applyNumberFormat="0" applyBorder="0" applyAlignment="0" applyProtection="0"/>
    <xf numFmtId="0" fontId="1" fillId="85" borderId="0" applyNumberFormat="0" applyBorder="0" applyAlignment="0" applyProtection="0"/>
    <xf numFmtId="0" fontId="193" fillId="86" borderId="0" applyNumberFormat="0" applyBorder="0" applyAlignment="0" applyProtection="0"/>
    <xf numFmtId="0" fontId="193"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93" fillId="90" borderId="0" applyNumberFormat="0" applyBorder="0" applyAlignment="0" applyProtection="0"/>
    <xf numFmtId="0" fontId="3" fillId="0" borderId="0"/>
    <xf numFmtId="0" fontId="6" fillId="2" borderId="0" applyNumberFormat="0" applyBorder="0" applyAlignment="0" applyProtection="0"/>
    <xf numFmtId="0" fontId="1" fillId="31"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9" fillId="20" borderId="2" applyNumberFormat="0" applyAlignment="0" applyProtection="0"/>
    <xf numFmtId="0" fontId="10" fillId="21" borderId="3"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5" applyNumberFormat="0" applyFill="0" applyAlignment="0" applyProtection="0"/>
    <xf numFmtId="0" fontId="14" fillId="0" borderId="6" applyNumberFormat="0" applyFill="0" applyAlignment="0" applyProtection="0"/>
    <xf numFmtId="0" fontId="15" fillId="0" borderId="7" applyNumberFormat="0" applyFill="0" applyAlignment="0" applyProtection="0"/>
    <xf numFmtId="0" fontId="15" fillId="0" borderId="0" applyNumberFormat="0" applyFill="0" applyBorder="0" applyAlignment="0" applyProtection="0"/>
    <xf numFmtId="0" fontId="17" fillId="7" borderId="2" applyNumberFormat="0" applyAlignment="0" applyProtection="0"/>
    <xf numFmtId="0" fontId="18" fillId="0" borderId="8" applyNumberFormat="0" applyFill="0" applyAlignment="0" applyProtection="0"/>
    <xf numFmtId="0" fontId="19" fillId="26" borderId="0" applyNumberFormat="0" applyBorder="0" applyAlignment="0" applyProtection="0"/>
    <xf numFmtId="0" fontId="3" fillId="0" borderId="0">
      <protection locked="0"/>
    </xf>
    <xf numFmtId="0" fontId="3" fillId="27" borderId="9" applyNumberFormat="0" applyFont="0" applyAlignment="0" applyProtection="0"/>
    <xf numFmtId="0" fontId="21" fillId="20" borderId="10" applyNumberFormat="0" applyAlignment="0" applyProtection="0"/>
    <xf numFmtId="9" fontId="3" fillId="0" borderId="0" applyFont="0" applyFill="0" applyBorder="0" applyAlignment="0" applyProtection="0"/>
    <xf numFmtId="0" fontId="22" fillId="0" borderId="0" applyNumberFormat="0" applyFill="0" applyBorder="0" applyAlignment="0" applyProtection="0"/>
    <xf numFmtId="0" fontId="23" fillId="0" borderId="13" applyNumberFormat="0" applyFill="0" applyAlignment="0" applyProtection="0"/>
    <xf numFmtId="0" fontId="24" fillId="0" borderId="0" applyNumberFormat="0" applyFill="0" applyBorder="0" applyAlignment="0" applyProtection="0"/>
  </cellStyleXfs>
  <cellXfs count="1356">
    <xf numFmtId="0" fontId="0" fillId="0" borderId="0" xfId="0"/>
    <xf numFmtId="0" fontId="0" fillId="0" borderId="0" xfId="0" applyBorder="1"/>
    <xf numFmtId="0" fontId="0" fillId="0" borderId="0" xfId="0" applyFill="1"/>
    <xf numFmtId="38" fontId="0" fillId="0" borderId="0" xfId="0" applyNumberFormat="1"/>
    <xf numFmtId="0" fontId="3" fillId="0" borderId="0" xfId="101"/>
    <xf numFmtId="0" fontId="4" fillId="0" borderId="0" xfId="0" applyFont="1"/>
    <xf numFmtId="9" fontId="0" fillId="0" borderId="0" xfId="109" applyFont="1"/>
    <xf numFmtId="0" fontId="0" fillId="0" borderId="0" xfId="0" applyFill="1" applyBorder="1"/>
    <xf numFmtId="0" fontId="4" fillId="0" borderId="11" xfId="0" applyFont="1" applyBorder="1" applyAlignment="1">
      <alignment horizontal="center"/>
    </xf>
    <xf numFmtId="0" fontId="20" fillId="0" borderId="0" xfId="0" applyFont="1" applyFill="1"/>
    <xf numFmtId="1" fontId="0" fillId="0" borderId="0" xfId="0" applyNumberFormat="1"/>
    <xf numFmtId="9" fontId="3" fillId="0" borderId="0" xfId="101" applyNumberFormat="1"/>
    <xf numFmtId="0" fontId="20" fillId="0" borderId="0" xfId="0" applyFont="1"/>
    <xf numFmtId="0" fontId="4" fillId="0" borderId="0" xfId="0" applyFont="1" applyFill="1"/>
    <xf numFmtId="0" fontId="4" fillId="0" borderId="11" xfId="0" applyFont="1" applyFill="1" applyBorder="1" applyAlignment="1">
      <alignment horizontal="center"/>
    </xf>
    <xf numFmtId="0" fontId="98" fillId="0" borderId="0" xfId="0" applyFont="1"/>
    <xf numFmtId="0" fontId="20" fillId="33" borderId="0" xfId="91" applyFill="1">
      <protection locked="0"/>
    </xf>
    <xf numFmtId="0" fontId="99" fillId="33" borderId="0" xfId="91" applyFont="1" applyFill="1">
      <protection locked="0"/>
    </xf>
    <xf numFmtId="0" fontId="4" fillId="33" borderId="0" xfId="91" applyFont="1" applyFill="1">
      <protection locked="0"/>
    </xf>
    <xf numFmtId="0" fontId="4" fillId="0" borderId="0" xfId="91" applyNumberFormat="1" applyFont="1">
      <protection locked="0"/>
    </xf>
    <xf numFmtId="0" fontId="20" fillId="34" borderId="0" xfId="91" applyFill="1">
      <protection locked="0"/>
    </xf>
    <xf numFmtId="0" fontId="100" fillId="34" borderId="0" xfId="91" applyFont="1" applyFill="1">
      <protection locked="0"/>
    </xf>
    <xf numFmtId="0" fontId="99" fillId="34" borderId="0" xfId="91" applyFont="1" applyFill="1">
      <protection locked="0"/>
    </xf>
    <xf numFmtId="0" fontId="20" fillId="35" borderId="0" xfId="91" applyFill="1">
      <protection locked="0"/>
    </xf>
    <xf numFmtId="0" fontId="20" fillId="0" borderId="1" xfId="36">
      <alignment horizontal="left" vertical="top"/>
    </xf>
    <xf numFmtId="0" fontId="41" fillId="0" borderId="0" xfId="84"/>
    <xf numFmtId="1" fontId="27" fillId="34" borderId="0" xfId="48" applyFill="1">
      <alignment horizontal="center" vertical="center"/>
    </xf>
    <xf numFmtId="0" fontId="101" fillId="34" borderId="0" xfId="91" applyFont="1" applyFill="1" applyProtection="1"/>
    <xf numFmtId="0" fontId="35" fillId="35" borderId="0" xfId="91" applyFont="1" applyFill="1" applyAlignment="1">
      <protection locked="0"/>
    </xf>
    <xf numFmtId="0" fontId="20" fillId="36" borderId="0" xfId="91" applyFill="1">
      <protection locked="0"/>
    </xf>
    <xf numFmtId="0" fontId="100" fillId="36" borderId="0" xfId="91" applyFont="1" applyFill="1">
      <protection locked="0"/>
    </xf>
    <xf numFmtId="0" fontId="20" fillId="0" borderId="0" xfId="91">
      <protection locked="0"/>
    </xf>
    <xf numFmtId="0" fontId="100" fillId="35" borderId="0" xfId="91" applyFont="1" applyFill="1">
      <protection locked="0"/>
    </xf>
    <xf numFmtId="0" fontId="99" fillId="36" borderId="0" xfId="91" applyFont="1" applyFill="1" applyProtection="1"/>
    <xf numFmtId="1" fontId="27" fillId="36" borderId="0" xfId="48" applyFill="1">
      <alignment horizontal="center" vertical="center"/>
    </xf>
    <xf numFmtId="0" fontId="20" fillId="36" borderId="0" xfId="91" applyFill="1" applyAlignment="1">
      <alignment vertical="center" wrapText="1"/>
      <protection locked="0"/>
    </xf>
    <xf numFmtId="0" fontId="20" fillId="0" borderId="1" xfId="36" applyAlignment="1">
      <alignment horizontal="left" vertical="top"/>
    </xf>
    <xf numFmtId="0" fontId="33" fillId="0" borderId="0" xfId="0" applyFont="1"/>
    <xf numFmtId="0" fontId="44" fillId="0" borderId="0" xfId="0" applyFont="1"/>
    <xf numFmtId="0" fontId="37" fillId="0" borderId="0" xfId="0" applyFont="1"/>
    <xf numFmtId="0" fontId="20" fillId="33" borderId="0" xfId="91" applyFill="1" applyAlignment="1">
      <alignment vertical="center"/>
      <protection locked="0"/>
    </xf>
    <xf numFmtId="0" fontId="99" fillId="33" borderId="0" xfId="91" applyFont="1" applyFill="1" applyAlignment="1">
      <alignment vertical="center"/>
      <protection locked="0"/>
    </xf>
    <xf numFmtId="0" fontId="16" fillId="33" borderId="0" xfId="70" applyFill="1" applyAlignment="1">
      <alignment horizontal="left" vertical="center"/>
      <protection locked="0"/>
    </xf>
    <xf numFmtId="0" fontId="102" fillId="33" borderId="0" xfId="91" applyFont="1" applyFill="1" applyAlignment="1">
      <alignment horizontal="right" vertical="center"/>
      <protection locked="0"/>
    </xf>
    <xf numFmtId="0" fontId="0" fillId="37" borderId="0" xfId="0" applyFill="1" applyBorder="1" applyAlignment="1"/>
    <xf numFmtId="0" fontId="5" fillId="37" borderId="0" xfId="104" applyFont="1" applyFill="1" applyBorder="1" applyAlignment="1"/>
    <xf numFmtId="0" fontId="5" fillId="37" borderId="0" xfId="104" applyFont="1" applyFill="1" applyBorder="1" applyAlignment="1">
      <alignment vertical="center" wrapText="1"/>
    </xf>
    <xf numFmtId="0" fontId="16" fillId="37" borderId="14" xfId="70" applyFill="1" applyBorder="1" applyAlignment="1" applyProtection="1"/>
    <xf numFmtId="0" fontId="0" fillId="37" borderId="14" xfId="0" applyFill="1" applyBorder="1" applyAlignment="1"/>
    <xf numFmtId="0" fontId="5" fillId="37" borderId="14" xfId="104" applyFont="1" applyFill="1" applyBorder="1" applyAlignment="1"/>
    <xf numFmtId="0" fontId="20" fillId="0" borderId="0" xfId="101" applyFont="1"/>
    <xf numFmtId="0" fontId="103" fillId="33" borderId="0" xfId="91" applyFont="1" applyFill="1">
      <protection locked="0"/>
    </xf>
    <xf numFmtId="0" fontId="103" fillId="33" borderId="0" xfId="91" applyFont="1" applyFill="1" applyAlignment="1">
      <alignment horizontal="right"/>
      <protection locked="0"/>
    </xf>
    <xf numFmtId="0" fontId="4" fillId="37" borderId="0" xfId="104" applyFont="1" applyFill="1" applyBorder="1" applyAlignment="1">
      <alignment vertical="top"/>
    </xf>
    <xf numFmtId="0" fontId="4" fillId="37" borderId="14" xfId="104" applyFont="1" applyFill="1" applyBorder="1" applyAlignment="1">
      <alignment vertical="top"/>
    </xf>
    <xf numFmtId="0" fontId="20" fillId="37" borderId="0" xfId="104" applyFont="1" applyFill="1" applyBorder="1" applyAlignment="1">
      <alignment vertical="top"/>
    </xf>
    <xf numFmtId="0" fontId="3" fillId="37" borderId="0" xfId="102" applyFill="1"/>
    <xf numFmtId="0" fontId="20" fillId="37" borderId="0" xfId="102" applyFont="1" applyFill="1"/>
    <xf numFmtId="0" fontId="0" fillId="37" borderId="0" xfId="0" applyFill="1" applyBorder="1" applyAlignment="1">
      <alignment vertical="center"/>
    </xf>
    <xf numFmtId="0" fontId="4" fillId="37" borderId="0" xfId="104" applyFont="1" applyFill="1" applyBorder="1" applyAlignment="1">
      <alignment vertical="center"/>
    </xf>
    <xf numFmtId="0" fontId="20" fillId="37" borderId="0" xfId="0" applyFont="1" applyFill="1" applyBorder="1" applyAlignment="1"/>
    <xf numFmtId="0" fontId="16" fillId="37" borderId="0" xfId="70" applyFont="1" applyFill="1" applyBorder="1" applyAlignment="1" applyProtection="1"/>
    <xf numFmtId="0" fontId="16" fillId="37" borderId="14" xfId="70" quotePrefix="1" applyFill="1" applyBorder="1" applyAlignment="1" applyProtection="1">
      <alignment vertical="center"/>
    </xf>
    <xf numFmtId="0" fontId="4" fillId="37" borderId="14" xfId="0" applyFont="1" applyFill="1" applyBorder="1" applyAlignment="1">
      <alignment vertical="center"/>
    </xf>
    <xf numFmtId="0" fontId="43" fillId="37" borderId="0" xfId="91" applyFont="1" applyFill="1" applyProtection="1"/>
    <xf numFmtId="0" fontId="43" fillId="37" borderId="0" xfId="91" applyFont="1" applyFill="1">
      <protection locked="0"/>
    </xf>
    <xf numFmtId="0" fontId="59" fillId="37" borderId="0" xfId="70" applyFont="1" applyFill="1" applyBorder="1" applyAlignment="1" applyProtection="1"/>
    <xf numFmtId="0" fontId="34" fillId="37" borderId="0" xfId="91" applyFont="1" applyFill="1">
      <protection locked="0"/>
    </xf>
    <xf numFmtId="0" fontId="5" fillId="37" borderId="0" xfId="104" applyFont="1" applyFill="1" applyBorder="1" applyAlignment="1">
      <alignment vertical="center"/>
    </xf>
    <xf numFmtId="0" fontId="20" fillId="37" borderId="0" xfId="0" applyFont="1" applyFill="1" applyBorder="1" applyAlignment="1">
      <alignment vertical="center"/>
    </xf>
    <xf numFmtId="0" fontId="105" fillId="37" borderId="14" xfId="0" applyFont="1" applyFill="1" applyBorder="1" applyAlignment="1"/>
    <xf numFmtId="0" fontId="4" fillId="37" borderId="14" xfId="0" applyFont="1" applyFill="1" applyBorder="1" applyAlignment="1"/>
    <xf numFmtId="0" fontId="106" fillId="37" borderId="14" xfId="70" applyFont="1" applyFill="1" applyBorder="1" applyAlignment="1" applyProtection="1">
      <alignment vertical="center"/>
    </xf>
    <xf numFmtId="9" fontId="0" fillId="0" borderId="0" xfId="109" applyFont="1" applyFill="1"/>
    <xf numFmtId="0" fontId="20" fillId="0" borderId="0" xfId="0" applyFont="1" applyFill="1" applyBorder="1"/>
    <xf numFmtId="0" fontId="28" fillId="0" borderId="0" xfId="0" applyFont="1"/>
    <xf numFmtId="0" fontId="4" fillId="0" borderId="11" xfId="0" applyFont="1" applyBorder="1" applyAlignment="1">
      <alignment horizontal="center" wrapText="1"/>
    </xf>
    <xf numFmtId="0" fontId="60" fillId="0" borderId="0" xfId="0" applyFont="1"/>
    <xf numFmtId="0" fontId="61" fillId="37" borderId="0" xfId="70" applyFont="1" applyFill="1" applyBorder="1" applyAlignment="1" applyProtection="1"/>
    <xf numFmtId="0" fontId="25" fillId="37" borderId="0" xfId="91" applyFont="1" applyFill="1">
      <protection locked="0"/>
    </xf>
    <xf numFmtId="0" fontId="33" fillId="37" borderId="0" xfId="102" applyFont="1" applyFill="1" applyAlignment="1">
      <alignment vertical="center"/>
    </xf>
    <xf numFmtId="0" fontId="33" fillId="37" borderId="0" xfId="102" applyFont="1" applyFill="1"/>
    <xf numFmtId="0" fontId="33" fillId="37" borderId="0" xfId="104" applyFont="1" applyFill="1" applyBorder="1" applyAlignment="1">
      <alignment vertical="center" wrapText="1"/>
    </xf>
    <xf numFmtId="0" fontId="33" fillId="37" borderId="0" xfId="0" applyFont="1" applyFill="1" applyBorder="1" applyAlignment="1">
      <alignment vertical="center"/>
    </xf>
    <xf numFmtId="0" fontId="33" fillId="37" borderId="0" xfId="104" applyFont="1" applyFill="1" applyBorder="1" applyAlignment="1">
      <alignment vertical="center"/>
    </xf>
    <xf numFmtId="0" fontId="33" fillId="37" borderId="0" xfId="0" applyFont="1" applyFill="1" applyBorder="1" applyAlignment="1"/>
    <xf numFmtId="0" fontId="33" fillId="37" borderId="0" xfId="104" applyFont="1" applyFill="1" applyBorder="1" applyAlignment="1"/>
    <xf numFmtId="0" fontId="25" fillId="37" borderId="14" xfId="104" applyFont="1" applyFill="1" applyBorder="1" applyAlignment="1">
      <alignment vertical="center"/>
    </xf>
    <xf numFmtId="0" fontId="107" fillId="37" borderId="14" xfId="70" applyFont="1" applyFill="1" applyBorder="1" applyAlignment="1" applyProtection="1">
      <alignment vertical="center"/>
    </xf>
    <xf numFmtId="0" fontId="108" fillId="37" borderId="14" xfId="0" applyFont="1" applyFill="1" applyBorder="1" applyAlignment="1"/>
    <xf numFmtId="0" fontId="61" fillId="37" borderId="14" xfId="70" applyFont="1" applyFill="1" applyBorder="1" applyAlignment="1" applyProtection="1"/>
    <xf numFmtId="0" fontId="61" fillId="37" borderId="14" xfId="70" quotePrefix="1" applyFont="1" applyFill="1" applyBorder="1" applyAlignment="1" applyProtection="1"/>
    <xf numFmtId="0" fontId="25" fillId="37" borderId="14" xfId="0" applyFont="1" applyFill="1" applyBorder="1" applyAlignment="1"/>
    <xf numFmtId="0" fontId="33" fillId="37" borderId="14" xfId="104" applyFont="1" applyFill="1" applyBorder="1" applyAlignment="1"/>
    <xf numFmtId="0" fontId="33" fillId="37" borderId="14" xfId="0" applyFont="1" applyFill="1" applyBorder="1" applyAlignment="1"/>
    <xf numFmtId="1" fontId="0" fillId="0" borderId="0" xfId="0" applyNumberFormat="1" applyFill="1"/>
    <xf numFmtId="0" fontId="4" fillId="38" borderId="0" xfId="0" applyFont="1" applyFill="1"/>
    <xf numFmtId="0" fontId="34" fillId="37" borderId="0" xfId="91" applyFont="1" applyFill="1" applyBorder="1" applyProtection="1"/>
    <xf numFmtId="0" fontId="34" fillId="37" borderId="0" xfId="91" applyFont="1" applyFill="1" applyBorder="1">
      <protection locked="0"/>
    </xf>
    <xf numFmtId="0" fontId="43" fillId="37" borderId="0" xfId="91" applyFont="1" applyFill="1" applyBorder="1">
      <protection locked="0"/>
    </xf>
    <xf numFmtId="0" fontId="4" fillId="37" borderId="0" xfId="102" applyFont="1" applyFill="1" applyBorder="1"/>
    <xf numFmtId="0" fontId="20" fillId="37" borderId="0" xfId="102" applyFont="1" applyFill="1" applyBorder="1"/>
    <xf numFmtId="0" fontId="4" fillId="37" borderId="14" xfId="104" applyFont="1" applyFill="1" applyBorder="1" applyAlignment="1">
      <alignment vertical="center" wrapText="1"/>
    </xf>
    <xf numFmtId="0" fontId="20" fillId="37" borderId="14" xfId="104" applyFont="1" applyFill="1" applyBorder="1" applyAlignment="1">
      <alignment vertical="center" wrapText="1"/>
    </xf>
    <xf numFmtId="0" fontId="43" fillId="37" borderId="14" xfId="104" applyFont="1" applyFill="1" applyBorder="1" applyAlignment="1">
      <alignment vertical="center"/>
    </xf>
    <xf numFmtId="0" fontId="26" fillId="37" borderId="14" xfId="104" applyFont="1" applyFill="1" applyBorder="1" applyAlignment="1">
      <alignment vertical="center" wrapText="1"/>
    </xf>
    <xf numFmtId="0" fontId="109" fillId="33" borderId="0" xfId="91" applyFont="1" applyFill="1">
      <protection locked="0"/>
    </xf>
    <xf numFmtId="0" fontId="36" fillId="0" borderId="0" xfId="0" applyFont="1"/>
    <xf numFmtId="0" fontId="110" fillId="33" borderId="0" xfId="91" applyFont="1" applyFill="1">
      <protection locked="0"/>
    </xf>
    <xf numFmtId="38" fontId="33" fillId="0" borderId="0" xfId="0" applyNumberFormat="1" applyFont="1" applyFill="1" applyBorder="1" applyProtection="1">
      <protection locked="0"/>
    </xf>
    <xf numFmtId="3" fontId="33" fillId="0" borderId="0" xfId="0" applyNumberFormat="1" applyFont="1" applyFill="1" applyBorder="1" applyProtection="1">
      <protection locked="0"/>
    </xf>
    <xf numFmtId="0" fontId="33" fillId="0" borderId="0" xfId="0" applyFont="1" applyFill="1" applyBorder="1" applyAlignment="1" applyProtection="1">
      <alignment horizontal="right"/>
      <protection locked="0"/>
    </xf>
    <xf numFmtId="165" fontId="33" fillId="0" borderId="0" xfId="0" applyNumberFormat="1" applyFont="1" applyFill="1" applyBorder="1" applyProtection="1">
      <protection locked="0"/>
    </xf>
    <xf numFmtId="1" fontId="33" fillId="0" borderId="0" xfId="0" applyNumberFormat="1" applyFont="1" applyFill="1" applyBorder="1" applyProtection="1">
      <protection locked="0"/>
    </xf>
    <xf numFmtId="0" fontId="102" fillId="0" borderId="0" xfId="0" applyFont="1"/>
    <xf numFmtId="0" fontId="0" fillId="0" borderId="0" xfId="0" applyAlignment="1">
      <alignment horizontal="center"/>
    </xf>
    <xf numFmtId="0" fontId="111" fillId="0" borderId="0" xfId="0" applyFont="1"/>
    <xf numFmtId="0" fontId="20" fillId="0" borderId="0" xfId="0" applyFont="1" applyAlignment="1">
      <alignment horizontal="center"/>
    </xf>
    <xf numFmtId="0" fontId="111" fillId="0" borderId="0" xfId="0" applyFont="1" applyFill="1" applyBorder="1" applyAlignment="1">
      <alignment horizontal="left"/>
    </xf>
    <xf numFmtId="0" fontId="20" fillId="0" borderId="0" xfId="0" applyFont="1" applyBorder="1" applyAlignment="1">
      <alignment horizontal="center"/>
    </xf>
    <xf numFmtId="0" fontId="112" fillId="0" borderId="0" xfId="0" applyFont="1" applyBorder="1" applyAlignment="1"/>
    <xf numFmtId="0" fontId="112" fillId="0" borderId="0" xfId="0" applyFont="1" applyBorder="1"/>
    <xf numFmtId="0" fontId="20" fillId="0" borderId="0" xfId="0" applyFont="1" applyFill="1" applyBorder="1" applyAlignment="1">
      <alignment horizontal="center"/>
    </xf>
    <xf numFmtId="0" fontId="44" fillId="0" borderId="0" xfId="0" applyFont="1" applyFill="1" applyBorder="1" applyAlignment="1">
      <alignment horizontal="left"/>
    </xf>
    <xf numFmtId="0" fontId="33" fillId="0" borderId="0" xfId="0" applyFont="1" applyFill="1" applyBorder="1" applyProtection="1">
      <protection locked="0"/>
    </xf>
    <xf numFmtId="0" fontId="4" fillId="0" borderId="0" xfId="0" applyNumberFormat="1" applyFont="1" applyFill="1" applyBorder="1" applyProtection="1">
      <protection locked="0"/>
    </xf>
    <xf numFmtId="0" fontId="25" fillId="0" borderId="0" xfId="0" applyFont="1" applyFill="1" applyBorder="1" applyProtection="1">
      <protection locked="0"/>
    </xf>
    <xf numFmtId="0" fontId="44" fillId="0" borderId="0" xfId="0" applyFont="1" applyFill="1" applyBorder="1"/>
    <xf numFmtId="0" fontId="44" fillId="0" borderId="0" xfId="0" applyFont="1" applyFill="1" applyBorder="1" applyProtection="1">
      <protection locked="0"/>
    </xf>
    <xf numFmtId="0" fontId="0" fillId="0" borderId="0" xfId="0" applyAlignment="1"/>
    <xf numFmtId="0" fontId="113" fillId="0" borderId="0" xfId="0" applyFont="1"/>
    <xf numFmtId="0" fontId="0" fillId="39" borderId="0" xfId="0" applyFill="1"/>
    <xf numFmtId="0" fontId="28" fillId="0" borderId="0" xfId="101" applyFont="1"/>
    <xf numFmtId="0" fontId="35" fillId="0" borderId="0" xfId="101" applyFont="1"/>
    <xf numFmtId="0" fontId="114" fillId="0" borderId="0" xfId="101" applyFont="1" applyFill="1" applyAlignment="1">
      <alignment horizontal="right"/>
    </xf>
    <xf numFmtId="0" fontId="114" fillId="0" borderId="0" xfId="101" applyFont="1" applyFill="1" applyAlignment="1">
      <alignment horizontal="left"/>
    </xf>
    <xf numFmtId="0" fontId="0" fillId="0" borderId="0" xfId="0" applyFont="1" applyFill="1" applyBorder="1" applyAlignment="1"/>
    <xf numFmtId="0" fontId="60" fillId="0" borderId="0" xfId="101" applyFont="1"/>
    <xf numFmtId="0" fontId="4" fillId="0" borderId="11" xfId="0" applyFont="1" applyBorder="1" applyAlignment="1">
      <alignment horizontal="center" vertical="center"/>
    </xf>
    <xf numFmtId="0" fontId="4" fillId="0" borderId="15" xfId="0" applyFont="1" applyBorder="1" applyAlignment="1">
      <alignment horizontal="center" vertical="center"/>
    </xf>
    <xf numFmtId="0" fontId="0" fillId="0" borderId="0" xfId="0" applyFont="1" applyFill="1" applyBorder="1" applyAlignment="1">
      <alignment horizontal="left" vertical="center"/>
    </xf>
    <xf numFmtId="0" fontId="60" fillId="0" borderId="0" xfId="0" applyFont="1" applyFill="1" applyBorder="1" applyAlignment="1">
      <alignment horizontal="left" vertical="center"/>
    </xf>
    <xf numFmtId="0" fontId="0" fillId="40" borderId="0" xfId="0" applyFill="1"/>
    <xf numFmtId="2" fontId="0" fillId="0" borderId="0" xfId="109" applyNumberFormat="1" applyFont="1" applyFill="1"/>
    <xf numFmtId="1" fontId="0" fillId="0" borderId="0" xfId="109" applyNumberFormat="1" applyFont="1" applyFill="1"/>
    <xf numFmtId="0" fontId="0" fillId="0" borderId="0" xfId="0" applyFill="1" applyBorder="1" applyAlignment="1">
      <alignment horizontal="center"/>
    </xf>
    <xf numFmtId="0" fontId="109" fillId="0" borderId="0" xfId="0" applyFont="1"/>
    <xf numFmtId="0" fontId="35" fillId="0" borderId="0" xfId="0" applyFont="1"/>
    <xf numFmtId="0" fontId="4" fillId="0" borderId="0" xfId="0" applyFont="1" applyAlignment="1">
      <alignment horizontal="center" vertical="center"/>
    </xf>
    <xf numFmtId="0" fontId="4"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20" fillId="0" borderId="0" xfId="0" applyFont="1" applyFill="1" applyBorder="1" applyAlignment="1">
      <alignment horizontal="left"/>
    </xf>
    <xf numFmtId="0" fontId="28" fillId="0" borderId="0" xfId="0" applyFont="1" applyFill="1" applyBorder="1" applyAlignment="1">
      <alignment horizontal="left"/>
    </xf>
    <xf numFmtId="0" fontId="33" fillId="0" borderId="0" xfId="0" applyFont="1" applyFill="1" applyBorder="1" applyAlignment="1" applyProtection="1">
      <alignment horizontal="center"/>
      <protection locked="0"/>
    </xf>
    <xf numFmtId="0" fontId="20" fillId="0" borderId="0" xfId="0" applyFont="1" applyFill="1" applyBorder="1" applyAlignment="1"/>
    <xf numFmtId="0" fontId="0" fillId="0" borderId="0" xfId="0" applyFill="1" applyBorder="1" applyAlignment="1">
      <alignment horizontal="center" vertical="center" wrapText="1"/>
    </xf>
    <xf numFmtId="0" fontId="0" fillId="0" borderId="0" xfId="0" applyFill="1" applyBorder="1" applyAlignment="1">
      <alignment horizontal="center" wrapText="1"/>
    </xf>
    <xf numFmtId="0" fontId="0" fillId="0" borderId="11" xfId="0" applyBorder="1"/>
    <xf numFmtId="9" fontId="4" fillId="39" borderId="11" xfId="109" applyFont="1" applyFill="1" applyBorder="1" applyAlignment="1">
      <alignment horizontal="center"/>
    </xf>
    <xf numFmtId="10" fontId="4" fillId="41" borderId="11" xfId="109" applyNumberFormat="1" applyFont="1" applyFill="1" applyBorder="1" applyAlignment="1">
      <alignment horizontal="center"/>
    </xf>
    <xf numFmtId="10" fontId="4" fillId="41" borderId="11" xfId="0" applyNumberFormat="1" applyFont="1" applyFill="1" applyBorder="1" applyAlignment="1">
      <alignment horizontal="center" vertical="center"/>
    </xf>
    <xf numFmtId="1" fontId="4" fillId="38" borderId="11" xfId="0" applyNumberFormat="1" applyFont="1" applyFill="1" applyBorder="1" applyAlignment="1">
      <alignment horizontal="center" vertical="center"/>
    </xf>
    <xf numFmtId="0" fontId="4" fillId="0" borderId="0" xfId="0" applyFont="1" applyFill="1" applyBorder="1" applyAlignment="1">
      <alignment horizontal="center"/>
    </xf>
    <xf numFmtId="1" fontId="4" fillId="0" borderId="0" xfId="0" applyNumberFormat="1" applyFont="1"/>
    <xf numFmtId="0" fontId="4" fillId="0" borderId="11" xfId="0" applyFont="1" applyFill="1" applyBorder="1" applyAlignment="1">
      <alignment horizontal="center" vertical="center" wrapText="1"/>
    </xf>
    <xf numFmtId="0" fontId="115" fillId="38" borderId="0" xfId="91" applyFont="1" applyFill="1">
      <protection locked="0"/>
    </xf>
    <xf numFmtId="0" fontId="34" fillId="37" borderId="0" xfId="91" applyFont="1" applyFill="1" applyAlignment="1" applyProtection="1">
      <alignment horizontal="left"/>
    </xf>
    <xf numFmtId="0" fontId="59" fillId="37" borderId="0" xfId="70" applyFont="1" applyFill="1" applyBorder="1" applyAlignment="1" applyProtection="1">
      <alignment horizontal="left"/>
    </xf>
    <xf numFmtId="0" fontId="20" fillId="37" borderId="0" xfId="102" applyFont="1" applyFill="1" applyAlignment="1">
      <alignment horizontal="left"/>
    </xf>
    <xf numFmtId="0" fontId="0" fillId="0" borderId="0" xfId="0" applyAlignment="1">
      <alignment horizontal="left"/>
    </xf>
    <xf numFmtId="0" fontId="20" fillId="0" borderId="0" xfId="0" applyFont="1" applyAlignment="1">
      <alignment horizontal="left"/>
    </xf>
    <xf numFmtId="0" fontId="37" fillId="0" borderId="0" xfId="0" applyFont="1" applyAlignment="1">
      <alignment horizontal="left"/>
    </xf>
    <xf numFmtId="0" fontId="44" fillId="0" borderId="0" xfId="0" applyFont="1" applyAlignment="1">
      <alignment horizontal="left"/>
    </xf>
    <xf numFmtId="1" fontId="0" fillId="0" borderId="0" xfId="0" applyNumberFormat="1" applyAlignment="1">
      <alignment horizontal="left"/>
    </xf>
    <xf numFmtId="0" fontId="3" fillId="0" borderId="0" xfId="101" applyFill="1"/>
    <xf numFmtId="0" fontId="116" fillId="37" borderId="0" xfId="70" applyFont="1" applyFill="1" applyBorder="1" applyAlignment="1" applyProtection="1"/>
    <xf numFmtId="0" fontId="116" fillId="37" borderId="14" xfId="70" applyFont="1" applyFill="1" applyBorder="1" applyAlignment="1" applyProtection="1"/>
    <xf numFmtId="0" fontId="4" fillId="0" borderId="15" xfId="0" applyFont="1" applyBorder="1" applyAlignment="1">
      <alignment horizontal="center"/>
    </xf>
    <xf numFmtId="0" fontId="4" fillId="0" borderId="16" xfId="0" applyFont="1" applyBorder="1" applyAlignment="1">
      <alignment horizontal="center"/>
    </xf>
    <xf numFmtId="0" fontId="117" fillId="0" borderId="0" xfId="0" applyFont="1"/>
    <xf numFmtId="10" fontId="0" fillId="42" borderId="11" xfId="0" applyNumberFormat="1" applyFill="1" applyBorder="1" applyAlignment="1">
      <alignment horizontal="center"/>
    </xf>
    <xf numFmtId="0" fontId="4" fillId="0" borderId="11" xfId="0" applyFont="1" applyFill="1" applyBorder="1" applyAlignment="1">
      <alignment horizontal="center" vertical="center"/>
    </xf>
    <xf numFmtId="9" fontId="0" fillId="0" borderId="0" xfId="0" applyNumberFormat="1"/>
    <xf numFmtId="9" fontId="0" fillId="0" borderId="0" xfId="0" applyNumberFormat="1" applyFill="1" applyBorder="1"/>
    <xf numFmtId="9" fontId="20" fillId="0" borderId="0" xfId="109" applyFont="1" applyFill="1" applyBorder="1" applyAlignment="1">
      <alignment horizontal="center" vertical="center"/>
    </xf>
    <xf numFmtId="0" fontId="4" fillId="0" borderId="0" xfId="0" applyFont="1" applyBorder="1" applyAlignment="1">
      <alignment horizontal="center"/>
    </xf>
    <xf numFmtId="0" fontId="4" fillId="0" borderId="0" xfId="0" applyFont="1" applyAlignment="1">
      <alignment horizontal="center"/>
    </xf>
    <xf numFmtId="1" fontId="0" fillId="0" borderId="0" xfId="0" applyNumberFormat="1" applyAlignment="1">
      <alignment horizontal="center"/>
    </xf>
    <xf numFmtId="1" fontId="4" fillId="0" borderId="11" xfId="0" applyNumberFormat="1" applyFont="1" applyBorder="1" applyAlignment="1">
      <alignment horizontal="center" vertical="center"/>
    </xf>
    <xf numFmtId="0" fontId="33" fillId="0" borderId="0" xfId="0" applyFont="1" applyBorder="1" applyAlignment="1" applyProtection="1">
      <alignment horizontal="left"/>
      <protection locked="0"/>
    </xf>
    <xf numFmtId="0" fontId="0" fillId="41" borderId="11" xfId="0" applyFill="1" applyBorder="1"/>
    <xf numFmtId="1" fontId="25" fillId="0" borderId="0" xfId="0" applyNumberFormat="1" applyFont="1" applyFill="1" applyAlignment="1">
      <alignment horizontal="center"/>
    </xf>
    <xf numFmtId="1" fontId="33" fillId="0" borderId="0" xfId="0" applyNumberFormat="1" applyFont="1" applyFill="1" applyAlignment="1">
      <alignment horizontal="center"/>
    </xf>
    <xf numFmtId="0" fontId="33" fillId="0" borderId="0" xfId="0" applyFont="1" applyFill="1"/>
    <xf numFmtId="0" fontId="60" fillId="0" borderId="0" xfId="0" applyFont="1" applyBorder="1" applyAlignment="1" applyProtection="1">
      <alignment horizontal="left"/>
      <protection locked="0"/>
    </xf>
    <xf numFmtId="0" fontId="25" fillId="0" borderId="11" xfId="0" applyFont="1" applyBorder="1" applyAlignment="1" applyProtection="1">
      <alignment horizontal="center"/>
      <protection locked="0"/>
    </xf>
    <xf numFmtId="0" fontId="25" fillId="0" borderId="11" xfId="0" applyFont="1" applyFill="1" applyBorder="1" applyAlignment="1" applyProtection="1">
      <alignment horizontal="center"/>
      <protection locked="0"/>
    </xf>
    <xf numFmtId="49" fontId="118" fillId="28" borderId="18" xfId="122" applyFont="1" applyBorder="1" applyAlignment="1">
      <alignment horizontal="left" vertical="top" wrapText="1"/>
    </xf>
    <xf numFmtId="0" fontId="102" fillId="34" borderId="0" xfId="91" applyFont="1" applyFill="1">
      <protection locked="0"/>
    </xf>
    <xf numFmtId="49" fontId="119" fillId="28" borderId="19" xfId="122" applyFont="1" applyBorder="1" applyAlignment="1">
      <alignment horizontal="center" vertical="top" wrapText="1"/>
    </xf>
    <xf numFmtId="49" fontId="119" fillId="28" borderId="20" xfId="122" applyFont="1" applyBorder="1" applyAlignment="1">
      <alignment horizontal="center" vertical="top" wrapText="1"/>
    </xf>
    <xf numFmtId="0" fontId="20" fillId="34" borderId="0" xfId="91" applyFill="1" applyAlignment="1">
      <alignment horizontal="center"/>
      <protection locked="0"/>
    </xf>
    <xf numFmtId="0" fontId="99" fillId="34" borderId="0" xfId="91" applyFont="1" applyFill="1" applyAlignment="1">
      <alignment horizontal="center"/>
      <protection locked="0"/>
    </xf>
    <xf numFmtId="0" fontId="20" fillId="33" borderId="0" xfId="91" applyFill="1" applyAlignment="1">
      <alignment horizontal="center"/>
      <protection locked="0"/>
    </xf>
    <xf numFmtId="0" fontId="4" fillId="33" borderId="0" xfId="91" applyFont="1" applyFill="1" applyAlignment="1">
      <alignment horizontal="center"/>
      <protection locked="0"/>
    </xf>
    <xf numFmtId="0" fontId="20" fillId="0" borderId="0" xfId="0" applyFont="1" applyAlignment="1">
      <alignment horizontal="left" vertical="center" indent="4"/>
    </xf>
    <xf numFmtId="0" fontId="20" fillId="0" borderId="0" xfId="0" applyFont="1" applyAlignment="1">
      <alignment vertical="center"/>
    </xf>
    <xf numFmtId="0" fontId="16" fillId="0" borderId="0" xfId="70" applyAlignment="1" applyProtection="1">
      <alignment vertical="center"/>
    </xf>
    <xf numFmtId="0" fontId="20" fillId="0" borderId="0" xfId="0" applyFont="1" applyAlignment="1">
      <alignment horizontal="left" vertical="center" indent="8"/>
    </xf>
    <xf numFmtId="2" fontId="0" fillId="41" borderId="0" xfId="0" applyNumberFormat="1" applyFill="1"/>
    <xf numFmtId="2" fontId="0" fillId="40" borderId="0" xfId="0" applyNumberFormat="1" applyFill="1"/>
    <xf numFmtId="9" fontId="65" fillId="41" borderId="11" xfId="109" applyFont="1" applyFill="1" applyBorder="1"/>
    <xf numFmtId="0" fontId="120" fillId="0" borderId="0" xfId="0" applyFont="1"/>
    <xf numFmtId="0" fontId="20" fillId="40" borderId="0" xfId="0" applyFont="1" applyFill="1"/>
    <xf numFmtId="0" fontId="20" fillId="39" borderId="0" xfId="0" applyFont="1" applyFill="1"/>
    <xf numFmtId="167" fontId="0" fillId="38" borderId="0" xfId="0" applyNumberFormat="1" applyFill="1"/>
    <xf numFmtId="0" fontId="64" fillId="0" borderId="0" xfId="0" applyFont="1"/>
    <xf numFmtId="0" fontId="26" fillId="0" borderId="11" xfId="0" applyFont="1" applyBorder="1" applyAlignment="1">
      <alignment horizontal="center"/>
    </xf>
    <xf numFmtId="0" fontId="35" fillId="0" borderId="0" xfId="0" applyFont="1" applyAlignment="1">
      <alignment horizontal="left" wrapText="1"/>
    </xf>
    <xf numFmtId="0" fontId="66" fillId="0" borderId="0" xfId="0" applyFont="1"/>
    <xf numFmtId="0" fontId="5" fillId="43" borderId="11" xfId="0" applyFont="1" applyFill="1" applyBorder="1" applyAlignment="1">
      <alignment horizontal="center"/>
    </xf>
    <xf numFmtId="0" fontId="26" fillId="0" borderId="0" xfId="0" applyFont="1" applyAlignment="1">
      <alignment horizontal="right"/>
    </xf>
    <xf numFmtId="0" fontId="39" fillId="0" borderId="0" xfId="0" applyFont="1"/>
    <xf numFmtId="0" fontId="0" fillId="0" borderId="0" xfId="0" applyAlignment="1">
      <alignment horizontal="left" wrapText="1"/>
    </xf>
    <xf numFmtId="0" fontId="20" fillId="37" borderId="14" xfId="104" applyFont="1" applyFill="1" applyBorder="1" applyAlignment="1">
      <alignment vertical="center"/>
    </xf>
    <xf numFmtId="0" fontId="0" fillId="0" borderId="0" xfId="0" applyAlignment="1">
      <alignment wrapText="1"/>
    </xf>
    <xf numFmtId="0" fontId="102" fillId="0" borderId="11" xfId="0" applyFont="1" applyBorder="1" applyAlignment="1">
      <alignment horizontal="center"/>
    </xf>
    <xf numFmtId="167" fontId="35" fillId="0" borderId="0" xfId="0" applyNumberFormat="1" applyFont="1"/>
    <xf numFmtId="166" fontId="0" fillId="0" borderId="0" xfId="40" applyNumberFormat="1" applyFont="1" applyBorder="1"/>
    <xf numFmtId="0" fontId="121" fillId="0" borderId="0" xfId="0" applyFont="1" applyBorder="1" applyAlignment="1">
      <alignment horizontal="center" wrapText="1"/>
    </xf>
    <xf numFmtId="0" fontId="67" fillId="0" borderId="0" xfId="99" applyFont="1" applyBorder="1" applyAlignment="1">
      <alignment wrapText="1"/>
    </xf>
    <xf numFmtId="174" fontId="0" fillId="0" borderId="0" xfId="0" applyNumberFormat="1" applyFill="1" applyBorder="1"/>
    <xf numFmtId="1" fontId="4" fillId="38" borderId="0" xfId="0" applyNumberFormat="1" applyFont="1" applyFill="1"/>
    <xf numFmtId="0" fontId="4" fillId="0" borderId="0" xfId="0" applyFont="1" applyAlignment="1">
      <alignment horizontal="left"/>
    </xf>
    <xf numFmtId="0" fontId="122" fillId="0" borderId="0" xfId="0" applyFont="1" applyBorder="1" applyAlignment="1">
      <alignment horizontal="center"/>
    </xf>
    <xf numFmtId="175" fontId="70" fillId="0" borderId="0" xfId="100" applyNumberFormat="1" applyFont="1" applyBorder="1" applyAlignment="1">
      <alignment horizontal="center" vertical="center"/>
    </xf>
    <xf numFmtId="9" fontId="71" fillId="41" borderId="0" xfId="109" applyFont="1" applyFill="1"/>
    <xf numFmtId="0" fontId="28" fillId="0" borderId="0" xfId="0" applyFont="1" applyFill="1" applyBorder="1"/>
    <xf numFmtId="0" fontId="4" fillId="0" borderId="0" xfId="0" applyFont="1" applyFill="1" applyBorder="1"/>
    <xf numFmtId="174" fontId="0" fillId="0" borderId="0" xfId="0" applyNumberFormat="1" applyFill="1" applyBorder="1" applyAlignment="1">
      <alignment horizontal="center"/>
    </xf>
    <xf numFmtId="0" fontId="28" fillId="0" borderId="0" xfId="0" applyFont="1" applyAlignment="1"/>
    <xf numFmtId="1" fontId="4" fillId="0" borderId="11" xfId="0" applyNumberFormat="1" applyFont="1" applyBorder="1" applyAlignment="1">
      <alignment horizontal="center"/>
    </xf>
    <xf numFmtId="0" fontId="26" fillId="0" borderId="11" xfId="0" applyFont="1" applyBorder="1" applyAlignment="1">
      <alignment horizontal="center" vertical="center" wrapText="1"/>
    </xf>
    <xf numFmtId="0" fontId="4" fillId="0" borderId="0" xfId="40" applyNumberFormat="1" applyFont="1" applyFill="1" applyBorder="1" applyAlignment="1" applyProtection="1">
      <alignment horizontal="center"/>
      <protection locked="0"/>
    </xf>
    <xf numFmtId="2" fontId="20" fillId="0" borderId="0" xfId="0" applyNumberFormat="1" applyFont="1" applyFill="1" applyBorder="1" applyAlignment="1">
      <alignment horizontal="center"/>
    </xf>
    <xf numFmtId="0" fontId="74" fillId="0" borderId="0" xfId="0" applyFont="1" applyBorder="1" applyAlignment="1">
      <alignment horizontal="justify" vertical="center"/>
    </xf>
    <xf numFmtId="0" fontId="75" fillId="0" borderId="0" xfId="0" applyFont="1" applyBorder="1" applyAlignment="1">
      <alignment horizontal="center" vertical="center"/>
    </xf>
    <xf numFmtId="0" fontId="76" fillId="0" borderId="0" xfId="0" applyFont="1" applyBorder="1" applyAlignment="1">
      <alignment horizontal="center" vertical="center"/>
    </xf>
    <xf numFmtId="10" fontId="75" fillId="0" borderId="0" xfId="0" applyNumberFormat="1" applyFont="1" applyBorder="1" applyAlignment="1">
      <alignment horizontal="center" vertical="center"/>
    </xf>
    <xf numFmtId="0" fontId="43" fillId="0" borderId="0" xfId="0" applyFont="1" applyBorder="1" applyAlignment="1">
      <alignment horizontal="justify" vertical="center"/>
    </xf>
    <xf numFmtId="0" fontId="74" fillId="0" borderId="0" xfId="0" applyFont="1" applyBorder="1" applyAlignment="1">
      <alignment vertical="center"/>
    </xf>
    <xf numFmtId="0" fontId="0" fillId="0" borderId="0" xfId="0" applyFill="1" applyAlignment="1">
      <alignment horizontal="center"/>
    </xf>
    <xf numFmtId="2" fontId="0" fillId="39" borderId="0" xfId="0" applyNumberFormat="1" applyFill="1"/>
    <xf numFmtId="10" fontId="20" fillId="42" borderId="11" xfId="0" applyNumberFormat="1" applyFont="1" applyFill="1" applyBorder="1" applyAlignment="1">
      <alignment horizontal="center" vertical="center"/>
    </xf>
    <xf numFmtId="2" fontId="4" fillId="39" borderId="11" xfId="0" applyNumberFormat="1" applyFont="1" applyFill="1" applyBorder="1" applyAlignment="1">
      <alignment horizontal="center"/>
    </xf>
    <xf numFmtId="0" fontId="123" fillId="0" borderId="0" xfId="0" applyFont="1"/>
    <xf numFmtId="1" fontId="20" fillId="0" borderId="0" xfId="0" applyNumberFormat="1" applyFont="1"/>
    <xf numFmtId="0" fontId="4" fillId="0" borderId="0" xfId="0" applyFont="1" applyAlignment="1">
      <alignment horizontal="center" vertical="center" wrapText="1"/>
    </xf>
    <xf numFmtId="0" fontId="0" fillId="0" borderId="11" xfId="0" applyFont="1" applyFill="1" applyBorder="1" applyAlignment="1">
      <alignment horizontal="center" vertical="center"/>
    </xf>
    <xf numFmtId="0" fontId="123" fillId="0" borderId="0" xfId="0" applyFont="1" applyFill="1" applyBorder="1" applyAlignment="1">
      <alignment horizontal="left" vertical="center"/>
    </xf>
    <xf numFmtId="0" fontId="36" fillId="0" borderId="0" xfId="0" applyFont="1" applyFill="1" applyBorder="1" applyAlignment="1">
      <alignment horizontal="left" vertical="center"/>
    </xf>
    <xf numFmtId="178" fontId="0" fillId="0" borderId="0" xfId="0" applyNumberFormat="1"/>
    <xf numFmtId="179" fontId="0" fillId="0" borderId="0" xfId="0" applyNumberFormat="1"/>
    <xf numFmtId="181" fontId="0" fillId="0" borderId="0" xfId="0" applyNumberFormat="1"/>
    <xf numFmtId="180" fontId="0" fillId="0" borderId="0" xfId="0" applyNumberFormat="1"/>
    <xf numFmtId="1" fontId="4" fillId="0" borderId="11" xfId="0" applyNumberFormat="1" applyFont="1" applyFill="1" applyBorder="1" applyAlignment="1">
      <alignment horizontal="center" vertical="center"/>
    </xf>
    <xf numFmtId="174" fontId="0" fillId="0" borderId="0" xfId="0" applyNumberFormat="1"/>
    <xf numFmtId="1" fontId="4" fillId="37" borderId="14" xfId="104" applyNumberFormat="1" applyFont="1" applyFill="1" applyBorder="1" applyAlignment="1">
      <alignment vertical="top"/>
    </xf>
    <xf numFmtId="165" fontId="0" fillId="0" borderId="0" xfId="109" applyNumberFormat="1" applyFont="1"/>
    <xf numFmtId="0" fontId="125" fillId="0" borderId="0" xfId="0" applyFont="1" applyAlignment="1"/>
    <xf numFmtId="0" fontId="125" fillId="0" borderId="0" xfId="0" applyFont="1"/>
    <xf numFmtId="38" fontId="126" fillId="0" borderId="0" xfId="0" applyNumberFormat="1" applyFont="1" applyFill="1" applyBorder="1" applyProtection="1">
      <protection locked="0"/>
    </xf>
    <xf numFmtId="2" fontId="4" fillId="38" borderId="0" xfId="0" applyNumberFormat="1" applyFont="1" applyFill="1"/>
    <xf numFmtId="174" fontId="4" fillId="0" borderId="0" xfId="0" applyNumberFormat="1" applyFont="1" applyAlignment="1">
      <alignment horizontal="center"/>
    </xf>
    <xf numFmtId="2" fontId="4" fillId="0" borderId="0" xfId="109" applyNumberFormat="1" applyFont="1" applyAlignment="1">
      <alignment horizontal="center"/>
    </xf>
    <xf numFmtId="3" fontId="4" fillId="38" borderId="11" xfId="0" applyNumberFormat="1" applyFont="1" applyFill="1" applyBorder="1" applyAlignment="1">
      <alignment horizontal="center" vertical="center"/>
    </xf>
    <xf numFmtId="0" fontId="116" fillId="0" borderId="0" xfId="0" applyFont="1"/>
    <xf numFmtId="0" fontId="116" fillId="0" borderId="11" xfId="0" applyFont="1" applyBorder="1" applyAlignment="1">
      <alignment horizontal="center" wrapText="1"/>
    </xf>
    <xf numFmtId="0" fontId="127" fillId="33" borderId="0" xfId="72" applyFont="1" applyFill="1" applyAlignment="1">
      <protection locked="0"/>
    </xf>
    <xf numFmtId="0" fontId="128" fillId="33" borderId="0" xfId="91" applyFont="1" applyFill="1">
      <protection locked="0"/>
    </xf>
    <xf numFmtId="1" fontId="5" fillId="43" borderId="11" xfId="0" applyNumberFormat="1" applyFont="1" applyFill="1" applyBorder="1" applyAlignment="1">
      <alignment horizontal="center"/>
    </xf>
    <xf numFmtId="0" fontId="37" fillId="0" borderId="0" xfId="0" applyFont="1" applyFill="1"/>
    <xf numFmtId="174" fontId="4" fillId="0" borderId="0" xfId="0" applyNumberFormat="1" applyFont="1" applyFill="1" applyBorder="1" applyAlignment="1">
      <alignment horizontal="center"/>
    </xf>
    <xf numFmtId="0" fontId="60" fillId="0" borderId="0" xfId="0" quotePrefix="1" applyFont="1"/>
    <xf numFmtId="0" fontId="4" fillId="37" borderId="0" xfId="91" applyFont="1" applyFill="1">
      <protection locked="0"/>
    </xf>
    <xf numFmtId="0" fontId="16" fillId="37" borderId="14" xfId="70" applyFont="1" applyFill="1" applyBorder="1" applyAlignment="1" applyProtection="1"/>
    <xf numFmtId="0" fontId="20" fillId="37" borderId="14" xfId="0" applyFont="1" applyFill="1" applyBorder="1" applyAlignment="1"/>
    <xf numFmtId="0" fontId="20" fillId="37" borderId="0" xfId="104" applyFont="1" applyFill="1" applyBorder="1" applyAlignment="1">
      <alignment horizontal="left" vertical="center"/>
    </xf>
    <xf numFmtId="0" fontId="20" fillId="37" borderId="0" xfId="104" applyFont="1" applyFill="1" applyBorder="1" applyAlignment="1">
      <alignment horizontal="left" vertical="top"/>
    </xf>
    <xf numFmtId="0" fontId="4" fillId="37" borderId="0" xfId="104" applyFont="1" applyFill="1" applyBorder="1" applyAlignment="1">
      <alignment horizontal="left" vertical="top"/>
    </xf>
    <xf numFmtId="1" fontId="4" fillId="37" borderId="14" xfId="104" applyNumberFormat="1" applyFont="1" applyFill="1" applyBorder="1" applyAlignment="1">
      <alignment horizontal="left" vertical="top"/>
    </xf>
    <xf numFmtId="0" fontId="20" fillId="37" borderId="0" xfId="102" applyFont="1" applyFill="1" applyAlignment="1">
      <alignment vertical="center"/>
    </xf>
    <xf numFmtId="0" fontId="20" fillId="37" borderId="0" xfId="104" applyFont="1" applyFill="1" applyBorder="1" applyAlignment="1">
      <alignment vertical="center"/>
    </xf>
    <xf numFmtId="0" fontId="4" fillId="0" borderId="11" xfId="0" applyFont="1" applyBorder="1" applyAlignment="1">
      <alignment horizontal="left" vertical="center"/>
    </xf>
    <xf numFmtId="0" fontId="0" fillId="0" borderId="0" xfId="0" applyAlignment="1">
      <alignment horizontal="right"/>
    </xf>
    <xf numFmtId="3" fontId="0" fillId="0" borderId="0" xfId="40" applyNumberFormat="1" applyFont="1" applyAlignment="1">
      <alignment horizontal="right"/>
    </xf>
    <xf numFmtId="166" fontId="0" fillId="0" borderId="0" xfId="40" applyNumberFormat="1" applyFont="1" applyAlignment="1">
      <alignment horizontal="right"/>
    </xf>
    <xf numFmtId="0" fontId="4" fillId="0" borderId="0" xfId="0" applyFont="1" applyAlignment="1">
      <alignment horizontal="right"/>
    </xf>
    <xf numFmtId="0" fontId="129" fillId="0" borderId="0" xfId="0" applyFont="1" applyAlignment="1">
      <alignment vertical="top" wrapText="1"/>
    </xf>
    <xf numFmtId="3" fontId="4" fillId="39" borderId="11" xfId="0" applyNumberFormat="1" applyFont="1" applyFill="1" applyBorder="1" applyAlignment="1">
      <alignment horizontal="center"/>
    </xf>
    <xf numFmtId="3" fontId="0" fillId="40" borderId="0" xfId="0" applyNumberFormat="1" applyFill="1"/>
    <xf numFmtId="3" fontId="0" fillId="0" borderId="0" xfId="0" applyNumberFormat="1"/>
    <xf numFmtId="3" fontId="0" fillId="39" borderId="0" xfId="0" applyNumberFormat="1" applyFill="1"/>
    <xf numFmtId="0" fontId="4" fillId="0" borderId="0" xfId="0" applyFont="1" applyFill="1" applyBorder="1" applyAlignment="1">
      <alignment horizontal="center" vertical="center" wrapText="1"/>
    </xf>
    <xf numFmtId="177" fontId="20" fillId="0" borderId="0" xfId="0" applyNumberFormat="1" applyFont="1" applyFill="1" applyBorder="1" applyAlignment="1">
      <alignment horizontal="center" vertical="center"/>
    </xf>
    <xf numFmtId="3" fontId="0" fillId="41" borderId="11" xfId="0" applyNumberFormat="1" applyFill="1" applyBorder="1" applyAlignment="1">
      <alignment horizontal="center"/>
    </xf>
    <xf numFmtId="3" fontId="0" fillId="39" borderId="11" xfId="0" applyNumberFormat="1" applyFill="1" applyBorder="1" applyAlignment="1">
      <alignment horizontal="center"/>
    </xf>
    <xf numFmtId="3" fontId="4" fillId="38" borderId="0" xfId="0" applyNumberFormat="1" applyFont="1" applyFill="1"/>
    <xf numFmtId="3" fontId="0" fillId="41" borderId="0" xfId="0" applyNumberFormat="1" applyFill="1"/>
    <xf numFmtId="3" fontId="0" fillId="0" borderId="0" xfId="0" applyNumberFormat="1" applyFill="1"/>
    <xf numFmtId="3" fontId="0" fillId="39" borderId="11" xfId="0" applyNumberFormat="1" applyFill="1" applyBorder="1" applyAlignment="1">
      <alignment horizontal="center" vertical="center"/>
    </xf>
    <xf numFmtId="0" fontId="0" fillId="0" borderId="0" xfId="0" applyAlignment="1">
      <alignment horizontal="center" vertical="center"/>
    </xf>
    <xf numFmtId="3" fontId="4" fillId="40" borderId="0" xfId="0" applyNumberFormat="1" applyFont="1" applyFill="1"/>
    <xf numFmtId="3" fontId="4" fillId="41" borderId="0" xfId="0" applyNumberFormat="1" applyFont="1" applyFill="1"/>
    <xf numFmtId="3" fontId="4" fillId="0" borderId="11" xfId="0" applyNumberFormat="1" applyFont="1" applyBorder="1" applyAlignment="1">
      <alignment horizontal="center" wrapText="1"/>
    </xf>
    <xf numFmtId="3" fontId="4" fillId="0" borderId="11" xfId="0" applyNumberFormat="1" applyFont="1" applyFill="1" applyBorder="1" applyAlignment="1">
      <alignment horizontal="center"/>
    </xf>
    <xf numFmtId="3" fontId="4" fillId="38" borderId="11" xfId="0" applyNumberFormat="1" applyFont="1" applyFill="1" applyBorder="1" applyAlignment="1">
      <alignment horizontal="center"/>
    </xf>
    <xf numFmtId="3" fontId="20" fillId="0" borderId="0" xfId="0" applyNumberFormat="1" applyFont="1"/>
    <xf numFmtId="3" fontId="4" fillId="0" borderId="11" xfId="0" applyNumberFormat="1" applyFont="1" applyBorder="1" applyAlignment="1">
      <alignment horizontal="center"/>
    </xf>
    <xf numFmtId="3" fontId="4" fillId="0" borderId="0" xfId="0" applyNumberFormat="1" applyFont="1"/>
    <xf numFmtId="3" fontId="109" fillId="0" borderId="0" xfId="0" applyNumberFormat="1" applyFont="1"/>
    <xf numFmtId="3" fontId="0" fillId="0" borderId="0" xfId="0" applyNumberFormat="1" applyAlignment="1">
      <alignment horizontal="center"/>
    </xf>
    <xf numFmtId="1" fontId="4" fillId="0" borderId="11" xfId="109" applyNumberFormat="1" applyFont="1" applyFill="1" applyBorder="1" applyAlignment="1">
      <alignment horizontal="center" vertical="center"/>
    </xf>
    <xf numFmtId="3" fontId="4" fillId="39" borderId="11" xfId="109" applyNumberFormat="1" applyFont="1" applyFill="1" applyBorder="1" applyAlignment="1">
      <alignment horizontal="center" vertical="center"/>
    </xf>
    <xf numFmtId="3" fontId="4" fillId="39" borderId="11" xfId="0" applyNumberFormat="1" applyFont="1" applyFill="1" applyBorder="1" applyAlignment="1">
      <alignment horizontal="center" wrapText="1"/>
    </xf>
    <xf numFmtId="0" fontId="20" fillId="37" borderId="0" xfId="104" applyFont="1" applyFill="1" applyBorder="1" applyAlignment="1"/>
    <xf numFmtId="3" fontId="25" fillId="39" borderId="11" xfId="0" applyNumberFormat="1" applyFont="1" applyFill="1" applyBorder="1" applyAlignment="1" applyProtection="1">
      <alignment horizontal="center"/>
      <protection locked="0"/>
    </xf>
    <xf numFmtId="3" fontId="25" fillId="41" borderId="11" xfId="40" applyNumberFormat="1" applyFont="1" applyFill="1" applyBorder="1" applyAlignment="1" applyProtection="1">
      <alignment horizontal="center"/>
      <protection locked="0"/>
    </xf>
    <xf numFmtId="3" fontId="25" fillId="41" borderId="11" xfId="0" applyNumberFormat="1" applyFont="1" applyFill="1" applyBorder="1" applyAlignment="1">
      <alignment horizontal="center"/>
    </xf>
    <xf numFmtId="3" fontId="25" fillId="41" borderId="21" xfId="0" applyNumberFormat="1" applyFont="1" applyFill="1" applyBorder="1" applyAlignment="1">
      <alignment horizontal="center"/>
    </xf>
    <xf numFmtId="3" fontId="4" fillId="0" borderId="11" xfId="0" applyNumberFormat="1" applyFont="1" applyBorder="1" applyAlignment="1">
      <alignment horizontal="center" vertical="center" wrapText="1"/>
    </xf>
    <xf numFmtId="3" fontId="20" fillId="0" borderId="0" xfId="0" applyNumberFormat="1" applyFont="1" applyAlignment="1">
      <alignment horizontal="center"/>
    </xf>
    <xf numFmtId="3" fontId="60" fillId="0" borderId="0" xfId="0" applyNumberFormat="1" applyFont="1"/>
    <xf numFmtId="3" fontId="28" fillId="0" borderId="0" xfId="0" applyNumberFormat="1" applyFont="1"/>
    <xf numFmtId="3" fontId="4" fillId="0" borderId="0" xfId="0" applyNumberFormat="1" applyFont="1" applyAlignment="1">
      <alignment horizontal="center"/>
    </xf>
    <xf numFmtId="3" fontId="43" fillId="37" borderId="0" xfId="91" applyNumberFormat="1" applyFont="1" applyFill="1" applyProtection="1"/>
    <xf numFmtId="3" fontId="43" fillId="37" borderId="0" xfId="91" applyNumberFormat="1" applyFont="1" applyFill="1">
      <protection locked="0"/>
    </xf>
    <xf numFmtId="3" fontId="59" fillId="37" borderId="0" xfId="70" applyNumberFormat="1" applyFont="1" applyFill="1" applyBorder="1" applyAlignment="1" applyProtection="1"/>
    <xf numFmtId="3" fontId="20" fillId="37" borderId="0" xfId="102" applyNumberFormat="1" applyFont="1" applyFill="1"/>
    <xf numFmtId="3" fontId="4" fillId="37" borderId="0" xfId="91" applyNumberFormat="1" applyFont="1" applyFill="1">
      <protection locked="0"/>
    </xf>
    <xf numFmtId="3" fontId="3" fillId="37" borderId="0" xfId="102" applyNumberFormat="1" applyFill="1"/>
    <xf numFmtId="3" fontId="0" fillId="37" borderId="0" xfId="0" applyNumberFormat="1" applyFill="1" applyBorder="1" applyAlignment="1">
      <alignment vertical="center"/>
    </xf>
    <xf numFmtId="3" fontId="5" fillId="37" borderId="0" xfId="104" applyNumberFormat="1" applyFont="1" applyFill="1" applyBorder="1" applyAlignment="1">
      <alignment vertical="center" wrapText="1"/>
    </xf>
    <xf numFmtId="3" fontId="20" fillId="37" borderId="0" xfId="104" applyNumberFormat="1" applyFont="1" applyFill="1" applyBorder="1" applyAlignment="1">
      <alignment vertical="top"/>
    </xf>
    <xf numFmtId="3" fontId="20" fillId="37" borderId="0" xfId="0" applyNumberFormat="1" applyFont="1" applyFill="1" applyBorder="1" applyAlignment="1"/>
    <xf numFmtId="3" fontId="0" fillId="37" borderId="0" xfId="0" applyNumberFormat="1" applyFill="1" applyBorder="1" applyAlignment="1"/>
    <xf numFmtId="3" fontId="5" fillId="37" borderId="0" xfId="104" applyNumberFormat="1" applyFont="1" applyFill="1" applyBorder="1" applyAlignment="1"/>
    <xf numFmtId="3" fontId="4" fillId="37" borderId="0" xfId="104" applyNumberFormat="1" applyFont="1" applyFill="1" applyBorder="1" applyAlignment="1">
      <alignment vertical="top"/>
    </xf>
    <xf numFmtId="3" fontId="4" fillId="37" borderId="14" xfId="104" applyNumberFormat="1" applyFont="1" applyFill="1" applyBorder="1" applyAlignment="1">
      <alignment vertical="top"/>
    </xf>
    <xf numFmtId="3" fontId="106" fillId="37" borderId="14" xfId="70" applyNumberFormat="1" applyFont="1" applyFill="1" applyBorder="1" applyAlignment="1" applyProtection="1">
      <alignment vertical="center"/>
    </xf>
    <xf numFmtId="3" fontId="105" fillId="37" borderId="14" xfId="0" applyNumberFormat="1" applyFont="1" applyFill="1" applyBorder="1" applyAlignment="1"/>
    <xf numFmtId="3" fontId="16" fillId="37" borderId="14" xfId="70" applyNumberFormat="1" applyFill="1" applyBorder="1" applyAlignment="1" applyProtection="1"/>
    <xf numFmtId="3" fontId="4" fillId="37" borderId="14" xfId="0" applyNumberFormat="1" applyFont="1" applyFill="1" applyBorder="1" applyAlignment="1"/>
    <xf numFmtId="3" fontId="0" fillId="37" borderId="14" xfId="0" applyNumberFormat="1" applyFill="1" applyBorder="1" applyAlignment="1"/>
    <xf numFmtId="3" fontId="5" fillId="37" borderId="14" xfId="104" applyNumberFormat="1" applyFont="1" applyFill="1" applyBorder="1" applyAlignment="1"/>
    <xf numFmtId="3" fontId="4" fillId="0" borderId="11" xfId="0" applyNumberFormat="1" applyFont="1" applyBorder="1" applyAlignment="1">
      <alignment horizontal="center" vertical="center"/>
    </xf>
    <xf numFmtId="3" fontId="35" fillId="0" borderId="0" xfId="0" applyNumberFormat="1" applyFont="1"/>
    <xf numFmtId="3" fontId="4" fillId="0" borderId="15" xfId="0" applyNumberFormat="1" applyFont="1" applyBorder="1" applyAlignment="1">
      <alignment horizontal="center"/>
    </xf>
    <xf numFmtId="4" fontId="4" fillId="41" borderId="11" xfId="0" applyNumberFormat="1" applyFont="1" applyFill="1" applyBorder="1" applyAlignment="1">
      <alignment horizontal="center"/>
    </xf>
    <xf numFmtId="3" fontId="65" fillId="0" borderId="0" xfId="109" applyNumberFormat="1" applyFont="1" applyFill="1" applyBorder="1" applyAlignment="1">
      <alignment horizontal="center"/>
    </xf>
    <xf numFmtId="2" fontId="4" fillId="41" borderId="11" xfId="0" applyNumberFormat="1" applyFont="1" applyFill="1" applyBorder="1" applyAlignment="1">
      <alignment horizontal="center"/>
    </xf>
    <xf numFmtId="3" fontId="60" fillId="0" borderId="0" xfId="0" applyNumberFormat="1" applyFont="1" applyFill="1" applyBorder="1" applyAlignment="1">
      <alignment horizontal="left" vertical="center"/>
    </xf>
    <xf numFmtId="3" fontId="28" fillId="0" borderId="0" xfId="0" applyNumberFormat="1" applyFont="1" applyFill="1" applyBorder="1" applyAlignment="1">
      <alignment horizontal="left" vertical="center"/>
    </xf>
    <xf numFmtId="3" fontId="4" fillId="0" borderId="0" xfId="0" applyNumberFormat="1" applyFont="1" applyFill="1" applyBorder="1" applyAlignment="1">
      <alignment horizontal="center" vertical="center"/>
    </xf>
    <xf numFmtId="3" fontId="0" fillId="0" borderId="0" xfId="0" applyNumberFormat="1" applyFill="1" applyBorder="1"/>
    <xf numFmtId="3" fontId="4" fillId="44" borderId="11" xfId="0" applyNumberFormat="1" applyFont="1" applyFill="1" applyBorder="1" applyAlignment="1">
      <alignment horizontal="center"/>
    </xf>
    <xf numFmtId="3" fontId="4" fillId="0" borderId="0" xfId="0" applyNumberFormat="1" applyFont="1" applyFill="1" applyBorder="1" applyAlignment="1">
      <alignment horizontal="center"/>
    </xf>
    <xf numFmtId="3" fontId="16" fillId="37" borderId="14" xfId="70" applyNumberFormat="1" applyFont="1" applyFill="1" applyBorder="1" applyAlignment="1" applyProtection="1"/>
    <xf numFmtId="3" fontId="20" fillId="37" borderId="14" xfId="0" applyNumberFormat="1" applyFont="1" applyFill="1" applyBorder="1" applyAlignment="1"/>
    <xf numFmtId="3" fontId="4" fillId="0" borderId="22" xfId="0" applyNumberFormat="1" applyFont="1" applyBorder="1" applyAlignment="1">
      <alignment horizontal="center"/>
    </xf>
    <xf numFmtId="3" fontId="4" fillId="0" borderId="23" xfId="0" applyNumberFormat="1" applyFont="1" applyBorder="1" applyAlignment="1">
      <alignment horizontal="center"/>
    </xf>
    <xf numFmtId="3" fontId="4" fillId="0" borderId="0" xfId="0" applyNumberFormat="1" applyFont="1" applyBorder="1" applyAlignment="1">
      <alignment horizontal="center"/>
    </xf>
    <xf numFmtId="3" fontId="4" fillId="0" borderId="11" xfId="0" applyNumberFormat="1" applyFont="1" applyFill="1" applyBorder="1" applyAlignment="1">
      <alignment horizontal="center" vertical="center"/>
    </xf>
    <xf numFmtId="3" fontId="20" fillId="0" borderId="0" xfId="0" applyNumberFormat="1" applyFont="1" applyBorder="1"/>
    <xf numFmtId="3" fontId="0" fillId="0" borderId="0" xfId="0" applyNumberFormat="1" applyBorder="1"/>
    <xf numFmtId="3" fontId="20" fillId="0" borderId="0" xfId="0" applyNumberFormat="1" applyFont="1" applyBorder="1" applyAlignment="1">
      <alignment horizontal="center"/>
    </xf>
    <xf numFmtId="3" fontId="0" fillId="0" borderId="0" xfId="0" applyNumberFormat="1" applyBorder="1" applyAlignment="1">
      <alignment horizontal="center"/>
    </xf>
    <xf numFmtId="182" fontId="0" fillId="0" borderId="0" xfId="0" applyNumberFormat="1"/>
    <xf numFmtId="183" fontId="0" fillId="0" borderId="0" xfId="0" applyNumberFormat="1"/>
    <xf numFmtId="3" fontId="4" fillId="40" borderId="11" xfId="0" applyNumberFormat="1" applyFont="1" applyFill="1" applyBorder="1" applyAlignment="1">
      <alignment horizontal="center"/>
    </xf>
    <xf numFmtId="166" fontId="0" fillId="0" borderId="0" xfId="0" applyNumberFormat="1"/>
    <xf numFmtId="3" fontId="4" fillId="0" borderId="11" xfId="0" applyNumberFormat="1" applyFont="1" applyFill="1" applyBorder="1" applyAlignment="1">
      <alignment horizontal="center" wrapText="1"/>
    </xf>
    <xf numFmtId="0" fontId="26" fillId="0" borderId="11" xfId="0" applyFont="1" applyBorder="1" applyAlignment="1">
      <alignment horizontal="center" vertical="center"/>
    </xf>
    <xf numFmtId="0" fontId="4" fillId="0" borderId="11" xfId="0" applyFont="1" applyBorder="1" applyAlignment="1">
      <alignment vertical="center"/>
    </xf>
    <xf numFmtId="38" fontId="35" fillId="0" borderId="11" xfId="0" applyNumberFormat="1" applyFont="1" applyFill="1" applyBorder="1" applyAlignment="1">
      <alignment vertical="center"/>
    </xf>
    <xf numFmtId="0" fontId="35" fillId="0" borderId="11" xfId="0" applyFont="1" applyFill="1" applyBorder="1" applyAlignment="1">
      <alignment vertical="center"/>
    </xf>
    <xf numFmtId="38" fontId="35" fillId="0" borderId="11" xfId="0" applyNumberFormat="1" applyFont="1" applyFill="1" applyBorder="1" applyAlignment="1">
      <alignment vertical="center" wrapText="1"/>
    </xf>
    <xf numFmtId="0" fontId="130" fillId="0" borderId="11" xfId="0" applyFont="1" applyFill="1" applyBorder="1" applyAlignment="1">
      <alignment vertical="center" wrapText="1"/>
    </xf>
    <xf numFmtId="0" fontId="130" fillId="0" borderId="11" xfId="0" applyFont="1" applyFill="1" applyBorder="1" applyAlignment="1">
      <alignment horizontal="left" vertical="center" wrapText="1"/>
    </xf>
    <xf numFmtId="9" fontId="25" fillId="0" borderId="0" xfId="109" applyFont="1" applyFill="1" applyAlignment="1">
      <alignment horizontal="center"/>
    </xf>
    <xf numFmtId="3" fontId="33" fillId="0" borderId="0" xfId="0" applyNumberFormat="1" applyFont="1"/>
    <xf numFmtId="1" fontId="0" fillId="0" borderId="0" xfId="109" applyNumberFormat="1" applyFont="1"/>
    <xf numFmtId="0" fontId="131" fillId="0" borderId="0" xfId="0" applyFont="1"/>
    <xf numFmtId="0" fontId="73" fillId="0" borderId="0" xfId="0" applyFont="1"/>
    <xf numFmtId="1" fontId="4" fillId="38" borderId="0" xfId="0" applyNumberFormat="1" applyFont="1" applyFill="1" applyAlignment="1">
      <alignment horizontal="center"/>
    </xf>
    <xf numFmtId="2" fontId="0" fillId="0" borderId="0" xfId="0" applyNumberFormat="1"/>
    <xf numFmtId="0" fontId="25" fillId="0" borderId="11" xfId="0" applyFont="1" applyBorder="1" applyAlignment="1">
      <alignment horizontal="center"/>
    </xf>
    <xf numFmtId="2" fontId="0" fillId="0" borderId="0" xfId="0" applyNumberFormat="1" applyAlignment="1">
      <alignment horizontal="center"/>
    </xf>
    <xf numFmtId="0" fontId="38" fillId="0" borderId="0" xfId="0" applyFont="1"/>
    <xf numFmtId="0" fontId="132" fillId="0" borderId="0" xfId="0" applyFont="1"/>
    <xf numFmtId="1" fontId="5" fillId="0" borderId="0" xfId="0" applyNumberFormat="1" applyFont="1" applyFill="1" applyBorder="1" applyAlignment="1">
      <alignment horizontal="center"/>
    </xf>
    <xf numFmtId="0" fontId="39" fillId="0" borderId="0" xfId="0" applyFont="1" applyFill="1"/>
    <xf numFmtId="0" fontId="5" fillId="0" borderId="0" xfId="0" applyFont="1" applyFill="1" applyBorder="1" applyAlignment="1">
      <alignment horizontal="center"/>
    </xf>
    <xf numFmtId="1" fontId="124" fillId="0" borderId="0" xfId="0" applyNumberFormat="1" applyFont="1" applyFill="1" applyBorder="1" applyAlignment="1">
      <alignment horizontal="left" wrapText="1"/>
    </xf>
    <xf numFmtId="3" fontId="4" fillId="39" borderId="11" xfId="0" applyNumberFormat="1" applyFont="1" applyFill="1" applyBorder="1" applyAlignment="1">
      <alignment horizontal="center" vertical="center"/>
    </xf>
    <xf numFmtId="9" fontId="4" fillId="41" borderId="11" xfId="109" applyFont="1" applyFill="1" applyBorder="1" applyAlignment="1">
      <alignment horizontal="center"/>
    </xf>
    <xf numFmtId="0" fontId="5" fillId="0" borderId="0" xfId="0" applyFont="1" applyBorder="1" applyAlignment="1">
      <alignment horizontal="center" vertical="center" wrapText="1"/>
    </xf>
    <xf numFmtId="3" fontId="116" fillId="39" borderId="11" xfId="0" applyNumberFormat="1" applyFont="1" applyFill="1" applyBorder="1" applyAlignment="1">
      <alignment horizontal="center" wrapText="1"/>
    </xf>
    <xf numFmtId="1" fontId="4" fillId="39" borderId="11" xfId="0" applyNumberFormat="1" applyFont="1" applyFill="1" applyBorder="1" applyAlignment="1">
      <alignment horizontal="center"/>
    </xf>
    <xf numFmtId="1" fontId="20" fillId="0" borderId="0" xfId="0" applyNumberFormat="1" applyFont="1" applyAlignment="1">
      <alignment horizontal="left"/>
    </xf>
    <xf numFmtId="184" fontId="4" fillId="0" borderId="0" xfId="0" applyNumberFormat="1" applyFont="1" applyAlignment="1">
      <alignment horizontal="center"/>
    </xf>
    <xf numFmtId="3" fontId="4" fillId="39" borderId="11" xfId="40" applyNumberFormat="1" applyFont="1" applyFill="1" applyBorder="1" applyAlignment="1">
      <alignment horizontal="center"/>
    </xf>
    <xf numFmtId="0" fontId="0" fillId="35" borderId="0" xfId="0" applyFill="1"/>
    <xf numFmtId="3" fontId="25" fillId="35" borderId="0" xfId="0" applyNumberFormat="1" applyFont="1" applyFill="1" applyBorder="1" applyAlignment="1">
      <alignment horizontal="center"/>
    </xf>
    <xf numFmtId="0" fontId="33" fillId="35" borderId="0" xfId="0" applyFont="1" applyFill="1"/>
    <xf numFmtId="0" fontId="119" fillId="0" borderId="0" xfId="0" applyFont="1"/>
    <xf numFmtId="3" fontId="4" fillId="39" borderId="11" xfId="0" applyNumberFormat="1" applyFont="1" applyFill="1" applyBorder="1" applyAlignment="1" applyProtection="1">
      <alignment horizontal="center" vertical="center"/>
      <protection locked="0"/>
    </xf>
    <xf numFmtId="3" fontId="133" fillId="39" borderId="11" xfId="0" applyNumberFormat="1" applyFont="1" applyFill="1" applyBorder="1" applyAlignment="1">
      <alignment horizontal="center" vertical="center"/>
    </xf>
    <xf numFmtId="0" fontId="119" fillId="0" borderId="0" xfId="0" applyFont="1" applyFill="1" applyBorder="1"/>
    <xf numFmtId="3" fontId="5" fillId="38" borderId="11" xfId="40" applyNumberFormat="1" applyFont="1" applyFill="1" applyBorder="1" applyAlignment="1">
      <alignment horizontal="center" vertical="center"/>
    </xf>
    <xf numFmtId="176" fontId="0" fillId="0" borderId="0" xfId="0" applyNumberFormat="1" applyAlignment="1"/>
    <xf numFmtId="176" fontId="116" fillId="39" borderId="11" xfId="95" applyNumberFormat="1" applyFont="1" applyFill="1" applyBorder="1" applyAlignment="1">
      <alignment horizontal="center"/>
    </xf>
    <xf numFmtId="174" fontId="4" fillId="39" borderId="11" xfId="0" applyNumberFormat="1" applyFont="1" applyFill="1" applyBorder="1" applyAlignment="1" applyProtection="1">
      <alignment horizontal="center" vertical="center"/>
      <protection locked="0"/>
    </xf>
    <xf numFmtId="0" fontId="102" fillId="0" borderId="0" xfId="0" applyFont="1" applyFill="1"/>
    <xf numFmtId="0" fontId="119" fillId="0" borderId="0" xfId="0" applyFont="1" applyFill="1"/>
    <xf numFmtId="1" fontId="4" fillId="39" borderId="11" xfId="0" applyNumberFormat="1" applyFont="1" applyFill="1" applyBorder="1" applyAlignment="1" applyProtection="1">
      <alignment horizontal="center" vertical="center"/>
      <protection locked="0"/>
    </xf>
    <xf numFmtId="3" fontId="4" fillId="39" borderId="11" xfId="40" applyNumberFormat="1" applyFont="1" applyFill="1" applyBorder="1" applyAlignment="1" applyProtection="1">
      <alignment horizontal="center" vertical="center"/>
      <protection locked="0"/>
    </xf>
    <xf numFmtId="3" fontId="4" fillId="39" borderId="11" xfId="40" applyNumberFormat="1" applyFont="1" applyFill="1" applyBorder="1" applyAlignment="1" applyProtection="1">
      <alignment horizontal="center" vertical="top"/>
      <protection locked="0"/>
    </xf>
    <xf numFmtId="3" fontId="4" fillId="39" borderId="11" xfId="0" applyNumberFormat="1" applyFont="1" applyFill="1" applyBorder="1" applyAlignment="1" applyProtection="1">
      <alignment horizontal="center" vertical="top"/>
      <protection locked="0"/>
    </xf>
    <xf numFmtId="3" fontId="69" fillId="39" borderId="11" xfId="0" applyNumberFormat="1" applyFont="1" applyFill="1" applyBorder="1" applyAlignment="1" applyProtection="1">
      <alignment horizontal="center" vertical="top"/>
      <protection locked="0"/>
    </xf>
    <xf numFmtId="3" fontId="4" fillId="45" borderId="11" xfId="0" applyNumberFormat="1" applyFont="1" applyFill="1" applyBorder="1" applyAlignment="1" applyProtection="1">
      <alignment horizontal="center" vertical="center"/>
      <protection locked="0"/>
    </xf>
    <xf numFmtId="3" fontId="133" fillId="45" borderId="11" xfId="0" applyNumberFormat="1" applyFont="1" applyFill="1" applyBorder="1" applyAlignment="1">
      <alignment horizontal="center" vertical="center"/>
    </xf>
    <xf numFmtId="3" fontId="4" fillId="45" borderId="11" xfId="0" applyNumberFormat="1" applyFont="1" applyFill="1" applyBorder="1" applyAlignment="1">
      <alignment horizontal="center"/>
    </xf>
    <xf numFmtId="174" fontId="4" fillId="45" borderId="11" xfId="0" applyNumberFormat="1" applyFont="1" applyFill="1" applyBorder="1" applyAlignment="1" applyProtection="1">
      <alignment horizontal="center" vertical="center"/>
      <protection locked="0"/>
    </xf>
    <xf numFmtId="174" fontId="133" fillId="45" borderId="11" xfId="0" applyNumberFormat="1" applyFont="1" applyFill="1" applyBorder="1" applyAlignment="1">
      <alignment horizontal="center" vertical="center"/>
    </xf>
    <xf numFmtId="1" fontId="4" fillId="45" borderId="11" xfId="0" applyNumberFormat="1" applyFont="1" applyFill="1" applyBorder="1" applyAlignment="1" applyProtection="1">
      <alignment horizontal="center" vertical="center"/>
      <protection locked="0"/>
    </xf>
    <xf numFmtId="1" fontId="4" fillId="0" borderId="0" xfId="0" applyNumberFormat="1" applyFont="1" applyAlignment="1">
      <alignment horizontal="center"/>
    </xf>
    <xf numFmtId="9" fontId="4" fillId="41" borderId="11" xfId="109" applyNumberFormat="1" applyFont="1" applyFill="1" applyBorder="1" applyAlignment="1">
      <alignment horizontal="center"/>
    </xf>
    <xf numFmtId="0" fontId="26" fillId="0" borderId="0" xfId="0" applyFont="1" applyBorder="1" applyAlignment="1">
      <alignment vertical="center"/>
    </xf>
    <xf numFmtId="0" fontId="26" fillId="35" borderId="11" xfId="0" applyFont="1" applyFill="1" applyBorder="1" applyAlignment="1">
      <alignment horizontal="center" vertical="center"/>
    </xf>
    <xf numFmtId="165" fontId="0" fillId="0" borderId="0" xfId="0" applyNumberFormat="1"/>
    <xf numFmtId="10" fontId="0" fillId="0" borderId="0" xfId="0" applyNumberFormat="1"/>
    <xf numFmtId="0" fontId="60" fillId="35" borderId="0" xfId="0" applyFont="1" applyFill="1" applyBorder="1" applyAlignment="1">
      <alignment horizontal="left" vertical="center"/>
    </xf>
    <xf numFmtId="0" fontId="26" fillId="0" borderId="11" xfId="0" applyFont="1" applyFill="1" applyBorder="1" applyAlignment="1">
      <alignment horizontal="center" vertical="center" wrapText="1"/>
    </xf>
    <xf numFmtId="0" fontId="28" fillId="0" borderId="0" xfId="0" applyFont="1" applyBorder="1"/>
    <xf numFmtId="3" fontId="20" fillId="0" borderId="0" xfId="0" applyNumberFormat="1" applyFont="1" applyAlignment="1">
      <alignment horizontal="left"/>
    </xf>
    <xf numFmtId="3" fontId="4" fillId="41" borderId="11" xfId="0" applyNumberFormat="1" applyFont="1" applyFill="1" applyBorder="1" applyAlignment="1">
      <alignment horizontal="center"/>
    </xf>
    <xf numFmtId="0" fontId="4" fillId="0" borderId="11" xfId="0" applyFont="1" applyFill="1" applyBorder="1" applyAlignment="1">
      <alignment horizontal="center" wrapText="1"/>
    </xf>
    <xf numFmtId="2" fontId="4" fillId="41" borderId="11" xfId="0" applyNumberFormat="1" applyFont="1" applyFill="1" applyBorder="1" applyAlignment="1">
      <alignment horizontal="center" vertical="center"/>
    </xf>
    <xf numFmtId="3" fontId="4" fillId="41" borderId="11" xfId="0" applyNumberFormat="1" applyFont="1" applyFill="1" applyBorder="1" applyAlignment="1">
      <alignment horizontal="center" vertical="center"/>
    </xf>
    <xf numFmtId="10" fontId="0" fillId="0" borderId="0" xfId="109" applyNumberFormat="1" applyFont="1"/>
    <xf numFmtId="1" fontId="0" fillId="0" borderId="0" xfId="0" applyNumberFormat="1" applyFill="1" applyBorder="1"/>
    <xf numFmtId="167" fontId="0" fillId="0" borderId="0" xfId="0" applyNumberFormat="1"/>
    <xf numFmtId="175" fontId="4" fillId="39" borderId="11" xfId="0" applyNumberFormat="1" applyFont="1" applyFill="1" applyBorder="1" applyAlignment="1">
      <alignment horizontal="center" vertical="center"/>
    </xf>
    <xf numFmtId="0" fontId="116" fillId="0" borderId="11" xfId="0" applyFont="1" applyBorder="1" applyAlignment="1">
      <alignment horizontal="center" vertical="center" wrapText="1"/>
    </xf>
    <xf numFmtId="0" fontId="16" fillId="33" borderId="0" xfId="70" quotePrefix="1" applyFill="1" applyAlignment="1">
      <alignment vertical="center"/>
      <protection locked="0"/>
    </xf>
    <xf numFmtId="0" fontId="102" fillId="38" borderId="0" xfId="101" applyFont="1" applyFill="1" applyAlignment="1">
      <alignment horizontal="right"/>
    </xf>
    <xf numFmtId="166" fontId="0" fillId="0" borderId="0" xfId="0" applyNumberFormat="1" applyAlignment="1">
      <alignment horizontal="right"/>
    </xf>
    <xf numFmtId="10" fontId="25" fillId="40" borderId="11" xfId="109" applyNumberFormat="1" applyFont="1" applyFill="1" applyBorder="1" applyAlignment="1">
      <alignment horizontal="center"/>
    </xf>
    <xf numFmtId="10" fontId="25" fillId="46" borderId="11" xfId="109" applyNumberFormat="1" applyFont="1" applyFill="1" applyBorder="1" applyAlignment="1">
      <alignment horizontal="center"/>
    </xf>
    <xf numFmtId="10" fontId="25" fillId="47" borderId="11" xfId="109" applyNumberFormat="1" applyFont="1" applyFill="1" applyBorder="1" applyAlignment="1">
      <alignment horizontal="center"/>
    </xf>
    <xf numFmtId="0" fontId="134" fillId="0" borderId="0" xfId="0" applyFont="1" applyBorder="1" applyAlignment="1" applyProtection="1">
      <alignment horizontal="left"/>
      <protection locked="0"/>
    </xf>
    <xf numFmtId="0" fontId="4" fillId="0" borderId="15" xfId="40" applyNumberFormat="1" applyFont="1" applyFill="1" applyBorder="1" applyAlignment="1" applyProtection="1">
      <alignment horizontal="center"/>
      <protection locked="0"/>
    </xf>
    <xf numFmtId="0" fontId="134" fillId="0" borderId="0" xfId="0" applyFont="1"/>
    <xf numFmtId="1" fontId="134" fillId="0" borderId="0" xfId="0" applyNumberFormat="1" applyFont="1" applyFill="1" applyAlignment="1">
      <alignment horizontal="right"/>
    </xf>
    <xf numFmtId="187" fontId="0" fillId="0" borderId="0" xfId="0" applyNumberFormat="1"/>
    <xf numFmtId="2" fontId="135" fillId="39" borderId="11" xfId="0" applyNumberFormat="1" applyFont="1" applyFill="1" applyBorder="1" applyAlignment="1">
      <alignment horizontal="center" vertical="center" wrapText="1"/>
    </xf>
    <xf numFmtId="174" fontId="0" fillId="0" borderId="0" xfId="0" applyNumberFormat="1" applyAlignment="1">
      <alignment horizontal="left"/>
    </xf>
    <xf numFmtId="0" fontId="0" fillId="35" borderId="0" xfId="0" applyFill="1" applyBorder="1"/>
    <xf numFmtId="3" fontId="4" fillId="39" borderId="11" xfId="95" applyNumberFormat="1" applyFont="1" applyFill="1" applyBorder="1" applyAlignment="1">
      <alignment horizontal="center"/>
    </xf>
    <xf numFmtId="166" fontId="20" fillId="0" borderId="0" xfId="40" applyNumberFormat="1" applyFont="1" applyBorder="1"/>
    <xf numFmtId="9" fontId="0" fillId="0" borderId="0" xfId="109" applyFont="1" applyBorder="1"/>
    <xf numFmtId="0" fontId="0" fillId="0" borderId="0" xfId="101" applyFont="1" applyAlignment="1">
      <alignment horizontal="center"/>
    </xf>
    <xf numFmtId="2" fontId="43" fillId="37" borderId="0" xfId="109" applyNumberFormat="1" applyFont="1" applyFill="1" applyProtection="1">
      <protection locked="0"/>
    </xf>
    <xf numFmtId="0" fontId="20" fillId="0" borderId="0" xfId="0" applyFont="1" applyAlignment="1">
      <alignment horizontal="left" wrapText="1"/>
    </xf>
    <xf numFmtId="0" fontId="0" fillId="0" borderId="0" xfId="0" applyAlignment="1">
      <alignment vertical="center"/>
    </xf>
    <xf numFmtId="166" fontId="4" fillId="0" borderId="0" xfId="0" applyNumberFormat="1" applyFont="1" applyAlignment="1">
      <alignment horizontal="right"/>
    </xf>
    <xf numFmtId="165" fontId="20" fillId="0" borderId="0" xfId="109" applyNumberFormat="1" applyFont="1" applyAlignment="1">
      <alignment horizontal="center"/>
    </xf>
    <xf numFmtId="9" fontId="4" fillId="38" borderId="11" xfId="109" applyFont="1" applyFill="1" applyBorder="1" applyAlignment="1">
      <alignment horizontal="center" vertical="center"/>
    </xf>
    <xf numFmtId="0" fontId="3" fillId="0" borderId="0" xfId="101" applyAlignment="1">
      <alignment horizontal="center" vertical="center"/>
    </xf>
    <xf numFmtId="0" fontId="28" fillId="0" borderId="0" xfId="101" applyFont="1" applyAlignment="1">
      <alignment horizontal="center"/>
    </xf>
    <xf numFmtId="0" fontId="4" fillId="0" borderId="0" xfId="101" applyFont="1"/>
    <xf numFmtId="0" fontId="4" fillId="0" borderId="15" xfId="101" applyFont="1" applyBorder="1" applyAlignment="1">
      <alignment horizontal="center" vertical="center"/>
    </xf>
    <xf numFmtId="0" fontId="4" fillId="0" borderId="11" xfId="101" applyFont="1" applyBorder="1" applyAlignment="1">
      <alignment horizontal="center" vertical="center"/>
    </xf>
    <xf numFmtId="0" fontId="4" fillId="0" borderId="11" xfId="101" applyFont="1" applyBorder="1" applyAlignment="1">
      <alignment horizontal="center" vertical="center" wrapText="1"/>
    </xf>
    <xf numFmtId="0" fontId="4" fillId="0" borderId="0" xfId="101" applyFont="1" applyAlignment="1">
      <alignment wrapText="1"/>
    </xf>
    <xf numFmtId="0" fontId="4" fillId="0" borderId="11" xfId="101" applyFont="1" applyBorder="1" applyAlignment="1">
      <alignment horizontal="center"/>
    </xf>
    <xf numFmtId="0" fontId="4" fillId="0" borderId="0" xfId="101" applyFont="1" applyAlignment="1">
      <alignment horizontal="center" vertical="center" wrapText="1"/>
    </xf>
    <xf numFmtId="188" fontId="4" fillId="0" borderId="0" xfId="0" applyNumberFormat="1" applyFont="1" applyFill="1" applyBorder="1" applyAlignment="1">
      <alignment horizontal="center"/>
    </xf>
    <xf numFmtId="188" fontId="0" fillId="0" borderId="0" xfId="0" applyNumberFormat="1"/>
    <xf numFmtId="189" fontId="0" fillId="0" borderId="0" xfId="0" applyNumberFormat="1"/>
    <xf numFmtId="3" fontId="20" fillId="0" borderId="0" xfId="0" applyNumberFormat="1" applyFont="1" applyAlignment="1">
      <alignment horizontal="center" vertical="center" wrapText="1"/>
    </xf>
    <xf numFmtId="3" fontId="0" fillId="0" borderId="0" xfId="0" applyNumberFormat="1" applyAlignment="1">
      <alignment horizontal="center" vertical="center" wrapText="1"/>
    </xf>
    <xf numFmtId="9" fontId="0" fillId="0" borderId="0" xfId="109" applyFont="1" applyFill="1" applyBorder="1"/>
    <xf numFmtId="9" fontId="4" fillId="41" borderId="11" xfId="101" applyNumberFormat="1" applyFont="1" applyFill="1" applyBorder="1" applyAlignment="1">
      <alignment horizontal="center" vertical="center"/>
    </xf>
    <xf numFmtId="0" fontId="4" fillId="0" borderId="0" xfId="101" applyFont="1" applyAlignment="1">
      <alignment horizontal="center"/>
    </xf>
    <xf numFmtId="9" fontId="4" fillId="41" borderId="11" xfId="101" applyNumberFormat="1" applyFont="1" applyFill="1" applyBorder="1" applyAlignment="1">
      <alignment horizontal="center"/>
    </xf>
    <xf numFmtId="2" fontId="4" fillId="39" borderId="11" xfId="0" applyNumberFormat="1" applyFont="1" applyFill="1" applyBorder="1" applyAlignment="1">
      <alignment horizontal="center" wrapText="1"/>
    </xf>
    <xf numFmtId="2" fontId="4" fillId="39" borderId="11" xfId="0" applyNumberFormat="1" applyFont="1" applyFill="1" applyBorder="1" applyAlignment="1">
      <alignment horizontal="center" vertical="center" wrapText="1"/>
    </xf>
    <xf numFmtId="0" fontId="4" fillId="0" borderId="0" xfId="0" applyFont="1" applyAlignment="1">
      <alignment vertical="center"/>
    </xf>
    <xf numFmtId="3" fontId="4" fillId="41" borderId="11" xfId="0" applyNumberFormat="1" applyFont="1" applyFill="1" applyBorder="1" applyAlignment="1">
      <alignment horizontal="center" vertical="center" wrapText="1"/>
    </xf>
    <xf numFmtId="2" fontId="4" fillId="41" borderId="11" xfId="0" applyNumberFormat="1" applyFont="1" applyFill="1" applyBorder="1" applyAlignment="1">
      <alignment horizontal="center" vertical="center" wrapText="1"/>
    </xf>
    <xf numFmtId="3" fontId="4" fillId="41" borderId="11" xfId="101" applyNumberFormat="1" applyFont="1" applyFill="1" applyBorder="1" applyAlignment="1">
      <alignment horizontal="center" vertical="center"/>
    </xf>
    <xf numFmtId="9" fontId="4" fillId="41" borderId="11" xfId="109" applyFont="1" applyFill="1" applyBorder="1" applyAlignment="1">
      <alignment horizontal="center" vertical="center"/>
    </xf>
    <xf numFmtId="9" fontId="4" fillId="41" borderId="15" xfId="109" applyFont="1" applyFill="1" applyBorder="1" applyAlignment="1">
      <alignment horizontal="center" vertical="center"/>
    </xf>
    <xf numFmtId="3" fontId="4" fillId="39" borderId="11" xfId="101" applyNumberFormat="1" applyFont="1" applyFill="1" applyBorder="1" applyAlignment="1">
      <alignment horizontal="center" vertical="center"/>
    </xf>
    <xf numFmtId="167" fontId="4" fillId="39" borderId="11" xfId="0" applyNumberFormat="1" applyFont="1" applyFill="1" applyBorder="1" applyAlignment="1">
      <alignment horizontal="center"/>
    </xf>
    <xf numFmtId="2" fontId="4" fillId="41" borderId="11" xfId="109" applyNumberFormat="1" applyFont="1" applyFill="1" applyBorder="1" applyAlignment="1">
      <alignment horizontal="center" vertical="center"/>
    </xf>
    <xf numFmtId="3" fontId="4" fillId="42" borderId="11" xfId="0" applyNumberFormat="1" applyFont="1" applyFill="1" applyBorder="1" applyAlignment="1">
      <alignment horizontal="center"/>
    </xf>
    <xf numFmtId="3" fontId="4" fillId="48" borderId="11" xfId="109" applyNumberFormat="1" applyFont="1" applyFill="1" applyBorder="1" applyAlignment="1">
      <alignment horizontal="center"/>
    </xf>
    <xf numFmtId="186" fontId="4" fillId="45" borderId="0" xfId="109" applyNumberFormat="1" applyFont="1" applyFill="1"/>
    <xf numFmtId="9" fontId="4" fillId="0" borderId="0" xfId="109" applyFont="1"/>
    <xf numFmtId="186" fontId="4" fillId="45" borderId="0" xfId="0" applyNumberFormat="1" applyFont="1" applyFill="1"/>
    <xf numFmtId="185" fontId="4" fillId="45" borderId="0" xfId="109" applyNumberFormat="1" applyFont="1" applyFill="1"/>
    <xf numFmtId="185" fontId="4" fillId="45" borderId="0" xfId="0" applyNumberFormat="1" applyFont="1" applyFill="1"/>
    <xf numFmtId="185" fontId="4" fillId="41" borderId="0" xfId="109" applyNumberFormat="1" applyFont="1" applyFill="1"/>
    <xf numFmtId="3" fontId="4" fillId="49" borderId="11" xfId="0" applyNumberFormat="1" applyFont="1" applyFill="1" applyBorder="1" applyAlignment="1">
      <alignment horizontal="center"/>
    </xf>
    <xf numFmtId="3" fontId="4" fillId="50" borderId="11" xfId="0" applyNumberFormat="1" applyFont="1" applyFill="1" applyBorder="1" applyAlignment="1">
      <alignment horizontal="center"/>
    </xf>
    <xf numFmtId="3" fontId="4" fillId="47" borderId="11" xfId="0" applyNumberFormat="1" applyFont="1" applyFill="1" applyBorder="1" applyAlignment="1">
      <alignment horizontal="center"/>
    </xf>
    <xf numFmtId="165" fontId="4" fillId="41" borderId="11" xfId="109" applyNumberFormat="1" applyFont="1" applyFill="1" applyBorder="1" applyAlignment="1">
      <alignment horizontal="center"/>
    </xf>
    <xf numFmtId="165" fontId="4" fillId="0" borderId="0" xfId="109" applyNumberFormat="1" applyFont="1" applyFill="1" applyBorder="1" applyAlignment="1">
      <alignment horizontal="center"/>
    </xf>
    <xf numFmtId="165" fontId="4" fillId="0" borderId="0" xfId="0" applyNumberFormat="1" applyFont="1" applyBorder="1" applyAlignment="1">
      <alignment horizontal="center"/>
    </xf>
    <xf numFmtId="0" fontId="4" fillId="0" borderId="0" xfId="0" applyFont="1" applyBorder="1"/>
    <xf numFmtId="3" fontId="4" fillId="51" borderId="11" xfId="0" applyNumberFormat="1" applyFont="1" applyFill="1" applyBorder="1" applyAlignment="1">
      <alignment horizontal="center"/>
    </xf>
    <xf numFmtId="1" fontId="4" fillId="41" borderId="11" xfId="0" applyNumberFormat="1" applyFont="1" applyFill="1" applyBorder="1" applyAlignment="1">
      <alignment horizontal="center"/>
    </xf>
    <xf numFmtId="3" fontId="4" fillId="0" borderId="24" xfId="0" applyNumberFormat="1" applyFont="1" applyBorder="1" applyAlignment="1">
      <alignment horizontal="center"/>
    </xf>
    <xf numFmtId="3" fontId="4" fillId="38" borderId="24" xfId="0" applyNumberFormat="1" applyFont="1" applyFill="1" applyBorder="1" applyAlignment="1">
      <alignment horizontal="center" vertical="center"/>
    </xf>
    <xf numFmtId="3" fontId="0" fillId="0" borderId="0" xfId="0" applyNumberFormat="1" applyAlignment="1">
      <alignment horizontal="center" vertical="center"/>
    </xf>
    <xf numFmtId="2" fontId="4" fillId="39" borderId="11" xfId="0" applyNumberFormat="1" applyFont="1" applyFill="1" applyBorder="1" applyAlignment="1">
      <alignment horizontal="center" vertical="center"/>
    </xf>
    <xf numFmtId="0" fontId="4" fillId="39" borderId="11" xfId="0" applyFont="1" applyFill="1" applyBorder="1" applyAlignment="1">
      <alignment horizontal="center" vertical="center"/>
    </xf>
    <xf numFmtId="9" fontId="4" fillId="39" borderId="11" xfId="0" applyNumberFormat="1" applyFont="1" applyFill="1" applyBorder="1" applyAlignment="1">
      <alignment horizontal="center"/>
    </xf>
    <xf numFmtId="9" fontId="4" fillId="0" borderId="0" xfId="109" applyFont="1" applyFill="1" applyBorder="1" applyAlignment="1">
      <alignment horizontal="center"/>
    </xf>
    <xf numFmtId="9" fontId="4" fillId="39" borderId="11" xfId="109" applyNumberFormat="1" applyFont="1" applyFill="1" applyBorder="1" applyAlignment="1">
      <alignment horizontal="center"/>
    </xf>
    <xf numFmtId="0" fontId="4" fillId="39" borderId="11" xfId="0" applyFont="1" applyFill="1" applyBorder="1" applyAlignment="1">
      <alignment horizontal="center"/>
    </xf>
    <xf numFmtId="190" fontId="0" fillId="0" borderId="0" xfId="0" applyNumberFormat="1"/>
    <xf numFmtId="3" fontId="4" fillId="0" borderId="23" xfId="0" applyNumberFormat="1" applyFont="1" applyBorder="1" applyAlignment="1">
      <alignment horizontal="center" wrapText="1"/>
    </xf>
    <xf numFmtId="3" fontId="4" fillId="40" borderId="11" xfId="0" applyNumberFormat="1" applyFont="1" applyFill="1" applyBorder="1" applyAlignment="1">
      <alignment horizontal="center" vertical="center"/>
    </xf>
    <xf numFmtId="0" fontId="4" fillId="41" borderId="11" xfId="0" applyFont="1" applyFill="1" applyBorder="1" applyAlignment="1">
      <alignment horizontal="center" vertical="center"/>
    </xf>
    <xf numFmtId="4" fontId="4" fillId="39" borderId="11" xfId="0" applyNumberFormat="1" applyFont="1" applyFill="1" applyBorder="1" applyAlignment="1">
      <alignment horizontal="center"/>
    </xf>
    <xf numFmtId="0" fontId="25" fillId="0" borderId="0" xfId="0" applyFont="1" applyFill="1" applyBorder="1" applyAlignment="1" applyProtection="1">
      <alignment horizontal="left"/>
      <protection locked="0"/>
    </xf>
    <xf numFmtId="0" fontId="25" fillId="0" borderId="0" xfId="0" applyFont="1" applyBorder="1" applyAlignment="1" applyProtection="1">
      <alignment horizontal="left"/>
      <protection locked="0"/>
    </xf>
    <xf numFmtId="9" fontId="4" fillId="46" borderId="11" xfId="109" applyFont="1" applyFill="1" applyBorder="1" applyAlignment="1">
      <alignment horizontal="center" vertical="center"/>
    </xf>
    <xf numFmtId="9" fontId="4" fillId="46" borderId="15" xfId="109" applyFont="1" applyFill="1" applyBorder="1" applyAlignment="1">
      <alignment horizontal="center" vertical="center"/>
    </xf>
    <xf numFmtId="3" fontId="5" fillId="38" borderId="11" xfId="0" applyNumberFormat="1" applyFont="1" applyFill="1" applyBorder="1" applyAlignment="1">
      <alignment horizontal="center" vertical="center"/>
    </xf>
    <xf numFmtId="3" fontId="0" fillId="37" borderId="0" xfId="0" applyNumberFormat="1" applyFill="1" applyBorder="1" applyAlignment="1">
      <alignment horizontal="left" vertical="center"/>
    </xf>
    <xf numFmtId="3" fontId="5" fillId="37" borderId="0" xfId="104" applyNumberFormat="1" applyFont="1" applyFill="1" applyBorder="1" applyAlignment="1">
      <alignment horizontal="left" vertical="center" wrapText="1"/>
    </xf>
    <xf numFmtId="9" fontId="80" fillId="37" borderId="0" xfId="109" applyFont="1" applyFill="1" applyBorder="1" applyAlignment="1"/>
    <xf numFmtId="9" fontId="105" fillId="37" borderId="14" xfId="109" applyFont="1" applyFill="1" applyBorder="1" applyAlignment="1"/>
    <xf numFmtId="9" fontId="4" fillId="0" borderId="11" xfId="109" applyFont="1" applyBorder="1" applyAlignment="1">
      <alignment horizontal="center" wrapText="1"/>
    </xf>
    <xf numFmtId="191" fontId="0" fillId="0" borderId="0" xfId="0" applyNumberFormat="1"/>
    <xf numFmtId="0" fontId="5" fillId="0" borderId="11" xfId="0" applyFont="1" applyBorder="1" applyAlignment="1">
      <alignment horizontal="center" vertical="center"/>
    </xf>
    <xf numFmtId="0" fontId="35" fillId="0" borderId="0" xfId="0" applyFont="1" applyAlignment="1">
      <alignment horizontal="left" vertical="top" wrapText="1"/>
    </xf>
    <xf numFmtId="0" fontId="102" fillId="0" borderId="0" xfId="0" applyFont="1" applyAlignment="1">
      <alignment horizontal="left" wrapText="1"/>
    </xf>
    <xf numFmtId="0" fontId="4" fillId="0" borderId="16" xfId="0" applyFont="1" applyBorder="1" applyAlignment="1">
      <alignment horizontal="center" vertical="center" wrapText="1"/>
    </xf>
    <xf numFmtId="0" fontId="4" fillId="0" borderId="15" xfId="0" applyFont="1" applyFill="1" applyBorder="1" applyAlignment="1">
      <alignment horizontal="center" vertical="center"/>
    </xf>
    <xf numFmtId="0" fontId="20" fillId="33" borderId="0" xfId="91" applyFill="1" applyAlignment="1">
      <alignment horizontal="center" vertical="center"/>
      <protection locked="0"/>
    </xf>
    <xf numFmtId="3" fontId="26" fillId="38" borderId="11" xfId="44" applyNumberFormat="1" applyFont="1" applyFill="1" applyBorder="1" applyAlignment="1">
      <alignment horizontal="center" vertical="center"/>
    </xf>
    <xf numFmtId="0" fontId="26" fillId="0" borderId="11" xfId="0" applyFont="1" applyBorder="1" applyAlignment="1">
      <alignment horizontal="center" wrapText="1"/>
    </xf>
    <xf numFmtId="0" fontId="136" fillId="0" borderId="11" xfId="0" applyFont="1" applyBorder="1" applyAlignment="1">
      <alignment horizontal="center" wrapText="1"/>
    </xf>
    <xf numFmtId="0" fontId="137" fillId="0" borderId="11" xfId="0" applyFont="1" applyBorder="1" applyAlignment="1">
      <alignment horizontal="center" wrapText="1"/>
    </xf>
    <xf numFmtId="1" fontId="5" fillId="0" borderId="0" xfId="44" applyNumberFormat="1" applyFont="1" applyFill="1" applyBorder="1" applyAlignment="1">
      <alignment horizontal="center" vertical="center"/>
    </xf>
    <xf numFmtId="9" fontId="5" fillId="43" borderId="11" xfId="113" applyFont="1" applyFill="1" applyBorder="1" applyAlignment="1">
      <alignment horizontal="center"/>
    </xf>
    <xf numFmtId="0" fontId="5" fillId="37" borderId="14" xfId="105" applyFont="1" applyFill="1" applyBorder="1" applyAlignment="1"/>
    <xf numFmtId="0" fontId="4" fillId="37" borderId="14" xfId="105" applyFont="1" applyFill="1" applyBorder="1" applyAlignment="1">
      <alignment vertical="top"/>
    </xf>
    <xf numFmtId="0" fontId="5" fillId="37" borderId="0" xfId="105" applyFont="1" applyFill="1" applyBorder="1" applyAlignment="1"/>
    <xf numFmtId="0" fontId="4" fillId="37" borderId="0" xfId="105" applyFont="1" applyFill="1" applyBorder="1" applyAlignment="1">
      <alignment vertical="top"/>
    </xf>
    <xf numFmtId="0" fontId="20" fillId="37" borderId="0" xfId="105" applyFont="1" applyFill="1" applyBorder="1" applyAlignment="1">
      <alignment vertical="top"/>
    </xf>
    <xf numFmtId="0" fontId="5" fillId="37" borderId="0" xfId="105" applyFont="1" applyFill="1" applyBorder="1" applyAlignment="1">
      <alignment vertical="center" wrapText="1"/>
    </xf>
    <xf numFmtId="0" fontId="82" fillId="37" borderId="0" xfId="103" applyFill="1"/>
    <xf numFmtId="0" fontId="20" fillId="37" borderId="0" xfId="103" applyFont="1" applyFill="1"/>
    <xf numFmtId="9" fontId="0" fillId="0" borderId="0" xfId="0" applyNumberFormat="1" applyAlignment="1">
      <alignment horizontal="left"/>
    </xf>
    <xf numFmtId="9" fontId="133" fillId="39" borderId="11" xfId="0" applyNumberFormat="1" applyFont="1" applyFill="1" applyBorder="1" applyAlignment="1">
      <alignment horizontal="center"/>
    </xf>
    <xf numFmtId="0" fontId="0" fillId="0" borderId="14" xfId="0" applyBorder="1"/>
    <xf numFmtId="0" fontId="112" fillId="0" borderId="25" xfId="0" applyFont="1" applyBorder="1"/>
    <xf numFmtId="9" fontId="35" fillId="39" borderId="11" xfId="113" applyNumberFormat="1" applyFont="1" applyFill="1" applyBorder="1" applyAlignment="1">
      <alignment horizontal="center"/>
    </xf>
    <xf numFmtId="0" fontId="113" fillId="0" borderId="0" xfId="0" applyFont="1" applyBorder="1"/>
    <xf numFmtId="0" fontId="113" fillId="0" borderId="26" xfId="0" applyFont="1" applyBorder="1"/>
    <xf numFmtId="0" fontId="138" fillId="0" borderId="0" xfId="0" applyFont="1"/>
    <xf numFmtId="9" fontId="130" fillId="39" borderId="11" xfId="0" applyNumberFormat="1" applyFont="1" applyFill="1" applyBorder="1" applyAlignment="1">
      <alignment horizontal="center"/>
    </xf>
    <xf numFmtId="0" fontId="0" fillId="0" borderId="17" xfId="0" applyBorder="1"/>
    <xf numFmtId="0" fontId="113" fillId="0" borderId="17" xfId="0" applyFont="1" applyBorder="1"/>
    <xf numFmtId="0" fontId="113" fillId="0" borderId="27" xfId="0" applyFont="1" applyBorder="1"/>
    <xf numFmtId="0" fontId="0" fillId="0" borderId="28" xfId="0" applyBorder="1"/>
    <xf numFmtId="0" fontId="112" fillId="0" borderId="28" xfId="0" applyFont="1" applyBorder="1"/>
    <xf numFmtId="0" fontId="112" fillId="0" borderId="16" xfId="0" applyFont="1" applyBorder="1"/>
    <xf numFmtId="0" fontId="139" fillId="52" borderId="16" xfId="0" applyFont="1" applyFill="1" applyBorder="1" applyAlignment="1">
      <alignment horizontal="center" vertical="center"/>
    </xf>
    <xf numFmtId="0" fontId="112" fillId="0" borderId="0" xfId="0" applyFont="1"/>
    <xf numFmtId="0" fontId="4" fillId="0" borderId="11" xfId="87" applyNumberFormat="1" applyFont="1" applyFill="1" applyBorder="1" applyAlignment="1">
      <alignment horizontal="center" vertical="center"/>
    </xf>
    <xf numFmtId="9" fontId="133" fillId="53" borderId="11" xfId="0" applyNumberFormat="1" applyFont="1" applyFill="1" applyBorder="1" applyAlignment="1">
      <alignment horizontal="center"/>
    </xf>
    <xf numFmtId="2" fontId="4" fillId="0" borderId="0" xfId="0" applyNumberFormat="1" applyFont="1" applyFill="1" applyBorder="1" applyAlignment="1">
      <alignment horizontal="center" vertical="center"/>
    </xf>
    <xf numFmtId="0" fontId="4" fillId="0" borderId="0" xfId="0" applyFont="1" applyFill="1" applyBorder="1" applyAlignment="1">
      <alignment horizontal="center" vertical="center"/>
    </xf>
    <xf numFmtId="167" fontId="4" fillId="39" borderId="11" xfId="0" applyNumberFormat="1" applyFont="1" applyFill="1" applyBorder="1" applyAlignment="1">
      <alignment horizontal="center" vertical="center"/>
    </xf>
    <xf numFmtId="0" fontId="20" fillId="0" borderId="0" xfId="0" applyFont="1" applyAlignment="1">
      <alignment vertical="top"/>
    </xf>
    <xf numFmtId="3" fontId="4" fillId="35" borderId="0" xfId="0" applyNumberFormat="1" applyFont="1" applyFill="1" applyBorder="1" applyAlignment="1">
      <alignment horizontal="center" wrapText="1"/>
    </xf>
    <xf numFmtId="0" fontId="4" fillId="35" borderId="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27" xfId="0" applyNumberFormat="1" applyFont="1" applyFill="1" applyBorder="1" applyAlignment="1">
      <alignment horizontal="center" vertical="center" wrapText="1"/>
    </xf>
    <xf numFmtId="0" fontId="44" fillId="0" borderId="0" xfId="0" applyFont="1" applyFill="1"/>
    <xf numFmtId="9" fontId="113" fillId="0" borderId="0" xfId="0" applyNumberFormat="1" applyFont="1" applyFill="1" applyBorder="1" applyAlignment="1">
      <alignment horizontal="center"/>
    </xf>
    <xf numFmtId="9" fontId="133" fillId="54" borderId="26" xfId="0" applyNumberFormat="1" applyFont="1" applyFill="1" applyBorder="1" applyAlignment="1">
      <alignment horizontal="center"/>
    </xf>
    <xf numFmtId="9" fontId="133" fillId="35" borderId="26" xfId="0" applyNumberFormat="1" applyFont="1" applyFill="1" applyBorder="1" applyAlignment="1">
      <alignment horizontal="center"/>
    </xf>
    <xf numFmtId="3" fontId="35" fillId="0" borderId="0" xfId="87" applyNumberFormat="1" applyFont="1" applyFill="1" applyBorder="1" applyAlignment="1">
      <alignment horizontal="left" vertical="center"/>
    </xf>
    <xf numFmtId="0" fontId="4" fillId="35" borderId="26" xfId="87" applyNumberFormat="1" applyFont="1" applyFill="1" applyBorder="1" applyAlignment="1">
      <alignment horizontal="center" vertical="center" wrapText="1"/>
    </xf>
    <xf numFmtId="0" fontId="4" fillId="0" borderId="16" xfId="87" applyNumberFormat="1" applyFont="1" applyFill="1" applyBorder="1" applyAlignment="1">
      <alignment horizontal="center" vertical="center" wrapText="1"/>
    </xf>
    <xf numFmtId="9" fontId="106" fillId="0" borderId="0" xfId="0" applyNumberFormat="1" applyFont="1" applyFill="1" applyBorder="1" applyAlignment="1">
      <alignment horizontal="center"/>
    </xf>
    <xf numFmtId="9" fontId="106" fillId="0" borderId="0" xfId="113" applyFont="1" applyFill="1" applyBorder="1" applyAlignment="1">
      <alignment horizontal="center"/>
    </xf>
    <xf numFmtId="9" fontId="20" fillId="0" borderId="0" xfId="113" applyFont="1" applyFill="1" applyBorder="1" applyAlignment="1">
      <alignment horizontal="center" vertical="center"/>
    </xf>
    <xf numFmtId="3" fontId="20" fillId="0" borderId="0" xfId="87" applyNumberFormat="1" applyFont="1" applyFill="1" applyBorder="1" applyAlignment="1">
      <alignment horizontal="center" vertical="center"/>
    </xf>
    <xf numFmtId="9" fontId="133" fillId="54" borderId="0" xfId="0" applyNumberFormat="1" applyFont="1" applyFill="1" applyBorder="1" applyAlignment="1">
      <alignment horizontal="center"/>
    </xf>
    <xf numFmtId="9" fontId="133" fillId="35" borderId="0" xfId="0" applyNumberFormat="1" applyFont="1" applyFill="1" applyBorder="1" applyAlignment="1">
      <alignment horizontal="center"/>
    </xf>
    <xf numFmtId="9" fontId="4" fillId="39" borderId="11" xfId="113" applyNumberFormat="1" applyFont="1" applyFill="1" applyBorder="1" applyAlignment="1">
      <alignment horizontal="center"/>
    </xf>
    <xf numFmtId="9" fontId="133" fillId="53" borderId="11" xfId="113" applyNumberFormat="1" applyFont="1" applyFill="1" applyBorder="1" applyAlignment="1">
      <alignment horizontal="center"/>
    </xf>
    <xf numFmtId="9" fontId="133" fillId="39" borderId="11" xfId="113" applyNumberFormat="1" applyFont="1" applyFill="1" applyBorder="1" applyAlignment="1">
      <alignment horizontal="center"/>
    </xf>
    <xf numFmtId="0" fontId="5" fillId="0" borderId="0" xfId="87" applyNumberFormat="1" applyFont="1" applyFill="1" applyBorder="1" applyAlignment="1">
      <alignment horizontal="left" vertical="center"/>
    </xf>
    <xf numFmtId="0" fontId="4" fillId="0" borderId="0" xfId="87" applyNumberFormat="1" applyFont="1" applyFill="1" applyBorder="1" applyAlignment="1">
      <alignment horizontal="center"/>
    </xf>
    <xf numFmtId="0" fontId="4" fillId="35" borderId="0" xfId="87" applyNumberFormat="1" applyFont="1" applyFill="1" applyBorder="1" applyAlignment="1">
      <alignment horizontal="center" vertical="center" wrapText="1"/>
    </xf>
    <xf numFmtId="0" fontId="4" fillId="0" borderId="11" xfId="87" applyNumberFormat="1" applyFont="1" applyFill="1" applyBorder="1" applyAlignment="1">
      <alignment horizontal="center" vertical="center" wrapText="1"/>
    </xf>
    <xf numFmtId="9" fontId="0" fillId="0" borderId="0" xfId="113" applyFont="1"/>
    <xf numFmtId="174" fontId="4" fillId="0" borderId="0" xfId="0" applyNumberFormat="1" applyFont="1" applyFill="1" applyBorder="1" applyAlignment="1" applyProtection="1">
      <alignment horizontal="center" vertical="center"/>
      <protection locked="0"/>
    </xf>
    <xf numFmtId="0" fontId="0" fillId="0" borderId="0" xfId="0" applyFill="1" applyBorder="1" applyAlignment="1">
      <alignment horizontal="left"/>
    </xf>
    <xf numFmtId="9" fontId="4" fillId="0" borderId="0" xfId="113" applyFont="1" applyFill="1" applyBorder="1" applyAlignment="1" applyProtection="1">
      <alignment horizontal="center" vertical="center"/>
      <protection locked="0"/>
    </xf>
    <xf numFmtId="3" fontId="69" fillId="45" borderId="11" xfId="0" applyNumberFormat="1" applyFont="1" applyFill="1" applyBorder="1" applyAlignment="1" applyProtection="1">
      <alignment horizontal="center" vertical="center"/>
      <protection locked="0"/>
    </xf>
    <xf numFmtId="0" fontId="20" fillId="0" borderId="0" xfId="0" applyFont="1" applyBorder="1" applyAlignment="1">
      <alignment horizontal="center" vertical="center" wrapText="1"/>
    </xf>
    <xf numFmtId="9" fontId="141" fillId="0" borderId="0" xfId="0" applyNumberFormat="1" applyFont="1" applyFill="1" applyBorder="1" applyProtection="1">
      <protection locked="0"/>
    </xf>
    <xf numFmtId="9" fontId="33" fillId="0" borderId="0" xfId="0" applyNumberFormat="1" applyFont="1" applyFill="1" applyBorder="1" applyProtection="1">
      <protection locked="0"/>
    </xf>
    <xf numFmtId="38" fontId="142" fillId="0" borderId="0" xfId="0" applyNumberFormat="1" applyFont="1" applyFill="1" applyBorder="1" applyProtection="1">
      <protection locked="0"/>
    </xf>
    <xf numFmtId="0" fontId="102" fillId="0" borderId="0" xfId="0" applyFont="1" applyAlignment="1">
      <alignment wrapText="1"/>
    </xf>
    <xf numFmtId="9" fontId="4" fillId="39" borderId="11" xfId="113" applyFont="1" applyFill="1" applyBorder="1" applyAlignment="1">
      <alignment horizontal="center"/>
    </xf>
    <xf numFmtId="9" fontId="4" fillId="39" borderId="11" xfId="0" applyNumberFormat="1" applyFont="1" applyFill="1" applyBorder="1" applyAlignment="1">
      <alignment horizontal="center" vertical="center"/>
    </xf>
    <xf numFmtId="9" fontId="4" fillId="41" borderId="11" xfId="0" applyNumberFormat="1" applyFont="1" applyFill="1" applyBorder="1" applyAlignment="1">
      <alignment horizontal="center"/>
    </xf>
    <xf numFmtId="0" fontId="4" fillId="0" borderId="11" xfId="0" applyFont="1" applyBorder="1"/>
    <xf numFmtId="165" fontId="4" fillId="41" borderId="11" xfId="113" applyNumberFormat="1" applyFont="1" applyFill="1" applyBorder="1" applyAlignment="1">
      <alignment horizontal="center"/>
    </xf>
    <xf numFmtId="165" fontId="116" fillId="41" borderId="11" xfId="70" applyNumberFormat="1" applyFont="1" applyFill="1" applyBorder="1" applyAlignment="1" applyProtection="1">
      <alignment horizontal="center" vertical="center"/>
    </xf>
    <xf numFmtId="0" fontId="28" fillId="0" borderId="0" xfId="0" applyFont="1" applyFill="1"/>
    <xf numFmtId="9" fontId="20" fillId="39" borderId="0" xfId="113" applyFont="1" applyFill="1"/>
    <xf numFmtId="9" fontId="20" fillId="40" borderId="0" xfId="113" applyFont="1" applyFill="1"/>
    <xf numFmtId="9" fontId="4" fillId="38" borderId="11" xfId="113" applyFont="1" applyFill="1" applyBorder="1" applyAlignment="1">
      <alignment horizontal="center" vertical="center"/>
    </xf>
    <xf numFmtId="9" fontId="4" fillId="41" borderId="11" xfId="113" applyFont="1" applyFill="1" applyBorder="1" applyAlignment="1">
      <alignment horizontal="center" vertical="center"/>
    </xf>
    <xf numFmtId="9" fontId="4" fillId="41" borderId="11" xfId="113" applyFont="1" applyFill="1" applyBorder="1" applyAlignment="1">
      <alignment horizontal="center" vertical="center" wrapText="1"/>
    </xf>
    <xf numFmtId="165" fontId="4" fillId="38" borderId="11" xfId="113" applyNumberFormat="1" applyFont="1" applyFill="1" applyBorder="1" applyAlignment="1">
      <alignment horizontal="center" vertical="center"/>
    </xf>
    <xf numFmtId="0" fontId="143" fillId="0" borderId="0" xfId="0" applyFont="1"/>
    <xf numFmtId="9" fontId="4" fillId="41" borderId="11" xfId="113" applyFont="1" applyFill="1" applyBorder="1" applyAlignment="1">
      <alignment horizontal="center"/>
    </xf>
    <xf numFmtId="3" fontId="4" fillId="41" borderId="11" xfId="0" applyNumberFormat="1" applyFont="1" applyFill="1" applyBorder="1" applyAlignment="1">
      <alignment horizontal="center" wrapText="1"/>
    </xf>
    <xf numFmtId="3" fontId="4" fillId="0" borderId="0" xfId="0" applyNumberFormat="1" applyFont="1" applyFill="1" applyBorder="1" applyAlignment="1">
      <alignment horizontal="center" vertical="center" wrapText="1"/>
    </xf>
    <xf numFmtId="3" fontId="4" fillId="0" borderId="11" xfId="0" applyNumberFormat="1" applyFont="1" applyFill="1" applyBorder="1" applyAlignment="1">
      <alignment horizontal="center" vertical="center" wrapText="1"/>
    </xf>
    <xf numFmtId="4" fontId="4" fillId="0" borderId="0" xfId="0" applyNumberFormat="1" applyFont="1" applyAlignment="1">
      <alignment horizontal="center"/>
    </xf>
    <xf numFmtId="3" fontId="60" fillId="0" borderId="0" xfId="0" applyNumberFormat="1" applyFont="1" applyFill="1" applyBorder="1" applyAlignment="1">
      <alignment horizontal="left"/>
    </xf>
    <xf numFmtId="3" fontId="116" fillId="0" borderId="11" xfId="0" applyNumberFormat="1" applyFont="1" applyBorder="1" applyAlignment="1">
      <alignment horizontal="center"/>
    </xf>
    <xf numFmtId="3" fontId="5" fillId="37" borderId="14" xfId="105" applyNumberFormat="1" applyFont="1" applyFill="1" applyBorder="1" applyAlignment="1"/>
    <xf numFmtId="3" fontId="4" fillId="37" borderId="14" xfId="105" applyNumberFormat="1" applyFont="1" applyFill="1" applyBorder="1" applyAlignment="1">
      <alignment vertical="top"/>
    </xf>
    <xf numFmtId="3" fontId="5" fillId="37" borderId="0" xfId="105" applyNumberFormat="1" applyFont="1" applyFill="1" applyBorder="1" applyAlignment="1"/>
    <xf numFmtId="3" fontId="4" fillId="37" borderId="0" xfId="105" applyNumberFormat="1" applyFont="1" applyFill="1" applyBorder="1" applyAlignment="1">
      <alignment vertical="top"/>
    </xf>
    <xf numFmtId="3" fontId="20" fillId="37" borderId="0" xfId="105" applyNumberFormat="1" applyFont="1" applyFill="1" applyBorder="1" applyAlignment="1">
      <alignment vertical="top"/>
    </xf>
    <xf numFmtId="3" fontId="5" fillId="37" borderId="0" xfId="105" applyNumberFormat="1" applyFont="1" applyFill="1" applyBorder="1" applyAlignment="1">
      <alignment vertical="center" wrapText="1"/>
    </xf>
    <xf numFmtId="3" fontId="82" fillId="37" borderId="0" xfId="103" applyNumberFormat="1" applyFill="1"/>
    <xf numFmtId="3" fontId="20" fillId="37" borderId="0" xfId="103" applyNumberFormat="1" applyFont="1" applyFill="1"/>
    <xf numFmtId="165" fontId="0" fillId="0" borderId="0" xfId="113" applyNumberFormat="1" applyFont="1"/>
    <xf numFmtId="3" fontId="25" fillId="0" borderId="11" xfId="0" applyNumberFormat="1" applyFont="1" applyBorder="1" applyAlignment="1">
      <alignment horizontal="center" vertical="center" wrapText="1"/>
    </xf>
    <xf numFmtId="3" fontId="25" fillId="0" borderId="11" xfId="0" applyNumberFormat="1" applyFont="1" applyBorder="1" applyAlignment="1">
      <alignment horizontal="center" vertical="center"/>
    </xf>
    <xf numFmtId="3" fontId="0" fillId="0" borderId="11" xfId="0" applyNumberFormat="1" applyBorder="1" applyAlignment="1">
      <alignment horizontal="center" vertical="center"/>
    </xf>
    <xf numFmtId="3" fontId="4" fillId="41" borderId="16" xfId="0" applyNumberFormat="1" applyFont="1" applyFill="1" applyBorder="1" applyAlignment="1">
      <alignment horizontal="center"/>
    </xf>
    <xf numFmtId="3" fontId="4" fillId="39" borderId="11" xfId="44" applyNumberFormat="1" applyFont="1" applyFill="1" applyBorder="1" applyAlignment="1">
      <alignment horizontal="center"/>
    </xf>
    <xf numFmtId="9" fontId="112" fillId="39" borderId="11" xfId="0" applyNumberFormat="1" applyFont="1" applyFill="1" applyBorder="1" applyAlignment="1">
      <alignment horizontal="center"/>
    </xf>
    <xf numFmtId="3" fontId="35" fillId="0" borderId="0" xfId="0" applyNumberFormat="1" applyFont="1" applyFill="1" applyBorder="1" applyAlignment="1">
      <alignment horizontal="center" vertical="center"/>
    </xf>
    <xf numFmtId="192" fontId="0" fillId="0" borderId="0" xfId="0" applyNumberFormat="1"/>
    <xf numFmtId="0" fontId="133" fillId="0" borderId="11" xfId="0" applyFont="1" applyFill="1" applyBorder="1" applyAlignment="1">
      <alignment horizontal="center" vertical="center"/>
    </xf>
    <xf numFmtId="0" fontId="140" fillId="0" borderId="11" xfId="0" applyFont="1" applyFill="1" applyBorder="1" applyAlignment="1">
      <alignment horizontal="center" vertical="center" wrapText="1"/>
    </xf>
    <xf numFmtId="0" fontId="144" fillId="0" borderId="11" xfId="0" applyFont="1" applyFill="1" applyBorder="1" applyAlignment="1">
      <alignment horizontal="center" vertical="center" wrapText="1"/>
    </xf>
    <xf numFmtId="0" fontId="118" fillId="0" borderId="0" xfId="0" applyFont="1" applyAlignment="1">
      <alignment horizontal="left" wrapText="1"/>
    </xf>
    <xf numFmtId="3" fontId="4" fillId="41" borderId="11" xfId="0" applyNumberFormat="1" applyFont="1" applyFill="1" applyBorder="1" applyAlignment="1">
      <alignment horizontal="center" vertical="center"/>
    </xf>
    <xf numFmtId="0" fontId="36" fillId="0" borderId="0" xfId="0" applyFont="1" applyAlignment="1">
      <alignment horizontal="left"/>
    </xf>
    <xf numFmtId="0" fontId="137" fillId="0" borderId="11" xfId="0" applyFont="1" applyBorder="1" applyAlignment="1">
      <alignment horizontal="center" vertical="center" wrapText="1"/>
    </xf>
    <xf numFmtId="0" fontId="44" fillId="0" borderId="0" xfId="0" quotePrefix="1" applyFont="1"/>
    <xf numFmtId="3" fontId="4" fillId="41" borderId="11" xfId="0" applyNumberFormat="1" applyFont="1" applyFill="1" applyBorder="1" applyAlignment="1">
      <alignment horizontal="center" vertical="center"/>
    </xf>
    <xf numFmtId="3" fontId="145" fillId="0" borderId="0" xfId="0" applyNumberFormat="1" applyFont="1"/>
    <xf numFmtId="3" fontId="146" fillId="0" borderId="0" xfId="0" applyNumberFormat="1" applyFont="1" applyAlignment="1">
      <alignment horizontal="center"/>
    </xf>
    <xf numFmtId="3" fontId="147" fillId="0" borderId="0" xfId="0" applyNumberFormat="1" applyFont="1"/>
    <xf numFmtId="3" fontId="28" fillId="0" borderId="0" xfId="0" applyNumberFormat="1" applyFont="1" applyFill="1" applyBorder="1" applyAlignment="1">
      <alignment horizontal="center" vertical="center" wrapText="1"/>
    </xf>
    <xf numFmtId="3" fontId="28" fillId="0" borderId="0" xfId="0" applyNumberFormat="1" applyFont="1" applyBorder="1"/>
    <xf numFmtId="3" fontId="28" fillId="0" borderId="0" xfId="0" applyNumberFormat="1" applyFont="1" applyBorder="1" applyAlignment="1">
      <alignment horizontal="left"/>
    </xf>
    <xf numFmtId="3" fontId="119" fillId="0" borderId="0" xfId="0" applyNumberFormat="1" applyFont="1"/>
    <xf numFmtId="3" fontId="4" fillId="37" borderId="0" xfId="104" applyNumberFormat="1" applyFont="1" applyFill="1" applyBorder="1" applyAlignment="1">
      <alignment vertical="center"/>
    </xf>
    <xf numFmtId="0" fontId="4" fillId="37" borderId="0" xfId="105" applyFont="1" applyFill="1" applyBorder="1" applyAlignment="1">
      <alignment vertical="center"/>
    </xf>
    <xf numFmtId="3" fontId="4" fillId="37" borderId="0" xfId="105" applyNumberFormat="1" applyFont="1" applyFill="1" applyBorder="1" applyAlignment="1">
      <alignment vertical="center"/>
    </xf>
    <xf numFmtId="3" fontId="4" fillId="0" borderId="11" xfId="0" quotePrefix="1" applyNumberFormat="1" applyFont="1" applyBorder="1" applyAlignment="1">
      <alignment horizontal="center"/>
    </xf>
    <xf numFmtId="3" fontId="0" fillId="39" borderId="11" xfId="0" applyNumberFormat="1" applyFill="1" applyBorder="1"/>
    <xf numFmtId="3" fontId="0" fillId="38" borderId="11" xfId="0" applyNumberFormat="1" applyFill="1" applyBorder="1"/>
    <xf numFmtId="3" fontId="4" fillId="38" borderId="11" xfId="0" applyNumberFormat="1" applyFont="1" applyFill="1" applyBorder="1"/>
    <xf numFmtId="3" fontId="123" fillId="0" borderId="0" xfId="0" applyNumberFormat="1" applyFont="1"/>
    <xf numFmtId="3" fontId="102" fillId="0" borderId="0" xfId="0" applyNumberFormat="1" applyFont="1"/>
    <xf numFmtId="3" fontId="119" fillId="0" borderId="0" xfId="0" quotePrefix="1" applyNumberFormat="1" applyFont="1"/>
    <xf numFmtId="0" fontId="118" fillId="0" borderId="0" xfId="0" applyFont="1" applyAlignment="1">
      <alignment horizontal="left" wrapText="1"/>
    </xf>
    <xf numFmtId="0" fontId="102" fillId="0" borderId="0" xfId="0" applyFont="1" applyAlignment="1">
      <alignment horizontal="left" wrapText="1"/>
    </xf>
    <xf numFmtId="3" fontId="4" fillId="35" borderId="11" xfId="0" applyNumberFormat="1" applyFont="1" applyFill="1" applyBorder="1" applyAlignment="1">
      <alignment horizontal="center" vertical="center" wrapText="1"/>
    </xf>
    <xf numFmtId="3" fontId="26" fillId="0" borderId="11" xfId="0" applyNumberFormat="1" applyFont="1" applyBorder="1" applyAlignment="1">
      <alignment horizontal="center" vertical="center" wrapText="1"/>
    </xf>
    <xf numFmtId="3" fontId="137" fillId="0" borderId="11" xfId="0" applyNumberFormat="1" applyFont="1" applyBorder="1" applyAlignment="1">
      <alignment horizontal="center" vertical="center" wrapText="1"/>
    </xf>
    <xf numFmtId="3" fontId="26" fillId="38" borderId="11" xfId="0" applyNumberFormat="1" applyFont="1" applyFill="1" applyBorder="1" applyAlignment="1">
      <alignment horizontal="center" vertical="center"/>
    </xf>
    <xf numFmtId="3" fontId="39" fillId="40" borderId="11" xfId="44" applyNumberFormat="1" applyFont="1" applyFill="1" applyBorder="1" applyAlignment="1">
      <alignment horizontal="center" vertical="center"/>
    </xf>
    <xf numFmtId="0" fontId="35" fillId="0" borderId="0" xfId="0" applyFont="1" applyAlignment="1">
      <alignment horizontal="left"/>
    </xf>
    <xf numFmtId="3" fontId="4" fillId="38" borderId="15" xfId="0" applyNumberFormat="1" applyFont="1" applyFill="1" applyBorder="1" applyAlignment="1">
      <alignment horizontal="center" vertical="center"/>
    </xf>
    <xf numFmtId="9" fontId="0" fillId="0" borderId="0" xfId="0" applyNumberFormat="1" applyAlignment="1">
      <alignment horizontal="center"/>
    </xf>
    <xf numFmtId="0" fontId="28" fillId="0" borderId="0" xfId="86" applyFont="1"/>
    <xf numFmtId="0" fontId="36" fillId="0" borderId="0" xfId="86" applyFont="1"/>
    <xf numFmtId="3" fontId="4" fillId="37" borderId="0" xfId="105" applyNumberFormat="1" applyFont="1" applyFill="1" applyBorder="1" applyAlignment="1">
      <alignment vertical="center" wrapText="1"/>
    </xf>
    <xf numFmtId="0" fontId="4" fillId="0" borderId="11" xfId="86" applyFont="1" applyFill="1" applyBorder="1" applyAlignment="1" applyProtection="1">
      <alignment horizontal="center"/>
      <protection locked="0"/>
    </xf>
    <xf numFmtId="0" fontId="140" fillId="0" borderId="15" xfId="86" applyFont="1" applyFill="1" applyBorder="1" applyAlignment="1">
      <alignment horizontal="center" vertical="center"/>
    </xf>
    <xf numFmtId="0" fontId="20" fillId="0" borderId="0" xfId="86"/>
    <xf numFmtId="0" fontId="20" fillId="0" borderId="0" xfId="86" applyFont="1"/>
    <xf numFmtId="0" fontId="20" fillId="33" borderId="0" xfId="91" applyFill="1">
      <protection locked="0"/>
    </xf>
    <xf numFmtId="0" fontId="99" fillId="36" borderId="0" xfId="91" applyFont="1" applyFill="1" applyProtection="1"/>
    <xf numFmtId="0" fontId="16" fillId="37" borderId="14" xfId="70" applyFill="1" applyBorder="1" applyAlignment="1" applyProtection="1"/>
    <xf numFmtId="0" fontId="43" fillId="37" borderId="0" xfId="91" applyFont="1" applyFill="1">
      <protection locked="0"/>
    </xf>
    <xf numFmtId="0" fontId="60" fillId="0" borderId="0" xfId="86" applyFont="1"/>
    <xf numFmtId="0" fontId="16" fillId="33" borderId="0" xfId="70" quotePrefix="1" applyFill="1" applyAlignment="1">
      <alignment horizontal="left" vertical="center"/>
      <protection locked="0"/>
    </xf>
    <xf numFmtId="9" fontId="4" fillId="39" borderId="11" xfId="110" applyFont="1" applyFill="1" applyBorder="1" applyAlignment="1">
      <alignment horizontal="center"/>
    </xf>
    <xf numFmtId="9" fontId="4" fillId="41" borderId="11" xfId="110" applyFont="1" applyFill="1" applyBorder="1" applyAlignment="1">
      <alignment horizontal="center"/>
    </xf>
    <xf numFmtId="3" fontId="4" fillId="41" borderId="11" xfId="86" applyNumberFormat="1" applyFont="1" applyFill="1" applyBorder="1" applyAlignment="1">
      <alignment horizontal="center"/>
    </xf>
    <xf numFmtId="0" fontId="16" fillId="33" borderId="0" xfId="70" quotePrefix="1" applyFill="1" applyAlignment="1">
      <protection locked="0"/>
    </xf>
    <xf numFmtId="0" fontId="140" fillId="0" borderId="11" xfId="86" applyFont="1" applyFill="1" applyBorder="1" applyAlignment="1">
      <alignment horizontal="center" vertical="center"/>
    </xf>
    <xf numFmtId="0" fontId="133" fillId="0" borderId="0" xfId="86" applyFont="1" applyFill="1" applyBorder="1" applyAlignment="1">
      <alignment horizontal="center" vertical="center"/>
    </xf>
    <xf numFmtId="0" fontId="111" fillId="0" borderId="0" xfId="86" applyFont="1" applyFill="1" applyBorder="1" applyAlignment="1">
      <alignment horizontal="left" vertical="center"/>
    </xf>
    <xf numFmtId="3" fontId="26" fillId="0" borderId="11" xfId="0" applyNumberFormat="1" applyFont="1" applyBorder="1" applyAlignment="1">
      <alignment horizontal="center" vertical="center"/>
    </xf>
    <xf numFmtId="3" fontId="0" fillId="0" borderId="11" xfId="0" applyNumberFormat="1" applyBorder="1" applyAlignment="1">
      <alignment horizontal="center"/>
    </xf>
    <xf numFmtId="9" fontId="20" fillId="37" borderId="0" xfId="109" applyFont="1" applyFill="1"/>
    <xf numFmtId="9" fontId="20" fillId="37" borderId="0" xfId="109" applyFont="1" applyFill="1" applyBorder="1" applyAlignment="1"/>
    <xf numFmtId="9" fontId="84" fillId="37" borderId="0" xfId="109" applyFont="1" applyFill="1" applyBorder="1" applyAlignment="1"/>
    <xf numFmtId="3" fontId="0" fillId="0" borderId="0" xfId="0" quotePrefix="1" applyNumberFormat="1"/>
    <xf numFmtId="9" fontId="0" fillId="0" borderId="0" xfId="109" applyFont="1" applyAlignment="1">
      <alignment horizontal="right"/>
    </xf>
    <xf numFmtId="9" fontId="0" fillId="0" borderId="0" xfId="109" applyFont="1" applyFill="1" applyBorder="1" applyAlignment="1">
      <alignment horizontal="center"/>
    </xf>
    <xf numFmtId="9" fontId="0" fillId="0" borderId="0" xfId="0" applyNumberFormat="1" applyFill="1" applyBorder="1" applyAlignment="1">
      <alignment horizontal="center"/>
    </xf>
    <xf numFmtId="0" fontId="148" fillId="0" borderId="11" xfId="0" applyFont="1" applyBorder="1" applyAlignment="1">
      <alignment horizontal="center" wrapText="1"/>
    </xf>
    <xf numFmtId="0" fontId="26" fillId="43" borderId="11" xfId="0" applyFont="1" applyFill="1" applyBorder="1" applyAlignment="1">
      <alignment horizontal="center"/>
    </xf>
    <xf numFmtId="9" fontId="26" fillId="43" borderId="11" xfId="0" applyNumberFormat="1" applyFont="1" applyFill="1" applyBorder="1" applyAlignment="1">
      <alignment horizontal="center"/>
    </xf>
    <xf numFmtId="0" fontId="149" fillId="0" borderId="11" xfId="0" applyFont="1" applyBorder="1" applyAlignment="1">
      <alignment horizontal="center"/>
    </xf>
    <xf numFmtId="0" fontId="38" fillId="0" borderId="11" xfId="0" applyFont="1" applyBorder="1" applyAlignment="1">
      <alignment horizontal="center"/>
    </xf>
    <xf numFmtId="193" fontId="149" fillId="41" borderId="11" xfId="40" applyNumberFormat="1" applyFont="1" applyFill="1" applyBorder="1" applyAlignment="1">
      <alignment horizontal="center"/>
    </xf>
    <xf numFmtId="3" fontId="116" fillId="41" borderId="11" xfId="0" applyNumberFormat="1" applyFont="1" applyFill="1" applyBorder="1" applyAlignment="1">
      <alignment horizontal="center" wrapText="1"/>
    </xf>
    <xf numFmtId="166" fontId="0" fillId="0" borderId="0" xfId="40" applyNumberFormat="1" applyFont="1"/>
    <xf numFmtId="3" fontId="25" fillId="39" borderId="11" xfId="0" applyNumberFormat="1" applyFont="1" applyFill="1" applyBorder="1" applyAlignment="1">
      <alignment horizontal="center"/>
    </xf>
    <xf numFmtId="164" fontId="0" fillId="0" borderId="0" xfId="0" applyNumberFormat="1" applyAlignment="1">
      <alignment horizontal="center"/>
    </xf>
    <xf numFmtId="0" fontId="35" fillId="0" borderId="0" xfId="0" applyFont="1" applyAlignment="1">
      <alignment horizontal="center"/>
    </xf>
    <xf numFmtId="0" fontId="0" fillId="0" borderId="11" xfId="0" applyBorder="1" applyAlignment="1">
      <alignment wrapText="1"/>
    </xf>
    <xf numFmtId="0" fontId="96" fillId="35" borderId="0" xfId="98" applyFont="1" applyFill="1" applyBorder="1" applyAlignment="1">
      <alignment horizontal="right"/>
    </xf>
    <xf numFmtId="0" fontId="150" fillId="35" borderId="0" xfId="98" applyFont="1" applyFill="1" applyBorder="1"/>
    <xf numFmtId="0" fontId="112" fillId="35" borderId="0" xfId="98" applyFont="1" applyFill="1" applyBorder="1" applyAlignment="1">
      <alignment horizontal="right"/>
    </xf>
    <xf numFmtId="166" fontId="150" fillId="35" borderId="0" xfId="42" applyNumberFormat="1" applyFont="1" applyFill="1" applyBorder="1"/>
    <xf numFmtId="9" fontId="150" fillId="35" borderId="0" xfId="111" applyFont="1" applyFill="1" applyBorder="1" applyAlignment="1">
      <alignment wrapText="1"/>
    </xf>
    <xf numFmtId="0" fontId="85" fillId="35" borderId="0" xfId="98" applyNumberFormat="1" applyFont="1" applyFill="1" applyBorder="1" applyAlignment="1">
      <alignment horizontal="right" vertical="center"/>
    </xf>
    <xf numFmtId="9" fontId="151" fillId="35" borderId="0" xfId="111" applyFont="1" applyFill="1" applyBorder="1" applyAlignment="1">
      <alignment wrapText="1"/>
    </xf>
    <xf numFmtId="166" fontId="150" fillId="35" borderId="0" xfId="42" applyNumberFormat="1" applyFont="1" applyFill="1" applyBorder="1" applyAlignment="1">
      <alignment horizontal="right"/>
    </xf>
    <xf numFmtId="166" fontId="152" fillId="35" borderId="0" xfId="42" applyNumberFormat="1" applyFont="1" applyFill="1" applyBorder="1"/>
    <xf numFmtId="166" fontId="152" fillId="35" borderId="0" xfId="42" applyNumberFormat="1" applyFont="1" applyFill="1" applyBorder="1" applyAlignment="1">
      <alignment horizontal="right"/>
    </xf>
    <xf numFmtId="9" fontId="152" fillId="35" borderId="0" xfId="111" applyFont="1" applyFill="1" applyBorder="1" applyAlignment="1">
      <alignment wrapText="1"/>
    </xf>
    <xf numFmtId="3" fontId="4" fillId="0" borderId="11" xfId="0" quotePrefix="1" applyNumberFormat="1" applyFont="1" applyBorder="1" applyAlignment="1">
      <alignment horizontal="center" wrapText="1"/>
    </xf>
    <xf numFmtId="3" fontId="4" fillId="38" borderId="11" xfId="0" applyNumberFormat="1" applyFont="1" applyFill="1" applyBorder="1" applyAlignment="1">
      <alignment horizontal="center" wrapText="1"/>
    </xf>
    <xf numFmtId="0" fontId="152" fillId="35" borderId="0" xfId="98" applyNumberFormat="1" applyFont="1" applyFill="1" applyBorder="1" applyAlignment="1">
      <alignment horizontal="right" vertical="center" wrapText="1"/>
    </xf>
    <xf numFmtId="0" fontId="96" fillId="35" borderId="0" xfId="98" applyFont="1" applyFill="1" applyBorder="1" applyAlignment="1">
      <alignment horizontal="center" wrapText="1"/>
    </xf>
    <xf numFmtId="0" fontId="96" fillId="35" borderId="0" xfId="98" applyFill="1" applyBorder="1" applyAlignment="1">
      <alignment horizontal="center" wrapText="1"/>
    </xf>
    <xf numFmtId="0" fontId="96" fillId="35" borderId="0" xfId="98" applyFont="1" applyFill="1" applyBorder="1" applyAlignment="1">
      <alignment horizontal="right" wrapText="1"/>
    </xf>
    <xf numFmtId="166" fontId="0" fillId="35" borderId="0" xfId="0" applyNumberFormat="1" applyFill="1" applyBorder="1"/>
    <xf numFmtId="3" fontId="4" fillId="39" borderId="11" xfId="0" applyNumberFormat="1" applyFont="1" applyFill="1" applyBorder="1" applyAlignment="1">
      <alignment horizontal="center" vertical="center" wrapText="1"/>
    </xf>
    <xf numFmtId="166" fontId="150" fillId="35" borderId="0" xfId="42" applyNumberFormat="1" applyFont="1" applyFill="1" applyBorder="1"/>
    <xf numFmtId="166" fontId="150" fillId="35" borderId="0" xfId="42" applyNumberFormat="1" applyFont="1" applyFill="1" applyBorder="1" applyAlignment="1">
      <alignment horizontal="right"/>
    </xf>
    <xf numFmtId="3" fontId="4" fillId="39" borderId="11" xfId="42" applyNumberFormat="1" applyFont="1" applyFill="1" applyBorder="1" applyAlignment="1">
      <alignment horizontal="center" vertical="center" wrapText="1"/>
    </xf>
    <xf numFmtId="3" fontId="4" fillId="39" borderId="11" xfId="42" applyNumberFormat="1" applyFont="1" applyFill="1" applyBorder="1" applyAlignment="1">
      <alignment horizontal="center" vertical="center"/>
    </xf>
    <xf numFmtId="193" fontId="4" fillId="39" borderId="11" xfId="42" applyNumberFormat="1" applyFont="1" applyFill="1" applyBorder="1" applyAlignment="1">
      <alignment horizontal="center"/>
    </xf>
    <xf numFmtId="0" fontId="123" fillId="35" borderId="0" xfId="91" applyFont="1" applyFill="1">
      <protection locked="0"/>
    </xf>
    <xf numFmtId="0" fontId="102" fillId="0" borderId="0" xfId="0" applyFont="1" applyAlignment="1">
      <alignment vertical="top"/>
    </xf>
    <xf numFmtId="0" fontId="102" fillId="0" borderId="0" xfId="0" applyFont="1" applyAlignment="1"/>
    <xf numFmtId="0" fontId="0" fillId="0" borderId="0" xfId="0" applyAlignment="1">
      <alignment horizontal="left" vertical="center"/>
    </xf>
    <xf numFmtId="0" fontId="102" fillId="0" borderId="0" xfId="0" applyFont="1" applyAlignment="1">
      <alignment vertical="center"/>
    </xf>
    <xf numFmtId="0" fontId="102" fillId="0" borderId="0" xfId="0" applyFont="1" applyAlignment="1">
      <alignment horizontal="left" wrapText="1"/>
    </xf>
    <xf numFmtId="193" fontId="0" fillId="0" borderId="0" xfId="0" applyNumberFormat="1" applyAlignment="1">
      <alignment horizontal="center"/>
    </xf>
    <xf numFmtId="9" fontId="0" fillId="0" borderId="0" xfId="109" applyFont="1" applyAlignment="1">
      <alignment horizontal="center"/>
    </xf>
    <xf numFmtId="0" fontId="35" fillId="0" borderId="0" xfId="0" applyFont="1" applyAlignment="1">
      <alignment vertical="top" wrapText="1"/>
    </xf>
    <xf numFmtId="0" fontId="35" fillId="0" borderId="0" xfId="0" applyFont="1" applyAlignment="1">
      <alignment vertical="top"/>
    </xf>
    <xf numFmtId="0" fontId="35" fillId="0" borderId="0" xfId="0" applyFont="1" applyAlignment="1">
      <alignment horizontal="left" vertical="top"/>
    </xf>
    <xf numFmtId="0" fontId="4" fillId="0" borderId="0" xfId="0" applyFont="1" applyAlignment="1">
      <alignment horizontal="left" vertical="top" wrapText="1"/>
    </xf>
    <xf numFmtId="9" fontId="26" fillId="43" borderId="11" xfId="109" applyFont="1" applyFill="1" applyBorder="1" applyAlignment="1">
      <alignment horizontal="center" vertical="center" wrapText="1"/>
    </xf>
    <xf numFmtId="0" fontId="26" fillId="0" borderId="11" xfId="87" applyNumberFormat="1" applyFont="1" applyFill="1" applyBorder="1" applyAlignment="1">
      <alignment horizontal="center" vertical="center" wrapText="1"/>
    </xf>
    <xf numFmtId="0" fontId="35" fillId="0" borderId="0" xfId="86" applyFont="1"/>
    <xf numFmtId="3" fontId="4" fillId="41" borderId="11" xfId="109" applyNumberFormat="1" applyFont="1" applyFill="1" applyBorder="1" applyAlignment="1">
      <alignment horizontal="center"/>
    </xf>
    <xf numFmtId="193" fontId="4" fillId="41" borderId="11" xfId="40" applyNumberFormat="1" applyFont="1" applyFill="1" applyBorder="1" applyAlignment="1">
      <alignment horizontal="center"/>
    </xf>
    <xf numFmtId="3" fontId="4" fillId="41" borderId="11" xfId="109" applyNumberFormat="1" applyFont="1" applyFill="1" applyBorder="1" applyAlignment="1">
      <alignment horizontal="center" vertical="center"/>
    </xf>
    <xf numFmtId="3" fontId="4" fillId="40" borderId="11" xfId="0" applyNumberFormat="1" applyFont="1" applyFill="1" applyBorder="1" applyAlignment="1">
      <alignment horizontal="center" wrapText="1"/>
    </xf>
    <xf numFmtId="3" fontId="4" fillId="41" borderId="11" xfId="0" applyNumberFormat="1" applyFont="1" applyFill="1" applyBorder="1" applyAlignment="1">
      <alignment horizontal="center" vertical="center"/>
    </xf>
    <xf numFmtId="9" fontId="26" fillId="33" borderId="11" xfId="0" applyNumberFormat="1" applyFont="1" applyFill="1" applyBorder="1" applyAlignment="1">
      <alignment horizontal="center" vertical="center" wrapText="1"/>
    </xf>
    <xf numFmtId="0" fontId="20" fillId="35" borderId="0" xfId="0" applyFont="1" applyFill="1"/>
    <xf numFmtId="0" fontId="5" fillId="0" borderId="0" xfId="0" applyFont="1" applyAlignment="1">
      <alignment horizontal="center"/>
    </xf>
    <xf numFmtId="9" fontId="0" fillId="0" borderId="0" xfId="109" applyNumberFormat="1" applyFont="1" applyAlignment="1">
      <alignment horizontal="center"/>
    </xf>
    <xf numFmtId="0" fontId="26" fillId="0" borderId="0" xfId="0" applyFont="1" applyBorder="1" applyAlignment="1">
      <alignment horizontal="center" vertical="center" wrapText="1"/>
    </xf>
    <xf numFmtId="9" fontId="0" fillId="0" borderId="0" xfId="0" quotePrefix="1" applyNumberFormat="1" applyAlignment="1">
      <alignment horizontal="center"/>
    </xf>
    <xf numFmtId="167" fontId="0" fillId="55" borderId="0" xfId="0" applyNumberFormat="1" applyFill="1"/>
    <xf numFmtId="9" fontId="5" fillId="56" borderId="11" xfId="109" applyFont="1" applyFill="1" applyBorder="1" applyAlignment="1">
      <alignment horizontal="center" vertical="center"/>
    </xf>
    <xf numFmtId="0" fontId="20" fillId="0" borderId="0" xfId="0" applyFont="1" applyAlignment="1">
      <alignment horizontal="right"/>
    </xf>
    <xf numFmtId="3" fontId="4" fillId="41" borderId="11" xfId="42" applyNumberFormat="1" applyFont="1" applyFill="1" applyBorder="1" applyAlignment="1">
      <alignment horizontal="center" vertical="center"/>
    </xf>
    <xf numFmtId="3" fontId="4" fillId="35" borderId="0" xfId="0" quotePrefix="1" applyNumberFormat="1" applyFont="1" applyFill="1" applyBorder="1" applyAlignment="1">
      <alignment horizontal="center" wrapText="1"/>
    </xf>
    <xf numFmtId="3" fontId="86" fillId="40" borderId="0" xfId="109" applyNumberFormat="1" applyFont="1" applyFill="1" applyAlignment="1">
      <alignment horizontal="center"/>
    </xf>
    <xf numFmtId="3" fontId="86" fillId="39" borderId="0" xfId="109" applyNumberFormat="1" applyFont="1" applyFill="1" applyAlignment="1">
      <alignment horizontal="center"/>
    </xf>
    <xf numFmtId="0" fontId="0" fillId="57" borderId="0" xfId="0" applyFill="1"/>
    <xf numFmtId="3" fontId="86" fillId="57" borderId="0" xfId="109" applyNumberFormat="1" applyFont="1" applyFill="1" applyAlignment="1">
      <alignment horizontal="center"/>
    </xf>
    <xf numFmtId="9" fontId="87" fillId="40" borderId="0" xfId="109" applyFont="1" applyFill="1" applyAlignment="1">
      <alignment horizontal="center"/>
    </xf>
    <xf numFmtId="0" fontId="0" fillId="45" borderId="0" xfId="0" applyFill="1"/>
    <xf numFmtId="9" fontId="87" fillId="45" borderId="0" xfId="109" applyFont="1" applyFill="1" applyAlignment="1">
      <alignment horizontal="center"/>
    </xf>
    <xf numFmtId="9" fontId="0" fillId="45" borderId="0" xfId="0" applyNumberFormat="1" applyFill="1"/>
    <xf numFmtId="9" fontId="87" fillId="39" borderId="0" xfId="109" applyFont="1" applyFill="1" applyAlignment="1">
      <alignment horizontal="center"/>
    </xf>
    <xf numFmtId="9" fontId="0" fillId="39" borderId="0" xfId="0" applyNumberFormat="1" applyFill="1"/>
    <xf numFmtId="9" fontId="87" fillId="40" borderId="0" xfId="109" applyNumberFormat="1" applyFont="1" applyFill="1" applyAlignment="1">
      <alignment horizontal="center"/>
    </xf>
    <xf numFmtId="0" fontId="118" fillId="0" borderId="0" xfId="0" applyFont="1" applyAlignment="1">
      <alignment horizontal="left" wrapText="1"/>
    </xf>
    <xf numFmtId="0" fontId="102" fillId="0" borderId="0" xfId="0" applyFont="1" applyAlignment="1">
      <alignment horizontal="left" wrapText="1"/>
    </xf>
    <xf numFmtId="3" fontId="153" fillId="0" borderId="0" xfId="0" applyNumberFormat="1" applyFont="1"/>
    <xf numFmtId="0" fontId="89" fillId="0" borderId="0" xfId="0" applyFont="1"/>
    <xf numFmtId="9" fontId="39" fillId="58" borderId="11" xfId="109" applyFont="1" applyFill="1" applyBorder="1" applyAlignment="1">
      <alignment horizontal="center" vertical="center"/>
    </xf>
    <xf numFmtId="0" fontId="154" fillId="0" borderId="0" xfId="0" applyFont="1"/>
    <xf numFmtId="0" fontId="26" fillId="0" borderId="24" xfId="0" applyFont="1" applyBorder="1" applyAlignment="1">
      <alignment horizontal="center" wrapText="1"/>
    </xf>
    <xf numFmtId="0" fontId="0" fillId="38" borderId="16" xfId="0" applyFill="1" applyBorder="1"/>
    <xf numFmtId="0" fontId="0" fillId="38" borderId="23" xfId="0" applyFill="1" applyBorder="1"/>
    <xf numFmtId="0" fontId="102" fillId="0" borderId="0" xfId="0" quotePrefix="1" applyFont="1" applyAlignment="1"/>
    <xf numFmtId="0" fontId="155" fillId="0" borderId="0" xfId="0" applyFont="1" applyAlignment="1">
      <alignment horizontal="left"/>
    </xf>
    <xf numFmtId="0" fontId="0" fillId="59" borderId="11" xfId="0" applyFill="1" applyBorder="1"/>
    <xf numFmtId="0" fontId="119" fillId="0" borderId="0" xfId="0" applyFont="1" applyAlignment="1">
      <alignment vertical="top"/>
    </xf>
    <xf numFmtId="0" fontId="119" fillId="0" borderId="0" xfId="0" applyFont="1" applyAlignment="1">
      <alignment horizontal="left" vertical="top"/>
    </xf>
    <xf numFmtId="0" fontId="119" fillId="0" borderId="0" xfId="0" applyFont="1" applyFill="1" applyAlignment="1">
      <alignment vertical="top"/>
    </xf>
    <xf numFmtId="0" fontId="156" fillId="0" borderId="0" xfId="0" applyFont="1" applyAlignment="1"/>
    <xf numFmtId="0" fontId="0" fillId="34" borderId="0" xfId="0" applyFill="1"/>
    <xf numFmtId="3" fontId="4" fillId="41" borderId="23" xfId="0" applyNumberFormat="1" applyFont="1" applyFill="1" applyBorder="1" applyAlignment="1">
      <alignment horizontal="center"/>
    </xf>
    <xf numFmtId="0" fontId="20" fillId="33" borderId="0" xfId="91" applyFill="1" applyAlignment="1">
      <alignment vertical="top"/>
      <protection locked="0"/>
    </xf>
    <xf numFmtId="0" fontId="16" fillId="33" borderId="0" xfId="70" quotePrefix="1" applyFill="1" applyAlignment="1">
      <alignment vertical="top"/>
      <protection locked="0"/>
    </xf>
    <xf numFmtId="3" fontId="25" fillId="39" borderId="11" xfId="0" applyNumberFormat="1" applyFont="1" applyFill="1" applyBorder="1" applyAlignment="1">
      <alignment horizontal="center" vertical="center"/>
    </xf>
    <xf numFmtId="3" fontId="25" fillId="41" borderId="11" xfId="0" applyNumberFormat="1" applyFont="1" applyFill="1" applyBorder="1" applyAlignment="1">
      <alignment horizontal="center" vertical="center"/>
    </xf>
    <xf numFmtId="9" fontId="25" fillId="41" borderId="11" xfId="109" applyFont="1" applyFill="1" applyBorder="1" applyAlignment="1">
      <alignment horizontal="center" vertical="center"/>
    </xf>
    <xf numFmtId="9" fontId="25" fillId="42" borderId="11" xfId="109" applyFont="1" applyFill="1" applyBorder="1" applyAlignment="1">
      <alignment horizontal="center" vertical="center"/>
    </xf>
    <xf numFmtId="9" fontId="25" fillId="41" borderId="11" xfId="109" applyFont="1" applyFill="1" applyBorder="1" applyAlignment="1">
      <alignment horizontal="center"/>
    </xf>
    <xf numFmtId="0" fontId="118" fillId="0" borderId="0" xfId="0" applyFont="1" applyAlignment="1">
      <alignment horizontal="left" wrapText="1"/>
    </xf>
    <xf numFmtId="0" fontId="102" fillId="0" borderId="0" xfId="0" applyFont="1" applyAlignment="1">
      <alignment horizontal="left" wrapText="1"/>
    </xf>
    <xf numFmtId="0" fontId="4" fillId="0" borderId="23" xfId="0" applyFont="1" applyBorder="1" applyAlignment="1">
      <alignment horizontal="center" vertical="center" wrapText="1"/>
    </xf>
    <xf numFmtId="166" fontId="4" fillId="39" borderId="11" xfId="40" applyNumberFormat="1" applyFont="1" applyFill="1" applyBorder="1"/>
    <xf numFmtId="166" fontId="4" fillId="41" borderId="11" xfId="40" applyNumberFormat="1" applyFont="1" applyFill="1" applyBorder="1"/>
    <xf numFmtId="0" fontId="0" fillId="0" borderId="0" xfId="0" applyBorder="1" applyAlignment="1">
      <alignment horizontal="center" vertical="center"/>
    </xf>
    <xf numFmtId="3" fontId="4" fillId="39" borderId="21" xfId="0" applyNumberFormat="1" applyFont="1" applyFill="1" applyBorder="1" applyAlignment="1">
      <alignment horizontal="center"/>
    </xf>
    <xf numFmtId="3" fontId="4" fillId="38" borderId="11" xfId="0" applyNumberFormat="1" applyFont="1" applyFill="1" applyBorder="1" applyAlignment="1">
      <alignment horizontal="center" vertical="center" wrapText="1"/>
    </xf>
    <xf numFmtId="3" fontId="4" fillId="41" borderId="11" xfId="0" applyNumberFormat="1" applyFont="1" applyFill="1" applyBorder="1" applyAlignment="1">
      <alignment horizontal="center" vertical="center"/>
    </xf>
    <xf numFmtId="166" fontId="4" fillId="0" borderId="0" xfId="0" applyNumberFormat="1" applyFont="1" applyAlignment="1">
      <alignment horizontal="center"/>
    </xf>
    <xf numFmtId="195" fontId="0" fillId="0" borderId="0" xfId="0" applyNumberFormat="1" applyAlignment="1">
      <alignment horizontal="center"/>
    </xf>
    <xf numFmtId="3" fontId="4" fillId="0" borderId="0" xfId="109" applyNumberFormat="1" applyFont="1" applyAlignment="1">
      <alignment horizontal="center"/>
    </xf>
    <xf numFmtId="3" fontId="158" fillId="38" borderId="16" xfId="0" applyNumberFormat="1" applyFont="1" applyFill="1" applyBorder="1" applyAlignment="1">
      <alignment horizontal="center" vertical="center" wrapText="1"/>
    </xf>
    <xf numFmtId="3" fontId="0" fillId="0" borderId="0" xfId="0" applyNumberFormat="1" applyAlignment="1">
      <alignment vertical="center"/>
    </xf>
    <xf numFmtId="3" fontId="20" fillId="0" borderId="11" xfId="0" applyNumberFormat="1" applyFont="1" applyBorder="1" applyAlignment="1">
      <alignment horizontal="center" vertical="center"/>
    </xf>
    <xf numFmtId="3" fontId="38" fillId="40" borderId="11" xfId="0" applyNumberFormat="1" applyFont="1" applyFill="1" applyBorder="1" applyAlignment="1">
      <alignment horizontal="center" vertical="center"/>
    </xf>
    <xf numFmtId="3" fontId="118" fillId="0" borderId="11" xfId="0" applyNumberFormat="1" applyFont="1" applyBorder="1" applyAlignment="1">
      <alignment horizontal="center" vertical="center"/>
    </xf>
    <xf numFmtId="3" fontId="4" fillId="44" borderId="11" xfId="0" applyNumberFormat="1" applyFont="1" applyFill="1" applyBorder="1" applyAlignment="1">
      <alignment horizontal="center" vertical="center"/>
    </xf>
    <xf numFmtId="3" fontId="119" fillId="0" borderId="11" xfId="0" applyNumberFormat="1" applyFont="1" applyBorder="1" applyAlignment="1">
      <alignment horizontal="center" vertical="center"/>
    </xf>
    <xf numFmtId="3" fontId="35" fillId="41" borderId="11" xfId="0" applyNumberFormat="1" applyFont="1" applyFill="1" applyBorder="1" applyAlignment="1">
      <alignment horizontal="center" vertical="center"/>
    </xf>
    <xf numFmtId="3" fontId="158" fillId="38" borderId="16" xfId="0" applyNumberFormat="1" applyFont="1" applyFill="1" applyBorder="1" applyAlignment="1">
      <alignment horizontal="center" vertical="center"/>
    </xf>
    <xf numFmtId="3" fontId="20" fillId="59" borderId="16" xfId="0" applyNumberFormat="1" applyFont="1" applyFill="1" applyBorder="1" applyAlignment="1">
      <alignment vertical="center"/>
    </xf>
    <xf numFmtId="3" fontId="4" fillId="59" borderId="28" xfId="0" applyNumberFormat="1" applyFont="1" applyFill="1" applyBorder="1" applyAlignment="1">
      <alignment vertical="center"/>
    </xf>
    <xf numFmtId="0" fontId="159" fillId="59" borderId="11" xfId="0" applyFont="1" applyFill="1" applyBorder="1" applyAlignment="1">
      <alignment vertical="center"/>
    </xf>
    <xf numFmtId="3" fontId="118" fillId="59" borderId="11" xfId="0" applyNumberFormat="1" applyFont="1" applyFill="1" applyBorder="1" applyAlignment="1">
      <alignment horizontal="center" vertical="center"/>
    </xf>
    <xf numFmtId="0" fontId="160" fillId="0" borderId="0" xfId="0" applyFont="1" applyAlignment="1">
      <alignment horizontal="left" vertical="center" wrapText="1"/>
    </xf>
    <xf numFmtId="0" fontId="118" fillId="0" borderId="0" xfId="0" applyFont="1" applyAlignment="1">
      <alignment horizontal="left" vertical="center" wrapText="1"/>
    </xf>
    <xf numFmtId="0" fontId="161" fillId="0" borderId="0" xfId="0" applyFont="1"/>
    <xf numFmtId="0" fontId="102" fillId="0" borderId="0" xfId="0" applyFont="1" applyAlignment="1">
      <alignment horizontal="left" wrapText="1"/>
    </xf>
    <xf numFmtId="193" fontId="0" fillId="0" borderId="0" xfId="0" applyNumberFormat="1" applyAlignment="1">
      <alignment horizontal="center" vertical="center"/>
    </xf>
    <xf numFmtId="9" fontId="0" fillId="0" borderId="0" xfId="109" applyFont="1" applyAlignment="1">
      <alignment horizontal="center" vertical="center"/>
    </xf>
    <xf numFmtId="9" fontId="0" fillId="0" borderId="0" xfId="0" applyNumberFormat="1" applyAlignment="1">
      <alignment horizontal="center" vertical="center"/>
    </xf>
    <xf numFmtId="166" fontId="0" fillId="0" borderId="0" xfId="0" applyNumberFormat="1" applyAlignment="1">
      <alignment horizontal="center" vertical="center"/>
    </xf>
    <xf numFmtId="0" fontId="5" fillId="38" borderId="11" xfId="0" applyFont="1" applyFill="1" applyBorder="1" applyAlignment="1">
      <alignment horizontal="center" vertical="center" wrapText="1"/>
    </xf>
    <xf numFmtId="3" fontId="119" fillId="0" borderId="11" xfId="0" applyNumberFormat="1" applyFont="1" applyBorder="1" applyAlignment="1">
      <alignment horizontal="center" vertical="center" wrapText="1"/>
    </xf>
    <xf numFmtId="3" fontId="102" fillId="0" borderId="0" xfId="0" applyNumberFormat="1" applyFont="1" applyAlignment="1">
      <alignment horizontal="left" wrapText="1"/>
    </xf>
    <xf numFmtId="0" fontId="93" fillId="0" borderId="0" xfId="0" applyFont="1"/>
    <xf numFmtId="3" fontId="4" fillId="41" borderId="11" xfId="0" applyNumberFormat="1" applyFont="1" applyFill="1" applyBorder="1" applyAlignment="1">
      <alignment horizontal="center" vertical="center"/>
    </xf>
    <xf numFmtId="165" fontId="5" fillId="56" borderId="11" xfId="109" applyNumberFormat="1" applyFont="1" applyFill="1" applyBorder="1" applyAlignment="1">
      <alignment horizontal="center" vertical="center"/>
    </xf>
    <xf numFmtId="165" fontId="39" fillId="58" borderId="11" xfId="109" applyNumberFormat="1" applyFont="1" applyFill="1" applyBorder="1" applyAlignment="1">
      <alignment horizontal="center" vertical="center"/>
    </xf>
    <xf numFmtId="165" fontId="137" fillId="56" borderId="11" xfId="109" applyNumberFormat="1" applyFont="1" applyFill="1" applyBorder="1" applyAlignment="1">
      <alignment horizontal="center" vertical="center"/>
    </xf>
    <xf numFmtId="165" fontId="162" fillId="58" borderId="11" xfId="109" applyNumberFormat="1" applyFont="1" applyFill="1" applyBorder="1" applyAlignment="1">
      <alignment horizontal="center" vertical="center"/>
    </xf>
    <xf numFmtId="9" fontId="158" fillId="0" borderId="0" xfId="0" applyNumberFormat="1" applyFont="1" applyFill="1" applyAlignment="1">
      <alignment horizontal="left" vertical="top"/>
    </xf>
    <xf numFmtId="0" fontId="158" fillId="0" borderId="0" xfId="0" applyFont="1" applyFill="1" applyAlignment="1">
      <alignment horizontal="right" vertical="center"/>
    </xf>
    <xf numFmtId="0" fontId="123" fillId="0" borderId="0" xfId="0" applyFont="1" applyFill="1" applyAlignment="1">
      <alignment vertical="top"/>
    </xf>
    <xf numFmtId="9" fontId="35" fillId="0" borderId="0" xfId="0" applyNumberFormat="1" applyFont="1" applyAlignment="1">
      <alignment horizontal="left" vertical="top" wrapText="1"/>
    </xf>
    <xf numFmtId="0" fontId="115" fillId="38" borderId="0" xfId="0" applyFont="1" applyFill="1" applyAlignment="1">
      <alignment horizontal="left"/>
    </xf>
    <xf numFmtId="9" fontId="133" fillId="53" borderId="16" xfId="0" applyNumberFormat="1" applyFont="1" applyFill="1" applyBorder="1" applyAlignment="1">
      <alignment horizontal="center"/>
    </xf>
    <xf numFmtId="9" fontId="133" fillId="39" borderId="16" xfId="0" applyNumberFormat="1" applyFont="1" applyFill="1" applyBorder="1" applyAlignment="1">
      <alignment horizontal="center"/>
    </xf>
    <xf numFmtId="9" fontId="113" fillId="39" borderId="23" xfId="0" applyNumberFormat="1" applyFont="1" applyFill="1" applyBorder="1" applyAlignment="1">
      <alignment horizontal="center"/>
    </xf>
    <xf numFmtId="9" fontId="133" fillId="41" borderId="11" xfId="0" applyNumberFormat="1" applyFont="1" applyFill="1" applyBorder="1" applyAlignment="1">
      <alignment horizontal="center"/>
    </xf>
    <xf numFmtId="0" fontId="163" fillId="0" borderId="0" xfId="0" applyFont="1" applyFill="1" applyBorder="1"/>
    <xf numFmtId="0" fontId="4" fillId="0" borderId="11" xfId="0" applyFont="1" applyBorder="1" applyAlignment="1">
      <alignment horizontal="center" vertical="top"/>
    </xf>
    <xf numFmtId="0" fontId="20" fillId="0" borderId="11" xfId="0" applyFont="1" applyBorder="1" applyAlignment="1">
      <alignment horizontal="center" vertical="center"/>
    </xf>
    <xf numFmtId="0" fontId="3" fillId="37" borderId="0" xfId="102" applyFill="1" applyBorder="1"/>
    <xf numFmtId="3" fontId="4" fillId="0" borderId="0" xfId="109" applyNumberFormat="1" applyFont="1" applyBorder="1" applyAlignment="1">
      <alignment horizontal="center"/>
    </xf>
    <xf numFmtId="3" fontId="4" fillId="0" borderId="0" xfId="109" applyNumberFormat="1" applyFont="1" applyFill="1" applyBorder="1" applyAlignment="1">
      <alignment horizontal="center"/>
    </xf>
    <xf numFmtId="194" fontId="5" fillId="0" borderId="0" xfId="0" applyNumberFormat="1" applyFont="1"/>
    <xf numFmtId="165" fontId="0" fillId="0" borderId="0" xfId="109" applyNumberFormat="1" applyFont="1" applyAlignment="1">
      <alignment horizontal="center"/>
    </xf>
    <xf numFmtId="165" fontId="0" fillId="0" borderId="0" xfId="0" applyNumberFormat="1" applyAlignment="1">
      <alignment horizontal="center"/>
    </xf>
    <xf numFmtId="10" fontId="26" fillId="43" borderId="11" xfId="109" applyNumberFormat="1" applyFont="1" applyFill="1" applyBorder="1" applyAlignment="1">
      <alignment horizontal="center" vertical="center" wrapText="1"/>
    </xf>
    <xf numFmtId="10" fontId="26" fillId="33" borderId="11" xfId="0" applyNumberFormat="1" applyFont="1" applyFill="1" applyBorder="1" applyAlignment="1">
      <alignment horizontal="center" vertical="center" wrapText="1"/>
    </xf>
    <xf numFmtId="165" fontId="25" fillId="41" borderId="11" xfId="109" applyNumberFormat="1" applyFont="1" applyFill="1" applyBorder="1" applyAlignment="1">
      <alignment horizontal="center"/>
    </xf>
    <xf numFmtId="165" fontId="35" fillId="0" borderId="0" xfId="0" applyNumberFormat="1" applyFont="1" applyAlignment="1">
      <alignment horizontal="left" vertical="top" wrapText="1"/>
    </xf>
    <xf numFmtId="3" fontId="118" fillId="0" borderId="0" xfId="0" applyNumberFormat="1" applyFont="1" applyAlignment="1">
      <alignment horizontal="left" wrapText="1"/>
    </xf>
    <xf numFmtId="3" fontId="3" fillId="0" borderId="0" xfId="101" applyNumberFormat="1"/>
    <xf numFmtId="9" fontId="4" fillId="38" borderId="11" xfId="109" applyFont="1" applyFill="1" applyBorder="1" applyAlignment="1">
      <alignment horizontal="center"/>
    </xf>
    <xf numFmtId="3" fontId="4" fillId="41" borderId="11" xfId="0" applyNumberFormat="1" applyFont="1" applyFill="1" applyBorder="1" applyAlignment="1">
      <alignment horizontal="center" vertical="center"/>
    </xf>
    <xf numFmtId="1" fontId="134" fillId="0" borderId="0" xfId="0" applyNumberFormat="1" applyFont="1" applyFill="1" applyBorder="1" applyAlignment="1">
      <alignment horizontal="left" wrapText="1"/>
    </xf>
    <xf numFmtId="1" fontId="25" fillId="0" borderId="11" xfId="0" applyNumberFormat="1" applyFont="1" applyFill="1" applyBorder="1" applyAlignment="1">
      <alignment horizontal="center" wrapText="1"/>
    </xf>
    <xf numFmtId="1" fontId="25" fillId="0" borderId="16" xfId="0" applyNumberFormat="1" applyFont="1" applyFill="1" applyBorder="1" applyAlignment="1">
      <alignment horizontal="center" wrapText="1"/>
    </xf>
    <xf numFmtId="2" fontId="25" fillId="56" borderId="11" xfId="0" applyNumberFormat="1" applyFont="1" applyFill="1" applyBorder="1" applyAlignment="1">
      <alignment horizontal="center" wrapText="1"/>
    </xf>
    <xf numFmtId="2" fontId="25" fillId="43" borderId="11" xfId="0" applyNumberFormat="1" applyFont="1" applyFill="1" applyBorder="1" applyAlignment="1">
      <alignment horizontal="center" wrapText="1"/>
    </xf>
    <xf numFmtId="10" fontId="4" fillId="38" borderId="11" xfId="109" applyNumberFormat="1" applyFont="1" applyFill="1" applyBorder="1" applyAlignment="1">
      <alignment horizontal="center" vertical="center"/>
    </xf>
    <xf numFmtId="10" fontId="4" fillId="39" borderId="11" xfId="109" applyNumberFormat="1" applyFont="1" applyFill="1" applyBorder="1" applyAlignment="1">
      <alignment horizontal="center"/>
    </xf>
    <xf numFmtId="10" fontId="4" fillId="41" borderId="11" xfId="109" applyNumberFormat="1" applyFont="1" applyFill="1" applyBorder="1" applyAlignment="1">
      <alignment horizontal="center" vertical="center"/>
    </xf>
    <xf numFmtId="10" fontId="20" fillId="0" borderId="0" xfId="0" applyNumberFormat="1" applyFont="1"/>
    <xf numFmtId="10" fontId="4" fillId="0" borderId="11" xfId="0" applyNumberFormat="1" applyFont="1" applyBorder="1" applyAlignment="1">
      <alignment horizontal="center"/>
    </xf>
    <xf numFmtId="10" fontId="123" fillId="0" borderId="0" xfId="0" applyNumberFormat="1" applyFont="1"/>
    <xf numFmtId="3" fontId="20" fillId="38" borderId="0" xfId="109" applyNumberFormat="1" applyFont="1" applyFill="1" applyAlignment="1">
      <alignment horizontal="center"/>
    </xf>
    <xf numFmtId="9" fontId="0" fillId="0" borderId="0" xfId="109" applyFont="1" applyAlignment="1">
      <alignment horizontal="left"/>
    </xf>
    <xf numFmtId="198" fontId="95" fillId="0" borderId="0" xfId="0" applyNumberFormat="1" applyFont="1"/>
    <xf numFmtId="0" fontId="164" fillId="0" borderId="0" xfId="0" applyFont="1"/>
    <xf numFmtId="199" fontId="58" fillId="0" borderId="0" xfId="0" applyNumberFormat="1" applyFont="1"/>
    <xf numFmtId="9" fontId="0" fillId="0" borderId="11" xfId="0" applyNumberFormat="1" applyBorder="1" applyAlignment="1">
      <alignment horizontal="center"/>
    </xf>
    <xf numFmtId="0" fontId="102" fillId="0" borderId="0" xfId="0" applyFont="1" applyFill="1" applyAlignment="1">
      <alignment horizontal="left" vertical="top" wrapText="1"/>
    </xf>
    <xf numFmtId="0" fontId="118" fillId="0" borderId="0" xfId="0" applyFont="1" applyAlignment="1"/>
    <xf numFmtId="3" fontId="118" fillId="0" borderId="0" xfId="0" applyNumberFormat="1" applyFont="1" applyAlignment="1">
      <alignment horizontal="right" vertical="center" wrapText="1"/>
    </xf>
    <xf numFmtId="165" fontId="0" fillId="0" borderId="0" xfId="109" applyNumberFormat="1" applyFont="1" applyAlignment="1">
      <alignment horizontal="right"/>
    </xf>
    <xf numFmtId="166" fontId="0" fillId="0" borderId="0" xfId="0" applyNumberFormat="1" applyFill="1" applyAlignment="1">
      <alignment horizontal="right"/>
    </xf>
    <xf numFmtId="197" fontId="5" fillId="0" borderId="0" xfId="0" applyNumberFormat="1" applyFont="1"/>
    <xf numFmtId="196" fontId="39" fillId="0" borderId="0" xfId="0" applyNumberFormat="1" applyFont="1" applyAlignment="1">
      <alignment horizontal="left" vertical="top" wrapText="1"/>
    </xf>
    <xf numFmtId="10" fontId="39" fillId="35" borderId="11" xfId="0" applyNumberFormat="1" applyFont="1" applyFill="1" applyBorder="1" applyAlignment="1">
      <alignment horizontal="center" vertical="center" wrapText="1"/>
    </xf>
    <xf numFmtId="0" fontId="4" fillId="0" borderId="0" xfId="0" applyFont="1" applyBorder="1" applyAlignment="1">
      <alignment horizontal="center" vertical="top" wrapText="1"/>
    </xf>
    <xf numFmtId="0" fontId="33" fillId="0" borderId="0" xfId="0" applyFont="1" applyBorder="1" applyAlignment="1">
      <alignment horizontal="center" vertical="top"/>
    </xf>
    <xf numFmtId="0" fontId="25" fillId="0" borderId="11" xfId="0" applyFont="1" applyBorder="1" applyAlignment="1">
      <alignment horizontal="center" vertical="center" wrapText="1"/>
    </xf>
    <xf numFmtId="0" fontId="26" fillId="35" borderId="11" xfId="0" applyFont="1" applyFill="1" applyBorder="1" applyAlignment="1">
      <alignment horizontal="center" vertical="center" wrapText="1"/>
    </xf>
    <xf numFmtId="0" fontId="165" fillId="38" borderId="11" xfId="0" applyFont="1" applyFill="1" applyBorder="1" applyAlignment="1">
      <alignment horizontal="center" vertical="center" wrapText="1"/>
    </xf>
    <xf numFmtId="0" fontId="16" fillId="33" borderId="0" xfId="70" applyFill="1" applyAlignment="1">
      <protection locked="0"/>
    </xf>
    <xf numFmtId="0" fontId="4" fillId="33" borderId="30" xfId="91" applyFont="1" applyFill="1" applyBorder="1" applyAlignment="1">
      <alignment horizontal="center"/>
      <protection locked="0"/>
    </xf>
    <xf numFmtId="0" fontId="20" fillId="33" borderId="30" xfId="91" applyFill="1" applyBorder="1" applyAlignment="1">
      <alignment horizontal="center"/>
      <protection locked="0"/>
    </xf>
    <xf numFmtId="0" fontId="119" fillId="33" borderId="30" xfId="91" applyFont="1" applyFill="1" applyBorder="1" applyAlignment="1">
      <alignment horizontal="center"/>
      <protection locked="0"/>
    </xf>
    <xf numFmtId="0" fontId="119" fillId="33" borderId="30" xfId="91" applyFont="1" applyFill="1" applyBorder="1" applyAlignment="1">
      <alignment horizontal="center" vertical="center"/>
      <protection locked="0"/>
    </xf>
    <xf numFmtId="0" fontId="0" fillId="33" borderId="30" xfId="0" applyFill="1" applyBorder="1" applyAlignment="1">
      <alignment horizontal="center"/>
    </xf>
    <xf numFmtId="0" fontId="0" fillId="33" borderId="30" xfId="0" quotePrefix="1" applyFill="1" applyBorder="1" applyAlignment="1">
      <alignment horizontal="center"/>
    </xf>
    <xf numFmtId="0" fontId="104" fillId="36" borderId="0" xfId="70" applyFont="1" applyFill="1" applyAlignment="1" applyProtection="1"/>
    <xf numFmtId="0" fontId="16" fillId="37" borderId="0" xfId="70" applyFill="1" applyBorder="1" applyAlignment="1" applyProtection="1"/>
    <xf numFmtId="0" fontId="5" fillId="38" borderId="11" xfId="0" quotePrefix="1" applyFont="1" applyFill="1" applyBorder="1" applyAlignment="1">
      <alignment horizontal="center" vertical="center" wrapText="1"/>
    </xf>
    <xf numFmtId="0" fontId="26" fillId="0" borderId="23" xfId="0" applyFont="1" applyBorder="1" applyAlignment="1">
      <alignment horizontal="center"/>
    </xf>
    <xf numFmtId="0" fontId="26" fillId="0" borderId="11" xfId="0" applyFont="1" applyBorder="1" applyAlignment="1">
      <alignment horizontal="center" vertical="center" wrapText="1"/>
    </xf>
    <xf numFmtId="0" fontId="4" fillId="0" borderId="11" xfId="0" applyFont="1" applyBorder="1" applyAlignment="1">
      <alignment horizontal="center" vertical="center"/>
    </xf>
    <xf numFmtId="0" fontId="123" fillId="0" borderId="0" xfId="0" applyFont="1" applyAlignment="1"/>
    <xf numFmtId="0" fontId="26" fillId="33" borderId="11" xfId="0" applyFont="1" applyFill="1" applyBorder="1" applyAlignment="1">
      <alignment horizontal="center" vertical="center" wrapText="1"/>
    </xf>
    <xf numFmtId="3" fontId="170" fillId="0" borderId="0" xfId="0" applyNumberFormat="1" applyFont="1"/>
    <xf numFmtId="3" fontId="171" fillId="0" borderId="0" xfId="0" applyNumberFormat="1" applyFont="1"/>
    <xf numFmtId="0" fontId="26" fillId="35" borderId="0" xfId="0" applyFont="1" applyFill="1" applyBorder="1" applyAlignment="1">
      <alignment horizontal="center" vertical="center"/>
    </xf>
    <xf numFmtId="0" fontId="26" fillId="35" borderId="0" xfId="0" applyFont="1" applyFill="1" applyBorder="1" applyAlignment="1">
      <alignment horizontal="center" vertical="center" wrapText="1"/>
    </xf>
    <xf numFmtId="0" fontId="35" fillId="0" borderId="0" xfId="0" applyFont="1" applyAlignment="1">
      <alignment wrapText="1"/>
    </xf>
    <xf numFmtId="0" fontId="35" fillId="0" borderId="0" xfId="0" applyFont="1" applyAlignment="1"/>
    <xf numFmtId="0" fontId="3" fillId="37" borderId="0" xfId="102" applyFont="1" applyFill="1"/>
    <xf numFmtId="0" fontId="3" fillId="37" borderId="0" xfId="104" applyFont="1" applyFill="1" applyBorder="1" applyAlignment="1">
      <alignment vertical="top"/>
    </xf>
    <xf numFmtId="0" fontId="3" fillId="37" borderId="0" xfId="0" applyFont="1" applyFill="1" applyBorder="1" applyAlignment="1"/>
    <xf numFmtId="0" fontId="0" fillId="0" borderId="31" xfId="0" applyBorder="1"/>
    <xf numFmtId="0" fontId="0" fillId="0" borderId="32" xfId="0" applyBorder="1"/>
    <xf numFmtId="0" fontId="171" fillId="0" borderId="32" xfId="0" applyFont="1" applyBorder="1"/>
    <xf numFmtId="0" fontId="119" fillId="0" borderId="32" xfId="0" applyFont="1" applyBorder="1" applyAlignment="1">
      <alignment wrapText="1"/>
    </xf>
    <xf numFmtId="0" fontId="119" fillId="0" borderId="32" xfId="0" applyFont="1" applyBorder="1"/>
    <xf numFmtId="0" fontId="4" fillId="0" borderId="32" xfId="0" applyFont="1" applyBorder="1"/>
    <xf numFmtId="0" fontId="0" fillId="0" borderId="40" xfId="0" applyBorder="1"/>
    <xf numFmtId="0" fontId="0" fillId="0" borderId="44" xfId="0" applyBorder="1"/>
    <xf numFmtId="0" fontId="0" fillId="0" borderId="46" xfId="0" applyBorder="1"/>
    <xf numFmtId="3" fontId="5" fillId="38" borderId="45" xfId="40" applyNumberFormat="1" applyFont="1" applyFill="1" applyBorder="1" applyAlignment="1">
      <alignment horizontal="center" vertical="center"/>
    </xf>
    <xf numFmtId="3" fontId="5" fillId="38" borderId="23" xfId="0" applyNumberFormat="1" applyFont="1" applyFill="1" applyBorder="1" applyAlignment="1">
      <alignment horizontal="center" vertical="center"/>
    </xf>
    <xf numFmtId="0" fontId="0" fillId="0" borderId="47" xfId="0" applyBorder="1"/>
    <xf numFmtId="0" fontId="172" fillId="0" borderId="32" xfId="70" applyFont="1" applyBorder="1" applyAlignment="1" applyProtection="1"/>
    <xf numFmtId="0" fontId="4" fillId="0" borderId="32" xfId="0" applyFont="1" applyBorder="1" applyAlignment="1">
      <alignment vertical="center"/>
    </xf>
    <xf numFmtId="0" fontId="172" fillId="0" borderId="32" xfId="70" applyFont="1" applyBorder="1" applyAlignment="1" applyProtection="1">
      <alignment vertical="center"/>
    </xf>
    <xf numFmtId="0" fontId="0" fillId="0" borderId="32" xfId="0" applyBorder="1" applyAlignment="1"/>
    <xf numFmtId="0" fontId="3" fillId="0" borderId="32" xfId="0" applyFont="1" applyBorder="1"/>
    <xf numFmtId="0" fontId="95" fillId="0" borderId="32" xfId="0" applyFont="1" applyBorder="1" applyAlignment="1">
      <alignment horizontal="center"/>
    </xf>
    <xf numFmtId="3" fontId="26" fillId="0" borderId="32" xfId="0" applyNumberFormat="1" applyFont="1" applyBorder="1" applyAlignment="1">
      <alignment horizontal="center"/>
    </xf>
    <xf numFmtId="3" fontId="0" fillId="0" borderId="32" xfId="0" applyNumberFormat="1" applyBorder="1"/>
    <xf numFmtId="3" fontId="99" fillId="0" borderId="0" xfId="0" applyNumberFormat="1" applyFont="1" applyAlignment="1">
      <alignment vertical="center"/>
    </xf>
    <xf numFmtId="0" fontId="173" fillId="0" borderId="0" xfId="0" applyFont="1" applyAlignment="1"/>
    <xf numFmtId="0" fontId="4" fillId="0" borderId="32" xfId="0" applyFont="1" applyBorder="1" applyAlignment="1">
      <alignment vertical="top"/>
    </xf>
    <xf numFmtId="0" fontId="4" fillId="0" borderId="32" xfId="0" applyFont="1" applyBorder="1" applyAlignment="1">
      <alignment horizontal="centerContinuous" vertical="top"/>
    </xf>
    <xf numFmtId="0" fontId="39" fillId="0" borderId="32" xfId="0" applyFont="1" applyBorder="1" applyAlignment="1">
      <alignment horizontal="left" vertical="top"/>
    </xf>
    <xf numFmtId="0" fontId="102" fillId="0" borderId="0" xfId="0" applyFont="1" applyAlignment="1">
      <alignment horizontal="left" wrapText="1"/>
    </xf>
    <xf numFmtId="0" fontId="33" fillId="0" borderId="0" xfId="157" applyFont="1"/>
    <xf numFmtId="0" fontId="124" fillId="0" borderId="0" xfId="157" applyFont="1"/>
    <xf numFmtId="0" fontId="3" fillId="0" borderId="0" xfId="157"/>
    <xf numFmtId="0" fontId="3" fillId="36" borderId="0" xfId="135" applyFill="1">
      <protection locked="0"/>
    </xf>
    <xf numFmtId="0" fontId="99" fillId="36" borderId="0" xfId="135" applyFont="1" applyFill="1" applyProtection="1"/>
    <xf numFmtId="0" fontId="100" fillId="36" borderId="0" xfId="135" applyFont="1" applyFill="1">
      <protection locked="0"/>
    </xf>
    <xf numFmtId="1" fontId="27" fillId="36" borderId="0" xfId="48" applyFill="1">
      <alignment horizontal="center" vertical="center"/>
    </xf>
    <xf numFmtId="0" fontId="3" fillId="36" borderId="0" xfId="135" applyFill="1" applyAlignment="1">
      <alignment vertical="center" wrapText="1"/>
      <protection locked="0"/>
    </xf>
    <xf numFmtId="0" fontId="104" fillId="36" borderId="0" xfId="70" applyFont="1" applyFill="1" applyAlignment="1" applyProtection="1"/>
    <xf numFmtId="0" fontId="104" fillId="36" borderId="0" xfId="135" applyFont="1" applyFill="1" applyProtection="1"/>
    <xf numFmtId="3" fontId="3" fillId="0" borderId="0" xfId="0" applyNumberFormat="1" applyFont="1"/>
    <xf numFmtId="9" fontId="3" fillId="0" borderId="0" xfId="157" applyNumberFormat="1"/>
    <xf numFmtId="0" fontId="3" fillId="36" borderId="0" xfId="91" applyFont="1" applyFill="1">
      <protection locked="0"/>
    </xf>
    <xf numFmtId="0" fontId="102" fillId="0" borderId="0" xfId="0" applyFont="1" applyAlignment="1">
      <alignment horizontal="left" wrapText="1"/>
    </xf>
    <xf numFmtId="0" fontId="118" fillId="0" borderId="0" xfId="0" applyFont="1" applyAlignment="1">
      <alignment horizontal="left" wrapText="1"/>
    </xf>
    <xf numFmtId="0" fontId="102" fillId="0" borderId="0" xfId="0" applyFont="1" applyAlignment="1">
      <alignment horizontal="left" wrapText="1"/>
    </xf>
    <xf numFmtId="3" fontId="4" fillId="41" borderId="11" xfId="0" applyNumberFormat="1" applyFont="1" applyFill="1" applyBorder="1" applyAlignment="1">
      <alignment horizontal="center" vertical="center"/>
    </xf>
    <xf numFmtId="0" fontId="176" fillId="0" borderId="44" xfId="0" applyFont="1" applyBorder="1" applyAlignment="1">
      <alignment horizontal="center" vertical="center" wrapText="1"/>
    </xf>
    <xf numFmtId="0" fontId="26" fillId="35" borderId="11" xfId="0" applyFont="1" applyFill="1" applyBorder="1" applyAlignment="1">
      <alignment horizontal="center" vertical="center" wrapText="1"/>
    </xf>
    <xf numFmtId="49" fontId="3" fillId="28" borderId="1" xfId="122" applyFont="1">
      <alignment horizontal="left" vertical="top" wrapText="1"/>
    </xf>
    <xf numFmtId="0" fontId="26" fillId="0" borderId="23" xfId="0" applyFont="1" applyBorder="1" applyAlignment="1">
      <alignment horizontal="center"/>
    </xf>
    <xf numFmtId="3" fontId="26" fillId="0" borderId="11" xfId="0" applyNumberFormat="1" applyFont="1" applyBorder="1" applyAlignment="1">
      <alignment horizontal="center"/>
    </xf>
    <xf numFmtId="0" fontId="3" fillId="0" borderId="0" xfId="0" applyFont="1"/>
    <xf numFmtId="0" fontId="4" fillId="0" borderId="11" xfId="0" applyFont="1" applyBorder="1" applyAlignment="1">
      <alignment horizontal="center" vertical="center"/>
    </xf>
    <xf numFmtId="0" fontId="4" fillId="0" borderId="11" xfId="0" applyFont="1" applyBorder="1" applyAlignment="1">
      <alignment horizontal="center"/>
    </xf>
    <xf numFmtId="0" fontId="4" fillId="0" borderId="11"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center"/>
    </xf>
    <xf numFmtId="3" fontId="4" fillId="61" borderId="11" xfId="0" applyNumberFormat="1" applyFont="1" applyFill="1" applyBorder="1" applyAlignment="1">
      <alignment horizontal="center" vertical="center"/>
    </xf>
    <xf numFmtId="3" fontId="4" fillId="61" borderId="11" xfId="0" applyNumberFormat="1" applyFont="1" applyFill="1" applyBorder="1" applyAlignment="1">
      <alignment horizontal="center"/>
    </xf>
    <xf numFmtId="0" fontId="4" fillId="0" borderId="11" xfId="0" applyFont="1" applyBorder="1" applyAlignment="1">
      <alignment horizontal="center" vertical="center"/>
    </xf>
    <xf numFmtId="3" fontId="4" fillId="0" borderId="11" xfId="0" applyNumberFormat="1" applyFont="1" applyBorder="1" applyAlignment="1">
      <alignment horizontal="center" vertical="center" wrapText="1"/>
    </xf>
    <xf numFmtId="3" fontId="4" fillId="41" borderId="11" xfId="0" applyNumberFormat="1" applyFont="1" applyFill="1" applyBorder="1" applyAlignment="1">
      <alignment horizontal="center" vertical="center"/>
    </xf>
    <xf numFmtId="0" fontId="5" fillId="38" borderId="15" xfId="0" quotePrefix="1" applyFont="1" applyFill="1" applyBorder="1" applyAlignment="1">
      <alignment horizontal="center" vertical="center" wrapText="1"/>
    </xf>
    <xf numFmtId="0" fontId="26" fillId="0" borderId="11" xfId="0" applyFont="1" applyBorder="1" applyAlignment="1">
      <alignment horizontal="center" vertical="center"/>
    </xf>
    <xf numFmtId="0" fontId="102" fillId="0" borderId="0" xfId="0" quotePrefix="1" applyFont="1" applyAlignment="1">
      <alignment horizontal="left" vertical="center"/>
    </xf>
    <xf numFmtId="0" fontId="102" fillId="0" borderId="0" xfId="0" quotePrefix="1" applyFont="1" applyAlignment="1">
      <alignment horizontal="left"/>
    </xf>
    <xf numFmtId="3" fontId="150" fillId="35" borderId="0" xfId="180" applyNumberFormat="1" applyFont="1" applyFill="1" applyBorder="1" applyAlignment="1">
      <alignment horizontal="right"/>
    </xf>
    <xf numFmtId="0" fontId="102" fillId="0" borderId="0" xfId="0" quotePrefix="1" applyFont="1" applyAlignment="1">
      <alignment horizontal="left" vertical="top"/>
    </xf>
    <xf numFmtId="0" fontId="152" fillId="35" borderId="0" xfId="183" applyNumberFormat="1" applyFont="1" applyFill="1" applyBorder="1" applyAlignment="1">
      <alignment horizontal="right"/>
    </xf>
    <xf numFmtId="0" fontId="152" fillId="35" borderId="0" xfId="183" applyFont="1" applyFill="1" applyBorder="1" applyAlignment="1">
      <alignment horizontal="right"/>
    </xf>
    <xf numFmtId="3" fontId="152" fillId="35" borderId="0" xfId="183" applyNumberFormat="1" applyFont="1" applyFill="1" applyBorder="1" applyAlignment="1">
      <alignment horizontal="right"/>
    </xf>
    <xf numFmtId="0" fontId="179" fillId="35" borderId="0" xfId="183" applyNumberFormat="1" applyFont="1" applyFill="1" applyBorder="1" applyAlignment="1">
      <alignment horizontal="right"/>
    </xf>
    <xf numFmtId="0" fontId="28" fillId="0" borderId="0" xfId="0" quotePrefix="1" applyFont="1" applyAlignment="1">
      <alignment horizontal="left"/>
    </xf>
    <xf numFmtId="0" fontId="166" fillId="38" borderId="11" xfId="0" applyFont="1" applyFill="1" applyBorder="1" applyAlignment="1">
      <alignment horizontal="center" vertical="center" wrapText="1"/>
    </xf>
    <xf numFmtId="3" fontId="3" fillId="0" borderId="0" xfId="0" quotePrefix="1" applyNumberFormat="1" applyFont="1" applyAlignment="1">
      <alignment horizontal="left"/>
    </xf>
    <xf numFmtId="0" fontId="35" fillId="0" borderId="0" xfId="0" quotePrefix="1" applyFont="1" applyAlignment="1">
      <alignment horizontal="left"/>
    </xf>
    <xf numFmtId="0" fontId="26" fillId="0" borderId="11" xfId="0" applyFont="1" applyBorder="1" applyAlignment="1">
      <alignment horizontal="center" vertical="center" wrapText="1"/>
    </xf>
    <xf numFmtId="0" fontId="35" fillId="0" borderId="0" xfId="0" quotePrefix="1" applyFont="1" applyAlignment="1">
      <alignment horizontal="left" wrapText="1"/>
    </xf>
    <xf numFmtId="3" fontId="4" fillId="41" borderId="11" xfId="0" applyNumberFormat="1" applyFont="1" applyFill="1" applyBorder="1" applyAlignment="1">
      <alignment horizontal="center" vertical="center"/>
    </xf>
    <xf numFmtId="200" fontId="102" fillId="38" borderId="0" xfId="91" applyNumberFormat="1" applyFont="1" applyFill="1" applyAlignment="1">
      <alignment horizontal="center"/>
      <protection locked="0"/>
    </xf>
    <xf numFmtId="0" fontId="16" fillId="0" borderId="0" xfId="70" applyAlignment="1" applyProtection="1">
      <alignment horizontal="left"/>
    </xf>
    <xf numFmtId="0" fontId="3" fillId="39" borderId="0" xfId="0" applyFont="1" applyFill="1"/>
    <xf numFmtId="0" fontId="39" fillId="0" borderId="0" xfId="0" applyFont="1" applyAlignment="1">
      <alignment vertical="top" wrapText="1"/>
    </xf>
    <xf numFmtId="0" fontId="39" fillId="0" borderId="0" xfId="0" applyFont="1" applyAlignment="1">
      <alignment horizontal="left" vertical="top" wrapText="1"/>
    </xf>
    <xf numFmtId="0" fontId="39" fillId="0" borderId="0" xfId="0" applyFont="1" applyBorder="1" applyAlignment="1">
      <alignment horizontal="center" vertical="center" wrapText="1"/>
    </xf>
    <xf numFmtId="185" fontId="4" fillId="0" borderId="0" xfId="0" applyNumberFormat="1" applyFont="1"/>
    <xf numFmtId="0" fontId="3" fillId="0" borderId="1" xfId="36" quotePrefix="1" applyFont="1" applyAlignment="1">
      <alignment horizontal="left" vertical="top"/>
    </xf>
    <xf numFmtId="0" fontId="116" fillId="37" borderId="0" xfId="70" quotePrefix="1" applyFont="1" applyFill="1" applyBorder="1" applyAlignment="1" applyProtection="1">
      <alignment horizontal="left"/>
    </xf>
    <xf numFmtId="0" fontId="20" fillId="0" borderId="0" xfId="0" applyFont="1" applyAlignment="1">
      <alignment horizontal="left" wrapText="1"/>
    </xf>
    <xf numFmtId="0" fontId="102" fillId="0" borderId="0" xfId="0" applyFont="1" applyAlignment="1">
      <alignment horizontal="left" vertical="top"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xf>
    <xf numFmtId="0" fontId="102" fillId="0" borderId="0" xfId="0" applyFont="1" applyAlignment="1">
      <alignment horizontal="left" wrapText="1"/>
    </xf>
    <xf numFmtId="0" fontId="4" fillId="0" borderId="11" xfId="0" applyFont="1" applyBorder="1" applyAlignment="1">
      <alignment horizontal="center"/>
    </xf>
    <xf numFmtId="0" fontId="102" fillId="0" borderId="0" xfId="0" applyFont="1" applyAlignment="1">
      <alignment horizontal="left" vertical="center" wrapText="1"/>
    </xf>
    <xf numFmtId="0" fontId="4" fillId="0" borderId="15" xfId="0" applyFont="1" applyBorder="1" applyAlignment="1">
      <alignment horizontal="center"/>
    </xf>
    <xf numFmtId="0" fontId="4" fillId="0" borderId="16" xfId="0" applyFont="1" applyBorder="1" applyAlignment="1">
      <alignment horizontal="center"/>
    </xf>
    <xf numFmtId="0" fontId="4" fillId="0" borderId="0" xfId="0" applyFont="1" applyFill="1" applyBorder="1" applyAlignment="1">
      <alignment horizontal="center"/>
    </xf>
    <xf numFmtId="38" fontId="33" fillId="0" borderId="0" xfId="0" applyNumberFormat="1" applyFont="1" applyFill="1" applyBorder="1" applyAlignment="1" applyProtection="1">
      <alignment horizontal="right"/>
      <protection locked="0"/>
    </xf>
    <xf numFmtId="0" fontId="79" fillId="0" borderId="0" xfId="0" applyFont="1" applyAlignment="1">
      <alignment horizontal="left" wrapText="1"/>
    </xf>
    <xf numFmtId="0" fontId="140" fillId="0" borderId="11" xfId="0" applyFont="1" applyFill="1" applyBorder="1" applyAlignment="1">
      <alignment horizontal="center"/>
    </xf>
    <xf numFmtId="0" fontId="102" fillId="0" borderId="0" xfId="0" applyFont="1" applyFill="1" applyAlignment="1">
      <alignment horizontal="left" wrapText="1"/>
    </xf>
    <xf numFmtId="0" fontId="140" fillId="0" borderId="11" xfId="0" applyFont="1" applyFill="1" applyBorder="1" applyAlignment="1">
      <alignment horizontal="center" vertical="center"/>
    </xf>
    <xf numFmtId="10" fontId="0" fillId="0" borderId="0" xfId="109" applyNumberFormat="1" applyFont="1" applyFill="1" applyBorder="1" applyAlignment="1">
      <alignment horizontal="center"/>
    </xf>
    <xf numFmtId="10" fontId="0" fillId="0" borderId="0" xfId="0" applyNumberFormat="1" applyFill="1" applyBorder="1" applyAlignment="1">
      <alignment horizontal="center"/>
    </xf>
    <xf numFmtId="165" fontId="0" fillId="0" borderId="0" xfId="109" applyNumberFormat="1" applyFont="1" applyAlignment="1">
      <alignment horizontal="left"/>
    </xf>
    <xf numFmtId="2" fontId="39" fillId="0" borderId="0" xfId="0" applyNumberFormat="1" applyFont="1" applyAlignment="1">
      <alignment horizontal="left" vertical="top" wrapText="1"/>
    </xf>
    <xf numFmtId="0" fontId="102" fillId="0" borderId="0" xfId="0" quotePrefix="1" applyFont="1" applyFill="1" applyAlignment="1">
      <alignment horizontal="left"/>
    </xf>
    <xf numFmtId="0" fontId="112" fillId="0" borderId="0" xfId="0" quotePrefix="1" applyFont="1" applyAlignment="1">
      <alignment horizontal="left"/>
    </xf>
    <xf numFmtId="3" fontId="0" fillId="35" borderId="0" xfId="0" applyNumberFormat="1" applyFill="1" applyBorder="1"/>
    <xf numFmtId="0" fontId="39" fillId="0" borderId="0" xfId="0" applyFont="1" applyAlignment="1">
      <alignment horizontal="left" vertical="top" wrapText="1"/>
    </xf>
    <xf numFmtId="0" fontId="119" fillId="0" borderId="0" xfId="0" quotePrefix="1" applyFont="1" applyAlignment="1">
      <alignment horizontal="left"/>
    </xf>
    <xf numFmtId="3" fontId="0" fillId="0" borderId="36" xfId="0" applyNumberFormat="1" applyBorder="1" applyAlignment="1">
      <alignment vertical="center"/>
    </xf>
    <xf numFmtId="0" fontId="0" fillId="0" borderId="36" xfId="0" applyBorder="1" applyAlignment="1">
      <alignment vertical="center"/>
    </xf>
    <xf numFmtId="3" fontId="194" fillId="0" borderId="61" xfId="0" applyNumberFormat="1" applyFont="1" applyBorder="1" applyAlignment="1">
      <alignment horizontal="right" vertical="center" wrapText="1"/>
    </xf>
    <xf numFmtId="3" fontId="0" fillId="0" borderId="49" xfId="0" applyNumberFormat="1" applyBorder="1" applyAlignment="1">
      <alignment vertical="center"/>
    </xf>
    <xf numFmtId="0" fontId="0" fillId="0" borderId="49" xfId="0" applyBorder="1" applyAlignment="1">
      <alignment vertical="center"/>
    </xf>
    <xf numFmtId="0" fontId="0" fillId="0" borderId="61" xfId="0" applyBorder="1" applyAlignment="1">
      <alignment vertical="center"/>
    </xf>
    <xf numFmtId="9" fontId="0" fillId="0" borderId="49" xfId="109" applyFont="1" applyBorder="1" applyAlignment="1">
      <alignment vertical="center"/>
    </xf>
    <xf numFmtId="0" fontId="0" fillId="0" borderId="62" xfId="0" applyBorder="1" applyAlignment="1">
      <alignment vertical="center"/>
    </xf>
    <xf numFmtId="3" fontId="0" fillId="0" borderId="34" xfId="0" applyNumberFormat="1" applyBorder="1" applyAlignment="1">
      <alignment vertical="center"/>
    </xf>
    <xf numFmtId="9" fontId="0" fillId="0" borderId="34" xfId="109" applyFont="1" applyBorder="1" applyAlignment="1">
      <alignment vertical="center"/>
    </xf>
    <xf numFmtId="0" fontId="39" fillId="0" borderId="0" xfId="0" quotePrefix="1" applyFont="1" applyAlignment="1">
      <alignment horizontal="left" vertical="top" wrapText="1"/>
    </xf>
    <xf numFmtId="0" fontId="39" fillId="0" borderId="0" xfId="0" applyFont="1" applyAlignment="1">
      <alignment horizontal="left" vertical="top"/>
    </xf>
    <xf numFmtId="0" fontId="39" fillId="0" borderId="0" xfId="0" applyFont="1" applyAlignment="1">
      <alignment horizontal="centerContinuous" vertical="top" wrapText="1"/>
    </xf>
    <xf numFmtId="3" fontId="37" fillId="0" borderId="0" xfId="0" applyNumberFormat="1" applyFont="1"/>
    <xf numFmtId="3" fontId="37" fillId="0" borderId="0" xfId="0" applyNumberFormat="1" applyFont="1" applyFill="1"/>
    <xf numFmtId="194" fontId="37" fillId="0" borderId="0" xfId="0" applyNumberFormat="1" applyFont="1"/>
    <xf numFmtId="3" fontId="33" fillId="0" borderId="0" xfId="0" applyNumberFormat="1" applyFont="1" applyFill="1" applyBorder="1" applyAlignment="1" applyProtection="1">
      <alignment horizontal="right"/>
      <protection locked="0"/>
    </xf>
    <xf numFmtId="1" fontId="44" fillId="0" borderId="0" xfId="0" applyNumberFormat="1" applyFont="1"/>
    <xf numFmtId="1" fontId="44" fillId="0" borderId="0" xfId="0" applyNumberFormat="1" applyFont="1" applyFill="1" applyBorder="1"/>
    <xf numFmtId="1" fontId="44" fillId="0" borderId="0" xfId="0" applyNumberFormat="1" applyFont="1" applyFill="1" applyBorder="1" applyProtection="1">
      <protection locked="0"/>
    </xf>
    <xf numFmtId="1" fontId="33" fillId="0" borderId="0" xfId="0" applyNumberFormat="1" applyFont="1" applyFill="1" applyBorder="1" applyAlignment="1" applyProtection="1">
      <alignment horizontal="right"/>
      <protection locked="0"/>
    </xf>
    <xf numFmtId="191" fontId="0" fillId="0" borderId="0" xfId="0" applyNumberFormat="1" applyAlignment="1">
      <alignment vertical="center"/>
    </xf>
    <xf numFmtId="3" fontId="4" fillId="0" borderId="0" xfId="0" quotePrefix="1" applyNumberFormat="1" applyFont="1" applyAlignment="1">
      <alignment horizontal="left"/>
    </xf>
    <xf numFmtId="0" fontId="33" fillId="0" borderId="11" xfId="0" quotePrefix="1" applyFont="1" applyBorder="1" applyAlignment="1">
      <alignment horizontal="center" vertical="center" wrapText="1"/>
    </xf>
    <xf numFmtId="202" fontId="0" fillId="0" borderId="0" xfId="0" applyNumberFormat="1"/>
    <xf numFmtId="198" fontId="0" fillId="0" borderId="0" xfId="0" applyNumberFormat="1"/>
    <xf numFmtId="1" fontId="43" fillId="37" borderId="0" xfId="91" applyNumberFormat="1" applyFont="1" applyFill="1" applyProtection="1"/>
    <xf numFmtId="1" fontId="16" fillId="37" borderId="0" xfId="70" applyNumberFormat="1" applyFill="1" applyBorder="1" applyAlignment="1" applyProtection="1"/>
    <xf numFmtId="1" fontId="59" fillId="37" borderId="0" xfId="70" applyNumberFormat="1" applyFont="1" applyFill="1" applyBorder="1" applyAlignment="1" applyProtection="1"/>
    <xf numFmtId="1" fontId="20" fillId="37" borderId="0" xfId="102" applyNumberFormat="1" applyFont="1" applyFill="1"/>
    <xf numFmtId="1" fontId="4" fillId="37" borderId="0" xfId="104" applyNumberFormat="1" applyFont="1" applyFill="1" applyBorder="1" applyAlignment="1">
      <alignment vertical="center"/>
    </xf>
    <xf numFmtId="1" fontId="20" fillId="37" borderId="0" xfId="104" applyNumberFormat="1" applyFont="1" applyFill="1" applyBorder="1" applyAlignment="1">
      <alignment vertical="top"/>
    </xf>
    <xf numFmtId="1" fontId="4" fillId="37" borderId="0" xfId="104" applyNumberFormat="1" applyFont="1" applyFill="1" applyBorder="1" applyAlignment="1">
      <alignment vertical="top"/>
    </xf>
    <xf numFmtId="0" fontId="177" fillId="38" borderId="15" xfId="0" applyFont="1" applyFill="1" applyBorder="1" applyAlignment="1">
      <alignment horizontal="center" vertical="center" wrapText="1"/>
    </xf>
    <xf numFmtId="0" fontId="177" fillId="38" borderId="29" xfId="0" applyFont="1" applyFill="1" applyBorder="1" applyAlignment="1">
      <alignment horizontal="center" vertical="center" wrapText="1"/>
    </xf>
    <xf numFmtId="0" fontId="177" fillId="38" borderId="24" xfId="0" applyFont="1" applyFill="1" applyBorder="1" applyAlignment="1">
      <alignment horizontal="center" vertical="center" wrapText="1"/>
    </xf>
    <xf numFmtId="0" fontId="165" fillId="38" borderId="24" xfId="0" applyFont="1" applyFill="1" applyBorder="1" applyAlignment="1">
      <alignment horizontal="center" vertical="center" wrapText="1"/>
    </xf>
    <xf numFmtId="0" fontId="166" fillId="38" borderId="24" xfId="0" applyFont="1" applyFill="1" applyBorder="1" applyAlignment="1">
      <alignment horizontal="center" vertical="center" wrapText="1"/>
    </xf>
    <xf numFmtId="0" fontId="177" fillId="38" borderId="11" xfId="0" applyFont="1" applyFill="1" applyBorder="1" applyAlignment="1">
      <alignment horizontal="center" vertical="center" wrapText="1"/>
    </xf>
    <xf numFmtId="4" fontId="194" fillId="0" borderId="61" xfId="0" applyNumberFormat="1" applyFont="1" applyBorder="1" applyAlignment="1">
      <alignment horizontal="right" vertical="center" wrapText="1"/>
    </xf>
    <xf numFmtId="0" fontId="177" fillId="38" borderId="29" xfId="0" quotePrefix="1" applyFont="1" applyFill="1" applyBorder="1" applyAlignment="1">
      <alignment horizontal="center" vertical="center" wrapText="1"/>
    </xf>
    <xf numFmtId="3" fontId="39" fillId="38" borderId="28" xfId="44" applyNumberFormat="1" applyFont="1" applyFill="1" applyBorder="1" applyAlignment="1">
      <alignment horizontal="center" vertical="center"/>
    </xf>
    <xf numFmtId="0" fontId="123" fillId="0" borderId="0" xfId="0" quotePrefix="1" applyFont="1" applyAlignment="1">
      <alignment horizontal="left"/>
    </xf>
    <xf numFmtId="3" fontId="28" fillId="0" borderId="0" xfId="0" quotePrefix="1" applyNumberFormat="1" applyFont="1" applyAlignment="1">
      <alignment horizontal="left"/>
    </xf>
    <xf numFmtId="0" fontId="165" fillId="38" borderId="15" xfId="0" applyFont="1" applyFill="1" applyBorder="1" applyAlignment="1">
      <alignment horizontal="center" vertical="center" wrapText="1"/>
    </xf>
    <xf numFmtId="0" fontId="165" fillId="38" borderId="24" xfId="0" applyFont="1" applyFill="1" applyBorder="1" applyAlignment="1">
      <alignment horizontal="center" vertical="center" wrapText="1"/>
    </xf>
    <xf numFmtId="0" fontId="119" fillId="0" borderId="11" xfId="0" quotePrefix="1" applyFont="1" applyBorder="1" applyAlignment="1">
      <alignment horizontal="center" vertical="center"/>
    </xf>
    <xf numFmtId="0" fontId="35" fillId="0" borderId="0" xfId="0" applyFont="1" applyAlignment="1">
      <alignment horizontal="left" vertical="top" wrapText="1"/>
    </xf>
    <xf numFmtId="0" fontId="4" fillId="0" borderId="11" xfId="0" applyFont="1" applyBorder="1" applyAlignment="1">
      <alignment horizontal="center"/>
    </xf>
    <xf numFmtId="0" fontId="119" fillId="0" borderId="0" xfId="0" quotePrefix="1" applyFont="1" applyAlignment="1">
      <alignment vertical="top" wrapText="1"/>
    </xf>
    <xf numFmtId="0" fontId="119" fillId="0" borderId="0" xfId="0" quotePrefix="1" applyFont="1" applyAlignment="1">
      <alignment vertical="top"/>
    </xf>
    <xf numFmtId="201" fontId="137" fillId="0" borderId="44" xfId="0" applyNumberFormat="1" applyFont="1" applyBorder="1" applyAlignment="1">
      <alignment horizontal="center" vertical="center" wrapText="1"/>
    </xf>
    <xf numFmtId="0" fontId="195" fillId="0" borderId="0" xfId="0" applyFont="1"/>
    <xf numFmtId="0" fontId="4" fillId="0" borderId="0" xfId="0" applyFont="1" applyAlignment="1">
      <alignment horizontal="right" vertical="center"/>
    </xf>
    <xf numFmtId="166" fontId="0" fillId="0" borderId="0" xfId="40" applyNumberFormat="1" applyFont="1" applyAlignment="1">
      <alignment horizontal="right" vertical="center"/>
    </xf>
    <xf numFmtId="0" fontId="0" fillId="0" borderId="0" xfId="0" applyAlignment="1">
      <alignment horizontal="right" vertical="center"/>
    </xf>
    <xf numFmtId="166" fontId="0" fillId="0" borderId="0" xfId="0" applyNumberFormat="1" applyAlignment="1">
      <alignment horizontal="right" vertical="center"/>
    </xf>
    <xf numFmtId="166" fontId="4" fillId="0" borderId="0" xfId="0" applyNumberFormat="1" applyFont="1" applyAlignment="1">
      <alignment horizontal="right" vertical="center"/>
    </xf>
    <xf numFmtId="1" fontId="0" fillId="0" borderId="0" xfId="0" applyNumberFormat="1" applyAlignment="1">
      <alignment horizontal="right" vertical="center"/>
    </xf>
    <xf numFmtId="183" fontId="20" fillId="0" borderId="0" xfId="0" applyNumberFormat="1" applyFont="1" applyAlignment="1">
      <alignment horizontal="center"/>
    </xf>
    <xf numFmtId="203" fontId="102" fillId="0" borderId="1" xfId="36" applyNumberFormat="1" applyFont="1" applyAlignment="1">
      <alignment horizontal="left" vertical="top"/>
    </xf>
    <xf numFmtId="1" fontId="3" fillId="0" borderId="0" xfId="0" applyNumberFormat="1" applyFont="1"/>
    <xf numFmtId="1" fontId="3" fillId="0" borderId="0" xfId="0" applyNumberFormat="1" applyFont="1" applyAlignment="1">
      <alignment horizontal="left"/>
    </xf>
    <xf numFmtId="0" fontId="43" fillId="37" borderId="0" xfId="91" applyFont="1" applyFill="1" applyAlignment="1" applyProtection="1">
      <alignment horizontal="left"/>
    </xf>
    <xf numFmtId="0" fontId="43" fillId="37" borderId="0" xfId="91" applyFont="1" applyFill="1" applyBorder="1" applyProtection="1"/>
    <xf numFmtId="9" fontId="0" fillId="0" borderId="17" xfId="0" applyNumberFormat="1" applyFill="1" applyBorder="1" applyAlignment="1">
      <alignment horizontal="right"/>
    </xf>
    <xf numFmtId="9" fontId="20" fillId="0" borderId="17" xfId="109" applyFont="1" applyFill="1" applyBorder="1" applyAlignment="1">
      <alignment horizontal="right" vertical="center"/>
    </xf>
    <xf numFmtId="1" fontId="157" fillId="0" borderId="0" xfId="0" applyNumberFormat="1" applyFont="1"/>
    <xf numFmtId="198" fontId="54" fillId="0" borderId="0" xfId="0" applyNumberFormat="1" applyFont="1"/>
    <xf numFmtId="1" fontId="4" fillId="0" borderId="0" xfId="0" applyNumberFormat="1" applyFont="1" applyBorder="1" applyAlignment="1">
      <alignment horizontal="center"/>
    </xf>
    <xf numFmtId="3" fontId="4" fillId="35" borderId="11" xfId="0" applyNumberFormat="1" applyFont="1" applyFill="1" applyBorder="1" applyAlignment="1">
      <alignment horizontal="center"/>
    </xf>
    <xf numFmtId="0" fontId="33" fillId="0" borderId="49" xfId="0" applyFont="1" applyBorder="1" applyAlignment="1">
      <alignment vertical="center" wrapText="1"/>
    </xf>
    <xf numFmtId="0" fontId="33" fillId="0" borderId="50" xfId="0" applyFont="1" applyBorder="1" applyAlignment="1">
      <alignment vertical="center" wrapText="1"/>
    </xf>
    <xf numFmtId="49" fontId="118" fillId="28" borderId="18" xfId="122" applyFont="1" applyBorder="1" applyAlignment="1">
      <alignment horizontal="left" vertical="top" wrapText="1"/>
    </xf>
    <xf numFmtId="49" fontId="118" fillId="28" borderId="19" xfId="122" applyFont="1" applyBorder="1" applyAlignment="1">
      <alignment horizontal="left" vertical="top" wrapText="1"/>
    </xf>
    <xf numFmtId="49" fontId="118" fillId="28" borderId="20" xfId="122" applyFont="1" applyBorder="1" applyAlignment="1">
      <alignment horizontal="left" vertical="top" wrapText="1"/>
    </xf>
    <xf numFmtId="49" fontId="118" fillId="28" borderId="1" xfId="122" applyFont="1">
      <alignment horizontal="left" vertical="top" wrapText="1"/>
    </xf>
    <xf numFmtId="49" fontId="118" fillId="28" borderId="18" xfId="122" applyFont="1" applyBorder="1" applyAlignment="1">
      <alignment horizontal="left" vertical="center" wrapText="1"/>
    </xf>
    <xf numFmtId="49" fontId="118" fillId="28" borderId="19" xfId="122" applyFont="1" applyBorder="1" applyAlignment="1">
      <alignment horizontal="left" vertical="center" wrapText="1"/>
    </xf>
    <xf numFmtId="49" fontId="118" fillId="28" borderId="20" xfId="122" applyFont="1" applyBorder="1" applyAlignment="1">
      <alignment horizontal="left" vertical="center" wrapText="1"/>
    </xf>
    <xf numFmtId="49" fontId="118" fillId="28" borderId="18" xfId="122" quotePrefix="1" applyFont="1" applyBorder="1" applyAlignment="1">
      <alignment horizontal="left" vertical="top" wrapText="1"/>
    </xf>
    <xf numFmtId="49" fontId="118" fillId="28" borderId="1" xfId="122" quotePrefix="1" applyFont="1" applyAlignment="1">
      <alignment horizontal="left" vertical="top" wrapText="1"/>
    </xf>
    <xf numFmtId="49" fontId="118" fillId="28" borderId="18" xfId="122" applyFont="1" applyBorder="1">
      <alignment horizontal="left" vertical="top" wrapText="1"/>
    </xf>
    <xf numFmtId="49" fontId="118" fillId="28" borderId="19" xfId="122" applyFont="1" applyBorder="1">
      <alignment horizontal="left" vertical="top" wrapText="1"/>
    </xf>
    <xf numFmtId="49" fontId="118" fillId="28" borderId="20" xfId="122" applyFont="1" applyBorder="1">
      <alignment horizontal="left" vertical="top" wrapText="1"/>
    </xf>
    <xf numFmtId="0" fontId="20" fillId="0" borderId="0" xfId="0" applyFont="1" applyAlignment="1">
      <alignment horizontal="left" wrapText="1"/>
    </xf>
    <xf numFmtId="0" fontId="35" fillId="39" borderId="0" xfId="91" applyFont="1" applyFill="1" applyAlignment="1">
      <alignment horizontal="center"/>
      <protection locked="0"/>
    </xf>
    <xf numFmtId="0" fontId="35" fillId="41" borderId="0" xfId="91" applyFont="1" applyFill="1" applyAlignment="1">
      <alignment horizontal="center"/>
      <protection locked="0"/>
    </xf>
    <xf numFmtId="0" fontId="20" fillId="0" borderId="0" xfId="0" applyFont="1" applyAlignment="1">
      <alignment horizontal="left" vertical="top" wrapText="1"/>
    </xf>
    <xf numFmtId="0" fontId="3" fillId="0" borderId="0" xfId="0" applyFont="1" applyAlignment="1">
      <alignment horizontal="left" wrapText="1"/>
    </xf>
    <xf numFmtId="0" fontId="118" fillId="0" borderId="0" xfId="0" applyFont="1" applyAlignment="1">
      <alignment horizontal="left" vertical="top" wrapText="1"/>
    </xf>
    <xf numFmtId="0" fontId="35" fillId="38" borderId="0" xfId="91" applyFont="1" applyFill="1" applyAlignment="1">
      <alignment horizontal="center"/>
      <protection locked="0"/>
    </xf>
    <xf numFmtId="0" fontId="167" fillId="60" borderId="0" xfId="91" applyFont="1" applyFill="1" applyAlignment="1">
      <alignment horizontal="center"/>
      <protection locked="0"/>
    </xf>
    <xf numFmtId="0" fontId="167" fillId="60" borderId="0" xfId="0" applyFont="1" applyFill="1" applyAlignment="1">
      <alignment horizontal="center"/>
    </xf>
    <xf numFmtId="0" fontId="20" fillId="0" borderId="0" xfId="91" applyFill="1" applyAlignment="1">
      <alignment horizontal="center"/>
      <protection locked="0"/>
    </xf>
    <xf numFmtId="0" fontId="118" fillId="0" borderId="0" xfId="0" applyFont="1" applyAlignment="1">
      <alignment horizontal="left" wrapText="1"/>
    </xf>
    <xf numFmtId="0" fontId="169" fillId="0" borderId="0" xfId="0" applyFont="1" applyAlignment="1">
      <alignment horizontal="left" vertical="top" wrapText="1"/>
    </xf>
    <xf numFmtId="0" fontId="102" fillId="0" borderId="11" xfId="0" quotePrefix="1" applyFont="1" applyBorder="1" applyAlignment="1">
      <alignment horizontal="center" vertical="center" wrapText="1"/>
    </xf>
    <xf numFmtId="0" fontId="102" fillId="0" borderId="11" xfId="0" applyFont="1" applyBorder="1" applyAlignment="1">
      <alignment horizontal="center" vertical="center" wrapText="1"/>
    </xf>
    <xf numFmtId="0" fontId="91" fillId="0" borderId="11"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25" xfId="0" applyFont="1" applyBorder="1" applyAlignment="1">
      <alignment horizontal="center" vertical="center" wrapText="1"/>
    </xf>
    <xf numFmtId="0" fontId="4" fillId="37" borderId="0" xfId="105" quotePrefix="1" applyFont="1" applyFill="1" applyBorder="1" applyAlignment="1">
      <alignment horizontal="left" vertical="center" wrapText="1"/>
    </xf>
    <xf numFmtId="0" fontId="4" fillId="37" borderId="0" xfId="105" applyFont="1" applyFill="1" applyBorder="1" applyAlignment="1">
      <alignment horizontal="left" vertical="center" wrapText="1"/>
    </xf>
    <xf numFmtId="0" fontId="102" fillId="0" borderId="0" xfId="0" quotePrefix="1" applyFont="1" applyFill="1" applyAlignment="1">
      <alignment horizontal="left" vertical="top" wrapText="1"/>
    </xf>
    <xf numFmtId="0" fontId="102" fillId="0" borderId="0" xfId="0" applyFont="1" applyFill="1" applyAlignment="1">
      <alignment horizontal="left" vertical="top" wrapText="1"/>
    </xf>
    <xf numFmtId="0" fontId="4" fillId="0" borderId="11" xfId="0" applyFont="1" applyBorder="1" applyAlignment="1">
      <alignment horizontal="center" vertical="center" wrapText="1"/>
    </xf>
    <xf numFmtId="0" fontId="20" fillId="0" borderId="11"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3"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24" xfId="0" applyFont="1" applyBorder="1" applyAlignment="1">
      <alignment horizontal="center" vertical="center" wrapText="1"/>
    </xf>
    <xf numFmtId="0" fontId="119" fillId="0" borderId="0" xfId="0" quotePrefix="1" applyFont="1" applyAlignment="1">
      <alignment horizontal="left" vertical="top" wrapText="1"/>
    </xf>
    <xf numFmtId="0" fontId="119" fillId="0" borderId="0" xfId="0" applyFont="1" applyAlignment="1">
      <alignment horizontal="left" vertical="top" wrapText="1"/>
    </xf>
    <xf numFmtId="0" fontId="4" fillId="0" borderId="16" xfId="0" quotePrefix="1" applyFont="1" applyBorder="1" applyAlignment="1">
      <alignment horizontal="center" vertical="center" wrapText="1"/>
    </xf>
    <xf numFmtId="0" fontId="4" fillId="0" borderId="28" xfId="0" applyFont="1" applyBorder="1" applyAlignment="1">
      <alignment horizontal="center" vertical="center" wrapText="1"/>
    </xf>
    <xf numFmtId="0" fontId="174" fillId="0" borderId="0" xfId="70" applyFont="1" applyAlignment="1" applyProtection="1">
      <alignment horizontal="center"/>
    </xf>
    <xf numFmtId="0" fontId="26" fillId="0" borderId="15" xfId="0" applyFont="1" applyBorder="1" applyAlignment="1">
      <alignment horizontal="center" vertical="center" wrapText="1"/>
    </xf>
    <xf numFmtId="0" fontId="26" fillId="0" borderId="24" xfId="0" applyFont="1" applyBorder="1" applyAlignment="1">
      <alignment horizontal="center" vertical="center" wrapText="1"/>
    </xf>
    <xf numFmtId="0" fontId="26" fillId="0" borderId="11" xfId="0" applyFont="1" applyBorder="1" applyAlignment="1">
      <alignment horizontal="center" vertical="center" wrapText="1"/>
    </xf>
    <xf numFmtId="0" fontId="33" fillId="0" borderId="16" xfId="0" quotePrefix="1" applyFont="1" applyBorder="1" applyAlignment="1">
      <alignment horizontal="center" vertical="center" wrapText="1"/>
    </xf>
    <xf numFmtId="0" fontId="33" fillId="0" borderId="28" xfId="0" applyFont="1" applyBorder="1" applyAlignment="1">
      <alignment horizontal="center" vertical="center"/>
    </xf>
    <xf numFmtId="0" fontId="33" fillId="0" borderId="23" xfId="0" applyFont="1" applyBorder="1" applyAlignment="1">
      <alignment horizontal="center" vertical="center"/>
    </xf>
    <xf numFmtId="0" fontId="4" fillId="0" borderId="11" xfId="0" applyFont="1" applyBorder="1" applyAlignment="1">
      <alignment horizontal="center" vertical="top" wrapText="1"/>
    </xf>
    <xf numFmtId="0" fontId="26" fillId="0" borderId="11" xfId="0" applyFont="1" applyBorder="1" applyAlignment="1">
      <alignment horizontal="center" vertical="top" wrapText="1"/>
    </xf>
    <xf numFmtId="0" fontId="33" fillId="0" borderId="11" xfId="0" quotePrefix="1" applyFont="1" applyBorder="1" applyAlignment="1">
      <alignment horizontal="center" vertical="center" wrapText="1"/>
    </xf>
    <xf numFmtId="0" fontId="33" fillId="0" borderId="11" xfId="0" applyFont="1" applyBorder="1" applyAlignment="1">
      <alignment horizontal="center" vertical="center" wrapText="1"/>
    </xf>
    <xf numFmtId="0" fontId="35" fillId="0" borderId="0" xfId="0" quotePrefix="1" applyFont="1" applyAlignment="1">
      <alignment horizontal="left" vertical="top" wrapText="1"/>
    </xf>
    <xf numFmtId="0" fontId="35" fillId="0" borderId="0" xfId="0" quotePrefix="1" applyFont="1" applyAlignment="1">
      <alignment horizontal="left" wrapText="1"/>
    </xf>
    <xf numFmtId="0" fontId="35" fillId="0" borderId="0" xfId="0" applyFont="1" applyAlignment="1">
      <alignment horizontal="left" wrapText="1"/>
    </xf>
    <xf numFmtId="1" fontId="35" fillId="0" borderId="0" xfId="0" quotePrefix="1" applyNumberFormat="1" applyFont="1" applyFill="1" applyBorder="1" applyAlignment="1">
      <alignment horizontal="left" vertical="top" wrapText="1"/>
    </xf>
    <xf numFmtId="1" fontId="35" fillId="0" borderId="0" xfId="0" applyNumberFormat="1" applyFont="1" applyFill="1" applyBorder="1" applyAlignment="1">
      <alignment horizontal="left" vertical="top" wrapText="1"/>
    </xf>
    <xf numFmtId="0" fontId="35" fillId="0" borderId="0" xfId="0" applyFont="1" applyAlignment="1">
      <alignment horizontal="left" vertical="top" wrapText="1"/>
    </xf>
    <xf numFmtId="0" fontId="4" fillId="0" borderId="11" xfId="0" quotePrefix="1" applyFont="1" applyBorder="1" applyAlignment="1">
      <alignment horizontal="center" vertical="center" wrapText="1"/>
    </xf>
    <xf numFmtId="0" fontId="26" fillId="0" borderId="16" xfId="0" applyFont="1" applyBorder="1" applyAlignment="1">
      <alignment horizontal="center"/>
    </xf>
    <xf numFmtId="0" fontId="26" fillId="0" borderId="23" xfId="0" applyFont="1" applyBorder="1" applyAlignment="1">
      <alignment horizontal="center"/>
    </xf>
    <xf numFmtId="0" fontId="26" fillId="0" borderId="15" xfId="0" applyFont="1" applyBorder="1" applyAlignment="1">
      <alignment horizontal="center" vertical="center"/>
    </xf>
    <xf numFmtId="0" fontId="26" fillId="0" borderId="29" xfId="0" applyFont="1" applyBorder="1" applyAlignment="1">
      <alignment horizontal="center" vertical="center"/>
    </xf>
    <xf numFmtId="0" fontId="26" fillId="0" borderId="24" xfId="0" applyFont="1" applyBorder="1" applyAlignment="1">
      <alignment horizontal="center" vertical="center"/>
    </xf>
    <xf numFmtId="0" fontId="26" fillId="0" borderId="28" xfId="0" applyFont="1" applyBorder="1" applyAlignment="1">
      <alignment horizontal="center"/>
    </xf>
    <xf numFmtId="0" fontId="4" fillId="0" borderId="11" xfId="0" applyFont="1" applyBorder="1" applyAlignment="1">
      <alignment horizontal="center" vertical="center"/>
    </xf>
    <xf numFmtId="0" fontId="119" fillId="0" borderId="33" xfId="0" applyFont="1" applyBorder="1" applyAlignment="1">
      <alignment horizontal="left" wrapText="1"/>
    </xf>
    <xf numFmtId="0" fontId="119" fillId="0" borderId="34" xfId="0" applyFont="1" applyBorder="1" applyAlignment="1">
      <alignment horizontal="left" wrapText="1"/>
    </xf>
    <xf numFmtId="0" fontId="119" fillId="0" borderId="35" xfId="0" applyFont="1" applyBorder="1" applyAlignment="1">
      <alignment horizontal="left" wrapText="1"/>
    </xf>
    <xf numFmtId="0" fontId="119" fillId="0" borderId="36" xfId="0" applyFont="1" applyBorder="1" applyAlignment="1">
      <alignment horizontal="left" wrapText="1"/>
    </xf>
    <xf numFmtId="0" fontId="4" fillId="0" borderId="41" xfId="0" applyFont="1" applyBorder="1" applyAlignment="1">
      <alignment horizontal="center"/>
    </xf>
    <xf numFmtId="0" fontId="4" fillId="0" borderId="42" xfId="0" applyFont="1" applyBorder="1" applyAlignment="1">
      <alignment horizontal="center"/>
    </xf>
    <xf numFmtId="0" fontId="4" fillId="0" borderId="43" xfId="0" applyFont="1" applyBorder="1" applyAlignment="1">
      <alignment horizontal="center"/>
    </xf>
    <xf numFmtId="0" fontId="4" fillId="0" borderId="41" xfId="0" applyFont="1" applyBorder="1" applyAlignment="1">
      <alignment horizontal="center" wrapText="1"/>
    </xf>
    <xf numFmtId="0" fontId="4" fillId="0" borderId="42" xfId="0" applyFont="1" applyBorder="1" applyAlignment="1">
      <alignment horizontal="center" wrapText="1"/>
    </xf>
    <xf numFmtId="0" fontId="4" fillId="0" borderId="43" xfId="0" applyFont="1" applyBorder="1" applyAlignment="1">
      <alignment horizontal="center" wrapText="1"/>
    </xf>
    <xf numFmtId="0" fontId="172" fillId="0" borderId="48" xfId="70" applyFont="1" applyBorder="1" applyAlignment="1" applyProtection="1">
      <alignment horizontal="center" vertical="center"/>
    </xf>
    <xf numFmtId="0" fontId="172" fillId="0" borderId="49" xfId="70" applyFont="1" applyBorder="1" applyAlignment="1" applyProtection="1">
      <alignment horizontal="center" vertical="center"/>
    </xf>
    <xf numFmtId="0" fontId="172" fillId="0" borderId="50" xfId="70" applyFont="1" applyBorder="1" applyAlignment="1" applyProtection="1">
      <alignment horizontal="center" vertical="center"/>
    </xf>
    <xf numFmtId="0" fontId="172" fillId="0" borderId="48" xfId="70" applyFont="1" applyBorder="1" applyAlignment="1" applyProtection="1">
      <alignment horizontal="center"/>
    </xf>
    <xf numFmtId="0" fontId="172" fillId="0" borderId="49" xfId="70" applyFont="1" applyBorder="1" applyAlignment="1" applyProtection="1">
      <alignment horizontal="center"/>
    </xf>
    <xf numFmtId="0" fontId="172" fillId="0" borderId="50" xfId="70" applyFont="1" applyBorder="1" applyAlignment="1" applyProtection="1">
      <alignment horizontal="center"/>
    </xf>
    <xf numFmtId="0" fontId="172" fillId="0" borderId="32" xfId="70" applyFont="1" applyBorder="1" applyAlignment="1" applyProtection="1">
      <alignment horizontal="center" vertical="center"/>
    </xf>
    <xf numFmtId="0" fontId="4" fillId="0" borderId="33" xfId="0" applyFont="1" applyBorder="1" applyAlignment="1">
      <alignment horizontal="left" vertical="top" wrapText="1"/>
    </xf>
    <xf numFmtId="0" fontId="4" fillId="0" borderId="34" xfId="0" applyFont="1" applyBorder="1" applyAlignment="1">
      <alignment horizontal="left" vertical="top" wrapText="1"/>
    </xf>
    <xf numFmtId="0" fontId="4" fillId="0" borderId="37" xfId="0" applyFont="1" applyBorder="1" applyAlignment="1">
      <alignment horizontal="left" vertical="top" wrapText="1"/>
    </xf>
    <xf numFmtId="0" fontId="4" fillId="0" borderId="38" xfId="0" applyFont="1" applyBorder="1" applyAlignment="1">
      <alignment horizontal="left" vertical="top" wrapText="1"/>
    </xf>
    <xf numFmtId="0" fontId="4" fillId="0" borderId="0" xfId="0" applyFont="1" applyBorder="1" applyAlignment="1">
      <alignment horizontal="left" vertical="top" wrapText="1"/>
    </xf>
    <xf numFmtId="0" fontId="4" fillId="0" borderId="39" xfId="0" applyFont="1" applyBorder="1" applyAlignment="1">
      <alignment horizontal="left" vertical="top" wrapText="1"/>
    </xf>
    <xf numFmtId="0" fontId="4" fillId="0" borderId="15" xfId="0" applyFont="1" applyBorder="1" applyAlignment="1">
      <alignment horizontal="center"/>
    </xf>
    <xf numFmtId="0" fontId="4" fillId="0" borderId="24" xfId="0" applyFont="1" applyBorder="1" applyAlignment="1">
      <alignment horizontal="center"/>
    </xf>
    <xf numFmtId="0" fontId="4" fillId="0" borderId="16" xfId="0" applyFont="1" applyBorder="1" applyAlignment="1">
      <alignment horizontal="center"/>
    </xf>
    <xf numFmtId="0" fontId="4" fillId="0" borderId="28" xfId="0" applyFont="1" applyBorder="1" applyAlignment="1">
      <alignment horizontal="center"/>
    </xf>
    <xf numFmtId="0" fontId="4" fillId="0" borderId="23" xfId="0" applyFont="1" applyBorder="1" applyAlignment="1">
      <alignment horizontal="center"/>
    </xf>
    <xf numFmtId="0" fontId="102" fillId="0" borderId="0" xfId="0" quotePrefix="1" applyFont="1" applyAlignment="1">
      <alignment horizontal="left" vertical="top" wrapText="1"/>
    </xf>
    <xf numFmtId="0" fontId="102" fillId="0" borderId="0" xfId="0" applyFont="1" applyAlignment="1">
      <alignment horizontal="left" wrapText="1"/>
    </xf>
    <xf numFmtId="0" fontId="102" fillId="0" borderId="0" xfId="0" applyFont="1" applyAlignment="1">
      <alignment horizontal="left" vertical="top" wrapText="1"/>
    </xf>
    <xf numFmtId="38" fontId="33" fillId="0" borderId="0" xfId="0" applyNumberFormat="1" applyFont="1" applyFill="1" applyBorder="1" applyAlignment="1" applyProtection="1">
      <alignment horizontal="right"/>
      <protection locked="0"/>
    </xf>
    <xf numFmtId="0" fontId="4" fillId="0" borderId="0" xfId="0" applyFont="1" applyFill="1" applyBorder="1" applyAlignment="1">
      <alignment horizontal="center"/>
    </xf>
    <xf numFmtId="0" fontId="169" fillId="38" borderId="0" xfId="0" quotePrefix="1" applyFont="1" applyFill="1" applyAlignment="1">
      <alignment horizontal="left" vertical="top" wrapText="1"/>
    </xf>
    <xf numFmtId="0" fontId="169" fillId="38" borderId="0" xfId="0" applyFont="1" applyFill="1" applyAlignment="1">
      <alignment horizontal="left" vertical="top" wrapText="1"/>
    </xf>
    <xf numFmtId="0" fontId="4" fillId="0" borderId="15" xfId="0" applyFont="1" applyBorder="1" applyAlignment="1">
      <alignment horizontal="center" vertical="center"/>
    </xf>
    <xf numFmtId="0" fontId="4" fillId="0" borderId="24" xfId="0" applyFont="1" applyBorder="1" applyAlignment="1">
      <alignment horizontal="center" vertical="center"/>
    </xf>
    <xf numFmtId="0" fontId="4" fillId="0" borderId="15"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 xfId="0" applyFont="1" applyBorder="1" applyAlignment="1">
      <alignment horizontal="center" vertical="center"/>
    </xf>
    <xf numFmtId="0" fontId="4" fillId="0" borderId="28" xfId="0" applyFont="1" applyBorder="1" applyAlignment="1">
      <alignment horizontal="center" vertical="center"/>
    </xf>
    <xf numFmtId="0" fontId="4" fillId="0" borderId="23" xfId="0" applyFont="1" applyBorder="1" applyAlignment="1">
      <alignment horizontal="center" vertical="center"/>
    </xf>
    <xf numFmtId="0" fontId="102" fillId="0" borderId="0" xfId="0" quotePrefix="1" applyFont="1" applyAlignment="1">
      <alignment horizontal="left" wrapText="1"/>
    </xf>
    <xf numFmtId="0" fontId="102" fillId="0" borderId="0" xfId="0" quotePrefix="1" applyFont="1" applyAlignment="1">
      <alignment horizontal="left" vertical="center" wrapText="1"/>
    </xf>
    <xf numFmtId="0" fontId="140" fillId="0" borderId="16" xfId="0" applyFont="1" applyFill="1" applyBorder="1" applyAlignment="1">
      <alignment horizontal="center" wrapText="1"/>
    </xf>
    <xf numFmtId="0" fontId="140" fillId="0" borderId="28" xfId="0" applyFont="1" applyFill="1" applyBorder="1" applyAlignment="1">
      <alignment horizontal="center" wrapText="1"/>
    </xf>
    <xf numFmtId="0" fontId="140" fillId="0" borderId="23" xfId="0" applyFont="1" applyFill="1" applyBorder="1" applyAlignment="1">
      <alignment horizontal="center" wrapText="1"/>
    </xf>
    <xf numFmtId="0" fontId="140" fillId="0" borderId="16" xfId="0" applyFont="1" applyFill="1" applyBorder="1" applyAlignment="1">
      <alignment horizontal="center"/>
    </xf>
    <xf numFmtId="0" fontId="140" fillId="0" borderId="28" xfId="0" applyFont="1" applyFill="1" applyBorder="1" applyAlignment="1">
      <alignment horizontal="center"/>
    </xf>
    <xf numFmtId="0" fontId="140" fillId="0" borderId="23" xfId="0" applyFont="1" applyFill="1" applyBorder="1" applyAlignment="1">
      <alignment horizontal="center"/>
    </xf>
    <xf numFmtId="0" fontId="79" fillId="0" borderId="0" xfId="0" quotePrefix="1" applyFont="1" applyAlignment="1">
      <alignment horizontal="left" wrapText="1"/>
    </xf>
    <xf numFmtId="0" fontId="79" fillId="0" borderId="0" xfId="0" applyFont="1" applyAlignment="1">
      <alignment horizontal="left" wrapText="1"/>
    </xf>
    <xf numFmtId="0" fontId="102" fillId="0" borderId="0" xfId="0" applyFont="1" applyFill="1" applyAlignment="1">
      <alignment horizontal="left" wrapText="1"/>
    </xf>
    <xf numFmtId="0" fontId="152" fillId="35" borderId="34" xfId="183" applyNumberFormat="1" applyFont="1" applyFill="1" applyBorder="1" applyAlignment="1">
      <alignment horizontal="right" wrapText="1"/>
    </xf>
    <xf numFmtId="0" fontId="152" fillId="35" borderId="36" xfId="183" applyNumberFormat="1" applyFont="1" applyFill="1" applyBorder="1" applyAlignment="1">
      <alignment horizontal="right" wrapText="1"/>
    </xf>
    <xf numFmtId="0" fontId="152" fillId="35" borderId="34" xfId="179" applyFont="1" applyFill="1" applyBorder="1" applyAlignment="1">
      <alignment horizontal="right" wrapText="1"/>
    </xf>
    <xf numFmtId="0" fontId="152" fillId="35" borderId="36" xfId="179" applyFont="1" applyFill="1" applyBorder="1" applyAlignment="1">
      <alignment horizontal="right" wrapText="1"/>
    </xf>
    <xf numFmtId="0" fontId="5" fillId="38" borderId="15" xfId="0" applyFont="1" applyFill="1" applyBorder="1" applyAlignment="1">
      <alignment horizontal="center" vertical="center" wrapText="1"/>
    </xf>
    <xf numFmtId="0" fontId="5" fillId="38" borderId="24" xfId="0" applyFont="1" applyFill="1" applyBorder="1" applyAlignment="1">
      <alignment horizontal="center" vertical="center" wrapText="1"/>
    </xf>
    <xf numFmtId="0" fontId="165" fillId="38" borderId="15" xfId="0" applyFont="1" applyFill="1" applyBorder="1" applyAlignment="1">
      <alignment horizontal="center" vertical="center" wrapText="1"/>
    </xf>
    <xf numFmtId="0" fontId="165" fillId="38" borderId="24" xfId="0" applyFont="1" applyFill="1" applyBorder="1" applyAlignment="1">
      <alignment horizontal="center" vertical="center" wrapText="1"/>
    </xf>
    <xf numFmtId="0" fontId="5" fillId="38" borderId="15" xfId="0" quotePrefix="1" applyFont="1" applyFill="1" applyBorder="1" applyAlignment="1">
      <alignment horizontal="center" vertical="center" wrapText="1"/>
    </xf>
    <xf numFmtId="0" fontId="5" fillId="38" borderId="24" xfId="0" quotePrefix="1" applyFont="1" applyFill="1" applyBorder="1" applyAlignment="1">
      <alignment horizontal="center" vertical="center" wrapText="1"/>
    </xf>
    <xf numFmtId="0" fontId="165" fillId="38" borderId="23" xfId="0" applyFont="1" applyFill="1" applyBorder="1" applyAlignment="1">
      <alignment horizontal="center" vertical="center" wrapText="1"/>
    </xf>
    <xf numFmtId="0" fontId="5" fillId="38" borderId="29" xfId="0" applyFont="1" applyFill="1" applyBorder="1" applyAlignment="1">
      <alignment horizontal="center" vertical="center" wrapText="1"/>
    </xf>
    <xf numFmtId="0" fontId="5" fillId="38" borderId="15" xfId="0" applyFont="1" applyFill="1" applyBorder="1" applyAlignment="1">
      <alignment horizontal="center" vertical="center"/>
    </xf>
    <xf numFmtId="0" fontId="5" fillId="38" borderId="29" xfId="0" applyFont="1" applyFill="1" applyBorder="1" applyAlignment="1">
      <alignment horizontal="center" vertical="center"/>
    </xf>
    <xf numFmtId="0" fontId="5" fillId="38" borderId="24" xfId="0" applyFont="1" applyFill="1" applyBorder="1" applyAlignment="1">
      <alignment horizontal="center" vertical="center"/>
    </xf>
    <xf numFmtId="0" fontId="5" fillId="38" borderId="29" xfId="0" quotePrefix="1" applyFont="1" applyFill="1" applyBorder="1" applyAlignment="1">
      <alignment horizontal="center" vertical="center" wrapText="1"/>
    </xf>
    <xf numFmtId="0" fontId="123" fillId="0" borderId="0" xfId="0" applyFont="1" applyAlignment="1">
      <alignment horizontal="left" wrapText="1"/>
    </xf>
    <xf numFmtId="0" fontId="20" fillId="39" borderId="0" xfId="0" applyFont="1" applyFill="1" applyAlignment="1">
      <alignment horizontal="center" vertical="center" wrapText="1"/>
    </xf>
    <xf numFmtId="0" fontId="3" fillId="45" borderId="0" xfId="0" applyFont="1" applyFill="1" applyAlignment="1">
      <alignment horizontal="center" vertical="center" wrapText="1"/>
    </xf>
    <xf numFmtId="0" fontId="20" fillId="45" borderId="0" xfId="0" applyFont="1" applyFill="1" applyAlignment="1">
      <alignment horizontal="center" vertical="center" wrapText="1"/>
    </xf>
    <xf numFmtId="0" fontId="20" fillId="40" borderId="0" xfId="0" applyFont="1" applyFill="1" applyAlignment="1">
      <alignment horizontal="center" vertical="center" wrapText="1"/>
    </xf>
    <xf numFmtId="0" fontId="3" fillId="39" borderId="0" xfId="0" quotePrefix="1" applyFont="1" applyFill="1" applyAlignment="1">
      <alignment horizontal="center" vertical="center" wrapText="1"/>
    </xf>
    <xf numFmtId="0" fontId="3" fillId="57" borderId="0" xfId="0" quotePrefix="1" applyFont="1" applyFill="1" applyAlignment="1">
      <alignment horizontal="center" vertical="center" wrapText="1"/>
    </xf>
    <xf numFmtId="0" fontId="20" fillId="57" borderId="0" xfId="0" applyFont="1" applyFill="1" applyAlignment="1">
      <alignment horizontal="center" vertical="center" wrapText="1"/>
    </xf>
    <xf numFmtId="0" fontId="25" fillId="0" borderId="16" xfId="0" applyFont="1" applyBorder="1" applyAlignment="1">
      <alignment horizontal="center" vertical="center" wrapText="1"/>
    </xf>
    <xf numFmtId="0" fontId="25" fillId="0" borderId="28" xfId="0" applyFont="1" applyBorder="1" applyAlignment="1">
      <alignment horizontal="center" vertical="center" wrapText="1"/>
    </xf>
    <xf numFmtId="0" fontId="25" fillId="0" borderId="23"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8" xfId="0" quotePrefix="1" applyFont="1" applyBorder="1" applyAlignment="1">
      <alignment horizontal="center" vertical="center" wrapText="1"/>
    </xf>
    <xf numFmtId="0" fontId="33" fillId="0" borderId="23" xfId="0" quotePrefix="1" applyFont="1" applyBorder="1" applyAlignment="1">
      <alignment horizontal="center" vertical="center" wrapText="1"/>
    </xf>
    <xf numFmtId="0" fontId="4" fillId="0" borderId="15" xfId="0" applyFont="1" applyFill="1" applyBorder="1" applyAlignment="1">
      <alignment horizontal="center" vertical="center"/>
    </xf>
    <xf numFmtId="0" fontId="4" fillId="0" borderId="24" xfId="0" applyFont="1" applyFill="1" applyBorder="1" applyAlignment="1">
      <alignment horizontal="center" vertical="center"/>
    </xf>
    <xf numFmtId="0" fontId="4" fillId="0" borderId="11" xfId="0" applyFont="1" applyBorder="1" applyAlignment="1">
      <alignment horizontal="center"/>
    </xf>
    <xf numFmtId="0" fontId="4" fillId="37" borderId="0" xfId="104" applyFont="1" applyFill="1" applyBorder="1" applyAlignment="1">
      <alignment horizontal="left" vertical="center" wrapText="1"/>
    </xf>
    <xf numFmtId="0" fontId="0" fillId="0" borderId="15" xfId="0" applyBorder="1" applyAlignment="1">
      <alignment horizontal="center"/>
    </xf>
    <xf numFmtId="0" fontId="0" fillId="0" borderId="24" xfId="0" applyBorder="1" applyAlignment="1">
      <alignment horizontal="center"/>
    </xf>
    <xf numFmtId="0" fontId="4" fillId="37" borderId="0" xfId="104" applyFont="1" applyFill="1" applyBorder="1" applyAlignment="1">
      <alignment horizontal="left" vertical="top" wrapText="1"/>
    </xf>
    <xf numFmtId="0" fontId="4" fillId="0" borderId="11" xfId="101" applyFont="1" applyBorder="1" applyAlignment="1">
      <alignment horizontal="center" vertical="center" wrapText="1"/>
    </xf>
    <xf numFmtId="0" fontId="4" fillId="0" borderId="15" xfId="101" applyFont="1" applyBorder="1" applyAlignment="1">
      <alignment horizontal="center" vertical="center"/>
    </xf>
    <xf numFmtId="0" fontId="4" fillId="0" borderId="24" xfId="101" applyFont="1" applyBorder="1" applyAlignment="1">
      <alignment horizontal="center" vertical="center"/>
    </xf>
    <xf numFmtId="0" fontId="4" fillId="0" borderId="11" xfId="101" applyFont="1" applyBorder="1" applyAlignment="1">
      <alignment horizontal="center" vertical="center"/>
    </xf>
    <xf numFmtId="0" fontId="4" fillId="0" borderId="16" xfId="101" applyFont="1" applyBorder="1" applyAlignment="1">
      <alignment horizontal="center" vertical="center" wrapText="1"/>
    </xf>
    <xf numFmtId="0" fontId="4" fillId="0" borderId="23" xfId="101" applyFont="1" applyBorder="1" applyAlignment="1">
      <alignment horizontal="center" vertical="center" wrapText="1"/>
    </xf>
    <xf numFmtId="0" fontId="4" fillId="0" borderId="11" xfId="101" applyFont="1" applyBorder="1" applyAlignment="1">
      <alignment horizontal="center"/>
    </xf>
    <xf numFmtId="0" fontId="26" fillId="35" borderId="26" xfId="0" applyFont="1" applyFill="1" applyBorder="1" applyAlignment="1">
      <alignment horizontal="center" vertical="center" wrapText="1"/>
    </xf>
    <xf numFmtId="0" fontId="26" fillId="35" borderId="0" xfId="0" applyFont="1" applyFill="1" applyBorder="1" applyAlignment="1">
      <alignment horizontal="center" vertical="center" wrapText="1"/>
    </xf>
    <xf numFmtId="0" fontId="26" fillId="35" borderId="22" xfId="0" applyFont="1" applyFill="1" applyBorder="1" applyAlignment="1">
      <alignment horizontal="center" vertical="center" wrapText="1"/>
    </xf>
    <xf numFmtId="0" fontId="26" fillId="35" borderId="15" xfId="0" applyFont="1" applyFill="1" applyBorder="1" applyAlignment="1">
      <alignment horizontal="center" vertical="center" wrapText="1"/>
    </xf>
    <xf numFmtId="0" fontId="26" fillId="35" borderId="24" xfId="0" applyFont="1" applyFill="1" applyBorder="1" applyAlignment="1">
      <alignment horizontal="center" vertical="center" wrapText="1"/>
    </xf>
    <xf numFmtId="0" fontId="26" fillId="35" borderId="15" xfId="0" applyFont="1" applyFill="1" applyBorder="1" applyAlignment="1">
      <alignment horizontal="center" vertical="center"/>
    </xf>
    <xf numFmtId="0" fontId="26" fillId="35" borderId="24" xfId="0" applyFont="1" applyFill="1" applyBorder="1" applyAlignment="1">
      <alignment horizontal="center" vertical="center"/>
    </xf>
    <xf numFmtId="0" fontId="26" fillId="35" borderId="27" xfId="0" applyFont="1" applyFill="1" applyBorder="1" applyAlignment="1">
      <alignment horizontal="center" vertical="center" wrapText="1"/>
    </xf>
    <xf numFmtId="0" fontId="26" fillId="35" borderId="17" xfId="0" applyFont="1" applyFill="1" applyBorder="1" applyAlignment="1">
      <alignment horizontal="center" vertical="center" wrapText="1"/>
    </xf>
    <xf numFmtId="0" fontId="26" fillId="35" borderId="51" xfId="0" applyFont="1" applyFill="1" applyBorder="1" applyAlignment="1">
      <alignment horizontal="center" vertical="center" wrapText="1"/>
    </xf>
    <xf numFmtId="0" fontId="26" fillId="35" borderId="25" xfId="0" applyFont="1" applyFill="1" applyBorder="1" applyAlignment="1">
      <alignment horizontal="center" vertical="center" wrapText="1"/>
    </xf>
    <xf numFmtId="0" fontId="26" fillId="35" borderId="14" xfId="0" applyFont="1" applyFill="1" applyBorder="1" applyAlignment="1">
      <alignment horizontal="center" vertical="center" wrapText="1"/>
    </xf>
    <xf numFmtId="0" fontId="26" fillId="35" borderId="21" xfId="0" applyFont="1" applyFill="1" applyBorder="1" applyAlignment="1">
      <alignment horizontal="center" vertical="center" wrapText="1"/>
    </xf>
    <xf numFmtId="0" fontId="26" fillId="35" borderId="29" xfId="0" applyFont="1" applyFill="1" applyBorder="1" applyAlignment="1">
      <alignment horizontal="center" vertical="center"/>
    </xf>
    <xf numFmtId="0" fontId="26" fillId="35" borderId="29" xfId="0" applyFont="1" applyFill="1" applyBorder="1" applyAlignment="1">
      <alignment horizontal="center" vertical="center" wrapText="1"/>
    </xf>
    <xf numFmtId="0" fontId="26" fillId="35" borderId="16" xfId="0" applyFont="1" applyFill="1" applyBorder="1" applyAlignment="1">
      <alignment horizontal="center" vertical="center" wrapText="1"/>
    </xf>
    <xf numFmtId="0" fontId="26" fillId="35" borderId="28" xfId="0" applyFont="1" applyFill="1" applyBorder="1" applyAlignment="1">
      <alignment horizontal="center" vertical="center" wrapText="1"/>
    </xf>
    <xf numFmtId="0" fontId="26" fillId="35" borderId="23" xfId="0" applyFont="1" applyFill="1" applyBorder="1" applyAlignment="1">
      <alignment horizontal="center" vertical="center" wrapText="1"/>
    </xf>
    <xf numFmtId="0" fontId="26" fillId="35" borderId="11" xfId="0" applyFont="1" applyFill="1" applyBorder="1" applyAlignment="1">
      <alignment horizontal="center" vertical="center" wrapText="1"/>
    </xf>
    <xf numFmtId="0" fontId="36" fillId="0" borderId="0" xfId="0" applyFont="1" applyAlignment="1">
      <alignment horizontal="left" wrapText="1"/>
    </xf>
    <xf numFmtId="0" fontId="26" fillId="0" borderId="11" xfId="0" applyFont="1" applyBorder="1" applyAlignment="1">
      <alignment horizontal="center" vertical="center"/>
    </xf>
    <xf numFmtId="3" fontId="4" fillId="0" borderId="16" xfId="0" applyNumberFormat="1" applyFont="1" applyBorder="1" applyAlignment="1">
      <alignment horizontal="center" vertical="center" wrapText="1"/>
    </xf>
    <xf numFmtId="3" fontId="4" fillId="0" borderId="28" xfId="0" applyNumberFormat="1" applyFont="1" applyBorder="1" applyAlignment="1">
      <alignment horizontal="center" vertical="center" wrapText="1"/>
    </xf>
    <xf numFmtId="3" fontId="4" fillId="0" borderId="11" xfId="0" applyNumberFormat="1" applyFont="1" applyBorder="1" applyAlignment="1">
      <alignment horizontal="center" vertical="center" wrapText="1"/>
    </xf>
    <xf numFmtId="3" fontId="4" fillId="0" borderId="16" xfId="0" applyNumberFormat="1" applyFont="1" applyBorder="1" applyAlignment="1">
      <alignment horizontal="center" vertical="center"/>
    </xf>
    <xf numFmtId="3" fontId="4" fillId="0" borderId="23" xfId="0" applyNumberFormat="1" applyFont="1" applyBorder="1" applyAlignment="1">
      <alignment horizontal="center" vertical="center"/>
    </xf>
    <xf numFmtId="3" fontId="4" fillId="0" borderId="27"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23" xfId="0" applyNumberFormat="1" applyFont="1" applyBorder="1" applyAlignment="1">
      <alignment horizontal="center" vertical="center" wrapText="1"/>
    </xf>
    <xf numFmtId="3" fontId="4" fillId="37" borderId="0" xfId="105" applyNumberFormat="1" applyFont="1" applyFill="1" applyBorder="1" applyAlignment="1">
      <alignment horizontal="left" vertical="center" wrapText="1"/>
    </xf>
    <xf numFmtId="3" fontId="4" fillId="41" borderId="11" xfId="0" applyNumberFormat="1" applyFont="1" applyFill="1" applyBorder="1" applyAlignment="1">
      <alignment horizontal="center" vertical="center"/>
    </xf>
    <xf numFmtId="3" fontId="35" fillId="0" borderId="0" xfId="0" applyNumberFormat="1" applyFont="1" applyAlignment="1">
      <alignment horizontal="left" wrapText="1"/>
    </xf>
    <xf numFmtId="3" fontId="123" fillId="0" borderId="0" xfId="0" applyNumberFormat="1" applyFont="1" applyAlignment="1">
      <alignment horizontal="center" wrapText="1"/>
    </xf>
    <xf numFmtId="3" fontId="35" fillId="0" borderId="0" xfId="0" applyNumberFormat="1" applyFont="1" applyAlignment="1">
      <alignment horizontal="left" vertical="top" wrapText="1"/>
    </xf>
    <xf numFmtId="3" fontId="25" fillId="0" borderId="15" xfId="0" applyNumberFormat="1" applyFont="1" applyBorder="1" applyAlignment="1">
      <alignment horizontal="center" vertical="center"/>
    </xf>
    <xf numFmtId="3" fontId="25" fillId="0" borderId="24" xfId="0" applyNumberFormat="1" applyFont="1" applyBorder="1" applyAlignment="1">
      <alignment horizontal="center" vertical="center"/>
    </xf>
    <xf numFmtId="0" fontId="4" fillId="35" borderId="11" xfId="0" applyFont="1" applyFill="1" applyBorder="1" applyAlignment="1">
      <alignment horizontal="center" vertical="center" wrapText="1"/>
    </xf>
    <xf numFmtId="0" fontId="140" fillId="0" borderId="11" xfId="0" applyFont="1" applyFill="1" applyBorder="1" applyAlignment="1">
      <alignment horizontal="center" vertical="center"/>
    </xf>
    <xf numFmtId="0" fontId="168" fillId="0" borderId="11" xfId="0" applyFont="1" applyFill="1" applyBorder="1" applyAlignment="1">
      <alignment horizontal="center" vertical="center"/>
    </xf>
    <xf numFmtId="0" fontId="140" fillId="0" borderId="16" xfId="0" applyFont="1" applyFill="1" applyBorder="1" applyAlignment="1">
      <alignment horizontal="center" vertical="center" wrapText="1"/>
    </xf>
    <xf numFmtId="0" fontId="140" fillId="0" borderId="28" xfId="0" applyFont="1" applyFill="1" applyBorder="1" applyAlignment="1">
      <alignment horizontal="center" vertical="center" wrapText="1"/>
    </xf>
    <xf numFmtId="0" fontId="168" fillId="0" borderId="23" xfId="0" applyFont="1" applyFill="1" applyBorder="1" applyAlignment="1">
      <alignment horizontal="center" vertical="center" wrapText="1"/>
    </xf>
    <xf numFmtId="0" fontId="168" fillId="0" borderId="28" xfId="0" applyFont="1" applyFill="1" applyBorder="1" applyAlignment="1">
      <alignment horizontal="center" vertical="center" wrapText="1"/>
    </xf>
    <xf numFmtId="3" fontId="4" fillId="37" borderId="0" xfId="104" applyNumberFormat="1" applyFont="1" applyFill="1" applyBorder="1" applyAlignment="1">
      <alignment horizontal="left" vertical="center" wrapText="1"/>
    </xf>
    <xf numFmtId="0" fontId="96" fillId="35" borderId="0" xfId="98" applyFont="1" applyFill="1" applyBorder="1" applyAlignment="1">
      <alignment horizontal="center" wrapText="1"/>
    </xf>
    <xf numFmtId="0" fontId="96" fillId="35" borderId="0" xfId="98" applyFill="1" applyBorder="1" applyAlignment="1">
      <alignment horizontal="center" wrapText="1"/>
    </xf>
    <xf numFmtId="0" fontId="96" fillId="35" borderId="0" xfId="98" applyFill="1" applyBorder="1" applyAlignment="1">
      <alignment wrapText="1"/>
    </xf>
    <xf numFmtId="0" fontId="4" fillId="0" borderId="29" xfId="0" applyFont="1" applyBorder="1" applyAlignment="1">
      <alignment horizontal="center" vertical="center"/>
    </xf>
    <xf numFmtId="0" fontId="4" fillId="0" borderId="16" xfId="0" quotePrefix="1" applyFont="1" applyBorder="1" applyAlignment="1">
      <alignment horizontal="center" wrapText="1"/>
    </xf>
    <xf numFmtId="0" fontId="4" fillId="0" borderId="28" xfId="0" applyFont="1" applyBorder="1" applyAlignment="1">
      <alignment horizontal="center" wrapText="1"/>
    </xf>
    <xf numFmtId="0" fontId="4" fillId="0" borderId="23" xfId="0" applyFont="1" applyBorder="1" applyAlignment="1">
      <alignment horizontal="center" wrapText="1"/>
    </xf>
    <xf numFmtId="0" fontId="4" fillId="0" borderId="16" xfId="0" applyFont="1" applyBorder="1" applyAlignment="1">
      <alignment horizontal="center" wrapText="1"/>
    </xf>
  </cellXfs>
  <cellStyles count="274">
    <cellStyle name="20% - Accent1" xfId="1" builtinId="30" customBuiltin="1"/>
    <cellStyle name="20% - Accent1 2" xfId="2"/>
    <cellStyle name="20% - Accent1 2 2" xfId="136"/>
    <cellStyle name="20% - Accent1 2 3" xfId="228"/>
    <cellStyle name="20% - Accent1 3" xfId="227"/>
    <cellStyle name="20% - Accent1 4" xfId="203"/>
    <cellStyle name="20% - Accent2" xfId="3" builtinId="34" customBuiltin="1"/>
    <cellStyle name="20% - Accent2 2" xfId="229"/>
    <cellStyle name="20% - Accent2 3" xfId="207"/>
    <cellStyle name="20% - Accent3" xfId="4" builtinId="38" customBuiltin="1"/>
    <cellStyle name="20% - Accent3 2" xfId="230"/>
    <cellStyle name="20% - Accent3 3" xfId="211"/>
    <cellStyle name="20% - Accent4" xfId="5" builtinId="42" customBuiltin="1"/>
    <cellStyle name="20% - Accent4 2" xfId="231"/>
    <cellStyle name="20% - Accent4 3" xfId="215"/>
    <cellStyle name="20% - Accent5" xfId="6" builtinId="46" customBuiltin="1"/>
    <cellStyle name="20% - Accent5 2" xfId="232"/>
    <cellStyle name="20% - Accent5 3" xfId="219"/>
    <cellStyle name="20% - Accent6" xfId="7" builtinId="50" customBuiltin="1"/>
    <cellStyle name="20% - Accent6 2" xfId="233"/>
    <cellStyle name="20% - Accent6 3" xfId="223"/>
    <cellStyle name="40% - Accent1" xfId="8" builtinId="31" customBuiltin="1"/>
    <cellStyle name="40% - Accent1 2" xfId="234"/>
    <cellStyle name="40% - Accent1 3" xfId="204"/>
    <cellStyle name="40% - Accent2" xfId="9" builtinId="35" customBuiltin="1"/>
    <cellStyle name="40% - Accent2 2" xfId="235"/>
    <cellStyle name="40% - Accent2 3" xfId="208"/>
    <cellStyle name="40% - Accent3" xfId="10" builtinId="39" customBuiltin="1"/>
    <cellStyle name="40% - Accent3 2" xfId="236"/>
    <cellStyle name="40% - Accent3 3" xfId="212"/>
    <cellStyle name="40% - Accent4" xfId="11" builtinId="43" customBuiltin="1"/>
    <cellStyle name="40% - Accent4 2" xfId="237"/>
    <cellStyle name="40% - Accent4 3" xfId="216"/>
    <cellStyle name="40% - Accent5" xfId="12" builtinId="47" customBuiltin="1"/>
    <cellStyle name="40% - Accent5 2" xfId="238"/>
    <cellStyle name="40% - Accent5 3" xfId="220"/>
    <cellStyle name="40% - Accent6" xfId="13" builtinId="51" customBuiltin="1"/>
    <cellStyle name="40% - Accent6 2" xfId="239"/>
    <cellStyle name="40% - Accent6 3" xfId="224"/>
    <cellStyle name="60% - Accent1" xfId="14" builtinId="32" customBuiltin="1"/>
    <cellStyle name="60% - Accent1 2" xfId="240"/>
    <cellStyle name="60% - Accent1 3" xfId="205"/>
    <cellStyle name="60% - Accent2" xfId="15" builtinId="36" customBuiltin="1"/>
    <cellStyle name="60% - Accent2 2" xfId="241"/>
    <cellStyle name="60% - Accent2 3" xfId="209"/>
    <cellStyle name="60% - Accent3" xfId="16" builtinId="40" customBuiltin="1"/>
    <cellStyle name="60% - Accent3 2" xfId="17"/>
    <cellStyle name="60% - Accent3 3" xfId="242"/>
    <cellStyle name="60% - Accent3 4" xfId="213"/>
    <cellStyle name="60% - Accent4" xfId="18" builtinId="44" customBuiltin="1"/>
    <cellStyle name="60% - Accent4 2" xfId="243"/>
    <cellStyle name="60% - Accent4 3" xfId="217"/>
    <cellStyle name="60% - Accent5" xfId="19" builtinId="48" customBuiltin="1"/>
    <cellStyle name="60% - Accent5 2" xfId="244"/>
    <cellStyle name="60% - Accent5 3" xfId="221"/>
    <cellStyle name="60% - Accent6" xfId="20" builtinId="52" customBuiltin="1"/>
    <cellStyle name="60% - Accent6 2" xfId="245"/>
    <cellStyle name="60% - Accent6 3" xfId="225"/>
    <cellStyle name="Accent1" xfId="21" builtinId="29" customBuiltin="1"/>
    <cellStyle name="Accent1 2" xfId="246"/>
    <cellStyle name="Accent1 3" xfId="202"/>
    <cellStyle name="Accent2" xfId="22" builtinId="33" customBuiltin="1"/>
    <cellStyle name="Accent2 2" xfId="247"/>
    <cellStyle name="Accent2 3" xfId="206"/>
    <cellStyle name="Accent3" xfId="23" builtinId="37" customBuiltin="1"/>
    <cellStyle name="Accent3 2" xfId="248"/>
    <cellStyle name="Accent3 3" xfId="210"/>
    <cellStyle name="Accent4" xfId="24" builtinId="41" customBuiltin="1"/>
    <cellStyle name="Accent4 2" xfId="249"/>
    <cellStyle name="Accent4 3" xfId="214"/>
    <cellStyle name="Accent5" xfId="25" builtinId="45" customBuiltin="1"/>
    <cellStyle name="Accent5 2" xfId="250"/>
    <cellStyle name="Accent5 3" xfId="218"/>
    <cellStyle name="Accent6" xfId="26" builtinId="49" customBuiltin="1"/>
    <cellStyle name="Accent6 2" xfId="251"/>
    <cellStyle name="Accent6 3" xfId="222"/>
    <cellStyle name="assumptions" xfId="27"/>
    <cellStyle name="Bad" xfId="28" builtinId="27" customBuiltin="1"/>
    <cellStyle name="Bad 2" xfId="252"/>
    <cellStyle name="Bad 3" xfId="191"/>
    <cellStyle name="Big-top" xfId="29"/>
    <cellStyle name="Calc#" xfId="30"/>
    <cellStyle name="Calc# 2" xfId="137"/>
    <cellStyle name="Calc#.##" xfId="31"/>
    <cellStyle name="Calc#.## 2" xfId="138"/>
    <cellStyle name="Calc%" xfId="32"/>
    <cellStyle name="Calc% 2" xfId="139"/>
    <cellStyle name="Calc£" xfId="33"/>
    <cellStyle name="Calc£ 2" xfId="140"/>
    <cellStyle name="Calc£m" xfId="34"/>
    <cellStyle name="Calc£m 2" xfId="141"/>
    <cellStyle name="CalcDate" xfId="35"/>
    <cellStyle name="CalcDate 2" xfId="142"/>
    <cellStyle name="CalcText" xfId="36"/>
    <cellStyle name="CalcText 2" xfId="143"/>
    <cellStyle name="CalcTime" xfId="37"/>
    <cellStyle name="CalcTime 2" xfId="144"/>
    <cellStyle name="Calculation" xfId="38" builtinId="22" customBuiltin="1"/>
    <cellStyle name="Calculation 2" xfId="253"/>
    <cellStyle name="Calculation 3" xfId="195"/>
    <cellStyle name="Check Cell" xfId="39" builtinId="23" customBuiltin="1"/>
    <cellStyle name="Check Cell 2" xfId="254"/>
    <cellStyle name="Check Cell 3" xfId="197"/>
    <cellStyle name="Comma" xfId="40" builtinId="3"/>
    <cellStyle name="Comma 2" xfId="41"/>
    <cellStyle name="Comma 2 2" xfId="42"/>
    <cellStyle name="Comma 2 2 2" xfId="256"/>
    <cellStyle name="Comma 2 3" xfId="145"/>
    <cellStyle name="Comma 2 4" xfId="181"/>
    <cellStyle name="Comma 3" xfId="43"/>
    <cellStyle name="Comma 3 2" xfId="257"/>
    <cellStyle name="Comma 3 3" xfId="182"/>
    <cellStyle name="Comma 4" xfId="44"/>
    <cellStyle name="Comma 4 2" xfId="45"/>
    <cellStyle name="Comma 4 2 2" xfId="147"/>
    <cellStyle name="Comma 4 3" xfId="146"/>
    <cellStyle name="Comma 4 4" xfId="255"/>
    <cellStyle name="Comma 5" xfId="180"/>
    <cellStyle name="Deviant" xfId="46"/>
    <cellStyle name="Deviant 2" xfId="148"/>
    <cellStyle name="emphasis" xfId="47"/>
    <cellStyle name="ErrorCheck" xfId="48"/>
    <cellStyle name="estimated input" xfId="49"/>
    <cellStyle name="Explanatory Text" xfId="50" builtinId="53" customBuiltin="1"/>
    <cellStyle name="Explanatory Text 2" xfId="258"/>
    <cellStyle name="Explanatory Text 3" xfId="200"/>
    <cellStyle name="external input" xfId="51"/>
    <cellStyle name="external input, for info" xfId="52"/>
    <cellStyle name="external input_2001DS23" xfId="53"/>
    <cellStyle name="From#" xfId="54"/>
    <cellStyle name="From#.##" xfId="55"/>
    <cellStyle name="From%" xfId="56"/>
    <cellStyle name="From£" xfId="57"/>
    <cellStyle name="From£m" xfId="58"/>
    <cellStyle name="FromDate" xfId="59"/>
    <cellStyle name="FromText" xfId="60"/>
    <cellStyle name="Good" xfId="61" builtinId="26" customBuiltin="1"/>
    <cellStyle name="Good 2" xfId="259"/>
    <cellStyle name="Good 3" xfId="190"/>
    <cellStyle name="guesswork" xfId="62"/>
    <cellStyle name="Header" xfId="63"/>
    <cellStyle name="Heading" xfId="64"/>
    <cellStyle name="Heading 1" xfId="65" builtinId="16" customBuiltin="1"/>
    <cellStyle name="Heading 1 2" xfId="260"/>
    <cellStyle name="Heading 1 3" xfId="186"/>
    <cellStyle name="Heading 2" xfId="66" builtinId="17" customBuiltin="1"/>
    <cellStyle name="Heading 2 2" xfId="261"/>
    <cellStyle name="Heading 2 3" xfId="187"/>
    <cellStyle name="Heading 3" xfId="67" builtinId="18" customBuiltin="1"/>
    <cellStyle name="Heading 3 2" xfId="262"/>
    <cellStyle name="Heading 3 3" xfId="188"/>
    <cellStyle name="Heading 4" xfId="68" builtinId="19" customBuiltin="1"/>
    <cellStyle name="Heading 4 2" xfId="263"/>
    <cellStyle name="Heading 4 3" xfId="189"/>
    <cellStyle name="highlight" xfId="69"/>
    <cellStyle name="Hyperlink" xfId="70" builtinId="8"/>
    <cellStyle name="Hyperlink 2" xfId="71"/>
    <cellStyle name="Hyperlink 3" xfId="72"/>
    <cellStyle name="info" xfId="73"/>
    <cellStyle name="info 2" xfId="149"/>
    <cellStyle name="Input" xfId="74" builtinId="20" customBuiltin="1"/>
    <cellStyle name="Input 2" xfId="264"/>
    <cellStyle name="Input 3" xfId="193"/>
    <cellStyle name="Input#" xfId="75"/>
    <cellStyle name="Input# 2" xfId="150"/>
    <cellStyle name="Input#.##" xfId="76"/>
    <cellStyle name="Input#.## 2" xfId="151"/>
    <cellStyle name="Input%" xfId="77"/>
    <cellStyle name="Input% 2" xfId="152"/>
    <cellStyle name="Input£" xfId="78"/>
    <cellStyle name="Input£ 2" xfId="153"/>
    <cellStyle name="Input£m" xfId="79"/>
    <cellStyle name="Input£m 2" xfId="154"/>
    <cellStyle name="InputDate" xfId="80"/>
    <cellStyle name="InputDate 2" xfId="155"/>
    <cellStyle name="InputText" xfId="81"/>
    <cellStyle name="InputText 2" xfId="156"/>
    <cellStyle name="Linked Cell" xfId="82" builtinId="24" customBuiltin="1"/>
    <cellStyle name="Linked Cell 2" xfId="265"/>
    <cellStyle name="Linked Cell 3" xfId="196"/>
    <cellStyle name="Little top" xfId="83"/>
    <cellStyle name="NamedRange" xfId="84"/>
    <cellStyle name="Neutral" xfId="85" builtinId="28" customBuiltin="1"/>
    <cellStyle name="Neutral 2" xfId="266"/>
    <cellStyle name="Neutral 3" xfId="192"/>
    <cellStyle name="Normal" xfId="0" builtinId="0"/>
    <cellStyle name="Normal 2" xfId="86"/>
    <cellStyle name="Normal 2 2" xfId="87"/>
    <cellStyle name="Normal 2 2 2" xfId="158"/>
    <cellStyle name="Normal 2 3" xfId="157"/>
    <cellStyle name="Normal 3" xfId="88"/>
    <cellStyle name="Normal 3 2" xfId="89"/>
    <cellStyle name="Normal 3 2 2" xfId="160"/>
    <cellStyle name="Normal 3 2 3" xfId="183"/>
    <cellStyle name="Normal 3 3" xfId="90"/>
    <cellStyle name="Normal 3 3 2" xfId="161"/>
    <cellStyle name="Normal 3 4" xfId="159"/>
    <cellStyle name="Normal 4" xfId="91"/>
    <cellStyle name="Normal 4 2" xfId="92"/>
    <cellStyle name="Normal 4 2 2" xfId="162"/>
    <cellStyle name="Normal 4 2 3" xfId="267"/>
    <cellStyle name="Normal 4 3" xfId="135"/>
    <cellStyle name="Normal 43" xfId="93"/>
    <cellStyle name="Normal 43 2" xfId="163"/>
    <cellStyle name="Normal 44" xfId="94"/>
    <cellStyle name="Normal 44 2" xfId="164"/>
    <cellStyle name="Normal 5" xfId="95"/>
    <cellStyle name="Normal 5 2" xfId="96"/>
    <cellStyle name="Normal 5 2 2" xfId="165"/>
    <cellStyle name="Normal 6" xfId="97"/>
    <cellStyle name="Normal 6 2" xfId="166"/>
    <cellStyle name="Normal 6 3" xfId="184"/>
    <cellStyle name="Normal 7" xfId="98"/>
    <cellStyle name="Normal 7 2" xfId="167"/>
    <cellStyle name="Normal 7 3" xfId="226"/>
    <cellStyle name="Normal 8" xfId="134"/>
    <cellStyle name="Normal 9" xfId="179"/>
    <cellStyle name="Normal_2a stocks timetable first 2013" xfId="99"/>
    <cellStyle name="Normal_4 FTE rates" xfId="100"/>
    <cellStyle name="Normal_Class sizes - Debra Charnley" xfId="101"/>
    <cellStyle name="Normal_EngBacc_Revised" xfId="102"/>
    <cellStyle name="Normal_EngBacc_Revised 2" xfId="103"/>
    <cellStyle name="Normal_SFR04_Table12" xfId="104"/>
    <cellStyle name="Normal_SFR04_Table12 2" xfId="105"/>
    <cellStyle name="NormalLINK" xfId="106"/>
    <cellStyle name="Note" xfId="107" builtinId="10" customBuiltin="1"/>
    <cellStyle name="Note 2" xfId="268"/>
    <cellStyle name="Note 3" xfId="199"/>
    <cellStyle name="Output" xfId="108" builtinId="21" customBuiltin="1"/>
    <cellStyle name="Output 2" xfId="269"/>
    <cellStyle name="Output 3" xfId="194"/>
    <cellStyle name="Percent" xfId="109" builtinId="5"/>
    <cellStyle name="Percent 2" xfId="110"/>
    <cellStyle name="Percent 2 2" xfId="111"/>
    <cellStyle name="Percent 2 2 2" xfId="270"/>
    <cellStyle name="Percent 2 3" xfId="168"/>
    <cellStyle name="Percent 3" xfId="112"/>
    <cellStyle name="Percent 4" xfId="113"/>
    <cellStyle name="Percent 4 2" xfId="114"/>
    <cellStyle name="Percent 4 2 2" xfId="170"/>
    <cellStyle name="Percent 4 3" xfId="169"/>
    <cellStyle name="PN141/96" xfId="115"/>
    <cellStyle name="PN206/98" xfId="116"/>
    <cellStyle name="PreDef#" xfId="117"/>
    <cellStyle name="PreDef# 2" xfId="171"/>
    <cellStyle name="PreDef%" xfId="118"/>
    <cellStyle name="PreDef% 2" xfId="172"/>
    <cellStyle name="PreDef£" xfId="119"/>
    <cellStyle name="PreDef£ 2" xfId="173"/>
    <cellStyle name="PreDef£m" xfId="120"/>
    <cellStyle name="PreDef£m 2" xfId="174"/>
    <cellStyle name="PreDefDate" xfId="121"/>
    <cellStyle name="PreDefDate 2" xfId="175"/>
    <cellStyle name="PreDefText" xfId="122"/>
    <cellStyle name="PreDefText 2" xfId="176"/>
    <cellStyle name="Ref#" xfId="123"/>
    <cellStyle name="Ref# 2" xfId="177"/>
    <cellStyle name="SectionNumber" xfId="124"/>
    <cellStyle name="Small bold" xfId="125"/>
    <cellStyle name="Teachers Volume" xfId="126"/>
    <cellStyle name="tiny" xfId="127"/>
    <cellStyle name="Title" xfId="128" builtinId="15" customBuiltin="1"/>
    <cellStyle name="Title 2" xfId="271"/>
    <cellStyle name="Title 3" xfId="185"/>
    <cellStyle name="Total" xfId="129" builtinId="25" customBuiltin="1"/>
    <cellStyle name="Total 2" xfId="272"/>
    <cellStyle name="Total 3" xfId="201"/>
    <cellStyle name="Type" xfId="130"/>
    <cellStyle name="VOL1" xfId="131"/>
    <cellStyle name="Warning Text" xfId="132" builtinId="11" customBuiltin="1"/>
    <cellStyle name="Warning Text 2" xfId="273"/>
    <cellStyle name="Warning Text 3" xfId="198"/>
    <cellStyle name="WorkInProgress" xfId="133"/>
    <cellStyle name="WorkInProgress 2" xfId="178"/>
  </cellStyles>
  <dxfs count="1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customXml" Target="../customXml/item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Comparison of entrant teacher need values derived by the user and those by using the default scenarios</a:t>
            </a:r>
          </a:p>
        </c:rich>
      </c:tx>
      <c:layout/>
      <c:overlay val="0"/>
    </c:title>
    <c:autoTitleDeleted val="0"/>
    <c:plotArea>
      <c:layout>
        <c:manualLayout>
          <c:layoutTarget val="inner"/>
          <c:xMode val="edge"/>
          <c:yMode val="edge"/>
          <c:x val="0.1184199503573706"/>
          <c:y val="0.14908736407949005"/>
          <c:w val="0.51890756605957833"/>
          <c:h val="0.70578102737157855"/>
        </c:manualLayout>
      </c:layout>
      <c:lineChart>
        <c:grouping val="standard"/>
        <c:varyColors val="0"/>
        <c:ser>
          <c:idx val="0"/>
          <c:order val="0"/>
          <c:tx>
            <c:strRef>
              <c:f>USER_TESTING_TAB!$AA$34</c:f>
              <c:strCache>
                <c:ptCount val="1"/>
                <c:pt idx="0">
                  <c:v>Primary - default scenarios</c:v>
                </c:pt>
              </c:strCache>
            </c:strRef>
          </c:tx>
          <c:spPr>
            <a:ln>
              <a:solidFill>
                <a:sysClr val="windowText" lastClr="000000"/>
              </a:solidFill>
            </a:ln>
          </c:spPr>
          <c:marker>
            <c:symbol val="none"/>
          </c:marker>
          <c:cat>
            <c:strRef>
              <c:f>USER_TESTING_TAB!$AB$33:$AM$33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USER_TESTING_TAB!$AB$34:$AM$34</c:f>
              <c:numCache>
                <c:formatCode>#,##0</c:formatCode>
                <c:ptCount val="12"/>
                <c:pt idx="0">
                  <c:v>27567.610098506135</c:v>
                </c:pt>
                <c:pt idx="1">
                  <c:v>26168.018656485227</c:v>
                </c:pt>
                <c:pt idx="2">
                  <c:v>25492.593807015372</c:v>
                </c:pt>
                <c:pt idx="3">
                  <c:v>25178.924285860096</c:v>
                </c:pt>
                <c:pt idx="4">
                  <c:v>24958.713813880742</c:v>
                </c:pt>
                <c:pt idx="5">
                  <c:v>24696.100468209581</c:v>
                </c:pt>
                <c:pt idx="6">
                  <c:v>24408.266644993811</c:v>
                </c:pt>
                <c:pt idx="7">
                  <c:v>24950.329485232243</c:v>
                </c:pt>
                <c:pt idx="8">
                  <c:v>25389.224909382261</c:v>
                </c:pt>
                <c:pt idx="9">
                  <c:v>25497.882054938753</c:v>
                </c:pt>
                <c:pt idx="10">
                  <c:v>25396.267516090727</c:v>
                </c:pt>
                <c:pt idx="11">
                  <c:v>25272.066186930482</c:v>
                </c:pt>
              </c:numCache>
            </c:numRef>
          </c:val>
          <c:smooth val="0"/>
          <c:extLst>
            <c:ext xmlns:c16="http://schemas.microsoft.com/office/drawing/2014/chart" uri="{C3380CC4-5D6E-409C-BE32-E72D297353CC}">
              <c16:uniqueId val="{00000000-9FF7-49CA-A51A-9479C12E484D}"/>
            </c:ext>
          </c:extLst>
        </c:ser>
        <c:ser>
          <c:idx val="2"/>
          <c:order val="1"/>
          <c:tx>
            <c:strRef>
              <c:f>USER_TESTING_TAB!$AA$36</c:f>
              <c:strCache>
                <c:ptCount val="1"/>
                <c:pt idx="0">
                  <c:v>Primary - user selected scenarios</c:v>
                </c:pt>
              </c:strCache>
            </c:strRef>
          </c:tx>
          <c:spPr>
            <a:ln>
              <a:solidFill>
                <a:sysClr val="windowText" lastClr="000000"/>
              </a:solidFill>
              <a:prstDash val="sysDot"/>
            </a:ln>
          </c:spPr>
          <c:marker>
            <c:symbol val="none"/>
          </c:marker>
          <c:cat>
            <c:strRef>
              <c:f>USER_TESTING_TAB!$AB$33:$AM$33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USER_TESTING_TAB!$AB$36:$AM$36</c:f>
              <c:numCache>
                <c:formatCode>#,##0</c:formatCode>
                <c:ptCount val="12"/>
                <c:pt idx="0">
                  <c:v>27567.610098506135</c:v>
                </c:pt>
                <c:pt idx="1">
                  <c:v>26168.018656485227</c:v>
                </c:pt>
                <c:pt idx="2">
                  <c:v>25492.593807015372</c:v>
                </c:pt>
                <c:pt idx="3">
                  <c:v>25178.924285860096</c:v>
                </c:pt>
                <c:pt idx="4">
                  <c:v>24958.713813880742</c:v>
                </c:pt>
                <c:pt idx="5">
                  <c:v>24696.100468209581</c:v>
                </c:pt>
                <c:pt idx="6">
                  <c:v>24408.266644993811</c:v>
                </c:pt>
                <c:pt idx="7">
                  <c:v>24950.329485232243</c:v>
                </c:pt>
                <c:pt idx="8">
                  <c:v>25389.224909382261</c:v>
                </c:pt>
                <c:pt idx="9">
                  <c:v>25497.882054938753</c:v>
                </c:pt>
                <c:pt idx="10">
                  <c:v>25396.267516090727</c:v>
                </c:pt>
                <c:pt idx="11">
                  <c:v>25272.066186930482</c:v>
                </c:pt>
              </c:numCache>
            </c:numRef>
          </c:val>
          <c:smooth val="0"/>
          <c:extLst>
            <c:ext xmlns:c16="http://schemas.microsoft.com/office/drawing/2014/chart" uri="{C3380CC4-5D6E-409C-BE32-E72D297353CC}">
              <c16:uniqueId val="{00000001-9FF7-49CA-A51A-9479C12E484D}"/>
            </c:ext>
          </c:extLst>
        </c:ser>
        <c:ser>
          <c:idx val="1"/>
          <c:order val="2"/>
          <c:tx>
            <c:strRef>
              <c:f>USER_TESTING_TAB!$AA$35</c:f>
              <c:strCache>
                <c:ptCount val="1"/>
                <c:pt idx="0">
                  <c:v>Secondary - default scenarios</c:v>
                </c:pt>
              </c:strCache>
            </c:strRef>
          </c:tx>
          <c:spPr>
            <a:ln>
              <a:solidFill>
                <a:srgbClr val="FF0000"/>
              </a:solidFill>
            </a:ln>
          </c:spPr>
          <c:marker>
            <c:symbol val="none"/>
          </c:marker>
          <c:cat>
            <c:strRef>
              <c:f>USER_TESTING_TAB!$AB$33:$AM$33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USER_TESTING_TAB!$AB$35:$AM$35</c:f>
              <c:numCache>
                <c:formatCode>#,##0</c:formatCode>
                <c:ptCount val="12"/>
                <c:pt idx="0">
                  <c:v>25726.914332450637</c:v>
                </c:pt>
                <c:pt idx="1">
                  <c:v>26013.082992911095</c:v>
                </c:pt>
                <c:pt idx="2">
                  <c:v>26773.534628117941</c:v>
                </c:pt>
                <c:pt idx="3">
                  <c:v>26280.056655388191</c:v>
                </c:pt>
                <c:pt idx="4">
                  <c:v>26557.750010090593</c:v>
                </c:pt>
                <c:pt idx="5">
                  <c:v>26839.574362018644</c:v>
                </c:pt>
                <c:pt idx="6">
                  <c:v>27623.063634274476</c:v>
                </c:pt>
                <c:pt idx="7">
                  <c:v>26917.518218870457</c:v>
                </c:pt>
                <c:pt idx="8">
                  <c:v>26106.103394555023</c:v>
                </c:pt>
                <c:pt idx="9">
                  <c:v>25450.928289338994</c:v>
                </c:pt>
                <c:pt idx="10">
                  <c:v>25287.319697064035</c:v>
                </c:pt>
                <c:pt idx="11">
                  <c:v>25073.871126010978</c:v>
                </c:pt>
              </c:numCache>
            </c:numRef>
          </c:val>
          <c:smooth val="0"/>
          <c:extLst>
            <c:ext xmlns:c16="http://schemas.microsoft.com/office/drawing/2014/chart" uri="{C3380CC4-5D6E-409C-BE32-E72D297353CC}">
              <c16:uniqueId val="{00000002-9FF7-49CA-A51A-9479C12E484D}"/>
            </c:ext>
          </c:extLst>
        </c:ser>
        <c:ser>
          <c:idx val="3"/>
          <c:order val="3"/>
          <c:tx>
            <c:strRef>
              <c:f>USER_TESTING_TAB!$AA$37</c:f>
              <c:strCache>
                <c:ptCount val="1"/>
                <c:pt idx="0">
                  <c:v>Secondary - user selected scenarios</c:v>
                </c:pt>
              </c:strCache>
            </c:strRef>
          </c:tx>
          <c:spPr>
            <a:ln>
              <a:solidFill>
                <a:srgbClr val="FF0000"/>
              </a:solidFill>
              <a:prstDash val="sysDot"/>
            </a:ln>
          </c:spPr>
          <c:marker>
            <c:symbol val="none"/>
          </c:marker>
          <c:cat>
            <c:strRef>
              <c:f>USER_TESTING_TAB!$AB$33:$AM$33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USER_TESTING_TAB!$AB$37:$AM$37</c:f>
              <c:numCache>
                <c:formatCode>#,##0</c:formatCode>
                <c:ptCount val="12"/>
                <c:pt idx="0">
                  <c:v>25726.914332450637</c:v>
                </c:pt>
                <c:pt idx="1">
                  <c:v>26013.082992911095</c:v>
                </c:pt>
                <c:pt idx="2">
                  <c:v>26773.534628117941</c:v>
                </c:pt>
                <c:pt idx="3">
                  <c:v>26280.056655388191</c:v>
                </c:pt>
                <c:pt idx="4">
                  <c:v>26557.750010090593</c:v>
                </c:pt>
                <c:pt idx="5">
                  <c:v>26839.574362018644</c:v>
                </c:pt>
                <c:pt idx="6">
                  <c:v>27623.063634274476</c:v>
                </c:pt>
                <c:pt idx="7">
                  <c:v>26917.518218870457</c:v>
                </c:pt>
                <c:pt idx="8">
                  <c:v>26106.103394555023</c:v>
                </c:pt>
                <c:pt idx="9">
                  <c:v>25450.928289338994</c:v>
                </c:pt>
                <c:pt idx="10">
                  <c:v>25287.319697064035</c:v>
                </c:pt>
                <c:pt idx="11">
                  <c:v>25073.871126010978</c:v>
                </c:pt>
              </c:numCache>
            </c:numRef>
          </c:val>
          <c:smooth val="0"/>
          <c:extLst>
            <c:ext xmlns:c16="http://schemas.microsoft.com/office/drawing/2014/chart" uri="{C3380CC4-5D6E-409C-BE32-E72D297353CC}">
              <c16:uniqueId val="{00000003-9FF7-49CA-A51A-9479C12E484D}"/>
            </c:ext>
          </c:extLst>
        </c:ser>
        <c:dLbls>
          <c:showLegendKey val="0"/>
          <c:showVal val="0"/>
          <c:showCatName val="0"/>
          <c:showSerName val="0"/>
          <c:showPercent val="0"/>
          <c:showBubbleSize val="0"/>
        </c:dLbls>
        <c:smooth val="0"/>
        <c:axId val="148343808"/>
        <c:axId val="148349696"/>
      </c:lineChart>
      <c:catAx>
        <c:axId val="1483438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349696"/>
        <c:crosses val="autoZero"/>
        <c:auto val="1"/>
        <c:lblAlgn val="ctr"/>
        <c:lblOffset val="100"/>
        <c:noMultiLvlLbl val="0"/>
      </c:catAx>
      <c:valAx>
        <c:axId val="1483496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Entrant teacher need (headcount)</a:t>
                </a:r>
              </a:p>
            </c:rich>
          </c:tx>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343808"/>
        <c:crosses val="autoZero"/>
        <c:crossBetween val="between"/>
      </c:valAx>
      <c:spPr>
        <a:ln>
          <a:solidFill>
            <a:sysClr val="windowText" lastClr="000000"/>
          </a:solidFill>
        </a:ln>
      </c:spPr>
    </c:plotArea>
    <c:legend>
      <c:legendPos val="r"/>
      <c:layout>
        <c:manualLayout>
          <c:xMode val="edge"/>
          <c:yMode val="edge"/>
          <c:x val="0.66185947910357368"/>
          <c:y val="0.25581422477229104"/>
          <c:w val="0.30769247594050742"/>
          <c:h val="0.5142124288727474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1423840769903762"/>
          <c:y val="0.12283573928258967"/>
          <c:w val="0.56369006691065027"/>
          <c:h val="0.69329177602799663"/>
        </c:manualLayout>
      </c:layout>
      <c:lineChart>
        <c:grouping val="standard"/>
        <c:varyColors val="0"/>
        <c:ser>
          <c:idx val="30"/>
          <c:order val="0"/>
          <c:tx>
            <c:strRef>
              <c:f>Entrant_need_figures!$B$120</c:f>
              <c:strCache>
                <c:ptCount val="1"/>
                <c:pt idx="0">
                  <c:v>GEOGRAPHY All Central Scenario</c:v>
                </c:pt>
              </c:strCache>
            </c:strRef>
          </c:tx>
          <c:spPr>
            <a:ln>
              <a:solidFill>
                <a:schemeClr val="tx2">
                  <a:lumMod val="50000"/>
                </a:schemeClr>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Entrant_need_figures!$C$120:$N$120</c:f>
              <c:numCache>
                <c:formatCode>#,##0</c:formatCode>
                <c:ptCount val="12"/>
                <c:pt idx="0">
                  <c:v>1291.2464891690154</c:v>
                </c:pt>
                <c:pt idx="1">
                  <c:v>1278.9675184822354</c:v>
                </c:pt>
                <c:pt idx="2">
                  <c:v>1357.3808848553588</c:v>
                </c:pt>
                <c:pt idx="3">
                  <c:v>1305.2374475649265</c:v>
                </c:pt>
                <c:pt idx="4">
                  <c:v>1312.7239577484927</c:v>
                </c:pt>
                <c:pt idx="5">
                  <c:v>1316.0972540517175</c:v>
                </c:pt>
                <c:pt idx="6">
                  <c:v>1375.2085717267385</c:v>
                </c:pt>
                <c:pt idx="7">
                  <c:v>1333.0186534144525</c:v>
                </c:pt>
                <c:pt idx="8">
                  <c:v>1278.8757379091594</c:v>
                </c:pt>
                <c:pt idx="9">
                  <c:v>1241.2699804477099</c:v>
                </c:pt>
                <c:pt idx="10">
                  <c:v>1258.0386979609664</c:v>
                </c:pt>
                <c:pt idx="11">
                  <c:v>1270.2383872782209</c:v>
                </c:pt>
              </c:numCache>
            </c:numRef>
          </c:val>
          <c:smooth val="0"/>
          <c:extLst>
            <c:ext xmlns:c16="http://schemas.microsoft.com/office/drawing/2014/chart" uri="{C3380CC4-5D6E-409C-BE32-E72D297353CC}">
              <c16:uniqueId val="{00000000-00DD-44EA-A08B-56633BA49801}"/>
            </c:ext>
          </c:extLst>
        </c:ser>
        <c:ser>
          <c:idx val="10"/>
          <c:order val="1"/>
          <c:tx>
            <c:strRef>
              <c:f>Entrant_need_figures!$B$99</c:f>
              <c:strCache>
                <c:ptCount val="1"/>
                <c:pt idx="0">
                  <c:v>GEOGRAPHY Scenario Selected</c:v>
                </c:pt>
              </c:strCache>
            </c:strRef>
          </c:tx>
          <c:spPr>
            <a:ln>
              <a:solidFill>
                <a:schemeClr val="tx2">
                  <a:lumMod val="50000"/>
                </a:schemeClr>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Entrant_need_figures!$C$99:$N$99</c:f>
              <c:numCache>
                <c:formatCode>#,##0</c:formatCode>
                <c:ptCount val="12"/>
                <c:pt idx="0">
                  <c:v>1291.2464891690154</c:v>
                </c:pt>
                <c:pt idx="1">
                  <c:v>1278.9675184822354</c:v>
                </c:pt>
                <c:pt idx="2">
                  <c:v>1357.3808848553588</c:v>
                </c:pt>
                <c:pt idx="3">
                  <c:v>1305.2374475649265</c:v>
                </c:pt>
                <c:pt idx="4">
                  <c:v>1312.7239577484927</c:v>
                </c:pt>
                <c:pt idx="5">
                  <c:v>1316.0972540517175</c:v>
                </c:pt>
                <c:pt idx="6">
                  <c:v>1375.2085717267385</c:v>
                </c:pt>
                <c:pt idx="7">
                  <c:v>1333.0186534144525</c:v>
                </c:pt>
                <c:pt idx="8">
                  <c:v>1278.8757379091594</c:v>
                </c:pt>
                <c:pt idx="9">
                  <c:v>1241.2699804477099</c:v>
                </c:pt>
                <c:pt idx="10">
                  <c:v>1258.0386979609664</c:v>
                </c:pt>
                <c:pt idx="11">
                  <c:v>1270.2383872782209</c:v>
                </c:pt>
              </c:numCache>
            </c:numRef>
          </c:val>
          <c:smooth val="0"/>
          <c:extLst>
            <c:ext xmlns:c16="http://schemas.microsoft.com/office/drawing/2014/chart" uri="{C3380CC4-5D6E-409C-BE32-E72D297353CC}">
              <c16:uniqueId val="{00000001-00DD-44EA-A08B-56633BA49801}"/>
            </c:ext>
          </c:extLst>
        </c:ser>
        <c:ser>
          <c:idx val="31"/>
          <c:order val="2"/>
          <c:tx>
            <c:strRef>
              <c:f>Entrant_need_figures!$B$121</c:f>
              <c:strCache>
                <c:ptCount val="1"/>
                <c:pt idx="0">
                  <c:v>HISTORY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Entrant_need_figures!$C$121:$N$121</c:f>
              <c:numCache>
                <c:formatCode>#,##0</c:formatCode>
                <c:ptCount val="12"/>
                <c:pt idx="0">
                  <c:v>1364.77471129794</c:v>
                </c:pt>
                <c:pt idx="1">
                  <c:v>1349.6959609004903</c:v>
                </c:pt>
                <c:pt idx="2">
                  <c:v>1429.9252576724452</c:v>
                </c:pt>
                <c:pt idx="3">
                  <c:v>1382.3160766202275</c:v>
                </c:pt>
                <c:pt idx="4">
                  <c:v>1392.7375627500296</c:v>
                </c:pt>
                <c:pt idx="5">
                  <c:v>1399.8785307392218</c:v>
                </c:pt>
                <c:pt idx="6">
                  <c:v>1460.0325367086323</c:v>
                </c:pt>
                <c:pt idx="7">
                  <c:v>1418.9902742584986</c:v>
                </c:pt>
                <c:pt idx="8">
                  <c:v>1363.1619159777106</c:v>
                </c:pt>
                <c:pt idx="9">
                  <c:v>1324.3252678599069</c:v>
                </c:pt>
                <c:pt idx="10">
                  <c:v>1338.8948439444662</c:v>
                </c:pt>
                <c:pt idx="11">
                  <c:v>1348.5708602597178</c:v>
                </c:pt>
              </c:numCache>
            </c:numRef>
          </c:val>
          <c:smooth val="0"/>
          <c:extLst>
            <c:ext xmlns:c16="http://schemas.microsoft.com/office/drawing/2014/chart" uri="{C3380CC4-5D6E-409C-BE32-E72D297353CC}">
              <c16:uniqueId val="{00000002-00DD-44EA-A08B-56633BA49801}"/>
            </c:ext>
          </c:extLst>
        </c:ser>
        <c:ser>
          <c:idx val="11"/>
          <c:order val="3"/>
          <c:tx>
            <c:strRef>
              <c:f>Entrant_need_figures!$B$100</c:f>
              <c:strCache>
                <c:ptCount val="1"/>
                <c:pt idx="0">
                  <c:v>HISTORY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Entrant_need_figures!$C$100:$N$100</c:f>
              <c:numCache>
                <c:formatCode>#,##0</c:formatCode>
                <c:ptCount val="12"/>
                <c:pt idx="0">
                  <c:v>1364.77471129794</c:v>
                </c:pt>
                <c:pt idx="1">
                  <c:v>1349.6959609004903</c:v>
                </c:pt>
                <c:pt idx="2">
                  <c:v>1429.9252576724452</c:v>
                </c:pt>
                <c:pt idx="3">
                  <c:v>1382.3160766202275</c:v>
                </c:pt>
                <c:pt idx="4">
                  <c:v>1392.7375627500296</c:v>
                </c:pt>
                <c:pt idx="5">
                  <c:v>1399.8785307392218</c:v>
                </c:pt>
                <c:pt idx="6">
                  <c:v>1460.0325367086323</c:v>
                </c:pt>
                <c:pt idx="7">
                  <c:v>1418.9902742584986</c:v>
                </c:pt>
                <c:pt idx="8">
                  <c:v>1363.1619159777106</c:v>
                </c:pt>
                <c:pt idx="9">
                  <c:v>1324.3252678599069</c:v>
                </c:pt>
                <c:pt idx="10">
                  <c:v>1338.8948439444662</c:v>
                </c:pt>
                <c:pt idx="11">
                  <c:v>1348.5708602597178</c:v>
                </c:pt>
              </c:numCache>
            </c:numRef>
          </c:val>
          <c:smooth val="0"/>
          <c:extLst>
            <c:ext xmlns:c16="http://schemas.microsoft.com/office/drawing/2014/chart" uri="{C3380CC4-5D6E-409C-BE32-E72D297353CC}">
              <c16:uniqueId val="{00000003-00DD-44EA-A08B-56633BA49801}"/>
            </c:ext>
          </c:extLst>
        </c:ser>
        <c:ser>
          <c:idx val="38"/>
          <c:order val="4"/>
          <c:tx>
            <c:strRef>
              <c:f>Entrant_need_figures!$B$128</c:f>
              <c:strCache>
                <c:ptCount val="1"/>
                <c:pt idx="0">
                  <c:v>RELIGIOUS EDUCATION All Central Scenario</c:v>
                </c:pt>
              </c:strCache>
            </c:strRef>
          </c:tx>
          <c:spPr>
            <a:ln>
              <a:solidFill>
                <a:srgbClr val="92D05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Entrant_need_figures!$C$128:$N$128</c:f>
              <c:numCache>
                <c:formatCode>#,##0</c:formatCode>
                <c:ptCount val="12"/>
                <c:pt idx="0">
                  <c:v>734.82659603874527</c:v>
                </c:pt>
                <c:pt idx="1">
                  <c:v>775.45274589812868</c:v>
                </c:pt>
                <c:pt idx="2">
                  <c:v>852.8668848079551</c:v>
                </c:pt>
                <c:pt idx="3">
                  <c:v>790.2736495792492</c:v>
                </c:pt>
                <c:pt idx="4">
                  <c:v>770.77904959115835</c:v>
                </c:pt>
                <c:pt idx="5">
                  <c:v>748.88929111053517</c:v>
                </c:pt>
                <c:pt idx="6">
                  <c:v>784.70919348457733</c:v>
                </c:pt>
                <c:pt idx="7">
                  <c:v>809.95159007221469</c:v>
                </c:pt>
                <c:pt idx="8">
                  <c:v>780.58041217902382</c:v>
                </c:pt>
                <c:pt idx="9">
                  <c:v>759.19143744454823</c:v>
                </c:pt>
                <c:pt idx="10">
                  <c:v>762.90701692772961</c:v>
                </c:pt>
                <c:pt idx="11">
                  <c:v>758.52688203280672</c:v>
                </c:pt>
              </c:numCache>
            </c:numRef>
          </c:val>
          <c:smooth val="0"/>
          <c:extLst>
            <c:ext xmlns:c16="http://schemas.microsoft.com/office/drawing/2014/chart" uri="{C3380CC4-5D6E-409C-BE32-E72D297353CC}">
              <c16:uniqueId val="{00000004-00DD-44EA-A08B-56633BA49801}"/>
            </c:ext>
          </c:extLst>
        </c:ser>
        <c:ser>
          <c:idx val="18"/>
          <c:order val="5"/>
          <c:tx>
            <c:strRef>
              <c:f>Entrant_need_figures!$B$107</c:f>
              <c:strCache>
                <c:ptCount val="1"/>
                <c:pt idx="0">
                  <c:v>RELIGIOUS EDUCATION Scenario Selected</c:v>
                </c:pt>
              </c:strCache>
            </c:strRef>
          </c:tx>
          <c:spPr>
            <a:ln>
              <a:solidFill>
                <a:srgbClr val="92D05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Entrant_need_figures!$C$107:$N$107</c:f>
              <c:numCache>
                <c:formatCode>#,##0</c:formatCode>
                <c:ptCount val="12"/>
                <c:pt idx="0">
                  <c:v>734.82659603874527</c:v>
                </c:pt>
                <c:pt idx="1">
                  <c:v>775.45274589812868</c:v>
                </c:pt>
                <c:pt idx="2">
                  <c:v>852.8668848079551</c:v>
                </c:pt>
                <c:pt idx="3">
                  <c:v>790.2736495792492</c:v>
                </c:pt>
                <c:pt idx="4">
                  <c:v>770.77904959115835</c:v>
                </c:pt>
                <c:pt idx="5">
                  <c:v>748.88929111053517</c:v>
                </c:pt>
                <c:pt idx="6">
                  <c:v>784.70919348457733</c:v>
                </c:pt>
                <c:pt idx="7">
                  <c:v>809.95159007221469</c:v>
                </c:pt>
                <c:pt idx="8">
                  <c:v>780.58041217902382</c:v>
                </c:pt>
                <c:pt idx="9">
                  <c:v>759.19143744454823</c:v>
                </c:pt>
                <c:pt idx="10">
                  <c:v>762.90701692772961</c:v>
                </c:pt>
                <c:pt idx="11">
                  <c:v>758.52688203280672</c:v>
                </c:pt>
              </c:numCache>
            </c:numRef>
          </c:val>
          <c:smooth val="0"/>
          <c:extLst>
            <c:ext xmlns:c16="http://schemas.microsoft.com/office/drawing/2014/chart" uri="{C3380CC4-5D6E-409C-BE32-E72D297353CC}">
              <c16:uniqueId val="{00000005-00DD-44EA-A08B-56633BA49801}"/>
            </c:ext>
          </c:extLst>
        </c:ser>
        <c:dLbls>
          <c:showLegendKey val="0"/>
          <c:showVal val="0"/>
          <c:showCatName val="0"/>
          <c:showSerName val="0"/>
          <c:showPercent val="0"/>
          <c:showBubbleSize val="0"/>
        </c:dLbls>
        <c:smooth val="0"/>
        <c:axId val="148982400"/>
        <c:axId val="148992384"/>
      </c:lineChart>
      <c:catAx>
        <c:axId val="148982400"/>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992384"/>
        <c:crosses val="autoZero"/>
        <c:auto val="1"/>
        <c:lblAlgn val="ctr"/>
        <c:lblOffset val="100"/>
        <c:noMultiLvlLbl val="0"/>
      </c:catAx>
      <c:valAx>
        <c:axId val="1489923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982400"/>
        <c:crosses val="autoZero"/>
        <c:crossBetween val="between"/>
      </c:valAx>
      <c:spPr>
        <a:ln>
          <a:solidFill>
            <a:schemeClr val="tx1">
              <a:lumMod val="95000"/>
              <a:lumOff val="5000"/>
            </a:schemeClr>
          </a:solidFill>
        </a:ln>
      </c:spPr>
    </c:plotArea>
    <c:legend>
      <c:legendPos val="r"/>
      <c:layout>
        <c:manualLayout>
          <c:xMode val="edge"/>
          <c:yMode val="edge"/>
          <c:x val="0.69547094364882245"/>
          <c:y val="4.6712984406360972E-2"/>
          <c:w val="0.28187972308830522"/>
          <c:h val="0.840830449826989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1423840769903762"/>
          <c:y val="0.12283573928258967"/>
          <c:w val="0.56710672471401824"/>
          <c:h val="0.69329177602799663"/>
        </c:manualLayout>
      </c:layout>
      <c:lineChart>
        <c:grouping val="standard"/>
        <c:varyColors val="0"/>
        <c:ser>
          <c:idx val="26"/>
          <c:order val="0"/>
          <c:tx>
            <c:strRef>
              <c:f>Entrant_need_figures!$B$115</c:f>
              <c:strCache>
                <c:ptCount val="1"/>
                <c:pt idx="0">
                  <c:v>COMPUTING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Entrant_need_figures!$C$115:$N$115</c:f>
              <c:numCache>
                <c:formatCode>#,##0</c:formatCode>
                <c:ptCount val="12"/>
                <c:pt idx="0">
                  <c:v>726.8391924291152</c:v>
                </c:pt>
                <c:pt idx="1">
                  <c:v>798.98281434623186</c:v>
                </c:pt>
                <c:pt idx="2">
                  <c:v>849.5530840155069</c:v>
                </c:pt>
                <c:pt idx="3">
                  <c:v>844.93124682941277</c:v>
                </c:pt>
                <c:pt idx="4">
                  <c:v>839.10513198124454</c:v>
                </c:pt>
                <c:pt idx="5">
                  <c:v>830.43403446102116</c:v>
                </c:pt>
                <c:pt idx="6">
                  <c:v>866.20808629718908</c:v>
                </c:pt>
                <c:pt idx="7">
                  <c:v>895.77096529902212</c:v>
                </c:pt>
                <c:pt idx="8">
                  <c:v>871.30663630882373</c:v>
                </c:pt>
                <c:pt idx="9">
                  <c:v>853.19202001778842</c:v>
                </c:pt>
                <c:pt idx="10">
                  <c:v>854.05866612700709</c:v>
                </c:pt>
                <c:pt idx="11">
                  <c:v>846.76230438501386</c:v>
                </c:pt>
              </c:numCache>
            </c:numRef>
          </c:val>
          <c:smooth val="0"/>
          <c:extLst>
            <c:ext xmlns:c16="http://schemas.microsoft.com/office/drawing/2014/chart" uri="{C3380CC4-5D6E-409C-BE32-E72D297353CC}">
              <c16:uniqueId val="{00000000-3526-4487-A2BF-65FD885EE21A}"/>
            </c:ext>
          </c:extLst>
        </c:ser>
        <c:ser>
          <c:idx val="6"/>
          <c:order val="1"/>
          <c:tx>
            <c:strRef>
              <c:f>Entrant_need_figures!$B$94</c:f>
              <c:strCache>
                <c:ptCount val="1"/>
                <c:pt idx="0">
                  <c:v>COMPUTING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Entrant_need_figures!$C$94:$N$94</c:f>
              <c:numCache>
                <c:formatCode>#,##0</c:formatCode>
                <c:ptCount val="12"/>
                <c:pt idx="0">
                  <c:v>726.8391924291152</c:v>
                </c:pt>
                <c:pt idx="1">
                  <c:v>798.98281434623186</c:v>
                </c:pt>
                <c:pt idx="2">
                  <c:v>849.5530840155069</c:v>
                </c:pt>
                <c:pt idx="3">
                  <c:v>844.93124682941277</c:v>
                </c:pt>
                <c:pt idx="4">
                  <c:v>839.10513198124454</c:v>
                </c:pt>
                <c:pt idx="5">
                  <c:v>830.43403446102116</c:v>
                </c:pt>
                <c:pt idx="6">
                  <c:v>866.20808629718908</c:v>
                </c:pt>
                <c:pt idx="7">
                  <c:v>895.77096529902212</c:v>
                </c:pt>
                <c:pt idx="8">
                  <c:v>871.30663630882373</c:v>
                </c:pt>
                <c:pt idx="9">
                  <c:v>853.19202001778842</c:v>
                </c:pt>
                <c:pt idx="10">
                  <c:v>854.05866612700709</c:v>
                </c:pt>
                <c:pt idx="11">
                  <c:v>846.76230438501386</c:v>
                </c:pt>
              </c:numCache>
            </c:numRef>
          </c:val>
          <c:smooth val="0"/>
          <c:extLst>
            <c:ext xmlns:c16="http://schemas.microsoft.com/office/drawing/2014/chart" uri="{C3380CC4-5D6E-409C-BE32-E72D297353CC}">
              <c16:uniqueId val="{00000001-3526-4487-A2BF-65FD885EE21A}"/>
            </c:ext>
          </c:extLst>
        </c:ser>
        <c:ser>
          <c:idx val="27"/>
          <c:order val="2"/>
          <c:tx>
            <c:strRef>
              <c:f>Entrant_need_figures!$B$116</c:f>
              <c:strCache>
                <c:ptCount val="1"/>
                <c:pt idx="0">
                  <c:v>DESIGN &amp; TECHNOLOGY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Entrant_need_figures!$C$116:$N$116</c:f>
              <c:numCache>
                <c:formatCode>#,##0</c:formatCode>
                <c:ptCount val="12"/>
                <c:pt idx="0">
                  <c:v>1130.059481511199</c:v>
                </c:pt>
                <c:pt idx="1">
                  <c:v>1136.4889128051518</c:v>
                </c:pt>
                <c:pt idx="2">
                  <c:v>1227.1310065905341</c:v>
                </c:pt>
                <c:pt idx="3">
                  <c:v>1132.6973385679771</c:v>
                </c:pt>
                <c:pt idx="4">
                  <c:v>1085.9582077587156</c:v>
                </c:pt>
                <c:pt idx="5">
                  <c:v>1031.3375413810672</c:v>
                </c:pt>
                <c:pt idx="6">
                  <c:v>1085.8267330096287</c:v>
                </c:pt>
                <c:pt idx="7">
                  <c:v>1109.2640720591962</c:v>
                </c:pt>
                <c:pt idx="8">
                  <c:v>1038.1804283531726</c:v>
                </c:pt>
                <c:pt idx="9">
                  <c:v>993.8968103459481</c:v>
                </c:pt>
                <c:pt idx="10">
                  <c:v>1027.7988411684194</c:v>
                </c:pt>
                <c:pt idx="11">
                  <c:v>1047.6172776083695</c:v>
                </c:pt>
              </c:numCache>
            </c:numRef>
          </c:val>
          <c:smooth val="0"/>
          <c:extLst>
            <c:ext xmlns:c16="http://schemas.microsoft.com/office/drawing/2014/chart" uri="{C3380CC4-5D6E-409C-BE32-E72D297353CC}">
              <c16:uniqueId val="{00000002-3526-4487-A2BF-65FD885EE21A}"/>
            </c:ext>
          </c:extLst>
        </c:ser>
        <c:ser>
          <c:idx val="7"/>
          <c:order val="3"/>
          <c:tx>
            <c:strRef>
              <c:f>Entrant_need_figures!$B$95</c:f>
              <c:strCache>
                <c:ptCount val="1"/>
                <c:pt idx="0">
                  <c:v>DESIGN &amp; TECHNOLOGY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Entrant_need_figures!$C$95:$N$95</c:f>
              <c:numCache>
                <c:formatCode>#,##0</c:formatCode>
                <c:ptCount val="12"/>
                <c:pt idx="0">
                  <c:v>1130.059481511199</c:v>
                </c:pt>
                <c:pt idx="1">
                  <c:v>1136.4889128051518</c:v>
                </c:pt>
                <c:pt idx="2">
                  <c:v>1227.1310065905341</c:v>
                </c:pt>
                <c:pt idx="3">
                  <c:v>1132.6973385679771</c:v>
                </c:pt>
                <c:pt idx="4">
                  <c:v>1085.9582077587156</c:v>
                </c:pt>
                <c:pt idx="5">
                  <c:v>1031.3375413810672</c:v>
                </c:pt>
                <c:pt idx="6">
                  <c:v>1085.8267330096287</c:v>
                </c:pt>
                <c:pt idx="7">
                  <c:v>1109.2640720591962</c:v>
                </c:pt>
                <c:pt idx="8">
                  <c:v>1038.1804283531726</c:v>
                </c:pt>
                <c:pt idx="9">
                  <c:v>993.8968103459481</c:v>
                </c:pt>
                <c:pt idx="10">
                  <c:v>1027.7988411684194</c:v>
                </c:pt>
                <c:pt idx="11">
                  <c:v>1047.6172776083695</c:v>
                </c:pt>
              </c:numCache>
            </c:numRef>
          </c:val>
          <c:smooth val="0"/>
          <c:extLst>
            <c:ext xmlns:c16="http://schemas.microsoft.com/office/drawing/2014/chart" uri="{C3380CC4-5D6E-409C-BE32-E72D297353CC}">
              <c16:uniqueId val="{00000003-3526-4487-A2BF-65FD885EE21A}"/>
            </c:ext>
          </c:extLst>
        </c:ser>
        <c:ser>
          <c:idx val="0"/>
          <c:order val="4"/>
          <c:tx>
            <c:strRef>
              <c:f>Entrant_need_figures!$B$119</c:f>
              <c:strCache>
                <c:ptCount val="1"/>
                <c:pt idx="0">
                  <c:v>FOOD All Central Scenario</c:v>
                </c:pt>
              </c:strCache>
            </c:strRef>
          </c:tx>
          <c:spPr>
            <a:ln>
              <a:solidFill>
                <a:srgbClr val="92D050"/>
              </a:solidFill>
            </a:ln>
          </c:spPr>
          <c:marker>
            <c:symbol val="none"/>
          </c:marker>
          <c:val>
            <c:numRef>
              <c:f>Entrant_need_figures!$C$119:$N$119</c:f>
              <c:numCache>
                <c:formatCode>#,##0</c:formatCode>
                <c:ptCount val="12"/>
                <c:pt idx="0">
                  <c:v>211.65522159252305</c:v>
                </c:pt>
                <c:pt idx="1">
                  <c:v>247.51398484695662</c:v>
                </c:pt>
                <c:pt idx="2">
                  <c:v>251.74490173817554</c:v>
                </c:pt>
                <c:pt idx="3">
                  <c:v>240.61649632089893</c:v>
                </c:pt>
                <c:pt idx="4">
                  <c:v>233.25587048205455</c:v>
                </c:pt>
                <c:pt idx="5">
                  <c:v>226.43315005231881</c:v>
                </c:pt>
                <c:pt idx="6">
                  <c:v>228.80543781333409</c:v>
                </c:pt>
                <c:pt idx="7">
                  <c:v>232.76402047188006</c:v>
                </c:pt>
                <c:pt idx="8">
                  <c:v>230.01971707030845</c:v>
                </c:pt>
                <c:pt idx="9">
                  <c:v>224.70832375317298</c:v>
                </c:pt>
                <c:pt idx="10">
                  <c:v>213.76448213734329</c:v>
                </c:pt>
                <c:pt idx="11">
                  <c:v>202.24770673036528</c:v>
                </c:pt>
              </c:numCache>
            </c:numRef>
          </c:val>
          <c:smooth val="0"/>
          <c:extLst>
            <c:ext xmlns:c16="http://schemas.microsoft.com/office/drawing/2014/chart" uri="{C3380CC4-5D6E-409C-BE32-E72D297353CC}">
              <c16:uniqueId val="{00000004-3526-4487-A2BF-65FD885EE21A}"/>
            </c:ext>
          </c:extLst>
        </c:ser>
        <c:ser>
          <c:idx val="1"/>
          <c:order val="5"/>
          <c:tx>
            <c:strRef>
              <c:f>Entrant_need_figures!$B$98</c:f>
              <c:strCache>
                <c:ptCount val="1"/>
                <c:pt idx="0">
                  <c:v>FOOD Scenario Selected</c:v>
                </c:pt>
              </c:strCache>
            </c:strRef>
          </c:tx>
          <c:spPr>
            <a:ln>
              <a:solidFill>
                <a:srgbClr val="92D050"/>
              </a:solidFill>
              <a:prstDash val="sysDot"/>
            </a:ln>
          </c:spPr>
          <c:marker>
            <c:symbol val="none"/>
          </c:marker>
          <c:val>
            <c:numRef>
              <c:f>Entrant_need_figures!$C$98:$N$98</c:f>
              <c:numCache>
                <c:formatCode>#,##0</c:formatCode>
                <c:ptCount val="12"/>
                <c:pt idx="0">
                  <c:v>211.65522159252305</c:v>
                </c:pt>
                <c:pt idx="1">
                  <c:v>247.51398484695662</c:v>
                </c:pt>
                <c:pt idx="2">
                  <c:v>251.74490173817554</c:v>
                </c:pt>
                <c:pt idx="3">
                  <c:v>240.61649632089893</c:v>
                </c:pt>
                <c:pt idx="4">
                  <c:v>233.25587048205455</c:v>
                </c:pt>
                <c:pt idx="5">
                  <c:v>226.43315005231881</c:v>
                </c:pt>
                <c:pt idx="6">
                  <c:v>228.80543781333409</c:v>
                </c:pt>
                <c:pt idx="7">
                  <c:v>232.76402047188006</c:v>
                </c:pt>
                <c:pt idx="8">
                  <c:v>230.01971707030845</c:v>
                </c:pt>
                <c:pt idx="9">
                  <c:v>224.70832375317298</c:v>
                </c:pt>
                <c:pt idx="10">
                  <c:v>213.76448213734329</c:v>
                </c:pt>
                <c:pt idx="11">
                  <c:v>202.24770673036528</c:v>
                </c:pt>
              </c:numCache>
            </c:numRef>
          </c:val>
          <c:smooth val="0"/>
          <c:extLst>
            <c:ext xmlns:c16="http://schemas.microsoft.com/office/drawing/2014/chart" uri="{C3380CC4-5D6E-409C-BE32-E72D297353CC}">
              <c16:uniqueId val="{00000005-3526-4487-A2BF-65FD885EE21A}"/>
            </c:ext>
          </c:extLst>
        </c:ser>
        <c:dLbls>
          <c:showLegendKey val="0"/>
          <c:showVal val="0"/>
          <c:showCatName val="0"/>
          <c:showSerName val="0"/>
          <c:showPercent val="0"/>
          <c:showBubbleSize val="0"/>
        </c:dLbls>
        <c:smooth val="0"/>
        <c:axId val="149101184"/>
        <c:axId val="149115264"/>
      </c:lineChart>
      <c:catAx>
        <c:axId val="14910118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15264"/>
        <c:crosses val="autoZero"/>
        <c:auto val="1"/>
        <c:lblAlgn val="ctr"/>
        <c:lblOffset val="100"/>
        <c:noMultiLvlLbl val="0"/>
      </c:catAx>
      <c:valAx>
        <c:axId val="14911526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01184"/>
        <c:crosses val="autoZero"/>
        <c:crossBetween val="between"/>
      </c:valAx>
      <c:spPr>
        <a:ln>
          <a:solidFill>
            <a:schemeClr val="tx1">
              <a:lumMod val="95000"/>
              <a:lumOff val="5000"/>
            </a:schemeClr>
          </a:solidFill>
        </a:ln>
      </c:spPr>
    </c:plotArea>
    <c:legend>
      <c:legendPos val="r"/>
      <c:layout>
        <c:manualLayout>
          <c:xMode val="edge"/>
          <c:yMode val="edge"/>
          <c:x val="0.69656331253719206"/>
          <c:y val="6.4460113217555126E-2"/>
          <c:w val="0.27912831155244511"/>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1423840769903762"/>
          <c:y val="0.12283573928258967"/>
          <c:w val="0.57269959191744868"/>
          <c:h val="0.69329177602799663"/>
        </c:manualLayout>
      </c:layout>
      <c:lineChart>
        <c:grouping val="standard"/>
        <c:varyColors val="0"/>
        <c:ser>
          <c:idx val="23"/>
          <c:order val="0"/>
          <c:tx>
            <c:strRef>
              <c:f>Entrant_need_figures!$B$112</c:f>
              <c:strCache>
                <c:ptCount val="1"/>
                <c:pt idx="0">
                  <c:v>BUSINESS STUDIES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Entrant_need_figures!$C$112:$N$112</c:f>
              <c:numCache>
                <c:formatCode>#,##0</c:formatCode>
                <c:ptCount val="12"/>
                <c:pt idx="0">
                  <c:v>263.62978834821001</c:v>
                </c:pt>
                <c:pt idx="1">
                  <c:v>325.98949134777433</c:v>
                </c:pt>
                <c:pt idx="2">
                  <c:v>350.31454337488356</c:v>
                </c:pt>
                <c:pt idx="3">
                  <c:v>390.35531929413946</c:v>
                </c:pt>
                <c:pt idx="4">
                  <c:v>411.44000433118822</c:v>
                </c:pt>
                <c:pt idx="5">
                  <c:v>438.36399742982371</c:v>
                </c:pt>
                <c:pt idx="6">
                  <c:v>447.70601254435428</c:v>
                </c:pt>
                <c:pt idx="7">
                  <c:v>474.16465472315019</c:v>
                </c:pt>
                <c:pt idx="8">
                  <c:v>478.95539419864724</c:v>
                </c:pt>
                <c:pt idx="9">
                  <c:v>478.62768453066838</c:v>
                </c:pt>
                <c:pt idx="10">
                  <c:v>451.55981802731083</c:v>
                </c:pt>
                <c:pt idx="11">
                  <c:v>421.64472626529425</c:v>
                </c:pt>
              </c:numCache>
            </c:numRef>
          </c:val>
          <c:smooth val="0"/>
          <c:extLst>
            <c:ext xmlns:c16="http://schemas.microsoft.com/office/drawing/2014/chart" uri="{C3380CC4-5D6E-409C-BE32-E72D297353CC}">
              <c16:uniqueId val="{00000000-AA35-413D-AB55-D79D431F8ACD}"/>
            </c:ext>
          </c:extLst>
        </c:ser>
        <c:ser>
          <c:idx val="3"/>
          <c:order val="1"/>
          <c:tx>
            <c:strRef>
              <c:f>Entrant_need_figures!$B$91</c:f>
              <c:strCache>
                <c:ptCount val="1"/>
                <c:pt idx="0">
                  <c:v>BUSINESS STUDIES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Entrant_need_figures!$C$91:$N$91</c:f>
              <c:numCache>
                <c:formatCode>#,##0</c:formatCode>
                <c:ptCount val="12"/>
                <c:pt idx="0">
                  <c:v>263.62978834821001</c:v>
                </c:pt>
                <c:pt idx="1">
                  <c:v>325.98949134777433</c:v>
                </c:pt>
                <c:pt idx="2">
                  <c:v>350.31454337488356</c:v>
                </c:pt>
                <c:pt idx="3">
                  <c:v>390.35531929413946</c:v>
                </c:pt>
                <c:pt idx="4">
                  <c:v>411.44000433118822</c:v>
                </c:pt>
                <c:pt idx="5">
                  <c:v>438.36399742982371</c:v>
                </c:pt>
                <c:pt idx="6">
                  <c:v>447.70601254435428</c:v>
                </c:pt>
                <c:pt idx="7">
                  <c:v>474.16465472315019</c:v>
                </c:pt>
                <c:pt idx="8">
                  <c:v>478.95539419864724</c:v>
                </c:pt>
                <c:pt idx="9">
                  <c:v>478.62768453066838</c:v>
                </c:pt>
                <c:pt idx="10">
                  <c:v>451.55981802731083</c:v>
                </c:pt>
                <c:pt idx="11">
                  <c:v>421.64472626529425</c:v>
                </c:pt>
              </c:numCache>
            </c:numRef>
          </c:val>
          <c:smooth val="0"/>
          <c:extLst>
            <c:ext xmlns:c16="http://schemas.microsoft.com/office/drawing/2014/chart" uri="{C3380CC4-5D6E-409C-BE32-E72D297353CC}">
              <c16:uniqueId val="{00000001-AA35-413D-AB55-D79D431F8ACD}"/>
            </c:ext>
          </c:extLst>
        </c:ser>
        <c:ser>
          <c:idx val="35"/>
          <c:order val="2"/>
          <c:tx>
            <c:strRef>
              <c:f>Entrant_need_figures!$B$125</c:f>
              <c:strCache>
                <c:ptCount val="1"/>
                <c:pt idx="0">
                  <c:v>OTHERS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Entrant_need_figures!$C$125:$N$125</c:f>
              <c:numCache>
                <c:formatCode>#,##0</c:formatCode>
                <c:ptCount val="12"/>
                <c:pt idx="0">
                  <c:v>1131.1011987364636</c:v>
                </c:pt>
                <c:pt idx="1">
                  <c:v>1198.8933853926105</c:v>
                </c:pt>
                <c:pt idx="2">
                  <c:v>1264.3565472365167</c:v>
                </c:pt>
                <c:pt idx="3">
                  <c:v>1377.9092822831963</c:v>
                </c:pt>
                <c:pt idx="4">
                  <c:v>1413.5017519635107</c:v>
                </c:pt>
                <c:pt idx="5">
                  <c:v>1462.5731267228691</c:v>
                </c:pt>
                <c:pt idx="6">
                  <c:v>1525.9826662785176</c:v>
                </c:pt>
                <c:pt idx="7">
                  <c:v>1613.5958028829023</c:v>
                </c:pt>
                <c:pt idx="8">
                  <c:v>1569.9845382695837</c:v>
                </c:pt>
                <c:pt idx="9">
                  <c:v>1547.239578620575</c:v>
                </c:pt>
                <c:pt idx="10">
                  <c:v>1536.6335222337812</c:v>
                </c:pt>
                <c:pt idx="11">
                  <c:v>1506.4647503886572</c:v>
                </c:pt>
              </c:numCache>
            </c:numRef>
          </c:val>
          <c:smooth val="0"/>
          <c:extLst>
            <c:ext xmlns:c16="http://schemas.microsoft.com/office/drawing/2014/chart" uri="{C3380CC4-5D6E-409C-BE32-E72D297353CC}">
              <c16:uniqueId val="{00000002-AA35-413D-AB55-D79D431F8ACD}"/>
            </c:ext>
          </c:extLst>
        </c:ser>
        <c:ser>
          <c:idx val="15"/>
          <c:order val="3"/>
          <c:tx>
            <c:strRef>
              <c:f>Entrant_need_figures!$B$104</c:f>
              <c:strCache>
                <c:ptCount val="1"/>
                <c:pt idx="0">
                  <c:v>OTHERS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Entrant_need_figures!$C$104:$N$104</c:f>
              <c:numCache>
                <c:formatCode>#,##0</c:formatCode>
                <c:ptCount val="12"/>
                <c:pt idx="0">
                  <c:v>1131.1011987364636</c:v>
                </c:pt>
                <c:pt idx="1">
                  <c:v>1198.8933853926105</c:v>
                </c:pt>
                <c:pt idx="2">
                  <c:v>1264.3565472365167</c:v>
                </c:pt>
                <c:pt idx="3">
                  <c:v>1377.9092822831963</c:v>
                </c:pt>
                <c:pt idx="4">
                  <c:v>1413.5017519635107</c:v>
                </c:pt>
                <c:pt idx="5">
                  <c:v>1462.5731267228691</c:v>
                </c:pt>
                <c:pt idx="6">
                  <c:v>1525.9826662785176</c:v>
                </c:pt>
                <c:pt idx="7">
                  <c:v>1613.5958028829023</c:v>
                </c:pt>
                <c:pt idx="8">
                  <c:v>1569.9845382695837</c:v>
                </c:pt>
                <c:pt idx="9">
                  <c:v>1547.239578620575</c:v>
                </c:pt>
                <c:pt idx="10">
                  <c:v>1536.6335222337812</c:v>
                </c:pt>
                <c:pt idx="11">
                  <c:v>1506.4647503886572</c:v>
                </c:pt>
              </c:numCache>
            </c:numRef>
          </c:val>
          <c:smooth val="0"/>
          <c:extLst>
            <c:ext xmlns:c16="http://schemas.microsoft.com/office/drawing/2014/chart" uri="{C3380CC4-5D6E-409C-BE32-E72D297353CC}">
              <c16:uniqueId val="{00000003-AA35-413D-AB55-D79D431F8ACD}"/>
            </c:ext>
          </c:extLst>
        </c:ser>
        <c:ser>
          <c:idx val="36"/>
          <c:order val="4"/>
          <c:tx>
            <c:strRef>
              <c:f>Entrant_need_figures!$B$126</c:f>
              <c:strCache>
                <c:ptCount val="1"/>
                <c:pt idx="0">
                  <c:v>PHYSICAL EDUCATION All Central Scenario</c:v>
                </c:pt>
              </c:strCache>
            </c:strRef>
          </c:tx>
          <c:spPr>
            <a:ln>
              <a:solidFill>
                <a:srgbClr val="92D05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Entrant_need_figures!$C$126:$N$126</c:f>
              <c:numCache>
                <c:formatCode>#,##0</c:formatCode>
                <c:ptCount val="12"/>
                <c:pt idx="0">
                  <c:v>1350.1164811655508</c:v>
                </c:pt>
                <c:pt idx="1">
                  <c:v>1562.3252945531117</c:v>
                </c:pt>
                <c:pt idx="2">
                  <c:v>1679.0326689226463</c:v>
                </c:pt>
                <c:pt idx="3">
                  <c:v>1629.075240799119</c:v>
                </c:pt>
                <c:pt idx="4">
                  <c:v>1602.299641891789</c:v>
                </c:pt>
                <c:pt idx="5">
                  <c:v>1567.9642153906434</c:v>
                </c:pt>
                <c:pt idx="6">
                  <c:v>1663.5606074572115</c:v>
                </c:pt>
                <c:pt idx="7">
                  <c:v>1732.974984164634</c:v>
                </c:pt>
                <c:pt idx="8">
                  <c:v>1686.6330032076307</c:v>
                </c:pt>
                <c:pt idx="9">
                  <c:v>1651.8813715740948</c:v>
                </c:pt>
                <c:pt idx="10">
                  <c:v>1663.8085145874102</c:v>
                </c:pt>
                <c:pt idx="11">
                  <c:v>1657.3922422394267</c:v>
                </c:pt>
              </c:numCache>
            </c:numRef>
          </c:val>
          <c:smooth val="0"/>
          <c:extLst>
            <c:ext xmlns:c16="http://schemas.microsoft.com/office/drawing/2014/chart" uri="{C3380CC4-5D6E-409C-BE32-E72D297353CC}">
              <c16:uniqueId val="{00000004-AA35-413D-AB55-D79D431F8ACD}"/>
            </c:ext>
          </c:extLst>
        </c:ser>
        <c:ser>
          <c:idx val="16"/>
          <c:order val="5"/>
          <c:tx>
            <c:strRef>
              <c:f>Entrant_need_figures!$B$105</c:f>
              <c:strCache>
                <c:ptCount val="1"/>
                <c:pt idx="0">
                  <c:v>PHYSICAL EDUCATION Scenario Selected</c:v>
                </c:pt>
              </c:strCache>
            </c:strRef>
          </c:tx>
          <c:spPr>
            <a:ln>
              <a:solidFill>
                <a:srgbClr val="92D05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Entrant_need_figures!$C$105:$N$105</c:f>
              <c:numCache>
                <c:formatCode>#,##0</c:formatCode>
                <c:ptCount val="12"/>
                <c:pt idx="0">
                  <c:v>1350.1164811655508</c:v>
                </c:pt>
                <c:pt idx="1">
                  <c:v>1562.3252945531117</c:v>
                </c:pt>
                <c:pt idx="2">
                  <c:v>1679.0326689226463</c:v>
                </c:pt>
                <c:pt idx="3">
                  <c:v>1629.075240799119</c:v>
                </c:pt>
                <c:pt idx="4">
                  <c:v>1602.299641891789</c:v>
                </c:pt>
                <c:pt idx="5">
                  <c:v>1567.9642153906434</c:v>
                </c:pt>
                <c:pt idx="6">
                  <c:v>1663.5606074572115</c:v>
                </c:pt>
                <c:pt idx="7">
                  <c:v>1732.974984164634</c:v>
                </c:pt>
                <c:pt idx="8">
                  <c:v>1686.6330032076307</c:v>
                </c:pt>
                <c:pt idx="9">
                  <c:v>1651.8813715740948</c:v>
                </c:pt>
                <c:pt idx="10">
                  <c:v>1663.8085145874102</c:v>
                </c:pt>
                <c:pt idx="11">
                  <c:v>1657.3922422394267</c:v>
                </c:pt>
              </c:numCache>
            </c:numRef>
          </c:val>
          <c:smooth val="0"/>
          <c:extLst>
            <c:ext xmlns:c16="http://schemas.microsoft.com/office/drawing/2014/chart" uri="{C3380CC4-5D6E-409C-BE32-E72D297353CC}">
              <c16:uniqueId val="{00000005-AA35-413D-AB55-D79D431F8ACD}"/>
            </c:ext>
          </c:extLst>
        </c:ser>
        <c:dLbls>
          <c:showLegendKey val="0"/>
          <c:showVal val="0"/>
          <c:showCatName val="0"/>
          <c:showSerName val="0"/>
          <c:showPercent val="0"/>
          <c:showBubbleSize val="0"/>
        </c:dLbls>
        <c:smooth val="0"/>
        <c:axId val="149154432"/>
        <c:axId val="149164416"/>
      </c:lineChart>
      <c:catAx>
        <c:axId val="14915443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64416"/>
        <c:crosses val="autoZero"/>
        <c:auto val="1"/>
        <c:lblAlgn val="ctr"/>
        <c:lblOffset val="100"/>
        <c:noMultiLvlLbl val="0"/>
      </c:catAx>
      <c:valAx>
        <c:axId val="1491644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54432"/>
        <c:crosses val="autoZero"/>
        <c:crossBetween val="between"/>
      </c:valAx>
      <c:spPr>
        <a:ln>
          <a:solidFill>
            <a:schemeClr val="tx1">
              <a:lumMod val="95000"/>
              <a:lumOff val="5000"/>
            </a:schemeClr>
          </a:solidFill>
        </a:ln>
      </c:spPr>
    </c:plotArea>
    <c:legend>
      <c:legendPos val="r"/>
      <c:layout>
        <c:manualLayout>
          <c:xMode val="edge"/>
          <c:yMode val="edge"/>
          <c:x val="0.70469921964452431"/>
          <c:y val="6.6202456400267035E-2"/>
          <c:w val="0.27265144709260336"/>
          <c:h val="0.8850203480662478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BY PHASE</a:t>
            </a:r>
          </a:p>
        </c:rich>
      </c:tx>
      <c:layout/>
      <c:overlay val="0"/>
    </c:title>
    <c:autoTitleDeleted val="0"/>
    <c:plotArea>
      <c:layout>
        <c:manualLayout>
          <c:layoutTarget val="inner"/>
          <c:xMode val="edge"/>
          <c:yMode val="edge"/>
          <c:x val="0.12832174103237096"/>
          <c:y val="0.10612277631962672"/>
          <c:w val="0.582133069529297"/>
          <c:h val="0.70456819573156559"/>
        </c:manualLayout>
      </c:layout>
      <c:lineChart>
        <c:grouping val="standard"/>
        <c:varyColors val="0"/>
        <c:ser>
          <c:idx val="0"/>
          <c:order val="0"/>
          <c:tx>
            <c:strRef>
              <c:f>Teacher_need_figures!$B$39</c:f>
              <c:strCache>
                <c:ptCount val="1"/>
                <c:pt idx="0">
                  <c:v>PRIMARY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Teacher_need_figures!$C$39:$N$39</c:f>
              <c:numCache>
                <c:formatCode>#,##0</c:formatCode>
                <c:ptCount val="12"/>
                <c:pt idx="0">
                  <c:v>243605.32104784102</c:v>
                </c:pt>
                <c:pt idx="1">
                  <c:v>244269.7542551799</c:v>
                </c:pt>
                <c:pt idx="2">
                  <c:v>244274.82192656255</c:v>
                </c:pt>
                <c:pt idx="3">
                  <c:v>244504.52764222646</c:v>
                </c:pt>
                <c:pt idx="4">
                  <c:v>244565.62003293994</c:v>
                </c:pt>
                <c:pt idx="5">
                  <c:v>244409.39158641128</c:v>
                </c:pt>
                <c:pt idx="6">
                  <c:v>244013.68182205909</c:v>
                </c:pt>
                <c:pt idx="7">
                  <c:v>244249.37361793657</c:v>
                </c:pt>
                <c:pt idx="8">
                  <c:v>244933.35980853782</c:v>
                </c:pt>
                <c:pt idx="9">
                  <c:v>245669.86163246437</c:v>
                </c:pt>
                <c:pt idx="10">
                  <c:v>246231.24083518205</c:v>
                </c:pt>
                <c:pt idx="11">
                  <c:v>246609.75140378298</c:v>
                </c:pt>
              </c:numCache>
            </c:numRef>
          </c:val>
          <c:smooth val="0"/>
          <c:extLst>
            <c:ext xmlns:c16="http://schemas.microsoft.com/office/drawing/2014/chart" uri="{C3380CC4-5D6E-409C-BE32-E72D297353CC}">
              <c16:uniqueId val="{00000000-02F1-4F78-A859-0238FB35BAE9}"/>
            </c:ext>
          </c:extLst>
        </c:ser>
        <c:ser>
          <c:idx val="3"/>
          <c:order val="1"/>
          <c:tx>
            <c:strRef>
              <c:f>Teacher_need_figures!$B$14</c:f>
              <c:strCache>
                <c:ptCount val="1"/>
                <c:pt idx="0">
                  <c:v>PRIMARY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Teacher_need_figures!$C$14:$N$14</c:f>
              <c:numCache>
                <c:formatCode>#,##0</c:formatCode>
                <c:ptCount val="12"/>
                <c:pt idx="0">
                  <c:v>243605.32104784102</c:v>
                </c:pt>
                <c:pt idx="1">
                  <c:v>244269.7542551799</c:v>
                </c:pt>
                <c:pt idx="2">
                  <c:v>244274.82192656255</c:v>
                </c:pt>
                <c:pt idx="3">
                  <c:v>244504.52764222646</c:v>
                </c:pt>
                <c:pt idx="4">
                  <c:v>244565.62003293994</c:v>
                </c:pt>
                <c:pt idx="5">
                  <c:v>244409.39158641128</c:v>
                </c:pt>
                <c:pt idx="6">
                  <c:v>244013.68182205909</c:v>
                </c:pt>
                <c:pt idx="7">
                  <c:v>244249.37361793657</c:v>
                </c:pt>
                <c:pt idx="8">
                  <c:v>244933.35980853782</c:v>
                </c:pt>
                <c:pt idx="9">
                  <c:v>245669.86163246437</c:v>
                </c:pt>
                <c:pt idx="10">
                  <c:v>246231.24083518205</c:v>
                </c:pt>
                <c:pt idx="11">
                  <c:v>246609.75140378298</c:v>
                </c:pt>
              </c:numCache>
            </c:numRef>
          </c:val>
          <c:smooth val="0"/>
          <c:extLst>
            <c:ext xmlns:c16="http://schemas.microsoft.com/office/drawing/2014/chart" uri="{C3380CC4-5D6E-409C-BE32-E72D297353CC}">
              <c16:uniqueId val="{00000001-02F1-4F78-A859-0238FB35BAE9}"/>
            </c:ext>
          </c:extLst>
        </c:ser>
        <c:ser>
          <c:idx val="1"/>
          <c:order val="2"/>
          <c:tx>
            <c:strRef>
              <c:f>Teacher_need_figures!$B$59</c:f>
              <c:strCache>
                <c:ptCount val="1"/>
                <c:pt idx="0">
                  <c:v>SECONDARY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Teacher_need_figures!$C$59:$N$59</c:f>
              <c:numCache>
                <c:formatCode>#,##0</c:formatCode>
                <c:ptCount val="12"/>
                <c:pt idx="0">
                  <c:v>210665.40426618766</c:v>
                </c:pt>
                <c:pt idx="1">
                  <c:v>212698.50385815764</c:v>
                </c:pt>
                <c:pt idx="2">
                  <c:v>214920.23730955189</c:v>
                </c:pt>
                <c:pt idx="3">
                  <c:v>216757.95394379064</c:v>
                </c:pt>
                <c:pt idx="4">
                  <c:v>218697.69007643341</c:v>
                </c:pt>
                <c:pt idx="5">
                  <c:v>220720.5403897037</c:v>
                </c:pt>
                <c:pt idx="6">
                  <c:v>223316.71144763532</c:v>
                </c:pt>
                <c:pt idx="7">
                  <c:v>224901.28331453755</c:v>
                </c:pt>
                <c:pt idx="8">
                  <c:v>225490.18602435637</c:v>
                </c:pt>
                <c:pt idx="9">
                  <c:v>225356.16604052536</c:v>
                </c:pt>
                <c:pt idx="10">
                  <c:v>225081.02798511446</c:v>
                </c:pt>
                <c:pt idx="11">
                  <c:v>224629.97957456802</c:v>
                </c:pt>
              </c:numCache>
            </c:numRef>
          </c:val>
          <c:smooth val="0"/>
          <c:extLst>
            <c:ext xmlns:c16="http://schemas.microsoft.com/office/drawing/2014/chart" uri="{C3380CC4-5D6E-409C-BE32-E72D297353CC}">
              <c16:uniqueId val="{00000002-02F1-4F78-A859-0238FB35BAE9}"/>
            </c:ext>
          </c:extLst>
        </c:ser>
        <c:ser>
          <c:idx val="2"/>
          <c:order val="3"/>
          <c:tx>
            <c:strRef>
              <c:f>Teacher_need_figures!$B$34</c:f>
              <c:strCache>
                <c:ptCount val="1"/>
                <c:pt idx="0">
                  <c:v>SECONDARY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Teacher_need_figures!$C$34:$N$34</c:f>
              <c:numCache>
                <c:formatCode>#,##0</c:formatCode>
                <c:ptCount val="12"/>
                <c:pt idx="0">
                  <c:v>210665.40426618766</c:v>
                </c:pt>
                <c:pt idx="1">
                  <c:v>212698.50385815764</c:v>
                </c:pt>
                <c:pt idx="2">
                  <c:v>214920.23730955189</c:v>
                </c:pt>
                <c:pt idx="3">
                  <c:v>216757.95394379064</c:v>
                </c:pt>
                <c:pt idx="4">
                  <c:v>218697.69007643341</c:v>
                </c:pt>
                <c:pt idx="5">
                  <c:v>220720.5403897037</c:v>
                </c:pt>
                <c:pt idx="6">
                  <c:v>223316.71144763532</c:v>
                </c:pt>
                <c:pt idx="7">
                  <c:v>224901.28331453755</c:v>
                </c:pt>
                <c:pt idx="8">
                  <c:v>225490.18602435637</c:v>
                </c:pt>
                <c:pt idx="9">
                  <c:v>225356.16604052536</c:v>
                </c:pt>
                <c:pt idx="10">
                  <c:v>225081.02798511446</c:v>
                </c:pt>
                <c:pt idx="11">
                  <c:v>224629.97957456802</c:v>
                </c:pt>
              </c:numCache>
            </c:numRef>
          </c:val>
          <c:smooth val="0"/>
          <c:extLst>
            <c:ext xmlns:c16="http://schemas.microsoft.com/office/drawing/2014/chart" uri="{C3380CC4-5D6E-409C-BE32-E72D297353CC}">
              <c16:uniqueId val="{00000003-02F1-4F78-A859-0238FB35BAE9}"/>
            </c:ext>
          </c:extLst>
        </c:ser>
        <c:dLbls>
          <c:showLegendKey val="0"/>
          <c:showVal val="0"/>
          <c:showCatName val="0"/>
          <c:showSerName val="0"/>
          <c:showPercent val="0"/>
          <c:showBubbleSize val="0"/>
        </c:dLbls>
        <c:smooth val="0"/>
        <c:axId val="149566592"/>
        <c:axId val="149568128"/>
      </c:lineChart>
      <c:catAx>
        <c:axId val="14956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68128"/>
        <c:crosses val="autoZero"/>
        <c:auto val="1"/>
        <c:lblAlgn val="ctr"/>
        <c:lblOffset val="100"/>
        <c:noMultiLvlLbl val="0"/>
      </c:catAx>
      <c:valAx>
        <c:axId val="14956812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66592"/>
        <c:crosses val="autoZero"/>
        <c:crossBetween val="between"/>
      </c:valAx>
      <c:spPr>
        <a:ln>
          <a:solidFill>
            <a:schemeClr val="tx1">
              <a:lumMod val="95000"/>
              <a:lumOff val="5000"/>
            </a:schemeClr>
          </a:solidFill>
        </a:ln>
      </c:spPr>
    </c:plotArea>
    <c:legend>
      <c:legendPos val="r"/>
      <c:layout>
        <c:manualLayout>
          <c:xMode val="edge"/>
          <c:yMode val="edge"/>
          <c:x val="0.72287267931241483"/>
          <c:y val="9.375E-2"/>
          <c:w val="0.25793032131417626"/>
          <c:h val="0.7604181248177310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ENGLISH AND MATHEMATICS</a:t>
            </a:r>
          </a:p>
        </c:rich>
      </c:tx>
      <c:layout/>
      <c:overlay val="0"/>
    </c:title>
    <c:autoTitleDeleted val="0"/>
    <c:plotArea>
      <c:layout>
        <c:manualLayout>
          <c:layoutTarget val="inner"/>
          <c:xMode val="edge"/>
          <c:yMode val="edge"/>
          <c:x val="0.12832174103237096"/>
          <c:y val="0.11075240594925634"/>
          <c:w val="0.58563100285541236"/>
          <c:h val="0.71343980187960376"/>
        </c:manualLayout>
      </c:layout>
      <c:lineChart>
        <c:grouping val="standard"/>
        <c:varyColors val="0"/>
        <c:ser>
          <c:idx val="9"/>
          <c:order val="0"/>
          <c:tx>
            <c:strRef>
              <c:f>Teacher_need_figures!$B$48</c:f>
              <c:strCache>
                <c:ptCount val="1"/>
                <c:pt idx="0">
                  <c:v>ENGLISH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Teacher_need_figures!$C$48:$N$48</c:f>
              <c:numCache>
                <c:formatCode>#,##0</c:formatCode>
                <c:ptCount val="12"/>
                <c:pt idx="0">
                  <c:v>30334.045422360272</c:v>
                </c:pt>
                <c:pt idx="1">
                  <c:v>31134.668074249341</c:v>
                </c:pt>
                <c:pt idx="2">
                  <c:v>31550.424741367737</c:v>
                </c:pt>
                <c:pt idx="3">
                  <c:v>31856.821512469844</c:v>
                </c:pt>
                <c:pt idx="4">
                  <c:v>32164.831007781457</c:v>
                </c:pt>
                <c:pt idx="5">
                  <c:v>32472.152387487833</c:v>
                </c:pt>
                <c:pt idx="6">
                  <c:v>32827.766062176583</c:v>
                </c:pt>
                <c:pt idx="7">
                  <c:v>33010.891318920854</c:v>
                </c:pt>
                <c:pt idx="8">
                  <c:v>33087.00301484338</c:v>
                </c:pt>
                <c:pt idx="9">
                  <c:v>33063.748664034851</c:v>
                </c:pt>
                <c:pt idx="10">
                  <c:v>32971.683142454873</c:v>
                </c:pt>
                <c:pt idx="11">
                  <c:v>32821.598064010017</c:v>
                </c:pt>
              </c:numCache>
            </c:numRef>
          </c:val>
          <c:smooth val="0"/>
          <c:extLst>
            <c:ext xmlns:c16="http://schemas.microsoft.com/office/drawing/2014/chart" uri="{C3380CC4-5D6E-409C-BE32-E72D297353CC}">
              <c16:uniqueId val="{00000000-3A21-4884-A34F-8054EB3F6694}"/>
            </c:ext>
          </c:extLst>
        </c:ser>
        <c:ser>
          <c:idx val="1"/>
          <c:order val="1"/>
          <c:tx>
            <c:strRef>
              <c:f>Teacher_need_figures!$B$23</c:f>
              <c:strCache>
                <c:ptCount val="1"/>
                <c:pt idx="0">
                  <c:v>ENGLISH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Teacher_need_figures!$C$23:$N$23</c:f>
              <c:numCache>
                <c:formatCode>#,##0</c:formatCode>
                <c:ptCount val="12"/>
                <c:pt idx="0">
                  <c:v>30334.045422360272</c:v>
                </c:pt>
                <c:pt idx="1">
                  <c:v>31134.668074249341</c:v>
                </c:pt>
                <c:pt idx="2">
                  <c:v>31550.424741367737</c:v>
                </c:pt>
                <c:pt idx="3">
                  <c:v>31856.821512469844</c:v>
                </c:pt>
                <c:pt idx="4">
                  <c:v>32164.831007781457</c:v>
                </c:pt>
                <c:pt idx="5">
                  <c:v>32472.152387487833</c:v>
                </c:pt>
                <c:pt idx="6">
                  <c:v>32827.766062176583</c:v>
                </c:pt>
                <c:pt idx="7">
                  <c:v>33010.891318920854</c:v>
                </c:pt>
                <c:pt idx="8">
                  <c:v>33087.00301484338</c:v>
                </c:pt>
                <c:pt idx="9">
                  <c:v>33063.748664034851</c:v>
                </c:pt>
                <c:pt idx="10">
                  <c:v>32971.683142454873</c:v>
                </c:pt>
                <c:pt idx="11">
                  <c:v>32821.598064010017</c:v>
                </c:pt>
              </c:numCache>
            </c:numRef>
          </c:val>
          <c:smooth val="0"/>
          <c:extLst>
            <c:ext xmlns:c16="http://schemas.microsoft.com/office/drawing/2014/chart" uri="{C3380CC4-5D6E-409C-BE32-E72D297353CC}">
              <c16:uniqueId val="{00000001-3A21-4884-A34F-8054EB3F6694}"/>
            </c:ext>
          </c:extLst>
        </c:ser>
        <c:ser>
          <c:idx val="12"/>
          <c:order val="2"/>
          <c:tx>
            <c:strRef>
              <c:f>Teacher_need_figures!$B$52</c:f>
              <c:strCache>
                <c:ptCount val="1"/>
                <c:pt idx="0">
                  <c:v>MATHEMATICS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Teacher_need_figures!$C$52:$N$52</c:f>
              <c:numCache>
                <c:formatCode>#,##0</c:formatCode>
                <c:ptCount val="12"/>
                <c:pt idx="0">
                  <c:v>31263.995988909792</c:v>
                </c:pt>
                <c:pt idx="1">
                  <c:v>31800.404380466622</c:v>
                </c:pt>
                <c:pt idx="2">
                  <c:v>32332.887872631094</c:v>
                </c:pt>
                <c:pt idx="3">
                  <c:v>32621.070537865755</c:v>
                </c:pt>
                <c:pt idx="4">
                  <c:v>32924.224090463504</c:v>
                </c:pt>
                <c:pt idx="5">
                  <c:v>33241.002281772227</c:v>
                </c:pt>
                <c:pt idx="6">
                  <c:v>33619.675080212059</c:v>
                </c:pt>
                <c:pt idx="7">
                  <c:v>33841.805741803691</c:v>
                </c:pt>
                <c:pt idx="8">
                  <c:v>33939.843565007715</c:v>
                </c:pt>
                <c:pt idx="9">
                  <c:v>33934.401268075904</c:v>
                </c:pt>
                <c:pt idx="10">
                  <c:v>33872.600336963915</c:v>
                </c:pt>
                <c:pt idx="11">
                  <c:v>33758.753682238399</c:v>
                </c:pt>
              </c:numCache>
            </c:numRef>
          </c:val>
          <c:smooth val="0"/>
          <c:extLst>
            <c:ext xmlns:c16="http://schemas.microsoft.com/office/drawing/2014/chart" uri="{C3380CC4-5D6E-409C-BE32-E72D297353CC}">
              <c16:uniqueId val="{00000002-3A21-4884-A34F-8054EB3F6694}"/>
            </c:ext>
          </c:extLst>
        </c:ser>
        <c:ser>
          <c:idx val="0"/>
          <c:order val="3"/>
          <c:tx>
            <c:strRef>
              <c:f>Teacher_need_figures!$B$27</c:f>
              <c:strCache>
                <c:ptCount val="1"/>
                <c:pt idx="0">
                  <c:v>MATHEMATICS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Teacher_need_figures!$C$27:$N$27</c:f>
              <c:numCache>
                <c:formatCode>#,##0</c:formatCode>
                <c:ptCount val="12"/>
                <c:pt idx="0">
                  <c:v>31263.995988909792</c:v>
                </c:pt>
                <c:pt idx="1">
                  <c:v>31800.404380466622</c:v>
                </c:pt>
                <c:pt idx="2">
                  <c:v>32332.887872631094</c:v>
                </c:pt>
                <c:pt idx="3">
                  <c:v>32621.070537865755</c:v>
                </c:pt>
                <c:pt idx="4">
                  <c:v>32924.224090463504</c:v>
                </c:pt>
                <c:pt idx="5">
                  <c:v>33241.002281772227</c:v>
                </c:pt>
                <c:pt idx="6">
                  <c:v>33619.675080212059</c:v>
                </c:pt>
                <c:pt idx="7">
                  <c:v>33841.805741803691</c:v>
                </c:pt>
                <c:pt idx="8">
                  <c:v>33939.843565007715</c:v>
                </c:pt>
                <c:pt idx="9">
                  <c:v>33934.401268075904</c:v>
                </c:pt>
                <c:pt idx="10">
                  <c:v>33872.600336963915</c:v>
                </c:pt>
                <c:pt idx="11">
                  <c:v>33758.753682238399</c:v>
                </c:pt>
              </c:numCache>
            </c:numRef>
          </c:val>
          <c:smooth val="0"/>
          <c:extLst>
            <c:ext xmlns:c16="http://schemas.microsoft.com/office/drawing/2014/chart" uri="{C3380CC4-5D6E-409C-BE32-E72D297353CC}">
              <c16:uniqueId val="{00000003-3A21-4884-A34F-8054EB3F6694}"/>
            </c:ext>
          </c:extLst>
        </c:ser>
        <c:dLbls>
          <c:showLegendKey val="0"/>
          <c:showVal val="0"/>
          <c:showCatName val="0"/>
          <c:showSerName val="0"/>
          <c:showPercent val="0"/>
          <c:showBubbleSize val="0"/>
        </c:dLbls>
        <c:smooth val="0"/>
        <c:axId val="149604992"/>
        <c:axId val="149295488"/>
      </c:lineChart>
      <c:catAx>
        <c:axId val="1496049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295488"/>
        <c:crosses val="autoZero"/>
        <c:auto val="1"/>
        <c:lblAlgn val="ctr"/>
        <c:lblOffset val="100"/>
        <c:noMultiLvlLbl val="0"/>
      </c:catAx>
      <c:valAx>
        <c:axId val="14929548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04992"/>
        <c:crosses val="autoZero"/>
        <c:crossBetween val="between"/>
      </c:valAx>
      <c:spPr>
        <a:ln>
          <a:solidFill>
            <a:schemeClr val="tx1">
              <a:lumMod val="95000"/>
              <a:lumOff val="5000"/>
            </a:schemeClr>
          </a:solidFill>
        </a:ln>
      </c:spPr>
    </c:plotArea>
    <c:legend>
      <c:legendPos val="r"/>
      <c:layout>
        <c:manualLayout>
          <c:xMode val="edge"/>
          <c:yMode val="edge"/>
          <c:x val="0.72973026887472126"/>
          <c:y val="9.2334677677485433E-2"/>
          <c:w val="0.25307148926408252"/>
          <c:h val="0.7595844421886288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SCIENCES</a:t>
            </a:r>
          </a:p>
        </c:rich>
      </c:tx>
      <c:layout/>
      <c:overlay val="0"/>
    </c:title>
    <c:autoTitleDeleted val="0"/>
    <c:plotArea>
      <c:layout>
        <c:manualLayout>
          <c:layoutTarget val="inner"/>
          <c:xMode val="edge"/>
          <c:yMode val="edge"/>
          <c:x val="0.12832174103237096"/>
          <c:y val="0.11075240594925634"/>
          <c:w val="0.58116783789123139"/>
          <c:h val="0.70895951514125255"/>
        </c:manualLayout>
      </c:layout>
      <c:lineChart>
        <c:grouping val="standard"/>
        <c:varyColors val="0"/>
        <c:ser>
          <c:idx val="2"/>
          <c:order val="0"/>
          <c:tx>
            <c:strRef>
              <c:f>Teacher_need_figures!$B$41</c:f>
              <c:strCache>
                <c:ptCount val="1"/>
                <c:pt idx="0">
                  <c:v>BIOLOGY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Teacher_need_figures!$C$41:$N$41</c:f>
              <c:numCache>
                <c:formatCode>#,##0</c:formatCode>
                <c:ptCount val="12"/>
                <c:pt idx="0">
                  <c:v>12318.6629831685</c:v>
                </c:pt>
                <c:pt idx="1">
                  <c:v>12430.855335898372</c:v>
                </c:pt>
                <c:pt idx="2">
                  <c:v>12542.486134861922</c:v>
                </c:pt>
                <c:pt idx="3">
                  <c:v>12643.543720995483</c:v>
                </c:pt>
                <c:pt idx="4">
                  <c:v>12764.282686945471</c:v>
                </c:pt>
                <c:pt idx="5">
                  <c:v>12906.83001619469</c:v>
                </c:pt>
                <c:pt idx="6">
                  <c:v>13058.37584260101</c:v>
                </c:pt>
                <c:pt idx="7">
                  <c:v>13161.944557002342</c:v>
                </c:pt>
                <c:pt idx="8">
                  <c:v>13230.669606666757</c:v>
                </c:pt>
                <c:pt idx="9">
                  <c:v>13263.185365824398</c:v>
                </c:pt>
                <c:pt idx="10">
                  <c:v>13249.674498322198</c:v>
                </c:pt>
                <c:pt idx="11">
                  <c:v>13195.732739952964</c:v>
                </c:pt>
              </c:numCache>
            </c:numRef>
          </c:val>
          <c:smooth val="0"/>
          <c:extLst>
            <c:ext xmlns:c16="http://schemas.microsoft.com/office/drawing/2014/chart" uri="{C3380CC4-5D6E-409C-BE32-E72D297353CC}">
              <c16:uniqueId val="{00000000-4DD2-42AF-8324-4306C5100D7F}"/>
            </c:ext>
          </c:extLst>
        </c:ser>
        <c:ser>
          <c:idx val="0"/>
          <c:order val="1"/>
          <c:tx>
            <c:strRef>
              <c:f>Teacher_need_figures!$B$16</c:f>
              <c:strCache>
                <c:ptCount val="1"/>
                <c:pt idx="0">
                  <c:v>BIOLOGY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Teacher_need_figures!$C$16:$N$16</c:f>
              <c:numCache>
                <c:formatCode>#,##0</c:formatCode>
                <c:ptCount val="12"/>
                <c:pt idx="0">
                  <c:v>12318.6629831685</c:v>
                </c:pt>
                <c:pt idx="1">
                  <c:v>12430.855335898372</c:v>
                </c:pt>
                <c:pt idx="2">
                  <c:v>12542.486134861922</c:v>
                </c:pt>
                <c:pt idx="3">
                  <c:v>12643.543720995483</c:v>
                </c:pt>
                <c:pt idx="4">
                  <c:v>12764.282686945471</c:v>
                </c:pt>
                <c:pt idx="5">
                  <c:v>12906.83001619469</c:v>
                </c:pt>
                <c:pt idx="6">
                  <c:v>13058.37584260101</c:v>
                </c:pt>
                <c:pt idx="7">
                  <c:v>13161.944557002342</c:v>
                </c:pt>
                <c:pt idx="8">
                  <c:v>13230.669606666757</c:v>
                </c:pt>
                <c:pt idx="9">
                  <c:v>13263.185365824398</c:v>
                </c:pt>
                <c:pt idx="10">
                  <c:v>13249.674498322198</c:v>
                </c:pt>
                <c:pt idx="11">
                  <c:v>13195.732739952964</c:v>
                </c:pt>
              </c:numCache>
            </c:numRef>
          </c:val>
          <c:smooth val="0"/>
          <c:extLst>
            <c:ext xmlns:c16="http://schemas.microsoft.com/office/drawing/2014/chart" uri="{C3380CC4-5D6E-409C-BE32-E72D297353CC}">
              <c16:uniqueId val="{00000001-4DD2-42AF-8324-4306C5100D7F}"/>
            </c:ext>
          </c:extLst>
        </c:ser>
        <c:ser>
          <c:idx val="4"/>
          <c:order val="2"/>
          <c:tx>
            <c:strRef>
              <c:f>Teacher_need_figures!$B$43</c:f>
              <c:strCache>
                <c:ptCount val="1"/>
                <c:pt idx="0">
                  <c:v>CHEMISTRY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Teacher_need_figures!$C$43:$N$43</c:f>
              <c:numCache>
                <c:formatCode>#,##0</c:formatCode>
                <c:ptCount val="12"/>
                <c:pt idx="0">
                  <c:v>10896.284169016637</c:v>
                </c:pt>
                <c:pt idx="1">
                  <c:v>11002.935829109545</c:v>
                </c:pt>
                <c:pt idx="2">
                  <c:v>11103.173296540359</c:v>
                </c:pt>
                <c:pt idx="3">
                  <c:v>11193.803782266205</c:v>
                </c:pt>
                <c:pt idx="4">
                  <c:v>11305.034003721705</c:v>
                </c:pt>
                <c:pt idx="5">
                  <c:v>11439.711683313926</c:v>
                </c:pt>
                <c:pt idx="6">
                  <c:v>11572.64604515582</c:v>
                </c:pt>
                <c:pt idx="7">
                  <c:v>11664.160076164777</c:v>
                </c:pt>
                <c:pt idx="8">
                  <c:v>11734.231883996306</c:v>
                </c:pt>
                <c:pt idx="9">
                  <c:v>11774.418855501839</c:v>
                </c:pt>
                <c:pt idx="10">
                  <c:v>11759.590645675262</c:v>
                </c:pt>
                <c:pt idx="11">
                  <c:v>11698.057744069438</c:v>
                </c:pt>
              </c:numCache>
            </c:numRef>
          </c:val>
          <c:smooth val="0"/>
          <c:extLst>
            <c:ext xmlns:c16="http://schemas.microsoft.com/office/drawing/2014/chart" uri="{C3380CC4-5D6E-409C-BE32-E72D297353CC}">
              <c16:uniqueId val="{00000002-4DD2-42AF-8324-4306C5100D7F}"/>
            </c:ext>
          </c:extLst>
        </c:ser>
        <c:ser>
          <c:idx val="3"/>
          <c:order val="3"/>
          <c:tx>
            <c:strRef>
              <c:f>Teacher_need_figures!$B$18</c:f>
              <c:strCache>
                <c:ptCount val="1"/>
                <c:pt idx="0">
                  <c:v>CHEMISTRY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Teacher_need_figures!$C$18:$N$18</c:f>
              <c:numCache>
                <c:formatCode>#,##0</c:formatCode>
                <c:ptCount val="12"/>
                <c:pt idx="0">
                  <c:v>10896.284169016637</c:v>
                </c:pt>
                <c:pt idx="1">
                  <c:v>11002.935829109545</c:v>
                </c:pt>
                <c:pt idx="2">
                  <c:v>11103.173296540359</c:v>
                </c:pt>
                <c:pt idx="3">
                  <c:v>11193.803782266205</c:v>
                </c:pt>
                <c:pt idx="4">
                  <c:v>11305.034003721705</c:v>
                </c:pt>
                <c:pt idx="5">
                  <c:v>11439.711683313926</c:v>
                </c:pt>
                <c:pt idx="6">
                  <c:v>11572.64604515582</c:v>
                </c:pt>
                <c:pt idx="7">
                  <c:v>11664.160076164777</c:v>
                </c:pt>
                <c:pt idx="8">
                  <c:v>11734.231883996306</c:v>
                </c:pt>
                <c:pt idx="9">
                  <c:v>11774.418855501839</c:v>
                </c:pt>
                <c:pt idx="10">
                  <c:v>11759.590645675262</c:v>
                </c:pt>
                <c:pt idx="11">
                  <c:v>11698.057744069438</c:v>
                </c:pt>
              </c:numCache>
            </c:numRef>
          </c:val>
          <c:smooth val="0"/>
          <c:extLst>
            <c:ext xmlns:c16="http://schemas.microsoft.com/office/drawing/2014/chart" uri="{C3380CC4-5D6E-409C-BE32-E72D297353CC}">
              <c16:uniqueId val="{00000003-4DD2-42AF-8324-4306C5100D7F}"/>
            </c:ext>
          </c:extLst>
        </c:ser>
        <c:ser>
          <c:idx val="17"/>
          <c:order val="4"/>
          <c:tx>
            <c:strRef>
              <c:f>Teacher_need_figures!$B$57</c:f>
              <c:strCache>
                <c:ptCount val="1"/>
                <c:pt idx="0">
                  <c:v>PHYSICS All Central Scenario</c:v>
                </c:pt>
              </c:strCache>
            </c:strRef>
          </c:tx>
          <c:spPr>
            <a:ln>
              <a:solidFill>
                <a:srgbClr val="92D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Teacher_need_figures!$C$57:$N$57</c:f>
              <c:numCache>
                <c:formatCode>#,##0</c:formatCode>
                <c:ptCount val="12"/>
                <c:pt idx="0">
                  <c:v>10747.938420584598</c:v>
                </c:pt>
                <c:pt idx="1">
                  <c:v>10870.436031513067</c:v>
                </c:pt>
                <c:pt idx="2">
                  <c:v>10983.264747183021</c:v>
                </c:pt>
                <c:pt idx="3">
                  <c:v>11078.439550324605</c:v>
                </c:pt>
                <c:pt idx="4">
                  <c:v>11190.530438833801</c:v>
                </c:pt>
                <c:pt idx="5">
                  <c:v>11321.974429879834</c:v>
                </c:pt>
                <c:pt idx="6">
                  <c:v>11450.519442099525</c:v>
                </c:pt>
                <c:pt idx="7">
                  <c:v>11533.445875248595</c:v>
                </c:pt>
                <c:pt idx="8">
                  <c:v>11596.832841396888</c:v>
                </c:pt>
                <c:pt idx="9">
                  <c:v>11630.671884863244</c:v>
                </c:pt>
                <c:pt idx="10">
                  <c:v>11609.264983572455</c:v>
                </c:pt>
                <c:pt idx="11">
                  <c:v>11541.782789734341</c:v>
                </c:pt>
              </c:numCache>
            </c:numRef>
          </c:val>
          <c:smooth val="0"/>
          <c:extLst>
            <c:ext xmlns:c16="http://schemas.microsoft.com/office/drawing/2014/chart" uri="{C3380CC4-5D6E-409C-BE32-E72D297353CC}">
              <c16:uniqueId val="{00000004-4DD2-42AF-8324-4306C5100D7F}"/>
            </c:ext>
          </c:extLst>
        </c:ser>
        <c:ser>
          <c:idx val="1"/>
          <c:order val="5"/>
          <c:tx>
            <c:strRef>
              <c:f>Teacher_need_figures!$B$32</c:f>
              <c:strCache>
                <c:ptCount val="1"/>
                <c:pt idx="0">
                  <c:v>PHYSICS Scenario Selected</c:v>
                </c:pt>
              </c:strCache>
            </c:strRef>
          </c:tx>
          <c:spPr>
            <a:ln>
              <a:solidFill>
                <a:srgbClr val="92D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Teacher_need_figures!$C$32:$N$32</c:f>
              <c:numCache>
                <c:formatCode>#,##0</c:formatCode>
                <c:ptCount val="12"/>
                <c:pt idx="0">
                  <c:v>10747.938420584598</c:v>
                </c:pt>
                <c:pt idx="1">
                  <c:v>10870.436031513067</c:v>
                </c:pt>
                <c:pt idx="2">
                  <c:v>10983.264747183021</c:v>
                </c:pt>
                <c:pt idx="3">
                  <c:v>11078.439550324605</c:v>
                </c:pt>
                <c:pt idx="4">
                  <c:v>11190.530438833801</c:v>
                </c:pt>
                <c:pt idx="5">
                  <c:v>11321.974429879834</c:v>
                </c:pt>
                <c:pt idx="6">
                  <c:v>11450.519442099525</c:v>
                </c:pt>
                <c:pt idx="7">
                  <c:v>11533.445875248595</c:v>
                </c:pt>
                <c:pt idx="8">
                  <c:v>11596.832841396888</c:v>
                </c:pt>
                <c:pt idx="9">
                  <c:v>11630.671884863244</c:v>
                </c:pt>
                <c:pt idx="10">
                  <c:v>11609.264983572455</c:v>
                </c:pt>
                <c:pt idx="11">
                  <c:v>11541.782789734341</c:v>
                </c:pt>
              </c:numCache>
            </c:numRef>
          </c:val>
          <c:smooth val="0"/>
          <c:extLst>
            <c:ext xmlns:c16="http://schemas.microsoft.com/office/drawing/2014/chart" uri="{C3380CC4-5D6E-409C-BE32-E72D297353CC}">
              <c16:uniqueId val="{00000005-4DD2-42AF-8324-4306C5100D7F}"/>
            </c:ext>
          </c:extLst>
        </c:ser>
        <c:dLbls>
          <c:showLegendKey val="0"/>
          <c:showVal val="0"/>
          <c:showCatName val="0"/>
          <c:showSerName val="0"/>
          <c:showPercent val="0"/>
          <c:showBubbleSize val="0"/>
        </c:dLbls>
        <c:smooth val="0"/>
        <c:axId val="149338752"/>
        <c:axId val="149344640"/>
      </c:lineChart>
      <c:catAx>
        <c:axId val="14933875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344640"/>
        <c:crosses val="autoZero"/>
        <c:auto val="1"/>
        <c:lblAlgn val="ctr"/>
        <c:lblOffset val="100"/>
        <c:noMultiLvlLbl val="0"/>
      </c:catAx>
      <c:valAx>
        <c:axId val="149344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338752"/>
        <c:crosses val="autoZero"/>
        <c:crossBetween val="between"/>
      </c:valAx>
      <c:spPr>
        <a:ln>
          <a:solidFill>
            <a:schemeClr val="tx1">
              <a:lumMod val="95000"/>
              <a:lumOff val="5000"/>
            </a:schemeClr>
          </a:solidFill>
        </a:ln>
      </c:spPr>
    </c:plotArea>
    <c:legend>
      <c:legendPos val="r"/>
      <c:layout>
        <c:manualLayout>
          <c:xMode val="edge"/>
          <c:yMode val="edge"/>
          <c:x val="0.72370731621819395"/>
          <c:y val="7.1180737824438609E-2"/>
          <c:w val="0.25793032131417637"/>
          <c:h val="0.8680570137066199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TECHNOLOGIES</a:t>
            </a:r>
          </a:p>
        </c:rich>
      </c:tx>
      <c:layout/>
      <c:overlay val="0"/>
    </c:title>
    <c:autoTitleDeleted val="0"/>
    <c:plotArea>
      <c:layout>
        <c:manualLayout>
          <c:layoutTarget val="inner"/>
          <c:xMode val="edge"/>
          <c:yMode val="edge"/>
          <c:x val="0.12832174103237096"/>
          <c:y val="0.11075240594925634"/>
          <c:w val="0.57642873835975983"/>
          <c:h val="0.70887533160231642"/>
        </c:manualLayout>
      </c:layout>
      <c:lineChart>
        <c:grouping val="standard"/>
        <c:varyColors val="0"/>
        <c:ser>
          <c:idx val="6"/>
          <c:order val="0"/>
          <c:tx>
            <c:strRef>
              <c:f>Teacher_need_figures!$B$45</c:f>
              <c:strCache>
                <c:ptCount val="1"/>
                <c:pt idx="0">
                  <c:v>COMPUTING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Teacher_need_figures!$C$45:$N$45</c:f>
              <c:numCache>
                <c:formatCode>#,##0</c:formatCode>
                <c:ptCount val="12"/>
                <c:pt idx="0">
                  <c:v>6886.2117410603414</c:v>
                </c:pt>
                <c:pt idx="1">
                  <c:v>6858.8559812158583</c:v>
                </c:pt>
                <c:pt idx="2">
                  <c:v>6873.8926369224801</c:v>
                </c:pt>
                <c:pt idx="3">
                  <c:v>6881.6845608980666</c:v>
                </c:pt>
                <c:pt idx="4">
                  <c:v>6879.4126362278994</c:v>
                </c:pt>
                <c:pt idx="5">
                  <c:v>6866.6071292678153</c:v>
                </c:pt>
                <c:pt idx="6">
                  <c:v>6890.5558365845072</c:v>
                </c:pt>
                <c:pt idx="7">
                  <c:v>6940.5384940871572</c:v>
                </c:pt>
                <c:pt idx="8">
                  <c:v>6958.6896565772204</c:v>
                </c:pt>
                <c:pt idx="9">
                  <c:v>6956.2019716804443</c:v>
                </c:pt>
                <c:pt idx="10">
                  <c:v>6955.3875819762616</c:v>
                </c:pt>
                <c:pt idx="11">
                  <c:v>6947.8634032138971</c:v>
                </c:pt>
              </c:numCache>
            </c:numRef>
          </c:val>
          <c:smooth val="0"/>
          <c:extLst>
            <c:ext xmlns:c16="http://schemas.microsoft.com/office/drawing/2014/chart" uri="{C3380CC4-5D6E-409C-BE32-E72D297353CC}">
              <c16:uniqueId val="{00000000-DE49-40B2-B830-0844D4EDBA97}"/>
            </c:ext>
          </c:extLst>
        </c:ser>
        <c:ser>
          <c:idx val="0"/>
          <c:order val="1"/>
          <c:tx>
            <c:strRef>
              <c:f>Teacher_need_figures!$B$20</c:f>
              <c:strCache>
                <c:ptCount val="1"/>
                <c:pt idx="0">
                  <c:v>COMPUTING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Teacher_need_figures!$C$20:$N$20</c:f>
              <c:numCache>
                <c:formatCode>#,##0</c:formatCode>
                <c:ptCount val="12"/>
                <c:pt idx="0">
                  <c:v>6886.2117410603414</c:v>
                </c:pt>
                <c:pt idx="1">
                  <c:v>6858.8559812158583</c:v>
                </c:pt>
                <c:pt idx="2">
                  <c:v>6873.8926369224801</c:v>
                </c:pt>
                <c:pt idx="3">
                  <c:v>6881.6845608980666</c:v>
                </c:pt>
                <c:pt idx="4">
                  <c:v>6879.4126362278994</c:v>
                </c:pt>
                <c:pt idx="5">
                  <c:v>6866.6071292678153</c:v>
                </c:pt>
                <c:pt idx="6">
                  <c:v>6890.5558365845072</c:v>
                </c:pt>
                <c:pt idx="7">
                  <c:v>6940.5384940871572</c:v>
                </c:pt>
                <c:pt idx="8">
                  <c:v>6958.6896565772204</c:v>
                </c:pt>
                <c:pt idx="9">
                  <c:v>6956.2019716804443</c:v>
                </c:pt>
                <c:pt idx="10">
                  <c:v>6955.3875819762616</c:v>
                </c:pt>
                <c:pt idx="11">
                  <c:v>6947.8634032138971</c:v>
                </c:pt>
              </c:numCache>
            </c:numRef>
          </c:val>
          <c:smooth val="0"/>
          <c:extLst>
            <c:ext xmlns:c16="http://schemas.microsoft.com/office/drawing/2014/chart" uri="{C3380CC4-5D6E-409C-BE32-E72D297353CC}">
              <c16:uniqueId val="{00000001-DE49-40B2-B830-0844D4EDBA97}"/>
            </c:ext>
          </c:extLst>
        </c:ser>
        <c:ser>
          <c:idx val="7"/>
          <c:order val="2"/>
          <c:tx>
            <c:strRef>
              <c:f>Teacher_need_figures!$B$46</c:f>
              <c:strCache>
                <c:ptCount val="1"/>
                <c:pt idx="0">
                  <c:v>DESIGN &amp; TECHNOLOGY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Teacher_need_figures!$C$46:$N$46</c:f>
              <c:numCache>
                <c:formatCode>#,##0</c:formatCode>
                <c:ptCount val="12"/>
                <c:pt idx="0">
                  <c:v>9723.9372735583838</c:v>
                </c:pt>
                <c:pt idx="1">
                  <c:v>9730.713572541621</c:v>
                </c:pt>
                <c:pt idx="2">
                  <c:v>9795.7800392161698</c:v>
                </c:pt>
                <c:pt idx="3">
                  <c:v>9817.6475451427996</c:v>
                </c:pt>
                <c:pt idx="4">
                  <c:v>9802.422714787177</c:v>
                </c:pt>
                <c:pt idx="5">
                  <c:v>9744.7648783038912</c:v>
                </c:pt>
                <c:pt idx="6">
                  <c:v>9758.6780163501626</c:v>
                </c:pt>
                <c:pt idx="7">
                  <c:v>9803.3475100151809</c:v>
                </c:pt>
                <c:pt idx="8">
                  <c:v>9778.1954784920508</c:v>
                </c:pt>
                <c:pt idx="9">
                  <c:v>9717.0736890616008</c:v>
                </c:pt>
                <c:pt idx="10">
                  <c:v>9702.3721370678686</c:v>
                </c:pt>
                <c:pt idx="11">
                  <c:v>9713.8346471091481</c:v>
                </c:pt>
              </c:numCache>
            </c:numRef>
          </c:val>
          <c:smooth val="0"/>
          <c:extLst>
            <c:ext xmlns:c16="http://schemas.microsoft.com/office/drawing/2014/chart" uri="{C3380CC4-5D6E-409C-BE32-E72D297353CC}">
              <c16:uniqueId val="{00000002-DE49-40B2-B830-0844D4EDBA97}"/>
            </c:ext>
          </c:extLst>
        </c:ser>
        <c:ser>
          <c:idx val="1"/>
          <c:order val="3"/>
          <c:tx>
            <c:strRef>
              <c:f>Teacher_need_figures!$B$21</c:f>
              <c:strCache>
                <c:ptCount val="1"/>
                <c:pt idx="0">
                  <c:v>DESIGN &amp; TECHNOLOGY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Teacher_need_figures!$C$21:$N$21</c:f>
              <c:numCache>
                <c:formatCode>#,##0</c:formatCode>
                <c:ptCount val="12"/>
                <c:pt idx="0">
                  <c:v>9723.9372735583838</c:v>
                </c:pt>
                <c:pt idx="1">
                  <c:v>9730.713572541621</c:v>
                </c:pt>
                <c:pt idx="2">
                  <c:v>9795.7800392161698</c:v>
                </c:pt>
                <c:pt idx="3">
                  <c:v>9817.6475451427996</c:v>
                </c:pt>
                <c:pt idx="4">
                  <c:v>9802.422714787177</c:v>
                </c:pt>
                <c:pt idx="5">
                  <c:v>9744.7648783038912</c:v>
                </c:pt>
                <c:pt idx="6">
                  <c:v>9758.6780163501626</c:v>
                </c:pt>
                <c:pt idx="7">
                  <c:v>9803.3475100151809</c:v>
                </c:pt>
                <c:pt idx="8">
                  <c:v>9778.1954784920508</c:v>
                </c:pt>
                <c:pt idx="9">
                  <c:v>9717.0736890616008</c:v>
                </c:pt>
                <c:pt idx="10">
                  <c:v>9702.3721370678686</c:v>
                </c:pt>
                <c:pt idx="11">
                  <c:v>9713.8346471091481</c:v>
                </c:pt>
              </c:numCache>
            </c:numRef>
          </c:val>
          <c:smooth val="0"/>
          <c:extLst>
            <c:ext xmlns:c16="http://schemas.microsoft.com/office/drawing/2014/chart" uri="{C3380CC4-5D6E-409C-BE32-E72D297353CC}">
              <c16:uniqueId val="{00000003-DE49-40B2-B830-0844D4EDBA97}"/>
            </c:ext>
          </c:extLst>
        </c:ser>
        <c:ser>
          <c:idx val="3"/>
          <c:order val="4"/>
          <c:tx>
            <c:strRef>
              <c:f>Teacher_need_figures!$B$49</c:f>
              <c:strCache>
                <c:ptCount val="1"/>
                <c:pt idx="0">
                  <c:v>FOOD All Central Scenario</c:v>
                </c:pt>
              </c:strCache>
            </c:strRef>
          </c:tx>
          <c:spPr>
            <a:ln>
              <a:solidFill>
                <a:srgbClr val="92D050"/>
              </a:solidFill>
            </a:ln>
          </c:spPr>
          <c:marker>
            <c:symbol val="none"/>
          </c:marker>
          <c:val>
            <c:numRef>
              <c:f>Teacher_need_figures!$C$49:$N$49</c:f>
              <c:numCache>
                <c:formatCode>#,##0</c:formatCode>
                <c:ptCount val="12"/>
                <c:pt idx="0">
                  <c:v>1956.2535049672433</c:v>
                </c:pt>
                <c:pt idx="1">
                  <c:v>1959.5361842003301</c:v>
                </c:pt>
                <c:pt idx="2">
                  <c:v>1973.050169889354</c:v>
                </c:pt>
                <c:pt idx="3">
                  <c:v>1977.0348444722242</c:v>
                </c:pt>
                <c:pt idx="4">
                  <c:v>1977.4852088545217</c:v>
                </c:pt>
                <c:pt idx="5">
                  <c:v>1974.7794548706556</c:v>
                </c:pt>
                <c:pt idx="6">
                  <c:v>1978.0669447893681</c:v>
                </c:pt>
                <c:pt idx="7">
                  <c:v>1987.8032804778159</c:v>
                </c:pt>
                <c:pt idx="8">
                  <c:v>1996.0406566594697</c:v>
                </c:pt>
                <c:pt idx="9">
                  <c:v>1999.9762782551843</c:v>
                </c:pt>
                <c:pt idx="10">
                  <c:v>1994.0423995431088</c:v>
                </c:pt>
                <c:pt idx="11">
                  <c:v>1978.4589946281467</c:v>
                </c:pt>
              </c:numCache>
            </c:numRef>
          </c:val>
          <c:smooth val="0"/>
          <c:extLst>
            <c:ext xmlns:c16="http://schemas.microsoft.com/office/drawing/2014/chart" uri="{C3380CC4-5D6E-409C-BE32-E72D297353CC}">
              <c16:uniqueId val="{00000004-DE49-40B2-B830-0844D4EDBA97}"/>
            </c:ext>
          </c:extLst>
        </c:ser>
        <c:ser>
          <c:idx val="2"/>
          <c:order val="5"/>
          <c:tx>
            <c:strRef>
              <c:f>Teacher_need_figures!$B$24</c:f>
              <c:strCache>
                <c:ptCount val="1"/>
                <c:pt idx="0">
                  <c:v>FOOD Scenario Selected</c:v>
                </c:pt>
              </c:strCache>
            </c:strRef>
          </c:tx>
          <c:spPr>
            <a:ln>
              <a:solidFill>
                <a:srgbClr val="92D050"/>
              </a:solidFill>
              <a:prstDash val="sysDot"/>
            </a:ln>
          </c:spPr>
          <c:marker>
            <c:symbol val="none"/>
          </c:marker>
          <c:val>
            <c:numRef>
              <c:f>Teacher_need_figures!$C$24:$N$24</c:f>
              <c:numCache>
                <c:formatCode>#,##0</c:formatCode>
                <c:ptCount val="12"/>
                <c:pt idx="0">
                  <c:v>1956.2535049672433</c:v>
                </c:pt>
                <c:pt idx="1">
                  <c:v>1959.5361842003301</c:v>
                </c:pt>
                <c:pt idx="2">
                  <c:v>1973.050169889354</c:v>
                </c:pt>
                <c:pt idx="3">
                  <c:v>1977.0348444722242</c:v>
                </c:pt>
                <c:pt idx="4">
                  <c:v>1977.4852088545217</c:v>
                </c:pt>
                <c:pt idx="5">
                  <c:v>1974.7794548706556</c:v>
                </c:pt>
                <c:pt idx="6">
                  <c:v>1978.0669447893681</c:v>
                </c:pt>
                <c:pt idx="7">
                  <c:v>1987.8032804778159</c:v>
                </c:pt>
                <c:pt idx="8">
                  <c:v>1996.0406566594697</c:v>
                </c:pt>
                <c:pt idx="9">
                  <c:v>1999.9762782551843</c:v>
                </c:pt>
                <c:pt idx="10">
                  <c:v>1994.0423995431088</c:v>
                </c:pt>
                <c:pt idx="11">
                  <c:v>1978.4589946281467</c:v>
                </c:pt>
              </c:numCache>
            </c:numRef>
          </c:val>
          <c:smooth val="0"/>
          <c:extLst>
            <c:ext xmlns:c16="http://schemas.microsoft.com/office/drawing/2014/chart" uri="{C3380CC4-5D6E-409C-BE32-E72D297353CC}">
              <c16:uniqueId val="{00000005-DE49-40B2-B830-0844D4EDBA97}"/>
            </c:ext>
          </c:extLst>
        </c:ser>
        <c:dLbls>
          <c:showLegendKey val="0"/>
          <c:showVal val="0"/>
          <c:showCatName val="0"/>
          <c:showSerName val="0"/>
          <c:showPercent val="0"/>
          <c:showBubbleSize val="0"/>
        </c:dLbls>
        <c:smooth val="0"/>
        <c:axId val="149462016"/>
        <c:axId val="149472000"/>
      </c:lineChart>
      <c:catAx>
        <c:axId val="1494620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472000"/>
        <c:crosses val="autoZero"/>
        <c:auto val="1"/>
        <c:lblAlgn val="ctr"/>
        <c:lblOffset val="100"/>
        <c:noMultiLvlLbl val="0"/>
      </c:catAx>
      <c:valAx>
        <c:axId val="1494720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62016"/>
        <c:crosses val="autoZero"/>
        <c:crossBetween val="between"/>
      </c:valAx>
      <c:spPr>
        <a:ln>
          <a:solidFill>
            <a:schemeClr val="tx1">
              <a:lumMod val="95000"/>
              <a:lumOff val="5000"/>
            </a:schemeClr>
          </a:solidFill>
        </a:ln>
      </c:spPr>
    </c:plotArea>
    <c:legend>
      <c:legendPos val="r"/>
      <c:layout>
        <c:manualLayout>
          <c:xMode val="edge"/>
          <c:yMode val="edge"/>
          <c:x val="0.71580734213319896"/>
          <c:y val="2.9514071157771944E-2"/>
          <c:w val="0.26617550124135581"/>
          <c:h val="0.862848862642169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2832174103237096"/>
          <c:y val="0.11075240594925634"/>
          <c:w val="0.5839975916988871"/>
          <c:h val="0.70879159824273308"/>
        </c:manualLayout>
      </c:layout>
      <c:lineChart>
        <c:grouping val="standard"/>
        <c:varyColors val="0"/>
        <c:ser>
          <c:idx val="1"/>
          <c:order val="0"/>
          <c:tx>
            <c:strRef>
              <c:f>Teacher_need_figures!$B$40</c:f>
              <c:strCache>
                <c:ptCount val="1"/>
                <c:pt idx="0">
                  <c:v>ART &amp; DESIGN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Teacher_need_figures!$C$40:$N$40</c:f>
              <c:numCache>
                <c:formatCode>#,##0</c:formatCode>
                <c:ptCount val="12"/>
                <c:pt idx="0">
                  <c:v>8089.5540643163376</c:v>
                </c:pt>
                <c:pt idx="1">
                  <c:v>8060.7474464650004</c:v>
                </c:pt>
                <c:pt idx="2">
                  <c:v>8082.7517622230034</c:v>
                </c:pt>
                <c:pt idx="3">
                  <c:v>8093.4095363281858</c:v>
                </c:pt>
                <c:pt idx="4">
                  <c:v>8086.7132472732837</c:v>
                </c:pt>
                <c:pt idx="5">
                  <c:v>8060.4662653074993</c:v>
                </c:pt>
                <c:pt idx="6">
                  <c:v>8086.1586698513274</c:v>
                </c:pt>
                <c:pt idx="7">
                  <c:v>8141.5369499916969</c:v>
                </c:pt>
                <c:pt idx="8">
                  <c:v>8146.953482534841</c:v>
                </c:pt>
                <c:pt idx="9">
                  <c:v>8125.0765131323897</c:v>
                </c:pt>
                <c:pt idx="10">
                  <c:v>8125.0341687719756</c:v>
                </c:pt>
                <c:pt idx="11">
                  <c:v>8132.6904640469102</c:v>
                </c:pt>
              </c:numCache>
            </c:numRef>
          </c:val>
          <c:smooth val="0"/>
          <c:extLst>
            <c:ext xmlns:c16="http://schemas.microsoft.com/office/drawing/2014/chart" uri="{C3380CC4-5D6E-409C-BE32-E72D297353CC}">
              <c16:uniqueId val="{00000000-B02A-4364-A4AE-18A839CC1AF8}"/>
            </c:ext>
          </c:extLst>
        </c:ser>
        <c:ser>
          <c:idx val="0"/>
          <c:order val="1"/>
          <c:tx>
            <c:strRef>
              <c:f>Teacher_need_figures!$B$15</c:f>
              <c:strCache>
                <c:ptCount val="1"/>
                <c:pt idx="0">
                  <c:v>ART &amp; DESIGN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Teacher_need_figures!$C$15:$N$15</c:f>
              <c:numCache>
                <c:formatCode>#,##0</c:formatCode>
                <c:ptCount val="12"/>
                <c:pt idx="0">
                  <c:v>8089.5540643163376</c:v>
                </c:pt>
                <c:pt idx="1">
                  <c:v>8060.7474464650004</c:v>
                </c:pt>
                <c:pt idx="2">
                  <c:v>8082.7517622230034</c:v>
                </c:pt>
                <c:pt idx="3">
                  <c:v>8093.4095363281858</c:v>
                </c:pt>
                <c:pt idx="4">
                  <c:v>8086.7132472732837</c:v>
                </c:pt>
                <c:pt idx="5">
                  <c:v>8060.4662653074993</c:v>
                </c:pt>
                <c:pt idx="6">
                  <c:v>8086.1586698513274</c:v>
                </c:pt>
                <c:pt idx="7">
                  <c:v>8141.5369499916969</c:v>
                </c:pt>
                <c:pt idx="8">
                  <c:v>8146.953482534841</c:v>
                </c:pt>
                <c:pt idx="9">
                  <c:v>8125.0765131323897</c:v>
                </c:pt>
                <c:pt idx="10">
                  <c:v>8125.0341687719756</c:v>
                </c:pt>
                <c:pt idx="11">
                  <c:v>8132.6904640469102</c:v>
                </c:pt>
              </c:numCache>
            </c:numRef>
          </c:val>
          <c:smooth val="0"/>
          <c:extLst>
            <c:ext xmlns:c16="http://schemas.microsoft.com/office/drawing/2014/chart" uri="{C3380CC4-5D6E-409C-BE32-E72D297353CC}">
              <c16:uniqueId val="{00000001-B02A-4364-A4AE-18A839CC1AF8}"/>
            </c:ext>
          </c:extLst>
        </c:ser>
        <c:ser>
          <c:idx val="8"/>
          <c:order val="2"/>
          <c:tx>
            <c:strRef>
              <c:f>Teacher_need_figures!$B$47</c:f>
              <c:strCache>
                <c:ptCount val="1"/>
                <c:pt idx="0">
                  <c:v>DRAMA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Teacher_need_figures!$C$47:$N$47</c:f>
              <c:numCache>
                <c:formatCode>#,##0</c:formatCode>
                <c:ptCount val="12"/>
                <c:pt idx="0">
                  <c:v>4794.803353271901</c:v>
                </c:pt>
                <c:pt idx="1">
                  <c:v>4785.8628625012416</c:v>
                </c:pt>
                <c:pt idx="2">
                  <c:v>4806.7824513610158</c:v>
                </c:pt>
                <c:pt idx="3">
                  <c:v>4815.2135337316658</c:v>
                </c:pt>
                <c:pt idx="4">
                  <c:v>4809.377669292955</c:v>
                </c:pt>
                <c:pt idx="5">
                  <c:v>4787.1443549504802</c:v>
                </c:pt>
                <c:pt idx="6">
                  <c:v>4799.1267567244358</c:v>
                </c:pt>
                <c:pt idx="7">
                  <c:v>4827.4090092019815</c:v>
                </c:pt>
                <c:pt idx="8">
                  <c:v>4821.6459302537714</c:v>
                </c:pt>
                <c:pt idx="9">
                  <c:v>4798.481226743882</c:v>
                </c:pt>
                <c:pt idx="10">
                  <c:v>4796.064068420972</c:v>
                </c:pt>
                <c:pt idx="11">
                  <c:v>4804.5450930303432</c:v>
                </c:pt>
              </c:numCache>
            </c:numRef>
          </c:val>
          <c:smooth val="0"/>
          <c:extLst>
            <c:ext xmlns:c16="http://schemas.microsoft.com/office/drawing/2014/chart" uri="{C3380CC4-5D6E-409C-BE32-E72D297353CC}">
              <c16:uniqueId val="{00000002-B02A-4364-A4AE-18A839CC1AF8}"/>
            </c:ext>
          </c:extLst>
        </c:ser>
        <c:ser>
          <c:idx val="2"/>
          <c:order val="3"/>
          <c:tx>
            <c:strRef>
              <c:f>Teacher_need_figures!$B$22</c:f>
              <c:strCache>
                <c:ptCount val="1"/>
                <c:pt idx="0">
                  <c:v>DRAMA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Teacher_need_figures!$C$22:$N$22</c:f>
              <c:numCache>
                <c:formatCode>#,##0</c:formatCode>
                <c:ptCount val="12"/>
                <c:pt idx="0">
                  <c:v>4794.803353271901</c:v>
                </c:pt>
                <c:pt idx="1">
                  <c:v>4785.8628625012416</c:v>
                </c:pt>
                <c:pt idx="2">
                  <c:v>4806.7824513610158</c:v>
                </c:pt>
                <c:pt idx="3">
                  <c:v>4815.2135337316658</c:v>
                </c:pt>
                <c:pt idx="4">
                  <c:v>4809.377669292955</c:v>
                </c:pt>
                <c:pt idx="5">
                  <c:v>4787.1443549504802</c:v>
                </c:pt>
                <c:pt idx="6">
                  <c:v>4799.1267567244358</c:v>
                </c:pt>
                <c:pt idx="7">
                  <c:v>4827.4090092019815</c:v>
                </c:pt>
                <c:pt idx="8">
                  <c:v>4821.6459302537714</c:v>
                </c:pt>
                <c:pt idx="9">
                  <c:v>4798.481226743882</c:v>
                </c:pt>
                <c:pt idx="10">
                  <c:v>4796.064068420972</c:v>
                </c:pt>
                <c:pt idx="11">
                  <c:v>4804.5450930303432</c:v>
                </c:pt>
              </c:numCache>
            </c:numRef>
          </c:val>
          <c:smooth val="0"/>
          <c:extLst>
            <c:ext xmlns:c16="http://schemas.microsoft.com/office/drawing/2014/chart" uri="{C3380CC4-5D6E-409C-BE32-E72D297353CC}">
              <c16:uniqueId val="{00000003-B02A-4364-A4AE-18A839CC1AF8}"/>
            </c:ext>
          </c:extLst>
        </c:ser>
        <c:ser>
          <c:idx val="14"/>
          <c:order val="4"/>
          <c:tx>
            <c:strRef>
              <c:f>Teacher_need_figures!$B$54</c:f>
              <c:strCache>
                <c:ptCount val="1"/>
                <c:pt idx="0">
                  <c:v>MUSIC All Central Scenario</c:v>
                </c:pt>
              </c:strCache>
            </c:strRef>
          </c:tx>
          <c:spPr>
            <a:ln>
              <a:solidFill>
                <a:srgbClr val="92D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Teacher_need_figures!$C$54:$N$54</c:f>
              <c:numCache>
                <c:formatCode>#,##0</c:formatCode>
                <c:ptCount val="12"/>
                <c:pt idx="0">
                  <c:v>5031.0938936371076</c:v>
                </c:pt>
                <c:pt idx="1">
                  <c:v>5031.8745371214309</c:v>
                </c:pt>
                <c:pt idx="2">
                  <c:v>5063.8831159871925</c:v>
                </c:pt>
                <c:pt idx="3">
                  <c:v>5075.1545133812051</c:v>
                </c:pt>
                <c:pt idx="4">
                  <c:v>5065.2937855486989</c:v>
                </c:pt>
                <c:pt idx="5">
                  <c:v>5030.6980732445454</c:v>
                </c:pt>
                <c:pt idx="6">
                  <c:v>5038.2076146806994</c:v>
                </c:pt>
                <c:pt idx="7">
                  <c:v>5061.6281804127666</c:v>
                </c:pt>
                <c:pt idx="8">
                  <c:v>5041.1826092764768</c:v>
                </c:pt>
                <c:pt idx="9">
                  <c:v>5000.3471421257582</c:v>
                </c:pt>
                <c:pt idx="10">
                  <c:v>4995.1881811491194</c:v>
                </c:pt>
                <c:pt idx="11">
                  <c:v>5012.5751161913176</c:v>
                </c:pt>
              </c:numCache>
            </c:numRef>
          </c:val>
          <c:smooth val="0"/>
          <c:extLst>
            <c:ext xmlns:c16="http://schemas.microsoft.com/office/drawing/2014/chart" uri="{C3380CC4-5D6E-409C-BE32-E72D297353CC}">
              <c16:uniqueId val="{00000004-B02A-4364-A4AE-18A839CC1AF8}"/>
            </c:ext>
          </c:extLst>
        </c:ser>
        <c:ser>
          <c:idx val="3"/>
          <c:order val="5"/>
          <c:tx>
            <c:strRef>
              <c:f>Teacher_need_figures!$B$29</c:f>
              <c:strCache>
                <c:ptCount val="1"/>
                <c:pt idx="0">
                  <c:v>MUSIC Scenario Selected</c:v>
                </c:pt>
              </c:strCache>
            </c:strRef>
          </c:tx>
          <c:spPr>
            <a:ln>
              <a:solidFill>
                <a:srgbClr val="92D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Teacher_need_figures!$C$29:$N$29</c:f>
              <c:numCache>
                <c:formatCode>#,##0</c:formatCode>
                <c:ptCount val="12"/>
                <c:pt idx="0">
                  <c:v>5031.0938936371076</c:v>
                </c:pt>
                <c:pt idx="1">
                  <c:v>5031.8745371214309</c:v>
                </c:pt>
                <c:pt idx="2">
                  <c:v>5063.8831159871925</c:v>
                </c:pt>
                <c:pt idx="3">
                  <c:v>5075.1545133812051</c:v>
                </c:pt>
                <c:pt idx="4">
                  <c:v>5065.2937855486989</c:v>
                </c:pt>
                <c:pt idx="5">
                  <c:v>5030.6980732445454</c:v>
                </c:pt>
                <c:pt idx="6">
                  <c:v>5038.2076146806994</c:v>
                </c:pt>
                <c:pt idx="7">
                  <c:v>5061.6281804127666</c:v>
                </c:pt>
                <c:pt idx="8">
                  <c:v>5041.1826092764768</c:v>
                </c:pt>
                <c:pt idx="9">
                  <c:v>5000.3471421257582</c:v>
                </c:pt>
                <c:pt idx="10">
                  <c:v>4995.1881811491194</c:v>
                </c:pt>
                <c:pt idx="11">
                  <c:v>5012.5751161913176</c:v>
                </c:pt>
              </c:numCache>
            </c:numRef>
          </c:val>
          <c:smooth val="0"/>
          <c:extLst>
            <c:ext xmlns:c16="http://schemas.microsoft.com/office/drawing/2014/chart" uri="{C3380CC4-5D6E-409C-BE32-E72D297353CC}">
              <c16:uniqueId val="{00000005-B02A-4364-A4AE-18A839CC1AF8}"/>
            </c:ext>
          </c:extLst>
        </c:ser>
        <c:dLbls>
          <c:showLegendKey val="0"/>
          <c:showVal val="0"/>
          <c:showCatName val="0"/>
          <c:showSerName val="0"/>
          <c:showPercent val="0"/>
          <c:showBubbleSize val="0"/>
        </c:dLbls>
        <c:smooth val="0"/>
        <c:axId val="149515264"/>
        <c:axId val="149529344"/>
      </c:lineChart>
      <c:catAx>
        <c:axId val="1495152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29344"/>
        <c:crosses val="autoZero"/>
        <c:auto val="1"/>
        <c:lblAlgn val="ctr"/>
        <c:lblOffset val="100"/>
        <c:noMultiLvlLbl val="0"/>
      </c:catAx>
      <c:valAx>
        <c:axId val="14952934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15264"/>
        <c:crosses val="autoZero"/>
        <c:crossBetween val="between"/>
      </c:valAx>
      <c:spPr>
        <a:ln>
          <a:solidFill>
            <a:schemeClr val="tx1">
              <a:lumMod val="95000"/>
              <a:lumOff val="5000"/>
            </a:schemeClr>
          </a:solidFill>
        </a:ln>
      </c:spPr>
    </c:plotArea>
    <c:legend>
      <c:legendPos val="r"/>
      <c:layout>
        <c:manualLayout>
          <c:xMode val="edge"/>
          <c:yMode val="edge"/>
          <c:x val="0.72704621438179995"/>
          <c:y val="2.768166089965398E-2"/>
          <c:w val="0.251252524986964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2832174103237096"/>
          <c:y val="0.11075240594925634"/>
          <c:w val="0.57466236755554945"/>
          <c:h val="0.71324792622847277"/>
        </c:manualLayout>
      </c:layout>
      <c:lineChart>
        <c:grouping val="standard"/>
        <c:varyColors val="0"/>
        <c:ser>
          <c:idx val="10"/>
          <c:order val="0"/>
          <c:tx>
            <c:strRef>
              <c:f>Teacher_need_figures!$B$50</c:f>
              <c:strCache>
                <c:ptCount val="1"/>
                <c:pt idx="0">
                  <c:v>GEOGRAPHY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Teacher_need_figures!$C$50:$N$50</c:f>
              <c:numCache>
                <c:formatCode>#,##0</c:formatCode>
                <c:ptCount val="12"/>
                <c:pt idx="0">
                  <c:v>10803.079082425373</c:v>
                </c:pt>
                <c:pt idx="1">
                  <c:v>10913.97383137792</c:v>
                </c:pt>
                <c:pt idx="2">
                  <c:v>11040.073537517266</c:v>
                </c:pt>
                <c:pt idx="3">
                  <c:v>11141.835814652577</c:v>
                </c:pt>
                <c:pt idx="4">
                  <c:v>11235.812997276715</c:v>
                </c:pt>
                <c:pt idx="5">
                  <c:v>11318.429527654655</c:v>
                </c:pt>
                <c:pt idx="6">
                  <c:v>11447.571971044999</c:v>
                </c:pt>
                <c:pt idx="7">
                  <c:v>11514.819044284342</c:v>
                </c:pt>
                <c:pt idx="8">
                  <c:v>11515.740365562662</c:v>
                </c:pt>
                <c:pt idx="9">
                  <c:v>11475.359015980936</c:v>
                </c:pt>
                <c:pt idx="10">
                  <c:v>11454.130023559828</c:v>
                </c:pt>
                <c:pt idx="11">
                  <c:v>11445.395839009616</c:v>
                </c:pt>
              </c:numCache>
            </c:numRef>
          </c:val>
          <c:smooth val="0"/>
          <c:extLst>
            <c:ext xmlns:c16="http://schemas.microsoft.com/office/drawing/2014/chart" uri="{C3380CC4-5D6E-409C-BE32-E72D297353CC}">
              <c16:uniqueId val="{00000000-16A6-4482-894C-411C87FA93BF}"/>
            </c:ext>
          </c:extLst>
        </c:ser>
        <c:ser>
          <c:idx val="0"/>
          <c:order val="1"/>
          <c:tx>
            <c:strRef>
              <c:f>Teacher_need_figures!$B$25</c:f>
              <c:strCache>
                <c:ptCount val="1"/>
                <c:pt idx="0">
                  <c:v>GEOGRAPHY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Teacher_need_figures!$C$25:$N$25</c:f>
              <c:numCache>
                <c:formatCode>#,##0</c:formatCode>
                <c:ptCount val="12"/>
                <c:pt idx="0">
                  <c:v>10803.079082425373</c:v>
                </c:pt>
                <c:pt idx="1">
                  <c:v>10913.97383137792</c:v>
                </c:pt>
                <c:pt idx="2">
                  <c:v>11040.073537517266</c:v>
                </c:pt>
                <c:pt idx="3">
                  <c:v>11141.835814652577</c:v>
                </c:pt>
                <c:pt idx="4">
                  <c:v>11235.812997276715</c:v>
                </c:pt>
                <c:pt idx="5">
                  <c:v>11318.429527654655</c:v>
                </c:pt>
                <c:pt idx="6">
                  <c:v>11447.571971044999</c:v>
                </c:pt>
                <c:pt idx="7">
                  <c:v>11514.819044284342</c:v>
                </c:pt>
                <c:pt idx="8">
                  <c:v>11515.740365562662</c:v>
                </c:pt>
                <c:pt idx="9">
                  <c:v>11475.359015980936</c:v>
                </c:pt>
                <c:pt idx="10">
                  <c:v>11454.130023559828</c:v>
                </c:pt>
                <c:pt idx="11">
                  <c:v>11445.395839009616</c:v>
                </c:pt>
              </c:numCache>
            </c:numRef>
          </c:val>
          <c:smooth val="0"/>
          <c:extLst>
            <c:ext xmlns:c16="http://schemas.microsoft.com/office/drawing/2014/chart" uri="{C3380CC4-5D6E-409C-BE32-E72D297353CC}">
              <c16:uniqueId val="{00000001-16A6-4482-894C-411C87FA93BF}"/>
            </c:ext>
          </c:extLst>
        </c:ser>
        <c:ser>
          <c:idx val="11"/>
          <c:order val="2"/>
          <c:tx>
            <c:strRef>
              <c:f>Teacher_need_figures!$B$51</c:f>
              <c:strCache>
                <c:ptCount val="1"/>
                <c:pt idx="0">
                  <c:v>HISTORY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Teacher_need_figures!$C$51:$N$51</c:f>
              <c:numCache>
                <c:formatCode>#,##0</c:formatCode>
                <c:ptCount val="12"/>
                <c:pt idx="0">
                  <c:v>11478.78528353108</c:v>
                </c:pt>
                <c:pt idx="1">
                  <c:v>11581.968504481012</c:v>
                </c:pt>
                <c:pt idx="2">
                  <c:v>11702.36853693105</c:v>
                </c:pt>
                <c:pt idx="3">
                  <c:v>11805.823561991971</c:v>
                </c:pt>
                <c:pt idx="4">
                  <c:v>11905.04406842778</c:v>
                </c:pt>
                <c:pt idx="5">
                  <c:v>11996.878419563651</c:v>
                </c:pt>
                <c:pt idx="6">
                  <c:v>12135.936933273137</c:v>
                </c:pt>
                <c:pt idx="7">
                  <c:v>12213.749991184312</c:v>
                </c:pt>
                <c:pt idx="8">
                  <c:v>12222.822653396182</c:v>
                </c:pt>
                <c:pt idx="9">
                  <c:v>12188.797624594896</c:v>
                </c:pt>
                <c:pt idx="10">
                  <c:v>12171.21671946704</c:v>
                </c:pt>
                <c:pt idx="11">
                  <c:v>12163.2752523872</c:v>
                </c:pt>
              </c:numCache>
            </c:numRef>
          </c:val>
          <c:smooth val="0"/>
          <c:extLst>
            <c:ext xmlns:c16="http://schemas.microsoft.com/office/drawing/2014/chart" uri="{C3380CC4-5D6E-409C-BE32-E72D297353CC}">
              <c16:uniqueId val="{00000002-16A6-4482-894C-411C87FA93BF}"/>
            </c:ext>
          </c:extLst>
        </c:ser>
        <c:ser>
          <c:idx val="1"/>
          <c:order val="3"/>
          <c:tx>
            <c:strRef>
              <c:f>Teacher_need_figures!$B$26</c:f>
              <c:strCache>
                <c:ptCount val="1"/>
                <c:pt idx="0">
                  <c:v>HISTORY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Teacher_need_figures!$C$26:$N$26</c:f>
              <c:numCache>
                <c:formatCode>#,##0</c:formatCode>
                <c:ptCount val="12"/>
                <c:pt idx="0">
                  <c:v>11478.78528353108</c:v>
                </c:pt>
                <c:pt idx="1">
                  <c:v>11581.968504481012</c:v>
                </c:pt>
                <c:pt idx="2">
                  <c:v>11702.36853693105</c:v>
                </c:pt>
                <c:pt idx="3">
                  <c:v>11805.823561991971</c:v>
                </c:pt>
                <c:pt idx="4">
                  <c:v>11905.04406842778</c:v>
                </c:pt>
                <c:pt idx="5">
                  <c:v>11996.878419563651</c:v>
                </c:pt>
                <c:pt idx="6">
                  <c:v>12135.936933273137</c:v>
                </c:pt>
                <c:pt idx="7">
                  <c:v>12213.749991184312</c:v>
                </c:pt>
                <c:pt idx="8">
                  <c:v>12222.822653396182</c:v>
                </c:pt>
                <c:pt idx="9">
                  <c:v>12188.797624594896</c:v>
                </c:pt>
                <c:pt idx="10">
                  <c:v>12171.21671946704</c:v>
                </c:pt>
                <c:pt idx="11">
                  <c:v>12163.2752523872</c:v>
                </c:pt>
              </c:numCache>
            </c:numRef>
          </c:val>
          <c:smooth val="0"/>
          <c:extLst>
            <c:ext xmlns:c16="http://schemas.microsoft.com/office/drawing/2014/chart" uri="{C3380CC4-5D6E-409C-BE32-E72D297353CC}">
              <c16:uniqueId val="{00000003-16A6-4482-894C-411C87FA93BF}"/>
            </c:ext>
          </c:extLst>
        </c:ser>
        <c:ser>
          <c:idx val="18"/>
          <c:order val="4"/>
          <c:tx>
            <c:strRef>
              <c:f>Teacher_need_figures!$B$58</c:f>
              <c:strCache>
                <c:ptCount val="1"/>
                <c:pt idx="0">
                  <c:v>RELIGIOUS EDUCATION All Central Scenario</c:v>
                </c:pt>
              </c:strCache>
            </c:strRef>
          </c:tx>
          <c:spPr>
            <a:ln>
              <a:solidFill>
                <a:srgbClr val="92D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Teacher_need_figures!$C$58:$N$58</c:f>
              <c:numCache>
                <c:formatCode>#,##0</c:formatCode>
                <c:ptCount val="12"/>
                <c:pt idx="0">
                  <c:v>7253.8944869877287</c:v>
                </c:pt>
                <c:pt idx="1">
                  <c:v>7249.5624630229613</c:v>
                </c:pt>
                <c:pt idx="2">
                  <c:v>7287.7369741211323</c:v>
                </c:pt>
                <c:pt idx="3">
                  <c:v>7301.1702138647452</c:v>
                </c:pt>
                <c:pt idx="4">
                  <c:v>7296.432424840199</c:v>
                </c:pt>
                <c:pt idx="5">
                  <c:v>7272.0769251326656</c:v>
                </c:pt>
                <c:pt idx="6">
                  <c:v>7288.0563023744571</c:v>
                </c:pt>
                <c:pt idx="7">
                  <c:v>7328.5650940326677</c:v>
                </c:pt>
                <c:pt idx="8">
                  <c:v>7335.0529973574376</c:v>
                </c:pt>
                <c:pt idx="9">
                  <c:v>7319.1753367670381</c:v>
                </c:pt>
                <c:pt idx="10">
                  <c:v>7308.7509548267399</c:v>
                </c:pt>
                <c:pt idx="11">
                  <c:v>7294.859870680898</c:v>
                </c:pt>
              </c:numCache>
            </c:numRef>
          </c:val>
          <c:smooth val="0"/>
          <c:extLst>
            <c:ext xmlns:c16="http://schemas.microsoft.com/office/drawing/2014/chart" uri="{C3380CC4-5D6E-409C-BE32-E72D297353CC}">
              <c16:uniqueId val="{00000004-16A6-4482-894C-411C87FA93BF}"/>
            </c:ext>
          </c:extLst>
        </c:ser>
        <c:ser>
          <c:idx val="2"/>
          <c:order val="5"/>
          <c:tx>
            <c:strRef>
              <c:f>Teacher_need_figures!$B$33</c:f>
              <c:strCache>
                <c:ptCount val="1"/>
                <c:pt idx="0">
                  <c:v>RELIGIOUS EDUCATION Scenario Selected</c:v>
                </c:pt>
              </c:strCache>
            </c:strRef>
          </c:tx>
          <c:spPr>
            <a:ln>
              <a:solidFill>
                <a:srgbClr val="92D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Teacher_need_figures!$C$33:$N$33</c:f>
              <c:numCache>
                <c:formatCode>#,##0</c:formatCode>
                <c:ptCount val="12"/>
                <c:pt idx="0">
                  <c:v>7253.8944869877287</c:v>
                </c:pt>
                <c:pt idx="1">
                  <c:v>7249.5624630229613</c:v>
                </c:pt>
                <c:pt idx="2">
                  <c:v>7287.7369741211323</c:v>
                </c:pt>
                <c:pt idx="3">
                  <c:v>7301.1702138647452</c:v>
                </c:pt>
                <c:pt idx="4">
                  <c:v>7296.432424840199</c:v>
                </c:pt>
                <c:pt idx="5">
                  <c:v>7272.0769251326656</c:v>
                </c:pt>
                <c:pt idx="6">
                  <c:v>7288.0563023744571</c:v>
                </c:pt>
                <c:pt idx="7">
                  <c:v>7328.5650940326677</c:v>
                </c:pt>
                <c:pt idx="8">
                  <c:v>7335.0529973574376</c:v>
                </c:pt>
                <c:pt idx="9">
                  <c:v>7319.1753367670381</c:v>
                </c:pt>
                <c:pt idx="10">
                  <c:v>7308.7509548267399</c:v>
                </c:pt>
                <c:pt idx="11">
                  <c:v>7294.859870680898</c:v>
                </c:pt>
              </c:numCache>
            </c:numRef>
          </c:val>
          <c:smooth val="0"/>
          <c:extLst>
            <c:ext xmlns:c16="http://schemas.microsoft.com/office/drawing/2014/chart" uri="{C3380CC4-5D6E-409C-BE32-E72D297353CC}">
              <c16:uniqueId val="{00000005-16A6-4482-894C-411C87FA93BF}"/>
            </c:ext>
          </c:extLst>
        </c:ser>
        <c:dLbls>
          <c:showLegendKey val="0"/>
          <c:showVal val="0"/>
          <c:showCatName val="0"/>
          <c:showSerName val="0"/>
          <c:showPercent val="0"/>
          <c:showBubbleSize val="0"/>
        </c:dLbls>
        <c:smooth val="0"/>
        <c:axId val="149633664"/>
        <c:axId val="149651840"/>
      </c:lineChart>
      <c:catAx>
        <c:axId val="1496336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651840"/>
        <c:crosses val="autoZero"/>
        <c:auto val="1"/>
        <c:lblAlgn val="ctr"/>
        <c:lblOffset val="100"/>
        <c:noMultiLvlLbl val="0"/>
      </c:catAx>
      <c:valAx>
        <c:axId val="149651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33664"/>
        <c:crosses val="autoZero"/>
        <c:crossBetween val="between"/>
      </c:valAx>
      <c:spPr>
        <a:ln>
          <a:solidFill>
            <a:schemeClr val="tx1">
              <a:lumMod val="95000"/>
              <a:lumOff val="5000"/>
            </a:schemeClr>
          </a:solidFill>
        </a:ln>
      </c:spPr>
    </c:plotArea>
    <c:legend>
      <c:legendPos val="r"/>
      <c:layout>
        <c:manualLayout>
          <c:xMode val="edge"/>
          <c:yMode val="edge"/>
          <c:x val="0.71335025390312967"/>
          <c:y val="5.0173192018817717E-2"/>
          <c:w val="0.26208041151412731"/>
          <c:h val="0.8961937716262975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2832174103237096"/>
          <c:y val="0.11075240594925634"/>
          <c:w val="0.58683129662555622"/>
          <c:h val="0.71770425421421258"/>
        </c:manualLayout>
      </c:layout>
      <c:lineChart>
        <c:grouping val="standard"/>
        <c:varyColors val="0"/>
        <c:ser>
          <c:idx val="3"/>
          <c:order val="0"/>
          <c:tx>
            <c:strRef>
              <c:f>Teacher_need_figures!$B$42</c:f>
              <c:strCache>
                <c:ptCount val="1"/>
                <c:pt idx="0">
                  <c:v>BUSINESS STUDIES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Teacher_need_figures!$C$42:$N$42</c:f>
              <c:numCache>
                <c:formatCode>#,##0</c:formatCode>
                <c:ptCount val="12"/>
                <c:pt idx="0">
                  <c:v>3881.3803858866468</c:v>
                </c:pt>
                <c:pt idx="1">
                  <c:v>3797.8888289148053</c:v>
                </c:pt>
                <c:pt idx="2">
                  <c:v>3742.9101835736583</c:v>
                </c:pt>
                <c:pt idx="3">
                  <c:v>3732.6662022919718</c:v>
                </c:pt>
                <c:pt idx="4">
                  <c:v>3743.6928729263068</c:v>
                </c:pt>
                <c:pt idx="5">
                  <c:v>3780.2009231604229</c:v>
                </c:pt>
                <c:pt idx="6">
                  <c:v>3822.013379152203</c:v>
                </c:pt>
                <c:pt idx="7">
                  <c:v>3886.3469314109389</c:v>
                </c:pt>
                <c:pt idx="8">
                  <c:v>3949.0410620806938</c:v>
                </c:pt>
                <c:pt idx="9">
                  <c:v>4005.3491520331768</c:v>
                </c:pt>
                <c:pt idx="10">
                  <c:v>4028.9808129980165</c:v>
                </c:pt>
                <c:pt idx="11">
                  <c:v>4020.706020224975</c:v>
                </c:pt>
              </c:numCache>
            </c:numRef>
          </c:val>
          <c:smooth val="0"/>
          <c:extLst>
            <c:ext xmlns:c16="http://schemas.microsoft.com/office/drawing/2014/chart" uri="{C3380CC4-5D6E-409C-BE32-E72D297353CC}">
              <c16:uniqueId val="{00000000-D567-49AC-ABEB-3FEF7DC0A88F}"/>
            </c:ext>
          </c:extLst>
        </c:ser>
        <c:ser>
          <c:idx val="0"/>
          <c:order val="1"/>
          <c:tx>
            <c:strRef>
              <c:f>Teacher_need_figures!$B$17</c:f>
              <c:strCache>
                <c:ptCount val="1"/>
                <c:pt idx="0">
                  <c:v>BUSINESS STUDIES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Teacher_need_figures!$C$17:$N$17</c:f>
              <c:numCache>
                <c:formatCode>#,##0</c:formatCode>
                <c:ptCount val="12"/>
                <c:pt idx="0">
                  <c:v>3881.3803858866468</c:v>
                </c:pt>
                <c:pt idx="1">
                  <c:v>3797.8888289148053</c:v>
                </c:pt>
                <c:pt idx="2">
                  <c:v>3742.9101835736583</c:v>
                </c:pt>
                <c:pt idx="3">
                  <c:v>3732.6662022919718</c:v>
                </c:pt>
                <c:pt idx="4">
                  <c:v>3743.6928729263068</c:v>
                </c:pt>
                <c:pt idx="5">
                  <c:v>3780.2009231604229</c:v>
                </c:pt>
                <c:pt idx="6">
                  <c:v>3822.013379152203</c:v>
                </c:pt>
                <c:pt idx="7">
                  <c:v>3886.3469314109389</c:v>
                </c:pt>
                <c:pt idx="8">
                  <c:v>3949.0410620806938</c:v>
                </c:pt>
                <c:pt idx="9">
                  <c:v>4005.3491520331768</c:v>
                </c:pt>
                <c:pt idx="10">
                  <c:v>4028.9808129980165</c:v>
                </c:pt>
                <c:pt idx="11">
                  <c:v>4020.706020224975</c:v>
                </c:pt>
              </c:numCache>
            </c:numRef>
          </c:val>
          <c:smooth val="0"/>
          <c:extLst>
            <c:ext xmlns:c16="http://schemas.microsoft.com/office/drawing/2014/chart" uri="{C3380CC4-5D6E-409C-BE32-E72D297353CC}">
              <c16:uniqueId val="{00000001-D567-49AC-ABEB-3FEF7DC0A88F}"/>
            </c:ext>
          </c:extLst>
        </c:ser>
        <c:ser>
          <c:idx val="15"/>
          <c:order val="2"/>
          <c:tx>
            <c:strRef>
              <c:f>Teacher_need_figures!$B$55</c:f>
              <c:strCache>
                <c:ptCount val="1"/>
                <c:pt idx="0">
                  <c:v>OTHERS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Teacher_need_figures!$C$55:$N$55</c:f>
              <c:numCache>
                <c:formatCode>#,##0</c:formatCode>
                <c:ptCount val="12"/>
                <c:pt idx="0">
                  <c:v>13467.698732576104</c:v>
                </c:pt>
                <c:pt idx="1">
                  <c:v>13191.52552967619</c:v>
                </c:pt>
                <c:pt idx="2">
                  <c:v>13018.58476788241</c:v>
                </c:pt>
                <c:pt idx="3">
                  <c:v>12986.409988305681</c:v>
                </c:pt>
                <c:pt idx="4">
                  <c:v>13000.806126678135</c:v>
                </c:pt>
                <c:pt idx="5">
                  <c:v>13068.681049346382</c:v>
                </c:pt>
                <c:pt idx="6">
                  <c:v>13197.505351724647</c:v>
                </c:pt>
                <c:pt idx="7">
                  <c:v>13404.409559926506</c:v>
                </c:pt>
                <c:pt idx="8">
                  <c:v>13547.048201836704</c:v>
                </c:pt>
                <c:pt idx="9">
                  <c:v>13653.49407142097</c:v>
                </c:pt>
                <c:pt idx="10">
                  <c:v>13739.843528795254</c:v>
                </c:pt>
                <c:pt idx="11">
                  <c:v>13788.227928042717</c:v>
                </c:pt>
              </c:numCache>
            </c:numRef>
          </c:val>
          <c:smooth val="0"/>
          <c:extLst>
            <c:ext xmlns:c16="http://schemas.microsoft.com/office/drawing/2014/chart" uri="{C3380CC4-5D6E-409C-BE32-E72D297353CC}">
              <c16:uniqueId val="{00000002-D567-49AC-ABEB-3FEF7DC0A88F}"/>
            </c:ext>
          </c:extLst>
        </c:ser>
        <c:ser>
          <c:idx val="1"/>
          <c:order val="3"/>
          <c:tx>
            <c:strRef>
              <c:f>Teacher_need_figures!$B$30</c:f>
              <c:strCache>
                <c:ptCount val="1"/>
                <c:pt idx="0">
                  <c:v>OTHERS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Teacher_need_figures!$C$30:$N$30</c:f>
              <c:numCache>
                <c:formatCode>#,##0</c:formatCode>
                <c:ptCount val="12"/>
                <c:pt idx="0">
                  <c:v>13467.698732576104</c:v>
                </c:pt>
                <c:pt idx="1">
                  <c:v>13191.52552967619</c:v>
                </c:pt>
                <c:pt idx="2">
                  <c:v>13018.58476788241</c:v>
                </c:pt>
                <c:pt idx="3">
                  <c:v>12986.409988305681</c:v>
                </c:pt>
                <c:pt idx="4">
                  <c:v>13000.806126678135</c:v>
                </c:pt>
                <c:pt idx="5">
                  <c:v>13068.681049346382</c:v>
                </c:pt>
                <c:pt idx="6">
                  <c:v>13197.505351724647</c:v>
                </c:pt>
                <c:pt idx="7">
                  <c:v>13404.409559926506</c:v>
                </c:pt>
                <c:pt idx="8">
                  <c:v>13547.048201836704</c:v>
                </c:pt>
                <c:pt idx="9">
                  <c:v>13653.49407142097</c:v>
                </c:pt>
                <c:pt idx="10">
                  <c:v>13739.843528795254</c:v>
                </c:pt>
                <c:pt idx="11">
                  <c:v>13788.227928042717</c:v>
                </c:pt>
              </c:numCache>
            </c:numRef>
          </c:val>
          <c:smooth val="0"/>
          <c:extLst>
            <c:ext xmlns:c16="http://schemas.microsoft.com/office/drawing/2014/chart" uri="{C3380CC4-5D6E-409C-BE32-E72D297353CC}">
              <c16:uniqueId val="{00000003-D567-49AC-ABEB-3FEF7DC0A88F}"/>
            </c:ext>
          </c:extLst>
        </c:ser>
        <c:ser>
          <c:idx val="16"/>
          <c:order val="4"/>
          <c:tx>
            <c:strRef>
              <c:f>Teacher_need_figures!$B$56</c:f>
              <c:strCache>
                <c:ptCount val="1"/>
                <c:pt idx="0">
                  <c:v>PHYSICAL EDUCATION All Central Scenario</c:v>
                </c:pt>
              </c:strCache>
            </c:strRef>
          </c:tx>
          <c:spPr>
            <a:ln>
              <a:solidFill>
                <a:srgbClr val="92D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Teacher_need_figures!$C$56:$N$56</c:f>
              <c:numCache>
                <c:formatCode>#,##0</c:formatCode>
                <c:ptCount val="12"/>
                <c:pt idx="0">
                  <c:v>16467.262477428438</c:v>
                </c:pt>
                <c:pt idx="1">
                  <c:v>16482.014449636485</c:v>
                </c:pt>
                <c:pt idx="2">
                  <c:v>16590.416376455454</c:v>
                </c:pt>
                <c:pt idx="3">
                  <c:v>16626.361766054804</c:v>
                </c:pt>
                <c:pt idx="4">
                  <c:v>16616.544724022035</c:v>
                </c:pt>
                <c:pt idx="5">
                  <c:v>16557.647838055684</c:v>
                </c:pt>
                <c:pt idx="6">
                  <c:v>16586.779985111461</c:v>
                </c:pt>
                <c:pt idx="7">
                  <c:v>16667.969198455685</c:v>
                </c:pt>
                <c:pt idx="8">
                  <c:v>16678.773728357537</c:v>
                </c:pt>
                <c:pt idx="9">
                  <c:v>16639.88761305494</c:v>
                </c:pt>
                <c:pt idx="10">
                  <c:v>16605.50062864659</c:v>
                </c:pt>
                <c:pt idx="11">
                  <c:v>16557.904130163955</c:v>
                </c:pt>
              </c:numCache>
            </c:numRef>
          </c:val>
          <c:smooth val="0"/>
          <c:extLst>
            <c:ext xmlns:c16="http://schemas.microsoft.com/office/drawing/2014/chart" uri="{C3380CC4-5D6E-409C-BE32-E72D297353CC}">
              <c16:uniqueId val="{00000004-D567-49AC-ABEB-3FEF7DC0A88F}"/>
            </c:ext>
          </c:extLst>
        </c:ser>
        <c:ser>
          <c:idx val="2"/>
          <c:order val="5"/>
          <c:tx>
            <c:strRef>
              <c:f>Teacher_need_figures!$B$31</c:f>
              <c:strCache>
                <c:ptCount val="1"/>
                <c:pt idx="0">
                  <c:v>PHYSICAL EDUCATION Scenario Selected</c:v>
                </c:pt>
              </c:strCache>
            </c:strRef>
          </c:tx>
          <c:spPr>
            <a:ln>
              <a:solidFill>
                <a:srgbClr val="92D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Teacher_need_figures!$C$31:$N$31</c:f>
              <c:numCache>
                <c:formatCode>#,##0</c:formatCode>
                <c:ptCount val="12"/>
                <c:pt idx="0">
                  <c:v>16467.262477428438</c:v>
                </c:pt>
                <c:pt idx="1">
                  <c:v>16482.014449636485</c:v>
                </c:pt>
                <c:pt idx="2">
                  <c:v>16590.416376455454</c:v>
                </c:pt>
                <c:pt idx="3">
                  <c:v>16626.361766054804</c:v>
                </c:pt>
                <c:pt idx="4">
                  <c:v>16616.544724022035</c:v>
                </c:pt>
                <c:pt idx="5">
                  <c:v>16557.647838055684</c:v>
                </c:pt>
                <c:pt idx="6">
                  <c:v>16586.779985111461</c:v>
                </c:pt>
                <c:pt idx="7">
                  <c:v>16667.969198455685</c:v>
                </c:pt>
                <c:pt idx="8">
                  <c:v>16678.773728357537</c:v>
                </c:pt>
                <c:pt idx="9">
                  <c:v>16639.88761305494</c:v>
                </c:pt>
                <c:pt idx="10">
                  <c:v>16605.50062864659</c:v>
                </c:pt>
                <c:pt idx="11">
                  <c:v>16557.904130163955</c:v>
                </c:pt>
              </c:numCache>
            </c:numRef>
          </c:val>
          <c:smooth val="0"/>
          <c:extLst>
            <c:ext xmlns:c16="http://schemas.microsoft.com/office/drawing/2014/chart" uri="{C3380CC4-5D6E-409C-BE32-E72D297353CC}">
              <c16:uniqueId val="{00000005-D567-49AC-ABEB-3FEF7DC0A88F}"/>
            </c:ext>
          </c:extLst>
        </c:ser>
        <c:dLbls>
          <c:showLegendKey val="0"/>
          <c:showVal val="0"/>
          <c:showCatName val="0"/>
          <c:showSerName val="0"/>
          <c:showPercent val="0"/>
          <c:showBubbleSize val="0"/>
        </c:dLbls>
        <c:smooth val="0"/>
        <c:axId val="149764736"/>
        <c:axId val="149778816"/>
      </c:lineChart>
      <c:catAx>
        <c:axId val="14976473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778816"/>
        <c:crosses val="autoZero"/>
        <c:auto val="1"/>
        <c:lblAlgn val="ctr"/>
        <c:lblOffset val="100"/>
        <c:noMultiLvlLbl val="0"/>
      </c:catAx>
      <c:valAx>
        <c:axId val="1497788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764736"/>
        <c:crosses val="autoZero"/>
        <c:crossBetween val="between"/>
      </c:valAx>
      <c:spPr>
        <a:ln>
          <a:solidFill>
            <a:schemeClr val="tx1">
              <a:lumMod val="95000"/>
              <a:lumOff val="5000"/>
            </a:schemeClr>
          </a:solidFill>
        </a:ln>
      </c:spPr>
    </c:plotArea>
    <c:legend>
      <c:legendPos val="r"/>
      <c:layout>
        <c:manualLayout>
          <c:xMode val="edge"/>
          <c:yMode val="edge"/>
          <c:x val="0.73288937380323282"/>
          <c:y val="3.1141868512110725E-2"/>
          <c:w val="0.244574728659752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Chart illustrating PTR projections used in the model</a:t>
            </a:r>
          </a:p>
        </c:rich>
      </c:tx>
      <c:overlay val="0"/>
    </c:title>
    <c:autoTitleDeleted val="0"/>
    <c:plotArea>
      <c:layout>
        <c:manualLayout>
          <c:layoutTarget val="inner"/>
          <c:xMode val="edge"/>
          <c:yMode val="edge"/>
          <c:x val="0.10724538801484612"/>
          <c:y val="0.12734644202994178"/>
          <c:w val="0.56238846956385347"/>
          <c:h val="0.69713544186864906"/>
        </c:manualLayout>
      </c:layout>
      <c:lineChart>
        <c:grouping val="standard"/>
        <c:varyColors val="0"/>
        <c:ser>
          <c:idx val="0"/>
          <c:order val="0"/>
          <c:tx>
            <c:strRef>
              <c:f>USER_TESTING_TAB!$S$207</c:f>
              <c:strCache>
                <c:ptCount val="1"/>
                <c:pt idx="0">
                  <c:v>Primary PTR - default</c:v>
                </c:pt>
              </c:strCache>
            </c:strRef>
          </c:tx>
          <c:spPr>
            <a:ln>
              <a:solidFill>
                <a:schemeClr val="tx1">
                  <a:lumMod val="95000"/>
                  <a:lumOff val="5000"/>
                </a:schemeClr>
              </a:solidFill>
            </a:ln>
          </c:spPr>
          <c:marker>
            <c:symbol val="none"/>
          </c:marker>
          <c:cat>
            <c:strRef>
              <c:f>USER_TESTING_TAB!$T$206:$AF$206</c:f>
              <c:strCache>
                <c:ptCount val="13"/>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strCache>
            </c:strRef>
          </c:cat>
          <c:val>
            <c:numRef>
              <c:f>USER_TESTING_TAB!$T$207:$AF$207</c:f>
              <c:numCache>
                <c:formatCode>0</c:formatCode>
                <c:ptCount val="13"/>
                <c:pt idx="0">
                  <c:v>20.045878339681273</c:v>
                </c:pt>
                <c:pt idx="1">
                  <c:v>20.170585191853803</c:v>
                </c:pt>
                <c:pt idx="2">
                  <c:v>20.225750902047984</c:v>
                </c:pt>
                <c:pt idx="3">
                  <c:v>20.226170518409532</c:v>
                </c:pt>
                <c:pt idx="4">
                  <c:v>20.245208256374575</c:v>
                </c:pt>
                <c:pt idx="5">
                  <c:v>20.250268028880232</c:v>
                </c:pt>
                <c:pt idx="6">
                  <c:v>20.237340421739312</c:v>
                </c:pt>
                <c:pt idx="7">
                  <c:v>20.204628222666607</c:v>
                </c:pt>
                <c:pt idx="8">
                  <c:v>20.2241626568882</c:v>
                </c:pt>
                <c:pt idx="9">
                  <c:v>20.280956637838841</c:v>
                </c:pt>
                <c:pt idx="10">
                  <c:v>20.342124343590747</c:v>
                </c:pt>
                <c:pt idx="11">
                  <c:v>20.388714512288242</c:v>
                </c:pt>
                <c:pt idx="12">
                  <c:v>20.420104620971276</c:v>
                </c:pt>
              </c:numCache>
            </c:numRef>
          </c:val>
          <c:smooth val="0"/>
          <c:extLst>
            <c:ext xmlns:c16="http://schemas.microsoft.com/office/drawing/2014/chart" uri="{C3380CC4-5D6E-409C-BE32-E72D297353CC}">
              <c16:uniqueId val="{00000000-8CE8-405D-B3AB-CE2C8FB23478}"/>
            </c:ext>
          </c:extLst>
        </c:ser>
        <c:ser>
          <c:idx val="1"/>
          <c:order val="1"/>
          <c:tx>
            <c:strRef>
              <c:f>USER_TESTING_TAB!$S$208</c:f>
              <c:strCache>
                <c:ptCount val="1"/>
                <c:pt idx="0">
                  <c:v>Primary PTR - user selected</c:v>
                </c:pt>
              </c:strCache>
            </c:strRef>
          </c:tx>
          <c:spPr>
            <a:ln>
              <a:solidFill>
                <a:schemeClr val="tx1">
                  <a:lumMod val="95000"/>
                  <a:lumOff val="5000"/>
                </a:schemeClr>
              </a:solidFill>
              <a:prstDash val="sysDot"/>
            </a:ln>
          </c:spPr>
          <c:marker>
            <c:symbol val="none"/>
          </c:marker>
          <c:cat>
            <c:strRef>
              <c:f>USER_TESTING_TAB!$T$206:$AF$206</c:f>
              <c:strCache>
                <c:ptCount val="13"/>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strCache>
            </c:strRef>
          </c:cat>
          <c:val>
            <c:numRef>
              <c:f>USER_TESTING_TAB!$T$208:$AF$208</c:f>
              <c:numCache>
                <c:formatCode>0</c:formatCode>
                <c:ptCount val="13"/>
                <c:pt idx="0">
                  <c:v>20.045878339681273</c:v>
                </c:pt>
                <c:pt idx="1">
                  <c:v>20.170585191853803</c:v>
                </c:pt>
                <c:pt idx="2">
                  <c:v>20.225750902047984</c:v>
                </c:pt>
                <c:pt idx="3">
                  <c:v>20.226170518409532</c:v>
                </c:pt>
                <c:pt idx="4">
                  <c:v>20.245208256374575</c:v>
                </c:pt>
                <c:pt idx="5">
                  <c:v>20.250268028880232</c:v>
                </c:pt>
                <c:pt idx="6">
                  <c:v>20.237340421739312</c:v>
                </c:pt>
                <c:pt idx="7">
                  <c:v>20.204628222666607</c:v>
                </c:pt>
                <c:pt idx="8">
                  <c:v>20.2241626568882</c:v>
                </c:pt>
                <c:pt idx="9">
                  <c:v>20.280956637838841</c:v>
                </c:pt>
                <c:pt idx="10">
                  <c:v>20.342124343590747</c:v>
                </c:pt>
                <c:pt idx="11">
                  <c:v>20.388714512288242</c:v>
                </c:pt>
                <c:pt idx="12">
                  <c:v>20.420104620971276</c:v>
                </c:pt>
              </c:numCache>
            </c:numRef>
          </c:val>
          <c:smooth val="0"/>
          <c:extLst>
            <c:ext xmlns:c16="http://schemas.microsoft.com/office/drawing/2014/chart" uri="{C3380CC4-5D6E-409C-BE32-E72D297353CC}">
              <c16:uniqueId val="{00000001-8CE8-405D-B3AB-CE2C8FB23478}"/>
            </c:ext>
          </c:extLst>
        </c:ser>
        <c:ser>
          <c:idx val="2"/>
          <c:order val="2"/>
          <c:tx>
            <c:strRef>
              <c:f>USER_TESTING_TAB!$S$209</c:f>
              <c:strCache>
                <c:ptCount val="1"/>
                <c:pt idx="0">
                  <c:v>Secondary PTR - default</c:v>
                </c:pt>
              </c:strCache>
            </c:strRef>
          </c:tx>
          <c:spPr>
            <a:ln>
              <a:solidFill>
                <a:srgbClr val="FF0000"/>
              </a:solidFill>
            </a:ln>
          </c:spPr>
          <c:marker>
            <c:symbol val="none"/>
          </c:marker>
          <c:cat>
            <c:strRef>
              <c:f>USER_TESTING_TAB!$T$206:$AF$206</c:f>
              <c:strCache>
                <c:ptCount val="13"/>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strCache>
            </c:strRef>
          </c:cat>
          <c:val>
            <c:numRef>
              <c:f>USER_TESTING_TAB!$T$209:$AF$209</c:f>
              <c:numCache>
                <c:formatCode>0</c:formatCode>
                <c:ptCount val="13"/>
                <c:pt idx="0">
                  <c:v>14.651626429594298</c:v>
                </c:pt>
                <c:pt idx="1">
                  <c:v>14.795826377453437</c:v>
                </c:pt>
                <c:pt idx="2">
                  <c:v>15.009763040433512</c:v>
                </c:pt>
                <c:pt idx="3">
                  <c:v>15.244734301796441</c:v>
                </c:pt>
                <c:pt idx="4">
                  <c:v>15.44023143860764</c:v>
                </c:pt>
                <c:pt idx="5">
                  <c:v>15.647900915878008</c:v>
                </c:pt>
                <c:pt idx="6">
                  <c:v>15.865924842047171</c:v>
                </c:pt>
                <c:pt idx="7">
                  <c:v>16</c:v>
                </c:pt>
                <c:pt idx="8">
                  <c:v>16</c:v>
                </c:pt>
                <c:pt idx="9">
                  <c:v>16</c:v>
                </c:pt>
                <c:pt idx="10">
                  <c:v>15.987168242605145</c:v>
                </c:pt>
                <c:pt idx="11">
                  <c:v>15.959006384855895</c:v>
                </c:pt>
                <c:pt idx="12">
                  <c:v>15.911661117855054</c:v>
                </c:pt>
              </c:numCache>
            </c:numRef>
          </c:val>
          <c:smooth val="0"/>
          <c:extLst>
            <c:ext xmlns:c16="http://schemas.microsoft.com/office/drawing/2014/chart" uri="{C3380CC4-5D6E-409C-BE32-E72D297353CC}">
              <c16:uniqueId val="{00000002-8CE8-405D-B3AB-CE2C8FB23478}"/>
            </c:ext>
          </c:extLst>
        </c:ser>
        <c:ser>
          <c:idx val="3"/>
          <c:order val="3"/>
          <c:tx>
            <c:strRef>
              <c:f>USER_TESTING_TAB!$S$210</c:f>
              <c:strCache>
                <c:ptCount val="1"/>
                <c:pt idx="0">
                  <c:v>Secondary PTR - user selected</c:v>
                </c:pt>
              </c:strCache>
            </c:strRef>
          </c:tx>
          <c:spPr>
            <a:ln>
              <a:solidFill>
                <a:srgbClr val="FF0000"/>
              </a:solidFill>
              <a:prstDash val="sysDot"/>
            </a:ln>
          </c:spPr>
          <c:marker>
            <c:symbol val="none"/>
          </c:marker>
          <c:cat>
            <c:strRef>
              <c:f>USER_TESTING_TAB!$T$206:$AF$206</c:f>
              <c:strCache>
                <c:ptCount val="13"/>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strCache>
            </c:strRef>
          </c:cat>
          <c:val>
            <c:numRef>
              <c:f>USER_TESTING_TAB!$T$210:$AF$210</c:f>
              <c:numCache>
                <c:formatCode>0</c:formatCode>
                <c:ptCount val="13"/>
                <c:pt idx="0">
                  <c:v>14.651626429594298</c:v>
                </c:pt>
                <c:pt idx="1">
                  <c:v>14.795826377453437</c:v>
                </c:pt>
                <c:pt idx="2">
                  <c:v>15.009763040433512</c:v>
                </c:pt>
                <c:pt idx="3">
                  <c:v>15.244734301796441</c:v>
                </c:pt>
                <c:pt idx="4">
                  <c:v>15.44023143860764</c:v>
                </c:pt>
                <c:pt idx="5">
                  <c:v>15.647900915878008</c:v>
                </c:pt>
                <c:pt idx="6">
                  <c:v>15.865924842047171</c:v>
                </c:pt>
                <c:pt idx="7">
                  <c:v>16</c:v>
                </c:pt>
                <c:pt idx="8">
                  <c:v>16</c:v>
                </c:pt>
                <c:pt idx="9">
                  <c:v>16</c:v>
                </c:pt>
                <c:pt idx="10">
                  <c:v>15.987168242605145</c:v>
                </c:pt>
                <c:pt idx="11">
                  <c:v>15.959006384855895</c:v>
                </c:pt>
                <c:pt idx="12">
                  <c:v>15.911661117855054</c:v>
                </c:pt>
              </c:numCache>
            </c:numRef>
          </c:val>
          <c:smooth val="0"/>
          <c:extLst>
            <c:ext xmlns:c16="http://schemas.microsoft.com/office/drawing/2014/chart" uri="{C3380CC4-5D6E-409C-BE32-E72D297353CC}">
              <c16:uniqueId val="{00000003-8CE8-405D-B3AB-CE2C8FB23478}"/>
            </c:ext>
          </c:extLst>
        </c:ser>
        <c:dLbls>
          <c:showLegendKey val="0"/>
          <c:showVal val="0"/>
          <c:showCatName val="0"/>
          <c:showSerName val="0"/>
          <c:showPercent val="0"/>
          <c:showBubbleSize val="0"/>
        </c:dLbls>
        <c:smooth val="0"/>
        <c:axId val="148415616"/>
        <c:axId val="148417152"/>
      </c:lineChart>
      <c:catAx>
        <c:axId val="14841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417152"/>
        <c:crosses val="autoZero"/>
        <c:auto val="1"/>
        <c:lblAlgn val="ctr"/>
        <c:lblOffset val="100"/>
        <c:noMultiLvlLbl val="0"/>
      </c:catAx>
      <c:valAx>
        <c:axId val="148417152"/>
        <c:scaling>
          <c:orientation val="minMax"/>
          <c:min val="10"/>
        </c:scaling>
        <c:delete val="0"/>
        <c:axPos val="l"/>
        <c:majorGridlines>
          <c:spPr>
            <a:ln>
              <a:solidFill>
                <a:schemeClr val="tx1"/>
              </a:solidFill>
            </a:ln>
          </c:spPr>
        </c:majorGridlines>
        <c:title>
          <c:tx>
            <c:rich>
              <a:bodyPr/>
              <a:lstStyle/>
              <a:p>
                <a:pPr>
                  <a:defRPr sz="1000" b="1" i="0" u="none" strike="noStrike" baseline="0">
                    <a:solidFill>
                      <a:srgbClr val="000000"/>
                    </a:solidFill>
                    <a:latin typeface="Calibri"/>
                    <a:ea typeface="Calibri"/>
                    <a:cs typeface="Calibri"/>
                  </a:defRPr>
                </a:pPr>
                <a:r>
                  <a:rPr lang="en-GB"/>
                  <a:t>Pupil:Teacher Ratios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15616"/>
        <c:crosses val="autoZero"/>
        <c:crossBetween val="between"/>
      </c:valAx>
      <c:spPr>
        <a:ln>
          <a:solidFill>
            <a:schemeClr val="tx1"/>
          </a:solidFill>
        </a:ln>
      </c:spPr>
    </c:plotArea>
    <c:legend>
      <c:legendPos val="r"/>
      <c:layout>
        <c:manualLayout>
          <c:xMode val="edge"/>
          <c:yMode val="edge"/>
          <c:x val="0.67843729057841062"/>
          <c:y val="0.23667151508465978"/>
          <c:w val="0.28850486078946336"/>
          <c:h val="0.5318609870184904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2832174103237096"/>
          <c:y val="0.11075240594925634"/>
          <c:w val="0.57181425256816532"/>
          <c:h val="0.71324792622847277"/>
        </c:manualLayout>
      </c:layout>
      <c:lineChart>
        <c:grouping val="standard"/>
        <c:varyColors val="0"/>
        <c:ser>
          <c:idx val="5"/>
          <c:order val="0"/>
          <c:tx>
            <c:strRef>
              <c:f>Teacher_need_figures!$B$44</c:f>
              <c:strCache>
                <c:ptCount val="1"/>
                <c:pt idx="0">
                  <c:v>CLASSICS All Central Scenario</c:v>
                </c:pt>
              </c:strCache>
            </c:strRef>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Teacher_need_figures!$C$44:$N$44</c:f>
              <c:numCache>
                <c:formatCode>#,##0</c:formatCode>
                <c:ptCount val="12"/>
                <c:pt idx="0">
                  <c:v>299.02120443268882</c:v>
                </c:pt>
                <c:pt idx="1">
                  <c:v>296.23168899349145</c:v>
                </c:pt>
                <c:pt idx="2">
                  <c:v>295.6987372940045</c:v>
                </c:pt>
                <c:pt idx="3">
                  <c:v>297.1058104636557</c:v>
                </c:pt>
                <c:pt idx="4">
                  <c:v>299.34681810002053</c:v>
                </c:pt>
                <c:pt idx="5">
                  <c:v>302.47448555318738</c:v>
                </c:pt>
                <c:pt idx="6">
                  <c:v>306.60569837949043</c:v>
                </c:pt>
                <c:pt idx="7">
                  <c:v>310.30065175411943</c:v>
                </c:pt>
                <c:pt idx="8">
                  <c:v>312.32041372516829</c:v>
                </c:pt>
                <c:pt idx="9">
                  <c:v>313.35029281296602</c:v>
                </c:pt>
                <c:pt idx="10">
                  <c:v>314.31083600030951</c:v>
                </c:pt>
                <c:pt idx="11">
                  <c:v>314.97140769012987</c:v>
                </c:pt>
              </c:numCache>
            </c:numRef>
          </c:val>
          <c:smooth val="0"/>
          <c:extLst>
            <c:ext xmlns:c16="http://schemas.microsoft.com/office/drawing/2014/chart" uri="{C3380CC4-5D6E-409C-BE32-E72D297353CC}">
              <c16:uniqueId val="{00000000-F919-4202-AF85-9AF3B105CCF0}"/>
            </c:ext>
          </c:extLst>
        </c:ser>
        <c:ser>
          <c:idx val="1"/>
          <c:order val="1"/>
          <c:tx>
            <c:strRef>
              <c:f>Teacher_need_figures!$B$19</c:f>
              <c:strCache>
                <c:ptCount val="1"/>
                <c:pt idx="0">
                  <c:v>CLASSICS Scenario Selected</c:v>
                </c:pt>
              </c:strCache>
            </c:strRef>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Teacher_need_figures!$C$19:$N$19</c:f>
              <c:numCache>
                <c:formatCode>#,##0</c:formatCode>
                <c:ptCount val="12"/>
                <c:pt idx="0">
                  <c:v>299.02120443268882</c:v>
                </c:pt>
                <c:pt idx="1">
                  <c:v>296.23168899349145</c:v>
                </c:pt>
                <c:pt idx="2">
                  <c:v>295.6987372940045</c:v>
                </c:pt>
                <c:pt idx="3">
                  <c:v>297.1058104636557</c:v>
                </c:pt>
                <c:pt idx="4">
                  <c:v>299.34681810002053</c:v>
                </c:pt>
                <c:pt idx="5">
                  <c:v>302.47448555318738</c:v>
                </c:pt>
                <c:pt idx="6">
                  <c:v>306.60569837949043</c:v>
                </c:pt>
                <c:pt idx="7">
                  <c:v>310.30065175411943</c:v>
                </c:pt>
                <c:pt idx="8">
                  <c:v>312.32041372516829</c:v>
                </c:pt>
                <c:pt idx="9">
                  <c:v>313.35029281296602</c:v>
                </c:pt>
                <c:pt idx="10">
                  <c:v>314.31083600030951</c:v>
                </c:pt>
                <c:pt idx="11">
                  <c:v>314.97140769012987</c:v>
                </c:pt>
              </c:numCache>
            </c:numRef>
          </c:val>
          <c:smooth val="0"/>
          <c:extLst>
            <c:ext xmlns:c16="http://schemas.microsoft.com/office/drawing/2014/chart" uri="{C3380CC4-5D6E-409C-BE32-E72D297353CC}">
              <c16:uniqueId val="{00000001-F919-4202-AF85-9AF3B105CCF0}"/>
            </c:ext>
          </c:extLst>
        </c:ser>
        <c:ser>
          <c:idx val="0"/>
          <c:order val="2"/>
          <c:tx>
            <c:strRef>
              <c:f>Teacher_need_figures!$B$53</c:f>
              <c:strCache>
                <c:ptCount val="1"/>
                <c:pt idx="0">
                  <c:v>MODERN FOREIGN LANGUAGES All Central Scenario</c:v>
                </c:pt>
              </c:strCache>
            </c:strRef>
          </c:tx>
          <c:spPr>
            <a:ln>
              <a:solidFill>
                <a:schemeClr val="tx2">
                  <a:lumMod val="50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Teacher_need_figures!$C$53:$N$53</c:f>
              <c:numCache>
                <c:formatCode>#,##0</c:formatCode>
                <c:ptCount val="12"/>
                <c:pt idx="0">
                  <c:v>14971.501798068488</c:v>
                </c:pt>
                <c:pt idx="1">
                  <c:v>15518.448326772366</c:v>
                </c:pt>
                <c:pt idx="2">
                  <c:v>16134.071227593558</c:v>
                </c:pt>
                <c:pt idx="3">
                  <c:v>16812.756948289185</c:v>
                </c:pt>
                <c:pt idx="4">
                  <c:v>17630.402554431716</c:v>
                </c:pt>
                <c:pt idx="5">
                  <c:v>18578.0202666437</c:v>
                </c:pt>
                <c:pt idx="6">
                  <c:v>19452.46551534941</c:v>
                </c:pt>
                <c:pt idx="7">
                  <c:v>19600.61185016208</c:v>
                </c:pt>
                <c:pt idx="8">
                  <c:v>19598.097876335123</c:v>
                </c:pt>
                <c:pt idx="9">
                  <c:v>19497.170074560905</c:v>
                </c:pt>
                <c:pt idx="10">
                  <c:v>19427.392336902663</c:v>
                </c:pt>
                <c:pt idx="11">
                  <c:v>19438.746388143565</c:v>
                </c:pt>
              </c:numCache>
            </c:numRef>
          </c:val>
          <c:smooth val="0"/>
          <c:extLst>
            <c:ext xmlns:c16="http://schemas.microsoft.com/office/drawing/2014/chart" uri="{C3380CC4-5D6E-409C-BE32-E72D297353CC}">
              <c16:uniqueId val="{00000002-F919-4202-AF85-9AF3B105CCF0}"/>
            </c:ext>
          </c:extLst>
        </c:ser>
        <c:ser>
          <c:idx val="2"/>
          <c:order val="3"/>
          <c:tx>
            <c:strRef>
              <c:f>Teacher_need_figures!$B$28</c:f>
              <c:strCache>
                <c:ptCount val="1"/>
                <c:pt idx="0">
                  <c:v>MODERN FOREIGN LANGUAGES Scenario Selected</c:v>
                </c:pt>
              </c:strCache>
            </c:strRef>
          </c:tx>
          <c:spPr>
            <a:ln>
              <a:solidFill>
                <a:schemeClr val="tx2">
                  <a:lumMod val="50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Teacher_need_figures!$C$28:$N$28</c:f>
              <c:numCache>
                <c:formatCode>#,##0</c:formatCode>
                <c:ptCount val="12"/>
                <c:pt idx="0">
                  <c:v>14971.501798068488</c:v>
                </c:pt>
                <c:pt idx="1">
                  <c:v>15518.448326772366</c:v>
                </c:pt>
                <c:pt idx="2">
                  <c:v>16134.071227593558</c:v>
                </c:pt>
                <c:pt idx="3">
                  <c:v>16812.756948289185</c:v>
                </c:pt>
                <c:pt idx="4">
                  <c:v>17630.402554431716</c:v>
                </c:pt>
                <c:pt idx="5">
                  <c:v>18578.0202666437</c:v>
                </c:pt>
                <c:pt idx="6">
                  <c:v>19452.46551534941</c:v>
                </c:pt>
                <c:pt idx="7">
                  <c:v>19600.61185016208</c:v>
                </c:pt>
                <c:pt idx="8">
                  <c:v>19598.097876335123</c:v>
                </c:pt>
                <c:pt idx="9">
                  <c:v>19497.170074560905</c:v>
                </c:pt>
                <c:pt idx="10">
                  <c:v>19427.392336902663</c:v>
                </c:pt>
                <c:pt idx="11">
                  <c:v>19438.746388143565</c:v>
                </c:pt>
              </c:numCache>
            </c:numRef>
          </c:val>
          <c:smooth val="0"/>
          <c:extLst>
            <c:ext xmlns:c16="http://schemas.microsoft.com/office/drawing/2014/chart" uri="{C3380CC4-5D6E-409C-BE32-E72D297353CC}">
              <c16:uniqueId val="{00000003-F919-4202-AF85-9AF3B105CCF0}"/>
            </c:ext>
          </c:extLst>
        </c:ser>
        <c:dLbls>
          <c:showLegendKey val="0"/>
          <c:showVal val="0"/>
          <c:showCatName val="0"/>
          <c:showSerName val="0"/>
          <c:showPercent val="0"/>
          <c:showBubbleSize val="0"/>
        </c:dLbls>
        <c:smooth val="0"/>
        <c:axId val="149819776"/>
        <c:axId val="149821312"/>
      </c:lineChart>
      <c:catAx>
        <c:axId val="149819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821312"/>
        <c:crosses val="autoZero"/>
        <c:auto val="1"/>
        <c:lblAlgn val="ctr"/>
        <c:lblOffset val="100"/>
        <c:noMultiLvlLbl val="0"/>
      </c:catAx>
      <c:valAx>
        <c:axId val="14982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819776"/>
        <c:crosses val="autoZero"/>
        <c:crossBetween val="between"/>
      </c:valAx>
      <c:spPr>
        <a:ln>
          <a:solidFill>
            <a:schemeClr val="tx1">
              <a:lumMod val="95000"/>
              <a:lumOff val="5000"/>
            </a:schemeClr>
          </a:solidFill>
        </a:ln>
      </c:spPr>
    </c:plotArea>
    <c:legend>
      <c:legendPos val="r"/>
      <c:layout>
        <c:manualLayout>
          <c:xMode val="edge"/>
          <c:yMode val="edge"/>
          <c:x val="0.71171225240597047"/>
          <c:y val="6.401402246864471E-2"/>
          <c:w val="0.26617550124135581"/>
          <c:h val="0.813148788927335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Projections of pupil numbers under different scenarios</a:t>
            </a:r>
          </a:p>
        </c:rich>
      </c:tx>
      <c:layout>
        <c:manualLayout>
          <c:xMode val="edge"/>
          <c:yMode val="edge"/>
          <c:x val="0.21057087923889753"/>
          <c:y val="6.1049122414200598E-3"/>
        </c:manualLayout>
      </c:layout>
      <c:overlay val="1"/>
    </c:title>
    <c:autoTitleDeleted val="0"/>
    <c:plotArea>
      <c:layout>
        <c:manualLayout>
          <c:layoutTarget val="inner"/>
          <c:xMode val="edge"/>
          <c:yMode val="edge"/>
          <c:x val="0.10494225939961993"/>
          <c:y val="8.5859267591551061E-2"/>
          <c:w val="0.71495434193720442"/>
          <c:h val="0.78793933367024771"/>
        </c:manualLayout>
      </c:layout>
      <c:lineChart>
        <c:grouping val="standard"/>
        <c:varyColors val="0"/>
        <c:ser>
          <c:idx val="0"/>
          <c:order val="0"/>
          <c:tx>
            <c:strRef>
              <c:f>Pupil_Projections_scenarios!$B$39</c:f>
              <c:strCache>
                <c:ptCount val="1"/>
                <c:pt idx="0">
                  <c:v>Primary age LOW</c:v>
                </c:pt>
              </c:strCache>
            </c:strRef>
          </c:tx>
          <c:spPr>
            <a:ln>
              <a:solidFill>
                <a:srgbClr val="FF0000"/>
              </a:solidFill>
              <a:prstDash val="sysDot"/>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Pupil_Projections_scenarios!$C$39:$AA$39</c:f>
              <c:numCache>
                <c:formatCode>#,##0</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4715434.6972993147</c:v>
                </c:pt>
                <c:pt idx="14">
                  <c:v>4737109.3348040003</c:v>
                </c:pt>
                <c:pt idx="15">
                  <c:v>4726941.3615096211</c:v>
                </c:pt>
                <c:pt idx="16">
                  <c:v>4710955.0448766593</c:v>
                </c:pt>
                <c:pt idx="17">
                  <c:v>4676433.6780280955</c:v>
                </c:pt>
                <c:pt idx="18">
                  <c:v>4623202.5849240804</c:v>
                </c:pt>
                <c:pt idx="19">
                  <c:v>4552720.6004686635</c:v>
                </c:pt>
                <c:pt idx="20">
                  <c:v>4499461.4137162212</c:v>
                </c:pt>
                <c:pt idx="21">
                  <c:v>4457318.4588044519</c:v>
                </c:pt>
                <c:pt idx="22">
                  <c:v>4414882.926841069</c:v>
                </c:pt>
                <c:pt idx="23">
                  <c:v>4377244.0325927678</c:v>
                </c:pt>
                <c:pt idx="24">
                  <c:v>4341994.1506143641</c:v>
                </c:pt>
              </c:numCache>
            </c:numRef>
          </c:val>
          <c:smooth val="0"/>
          <c:extLst>
            <c:ext xmlns:c16="http://schemas.microsoft.com/office/drawing/2014/chart" uri="{C3380CC4-5D6E-409C-BE32-E72D297353CC}">
              <c16:uniqueId val="{00000000-A31A-47BC-8E58-B8689B67C316}"/>
            </c:ext>
          </c:extLst>
        </c:ser>
        <c:ser>
          <c:idx val="1"/>
          <c:order val="1"/>
          <c:tx>
            <c:strRef>
              <c:f>Pupil_Projections_scenarios!$B$40</c:f>
              <c:strCache>
                <c:ptCount val="1"/>
                <c:pt idx="0">
                  <c:v>Primary age CENTRAL</c:v>
                </c:pt>
              </c:strCache>
            </c:strRef>
          </c:tx>
          <c:spPr>
            <a:ln>
              <a:solidFill>
                <a:srgbClr val="FF000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Pupil_Projections_scenarios!$C$40:$AA$40</c:f>
              <c:numCache>
                <c:formatCode>#,##0</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4717394.1869075894</c:v>
                </c:pt>
                <c:pt idx="14">
                  <c:v>4743197.9400571762</c:v>
                </c:pt>
                <c:pt idx="15">
                  <c:v>4743394.7508921698</c:v>
                </c:pt>
                <c:pt idx="16">
                  <c:v>4752324.1234839866</c:v>
                </c:pt>
                <c:pt idx="17">
                  <c:v>4754699.5674540829</c:v>
                </c:pt>
                <c:pt idx="18">
                  <c:v>4748628.8440450421</c:v>
                </c:pt>
                <c:pt idx="19">
                  <c:v>4733277.2129678745</c:v>
                </c:pt>
                <c:pt idx="20">
                  <c:v>4742429.7587460289</c:v>
                </c:pt>
                <c:pt idx="21">
                  <c:v>4769065.3698165566</c:v>
                </c:pt>
                <c:pt idx="22">
                  <c:v>4797832.532279524</c:v>
                </c:pt>
                <c:pt idx="23">
                  <c:v>4819809.7676248243</c:v>
                </c:pt>
                <c:pt idx="24">
                  <c:v>4834650.7574622277</c:v>
                </c:pt>
              </c:numCache>
            </c:numRef>
          </c:val>
          <c:smooth val="0"/>
          <c:extLst>
            <c:ext xmlns:c16="http://schemas.microsoft.com/office/drawing/2014/chart" uri="{C3380CC4-5D6E-409C-BE32-E72D297353CC}">
              <c16:uniqueId val="{00000001-A31A-47BC-8E58-B8689B67C316}"/>
            </c:ext>
          </c:extLst>
        </c:ser>
        <c:ser>
          <c:idx val="2"/>
          <c:order val="2"/>
          <c:tx>
            <c:strRef>
              <c:f>Pupil_Projections_scenarios!$B$41</c:f>
              <c:strCache>
                <c:ptCount val="1"/>
                <c:pt idx="0">
                  <c:v>Primary age HIGH</c:v>
                </c:pt>
              </c:strCache>
            </c:strRef>
          </c:tx>
          <c:spPr>
            <a:ln>
              <a:solidFill>
                <a:srgbClr val="FF0000"/>
              </a:solidFill>
              <a:prstDash val="sysDash"/>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Pupil_Projections_scenarios!$C$41:$AA$41</c:f>
              <c:numCache>
                <c:formatCode>#,##0</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4719330.2069105301</c:v>
                </c:pt>
                <c:pt idx="14">
                  <c:v>4749063.7710393434</c:v>
                </c:pt>
                <c:pt idx="15">
                  <c:v>4758286.9584849039</c:v>
                </c:pt>
                <c:pt idx="16">
                  <c:v>4787262.7565154526</c:v>
                </c:pt>
                <c:pt idx="17">
                  <c:v>4814320.3376704473</c:v>
                </c:pt>
                <c:pt idx="18">
                  <c:v>4838012.9005403118</c:v>
                </c:pt>
                <c:pt idx="19">
                  <c:v>4857502.889516837</c:v>
                </c:pt>
                <c:pt idx="20">
                  <c:v>4907761.5450602453</c:v>
                </c:pt>
                <c:pt idx="21">
                  <c:v>4982274.3276422173</c:v>
                </c:pt>
                <c:pt idx="22">
                  <c:v>5062860.2674279809</c:v>
                </c:pt>
                <c:pt idx="23">
                  <c:v>5130284.1091827368</c:v>
                </c:pt>
                <c:pt idx="24">
                  <c:v>5193851.3654598352</c:v>
                </c:pt>
              </c:numCache>
            </c:numRef>
          </c:val>
          <c:smooth val="0"/>
          <c:extLst>
            <c:ext xmlns:c16="http://schemas.microsoft.com/office/drawing/2014/chart" uri="{C3380CC4-5D6E-409C-BE32-E72D297353CC}">
              <c16:uniqueId val="{00000002-A31A-47BC-8E58-B8689B67C316}"/>
            </c:ext>
          </c:extLst>
        </c:ser>
        <c:ser>
          <c:idx val="5"/>
          <c:order val="3"/>
          <c:tx>
            <c:strRef>
              <c:f>Pupil_Projections_scenarios!$B$45</c:f>
              <c:strCache>
                <c:ptCount val="1"/>
                <c:pt idx="0">
                  <c:v>Years 7-9 LOW</c:v>
                </c:pt>
              </c:strCache>
            </c:strRef>
          </c:tx>
          <c:spPr>
            <a:ln>
              <a:solidFill>
                <a:srgbClr val="00B050"/>
              </a:solidFill>
              <a:prstDash val="sysDot"/>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Pupil_Projections_scenarios!$C$45:$AA$45</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1723828.2198890003</c:v>
                </c:pt>
                <c:pt idx="14">
                  <c:v>1772483.1887638846</c:v>
                </c:pt>
                <c:pt idx="15">
                  <c:v>1834391.2311419928</c:v>
                </c:pt>
                <c:pt idx="16">
                  <c:v>1878449.8518755834</c:v>
                </c:pt>
                <c:pt idx="17">
                  <c:v>1913358.5849072661</c:v>
                </c:pt>
                <c:pt idx="18">
                  <c:v>1935531.9331186812</c:v>
                </c:pt>
                <c:pt idx="19">
                  <c:v>1972636.6749603751</c:v>
                </c:pt>
                <c:pt idx="20">
                  <c:v>1974966.900440125</c:v>
                </c:pt>
                <c:pt idx="21">
                  <c:v>1948447.0806189801</c:v>
                </c:pt>
                <c:pt idx="22">
                  <c:v>1906109.6274286429</c:v>
                </c:pt>
                <c:pt idx="23">
                  <c:v>1877302.4033844979</c:v>
                </c:pt>
                <c:pt idx="24">
                  <c:v>1858226.5999291013</c:v>
                </c:pt>
              </c:numCache>
            </c:numRef>
          </c:val>
          <c:smooth val="0"/>
          <c:extLst>
            <c:ext xmlns:c16="http://schemas.microsoft.com/office/drawing/2014/chart" uri="{C3380CC4-5D6E-409C-BE32-E72D297353CC}">
              <c16:uniqueId val="{00000003-A31A-47BC-8E58-B8689B67C316}"/>
            </c:ext>
          </c:extLst>
        </c:ser>
        <c:ser>
          <c:idx val="6"/>
          <c:order val="4"/>
          <c:tx>
            <c:strRef>
              <c:f>Pupil_Projections_scenarios!$B$46</c:f>
              <c:strCache>
                <c:ptCount val="1"/>
                <c:pt idx="0">
                  <c:v>Years 7-9 CENTRAL</c:v>
                </c:pt>
              </c:strCache>
            </c:strRef>
          </c:tx>
          <c:spPr>
            <a:ln>
              <a:solidFill>
                <a:srgbClr val="00B05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Pupil_Projections_scenarios!$C$46:$AA$46</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1724020.9710333012</c:v>
                </c:pt>
                <c:pt idx="14">
                  <c:v>1772854.5848039868</c:v>
                </c:pt>
                <c:pt idx="15">
                  <c:v>1834934.1224812306</c:v>
                </c:pt>
                <c:pt idx="16">
                  <c:v>1879210.7299530376</c:v>
                </c:pt>
                <c:pt idx="17">
                  <c:v>1914351.168622531</c:v>
                </c:pt>
                <c:pt idx="18">
                  <c:v>1936762.2517991117</c:v>
                </c:pt>
                <c:pt idx="19">
                  <c:v>1974817.9779716961</c:v>
                </c:pt>
                <c:pt idx="20">
                  <c:v>1978504.8643901525</c:v>
                </c:pt>
                <c:pt idx="21">
                  <c:v>1953779.1387891811</c:v>
                </c:pt>
                <c:pt idx="22">
                  <c:v>1915886.5892006818</c:v>
                </c:pt>
                <c:pt idx="23">
                  <c:v>1907012.1075926665</c:v>
                </c:pt>
                <c:pt idx="24">
                  <c:v>1919851.9246029067</c:v>
                </c:pt>
              </c:numCache>
            </c:numRef>
          </c:val>
          <c:smooth val="0"/>
          <c:extLst>
            <c:ext xmlns:c16="http://schemas.microsoft.com/office/drawing/2014/chart" uri="{C3380CC4-5D6E-409C-BE32-E72D297353CC}">
              <c16:uniqueId val="{00000004-A31A-47BC-8E58-B8689B67C316}"/>
            </c:ext>
          </c:extLst>
        </c:ser>
        <c:ser>
          <c:idx val="7"/>
          <c:order val="5"/>
          <c:tx>
            <c:strRef>
              <c:f>Pupil_Projections_scenarios!$B$47</c:f>
              <c:strCache>
                <c:ptCount val="1"/>
                <c:pt idx="0">
                  <c:v>Years 7-9 HIGH</c:v>
                </c:pt>
              </c:strCache>
            </c:strRef>
          </c:tx>
          <c:spPr>
            <a:ln>
              <a:solidFill>
                <a:srgbClr val="92D050"/>
              </a:solidFill>
              <a:prstDash val="dash"/>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Pupil_Projections_scenarios!$C$47:$AA$47</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1724207.7875767583</c:v>
                </c:pt>
                <c:pt idx="14">
                  <c:v>1773210.9395461665</c:v>
                </c:pt>
                <c:pt idx="15">
                  <c:v>1835463.9408992713</c:v>
                </c:pt>
                <c:pt idx="16">
                  <c:v>1879958.5975461819</c:v>
                </c:pt>
                <c:pt idx="17">
                  <c:v>1915323.879548701</c:v>
                </c:pt>
                <c:pt idx="18">
                  <c:v>1937949.6924893635</c:v>
                </c:pt>
                <c:pt idx="19">
                  <c:v>1976932.820831679</c:v>
                </c:pt>
                <c:pt idx="20">
                  <c:v>1981952.0645195374</c:v>
                </c:pt>
                <c:pt idx="21">
                  <c:v>1959018.2905100833</c:v>
                </c:pt>
                <c:pt idx="22">
                  <c:v>1925419.6121202079</c:v>
                </c:pt>
                <c:pt idx="23">
                  <c:v>1934125.3763884774</c:v>
                </c:pt>
                <c:pt idx="24">
                  <c:v>1968151.4338998005</c:v>
                </c:pt>
              </c:numCache>
            </c:numRef>
          </c:val>
          <c:smooth val="0"/>
          <c:extLst>
            <c:ext xmlns:c16="http://schemas.microsoft.com/office/drawing/2014/chart" uri="{C3380CC4-5D6E-409C-BE32-E72D297353CC}">
              <c16:uniqueId val="{00000005-A31A-47BC-8E58-B8689B67C316}"/>
            </c:ext>
          </c:extLst>
        </c:ser>
        <c:ser>
          <c:idx val="10"/>
          <c:order val="6"/>
          <c:tx>
            <c:strRef>
              <c:f>Pupil_Projections_scenarios!$B$51</c:f>
              <c:strCache>
                <c:ptCount val="1"/>
                <c:pt idx="0">
                  <c:v>Years 10-11 LOW</c:v>
                </c:pt>
              </c:strCache>
            </c:strRef>
          </c:tx>
          <c:spPr>
            <a:ln>
              <a:solidFill>
                <a:srgbClr val="002060"/>
              </a:solidFill>
              <a:prstDash val="sysDot"/>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Pupil_Projections_scenarios!$C$51:$AA$51</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1059042.5189143361</c:v>
                </c:pt>
                <c:pt idx="14">
                  <c:v>1098157.8591290903</c:v>
                </c:pt>
                <c:pt idx="15">
                  <c:v>1128078.6941527503</c:v>
                </c:pt>
                <c:pt idx="16">
                  <c:v>1153988.2521160692</c:v>
                </c:pt>
                <c:pt idx="17">
                  <c:v>1189176.4896819545</c:v>
                </c:pt>
                <c:pt idx="18">
                  <c:v>1235980.2991184634</c:v>
                </c:pt>
                <c:pt idx="19">
                  <c:v>1258119.7343137409</c:v>
                </c:pt>
                <c:pt idx="20">
                  <c:v>1267396.7177826473</c:v>
                </c:pt>
                <c:pt idx="21">
                  <c:v>1292491.4788541687</c:v>
                </c:pt>
                <c:pt idx="22">
                  <c:v>1316868.7049754027</c:v>
                </c:pt>
                <c:pt idx="23">
                  <c:v>1306195.865395145</c:v>
                </c:pt>
                <c:pt idx="24">
                  <c:v>1268352.7028780216</c:v>
                </c:pt>
              </c:numCache>
            </c:numRef>
          </c:val>
          <c:smooth val="0"/>
          <c:extLst>
            <c:ext xmlns:c16="http://schemas.microsoft.com/office/drawing/2014/chart" uri="{C3380CC4-5D6E-409C-BE32-E72D297353CC}">
              <c16:uniqueId val="{00000006-A31A-47BC-8E58-B8689B67C316}"/>
            </c:ext>
          </c:extLst>
        </c:ser>
        <c:ser>
          <c:idx val="11"/>
          <c:order val="7"/>
          <c:tx>
            <c:strRef>
              <c:f>Pupil_Projections_scenarios!$B$52</c:f>
              <c:strCache>
                <c:ptCount val="1"/>
                <c:pt idx="0">
                  <c:v>Years 10-11 CENTRAL</c:v>
                </c:pt>
              </c:strCache>
            </c:strRef>
          </c:tx>
          <c:spPr>
            <a:ln>
              <a:solidFill>
                <a:srgbClr val="00206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Pupil_Projections_scenarios!$C$52:$AA$52</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1059242.1765030818</c:v>
                </c:pt>
                <c:pt idx="14">
                  <c:v>1098492.845827396</c:v>
                </c:pt>
                <c:pt idx="15">
                  <c:v>1128522.0334177609</c:v>
                </c:pt>
                <c:pt idx="16">
                  <c:v>1154504.7206683625</c:v>
                </c:pt>
                <c:pt idx="17">
                  <c:v>1189761.543386043</c:v>
                </c:pt>
                <c:pt idx="18">
                  <c:v>1236679.5493941545</c:v>
                </c:pt>
                <c:pt idx="19">
                  <c:v>1258969.8278058928</c:v>
                </c:pt>
                <c:pt idx="20">
                  <c:v>1268399.1996321685</c:v>
                </c:pt>
                <c:pt idx="21">
                  <c:v>1293612.6085987107</c:v>
                </c:pt>
                <c:pt idx="22">
                  <c:v>1318848.3464785134</c:v>
                </c:pt>
                <c:pt idx="23">
                  <c:v>1309459.1785579114</c:v>
                </c:pt>
                <c:pt idx="24">
                  <c:v>1272619.0523094554</c:v>
                </c:pt>
              </c:numCache>
            </c:numRef>
          </c:val>
          <c:smooth val="0"/>
          <c:extLst>
            <c:ext xmlns:c16="http://schemas.microsoft.com/office/drawing/2014/chart" uri="{C3380CC4-5D6E-409C-BE32-E72D297353CC}">
              <c16:uniqueId val="{00000007-A31A-47BC-8E58-B8689B67C316}"/>
            </c:ext>
          </c:extLst>
        </c:ser>
        <c:ser>
          <c:idx val="12"/>
          <c:order val="8"/>
          <c:tx>
            <c:strRef>
              <c:f>Pupil_Projections_scenarios!$B$53</c:f>
              <c:strCache>
                <c:ptCount val="1"/>
                <c:pt idx="0">
                  <c:v>Years 10-11 HIGH</c:v>
                </c:pt>
              </c:strCache>
            </c:strRef>
          </c:tx>
          <c:spPr>
            <a:ln>
              <a:solidFill>
                <a:srgbClr val="002060"/>
              </a:solidFill>
              <a:prstDash val="sysDash"/>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Pupil_Projections_scenarios!$C$53:$AA$53</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1059434.991245334</c:v>
                </c:pt>
                <c:pt idx="14">
                  <c:v>1098823.2633973816</c:v>
                </c:pt>
                <c:pt idx="15">
                  <c:v>1128954.0353809576</c:v>
                </c:pt>
                <c:pt idx="16">
                  <c:v>1155001.6879852104</c:v>
                </c:pt>
                <c:pt idx="17">
                  <c:v>1190324.1332968618</c:v>
                </c:pt>
                <c:pt idx="18">
                  <c:v>1237354.4229246336</c:v>
                </c:pt>
                <c:pt idx="19">
                  <c:v>1259786.2065370947</c:v>
                </c:pt>
                <c:pt idx="20">
                  <c:v>1269363.1834194576</c:v>
                </c:pt>
                <c:pt idx="21">
                  <c:v>1294673.2824939464</c:v>
                </c:pt>
                <c:pt idx="22">
                  <c:v>1320743.9612932696</c:v>
                </c:pt>
                <c:pt idx="23">
                  <c:v>1312640.2804217655</c:v>
                </c:pt>
                <c:pt idx="24">
                  <c:v>1276804.2128821535</c:v>
                </c:pt>
              </c:numCache>
            </c:numRef>
          </c:val>
          <c:smooth val="0"/>
          <c:extLst>
            <c:ext xmlns:c16="http://schemas.microsoft.com/office/drawing/2014/chart" uri="{C3380CC4-5D6E-409C-BE32-E72D297353CC}">
              <c16:uniqueId val="{00000008-A31A-47BC-8E58-B8689B67C316}"/>
            </c:ext>
          </c:extLst>
        </c:ser>
        <c:ser>
          <c:idx val="15"/>
          <c:order val="9"/>
          <c:tx>
            <c:strRef>
              <c:f>Pupil_Projections_scenarios!$B$57</c:f>
              <c:strCache>
                <c:ptCount val="1"/>
                <c:pt idx="0">
                  <c:v>Years 12-13 LOW</c:v>
                </c:pt>
              </c:strCache>
            </c:strRef>
          </c:tx>
          <c:spPr>
            <a:ln>
              <a:solidFill>
                <a:srgbClr val="FFC000"/>
              </a:solidFill>
              <a:prstDash val="sysDot"/>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Pupil_Projections_scenarios!$C$57:$AA$57</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412613.48371451074</c:v>
                </c:pt>
                <c:pt idx="14">
                  <c:v>401382.39858263719</c:v>
                </c:pt>
                <c:pt idx="15">
                  <c:v>394545.34411210939</c:v>
                </c:pt>
                <c:pt idx="16">
                  <c:v>395942.48416329373</c:v>
                </c:pt>
                <c:pt idx="17">
                  <c:v>402316.64858440397</c:v>
                </c:pt>
                <c:pt idx="18">
                  <c:v>414302.11785791809</c:v>
                </c:pt>
                <c:pt idx="19">
                  <c:v>426467.33964547818</c:v>
                </c:pt>
                <c:pt idx="20">
                  <c:v>439328.6132689371</c:v>
                </c:pt>
                <c:pt idx="21">
                  <c:v>448509.71730341192</c:v>
                </c:pt>
                <c:pt idx="22">
                  <c:v>456020.66090008762</c:v>
                </c:pt>
                <c:pt idx="23">
                  <c:v>463217.05709970818</c:v>
                </c:pt>
                <c:pt idx="24">
                  <c:v>468765.08527533995</c:v>
                </c:pt>
              </c:numCache>
            </c:numRef>
          </c:val>
          <c:smooth val="0"/>
          <c:extLst>
            <c:ext xmlns:c16="http://schemas.microsoft.com/office/drawing/2014/chart" uri="{C3380CC4-5D6E-409C-BE32-E72D297353CC}">
              <c16:uniqueId val="{00000009-A31A-47BC-8E58-B8689B67C316}"/>
            </c:ext>
          </c:extLst>
        </c:ser>
        <c:ser>
          <c:idx val="16"/>
          <c:order val="10"/>
          <c:tx>
            <c:strRef>
              <c:f>Pupil_Projections_scenarios!$B$58</c:f>
              <c:strCache>
                <c:ptCount val="1"/>
                <c:pt idx="0">
                  <c:v>Years 12-13 CENTRAL</c:v>
                </c:pt>
              </c:strCache>
            </c:strRef>
          </c:tx>
          <c:spPr>
            <a:ln>
              <a:solidFill>
                <a:srgbClr val="FFC00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Pupil_Projections_scenarios!$C$58:$AA$58</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413917.41249859042</c:v>
                </c:pt>
                <c:pt idx="14">
                  <c:v>402881.22419615899</c:v>
                </c:pt>
                <c:pt idx="15">
                  <c:v>396200.18966368359</c:v>
                </c:pt>
                <c:pt idx="16">
                  <c:v>397747.45923034835</c:v>
                </c:pt>
                <c:pt idx="17">
                  <c:v>404271.55224935681</c:v>
                </c:pt>
                <c:pt idx="18">
                  <c:v>416413.63672939758</c:v>
                </c:pt>
                <c:pt idx="19">
                  <c:v>428739.35339027015</c:v>
                </c:pt>
                <c:pt idx="20">
                  <c:v>441777.22358662885</c:v>
                </c:pt>
                <c:pt idx="21">
                  <c:v>451142.12596132985</c:v>
                </c:pt>
                <c:pt idx="22">
                  <c:v>458855.32419299771</c:v>
                </c:pt>
                <c:pt idx="23">
                  <c:v>466275.03084775753</c:v>
                </c:pt>
                <c:pt idx="24">
                  <c:v>472066.1229340306</c:v>
                </c:pt>
              </c:numCache>
            </c:numRef>
          </c:val>
          <c:smooth val="0"/>
          <c:extLst>
            <c:ext xmlns:c16="http://schemas.microsoft.com/office/drawing/2014/chart" uri="{C3380CC4-5D6E-409C-BE32-E72D297353CC}">
              <c16:uniqueId val="{0000000A-A31A-47BC-8E58-B8689B67C316}"/>
            </c:ext>
          </c:extLst>
        </c:ser>
        <c:ser>
          <c:idx val="17"/>
          <c:order val="11"/>
          <c:tx>
            <c:strRef>
              <c:f>Pupil_Projections_scenarios!$B$59</c:f>
              <c:strCache>
                <c:ptCount val="1"/>
                <c:pt idx="0">
                  <c:v>Years 12-13 HIGH</c:v>
                </c:pt>
              </c:strCache>
            </c:strRef>
          </c:tx>
          <c:spPr>
            <a:ln>
              <a:prstDash val="sysDash"/>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Pupil_Projections_scenarios!$C$59:$AA$59</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415221.45467684342</c:v>
                </c:pt>
                <c:pt idx="14">
                  <c:v>404381.21002994251</c:v>
                </c:pt>
                <c:pt idx="15">
                  <c:v>397857.8055972851</c:v>
                </c:pt>
                <c:pt idx="16">
                  <c:v>399554.1859642443</c:v>
                </c:pt>
                <c:pt idx="17">
                  <c:v>406225.46654276724</c:v>
                </c:pt>
                <c:pt idx="18">
                  <c:v>418521.62401892734</c:v>
                </c:pt>
                <c:pt idx="19">
                  <c:v>431007.45271220792</c:v>
                </c:pt>
                <c:pt idx="20">
                  <c:v>444219.33163429314</c:v>
                </c:pt>
                <c:pt idx="21">
                  <c:v>453767.80359584739</c:v>
                </c:pt>
                <c:pt idx="22">
                  <c:v>461686.82845112163</c:v>
                </c:pt>
                <c:pt idx="23">
                  <c:v>469327.61975766718</c:v>
                </c:pt>
                <c:pt idx="24">
                  <c:v>475360.0252080303</c:v>
                </c:pt>
              </c:numCache>
            </c:numRef>
          </c:val>
          <c:smooth val="0"/>
          <c:extLst>
            <c:ext xmlns:c16="http://schemas.microsoft.com/office/drawing/2014/chart" uri="{C3380CC4-5D6E-409C-BE32-E72D297353CC}">
              <c16:uniqueId val="{0000000B-A31A-47BC-8E58-B8689B67C316}"/>
            </c:ext>
          </c:extLst>
        </c:ser>
        <c:ser>
          <c:idx val="3"/>
          <c:order val="12"/>
          <c:tx>
            <c:strRef>
              <c:f>Pupil_Projections_scenarios!$B$63</c:f>
              <c:strCache>
                <c:ptCount val="1"/>
                <c:pt idx="0">
                  <c:v>Secondary ALL LOW</c:v>
                </c:pt>
              </c:strCache>
            </c:strRef>
          </c:tx>
          <c:spPr>
            <a:ln>
              <a:solidFill>
                <a:srgbClr val="00B0F0"/>
              </a:solidFill>
              <a:prstDash val="sysDot"/>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Pupil_Projections_scenarios!$C$63:$AA$63</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3195484.2225178471</c:v>
                </c:pt>
                <c:pt idx="14">
                  <c:v>3272023.446475612</c:v>
                </c:pt>
                <c:pt idx="15">
                  <c:v>3357015.2694068523</c:v>
                </c:pt>
                <c:pt idx="16">
                  <c:v>3428380.5881549465</c:v>
                </c:pt>
                <c:pt idx="17">
                  <c:v>3504851.7231736248</c:v>
                </c:pt>
                <c:pt idx="18">
                  <c:v>3585814.3500950625</c:v>
                </c:pt>
                <c:pt idx="19">
                  <c:v>3657223.7489195941</c:v>
                </c:pt>
                <c:pt idx="20">
                  <c:v>3681692.2314917091</c:v>
                </c:pt>
                <c:pt idx="21">
                  <c:v>3689448.2767765606</c:v>
                </c:pt>
                <c:pt idx="22">
                  <c:v>3678998.9933041329</c:v>
                </c:pt>
                <c:pt idx="23">
                  <c:v>3646715.3258793512</c:v>
                </c:pt>
                <c:pt idx="24">
                  <c:v>3595344.3880824628</c:v>
                </c:pt>
              </c:numCache>
            </c:numRef>
          </c:val>
          <c:smooth val="0"/>
          <c:extLst>
            <c:ext xmlns:c16="http://schemas.microsoft.com/office/drawing/2014/chart" uri="{C3380CC4-5D6E-409C-BE32-E72D297353CC}">
              <c16:uniqueId val="{0000000C-A31A-47BC-8E58-B8689B67C316}"/>
            </c:ext>
          </c:extLst>
        </c:ser>
        <c:ser>
          <c:idx val="4"/>
          <c:order val="13"/>
          <c:tx>
            <c:strRef>
              <c:f>Pupil_Projections_scenarios!$B$64</c:f>
              <c:strCache>
                <c:ptCount val="1"/>
                <c:pt idx="0">
                  <c:v>Secondary ALL CENTRAL</c:v>
                </c:pt>
              </c:strCache>
            </c:strRef>
          </c:tx>
          <c:spPr>
            <a:ln>
              <a:solidFill>
                <a:srgbClr val="00B0F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Pupil_Projections_scenarios!$C$64:$AA$64</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3197180.5600349735</c:v>
                </c:pt>
                <c:pt idx="14">
                  <c:v>3274228.6548275417</c:v>
                </c:pt>
                <c:pt idx="15">
                  <c:v>3359656.345562675</c:v>
                </c:pt>
                <c:pt idx="16">
                  <c:v>3431462.9098517485</c:v>
                </c:pt>
                <c:pt idx="17">
                  <c:v>3508384.2642579307</c:v>
                </c:pt>
                <c:pt idx="18">
                  <c:v>3589855.437922664</c:v>
                </c:pt>
                <c:pt idx="19">
                  <c:v>3662527.1591678588</c:v>
                </c:pt>
                <c:pt idx="20">
                  <c:v>3688681.2876089499</c:v>
                </c:pt>
                <c:pt idx="21">
                  <c:v>3698533.8733492214</c:v>
                </c:pt>
                <c:pt idx="22">
                  <c:v>3693590.259872193</c:v>
                </c:pt>
                <c:pt idx="23">
                  <c:v>3682746.3169983355</c:v>
                </c:pt>
                <c:pt idx="24">
                  <c:v>3664537.0998463929</c:v>
                </c:pt>
              </c:numCache>
            </c:numRef>
          </c:val>
          <c:smooth val="0"/>
          <c:extLst>
            <c:ext xmlns:c16="http://schemas.microsoft.com/office/drawing/2014/chart" uri="{C3380CC4-5D6E-409C-BE32-E72D297353CC}">
              <c16:uniqueId val="{0000000D-A31A-47BC-8E58-B8689B67C316}"/>
            </c:ext>
          </c:extLst>
        </c:ser>
        <c:ser>
          <c:idx val="8"/>
          <c:order val="14"/>
          <c:tx>
            <c:strRef>
              <c:f>Pupil_Projections_scenarios!$B$65</c:f>
              <c:strCache>
                <c:ptCount val="1"/>
                <c:pt idx="0">
                  <c:v>Secondary ALL HIGH</c:v>
                </c:pt>
              </c:strCache>
            </c:strRef>
          </c:tx>
          <c:spPr>
            <a:ln>
              <a:solidFill>
                <a:srgbClr val="00B0F0"/>
              </a:solidFill>
              <a:prstDash val="sysDash"/>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Pupil_Projections_scenarios!$C$65:$AA$65</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3198864.2334989356</c:v>
                </c:pt>
                <c:pt idx="14">
                  <c:v>3276415.4129734905</c:v>
                </c:pt>
                <c:pt idx="15">
                  <c:v>3362275.7818775144</c:v>
                </c:pt>
                <c:pt idx="16">
                  <c:v>3434514.4714956367</c:v>
                </c:pt>
                <c:pt idx="17">
                  <c:v>3511873.4793883301</c:v>
                </c:pt>
                <c:pt idx="18">
                  <c:v>3593825.7394329244</c:v>
                </c:pt>
                <c:pt idx="19">
                  <c:v>3667726.4800809817</c:v>
                </c:pt>
                <c:pt idx="20">
                  <c:v>3695534.5795732886</c:v>
                </c:pt>
                <c:pt idx="21">
                  <c:v>3707459.3765998771</c:v>
                </c:pt>
                <c:pt idx="22">
                  <c:v>3707850.401864599</c:v>
                </c:pt>
                <c:pt idx="23">
                  <c:v>3716093.2765679099</c:v>
                </c:pt>
                <c:pt idx="24">
                  <c:v>3720315.6719899843</c:v>
                </c:pt>
              </c:numCache>
            </c:numRef>
          </c:val>
          <c:smooth val="0"/>
          <c:extLst>
            <c:ext xmlns:c16="http://schemas.microsoft.com/office/drawing/2014/chart" uri="{C3380CC4-5D6E-409C-BE32-E72D297353CC}">
              <c16:uniqueId val="{0000000E-A31A-47BC-8E58-B8689B67C316}"/>
            </c:ext>
          </c:extLst>
        </c:ser>
        <c:dLbls>
          <c:showLegendKey val="0"/>
          <c:showVal val="0"/>
          <c:showCatName val="0"/>
          <c:showSerName val="0"/>
          <c:showPercent val="0"/>
          <c:showBubbleSize val="0"/>
        </c:dLbls>
        <c:smooth val="0"/>
        <c:axId val="148612608"/>
        <c:axId val="148614144"/>
      </c:lineChart>
      <c:catAx>
        <c:axId val="14861260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48614144"/>
        <c:crosses val="autoZero"/>
        <c:auto val="1"/>
        <c:lblAlgn val="ctr"/>
        <c:lblOffset val="100"/>
        <c:noMultiLvlLbl val="0"/>
      </c:catAx>
      <c:valAx>
        <c:axId val="148614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9.0530749524572896E-3"/>
              <c:y val="0.3736052543195133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612608"/>
        <c:crosses val="autoZero"/>
        <c:crossBetween val="between"/>
      </c:valAx>
      <c:spPr>
        <a:ln>
          <a:solidFill>
            <a:srgbClr val="002060"/>
          </a:solidFill>
        </a:ln>
      </c:spPr>
    </c:plotArea>
    <c:legend>
      <c:legendPos val="r"/>
      <c:layout>
        <c:manualLayout>
          <c:xMode val="edge"/>
          <c:yMode val="edge"/>
          <c:x val="0.83233574845060532"/>
          <c:y val="6.3981291438096305E-2"/>
          <c:w val="0.15718568113117592"/>
          <c:h val="0.8388645495142490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a:t>
            </a:r>
          </a:p>
        </c:rich>
      </c:tx>
      <c:layout>
        <c:manualLayout>
          <c:xMode val="edge"/>
          <c:yMode val="edge"/>
          <c:x val="0.28382155057621855"/>
          <c:y val="1.8111208321182074E-2"/>
        </c:manualLayout>
      </c:layout>
      <c:overlay val="0"/>
    </c:title>
    <c:autoTitleDeleted val="0"/>
    <c:plotArea>
      <c:layout>
        <c:manualLayout>
          <c:layoutTarget val="inner"/>
          <c:xMode val="edge"/>
          <c:yMode val="edge"/>
          <c:x val="0.11631919796433213"/>
          <c:y val="0.10907210776399626"/>
          <c:w val="0.68848965478360546"/>
          <c:h val="0.79313023103871672"/>
        </c:manualLayout>
      </c:layout>
      <c:lineChart>
        <c:grouping val="standard"/>
        <c:varyColors val="0"/>
        <c:ser>
          <c:idx val="0"/>
          <c:order val="0"/>
          <c:tx>
            <c:strRef>
              <c:f>Pupil_Projections_scenarios!$B$72</c:f>
              <c:strCache>
                <c:ptCount val="1"/>
                <c:pt idx="0">
                  <c:v>Primary historical</c:v>
                </c:pt>
              </c:strCache>
            </c:strRef>
          </c:tx>
          <c:spPr>
            <a:ln>
              <a:solidFill>
                <a:srgbClr val="FF0000"/>
              </a:solidFill>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Pupil_Projections_scenarios!$C$72:$AA$72</c:f>
              <c:numCache>
                <c:formatCode>_-* #,##0_-;\-* #,##0_-;_-* "-"??_-;_-@_-</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numCache>
            </c:numRef>
          </c:val>
          <c:smooth val="0"/>
          <c:extLst>
            <c:ext xmlns:c16="http://schemas.microsoft.com/office/drawing/2014/chart" uri="{C3380CC4-5D6E-409C-BE32-E72D297353CC}">
              <c16:uniqueId val="{00000000-CE6C-4467-88B2-BB5B340406A2}"/>
            </c:ext>
          </c:extLst>
        </c:ser>
        <c:ser>
          <c:idx val="1"/>
          <c:order val="1"/>
          <c:tx>
            <c:strRef>
              <c:f>Pupil_Projections_scenarios!$B$73</c:f>
              <c:strCache>
                <c:ptCount val="1"/>
                <c:pt idx="0">
                  <c:v>Primary projected</c:v>
                </c:pt>
              </c:strCache>
            </c:strRef>
          </c:tx>
          <c:spPr>
            <a:ln>
              <a:solidFill>
                <a:srgbClr val="FF0000"/>
              </a:solidFill>
              <a:prstDash val="sysDot"/>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Pupil_Projections_scenarios!$C$73:$AA$73</c:f>
              <c:numCache>
                <c:formatCode>_-* #,##0_-;\-* #,##0_-;_-* "-"??_-;_-@_-</c:formatCode>
                <c:ptCount val="25"/>
                <c:pt idx="12">
                  <c:v>4659421</c:v>
                </c:pt>
                <c:pt idx="13">
                  <c:v>4717394.1869075894</c:v>
                </c:pt>
                <c:pt idx="14">
                  <c:v>4743197.9400571762</c:v>
                </c:pt>
                <c:pt idx="15">
                  <c:v>4743394.7508921698</c:v>
                </c:pt>
                <c:pt idx="16">
                  <c:v>4752324.1234839866</c:v>
                </c:pt>
                <c:pt idx="17">
                  <c:v>4754699.5674540829</c:v>
                </c:pt>
                <c:pt idx="18">
                  <c:v>4748628.8440450421</c:v>
                </c:pt>
                <c:pt idx="19">
                  <c:v>4733277.2129678745</c:v>
                </c:pt>
                <c:pt idx="20">
                  <c:v>4742429.7587460289</c:v>
                </c:pt>
                <c:pt idx="21">
                  <c:v>4769065.3698165566</c:v>
                </c:pt>
                <c:pt idx="22">
                  <c:v>4797832.532279524</c:v>
                </c:pt>
                <c:pt idx="23">
                  <c:v>4819809.7676248243</c:v>
                </c:pt>
                <c:pt idx="24">
                  <c:v>4834650.7574622277</c:v>
                </c:pt>
              </c:numCache>
            </c:numRef>
          </c:val>
          <c:smooth val="0"/>
          <c:extLst>
            <c:ext xmlns:c16="http://schemas.microsoft.com/office/drawing/2014/chart" uri="{C3380CC4-5D6E-409C-BE32-E72D297353CC}">
              <c16:uniqueId val="{00000001-CE6C-4467-88B2-BB5B340406A2}"/>
            </c:ext>
          </c:extLst>
        </c:ser>
        <c:ser>
          <c:idx val="2"/>
          <c:order val="2"/>
          <c:tx>
            <c:strRef>
              <c:f>Pupil_Projections_scenarios!$B$74</c:f>
              <c:strCache>
                <c:ptCount val="1"/>
                <c:pt idx="0">
                  <c:v>Secondary (all) historical</c:v>
                </c:pt>
              </c:strCache>
            </c:strRef>
          </c:tx>
          <c:spPr>
            <a:ln>
              <a:solidFill>
                <a:srgbClr val="00B0F0"/>
              </a:solidFill>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Pupil_Projections_scenarios!$C$74:$AA$74</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numCache>
            </c:numRef>
          </c:val>
          <c:smooth val="0"/>
          <c:extLst>
            <c:ext xmlns:c16="http://schemas.microsoft.com/office/drawing/2014/chart" uri="{C3380CC4-5D6E-409C-BE32-E72D297353CC}">
              <c16:uniqueId val="{00000002-CE6C-4467-88B2-BB5B340406A2}"/>
            </c:ext>
          </c:extLst>
        </c:ser>
        <c:ser>
          <c:idx val="3"/>
          <c:order val="3"/>
          <c:tx>
            <c:strRef>
              <c:f>Pupil_Projections_scenarios!$B$75</c:f>
              <c:strCache>
                <c:ptCount val="1"/>
                <c:pt idx="0">
                  <c:v>Secondary (all) projected</c:v>
                </c:pt>
              </c:strCache>
            </c:strRef>
          </c:tx>
          <c:spPr>
            <a:ln>
              <a:solidFill>
                <a:srgbClr val="00B0F0"/>
              </a:solidFill>
              <a:prstDash val="sysDot"/>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Pupil_Projections_scenarios!$C$75:$AA$75</c:f>
              <c:numCache>
                <c:formatCode>_-* #,##0_-;\-* #,##0_-;_-* "-"??_-;_-@_-</c:formatCode>
                <c:ptCount val="25"/>
                <c:pt idx="12">
                  <c:v>3145583</c:v>
                </c:pt>
                <c:pt idx="13">
                  <c:v>3197180.5600349735</c:v>
                </c:pt>
                <c:pt idx="14">
                  <c:v>3274228.6548275417</c:v>
                </c:pt>
                <c:pt idx="15">
                  <c:v>3359656.345562675</c:v>
                </c:pt>
                <c:pt idx="16">
                  <c:v>3431462.9098517485</c:v>
                </c:pt>
                <c:pt idx="17">
                  <c:v>3508384.2642579307</c:v>
                </c:pt>
                <c:pt idx="18">
                  <c:v>3589855.437922664</c:v>
                </c:pt>
                <c:pt idx="19">
                  <c:v>3662527.1591678588</c:v>
                </c:pt>
                <c:pt idx="20">
                  <c:v>3688681.2876089499</c:v>
                </c:pt>
                <c:pt idx="21">
                  <c:v>3698533.8733492214</c:v>
                </c:pt>
                <c:pt idx="22">
                  <c:v>3693590.259872193</c:v>
                </c:pt>
                <c:pt idx="23">
                  <c:v>3682746.3169983355</c:v>
                </c:pt>
                <c:pt idx="24">
                  <c:v>3664537.0998463929</c:v>
                </c:pt>
              </c:numCache>
            </c:numRef>
          </c:val>
          <c:smooth val="0"/>
          <c:extLst>
            <c:ext xmlns:c16="http://schemas.microsoft.com/office/drawing/2014/chart" uri="{C3380CC4-5D6E-409C-BE32-E72D297353CC}">
              <c16:uniqueId val="{00000003-CE6C-4467-88B2-BB5B340406A2}"/>
            </c:ext>
          </c:extLst>
        </c:ser>
        <c:ser>
          <c:idx val="4"/>
          <c:order val="4"/>
          <c:tx>
            <c:strRef>
              <c:f>Pupil_Projections_scenarios!$B$76</c:f>
              <c:strCache>
                <c:ptCount val="1"/>
                <c:pt idx="0">
                  <c:v>Years 7-9 historical</c:v>
                </c:pt>
              </c:strCache>
            </c:strRef>
          </c:tx>
          <c:spPr>
            <a:ln>
              <a:solidFill>
                <a:srgbClr val="00B050"/>
              </a:solidFill>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Pupil_Projections_scenarios!$C$76:$AA$76</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numCache>
            </c:numRef>
          </c:val>
          <c:smooth val="0"/>
          <c:extLst>
            <c:ext xmlns:c16="http://schemas.microsoft.com/office/drawing/2014/chart" uri="{C3380CC4-5D6E-409C-BE32-E72D297353CC}">
              <c16:uniqueId val="{00000004-CE6C-4467-88B2-BB5B340406A2}"/>
            </c:ext>
          </c:extLst>
        </c:ser>
        <c:ser>
          <c:idx val="5"/>
          <c:order val="5"/>
          <c:tx>
            <c:strRef>
              <c:f>Pupil_Projections_scenarios!$B$77</c:f>
              <c:strCache>
                <c:ptCount val="1"/>
                <c:pt idx="0">
                  <c:v>Years 7-9 projected</c:v>
                </c:pt>
              </c:strCache>
            </c:strRef>
          </c:tx>
          <c:spPr>
            <a:ln>
              <a:solidFill>
                <a:srgbClr val="00B050"/>
              </a:solidFill>
              <a:prstDash val="sysDot"/>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Pupil_Projections_scenarios!$C$77:$AA$77</c:f>
              <c:numCache>
                <c:formatCode>General</c:formatCode>
                <c:ptCount val="25"/>
                <c:pt idx="12" formatCode="_-* #,##0_-;\-* #,##0_-;_-* &quot;-&quot;??_-;_-@_-">
                  <c:v>1678899</c:v>
                </c:pt>
                <c:pt idx="13" formatCode="_-* #,##0_-;\-* #,##0_-;_-* &quot;-&quot;??_-;_-@_-">
                  <c:v>1724020.9710333012</c:v>
                </c:pt>
                <c:pt idx="14" formatCode="_-* #,##0_-;\-* #,##0_-;_-* &quot;-&quot;??_-;_-@_-">
                  <c:v>1772854.5848039868</c:v>
                </c:pt>
                <c:pt idx="15" formatCode="_-* #,##0_-;\-* #,##0_-;_-* &quot;-&quot;??_-;_-@_-">
                  <c:v>1834934.1224812306</c:v>
                </c:pt>
                <c:pt idx="16" formatCode="_-* #,##0_-;\-* #,##0_-;_-* &quot;-&quot;??_-;_-@_-">
                  <c:v>1879210.7299530376</c:v>
                </c:pt>
                <c:pt idx="17" formatCode="_-* #,##0_-;\-* #,##0_-;_-* &quot;-&quot;??_-;_-@_-">
                  <c:v>1914351.168622531</c:v>
                </c:pt>
                <c:pt idx="18" formatCode="_-* #,##0_-;\-* #,##0_-;_-* &quot;-&quot;??_-;_-@_-">
                  <c:v>1936762.2517991117</c:v>
                </c:pt>
                <c:pt idx="19" formatCode="_-* #,##0_-;\-* #,##0_-;_-* &quot;-&quot;??_-;_-@_-">
                  <c:v>1974817.9779716961</c:v>
                </c:pt>
                <c:pt idx="20" formatCode="_-* #,##0_-;\-* #,##0_-;_-* &quot;-&quot;??_-;_-@_-">
                  <c:v>1978504.8643901525</c:v>
                </c:pt>
                <c:pt idx="21" formatCode="_-* #,##0_-;\-* #,##0_-;_-* &quot;-&quot;??_-;_-@_-">
                  <c:v>1953779.1387891811</c:v>
                </c:pt>
                <c:pt idx="22" formatCode="_-* #,##0_-;\-* #,##0_-;_-* &quot;-&quot;??_-;_-@_-">
                  <c:v>1915886.5892006818</c:v>
                </c:pt>
                <c:pt idx="23" formatCode="_-* #,##0_-;\-* #,##0_-;_-* &quot;-&quot;??_-;_-@_-">
                  <c:v>1907012.1075926665</c:v>
                </c:pt>
                <c:pt idx="24" formatCode="_-* #,##0_-;\-* #,##0_-;_-* &quot;-&quot;??_-;_-@_-">
                  <c:v>1919851.9246029067</c:v>
                </c:pt>
              </c:numCache>
            </c:numRef>
          </c:val>
          <c:smooth val="0"/>
          <c:extLst>
            <c:ext xmlns:c16="http://schemas.microsoft.com/office/drawing/2014/chart" uri="{C3380CC4-5D6E-409C-BE32-E72D297353CC}">
              <c16:uniqueId val="{00000005-CE6C-4467-88B2-BB5B340406A2}"/>
            </c:ext>
          </c:extLst>
        </c:ser>
        <c:ser>
          <c:idx val="6"/>
          <c:order val="6"/>
          <c:tx>
            <c:strRef>
              <c:f>Pupil_Projections_scenarios!$B$78</c:f>
              <c:strCache>
                <c:ptCount val="1"/>
                <c:pt idx="0">
                  <c:v>Years 10-11 historical</c:v>
                </c:pt>
              </c:strCache>
            </c:strRef>
          </c:tx>
          <c:spPr>
            <a:ln>
              <a:solidFill>
                <a:srgbClr val="002060"/>
              </a:solidFill>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Pupil_Projections_scenarios!$C$78:$AA$78</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numCache>
            </c:numRef>
          </c:val>
          <c:smooth val="0"/>
          <c:extLst>
            <c:ext xmlns:c16="http://schemas.microsoft.com/office/drawing/2014/chart" uri="{C3380CC4-5D6E-409C-BE32-E72D297353CC}">
              <c16:uniqueId val="{00000006-CE6C-4467-88B2-BB5B340406A2}"/>
            </c:ext>
          </c:extLst>
        </c:ser>
        <c:ser>
          <c:idx val="7"/>
          <c:order val="7"/>
          <c:tx>
            <c:strRef>
              <c:f>Pupil_Projections_scenarios!$B$79</c:f>
              <c:strCache>
                <c:ptCount val="1"/>
                <c:pt idx="0">
                  <c:v>Years 10-11 projected</c:v>
                </c:pt>
              </c:strCache>
            </c:strRef>
          </c:tx>
          <c:spPr>
            <a:ln>
              <a:solidFill>
                <a:srgbClr val="002060"/>
              </a:solidFill>
              <a:prstDash val="sysDot"/>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Pupil_Projections_scenarios!$C$79:$AA$79</c:f>
              <c:numCache>
                <c:formatCode>General</c:formatCode>
                <c:ptCount val="25"/>
                <c:pt idx="12" formatCode="_-* #,##0_-;\-* #,##0_-;_-* &quot;-&quot;??_-;_-@_-">
                  <c:v>1041875</c:v>
                </c:pt>
                <c:pt idx="13" formatCode="_-* #,##0_-;\-* #,##0_-;_-* &quot;-&quot;??_-;_-@_-">
                  <c:v>1059242.1765030818</c:v>
                </c:pt>
                <c:pt idx="14" formatCode="_-* #,##0_-;\-* #,##0_-;_-* &quot;-&quot;??_-;_-@_-">
                  <c:v>1098492.845827396</c:v>
                </c:pt>
                <c:pt idx="15" formatCode="_-* #,##0_-;\-* #,##0_-;_-* &quot;-&quot;??_-;_-@_-">
                  <c:v>1128522.0334177609</c:v>
                </c:pt>
                <c:pt idx="16" formatCode="_-* #,##0_-;\-* #,##0_-;_-* &quot;-&quot;??_-;_-@_-">
                  <c:v>1154504.7206683625</c:v>
                </c:pt>
                <c:pt idx="17" formatCode="_-* #,##0_-;\-* #,##0_-;_-* &quot;-&quot;??_-;_-@_-">
                  <c:v>1189761.543386043</c:v>
                </c:pt>
                <c:pt idx="18" formatCode="_-* #,##0_-;\-* #,##0_-;_-* &quot;-&quot;??_-;_-@_-">
                  <c:v>1236679.5493941545</c:v>
                </c:pt>
                <c:pt idx="19" formatCode="_-* #,##0_-;\-* #,##0_-;_-* &quot;-&quot;??_-;_-@_-">
                  <c:v>1258969.8278058928</c:v>
                </c:pt>
                <c:pt idx="20" formatCode="_-* #,##0_-;\-* #,##0_-;_-* &quot;-&quot;??_-;_-@_-">
                  <c:v>1268399.1996321685</c:v>
                </c:pt>
                <c:pt idx="21" formatCode="_-* #,##0_-;\-* #,##0_-;_-* &quot;-&quot;??_-;_-@_-">
                  <c:v>1293612.6085987107</c:v>
                </c:pt>
                <c:pt idx="22" formatCode="_-* #,##0_-;\-* #,##0_-;_-* &quot;-&quot;??_-;_-@_-">
                  <c:v>1318848.3464785134</c:v>
                </c:pt>
                <c:pt idx="23" formatCode="_-* #,##0_-;\-* #,##0_-;_-* &quot;-&quot;??_-;_-@_-">
                  <c:v>1309459.1785579114</c:v>
                </c:pt>
                <c:pt idx="24" formatCode="_-* #,##0_-;\-* #,##0_-;_-* &quot;-&quot;??_-;_-@_-">
                  <c:v>1272619.0523094554</c:v>
                </c:pt>
              </c:numCache>
            </c:numRef>
          </c:val>
          <c:smooth val="0"/>
          <c:extLst>
            <c:ext xmlns:c16="http://schemas.microsoft.com/office/drawing/2014/chart" uri="{C3380CC4-5D6E-409C-BE32-E72D297353CC}">
              <c16:uniqueId val="{00000007-CE6C-4467-88B2-BB5B340406A2}"/>
            </c:ext>
          </c:extLst>
        </c:ser>
        <c:ser>
          <c:idx val="8"/>
          <c:order val="8"/>
          <c:tx>
            <c:strRef>
              <c:f>Pupil_Projections_scenarios!$B$80</c:f>
              <c:strCache>
                <c:ptCount val="1"/>
                <c:pt idx="0">
                  <c:v>Years 12-13 historical</c:v>
                </c:pt>
              </c:strCache>
            </c:strRef>
          </c:tx>
          <c:spPr>
            <a:ln>
              <a:solidFill>
                <a:srgbClr val="FFC000"/>
              </a:solidFill>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Pupil_Projections_scenarios!$C$80:$AA$80</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numCache>
            </c:numRef>
          </c:val>
          <c:smooth val="0"/>
          <c:extLst>
            <c:ext xmlns:c16="http://schemas.microsoft.com/office/drawing/2014/chart" uri="{C3380CC4-5D6E-409C-BE32-E72D297353CC}">
              <c16:uniqueId val="{00000008-CE6C-4467-88B2-BB5B340406A2}"/>
            </c:ext>
          </c:extLst>
        </c:ser>
        <c:ser>
          <c:idx val="9"/>
          <c:order val="9"/>
          <c:tx>
            <c:strRef>
              <c:f>Pupil_Projections_scenarios!$B$81</c:f>
              <c:strCache>
                <c:ptCount val="1"/>
                <c:pt idx="0">
                  <c:v>Years 12-13 projected</c:v>
                </c:pt>
              </c:strCache>
            </c:strRef>
          </c:tx>
          <c:spPr>
            <a:ln>
              <a:solidFill>
                <a:srgbClr val="FFC000"/>
              </a:solidFill>
              <a:prstDash val="sysDot"/>
            </a:ln>
          </c:spPr>
          <c:marker>
            <c:symbol val="none"/>
          </c:marker>
          <c:cat>
            <c:strRef>
              <c:f>Pupil_Projections_scenarios!$C$71:$AA$71</c:f>
              <c:strCache>
                <c:ptCount val="25"/>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pt idx="24">
                  <c:v> 2028/29 </c:v>
                </c:pt>
              </c:strCache>
            </c:strRef>
          </c:cat>
          <c:val>
            <c:numRef>
              <c:f>Pupil_Projections_scenarios!$C$81:$AA$81</c:f>
              <c:numCache>
                <c:formatCode>General</c:formatCode>
                <c:ptCount val="25"/>
                <c:pt idx="12" formatCode="_-* #,##0_-;\-* #,##0_-;_-* &quot;-&quot;??_-;_-@_-">
                  <c:v>424809</c:v>
                </c:pt>
                <c:pt idx="13" formatCode="_-* #,##0_-;\-* #,##0_-;_-* &quot;-&quot;??_-;_-@_-">
                  <c:v>413917.41249859042</c:v>
                </c:pt>
                <c:pt idx="14" formatCode="_-* #,##0_-;\-* #,##0_-;_-* &quot;-&quot;??_-;_-@_-">
                  <c:v>402881.22419615899</c:v>
                </c:pt>
                <c:pt idx="15" formatCode="_-* #,##0_-;\-* #,##0_-;_-* &quot;-&quot;??_-;_-@_-">
                  <c:v>396200.18966368359</c:v>
                </c:pt>
                <c:pt idx="16" formatCode="_-* #,##0_-;\-* #,##0_-;_-* &quot;-&quot;??_-;_-@_-">
                  <c:v>397747.45923034835</c:v>
                </c:pt>
                <c:pt idx="17" formatCode="_-* #,##0_-;\-* #,##0_-;_-* &quot;-&quot;??_-;_-@_-">
                  <c:v>404271.55224935681</c:v>
                </c:pt>
                <c:pt idx="18" formatCode="_-* #,##0_-;\-* #,##0_-;_-* &quot;-&quot;??_-;_-@_-">
                  <c:v>416413.63672939758</c:v>
                </c:pt>
                <c:pt idx="19" formatCode="_-* #,##0_-;\-* #,##0_-;_-* &quot;-&quot;??_-;_-@_-">
                  <c:v>428739.35339027015</c:v>
                </c:pt>
                <c:pt idx="20" formatCode="_-* #,##0_-;\-* #,##0_-;_-* &quot;-&quot;??_-;_-@_-">
                  <c:v>441777.22358662885</c:v>
                </c:pt>
                <c:pt idx="21" formatCode="_-* #,##0_-;\-* #,##0_-;_-* &quot;-&quot;??_-;_-@_-">
                  <c:v>451142.12596132985</c:v>
                </c:pt>
                <c:pt idx="22" formatCode="_-* #,##0_-;\-* #,##0_-;_-* &quot;-&quot;??_-;_-@_-">
                  <c:v>458855.32419299771</c:v>
                </c:pt>
                <c:pt idx="23" formatCode="_-* #,##0_-;\-* #,##0_-;_-* &quot;-&quot;??_-;_-@_-">
                  <c:v>466275.03084775753</c:v>
                </c:pt>
                <c:pt idx="24" formatCode="_-* #,##0_-;\-* #,##0_-;_-* &quot;-&quot;??_-;_-@_-">
                  <c:v>472066.1229340306</c:v>
                </c:pt>
              </c:numCache>
            </c:numRef>
          </c:val>
          <c:smooth val="0"/>
          <c:extLst>
            <c:ext xmlns:c16="http://schemas.microsoft.com/office/drawing/2014/chart" uri="{C3380CC4-5D6E-409C-BE32-E72D297353CC}">
              <c16:uniqueId val="{00000009-CE6C-4467-88B2-BB5B340406A2}"/>
            </c:ext>
          </c:extLst>
        </c:ser>
        <c:dLbls>
          <c:showLegendKey val="0"/>
          <c:showVal val="0"/>
          <c:showCatName val="0"/>
          <c:showSerName val="0"/>
          <c:showPercent val="0"/>
          <c:showBubbleSize val="0"/>
        </c:dLbls>
        <c:smooth val="0"/>
        <c:axId val="150213760"/>
        <c:axId val="150215296"/>
      </c:lineChart>
      <c:catAx>
        <c:axId val="15021376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15296"/>
        <c:crosses val="autoZero"/>
        <c:auto val="1"/>
        <c:lblAlgn val="ctr"/>
        <c:lblOffset val="100"/>
        <c:noMultiLvlLbl val="0"/>
      </c:catAx>
      <c:valAx>
        <c:axId val="1502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914032754265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13760"/>
        <c:crosses val="autoZero"/>
        <c:crossBetween val="between"/>
      </c:valAx>
      <c:spPr>
        <a:ln>
          <a:solidFill>
            <a:sysClr val="windowText" lastClr="000000"/>
          </a:solidFill>
        </a:ln>
      </c:spPr>
    </c:plotArea>
    <c:legend>
      <c:legendPos val="r"/>
      <c:layout>
        <c:manualLayout>
          <c:xMode val="edge"/>
          <c:yMode val="edge"/>
          <c:x val="0.82025640165768243"/>
          <c:y val="9.351861572858948E-2"/>
          <c:w val="0.16750143984497701"/>
          <c:h val="0.8231488286186448"/>
        </c:manualLayout>
      </c:layout>
      <c:overlay val="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a:t>
            </a:r>
          </a:p>
        </c:rich>
      </c:tx>
      <c:layout>
        <c:manualLayout>
          <c:xMode val="edge"/>
          <c:yMode val="edge"/>
          <c:x val="0.2764124440529736"/>
          <c:y val="1.5642266938854864E-2"/>
        </c:manualLayout>
      </c:layout>
      <c:overlay val="0"/>
    </c:title>
    <c:autoTitleDeleted val="0"/>
    <c:plotArea>
      <c:layout>
        <c:manualLayout>
          <c:layoutTarget val="inner"/>
          <c:xMode val="edge"/>
          <c:yMode val="edge"/>
          <c:x val="0.12512467405427335"/>
          <c:y val="0.10685780785149175"/>
          <c:w val="0.70150967158491984"/>
          <c:h val="0.79207624374724317"/>
        </c:manualLayout>
      </c:layout>
      <c:lineChart>
        <c:grouping val="standard"/>
        <c:varyColors val="0"/>
        <c:ser>
          <c:idx val="1"/>
          <c:order val="0"/>
          <c:tx>
            <c:v>Primary</c:v>
          </c:tx>
          <c:spPr>
            <a:ln>
              <a:solidFill>
                <a:srgbClr val="FF000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Pupil_Projections_scenarios!$C$40:$AA$40</c:f>
              <c:numCache>
                <c:formatCode>#,##0</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4717394.1869075894</c:v>
                </c:pt>
                <c:pt idx="14">
                  <c:v>4743197.9400571762</c:v>
                </c:pt>
                <c:pt idx="15">
                  <c:v>4743394.7508921698</c:v>
                </c:pt>
                <c:pt idx="16">
                  <c:v>4752324.1234839866</c:v>
                </c:pt>
                <c:pt idx="17">
                  <c:v>4754699.5674540829</c:v>
                </c:pt>
                <c:pt idx="18">
                  <c:v>4748628.8440450421</c:v>
                </c:pt>
                <c:pt idx="19">
                  <c:v>4733277.2129678745</c:v>
                </c:pt>
                <c:pt idx="20">
                  <c:v>4742429.7587460289</c:v>
                </c:pt>
                <c:pt idx="21">
                  <c:v>4769065.3698165566</c:v>
                </c:pt>
                <c:pt idx="22">
                  <c:v>4797832.532279524</c:v>
                </c:pt>
                <c:pt idx="23">
                  <c:v>4819809.7676248243</c:v>
                </c:pt>
                <c:pt idx="24">
                  <c:v>4834650.7574622277</c:v>
                </c:pt>
              </c:numCache>
            </c:numRef>
          </c:val>
          <c:smooth val="0"/>
          <c:extLst>
            <c:ext xmlns:c16="http://schemas.microsoft.com/office/drawing/2014/chart" uri="{C3380CC4-5D6E-409C-BE32-E72D297353CC}">
              <c16:uniqueId val="{00000000-2456-4798-8941-7971BEAC9D93}"/>
            </c:ext>
          </c:extLst>
        </c:ser>
        <c:ser>
          <c:idx val="4"/>
          <c:order val="1"/>
          <c:tx>
            <c:v>Secondary All</c:v>
          </c:tx>
          <c:spPr>
            <a:ln>
              <a:solidFill>
                <a:srgbClr val="00B0F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Pupil_Projections_scenarios!$C$64:$AA$64</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3197180.5600349735</c:v>
                </c:pt>
                <c:pt idx="14">
                  <c:v>3274228.6548275417</c:v>
                </c:pt>
                <c:pt idx="15">
                  <c:v>3359656.345562675</c:v>
                </c:pt>
                <c:pt idx="16">
                  <c:v>3431462.9098517485</c:v>
                </c:pt>
                <c:pt idx="17">
                  <c:v>3508384.2642579307</c:v>
                </c:pt>
                <c:pt idx="18">
                  <c:v>3589855.437922664</c:v>
                </c:pt>
                <c:pt idx="19">
                  <c:v>3662527.1591678588</c:v>
                </c:pt>
                <c:pt idx="20">
                  <c:v>3688681.2876089499</c:v>
                </c:pt>
                <c:pt idx="21">
                  <c:v>3698533.8733492214</c:v>
                </c:pt>
                <c:pt idx="22">
                  <c:v>3693590.259872193</c:v>
                </c:pt>
                <c:pt idx="23">
                  <c:v>3682746.3169983355</c:v>
                </c:pt>
                <c:pt idx="24">
                  <c:v>3664537.0998463929</c:v>
                </c:pt>
              </c:numCache>
            </c:numRef>
          </c:val>
          <c:smooth val="0"/>
          <c:extLst>
            <c:ext xmlns:c16="http://schemas.microsoft.com/office/drawing/2014/chart" uri="{C3380CC4-5D6E-409C-BE32-E72D297353CC}">
              <c16:uniqueId val="{00000001-2456-4798-8941-7971BEAC9D93}"/>
            </c:ext>
          </c:extLst>
        </c:ser>
        <c:ser>
          <c:idx val="6"/>
          <c:order val="2"/>
          <c:tx>
            <c:v>Years 7-9</c:v>
          </c:tx>
          <c:spPr>
            <a:ln>
              <a:solidFill>
                <a:srgbClr val="00B05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Pupil_Projections_scenarios!$C$46:$AA$46</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1724020.9710333012</c:v>
                </c:pt>
                <c:pt idx="14">
                  <c:v>1772854.5848039868</c:v>
                </c:pt>
                <c:pt idx="15">
                  <c:v>1834934.1224812306</c:v>
                </c:pt>
                <c:pt idx="16">
                  <c:v>1879210.7299530376</c:v>
                </c:pt>
                <c:pt idx="17">
                  <c:v>1914351.168622531</c:v>
                </c:pt>
                <c:pt idx="18">
                  <c:v>1936762.2517991117</c:v>
                </c:pt>
                <c:pt idx="19">
                  <c:v>1974817.9779716961</c:v>
                </c:pt>
                <c:pt idx="20">
                  <c:v>1978504.8643901525</c:v>
                </c:pt>
                <c:pt idx="21">
                  <c:v>1953779.1387891811</c:v>
                </c:pt>
                <c:pt idx="22">
                  <c:v>1915886.5892006818</c:v>
                </c:pt>
                <c:pt idx="23">
                  <c:v>1907012.1075926665</c:v>
                </c:pt>
                <c:pt idx="24">
                  <c:v>1919851.9246029067</c:v>
                </c:pt>
              </c:numCache>
            </c:numRef>
          </c:val>
          <c:smooth val="0"/>
          <c:extLst>
            <c:ext xmlns:c16="http://schemas.microsoft.com/office/drawing/2014/chart" uri="{C3380CC4-5D6E-409C-BE32-E72D297353CC}">
              <c16:uniqueId val="{00000002-2456-4798-8941-7971BEAC9D93}"/>
            </c:ext>
          </c:extLst>
        </c:ser>
        <c:ser>
          <c:idx val="11"/>
          <c:order val="3"/>
          <c:tx>
            <c:v>Years 10-11</c:v>
          </c:tx>
          <c:spPr>
            <a:ln>
              <a:solidFill>
                <a:srgbClr val="00206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Pupil_Projections_scenarios!$C$52:$AA$52</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1059242.1765030818</c:v>
                </c:pt>
                <c:pt idx="14">
                  <c:v>1098492.845827396</c:v>
                </c:pt>
                <c:pt idx="15">
                  <c:v>1128522.0334177609</c:v>
                </c:pt>
                <c:pt idx="16">
                  <c:v>1154504.7206683625</c:v>
                </c:pt>
                <c:pt idx="17">
                  <c:v>1189761.543386043</c:v>
                </c:pt>
                <c:pt idx="18">
                  <c:v>1236679.5493941545</c:v>
                </c:pt>
                <c:pt idx="19">
                  <c:v>1258969.8278058928</c:v>
                </c:pt>
                <c:pt idx="20">
                  <c:v>1268399.1996321685</c:v>
                </c:pt>
                <c:pt idx="21">
                  <c:v>1293612.6085987107</c:v>
                </c:pt>
                <c:pt idx="22">
                  <c:v>1318848.3464785134</c:v>
                </c:pt>
                <c:pt idx="23">
                  <c:v>1309459.1785579114</c:v>
                </c:pt>
                <c:pt idx="24">
                  <c:v>1272619.0523094554</c:v>
                </c:pt>
              </c:numCache>
            </c:numRef>
          </c:val>
          <c:smooth val="0"/>
          <c:extLst>
            <c:ext xmlns:c16="http://schemas.microsoft.com/office/drawing/2014/chart" uri="{C3380CC4-5D6E-409C-BE32-E72D297353CC}">
              <c16:uniqueId val="{00000003-2456-4798-8941-7971BEAC9D93}"/>
            </c:ext>
          </c:extLst>
        </c:ser>
        <c:ser>
          <c:idx val="16"/>
          <c:order val="4"/>
          <c:tx>
            <c:v>Year 12-13</c:v>
          </c:tx>
          <c:spPr>
            <a:ln>
              <a:solidFill>
                <a:srgbClr val="FFC000"/>
              </a:solidFill>
            </a:ln>
          </c:spPr>
          <c:marker>
            <c:symbol val="none"/>
          </c:marker>
          <c:cat>
            <c:strRef>
              <c:f>Pupil_Projections_scenarios!$C$38:$AA$38</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Pupil_Projections_scenarios!$C$58:$AA$58</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413917.41249859042</c:v>
                </c:pt>
                <c:pt idx="14">
                  <c:v>402881.22419615899</c:v>
                </c:pt>
                <c:pt idx="15">
                  <c:v>396200.18966368359</c:v>
                </c:pt>
                <c:pt idx="16">
                  <c:v>397747.45923034835</c:v>
                </c:pt>
                <c:pt idx="17">
                  <c:v>404271.55224935681</c:v>
                </c:pt>
                <c:pt idx="18">
                  <c:v>416413.63672939758</c:v>
                </c:pt>
                <c:pt idx="19">
                  <c:v>428739.35339027015</c:v>
                </c:pt>
                <c:pt idx="20">
                  <c:v>441777.22358662885</c:v>
                </c:pt>
                <c:pt idx="21">
                  <c:v>451142.12596132985</c:v>
                </c:pt>
                <c:pt idx="22">
                  <c:v>458855.32419299771</c:v>
                </c:pt>
                <c:pt idx="23">
                  <c:v>466275.03084775753</c:v>
                </c:pt>
                <c:pt idx="24">
                  <c:v>472066.1229340306</c:v>
                </c:pt>
              </c:numCache>
            </c:numRef>
          </c:val>
          <c:smooth val="0"/>
          <c:extLst>
            <c:ext xmlns:c16="http://schemas.microsoft.com/office/drawing/2014/chart" uri="{C3380CC4-5D6E-409C-BE32-E72D297353CC}">
              <c16:uniqueId val="{00000004-2456-4798-8941-7971BEAC9D93}"/>
            </c:ext>
          </c:extLst>
        </c:ser>
        <c:dLbls>
          <c:showLegendKey val="0"/>
          <c:showVal val="0"/>
          <c:showCatName val="0"/>
          <c:showSerName val="0"/>
          <c:showPercent val="0"/>
          <c:showBubbleSize val="0"/>
        </c:dLbls>
        <c:smooth val="0"/>
        <c:axId val="150243584"/>
        <c:axId val="150261760"/>
      </c:lineChart>
      <c:catAx>
        <c:axId val="1502435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61760"/>
        <c:crosses val="autoZero"/>
        <c:auto val="1"/>
        <c:lblAlgn val="ctr"/>
        <c:lblOffset val="100"/>
        <c:noMultiLvlLbl val="0"/>
      </c:catAx>
      <c:valAx>
        <c:axId val="150261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1.5980415322773427E-2"/>
              <c:y val="0.3736053271118887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43584"/>
        <c:crosses val="autoZero"/>
        <c:crossBetween val="between"/>
      </c:valAx>
      <c:spPr>
        <a:ln>
          <a:solidFill>
            <a:srgbClr val="002060"/>
          </a:solidFill>
        </a:ln>
      </c:spPr>
    </c:plotArea>
    <c:legend>
      <c:legendPos val="r"/>
      <c:layout>
        <c:manualLayout>
          <c:xMode val="edge"/>
          <c:yMode val="edge"/>
          <c:x val="0.86206943315594553"/>
          <c:y val="8.2407504617478367E-2"/>
          <c:w val="0.12862621318161593"/>
          <c:h val="0.8055563332361231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7785983358"/>
          <c:y val="2.9440171486684813E-3"/>
        </c:manualLayout>
      </c:layout>
      <c:overlay val="0"/>
    </c:title>
    <c:autoTitleDeleted val="0"/>
    <c:plotArea>
      <c:layout>
        <c:manualLayout>
          <c:layoutTarget val="inner"/>
          <c:xMode val="edge"/>
          <c:yMode val="edge"/>
          <c:x val="7.9354330708661422E-2"/>
          <c:y val="7.1691004961902199E-2"/>
          <c:w val="0.72986828919112379"/>
          <c:h val="0.89523600842533824"/>
        </c:manualLayout>
      </c:layout>
      <c:lineChart>
        <c:grouping val="standard"/>
        <c:varyColors val="0"/>
        <c:ser>
          <c:idx val="2"/>
          <c:order val="0"/>
          <c:tx>
            <c:strRef>
              <c:f>Pupil_Projections_scenarios!$B$126</c:f>
              <c:strCache>
                <c:ptCount val="1"/>
                <c:pt idx="0">
                  <c:v>Primary - historical</c:v>
                </c:pt>
              </c:strCache>
            </c:strRef>
          </c:tx>
          <c:spPr>
            <a:ln>
              <a:solidFill>
                <a:schemeClr val="tx1">
                  <a:lumMod val="95000"/>
                  <a:lumOff val="5000"/>
                </a:schemeClr>
              </a:solidFill>
            </a:ln>
          </c:spPr>
          <c:marker>
            <c:symbol val="none"/>
          </c:marker>
          <c:cat>
            <c:strRef>
              <c:f>Pupil_Projections_scenarios!$C$121:$Z$121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strCache>
            </c:strRef>
          </c:cat>
          <c:val>
            <c:numRef>
              <c:f>Pupil_Projections_scenarios!$C$126:$Z$126</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numCache>
            </c:numRef>
          </c:val>
          <c:smooth val="0"/>
          <c:extLst>
            <c:ext xmlns:c16="http://schemas.microsoft.com/office/drawing/2014/chart" uri="{C3380CC4-5D6E-409C-BE32-E72D297353CC}">
              <c16:uniqueId val="{00000000-6D23-400C-B765-7DD5DFF071BD}"/>
            </c:ext>
          </c:extLst>
        </c:ser>
        <c:ser>
          <c:idx val="3"/>
          <c:order val="1"/>
          <c:tx>
            <c:strRef>
              <c:f>Pupil_Projections_scenarios!$B$127</c:f>
              <c:strCache>
                <c:ptCount val="1"/>
                <c:pt idx="0">
                  <c:v>Secondary - historical</c:v>
                </c:pt>
              </c:strCache>
            </c:strRef>
          </c:tx>
          <c:spPr>
            <a:ln>
              <a:solidFill>
                <a:srgbClr val="FF0000"/>
              </a:solidFill>
            </a:ln>
          </c:spPr>
          <c:marker>
            <c:symbol val="none"/>
          </c:marker>
          <c:cat>
            <c:strRef>
              <c:f>Pupil_Projections_scenarios!$C$121:$Z$121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strCache>
            </c:strRef>
          </c:cat>
          <c:val>
            <c:numRef>
              <c:f>Pupil_Projections_scenarios!$C$127:$Z$127</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numCache>
            </c:numRef>
          </c:val>
          <c:smooth val="0"/>
          <c:extLst>
            <c:ext xmlns:c16="http://schemas.microsoft.com/office/drawing/2014/chart" uri="{C3380CC4-5D6E-409C-BE32-E72D297353CC}">
              <c16:uniqueId val="{00000001-6D23-400C-B765-7DD5DFF071BD}"/>
            </c:ext>
          </c:extLst>
        </c:ser>
        <c:ser>
          <c:idx val="0"/>
          <c:order val="2"/>
          <c:tx>
            <c:strRef>
              <c:f>Pupil_Projections_scenarios!$B$128</c:f>
              <c:strCache>
                <c:ptCount val="1"/>
                <c:pt idx="0">
                  <c:v>Primary - projections</c:v>
                </c:pt>
              </c:strCache>
            </c:strRef>
          </c:tx>
          <c:spPr>
            <a:ln>
              <a:solidFill>
                <a:schemeClr val="tx1">
                  <a:lumMod val="95000"/>
                  <a:lumOff val="5000"/>
                </a:schemeClr>
              </a:solidFill>
              <a:prstDash val="sysDot"/>
            </a:ln>
          </c:spPr>
          <c:marker>
            <c:symbol val="none"/>
          </c:marker>
          <c:cat>
            <c:strRef>
              <c:f>Pupil_Projections_scenarios!$C$121:$Z$121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strCache>
            </c:strRef>
          </c:cat>
          <c:val>
            <c:numRef>
              <c:f>Pupil_Projections_scenarios!$C$128:$Z$128</c:f>
              <c:numCache>
                <c:formatCode>General</c:formatCode>
                <c:ptCount val="24"/>
                <c:pt idx="11" formatCode="0%">
                  <c:v>1.8666096492565711E-2</c:v>
                </c:pt>
                <c:pt idx="12" formatCode="0%">
                  <c:v>1.2442143971877501E-2</c:v>
                </c:pt>
                <c:pt idx="13" formatCode="0%">
                  <c:v>5.4699166801029948E-3</c:v>
                </c:pt>
                <c:pt idx="14" formatCode="0%">
                  <c:v>4.1493278897662002E-5</c:v>
                </c:pt>
                <c:pt idx="15" formatCode="0%">
                  <c:v>1.8824856586387468E-3</c:v>
                </c:pt>
                <c:pt idx="16" formatCode="0%">
                  <c:v>4.998488967446165E-4</c:v>
                </c:pt>
                <c:pt idx="17" formatCode="0%">
                  <c:v>-1.2767838057729096E-3</c:v>
                </c:pt>
                <c:pt idx="18" formatCode="0%">
                  <c:v>-3.2328555423781114E-3</c:v>
                </c:pt>
                <c:pt idx="19" formatCode="0%">
                  <c:v>1.93365935827273E-3</c:v>
                </c:pt>
                <c:pt idx="20" formatCode="0%">
                  <c:v>5.616448197552336E-3</c:v>
                </c:pt>
                <c:pt idx="21" formatCode="0%">
                  <c:v>6.0320335814717475E-3</c:v>
                </c:pt>
                <c:pt idx="22" formatCode="0%">
                  <c:v>4.5806591200169642E-3</c:v>
                </c:pt>
                <c:pt idx="23" formatCode="0%">
                  <c:v>3.0791650610552971E-3</c:v>
                </c:pt>
              </c:numCache>
            </c:numRef>
          </c:val>
          <c:smooth val="0"/>
          <c:extLst>
            <c:ext xmlns:c16="http://schemas.microsoft.com/office/drawing/2014/chart" uri="{C3380CC4-5D6E-409C-BE32-E72D297353CC}">
              <c16:uniqueId val="{00000002-6D23-400C-B765-7DD5DFF071BD}"/>
            </c:ext>
          </c:extLst>
        </c:ser>
        <c:ser>
          <c:idx val="1"/>
          <c:order val="3"/>
          <c:tx>
            <c:strRef>
              <c:f>Pupil_Projections_scenarios!$B$129</c:f>
              <c:strCache>
                <c:ptCount val="1"/>
                <c:pt idx="0">
                  <c:v>Secondary - projections</c:v>
                </c:pt>
              </c:strCache>
            </c:strRef>
          </c:tx>
          <c:spPr>
            <a:ln>
              <a:solidFill>
                <a:srgbClr val="FF0000"/>
              </a:solidFill>
              <a:prstDash val="sysDot"/>
            </a:ln>
          </c:spPr>
          <c:marker>
            <c:symbol val="none"/>
          </c:marker>
          <c:cat>
            <c:strRef>
              <c:f>Pupil_Projections_scenarios!$C$121:$Z$121</c:f>
              <c:strCache>
                <c:ptCount val="24"/>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pt idx="23">
                  <c:v> 2028/29 </c:v>
                </c:pt>
              </c:strCache>
            </c:strRef>
          </c:cat>
          <c:val>
            <c:numRef>
              <c:f>Pupil_Projections_scenarios!$C$129:$Z$129</c:f>
              <c:numCache>
                <c:formatCode>General</c:formatCode>
                <c:ptCount val="24"/>
                <c:pt idx="11" formatCode="0%">
                  <c:v>7.5310599168084127E-3</c:v>
                </c:pt>
                <c:pt idx="12" formatCode="0%">
                  <c:v>1.6403178690555471E-2</c:v>
                </c:pt>
                <c:pt idx="13" formatCode="0%">
                  <c:v>2.4098762439530567E-2</c:v>
                </c:pt>
                <c:pt idx="14" formatCode="0%">
                  <c:v>2.6090936138249931E-2</c:v>
                </c:pt>
                <c:pt idx="15" formatCode="0%">
                  <c:v>2.1373187285632127E-2</c:v>
                </c:pt>
                <c:pt idx="16" formatCode="0%">
                  <c:v>2.2416490117186046E-2</c:v>
                </c:pt>
                <c:pt idx="17" formatCode="0%">
                  <c:v>2.3221850153282889E-2</c:v>
                </c:pt>
                <c:pt idx="18" formatCode="0%">
                  <c:v>2.0243634458786901E-2</c:v>
                </c:pt>
                <c:pt idx="19" formatCode="0%">
                  <c:v>7.1410060060915666E-3</c:v>
                </c:pt>
                <c:pt idx="20" formatCode="0%">
                  <c:v>2.6710319954636312E-3</c:v>
                </c:pt>
                <c:pt idx="21" formatCode="0%">
                  <c:v>-1.3366413952974649E-3</c:v>
                </c:pt>
                <c:pt idx="22" formatCode="0%">
                  <c:v>-2.935881381231679E-3</c:v>
                </c:pt>
                <c:pt idx="23" formatCode="0%">
                  <c:v>-4.9444668691663489E-3</c:v>
                </c:pt>
              </c:numCache>
            </c:numRef>
          </c:val>
          <c:smooth val="0"/>
          <c:extLst>
            <c:ext xmlns:c16="http://schemas.microsoft.com/office/drawing/2014/chart" uri="{C3380CC4-5D6E-409C-BE32-E72D297353CC}">
              <c16:uniqueId val="{00000003-6D23-400C-B765-7DD5DFF071BD}"/>
            </c:ext>
          </c:extLst>
        </c:ser>
        <c:dLbls>
          <c:showLegendKey val="0"/>
          <c:showVal val="0"/>
          <c:showCatName val="0"/>
          <c:showSerName val="0"/>
          <c:showPercent val="0"/>
          <c:showBubbleSize val="0"/>
        </c:dLbls>
        <c:smooth val="0"/>
        <c:axId val="150310912"/>
        <c:axId val="150312448"/>
      </c:lineChart>
      <c:catAx>
        <c:axId val="150310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0312448"/>
        <c:crosses val="autoZero"/>
        <c:auto val="1"/>
        <c:lblAlgn val="ctr"/>
        <c:lblOffset val="100"/>
        <c:noMultiLvlLbl val="0"/>
      </c:catAx>
      <c:valAx>
        <c:axId val="150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1091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1912734157823419"/>
          <c:y val="0.20069642106801613"/>
          <c:w val="0.168399228903096"/>
          <c:h val="0.6009295357801852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scalars from Econometric Wastage Model</a:t>
            </a:r>
          </a:p>
        </c:rich>
      </c:tx>
      <c:overlay val="0"/>
    </c:title>
    <c:autoTitleDeleted val="0"/>
    <c:plotArea>
      <c:layout>
        <c:manualLayout>
          <c:layoutTarget val="inner"/>
          <c:xMode val="edge"/>
          <c:yMode val="edge"/>
          <c:x val="8.8186546126178669E-2"/>
          <c:y val="0.11670911643444147"/>
          <c:w val="0.72014617964421113"/>
          <c:h val="0.79492517187994205"/>
        </c:manualLayout>
      </c:layout>
      <c:lineChart>
        <c:grouping val="standard"/>
        <c:varyColors val="0"/>
        <c:ser>
          <c:idx val="0"/>
          <c:order val="0"/>
          <c:tx>
            <c:strRef>
              <c:f>RAW_DATA_INPUTS!$B$206</c:f>
              <c:strCache>
                <c:ptCount val="1"/>
                <c:pt idx="0">
                  <c:v>Male Low</c:v>
                </c:pt>
              </c:strCache>
            </c:strRef>
          </c:tx>
          <c:spPr>
            <a:ln>
              <a:solidFill>
                <a:schemeClr val="tx1">
                  <a:lumMod val="95000"/>
                  <a:lumOff val="5000"/>
                </a:schemeClr>
              </a:solidFill>
              <a:prstDash val="sysDot"/>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RAW_DATA_INPUTS!$C$206:$I$206</c:f>
              <c:numCache>
                <c:formatCode>0.00</c:formatCode>
                <c:ptCount val="7"/>
                <c:pt idx="0">
                  <c:v>1</c:v>
                </c:pt>
                <c:pt idx="1">
                  <c:v>1.04995184684276</c:v>
                </c:pt>
                <c:pt idx="2">
                  <c:v>1.04558216311712</c:v>
                </c:pt>
                <c:pt idx="3">
                  <c:v>0.99172144784396399</c:v>
                </c:pt>
                <c:pt idx="4">
                  <c:v>1.03584537350521</c:v>
                </c:pt>
                <c:pt idx="5">
                  <c:v>1.0285652488977699</c:v>
                </c:pt>
                <c:pt idx="6">
                  <c:v>1.0285652488977699</c:v>
                </c:pt>
              </c:numCache>
            </c:numRef>
          </c:val>
          <c:smooth val="0"/>
          <c:extLst>
            <c:ext xmlns:c16="http://schemas.microsoft.com/office/drawing/2014/chart" uri="{C3380CC4-5D6E-409C-BE32-E72D297353CC}">
              <c16:uniqueId val="{00000000-B230-47E9-9838-62416BACA45A}"/>
            </c:ext>
          </c:extLst>
        </c:ser>
        <c:ser>
          <c:idx val="1"/>
          <c:order val="1"/>
          <c:tx>
            <c:strRef>
              <c:f>RAW_DATA_INPUTS!$B$207</c:f>
              <c:strCache>
                <c:ptCount val="1"/>
                <c:pt idx="0">
                  <c:v>Male Central</c:v>
                </c:pt>
              </c:strCache>
            </c:strRef>
          </c:tx>
          <c:spPr>
            <a:ln>
              <a:solidFill>
                <a:schemeClr val="tx1">
                  <a:lumMod val="95000"/>
                  <a:lumOff val="5000"/>
                </a:schemeClr>
              </a:solidFill>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RAW_DATA_INPUTS!$C$207:$I$207</c:f>
              <c:numCache>
                <c:formatCode>0.00</c:formatCode>
                <c:ptCount val="7"/>
                <c:pt idx="0">
                  <c:v>1</c:v>
                </c:pt>
                <c:pt idx="1">
                  <c:v>1.04995184684276</c:v>
                </c:pt>
                <c:pt idx="2">
                  <c:v>1.04558216311712</c:v>
                </c:pt>
                <c:pt idx="3">
                  <c:v>1.0079887616902601</c:v>
                </c:pt>
                <c:pt idx="4">
                  <c:v>1.04581566263681</c:v>
                </c:pt>
                <c:pt idx="5">
                  <c:v>1.0261777775287699</c:v>
                </c:pt>
                <c:pt idx="6">
                  <c:v>1.0261777775287699</c:v>
                </c:pt>
              </c:numCache>
            </c:numRef>
          </c:val>
          <c:smooth val="0"/>
          <c:extLst>
            <c:ext xmlns:c16="http://schemas.microsoft.com/office/drawing/2014/chart" uri="{C3380CC4-5D6E-409C-BE32-E72D297353CC}">
              <c16:uniqueId val="{00000001-B230-47E9-9838-62416BACA45A}"/>
            </c:ext>
          </c:extLst>
        </c:ser>
        <c:ser>
          <c:idx val="2"/>
          <c:order val="2"/>
          <c:tx>
            <c:strRef>
              <c:f>RAW_DATA_INPUTS!$B$208</c:f>
              <c:strCache>
                <c:ptCount val="1"/>
                <c:pt idx="0">
                  <c:v>Male High</c:v>
                </c:pt>
              </c:strCache>
            </c:strRef>
          </c:tx>
          <c:spPr>
            <a:ln>
              <a:solidFill>
                <a:schemeClr val="tx1">
                  <a:lumMod val="95000"/>
                  <a:lumOff val="5000"/>
                </a:schemeClr>
              </a:solidFill>
              <a:prstDash val="sysDash"/>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RAW_DATA_INPUTS!$C$208:$I$208</c:f>
              <c:numCache>
                <c:formatCode>0.00</c:formatCode>
                <c:ptCount val="7"/>
                <c:pt idx="0">
                  <c:v>1</c:v>
                </c:pt>
                <c:pt idx="1">
                  <c:v>1.04995184684276</c:v>
                </c:pt>
                <c:pt idx="2">
                  <c:v>1.0670969975589999</c:v>
                </c:pt>
                <c:pt idx="3">
                  <c:v>1.0074640096306999</c:v>
                </c:pt>
                <c:pt idx="4">
                  <c:v>1.0519850838847999</c:v>
                </c:pt>
                <c:pt idx="5">
                  <c:v>1.05476067880828</c:v>
                </c:pt>
                <c:pt idx="6">
                  <c:v>1.05476067880828</c:v>
                </c:pt>
              </c:numCache>
            </c:numRef>
          </c:val>
          <c:smooth val="0"/>
          <c:extLst>
            <c:ext xmlns:c16="http://schemas.microsoft.com/office/drawing/2014/chart" uri="{C3380CC4-5D6E-409C-BE32-E72D297353CC}">
              <c16:uniqueId val="{00000002-B230-47E9-9838-62416BACA45A}"/>
            </c:ext>
          </c:extLst>
        </c:ser>
        <c:dLbls>
          <c:showLegendKey val="0"/>
          <c:showVal val="0"/>
          <c:showCatName val="0"/>
          <c:showSerName val="0"/>
          <c:showPercent val="0"/>
          <c:showBubbleSize val="0"/>
        </c:dLbls>
        <c:smooth val="0"/>
        <c:axId val="146255872"/>
        <c:axId val="146257408"/>
      </c:lineChart>
      <c:catAx>
        <c:axId val="146255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7408"/>
        <c:crosses val="autoZero"/>
        <c:auto val="1"/>
        <c:lblAlgn val="ctr"/>
        <c:lblOffset val="100"/>
        <c:noMultiLvlLbl val="0"/>
      </c:catAx>
      <c:valAx>
        <c:axId val="146257408"/>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5872"/>
        <c:crosses val="autoZero"/>
        <c:crossBetween val="between"/>
      </c:valAx>
      <c:spPr>
        <a:ln>
          <a:solidFill>
            <a:schemeClr val="tx1">
              <a:lumMod val="95000"/>
              <a:lumOff val="5000"/>
            </a:schemeClr>
          </a:solidFill>
        </a:ln>
      </c:spPr>
    </c:plotArea>
    <c:legend>
      <c:legendPos val="r"/>
      <c:layout>
        <c:manualLayout>
          <c:xMode val="edge"/>
          <c:yMode val="edge"/>
          <c:x val="0.82849297364800356"/>
          <c:y val="0.4500654704065048"/>
          <c:w val="0.15698485822052333"/>
          <c:h val="0.18158260818412764"/>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scalars from Econometric Wastage Model</a:t>
            </a:r>
          </a:p>
        </c:rich>
      </c:tx>
      <c:overlay val="0"/>
    </c:title>
    <c:autoTitleDeleted val="0"/>
    <c:plotArea>
      <c:layout>
        <c:manualLayout>
          <c:layoutTarget val="inner"/>
          <c:xMode val="edge"/>
          <c:yMode val="edge"/>
          <c:x val="8.8186546126178669E-2"/>
          <c:y val="0.11670911643444147"/>
          <c:w val="0.70278506853310008"/>
          <c:h val="0.79492517187994205"/>
        </c:manualLayout>
      </c:layout>
      <c:lineChart>
        <c:grouping val="standard"/>
        <c:varyColors val="0"/>
        <c:ser>
          <c:idx val="3"/>
          <c:order val="0"/>
          <c:tx>
            <c:strRef>
              <c:f>RAW_DATA_INPUTS!$B$209</c:f>
              <c:strCache>
                <c:ptCount val="1"/>
                <c:pt idx="0">
                  <c:v>Female Low</c:v>
                </c:pt>
              </c:strCache>
            </c:strRef>
          </c:tx>
          <c:spPr>
            <a:ln>
              <a:solidFill>
                <a:srgbClr val="FF0000"/>
              </a:solidFill>
              <a:prstDash val="sysDot"/>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RAW_DATA_INPUTS!$C$209:$I$209</c:f>
              <c:numCache>
                <c:formatCode>0.00</c:formatCode>
                <c:ptCount val="7"/>
                <c:pt idx="0">
                  <c:v>1</c:v>
                </c:pt>
                <c:pt idx="1">
                  <c:v>0.99076950608168002</c:v>
                </c:pt>
                <c:pt idx="2">
                  <c:v>1.0070122869873499</c:v>
                </c:pt>
                <c:pt idx="3">
                  <c:v>1.00402546954414</c:v>
                </c:pt>
                <c:pt idx="4">
                  <c:v>1.01841344939324</c:v>
                </c:pt>
                <c:pt idx="5">
                  <c:v>1.0380121047112301</c:v>
                </c:pt>
                <c:pt idx="6">
                  <c:v>1.0380121047112301</c:v>
                </c:pt>
              </c:numCache>
            </c:numRef>
          </c:val>
          <c:smooth val="0"/>
          <c:extLst>
            <c:ext xmlns:c16="http://schemas.microsoft.com/office/drawing/2014/chart" uri="{C3380CC4-5D6E-409C-BE32-E72D297353CC}">
              <c16:uniqueId val="{00000000-8D77-4682-B712-4B39DE8E452D}"/>
            </c:ext>
          </c:extLst>
        </c:ser>
        <c:ser>
          <c:idx val="4"/>
          <c:order val="1"/>
          <c:tx>
            <c:strRef>
              <c:f>RAW_DATA_INPUTS!$B$210</c:f>
              <c:strCache>
                <c:ptCount val="1"/>
                <c:pt idx="0">
                  <c:v>Female Central</c:v>
                </c:pt>
              </c:strCache>
            </c:strRef>
          </c:tx>
          <c:spPr>
            <a:ln>
              <a:solidFill>
                <a:srgbClr val="FF0000"/>
              </a:solidFill>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RAW_DATA_INPUTS!$C$210:$I$210</c:f>
              <c:numCache>
                <c:formatCode>0.00</c:formatCode>
                <c:ptCount val="7"/>
                <c:pt idx="0">
                  <c:v>1</c:v>
                </c:pt>
                <c:pt idx="1">
                  <c:v>0.99076950608168002</c:v>
                </c:pt>
                <c:pt idx="2">
                  <c:v>1.0070122869873499</c:v>
                </c:pt>
                <c:pt idx="3">
                  <c:v>1.0119890708727699</c:v>
                </c:pt>
                <c:pt idx="4">
                  <c:v>1.02883528649933</c:v>
                </c:pt>
                <c:pt idx="5">
                  <c:v>1.04206143174539</c:v>
                </c:pt>
                <c:pt idx="6">
                  <c:v>1.04206143174539</c:v>
                </c:pt>
              </c:numCache>
            </c:numRef>
          </c:val>
          <c:smooth val="0"/>
          <c:extLst>
            <c:ext xmlns:c16="http://schemas.microsoft.com/office/drawing/2014/chart" uri="{C3380CC4-5D6E-409C-BE32-E72D297353CC}">
              <c16:uniqueId val="{00000001-8D77-4682-B712-4B39DE8E452D}"/>
            </c:ext>
          </c:extLst>
        </c:ser>
        <c:ser>
          <c:idx val="5"/>
          <c:order val="2"/>
          <c:tx>
            <c:strRef>
              <c:f>RAW_DATA_INPUTS!$B$211</c:f>
              <c:strCache>
                <c:ptCount val="1"/>
                <c:pt idx="0">
                  <c:v>Female High</c:v>
                </c:pt>
              </c:strCache>
            </c:strRef>
          </c:tx>
          <c:spPr>
            <a:ln>
              <a:solidFill>
                <a:srgbClr val="FF0000"/>
              </a:solidFill>
              <a:prstDash val="sysDash"/>
            </a:ln>
          </c:spPr>
          <c:marker>
            <c:symbol val="none"/>
          </c:marker>
          <c:cat>
            <c:strRef>
              <c:f>RAW_DATA_INPUTS!$C$205:$I$205</c:f>
              <c:strCache>
                <c:ptCount val="7"/>
                <c:pt idx="0">
                  <c:v>2015/16</c:v>
                </c:pt>
                <c:pt idx="1">
                  <c:v>2016/17</c:v>
                </c:pt>
                <c:pt idx="2">
                  <c:v>2017/18</c:v>
                </c:pt>
                <c:pt idx="3">
                  <c:v>2018/19</c:v>
                </c:pt>
                <c:pt idx="4">
                  <c:v>2019/20</c:v>
                </c:pt>
                <c:pt idx="5">
                  <c:v>2020/21</c:v>
                </c:pt>
                <c:pt idx="6">
                  <c:v>2021/22</c:v>
                </c:pt>
              </c:strCache>
            </c:strRef>
          </c:cat>
          <c:val>
            <c:numRef>
              <c:f>RAW_DATA_INPUTS!$C$211:$I$211</c:f>
              <c:numCache>
                <c:formatCode>0.00</c:formatCode>
                <c:ptCount val="7"/>
                <c:pt idx="0">
                  <c:v>1</c:v>
                </c:pt>
                <c:pt idx="1">
                  <c:v>0.99076950608168002</c:v>
                </c:pt>
                <c:pt idx="2">
                  <c:v>1.0149600055999799</c:v>
                </c:pt>
                <c:pt idx="3">
                  <c:v>1.01851036062211</c:v>
                </c:pt>
                <c:pt idx="4">
                  <c:v>1.03469544505981</c:v>
                </c:pt>
                <c:pt idx="5">
                  <c:v>1.0590941376984799</c:v>
                </c:pt>
                <c:pt idx="6">
                  <c:v>1.0590941376984799</c:v>
                </c:pt>
              </c:numCache>
            </c:numRef>
          </c:val>
          <c:smooth val="0"/>
          <c:extLst>
            <c:ext xmlns:c16="http://schemas.microsoft.com/office/drawing/2014/chart" uri="{C3380CC4-5D6E-409C-BE32-E72D297353CC}">
              <c16:uniqueId val="{00000002-8D77-4682-B712-4B39DE8E452D}"/>
            </c:ext>
          </c:extLst>
        </c:ser>
        <c:dLbls>
          <c:showLegendKey val="0"/>
          <c:showVal val="0"/>
          <c:showCatName val="0"/>
          <c:showSerName val="0"/>
          <c:showPercent val="0"/>
          <c:showBubbleSize val="0"/>
        </c:dLbls>
        <c:smooth val="0"/>
        <c:axId val="150364928"/>
        <c:axId val="150366464"/>
      </c:lineChart>
      <c:catAx>
        <c:axId val="150364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6464"/>
        <c:crosses val="autoZero"/>
        <c:auto val="1"/>
        <c:lblAlgn val="ctr"/>
        <c:lblOffset val="100"/>
        <c:noMultiLvlLbl val="0"/>
      </c:catAx>
      <c:valAx>
        <c:axId val="150366464"/>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4928"/>
        <c:crosses val="autoZero"/>
        <c:crossBetween val="between"/>
      </c:valAx>
      <c:spPr>
        <a:ln>
          <a:solidFill>
            <a:schemeClr val="tx1">
              <a:lumMod val="95000"/>
              <a:lumOff val="5000"/>
            </a:schemeClr>
          </a:solidFill>
        </a:ln>
      </c:spPr>
    </c:plotArea>
    <c:legend>
      <c:legendPos val="r"/>
      <c:layout>
        <c:manualLayout>
          <c:xMode val="edge"/>
          <c:yMode val="edge"/>
          <c:x val="0.81258695360175404"/>
          <c:y val="0.4500654704065048"/>
          <c:w val="0.17358236859396725"/>
          <c:h val="0.18158260818412764"/>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rates for different subjects</a:t>
            </a:r>
          </a:p>
        </c:rich>
      </c:tx>
      <c:overlay val="0"/>
    </c:title>
    <c:autoTitleDeleted val="0"/>
    <c:plotArea>
      <c:layout>
        <c:manualLayout>
          <c:layoutTarget val="inner"/>
          <c:xMode val="edge"/>
          <c:yMode val="edge"/>
          <c:x val="0.10352783293392674"/>
          <c:y val="0.12542158792650918"/>
          <c:w val="0.67203761268971818"/>
          <c:h val="0.78519192913385827"/>
        </c:manualLayout>
      </c:layout>
      <c:lineChart>
        <c:grouping val="standard"/>
        <c:varyColors val="0"/>
        <c:ser>
          <c:idx val="0"/>
          <c:order val="0"/>
          <c:tx>
            <c:strRef>
              <c:f>Group_1_rates!$B$105</c:f>
              <c:strCache>
                <c:ptCount val="1"/>
                <c:pt idx="0">
                  <c:v>Male - Group 1</c:v>
                </c:pt>
              </c:strCache>
            </c:strRef>
          </c:tx>
          <c:spPr>
            <a:ln>
              <a:solidFill>
                <a:schemeClr val="tx1">
                  <a:lumMod val="95000"/>
                  <a:lumOff val="5000"/>
                </a:schemeClr>
              </a:solidFill>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Group_1_rates!$C$105:$I$105</c:f>
              <c:numCache>
                <c:formatCode>0%</c:formatCode>
                <c:ptCount val="7"/>
                <c:pt idx="0">
                  <c:v>9.6079496675731402E-2</c:v>
                </c:pt>
                <c:pt idx="1">
                  <c:v>0.10087884497840702</c:v>
                </c:pt>
                <c:pt idx="2">
                  <c:v>0.10045900796541538</c:v>
                </c:pt>
                <c:pt idx="3">
                  <c:v>9.6847052877993958E-2</c:v>
                </c:pt>
                <c:pt idx="4">
                  <c:v>0.10048144248174122</c:v>
                </c:pt>
                <c:pt idx="5">
                  <c:v>9.8594644364784892E-2</c:v>
                </c:pt>
                <c:pt idx="6">
                  <c:v>9.8594644364784892E-2</c:v>
                </c:pt>
              </c:numCache>
            </c:numRef>
          </c:val>
          <c:smooth val="0"/>
          <c:extLst>
            <c:ext xmlns:c16="http://schemas.microsoft.com/office/drawing/2014/chart" uri="{C3380CC4-5D6E-409C-BE32-E72D297353CC}">
              <c16:uniqueId val="{00000000-5980-4C2F-A4C1-5D6145587BAE}"/>
            </c:ext>
          </c:extLst>
        </c:ser>
        <c:ser>
          <c:idx val="2"/>
          <c:order val="1"/>
          <c:tx>
            <c:strRef>
              <c:f>Group_1_rates!$B$107</c:f>
              <c:strCache>
                <c:ptCount val="1"/>
                <c:pt idx="0">
                  <c:v>Male - Group 2</c:v>
                </c:pt>
              </c:strCache>
            </c:strRef>
          </c:tx>
          <c:spPr>
            <a:ln>
              <a:solidFill>
                <a:srgbClr val="FF0000"/>
              </a:solidFill>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Group_1_rates!$C$107:$I$107</c:f>
              <c:numCache>
                <c:formatCode>0%</c:formatCode>
                <c:ptCount val="7"/>
                <c:pt idx="0">
                  <c:v>8.1955134048225103E-2</c:v>
                </c:pt>
                <c:pt idx="1">
                  <c:v>8.6048944352179912E-2</c:v>
                </c:pt>
                <c:pt idx="2">
                  <c:v>8.5690826336696738E-2</c:v>
                </c:pt>
                <c:pt idx="3">
                  <c:v>8.260985408342969E-2</c:v>
                </c:pt>
                <c:pt idx="4">
                  <c:v>8.570996282113312E-2</c:v>
                </c:pt>
                <c:pt idx="5">
                  <c:v>8.4100537314680063E-2</c:v>
                </c:pt>
                <c:pt idx="6">
                  <c:v>8.4100537314680063E-2</c:v>
                </c:pt>
              </c:numCache>
            </c:numRef>
          </c:val>
          <c:smooth val="0"/>
          <c:extLst>
            <c:ext xmlns:c16="http://schemas.microsoft.com/office/drawing/2014/chart" uri="{C3380CC4-5D6E-409C-BE32-E72D297353CC}">
              <c16:uniqueId val="{00000001-5980-4C2F-A4C1-5D6145587BAE}"/>
            </c:ext>
          </c:extLst>
        </c:ser>
        <c:ser>
          <c:idx val="4"/>
          <c:order val="2"/>
          <c:tx>
            <c:strRef>
              <c:f>Group_1_rates!$B$109</c:f>
              <c:strCache>
                <c:ptCount val="1"/>
                <c:pt idx="0">
                  <c:v>Male - Group 3</c:v>
                </c:pt>
              </c:strCache>
            </c:strRef>
          </c:tx>
          <c:spPr>
            <a:ln>
              <a:solidFill>
                <a:srgbClr val="00B0F0"/>
              </a:solidFill>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Group_1_rates!$C$109:$I$109</c:f>
              <c:numCache>
                <c:formatCode>0%</c:formatCode>
                <c:ptCount val="7"/>
                <c:pt idx="0">
                  <c:v>7.4427779115003187E-2</c:v>
                </c:pt>
                <c:pt idx="1">
                  <c:v>7.8145584138202606E-2</c:v>
                </c:pt>
                <c:pt idx="2">
                  <c:v>7.7820358283068242E-2</c:v>
                </c:pt>
                <c:pt idx="3">
                  <c:v>7.5022364905488276E-2</c:v>
                </c:pt>
                <c:pt idx="4">
                  <c:v>7.7837737133743187E-2</c:v>
                </c:pt>
                <c:pt idx="5">
                  <c:v>7.6376132958636184E-2</c:v>
                </c:pt>
                <c:pt idx="6">
                  <c:v>7.6376132958636184E-2</c:v>
                </c:pt>
              </c:numCache>
            </c:numRef>
          </c:val>
          <c:smooth val="0"/>
          <c:extLst>
            <c:ext xmlns:c16="http://schemas.microsoft.com/office/drawing/2014/chart" uri="{C3380CC4-5D6E-409C-BE32-E72D297353CC}">
              <c16:uniqueId val="{00000002-5980-4C2F-A4C1-5D6145587BAE}"/>
            </c:ext>
          </c:extLst>
        </c:ser>
        <c:dLbls>
          <c:showLegendKey val="0"/>
          <c:showVal val="0"/>
          <c:showCatName val="0"/>
          <c:showSerName val="0"/>
          <c:showPercent val="0"/>
          <c:showBubbleSize val="0"/>
        </c:dLbls>
        <c:smooth val="0"/>
        <c:axId val="151307008"/>
        <c:axId val="151308544"/>
      </c:lineChart>
      <c:catAx>
        <c:axId val="1513070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8544"/>
        <c:crosses val="autoZero"/>
        <c:auto val="1"/>
        <c:lblAlgn val="ctr"/>
        <c:lblOffset val="100"/>
        <c:noMultiLvlLbl val="0"/>
      </c:catAx>
      <c:valAx>
        <c:axId val="15130854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7008"/>
        <c:crosses val="autoZero"/>
        <c:crossBetween val="between"/>
      </c:valAx>
      <c:spPr>
        <a:ln>
          <a:solidFill>
            <a:schemeClr val="tx1">
              <a:lumMod val="95000"/>
              <a:lumOff val="5000"/>
            </a:schemeClr>
          </a:solidFill>
        </a:ln>
      </c:spPr>
    </c:plotArea>
    <c:legend>
      <c:legendPos val="r"/>
      <c:layout>
        <c:manualLayout>
          <c:xMode val="edge"/>
          <c:yMode val="edge"/>
          <c:x val="0.79740799823036712"/>
          <c:y val="0.28032429908525586"/>
          <c:w val="0.18557561990326576"/>
          <c:h val="0.4501359028234677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rates for different subjects</a:t>
            </a:r>
          </a:p>
        </c:rich>
      </c:tx>
      <c:overlay val="0"/>
    </c:title>
    <c:autoTitleDeleted val="0"/>
    <c:plotArea>
      <c:layout>
        <c:manualLayout>
          <c:layoutTarget val="inner"/>
          <c:xMode val="edge"/>
          <c:yMode val="edge"/>
          <c:x val="0.11280319525276732"/>
          <c:y val="0.12542158792650918"/>
          <c:w val="0.62200123245463879"/>
          <c:h val="0.78519192913385827"/>
        </c:manualLayout>
      </c:layout>
      <c:lineChart>
        <c:grouping val="standard"/>
        <c:varyColors val="0"/>
        <c:ser>
          <c:idx val="1"/>
          <c:order val="0"/>
          <c:tx>
            <c:strRef>
              <c:f>Group_1_rates!$B$106</c:f>
              <c:strCache>
                <c:ptCount val="1"/>
                <c:pt idx="0">
                  <c:v>Female - Group 1</c:v>
                </c:pt>
              </c:strCache>
            </c:strRef>
          </c:tx>
          <c:spPr>
            <a:ln>
              <a:solidFill>
                <a:schemeClr val="tx1">
                  <a:lumMod val="95000"/>
                  <a:lumOff val="5000"/>
                </a:schemeClr>
              </a:solidFill>
              <a:prstDash val="sysDot"/>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Group_1_rates!$C$106:$I$106</c:f>
              <c:numCache>
                <c:formatCode>0%</c:formatCode>
                <c:ptCount val="7"/>
                <c:pt idx="0">
                  <c:v>9.5106045960422922E-2</c:v>
                </c:pt>
                <c:pt idx="1">
                  <c:v>9.4228170181589785E-2</c:v>
                </c:pt>
                <c:pt idx="2">
                  <c:v>9.5772956848929489E-2</c:v>
                </c:pt>
                <c:pt idx="3">
                  <c:v>9.6246279085871342E-2</c:v>
                </c:pt>
                <c:pt idx="4">
                  <c:v>9.7848456043510168E-2</c:v>
                </c:pt>
                <c:pt idx="5">
                  <c:v>9.9106342421161162E-2</c:v>
                </c:pt>
                <c:pt idx="6">
                  <c:v>9.9106342421161162E-2</c:v>
                </c:pt>
              </c:numCache>
            </c:numRef>
          </c:val>
          <c:smooth val="0"/>
          <c:extLst>
            <c:ext xmlns:c16="http://schemas.microsoft.com/office/drawing/2014/chart" uri="{C3380CC4-5D6E-409C-BE32-E72D297353CC}">
              <c16:uniqueId val="{00000000-7F8E-4286-BECA-052E6235495D}"/>
            </c:ext>
          </c:extLst>
        </c:ser>
        <c:ser>
          <c:idx val="3"/>
          <c:order val="1"/>
          <c:tx>
            <c:strRef>
              <c:f>Group_1_rates!$B$108</c:f>
              <c:strCache>
                <c:ptCount val="1"/>
                <c:pt idx="0">
                  <c:v>Female - Group 2</c:v>
                </c:pt>
              </c:strCache>
            </c:strRef>
          </c:tx>
          <c:spPr>
            <a:ln>
              <a:solidFill>
                <a:srgbClr val="FF0000"/>
              </a:solidFill>
              <a:prstDash val="sysDot"/>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Group_1_rates!$C$108:$I$108</c:f>
              <c:numCache>
                <c:formatCode>0%</c:formatCode>
                <c:ptCount val="7"/>
                <c:pt idx="0">
                  <c:v>8.83503581938615E-2</c:v>
                </c:pt>
                <c:pt idx="1">
                  <c:v>8.7534840749871667E-2</c:v>
                </c:pt>
                <c:pt idx="2">
                  <c:v>8.8969896260952017E-2</c:v>
                </c:pt>
                <c:pt idx="3">
                  <c:v>8.9409596899882315E-2</c:v>
                </c:pt>
                <c:pt idx="4">
                  <c:v>9.0897966084699924E-2</c:v>
                </c:pt>
                <c:pt idx="5">
                  <c:v>9.2066500754713357E-2</c:v>
                </c:pt>
                <c:pt idx="6">
                  <c:v>9.2066500754713357E-2</c:v>
                </c:pt>
              </c:numCache>
            </c:numRef>
          </c:val>
          <c:smooth val="0"/>
          <c:extLst>
            <c:ext xmlns:c16="http://schemas.microsoft.com/office/drawing/2014/chart" uri="{C3380CC4-5D6E-409C-BE32-E72D297353CC}">
              <c16:uniqueId val="{00000001-7F8E-4286-BECA-052E6235495D}"/>
            </c:ext>
          </c:extLst>
        </c:ser>
        <c:ser>
          <c:idx val="5"/>
          <c:order val="2"/>
          <c:tx>
            <c:strRef>
              <c:f>Group_1_rates!$B$110</c:f>
              <c:strCache>
                <c:ptCount val="1"/>
                <c:pt idx="0">
                  <c:v>Female - Group 3</c:v>
                </c:pt>
              </c:strCache>
            </c:strRef>
          </c:tx>
          <c:spPr>
            <a:ln>
              <a:solidFill>
                <a:srgbClr val="00B0F0"/>
              </a:solidFill>
              <a:prstDash val="sysDot"/>
            </a:ln>
          </c:spPr>
          <c:marker>
            <c:symbol val="none"/>
          </c:marker>
          <c:cat>
            <c:strRef>
              <c:f>Group_1_rates!$C$104:$I$104</c:f>
              <c:strCache>
                <c:ptCount val="7"/>
                <c:pt idx="0">
                  <c:v>2015/16</c:v>
                </c:pt>
                <c:pt idx="1">
                  <c:v>2016/17</c:v>
                </c:pt>
                <c:pt idx="2">
                  <c:v>2017/18</c:v>
                </c:pt>
                <c:pt idx="3">
                  <c:v>2018/19</c:v>
                </c:pt>
                <c:pt idx="4">
                  <c:v>2019/20</c:v>
                </c:pt>
                <c:pt idx="5">
                  <c:v>2020/21</c:v>
                </c:pt>
                <c:pt idx="6">
                  <c:v>2021/22</c:v>
                </c:pt>
              </c:strCache>
            </c:strRef>
          </c:cat>
          <c:val>
            <c:numRef>
              <c:f>Group_1_rates!$C$110:$I$110</c:f>
              <c:numCache>
                <c:formatCode>0%</c:formatCode>
                <c:ptCount val="7"/>
                <c:pt idx="0">
                  <c:v>8.1857879041581719E-2</c:v>
                </c:pt>
                <c:pt idx="1">
                  <c:v>8.1102290386921835E-2</c:v>
                </c:pt>
                <c:pt idx="2">
                  <c:v>8.2431889981597062E-2</c:v>
                </c:pt>
                <c:pt idx="3">
                  <c:v>8.2839278954905865E-2</c:v>
                </c:pt>
                <c:pt idx="4">
                  <c:v>8.4218274435973225E-2</c:v>
                </c:pt>
                <c:pt idx="5">
                  <c:v>8.530093863371159E-2</c:v>
                </c:pt>
                <c:pt idx="6">
                  <c:v>8.530093863371159E-2</c:v>
                </c:pt>
              </c:numCache>
            </c:numRef>
          </c:val>
          <c:smooth val="0"/>
          <c:extLst>
            <c:ext xmlns:c16="http://schemas.microsoft.com/office/drawing/2014/chart" uri="{C3380CC4-5D6E-409C-BE32-E72D297353CC}">
              <c16:uniqueId val="{00000002-7F8E-4286-BECA-052E6235495D}"/>
            </c:ext>
          </c:extLst>
        </c:ser>
        <c:dLbls>
          <c:showLegendKey val="0"/>
          <c:showVal val="0"/>
          <c:showCatName val="0"/>
          <c:showSerName val="0"/>
          <c:showPercent val="0"/>
          <c:showBubbleSize val="0"/>
        </c:dLbls>
        <c:smooth val="0"/>
        <c:axId val="151614976"/>
        <c:axId val="151616512"/>
      </c:lineChart>
      <c:catAx>
        <c:axId val="1516149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6512"/>
        <c:crosses val="autoZero"/>
        <c:auto val="1"/>
        <c:lblAlgn val="ctr"/>
        <c:lblOffset val="100"/>
        <c:noMultiLvlLbl val="0"/>
      </c:catAx>
      <c:valAx>
        <c:axId val="151616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4976"/>
        <c:crosses val="autoZero"/>
        <c:crossBetween val="between"/>
      </c:valAx>
      <c:spPr>
        <a:ln>
          <a:solidFill>
            <a:schemeClr val="tx1">
              <a:lumMod val="95000"/>
              <a:lumOff val="5000"/>
            </a:schemeClr>
          </a:solidFill>
        </a:ln>
      </c:spPr>
    </c:plotArea>
    <c:legend>
      <c:legendPos val="r"/>
      <c:layout>
        <c:manualLayout>
          <c:xMode val="edge"/>
          <c:yMode val="edge"/>
          <c:x val="0.76094130859250375"/>
          <c:y val="0.33018966968751551"/>
          <c:w val="0.22042173415519173"/>
          <c:h val="0.4474404850337103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Gender breakdown by subject/phase of the current stock (November 2016)</a:t>
            </a:r>
          </a:p>
        </c:rich>
      </c:tx>
      <c:overlay val="0"/>
    </c:title>
    <c:autoTitleDeleted val="0"/>
    <c:plotArea>
      <c:layout/>
      <c:barChart>
        <c:barDir val="col"/>
        <c:grouping val="clustered"/>
        <c:varyColors val="0"/>
        <c:ser>
          <c:idx val="0"/>
          <c:order val="0"/>
          <c:spPr>
            <a:ln>
              <a:solidFill>
                <a:schemeClr val="tx1">
                  <a:lumMod val="95000"/>
                  <a:lumOff val="5000"/>
                </a:schemeClr>
              </a:solidFill>
            </a:ln>
          </c:spPr>
          <c:invertIfNegative val="0"/>
          <c:dPt>
            <c:idx val="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0-C2E6-48A3-A7DA-747F1B63CD47}"/>
              </c:ext>
            </c:extLst>
          </c:dPt>
          <c:dPt>
            <c:idx val="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1-C2E6-48A3-A7DA-747F1B63CD47}"/>
              </c:ext>
            </c:extLst>
          </c:dPt>
          <c:dPt>
            <c:idx val="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2-C2E6-48A3-A7DA-747F1B63CD47}"/>
              </c:ext>
            </c:extLst>
          </c:dPt>
          <c:dPt>
            <c:idx val="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3-C2E6-48A3-A7DA-747F1B63CD47}"/>
              </c:ext>
            </c:extLst>
          </c:dPt>
          <c:dPt>
            <c:idx val="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4-C2E6-48A3-A7DA-747F1B63CD47}"/>
              </c:ext>
            </c:extLst>
          </c:dPt>
          <c:dPt>
            <c:idx val="1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5-C2E6-48A3-A7DA-747F1B63CD47}"/>
              </c:ext>
            </c:extLst>
          </c:dPt>
          <c:dPt>
            <c:idx val="1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6-C2E6-48A3-A7DA-747F1B63CD47}"/>
              </c:ext>
            </c:extLst>
          </c:dPt>
          <c:dPt>
            <c:idx val="1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7-C2E6-48A3-A7DA-747F1B63CD47}"/>
              </c:ext>
            </c:extLst>
          </c:dPt>
          <c:dPt>
            <c:idx val="1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8-C2E6-48A3-A7DA-747F1B63CD47}"/>
              </c:ext>
            </c:extLst>
          </c:dPt>
          <c:dPt>
            <c:idx val="1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9-C2E6-48A3-A7DA-747F1B63CD47}"/>
              </c:ext>
            </c:extLst>
          </c:dPt>
          <c:dPt>
            <c:idx val="2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A-C2E6-48A3-A7DA-747F1B63CD47}"/>
              </c:ext>
            </c:extLst>
          </c:dPt>
          <c:dPt>
            <c:idx val="2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B-C2E6-48A3-A7DA-747F1B63CD47}"/>
              </c:ext>
            </c:extLst>
          </c:dPt>
          <c:dPt>
            <c:idx val="2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C-C2E6-48A3-A7DA-747F1B63CD47}"/>
              </c:ext>
            </c:extLst>
          </c:dPt>
          <c:dPt>
            <c:idx val="2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D-C2E6-48A3-A7DA-747F1B63CD47}"/>
              </c:ext>
            </c:extLst>
          </c:dPt>
          <c:dPt>
            <c:idx val="2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E-C2E6-48A3-A7DA-747F1B63CD47}"/>
              </c:ext>
            </c:extLst>
          </c:dPt>
          <c:dPt>
            <c:idx val="3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F-C2E6-48A3-A7DA-747F1B63CD47}"/>
              </c:ext>
            </c:extLst>
          </c:dPt>
          <c:dPt>
            <c:idx val="3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0-C2E6-48A3-A7DA-747F1B63CD47}"/>
              </c:ext>
            </c:extLst>
          </c:dPt>
          <c:dPt>
            <c:idx val="3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1-C2E6-48A3-A7DA-747F1B63CD47}"/>
              </c:ext>
            </c:extLst>
          </c:dPt>
          <c:dPt>
            <c:idx val="3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2-C2E6-48A3-A7DA-747F1B63CD47}"/>
              </c:ext>
            </c:extLst>
          </c:dPt>
          <c:dPt>
            <c:idx val="3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3-C2E6-48A3-A7DA-747F1B63CD47}"/>
              </c:ext>
            </c:extLst>
          </c:dPt>
          <c:dPt>
            <c:idx val="4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4-C2E6-48A3-A7DA-747F1B63CD47}"/>
              </c:ext>
            </c:extLst>
          </c:dPt>
          <c:cat>
            <c:multiLvlStrRef>
              <c:f>Stock_ages_breakdowns!$C$90:$AR$91</c:f>
              <c:multiLvlStrCache>
                <c:ptCount val="42"/>
                <c:lvl>
                  <c:pt idx="0">
                    <c:v>Male</c:v>
                  </c:pt>
                  <c:pt idx="1">
                    <c:v>Female</c:v>
                  </c:pt>
                  <c:pt idx="2">
                    <c:v>Male</c:v>
                  </c:pt>
                  <c:pt idx="3">
                    <c:v>Female</c:v>
                  </c:pt>
                  <c:pt idx="4">
                    <c:v>Male</c:v>
                  </c:pt>
                  <c:pt idx="5">
                    <c:v>Female</c:v>
                  </c:pt>
                  <c:pt idx="6">
                    <c:v>Male</c:v>
                  </c:pt>
                  <c:pt idx="7">
                    <c:v>Female</c:v>
                  </c:pt>
                  <c:pt idx="8">
                    <c:v>Male</c:v>
                  </c:pt>
                  <c:pt idx="9">
                    <c:v>Female</c:v>
                  </c:pt>
                  <c:pt idx="10">
                    <c:v>Male</c:v>
                  </c:pt>
                  <c:pt idx="11">
                    <c:v>Female</c:v>
                  </c:pt>
                  <c:pt idx="12">
                    <c:v>Male</c:v>
                  </c:pt>
                  <c:pt idx="13">
                    <c:v>Female</c:v>
                  </c:pt>
                  <c:pt idx="14">
                    <c:v>Male</c:v>
                  </c:pt>
                  <c:pt idx="15">
                    <c:v>Female</c:v>
                  </c:pt>
                  <c:pt idx="16">
                    <c:v>Male</c:v>
                  </c:pt>
                  <c:pt idx="17">
                    <c:v>Female</c:v>
                  </c:pt>
                  <c:pt idx="18">
                    <c:v>Male</c:v>
                  </c:pt>
                  <c:pt idx="19">
                    <c:v>Female</c:v>
                  </c:pt>
                  <c:pt idx="20">
                    <c:v>Male</c:v>
                  </c:pt>
                  <c:pt idx="21">
                    <c:v>Female</c:v>
                  </c:pt>
                  <c:pt idx="22">
                    <c:v>Male</c:v>
                  </c:pt>
                  <c:pt idx="23">
                    <c:v>Female</c:v>
                  </c:pt>
                  <c:pt idx="24">
                    <c:v>Male</c:v>
                  </c:pt>
                  <c:pt idx="25">
                    <c:v>Female</c:v>
                  </c:pt>
                  <c:pt idx="26">
                    <c:v>Male</c:v>
                  </c:pt>
                  <c:pt idx="27">
                    <c:v>Female</c:v>
                  </c:pt>
                  <c:pt idx="28">
                    <c:v>Male</c:v>
                  </c:pt>
                  <c:pt idx="29">
                    <c:v>Female</c:v>
                  </c:pt>
                  <c:pt idx="30">
                    <c:v>Male</c:v>
                  </c:pt>
                  <c:pt idx="31">
                    <c:v>Female</c:v>
                  </c:pt>
                  <c:pt idx="32">
                    <c:v>Male</c:v>
                  </c:pt>
                  <c:pt idx="33">
                    <c:v>Female</c:v>
                  </c:pt>
                  <c:pt idx="34">
                    <c:v>Male</c:v>
                  </c:pt>
                  <c:pt idx="35">
                    <c:v>Female</c:v>
                  </c:pt>
                  <c:pt idx="36">
                    <c:v>Male</c:v>
                  </c:pt>
                  <c:pt idx="37">
                    <c:v>Female</c:v>
                  </c:pt>
                  <c:pt idx="38">
                    <c:v>Male</c:v>
                  </c:pt>
                  <c:pt idx="39">
                    <c:v>Female</c:v>
                  </c:pt>
                  <c:pt idx="40">
                    <c:v>Male</c:v>
                  </c:pt>
                  <c:pt idx="41">
                    <c:v>Female</c:v>
                  </c:pt>
                </c:lvl>
                <c:lvl>
                  <c:pt idx="0">
                    <c:v>Art &amp; Design</c:v>
                  </c:pt>
                  <c:pt idx="2">
                    <c:v>Biology</c:v>
                  </c:pt>
                  <c:pt idx="4">
                    <c:v>Business Studies</c:v>
                  </c:pt>
                  <c:pt idx="6">
                    <c:v>Chemistry</c:v>
                  </c:pt>
                  <c:pt idx="8">
                    <c:v>Classics</c:v>
                  </c:pt>
                  <c:pt idx="10">
                    <c:v>Computing</c:v>
                  </c:pt>
                  <c:pt idx="12">
                    <c:v>Design &amp; Technology</c:v>
                  </c:pt>
                  <c:pt idx="14">
                    <c:v>Drama</c:v>
                  </c:pt>
                  <c:pt idx="16">
                    <c:v>English</c:v>
                  </c:pt>
                  <c:pt idx="18">
                    <c:v>Food</c:v>
                  </c:pt>
                  <c:pt idx="20">
                    <c:v>Geography</c:v>
                  </c:pt>
                  <c:pt idx="22">
                    <c:v>History</c:v>
                  </c:pt>
                  <c:pt idx="24">
                    <c:v>Mathematics</c:v>
                  </c:pt>
                  <c:pt idx="26">
                    <c:v>Modern Foreign Languages</c:v>
                  </c:pt>
                  <c:pt idx="28">
                    <c:v>Music</c:v>
                  </c:pt>
                  <c:pt idx="30">
                    <c:v>Others</c:v>
                  </c:pt>
                  <c:pt idx="32">
                    <c:v>Physical Education</c:v>
                  </c:pt>
                  <c:pt idx="34">
                    <c:v>Physics</c:v>
                  </c:pt>
                  <c:pt idx="36">
                    <c:v>Religious Education</c:v>
                  </c:pt>
                  <c:pt idx="38">
                    <c:v>Secondary total</c:v>
                  </c:pt>
                  <c:pt idx="40">
                    <c:v>Primary</c:v>
                  </c:pt>
                </c:lvl>
              </c:multiLvlStrCache>
            </c:multiLvlStrRef>
          </c:cat>
          <c:val>
            <c:numRef>
              <c:f>Stock_ages_breakdowns!$C$92:$AR$92</c:f>
              <c:numCache>
                <c:formatCode>0%</c:formatCode>
                <c:ptCount val="42"/>
                <c:pt idx="0">
                  <c:v>0.22361320629673503</c:v>
                </c:pt>
                <c:pt idx="1">
                  <c:v>0.77638679370326502</c:v>
                </c:pt>
                <c:pt idx="2">
                  <c:v>0.29965822659847352</c:v>
                </c:pt>
                <c:pt idx="3">
                  <c:v>0.70034177340152659</c:v>
                </c:pt>
                <c:pt idx="4">
                  <c:v>0.42418849545047382</c:v>
                </c:pt>
                <c:pt idx="5">
                  <c:v>0.57581150454952623</c:v>
                </c:pt>
                <c:pt idx="6">
                  <c:v>0.40592168520394722</c:v>
                </c:pt>
                <c:pt idx="7">
                  <c:v>0.59407831479605266</c:v>
                </c:pt>
                <c:pt idx="8">
                  <c:v>0.4092376412320155</c:v>
                </c:pt>
                <c:pt idx="9">
                  <c:v>0.59076235876798433</c:v>
                </c:pt>
                <c:pt idx="10">
                  <c:v>0.59030311016114845</c:v>
                </c:pt>
                <c:pt idx="11">
                  <c:v>0.40969688983885133</c:v>
                </c:pt>
                <c:pt idx="12">
                  <c:v>0.43648079222120251</c:v>
                </c:pt>
                <c:pt idx="13">
                  <c:v>0.56351920777879749</c:v>
                </c:pt>
                <c:pt idx="14">
                  <c:v>0.23136039695767546</c:v>
                </c:pt>
                <c:pt idx="15">
                  <c:v>0.76863960304232459</c:v>
                </c:pt>
                <c:pt idx="16">
                  <c:v>0.210734271447067</c:v>
                </c:pt>
                <c:pt idx="17">
                  <c:v>0.78926572855293275</c:v>
                </c:pt>
                <c:pt idx="18">
                  <c:v>0.10895863879165364</c:v>
                </c:pt>
                <c:pt idx="19">
                  <c:v>0.89104136120834621</c:v>
                </c:pt>
                <c:pt idx="20">
                  <c:v>0.43256700440019868</c:v>
                </c:pt>
                <c:pt idx="21">
                  <c:v>0.56743299559980154</c:v>
                </c:pt>
                <c:pt idx="22">
                  <c:v>0.44384414145661083</c:v>
                </c:pt>
                <c:pt idx="23">
                  <c:v>0.55615585854338945</c:v>
                </c:pt>
                <c:pt idx="24">
                  <c:v>0.4597435695786124</c:v>
                </c:pt>
                <c:pt idx="25">
                  <c:v>0.54025643042138749</c:v>
                </c:pt>
                <c:pt idx="26">
                  <c:v>0.18429739982766885</c:v>
                </c:pt>
                <c:pt idx="27">
                  <c:v>0.81570260017233109</c:v>
                </c:pt>
                <c:pt idx="28">
                  <c:v>0.44059649031146192</c:v>
                </c:pt>
                <c:pt idx="29">
                  <c:v>0.5594035096885378</c:v>
                </c:pt>
                <c:pt idx="30">
                  <c:v>0.33232038754398685</c:v>
                </c:pt>
                <c:pt idx="31">
                  <c:v>0.66767961245601293</c:v>
                </c:pt>
                <c:pt idx="32">
                  <c:v>0.52509686376962383</c:v>
                </c:pt>
                <c:pt idx="33">
                  <c:v>0.47490313623037594</c:v>
                </c:pt>
                <c:pt idx="34">
                  <c:v>0.63287339500414075</c:v>
                </c:pt>
                <c:pt idx="35">
                  <c:v>0.3671266049958592</c:v>
                </c:pt>
                <c:pt idx="36">
                  <c:v>0.31270213523726498</c:v>
                </c:pt>
                <c:pt idx="37">
                  <c:v>0.68729786476273502</c:v>
                </c:pt>
                <c:pt idx="38">
                  <c:v>0.37378291103878708</c:v>
                </c:pt>
                <c:pt idx="39">
                  <c:v>0.62621708896121286</c:v>
                </c:pt>
                <c:pt idx="40">
                  <c:v>0.14155662545561271</c:v>
                </c:pt>
                <c:pt idx="41">
                  <c:v>0.85844337454438735</c:v>
                </c:pt>
              </c:numCache>
            </c:numRef>
          </c:val>
          <c:extLst>
            <c:ext xmlns:c16="http://schemas.microsoft.com/office/drawing/2014/chart" uri="{C3380CC4-5D6E-409C-BE32-E72D297353CC}">
              <c16:uniqueId val="{00000015-C2E6-48A3-A7DA-747F1B63CD47}"/>
            </c:ext>
          </c:extLst>
        </c:ser>
        <c:dLbls>
          <c:showLegendKey val="0"/>
          <c:showVal val="0"/>
          <c:showCatName val="0"/>
          <c:showSerName val="0"/>
          <c:showPercent val="0"/>
          <c:showBubbleSize val="0"/>
        </c:dLbls>
        <c:gapWidth val="150"/>
        <c:axId val="152051072"/>
        <c:axId val="152061056"/>
      </c:barChart>
      <c:catAx>
        <c:axId val="152051072"/>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52061056"/>
        <c:crosses val="autoZero"/>
        <c:auto val="1"/>
        <c:lblAlgn val="ctr"/>
        <c:lblOffset val="100"/>
        <c:noMultiLvlLbl val="0"/>
      </c:catAx>
      <c:valAx>
        <c:axId val="15206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05107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The percentage</a:t>
            </a:r>
            <a:r>
              <a:rPr lang="en-GB" baseline="0"/>
              <a:t> of teachers who are unqualified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USER_TESTING_TAB!$C$321</c:f>
              <c:strCache>
                <c:ptCount val="1"/>
                <c:pt idx="0">
                  <c:v>From 2017/18 TSM</c:v>
                </c:pt>
              </c:strCache>
            </c:strRef>
          </c:tx>
          <c:spPr>
            <a:solidFill>
              <a:schemeClr val="accent1"/>
            </a:solidFill>
            <a:ln>
              <a:solidFill>
                <a:sysClr val="windowText" lastClr="000000"/>
              </a:solidFill>
            </a:ln>
            <a:effectLst/>
          </c:spPr>
          <c:invertIfNegative val="0"/>
          <c:cat>
            <c:strRef>
              <c:f>USER_TESTING_TAB!$B$322:$B$341</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USER_TESTING_TAB!$C$322:$C$341</c:f>
              <c:numCache>
                <c:formatCode>0.00%</c:formatCode>
                <c:ptCount val="20"/>
                <c:pt idx="0">
                  <c:v>3.2452360303093598E-2</c:v>
                </c:pt>
                <c:pt idx="1">
                  <c:v>5.5482785567752567E-2</c:v>
                </c:pt>
                <c:pt idx="2">
                  <c:v>4.7147483464243911E-2</c:v>
                </c:pt>
                <c:pt idx="3">
                  <c:v>9.1589119325306181E-2</c:v>
                </c:pt>
                <c:pt idx="4">
                  <c:v>4.6913086855563599E-2</c:v>
                </c:pt>
                <c:pt idx="5">
                  <c:v>6.704089375668533E-2</c:v>
                </c:pt>
                <c:pt idx="6">
                  <c:v>5.5336545757057175E-2</c:v>
                </c:pt>
                <c:pt idx="7">
                  <c:v>6.7710578130345755E-2</c:v>
                </c:pt>
                <c:pt idx="8">
                  <c:v>8.377556244402512E-2</c:v>
                </c:pt>
                <c:pt idx="9">
                  <c:v>8.773490743765272E-2</c:v>
                </c:pt>
                <c:pt idx="10">
                  <c:v>0.10009363022572292</c:v>
                </c:pt>
                <c:pt idx="11">
                  <c:v>4.7550259871897121E-2</c:v>
                </c:pt>
                <c:pt idx="12">
                  <c:v>4.9790971050012442E-2</c:v>
                </c:pt>
                <c:pt idx="13">
                  <c:v>6.49038506637587E-2</c:v>
                </c:pt>
                <c:pt idx="14">
                  <c:v>3.8975877543540892E-2</c:v>
                </c:pt>
                <c:pt idx="15">
                  <c:v>4.5052436211548266E-2</c:v>
                </c:pt>
                <c:pt idx="16">
                  <c:v>0.13826981448484513</c:v>
                </c:pt>
                <c:pt idx="17">
                  <c:v>4.057770218571477E-2</c:v>
                </c:pt>
                <c:pt idx="18">
                  <c:v>3.5327821376179305E-2</c:v>
                </c:pt>
                <c:pt idx="19">
                  <c:v>5.4816797336101404E-2</c:v>
                </c:pt>
              </c:numCache>
            </c:numRef>
          </c:val>
          <c:extLst>
            <c:ext xmlns:c16="http://schemas.microsoft.com/office/drawing/2014/chart" uri="{C3380CC4-5D6E-409C-BE32-E72D297353CC}">
              <c16:uniqueId val="{00000000-311D-4B73-A1F9-1E9D6CB54C9D}"/>
            </c:ext>
          </c:extLst>
        </c:ser>
        <c:ser>
          <c:idx val="1"/>
          <c:order val="1"/>
          <c:tx>
            <c:strRef>
              <c:f>USER_TESTING_TAB!$D$321</c:f>
              <c:strCache>
                <c:ptCount val="1"/>
                <c:pt idx="0">
                  <c:v>From latest SWC data</c:v>
                </c:pt>
              </c:strCache>
            </c:strRef>
          </c:tx>
          <c:spPr>
            <a:solidFill>
              <a:schemeClr val="accent2"/>
            </a:solidFill>
            <a:ln>
              <a:solidFill>
                <a:sysClr val="windowText" lastClr="000000"/>
              </a:solidFill>
            </a:ln>
            <a:effectLst/>
          </c:spPr>
          <c:invertIfNegative val="0"/>
          <c:cat>
            <c:strRef>
              <c:f>USER_TESTING_TAB!$B$322:$B$341</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c:v>
                </c:pt>
                <c:pt idx="17">
                  <c:v>Physical Education</c:v>
                </c:pt>
                <c:pt idx="18">
                  <c:v>Physics</c:v>
                </c:pt>
                <c:pt idx="19">
                  <c:v>Religious Education</c:v>
                </c:pt>
              </c:strCache>
            </c:strRef>
          </c:cat>
          <c:val>
            <c:numRef>
              <c:f>USER_TESTING_TAB!$D$322:$D$341</c:f>
              <c:numCache>
                <c:formatCode>0.00%</c:formatCode>
                <c:ptCount val="20"/>
                <c:pt idx="0">
                  <c:v>3.4853157296169286E-2</c:v>
                </c:pt>
                <c:pt idx="1">
                  <c:v>5.5968017287055014E-2</c:v>
                </c:pt>
                <c:pt idx="2">
                  <c:v>4.9972000043522848E-2</c:v>
                </c:pt>
                <c:pt idx="3">
                  <c:v>9.1589119325306181E-2</c:v>
                </c:pt>
                <c:pt idx="4">
                  <c:v>4.6913086855563599E-2</c:v>
                </c:pt>
                <c:pt idx="5">
                  <c:v>6.7283713351043953E-2</c:v>
                </c:pt>
                <c:pt idx="6">
                  <c:v>5.5336545757057175E-2</c:v>
                </c:pt>
                <c:pt idx="7">
                  <c:v>7.213445730617235E-2</c:v>
                </c:pt>
                <c:pt idx="8">
                  <c:v>8.8617581745750768E-2</c:v>
                </c:pt>
                <c:pt idx="9">
                  <c:v>8.773490743765272E-2</c:v>
                </c:pt>
                <c:pt idx="10">
                  <c:v>0.10009363022572292</c:v>
                </c:pt>
                <c:pt idx="11">
                  <c:v>5.1630041645913109E-2</c:v>
                </c:pt>
                <c:pt idx="12">
                  <c:v>5.3704760379335428E-2</c:v>
                </c:pt>
                <c:pt idx="13">
                  <c:v>6.49038506637587E-2</c:v>
                </c:pt>
                <c:pt idx="14">
                  <c:v>3.8975877543540892E-2</c:v>
                </c:pt>
                <c:pt idx="15">
                  <c:v>5.2443724096728997E-2</c:v>
                </c:pt>
                <c:pt idx="16">
                  <c:v>0.13826981448484513</c:v>
                </c:pt>
                <c:pt idx="17">
                  <c:v>4.057770218571477E-2</c:v>
                </c:pt>
                <c:pt idx="18">
                  <c:v>4.205381353410817E-2</c:v>
                </c:pt>
                <c:pt idx="19">
                  <c:v>6.0172109869509709E-2</c:v>
                </c:pt>
              </c:numCache>
            </c:numRef>
          </c:val>
          <c:extLst>
            <c:ext xmlns:c16="http://schemas.microsoft.com/office/drawing/2014/chart" uri="{C3380CC4-5D6E-409C-BE32-E72D297353CC}">
              <c16:uniqueId val="{00000001-311D-4B73-A1F9-1E9D6CB54C9D}"/>
            </c:ext>
          </c:extLst>
        </c:ser>
        <c:dLbls>
          <c:showLegendKey val="0"/>
          <c:showVal val="0"/>
          <c:showCatName val="0"/>
          <c:showSerName val="0"/>
          <c:showPercent val="0"/>
          <c:showBubbleSize val="0"/>
        </c:dLbls>
        <c:gapWidth val="219"/>
        <c:overlap val="-27"/>
        <c:axId val="749007424"/>
        <c:axId val="749008080"/>
      </c:barChart>
      <c:catAx>
        <c:axId val="749007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8080"/>
        <c:crosses val="autoZero"/>
        <c:auto val="1"/>
        <c:lblAlgn val="ctr"/>
        <c:lblOffset val="100"/>
        <c:noMultiLvlLbl val="0"/>
      </c:catAx>
      <c:valAx>
        <c:axId val="749008080"/>
        <c:scaling>
          <c:orientation val="minMax"/>
        </c:scaling>
        <c:delete val="0"/>
        <c:axPos val="l"/>
        <c:majorGridlines>
          <c:spPr>
            <a:ln w="9525" cap="flat" cmpd="sng" algn="ctr">
              <a:solidFill>
                <a:schemeClr val="bg1"/>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9007424"/>
        <c:crosses val="autoZero"/>
        <c:crossBetween val="between"/>
      </c:valAx>
      <c:spPr>
        <a:noFill/>
        <a:ln>
          <a:solidFill>
            <a:sysClr val="windowText" lastClr="000000"/>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group breakdown by subject/phase of the current stock (November 2016)</a:t>
            </a:r>
          </a:p>
        </c:rich>
      </c:tx>
      <c:overlay val="0"/>
    </c:title>
    <c:autoTitleDeleted val="0"/>
    <c:plotArea>
      <c:layout>
        <c:manualLayout>
          <c:layoutTarget val="inner"/>
          <c:xMode val="edge"/>
          <c:yMode val="edge"/>
          <c:x val="4.3121839816971236E-2"/>
          <c:y val="8.3459461299326063E-2"/>
          <c:w val="0.86607395906497608"/>
          <c:h val="0.67733402921176644"/>
        </c:manualLayout>
      </c:layout>
      <c:barChart>
        <c:barDir val="col"/>
        <c:grouping val="clustered"/>
        <c:varyColors val="0"/>
        <c:ser>
          <c:idx val="0"/>
          <c:order val="0"/>
          <c:tx>
            <c:strRef>
              <c:f>Stock_ages_breakdowns!$B$97</c:f>
              <c:strCache>
                <c:ptCount val="1"/>
                <c:pt idx="0">
                  <c:v>Under 40</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Stock_ages_breakdowns!$C$97:$W$97</c:f>
              <c:numCache>
                <c:formatCode>0%</c:formatCode>
                <c:ptCount val="21"/>
                <c:pt idx="0">
                  <c:v>0.48773060452204786</c:v>
                </c:pt>
                <c:pt idx="1">
                  <c:v>0.59793460312533686</c:v>
                </c:pt>
                <c:pt idx="2">
                  <c:v>0.51361294525710133</c:v>
                </c:pt>
                <c:pt idx="3">
                  <c:v>0.55251070891096732</c:v>
                </c:pt>
                <c:pt idx="4">
                  <c:v>0.47510944937993638</c:v>
                </c:pt>
                <c:pt idx="5">
                  <c:v>0.52064188351786855</c:v>
                </c:pt>
                <c:pt idx="6">
                  <c:v>0.44192059518594229</c:v>
                </c:pt>
                <c:pt idx="7">
                  <c:v>0.64794661233638473</c:v>
                </c:pt>
                <c:pt idx="8">
                  <c:v>0.60776876433080984</c:v>
                </c:pt>
                <c:pt idx="9">
                  <c:v>0.37003742963699759</c:v>
                </c:pt>
                <c:pt idx="10">
                  <c:v>0.61323522529241392</c:v>
                </c:pt>
                <c:pt idx="11">
                  <c:v>0.62079370799714384</c:v>
                </c:pt>
                <c:pt idx="12">
                  <c:v>0.53101255406580739</c:v>
                </c:pt>
                <c:pt idx="13">
                  <c:v>0.464769010031854</c:v>
                </c:pt>
                <c:pt idx="14">
                  <c:v>0.60881522361761176</c:v>
                </c:pt>
                <c:pt idx="15">
                  <c:v>0.53679659955196546</c:v>
                </c:pt>
                <c:pt idx="16">
                  <c:v>0.7206075844851404</c:v>
                </c:pt>
                <c:pt idx="17">
                  <c:v>0.52805008093287087</c:v>
                </c:pt>
                <c:pt idx="18">
                  <c:v>0.57145002500774655</c:v>
                </c:pt>
                <c:pt idx="19">
                  <c:v>0.56418888508747733</c:v>
                </c:pt>
                <c:pt idx="20">
                  <c:v>0.57108988735037802</c:v>
                </c:pt>
              </c:numCache>
            </c:numRef>
          </c:val>
          <c:extLst>
            <c:ext xmlns:c16="http://schemas.microsoft.com/office/drawing/2014/chart" uri="{C3380CC4-5D6E-409C-BE32-E72D297353CC}">
              <c16:uniqueId val="{00000000-79FF-4271-8DCE-9E3010135739}"/>
            </c:ext>
          </c:extLst>
        </c:ser>
        <c:ser>
          <c:idx val="1"/>
          <c:order val="1"/>
          <c:tx>
            <c:strRef>
              <c:f>Stock_ages_breakdowns!$B$98</c:f>
              <c:strCache>
                <c:ptCount val="1"/>
                <c:pt idx="0">
                  <c:v>40-49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Stock_ages_breakdowns!$C$98:$W$98</c:f>
              <c:numCache>
                <c:formatCode>0%</c:formatCode>
                <c:ptCount val="21"/>
                <c:pt idx="0">
                  <c:v>0.31420447604324675</c:v>
                </c:pt>
                <c:pt idx="1">
                  <c:v>0.25639319102689356</c:v>
                </c:pt>
                <c:pt idx="2">
                  <c:v>0.30072165362015713</c:v>
                </c:pt>
                <c:pt idx="3">
                  <c:v>0.27179585362195602</c:v>
                </c:pt>
                <c:pt idx="4">
                  <c:v>0.23163593902143043</c:v>
                </c:pt>
                <c:pt idx="5">
                  <c:v>0.29329211688930962</c:v>
                </c:pt>
                <c:pt idx="6">
                  <c:v>0.29404404899695391</c:v>
                </c:pt>
                <c:pt idx="7">
                  <c:v>0.22258890796208919</c:v>
                </c:pt>
                <c:pt idx="8">
                  <c:v>0.23192646961883651</c:v>
                </c:pt>
                <c:pt idx="9">
                  <c:v>0.30572716107317754</c:v>
                </c:pt>
                <c:pt idx="10">
                  <c:v>0.25113973277784102</c:v>
                </c:pt>
                <c:pt idx="11">
                  <c:v>0.24427326299210503</c:v>
                </c:pt>
                <c:pt idx="12">
                  <c:v>0.26549588146269609</c:v>
                </c:pt>
                <c:pt idx="13">
                  <c:v>0.32561235377523395</c:v>
                </c:pt>
                <c:pt idx="14">
                  <c:v>0.24826630048570461</c:v>
                </c:pt>
                <c:pt idx="15">
                  <c:v>0.26194757138834251</c:v>
                </c:pt>
                <c:pt idx="16">
                  <c:v>0.19142168823472866</c:v>
                </c:pt>
                <c:pt idx="17">
                  <c:v>0.27055084602635843</c:v>
                </c:pt>
                <c:pt idx="18">
                  <c:v>0.24873733380134461</c:v>
                </c:pt>
                <c:pt idx="19">
                  <c:v>0.26012683311958495</c:v>
                </c:pt>
                <c:pt idx="20">
                  <c:v>0.25362338127262474</c:v>
                </c:pt>
              </c:numCache>
            </c:numRef>
          </c:val>
          <c:extLst>
            <c:ext xmlns:c16="http://schemas.microsoft.com/office/drawing/2014/chart" uri="{C3380CC4-5D6E-409C-BE32-E72D297353CC}">
              <c16:uniqueId val="{00000001-79FF-4271-8DCE-9E3010135739}"/>
            </c:ext>
          </c:extLst>
        </c:ser>
        <c:ser>
          <c:idx val="2"/>
          <c:order val="2"/>
          <c:tx>
            <c:strRef>
              <c:f>Stock_ages_breakdowns!$B$99</c:f>
              <c:strCache>
                <c:ptCount val="1"/>
                <c:pt idx="0">
                  <c:v>50-59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Stock_ages_breakdowns!$C$99:$W$99</c:f>
              <c:numCache>
                <c:formatCode>0%</c:formatCode>
                <c:ptCount val="21"/>
                <c:pt idx="0">
                  <c:v>0.17336197436219553</c:v>
                </c:pt>
                <c:pt idx="1">
                  <c:v>0.12796150865719264</c:v>
                </c:pt>
                <c:pt idx="2">
                  <c:v>0.166814242490049</c:v>
                </c:pt>
                <c:pt idx="3">
                  <c:v>0.15721682666791664</c:v>
                </c:pt>
                <c:pt idx="4">
                  <c:v>0.22069364801397756</c:v>
                </c:pt>
                <c:pt idx="5">
                  <c:v>0.16776835591908723</c:v>
                </c:pt>
                <c:pt idx="6">
                  <c:v>0.23278101446059463</c:v>
                </c:pt>
                <c:pt idx="7">
                  <c:v>0.10977079548435113</c:v>
                </c:pt>
                <c:pt idx="8">
                  <c:v>0.13880092512631734</c:v>
                </c:pt>
                <c:pt idx="9">
                  <c:v>0.28433404326724881</c:v>
                </c:pt>
                <c:pt idx="10">
                  <c:v>0.12083187190932179</c:v>
                </c:pt>
                <c:pt idx="11">
                  <c:v>0.12013617768167593</c:v>
                </c:pt>
                <c:pt idx="12">
                  <c:v>0.17493680923473562</c:v>
                </c:pt>
                <c:pt idx="13">
                  <c:v>0.18579951367796954</c:v>
                </c:pt>
                <c:pt idx="14">
                  <c:v>0.12972870038129661</c:v>
                </c:pt>
                <c:pt idx="15">
                  <c:v>0.17121333579671089</c:v>
                </c:pt>
                <c:pt idx="16">
                  <c:v>7.9642413588245864E-2</c:v>
                </c:pt>
                <c:pt idx="17">
                  <c:v>0.17942759857006532</c:v>
                </c:pt>
                <c:pt idx="18">
                  <c:v>0.15559691369691636</c:v>
                </c:pt>
                <c:pt idx="19">
                  <c:v>0.15394562631112022</c:v>
                </c:pt>
                <c:pt idx="20">
                  <c:v>0.14970028651357647</c:v>
                </c:pt>
              </c:numCache>
            </c:numRef>
          </c:val>
          <c:extLst>
            <c:ext xmlns:c16="http://schemas.microsoft.com/office/drawing/2014/chart" uri="{C3380CC4-5D6E-409C-BE32-E72D297353CC}">
              <c16:uniqueId val="{00000002-79FF-4271-8DCE-9E3010135739}"/>
            </c:ext>
          </c:extLst>
        </c:ser>
        <c:ser>
          <c:idx val="3"/>
          <c:order val="3"/>
          <c:tx>
            <c:strRef>
              <c:f>Stock_ages_breakdowns!$B$100</c:f>
              <c:strCache>
                <c:ptCount val="1"/>
                <c:pt idx="0">
                  <c:v>60 plus</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Stock_ages_breakdowns!$C$100:$W$100</c:f>
              <c:numCache>
                <c:formatCode>0%</c:formatCode>
                <c:ptCount val="21"/>
                <c:pt idx="0">
                  <c:v>2.4702945072509863E-2</c:v>
                </c:pt>
                <c:pt idx="1">
                  <c:v>1.7710697190577052E-2</c:v>
                </c:pt>
                <c:pt idx="2">
                  <c:v>1.8851158632692631E-2</c:v>
                </c:pt>
                <c:pt idx="3">
                  <c:v>1.8476610799159927E-2</c:v>
                </c:pt>
                <c:pt idx="4">
                  <c:v>7.2560963584655511E-2</c:v>
                </c:pt>
                <c:pt idx="5">
                  <c:v>1.8297643673734557E-2</c:v>
                </c:pt>
                <c:pt idx="6">
                  <c:v>3.1254341356509056E-2</c:v>
                </c:pt>
                <c:pt idx="7">
                  <c:v>1.9693684217174903E-2</c:v>
                </c:pt>
                <c:pt idx="8">
                  <c:v>2.1503840924036257E-2</c:v>
                </c:pt>
                <c:pt idx="9">
                  <c:v>3.9901366022576018E-2</c:v>
                </c:pt>
                <c:pt idx="10">
                  <c:v>1.4793170020423459E-2</c:v>
                </c:pt>
                <c:pt idx="11">
                  <c:v>1.4796851329075491E-2</c:v>
                </c:pt>
                <c:pt idx="12">
                  <c:v>2.85547552367608E-2</c:v>
                </c:pt>
                <c:pt idx="13">
                  <c:v>2.381912251494251E-2</c:v>
                </c:pt>
                <c:pt idx="14">
                  <c:v>1.3189775515386732E-2</c:v>
                </c:pt>
                <c:pt idx="15">
                  <c:v>3.0042493262981074E-2</c:v>
                </c:pt>
                <c:pt idx="16">
                  <c:v>8.3283136918849039E-3</c:v>
                </c:pt>
                <c:pt idx="17">
                  <c:v>2.1971474470705375E-2</c:v>
                </c:pt>
                <c:pt idx="18">
                  <c:v>2.4215727493992353E-2</c:v>
                </c:pt>
                <c:pt idx="19">
                  <c:v>2.1738655481817509E-2</c:v>
                </c:pt>
                <c:pt idx="20">
                  <c:v>2.5586444863420689E-2</c:v>
                </c:pt>
              </c:numCache>
            </c:numRef>
          </c:val>
          <c:extLst>
            <c:ext xmlns:c16="http://schemas.microsoft.com/office/drawing/2014/chart" uri="{C3380CC4-5D6E-409C-BE32-E72D297353CC}">
              <c16:uniqueId val="{00000003-79FF-4271-8DCE-9E3010135739}"/>
            </c:ext>
          </c:extLst>
        </c:ser>
        <c:dLbls>
          <c:showLegendKey val="0"/>
          <c:showVal val="0"/>
          <c:showCatName val="0"/>
          <c:showSerName val="0"/>
          <c:showPercent val="0"/>
          <c:showBubbleSize val="0"/>
        </c:dLbls>
        <c:gapWidth val="150"/>
        <c:axId val="152107264"/>
        <c:axId val="152436736"/>
      </c:barChart>
      <c:catAx>
        <c:axId val="152107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2436736"/>
        <c:crosses val="autoZero"/>
        <c:auto val="1"/>
        <c:lblAlgn val="ctr"/>
        <c:lblOffset val="100"/>
        <c:noMultiLvlLbl val="0"/>
      </c:catAx>
      <c:valAx>
        <c:axId val="15243673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107264"/>
        <c:crosses val="autoZero"/>
        <c:crossBetween val="between"/>
      </c:valAx>
      <c:spPr>
        <a:ln>
          <a:solidFill>
            <a:sysClr val="windowText" lastClr="000000"/>
          </a:solidFill>
        </a:ln>
      </c:spPr>
    </c:plotArea>
    <c:legend>
      <c:legendPos val="r"/>
      <c:layout>
        <c:manualLayout>
          <c:xMode val="edge"/>
          <c:yMode val="edge"/>
          <c:x val="0.91164139979354053"/>
          <c:y val="0.25186606338386802"/>
          <c:w val="8.0878960493523722E-2"/>
          <c:h val="0.347015512986249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No. of entrants (including UGs) expected for each phase/subject via different entrant routes for 2019/20</a:t>
            </a:r>
          </a:p>
        </c:rich>
      </c:tx>
      <c:overlay val="0"/>
    </c:title>
    <c:autoTitleDeleted val="0"/>
    <c:plotArea>
      <c:layout>
        <c:manualLayout>
          <c:layoutTarget val="inner"/>
          <c:xMode val="edge"/>
          <c:yMode val="edge"/>
          <c:x val="6.9437863963279667E-2"/>
          <c:y val="0.10024212398982042"/>
          <c:w val="0.90831338920100546"/>
          <c:h val="0.59605418603720284"/>
        </c:manualLayout>
      </c:layout>
      <c:barChart>
        <c:barDir val="col"/>
        <c:grouping val="clustered"/>
        <c:varyColors val="0"/>
        <c:ser>
          <c:idx val="0"/>
          <c:order val="0"/>
          <c:tx>
            <c:strRef>
              <c:f>Check_of_all_entrant_numbers!$D$18</c:f>
              <c:strCache>
                <c:ptCount val="1"/>
                <c:pt idx="0">
                  <c:v>No. of all entrants expected</c:v>
                </c:pt>
              </c:strCache>
            </c:strRef>
          </c:tx>
          <c:spPr>
            <a:solidFill>
              <a:srgbClr val="FF00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Check_of_all_entrant_numbers!$D$19:$D$38</c:f>
              <c:numCache>
                <c:formatCode>#,##0</c:formatCode>
                <c:ptCount val="20"/>
                <c:pt idx="0">
                  <c:v>25492.593807015372</c:v>
                </c:pt>
                <c:pt idx="1">
                  <c:v>901.07800660747716</c:v>
                </c:pt>
                <c:pt idx="2">
                  <c:v>1616.5168720308891</c:v>
                </c:pt>
                <c:pt idx="3">
                  <c:v>350.31454337488356</c:v>
                </c:pt>
                <c:pt idx="4">
                  <c:v>1446.9078103826337</c:v>
                </c:pt>
                <c:pt idx="5">
                  <c:v>36.744991908102591</c:v>
                </c:pt>
                <c:pt idx="6">
                  <c:v>849.5530840155069</c:v>
                </c:pt>
                <c:pt idx="7">
                  <c:v>1227.1310065905341</c:v>
                </c:pt>
                <c:pt idx="8">
                  <c:v>531.64237814670241</c:v>
                </c:pt>
                <c:pt idx="9">
                  <c:v>3912.914128603627</c:v>
                </c:pt>
                <c:pt idx="10">
                  <c:v>251.74490173817554</c:v>
                </c:pt>
                <c:pt idx="11">
                  <c:v>1357.380884855359</c:v>
                </c:pt>
                <c:pt idx="12">
                  <c:v>1429.9252576724452</c:v>
                </c:pt>
                <c:pt idx="13">
                  <c:v>4534.1002153363606</c:v>
                </c:pt>
                <c:pt idx="14">
                  <c:v>2397.1091773555454</c:v>
                </c:pt>
                <c:pt idx="15">
                  <c:v>583.35285853253015</c:v>
                </c:pt>
                <c:pt idx="16">
                  <c:v>1264.3565472365167</c:v>
                </c:pt>
                <c:pt idx="17">
                  <c:v>1679.0326689226463</c:v>
                </c:pt>
                <c:pt idx="18">
                  <c:v>1550.8624100000545</c:v>
                </c:pt>
                <c:pt idx="19">
                  <c:v>852.8668848079551</c:v>
                </c:pt>
              </c:numCache>
            </c:numRef>
          </c:val>
          <c:extLst>
            <c:ext xmlns:c16="http://schemas.microsoft.com/office/drawing/2014/chart" uri="{C3380CC4-5D6E-409C-BE32-E72D297353CC}">
              <c16:uniqueId val="{00000000-A3B9-47B9-8AC9-02B8D1F92173}"/>
            </c:ext>
          </c:extLst>
        </c:ser>
        <c:ser>
          <c:idx val="1"/>
          <c:order val="1"/>
          <c:tx>
            <c:strRef>
              <c:f>Check_of_all_entrant_numbers!$E$18</c:f>
              <c:strCache>
                <c:ptCount val="1"/>
                <c:pt idx="0">
                  <c:v>No. re-entrants expected</c:v>
                </c:pt>
              </c:strCache>
            </c:strRef>
          </c:tx>
          <c:spPr>
            <a:solidFill>
              <a:srgbClr val="FFFF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Check_of_all_entrant_numbers!$E$19:$E$38</c:f>
              <c:numCache>
                <c:formatCode>#,##0</c:formatCode>
                <c:ptCount val="20"/>
                <c:pt idx="0">
                  <c:v>8735.4660878889172</c:v>
                </c:pt>
                <c:pt idx="1">
                  <c:v>323.55460750876074</c:v>
                </c:pt>
                <c:pt idx="2">
                  <c:v>580.45083580547771</c:v>
                </c:pt>
                <c:pt idx="3">
                  <c:v>125.78920332659534</c:v>
                </c:pt>
                <c:pt idx="4">
                  <c:v>519.54845779922357</c:v>
                </c:pt>
                <c:pt idx="5">
                  <c:v>13.194208878208421</c:v>
                </c:pt>
                <c:pt idx="6">
                  <c:v>305.05329465469345</c:v>
                </c:pt>
                <c:pt idx="7">
                  <c:v>440.63209654188</c:v>
                </c:pt>
                <c:pt idx="8">
                  <c:v>190.89950008203101</c:v>
                </c:pt>
                <c:pt idx="9">
                  <c:v>1405.0297375056643</c:v>
                </c:pt>
                <c:pt idx="10">
                  <c:v>90.395306817991326</c:v>
                </c:pt>
                <c:pt idx="11">
                  <c:v>378.30900000000003</c:v>
                </c:pt>
                <c:pt idx="12">
                  <c:v>360.80799999999999</c:v>
                </c:pt>
                <c:pt idx="13">
                  <c:v>1628.0821469628911</c:v>
                </c:pt>
                <c:pt idx="14">
                  <c:v>642.23199999999997</c:v>
                </c:pt>
                <c:pt idx="15">
                  <c:v>209.46744210551702</c:v>
                </c:pt>
                <c:pt idx="16">
                  <c:v>453.99885847002804</c:v>
                </c:pt>
                <c:pt idx="17">
                  <c:v>602.898697120576</c:v>
                </c:pt>
                <c:pt idx="18">
                  <c:v>556.87595822793719</c:v>
                </c:pt>
                <c:pt idx="19">
                  <c:v>306.24319775620131</c:v>
                </c:pt>
              </c:numCache>
            </c:numRef>
          </c:val>
          <c:extLst>
            <c:ext xmlns:c16="http://schemas.microsoft.com/office/drawing/2014/chart" uri="{C3380CC4-5D6E-409C-BE32-E72D297353CC}">
              <c16:uniqueId val="{00000001-A3B9-47B9-8AC9-02B8D1F92173}"/>
            </c:ext>
          </c:extLst>
        </c:ser>
        <c:ser>
          <c:idx val="2"/>
          <c:order val="2"/>
          <c:tx>
            <c:strRef>
              <c:f>Check_of_all_entrant_numbers!$F$18</c:f>
              <c:strCache>
                <c:ptCount val="1"/>
                <c:pt idx="0">
                  <c:v>No. of new to state-funded sector entrants expected</c:v>
                </c:pt>
              </c:strCache>
            </c:strRef>
          </c:tx>
          <c:spPr>
            <a:solidFill>
              <a:srgbClr val="92D05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Check_of_all_entrant_numbers!$F$19:$F$38</c:f>
              <c:numCache>
                <c:formatCode>#,##0</c:formatCode>
                <c:ptCount val="20"/>
                <c:pt idx="0">
                  <c:v>3483.7240045380604</c:v>
                </c:pt>
                <c:pt idx="1">
                  <c:v>114.2982529766182</c:v>
                </c:pt>
                <c:pt idx="2">
                  <c:v>205.04890034547751</c:v>
                </c:pt>
                <c:pt idx="3">
                  <c:v>44.436042169979508</c:v>
                </c:pt>
                <c:pt idx="4">
                  <c:v>183.53464820166286</c:v>
                </c:pt>
                <c:pt idx="5">
                  <c:v>4.6609598169513768</c:v>
                </c:pt>
                <c:pt idx="6">
                  <c:v>107.76251623259276</c:v>
                </c:pt>
                <c:pt idx="7">
                  <c:v>155.65681239386399</c:v>
                </c:pt>
                <c:pt idx="8">
                  <c:v>67.436775267974298</c:v>
                </c:pt>
                <c:pt idx="9">
                  <c:v>496.33799256821158</c:v>
                </c:pt>
                <c:pt idx="10">
                  <c:v>31.932865138698538</c:v>
                </c:pt>
                <c:pt idx="11">
                  <c:v>109.94199999999999</c:v>
                </c:pt>
                <c:pt idx="12">
                  <c:v>115.697</c:v>
                </c:pt>
                <c:pt idx="13">
                  <c:v>575.13304024032993</c:v>
                </c:pt>
                <c:pt idx="14">
                  <c:v>232.2</c:v>
                </c:pt>
                <c:pt idx="15">
                  <c:v>73.996049299014402</c:v>
                </c:pt>
                <c:pt idx="16">
                  <c:v>160.37872795583081</c:v>
                </c:pt>
                <c:pt idx="17">
                  <c:v>212.97878689888623</c:v>
                </c:pt>
                <c:pt idx="18">
                  <c:v>196.72088628319108</c:v>
                </c:pt>
                <c:pt idx="19">
                  <c:v>108.18285902035581</c:v>
                </c:pt>
              </c:numCache>
            </c:numRef>
          </c:val>
          <c:extLst>
            <c:ext xmlns:c16="http://schemas.microsoft.com/office/drawing/2014/chart" uri="{C3380CC4-5D6E-409C-BE32-E72D297353CC}">
              <c16:uniqueId val="{00000002-A3B9-47B9-8AC9-02B8D1F92173}"/>
            </c:ext>
          </c:extLst>
        </c:ser>
        <c:ser>
          <c:idx val="3"/>
          <c:order val="3"/>
          <c:tx>
            <c:strRef>
              <c:f>Check_of_all_entrant_numbers!$G$18</c:f>
              <c:strCache>
                <c:ptCount val="1"/>
                <c:pt idx="0">
                  <c:v>No. of NQT entrants expected</c:v>
                </c:pt>
              </c:strCache>
            </c:strRef>
          </c:tx>
          <c:spPr>
            <a:solidFill>
              <a:srgbClr val="0070C0"/>
            </a:solidFill>
            <a:ln>
              <a:solidFill>
                <a:schemeClr val="bg2">
                  <a:lumMod val="10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Check_of_all_entrant_numbers!$G$19:$G$38</c:f>
              <c:numCache>
                <c:formatCode>#,##0</c:formatCode>
                <c:ptCount val="20"/>
                <c:pt idx="0">
                  <c:v>13273.403714588394</c:v>
                </c:pt>
                <c:pt idx="1">
                  <c:v>463.22514612209829</c:v>
                </c:pt>
                <c:pt idx="2">
                  <c:v>831.0171358799339</c:v>
                </c:pt>
                <c:pt idx="3">
                  <c:v>180.08929787830868</c:v>
                </c:pt>
                <c:pt idx="4">
                  <c:v>743.8247043817471</c:v>
                </c:pt>
                <c:pt idx="5">
                  <c:v>18.889823212942794</c:v>
                </c:pt>
                <c:pt idx="6">
                  <c:v>436.73727312822069</c:v>
                </c:pt>
                <c:pt idx="7">
                  <c:v>630.84209765479011</c:v>
                </c:pt>
                <c:pt idx="8">
                  <c:v>273.30610279669708</c:v>
                </c:pt>
                <c:pt idx="9">
                  <c:v>2011.5463985297511</c:v>
                </c:pt>
                <c:pt idx="10">
                  <c:v>129.41672978148569</c:v>
                </c:pt>
                <c:pt idx="11">
                  <c:v>869.1298848553588</c:v>
                </c:pt>
                <c:pt idx="12">
                  <c:v>953.42025767244536</c:v>
                </c:pt>
                <c:pt idx="13">
                  <c:v>2330.8850281331397</c:v>
                </c:pt>
                <c:pt idx="14">
                  <c:v>1112.6771773555456</c:v>
                </c:pt>
                <c:pt idx="15">
                  <c:v>299.88936712799875</c:v>
                </c:pt>
                <c:pt idx="16">
                  <c:v>649.9789608106579</c:v>
                </c:pt>
                <c:pt idx="17">
                  <c:v>863.15518490318414</c:v>
                </c:pt>
                <c:pt idx="18">
                  <c:v>797.26556548892631</c:v>
                </c:pt>
                <c:pt idx="19">
                  <c:v>438.44082803139793</c:v>
                </c:pt>
              </c:numCache>
            </c:numRef>
          </c:val>
          <c:extLst>
            <c:ext xmlns:c16="http://schemas.microsoft.com/office/drawing/2014/chart" uri="{C3380CC4-5D6E-409C-BE32-E72D297353CC}">
              <c16:uniqueId val="{00000003-A3B9-47B9-8AC9-02B8D1F92173}"/>
            </c:ext>
          </c:extLst>
        </c:ser>
        <c:ser>
          <c:idx val="4"/>
          <c:order val="4"/>
          <c:tx>
            <c:strRef>
              <c:f>Check_of_all_entrant_numbers!$H$18</c:f>
              <c:strCache>
                <c:ptCount val="1"/>
                <c:pt idx="0">
                  <c:v>No. of entrants via other, new initiatives</c:v>
                </c:pt>
              </c:strCache>
            </c:strRef>
          </c:tx>
          <c:spPr>
            <a:solidFill>
              <a:srgbClr val="00206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Check_of_all_entrant_numbers!$H$19:$H$38</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410</c:v>
                </c:pt>
                <c:pt idx="15">
                  <c:v>0</c:v>
                </c:pt>
                <c:pt idx="16">
                  <c:v>0</c:v>
                </c:pt>
                <c:pt idx="17">
                  <c:v>0</c:v>
                </c:pt>
                <c:pt idx="18">
                  <c:v>0</c:v>
                </c:pt>
                <c:pt idx="19">
                  <c:v>0</c:v>
                </c:pt>
              </c:numCache>
            </c:numRef>
          </c:val>
          <c:extLst>
            <c:ext xmlns:c16="http://schemas.microsoft.com/office/drawing/2014/chart" uri="{C3380CC4-5D6E-409C-BE32-E72D297353CC}">
              <c16:uniqueId val="{00000001-3B7D-4FA9-8E0C-083EC8F1522C}"/>
            </c:ext>
          </c:extLst>
        </c:ser>
        <c:dLbls>
          <c:showLegendKey val="0"/>
          <c:showVal val="0"/>
          <c:showCatName val="0"/>
          <c:showSerName val="0"/>
          <c:showPercent val="0"/>
          <c:showBubbleSize val="0"/>
        </c:dLbls>
        <c:gapWidth val="150"/>
        <c:axId val="167084032"/>
        <c:axId val="167085568"/>
      </c:barChart>
      <c:catAx>
        <c:axId val="1670840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7085568"/>
        <c:crosses val="autoZero"/>
        <c:auto val="1"/>
        <c:lblAlgn val="ctr"/>
        <c:lblOffset val="100"/>
        <c:noMultiLvlLbl val="0"/>
      </c:catAx>
      <c:valAx>
        <c:axId val="16708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084032"/>
        <c:crosses val="autoZero"/>
        <c:crossBetween val="between"/>
      </c:valAx>
      <c:spPr>
        <a:ln>
          <a:solidFill>
            <a:schemeClr val="tx1">
              <a:lumMod val="95000"/>
              <a:lumOff val="5000"/>
            </a:schemeClr>
          </a:solidFill>
        </a:ln>
      </c:spPr>
    </c:plotArea>
    <c:legend>
      <c:legendPos val="r"/>
      <c:layout>
        <c:manualLayout>
          <c:xMode val="edge"/>
          <c:yMode val="edge"/>
          <c:x val="0.59972323404172823"/>
          <c:y val="0.12745109475694621"/>
          <c:w val="0.19754254099042431"/>
          <c:h val="0.21737529720793872"/>
        </c:manualLayout>
      </c:layout>
      <c:overlay val="0"/>
      <c:spPr>
        <a:solidFill>
          <a:schemeClr val="bg1"/>
        </a:solidFill>
        <a:ln>
          <a:solidFill>
            <a:schemeClr val="tx1">
              <a:lumMod val="95000"/>
              <a:lumOff val="5000"/>
            </a:schemeClr>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need by phase as calculated by the 2018/19 TSM</a:t>
            </a:r>
          </a:p>
        </c:rich>
      </c:tx>
      <c:layout>
        <c:manualLayout>
          <c:xMode val="edge"/>
          <c:yMode val="edge"/>
          <c:x val="0.16782363748411944"/>
          <c:y val="1.84776879200756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Teacher_need_figures!$C$14:$N$14</c:f>
              <c:numCache>
                <c:formatCode>#,##0</c:formatCode>
                <c:ptCount val="12"/>
                <c:pt idx="0">
                  <c:v>243605.32104784102</c:v>
                </c:pt>
                <c:pt idx="1">
                  <c:v>244269.7542551799</c:v>
                </c:pt>
                <c:pt idx="2">
                  <c:v>244274.82192656255</c:v>
                </c:pt>
                <c:pt idx="3">
                  <c:v>244504.52764222646</c:v>
                </c:pt>
                <c:pt idx="4">
                  <c:v>244565.62003293994</c:v>
                </c:pt>
                <c:pt idx="5">
                  <c:v>244409.39158641128</c:v>
                </c:pt>
                <c:pt idx="6">
                  <c:v>244013.68182205909</c:v>
                </c:pt>
                <c:pt idx="7">
                  <c:v>244249.37361793657</c:v>
                </c:pt>
                <c:pt idx="8">
                  <c:v>244933.35980853782</c:v>
                </c:pt>
                <c:pt idx="9">
                  <c:v>245669.86163246437</c:v>
                </c:pt>
                <c:pt idx="10">
                  <c:v>246231.24083518205</c:v>
                </c:pt>
                <c:pt idx="11">
                  <c:v>246609.75140378298</c:v>
                </c:pt>
              </c:numCache>
            </c:numRef>
          </c:val>
          <c:smooth val="0"/>
          <c:extLst>
            <c:ext xmlns:c16="http://schemas.microsoft.com/office/drawing/2014/chart" uri="{C3380CC4-5D6E-409C-BE32-E72D297353CC}">
              <c16:uniqueId val="{00000000-0F46-4961-9F52-E8530B993BEA}"/>
            </c:ext>
          </c:extLst>
        </c:ser>
        <c:ser>
          <c:idx val="20"/>
          <c:order val="1"/>
          <c:tx>
            <c:v>Secondary (all subjects)</c:v>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Teacher_need_figures!$C$34:$N$34</c:f>
              <c:numCache>
                <c:formatCode>#,##0</c:formatCode>
                <c:ptCount val="12"/>
                <c:pt idx="0">
                  <c:v>210665.40426618766</c:v>
                </c:pt>
                <c:pt idx="1">
                  <c:v>212698.50385815764</c:v>
                </c:pt>
                <c:pt idx="2">
                  <c:v>214920.23730955189</c:v>
                </c:pt>
                <c:pt idx="3">
                  <c:v>216757.95394379064</c:v>
                </c:pt>
                <c:pt idx="4">
                  <c:v>218697.69007643341</c:v>
                </c:pt>
                <c:pt idx="5">
                  <c:v>220720.5403897037</c:v>
                </c:pt>
                <c:pt idx="6">
                  <c:v>223316.71144763532</c:v>
                </c:pt>
                <c:pt idx="7">
                  <c:v>224901.28331453755</c:v>
                </c:pt>
                <c:pt idx="8">
                  <c:v>225490.18602435637</c:v>
                </c:pt>
                <c:pt idx="9">
                  <c:v>225356.16604052536</c:v>
                </c:pt>
                <c:pt idx="10">
                  <c:v>225081.02798511446</c:v>
                </c:pt>
                <c:pt idx="11">
                  <c:v>224629.97957456802</c:v>
                </c:pt>
              </c:numCache>
            </c:numRef>
          </c:val>
          <c:smooth val="0"/>
          <c:extLst>
            <c:ext xmlns:c16="http://schemas.microsoft.com/office/drawing/2014/chart" uri="{C3380CC4-5D6E-409C-BE32-E72D297353CC}">
              <c16:uniqueId val="{00000001-0F46-4961-9F52-E8530B993BEA}"/>
            </c:ext>
          </c:extLst>
        </c:ser>
        <c:ser>
          <c:idx val="1"/>
          <c:order val="2"/>
          <c:tx>
            <c:strRef>
              <c:f>Teacher_need_figures!$B$62</c:f>
              <c:strCache>
                <c:ptCount val="1"/>
                <c:pt idx="0">
                  <c:v>EBacc </c:v>
                </c:pt>
              </c:strCache>
            </c:strRef>
          </c:tx>
          <c:spPr>
            <a:ln>
              <a:solidFill>
                <a:srgbClr val="00B050"/>
              </a:solidFill>
              <a:prstDash val="sysDash"/>
            </a:ln>
          </c:spPr>
          <c:marker>
            <c:symbol val="none"/>
          </c:marker>
          <c:val>
            <c:numRef>
              <c:f>Teacher_need_figures!$C$62:$N$62</c:f>
              <c:numCache>
                <c:formatCode>#,##0</c:formatCode>
                <c:ptCount val="12"/>
                <c:pt idx="0">
                  <c:v>139999.52609355777</c:v>
                </c:pt>
                <c:pt idx="1">
                  <c:v>142408.77798407761</c:v>
                </c:pt>
                <c:pt idx="2">
                  <c:v>144558.3414688425</c:v>
                </c:pt>
                <c:pt idx="3">
                  <c:v>146332.88580021737</c:v>
                </c:pt>
                <c:pt idx="4">
                  <c:v>148298.9213022101</c:v>
                </c:pt>
                <c:pt idx="5">
                  <c:v>150444.08062733151</c:v>
                </c:pt>
                <c:pt idx="6">
                  <c:v>152762.11842687655</c:v>
                </c:pt>
                <c:pt idx="7">
                  <c:v>153792.26760061225</c:v>
                </c:pt>
                <c:pt idx="8">
                  <c:v>154196.2518775074</c:v>
                </c:pt>
                <c:pt idx="9">
                  <c:v>154097.3050179304</c:v>
                </c:pt>
                <c:pt idx="10">
                  <c:v>153785.25110489482</c:v>
                </c:pt>
                <c:pt idx="11">
                  <c:v>153326.17731044957</c:v>
                </c:pt>
              </c:numCache>
            </c:numRef>
          </c:val>
          <c:smooth val="0"/>
          <c:extLst>
            <c:ext xmlns:c16="http://schemas.microsoft.com/office/drawing/2014/chart" uri="{C3380CC4-5D6E-409C-BE32-E72D297353CC}">
              <c16:uniqueId val="{00000002-0F46-4961-9F52-E8530B993BEA}"/>
            </c:ext>
          </c:extLst>
        </c:ser>
        <c:ser>
          <c:idx val="2"/>
          <c:order val="3"/>
          <c:tx>
            <c:strRef>
              <c:f>Teacher_need_figures!$B$63</c:f>
              <c:strCache>
                <c:ptCount val="1"/>
                <c:pt idx="0">
                  <c:v>Non-EBacc</c:v>
                </c:pt>
              </c:strCache>
            </c:strRef>
          </c:tx>
          <c:spPr>
            <a:ln>
              <a:solidFill>
                <a:srgbClr val="FFC000"/>
              </a:solidFill>
            </a:ln>
          </c:spPr>
          <c:marker>
            <c:symbol val="none"/>
          </c:marker>
          <c:val>
            <c:numRef>
              <c:f>Teacher_need_figures!$C$63:$N$63</c:f>
              <c:numCache>
                <c:formatCode>#,##0</c:formatCode>
                <c:ptCount val="12"/>
                <c:pt idx="0">
                  <c:v>70665.878172629891</c:v>
                </c:pt>
                <c:pt idx="1">
                  <c:v>70289.725874080061</c:v>
                </c:pt>
                <c:pt idx="2">
                  <c:v>70361.895840709389</c:v>
                </c:pt>
                <c:pt idx="3">
                  <c:v>70425.068143573269</c:v>
                </c:pt>
                <c:pt idx="4">
                  <c:v>70398.76877422331</c:v>
                </c:pt>
                <c:pt idx="5">
                  <c:v>70276.459762372222</c:v>
                </c:pt>
                <c:pt idx="6">
                  <c:v>70554.593020758766</c:v>
                </c:pt>
                <c:pt idx="7">
                  <c:v>71109.015713925241</c:v>
                </c:pt>
                <c:pt idx="8">
                  <c:v>71293.934146848973</c:v>
                </c:pt>
                <c:pt idx="9">
                  <c:v>71258.861022594938</c:v>
                </c:pt>
                <c:pt idx="10">
                  <c:v>71295.776880219652</c:v>
                </c:pt>
                <c:pt idx="11">
                  <c:v>71303.802264118407</c:v>
                </c:pt>
              </c:numCache>
            </c:numRef>
          </c:val>
          <c:smooth val="0"/>
          <c:extLst>
            <c:ext xmlns:c16="http://schemas.microsoft.com/office/drawing/2014/chart" uri="{C3380CC4-5D6E-409C-BE32-E72D297353CC}">
              <c16:uniqueId val="{00000003-0F46-4961-9F52-E8530B993BEA}"/>
            </c:ext>
          </c:extLst>
        </c:ser>
        <c:dLbls>
          <c:showLegendKey val="0"/>
          <c:showVal val="0"/>
          <c:showCatName val="0"/>
          <c:showSerName val="0"/>
          <c:showPercent val="0"/>
          <c:showBubbleSize val="0"/>
        </c:dLbls>
        <c:smooth val="0"/>
        <c:axId val="169634432"/>
        <c:axId val="169648512"/>
      </c:lineChart>
      <c:catAx>
        <c:axId val="169634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648512"/>
        <c:crosses val="autoZero"/>
        <c:auto val="1"/>
        <c:lblAlgn val="ctr"/>
        <c:lblOffset val="100"/>
        <c:noMultiLvlLbl val="0"/>
      </c:catAx>
      <c:valAx>
        <c:axId val="169648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634432"/>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Teacher_need_figures!$C$27:$N$27</c:f>
              <c:numCache>
                <c:formatCode>#,##0</c:formatCode>
                <c:ptCount val="12"/>
                <c:pt idx="0">
                  <c:v>31263.995988909792</c:v>
                </c:pt>
                <c:pt idx="1">
                  <c:v>31800.404380466622</c:v>
                </c:pt>
                <c:pt idx="2">
                  <c:v>32332.887872631094</c:v>
                </c:pt>
                <c:pt idx="3">
                  <c:v>32621.070537865755</c:v>
                </c:pt>
                <c:pt idx="4">
                  <c:v>32924.224090463504</c:v>
                </c:pt>
                <c:pt idx="5">
                  <c:v>33241.002281772227</c:v>
                </c:pt>
                <c:pt idx="6">
                  <c:v>33619.675080212059</c:v>
                </c:pt>
                <c:pt idx="7">
                  <c:v>33841.805741803691</c:v>
                </c:pt>
                <c:pt idx="8">
                  <c:v>33939.843565007715</c:v>
                </c:pt>
                <c:pt idx="9">
                  <c:v>33934.401268075904</c:v>
                </c:pt>
                <c:pt idx="10">
                  <c:v>33872.600336963915</c:v>
                </c:pt>
                <c:pt idx="11">
                  <c:v>33758.753682238399</c:v>
                </c:pt>
              </c:numCache>
            </c:numRef>
          </c:val>
          <c:smooth val="0"/>
          <c:extLst>
            <c:ext xmlns:c16="http://schemas.microsoft.com/office/drawing/2014/chart" uri="{C3380CC4-5D6E-409C-BE32-E72D297353CC}">
              <c16:uniqueId val="{00000000-1129-40B9-A5E9-50109A0233FE}"/>
            </c:ext>
          </c:extLst>
        </c:ser>
        <c:ser>
          <c:idx val="9"/>
          <c:order val="1"/>
          <c:tx>
            <c:v>English</c:v>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Teacher_need_figures!$C$23:$N$23</c:f>
              <c:numCache>
                <c:formatCode>#,##0</c:formatCode>
                <c:ptCount val="12"/>
                <c:pt idx="0">
                  <c:v>30334.045422360272</c:v>
                </c:pt>
                <c:pt idx="1">
                  <c:v>31134.668074249341</c:v>
                </c:pt>
                <c:pt idx="2">
                  <c:v>31550.424741367737</c:v>
                </c:pt>
                <c:pt idx="3">
                  <c:v>31856.821512469844</c:v>
                </c:pt>
                <c:pt idx="4">
                  <c:v>32164.831007781457</c:v>
                </c:pt>
                <c:pt idx="5">
                  <c:v>32472.152387487833</c:v>
                </c:pt>
                <c:pt idx="6">
                  <c:v>32827.766062176583</c:v>
                </c:pt>
                <c:pt idx="7">
                  <c:v>33010.891318920854</c:v>
                </c:pt>
                <c:pt idx="8">
                  <c:v>33087.00301484338</c:v>
                </c:pt>
                <c:pt idx="9">
                  <c:v>33063.748664034851</c:v>
                </c:pt>
                <c:pt idx="10">
                  <c:v>32971.683142454873</c:v>
                </c:pt>
                <c:pt idx="11">
                  <c:v>32821.598064010017</c:v>
                </c:pt>
              </c:numCache>
            </c:numRef>
          </c:val>
          <c:smooth val="0"/>
          <c:extLst>
            <c:ext xmlns:c16="http://schemas.microsoft.com/office/drawing/2014/chart" uri="{C3380CC4-5D6E-409C-BE32-E72D297353CC}">
              <c16:uniqueId val="{00000001-1129-40B9-A5E9-50109A0233FE}"/>
            </c:ext>
          </c:extLst>
        </c:ser>
        <c:ser>
          <c:idx val="14"/>
          <c:order val="2"/>
          <c:tx>
            <c:v>Modern Foreign Languages</c:v>
          </c:tx>
          <c:spPr>
            <a:ln>
              <a:solidFill>
                <a:srgbClr val="00B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Teacher_need_figures!$C$28:$N$28</c:f>
              <c:numCache>
                <c:formatCode>#,##0</c:formatCode>
                <c:ptCount val="12"/>
                <c:pt idx="0">
                  <c:v>14971.501798068488</c:v>
                </c:pt>
                <c:pt idx="1">
                  <c:v>15518.448326772366</c:v>
                </c:pt>
                <c:pt idx="2">
                  <c:v>16134.071227593558</c:v>
                </c:pt>
                <c:pt idx="3">
                  <c:v>16812.756948289185</c:v>
                </c:pt>
                <c:pt idx="4">
                  <c:v>17630.402554431716</c:v>
                </c:pt>
                <c:pt idx="5">
                  <c:v>18578.0202666437</c:v>
                </c:pt>
                <c:pt idx="6">
                  <c:v>19452.46551534941</c:v>
                </c:pt>
                <c:pt idx="7">
                  <c:v>19600.61185016208</c:v>
                </c:pt>
                <c:pt idx="8">
                  <c:v>19598.097876335123</c:v>
                </c:pt>
                <c:pt idx="9">
                  <c:v>19497.170074560905</c:v>
                </c:pt>
                <c:pt idx="10">
                  <c:v>19427.392336902663</c:v>
                </c:pt>
                <c:pt idx="11">
                  <c:v>19438.746388143565</c:v>
                </c:pt>
              </c:numCache>
            </c:numRef>
          </c:val>
          <c:smooth val="0"/>
          <c:extLst>
            <c:ext xmlns:c16="http://schemas.microsoft.com/office/drawing/2014/chart" uri="{C3380CC4-5D6E-409C-BE32-E72D297353CC}">
              <c16:uniqueId val="{00000002-1129-40B9-A5E9-50109A0233FE}"/>
            </c:ext>
          </c:extLst>
        </c:ser>
        <c:ser>
          <c:idx val="2"/>
          <c:order val="3"/>
          <c:tx>
            <c:v>Biology</c:v>
          </c:tx>
          <c:spPr>
            <a:ln>
              <a:solidFill>
                <a:srgbClr val="FFC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Teacher_need_figures!$C$16:$N$16</c:f>
              <c:numCache>
                <c:formatCode>#,##0</c:formatCode>
                <c:ptCount val="12"/>
                <c:pt idx="0">
                  <c:v>12318.6629831685</c:v>
                </c:pt>
                <c:pt idx="1">
                  <c:v>12430.855335898372</c:v>
                </c:pt>
                <c:pt idx="2">
                  <c:v>12542.486134861922</c:v>
                </c:pt>
                <c:pt idx="3">
                  <c:v>12643.543720995483</c:v>
                </c:pt>
                <c:pt idx="4">
                  <c:v>12764.282686945471</c:v>
                </c:pt>
                <c:pt idx="5">
                  <c:v>12906.83001619469</c:v>
                </c:pt>
                <c:pt idx="6">
                  <c:v>13058.37584260101</c:v>
                </c:pt>
                <c:pt idx="7">
                  <c:v>13161.944557002342</c:v>
                </c:pt>
                <c:pt idx="8">
                  <c:v>13230.669606666757</c:v>
                </c:pt>
                <c:pt idx="9">
                  <c:v>13263.185365824398</c:v>
                </c:pt>
                <c:pt idx="10">
                  <c:v>13249.674498322198</c:v>
                </c:pt>
                <c:pt idx="11">
                  <c:v>13195.732739952964</c:v>
                </c:pt>
              </c:numCache>
            </c:numRef>
          </c:val>
          <c:smooth val="0"/>
          <c:extLst>
            <c:ext xmlns:c16="http://schemas.microsoft.com/office/drawing/2014/chart" uri="{C3380CC4-5D6E-409C-BE32-E72D297353CC}">
              <c16:uniqueId val="{00000003-1129-40B9-A5E9-50109A0233FE}"/>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Teacher_need_figures!$C$26:$N$26</c:f>
              <c:numCache>
                <c:formatCode>#,##0</c:formatCode>
                <c:ptCount val="12"/>
                <c:pt idx="0">
                  <c:v>11478.78528353108</c:v>
                </c:pt>
                <c:pt idx="1">
                  <c:v>11581.968504481012</c:v>
                </c:pt>
                <c:pt idx="2">
                  <c:v>11702.36853693105</c:v>
                </c:pt>
                <c:pt idx="3">
                  <c:v>11805.823561991971</c:v>
                </c:pt>
                <c:pt idx="4">
                  <c:v>11905.04406842778</c:v>
                </c:pt>
                <c:pt idx="5">
                  <c:v>11996.878419563651</c:v>
                </c:pt>
                <c:pt idx="6">
                  <c:v>12135.936933273137</c:v>
                </c:pt>
                <c:pt idx="7">
                  <c:v>12213.749991184312</c:v>
                </c:pt>
                <c:pt idx="8">
                  <c:v>12222.822653396182</c:v>
                </c:pt>
                <c:pt idx="9">
                  <c:v>12188.797624594896</c:v>
                </c:pt>
                <c:pt idx="10">
                  <c:v>12171.21671946704</c:v>
                </c:pt>
                <c:pt idx="11">
                  <c:v>12163.2752523872</c:v>
                </c:pt>
              </c:numCache>
            </c:numRef>
          </c:val>
          <c:smooth val="0"/>
          <c:extLst>
            <c:ext xmlns:c16="http://schemas.microsoft.com/office/drawing/2014/chart" uri="{C3380CC4-5D6E-409C-BE32-E72D297353CC}">
              <c16:uniqueId val="{00000004-1129-40B9-A5E9-50109A0233FE}"/>
            </c:ext>
          </c:extLst>
        </c:ser>
        <c:ser>
          <c:idx val="4"/>
          <c:order val="5"/>
          <c:tx>
            <c:v>Chemistry</c:v>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Teacher_need_figures!$C$18:$N$18</c:f>
              <c:numCache>
                <c:formatCode>#,##0</c:formatCode>
                <c:ptCount val="12"/>
                <c:pt idx="0">
                  <c:v>10896.284169016637</c:v>
                </c:pt>
                <c:pt idx="1">
                  <c:v>11002.935829109545</c:v>
                </c:pt>
                <c:pt idx="2">
                  <c:v>11103.173296540359</c:v>
                </c:pt>
                <c:pt idx="3">
                  <c:v>11193.803782266205</c:v>
                </c:pt>
                <c:pt idx="4">
                  <c:v>11305.034003721705</c:v>
                </c:pt>
                <c:pt idx="5">
                  <c:v>11439.711683313926</c:v>
                </c:pt>
                <c:pt idx="6">
                  <c:v>11572.64604515582</c:v>
                </c:pt>
                <c:pt idx="7">
                  <c:v>11664.160076164777</c:v>
                </c:pt>
                <c:pt idx="8">
                  <c:v>11734.231883996306</c:v>
                </c:pt>
                <c:pt idx="9">
                  <c:v>11774.418855501839</c:v>
                </c:pt>
                <c:pt idx="10">
                  <c:v>11759.590645675262</c:v>
                </c:pt>
                <c:pt idx="11">
                  <c:v>11698.057744069438</c:v>
                </c:pt>
              </c:numCache>
            </c:numRef>
          </c:val>
          <c:smooth val="0"/>
          <c:extLst>
            <c:ext xmlns:c16="http://schemas.microsoft.com/office/drawing/2014/chart" uri="{C3380CC4-5D6E-409C-BE32-E72D297353CC}">
              <c16:uniqueId val="{00000005-1129-40B9-A5E9-50109A0233FE}"/>
            </c:ext>
          </c:extLst>
        </c:ser>
        <c:ser>
          <c:idx val="11"/>
          <c:order val="6"/>
          <c:tx>
            <c:v>Geography</c:v>
          </c:tx>
          <c:spPr>
            <a:ln>
              <a:solidFill>
                <a:srgbClr val="00B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Teacher_need_figures!$C$25:$N$25</c:f>
              <c:numCache>
                <c:formatCode>#,##0</c:formatCode>
                <c:ptCount val="12"/>
                <c:pt idx="0">
                  <c:v>10803.079082425373</c:v>
                </c:pt>
                <c:pt idx="1">
                  <c:v>10913.97383137792</c:v>
                </c:pt>
                <c:pt idx="2">
                  <c:v>11040.073537517266</c:v>
                </c:pt>
                <c:pt idx="3">
                  <c:v>11141.835814652577</c:v>
                </c:pt>
                <c:pt idx="4">
                  <c:v>11235.812997276715</c:v>
                </c:pt>
                <c:pt idx="5">
                  <c:v>11318.429527654655</c:v>
                </c:pt>
                <c:pt idx="6">
                  <c:v>11447.571971044999</c:v>
                </c:pt>
                <c:pt idx="7">
                  <c:v>11514.819044284342</c:v>
                </c:pt>
                <c:pt idx="8">
                  <c:v>11515.740365562662</c:v>
                </c:pt>
                <c:pt idx="9">
                  <c:v>11475.359015980936</c:v>
                </c:pt>
                <c:pt idx="10">
                  <c:v>11454.130023559828</c:v>
                </c:pt>
                <c:pt idx="11">
                  <c:v>11445.395839009616</c:v>
                </c:pt>
              </c:numCache>
            </c:numRef>
          </c:val>
          <c:smooth val="0"/>
          <c:extLst>
            <c:ext xmlns:c16="http://schemas.microsoft.com/office/drawing/2014/chart" uri="{C3380CC4-5D6E-409C-BE32-E72D297353CC}">
              <c16:uniqueId val="{00000006-1129-40B9-A5E9-50109A0233FE}"/>
            </c:ext>
          </c:extLst>
        </c:ser>
        <c:ser>
          <c:idx val="18"/>
          <c:order val="7"/>
          <c:tx>
            <c:v>Physics</c:v>
          </c:tx>
          <c:spPr>
            <a:ln>
              <a:solidFill>
                <a:srgbClr val="FFC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Teacher_need_figures!$C$32:$N$32</c:f>
              <c:numCache>
                <c:formatCode>#,##0</c:formatCode>
                <c:ptCount val="12"/>
                <c:pt idx="0">
                  <c:v>10747.938420584598</c:v>
                </c:pt>
                <c:pt idx="1">
                  <c:v>10870.436031513067</c:v>
                </c:pt>
                <c:pt idx="2">
                  <c:v>10983.264747183021</c:v>
                </c:pt>
                <c:pt idx="3">
                  <c:v>11078.439550324605</c:v>
                </c:pt>
                <c:pt idx="4">
                  <c:v>11190.530438833801</c:v>
                </c:pt>
                <c:pt idx="5">
                  <c:v>11321.974429879834</c:v>
                </c:pt>
                <c:pt idx="6">
                  <c:v>11450.519442099525</c:v>
                </c:pt>
                <c:pt idx="7">
                  <c:v>11533.445875248595</c:v>
                </c:pt>
                <c:pt idx="8">
                  <c:v>11596.832841396888</c:v>
                </c:pt>
                <c:pt idx="9">
                  <c:v>11630.671884863244</c:v>
                </c:pt>
                <c:pt idx="10">
                  <c:v>11609.264983572455</c:v>
                </c:pt>
                <c:pt idx="11">
                  <c:v>11541.782789734341</c:v>
                </c:pt>
              </c:numCache>
            </c:numRef>
          </c:val>
          <c:smooth val="0"/>
          <c:extLst>
            <c:ext xmlns:c16="http://schemas.microsoft.com/office/drawing/2014/chart" uri="{C3380CC4-5D6E-409C-BE32-E72D297353CC}">
              <c16:uniqueId val="{00000007-1129-40B9-A5E9-50109A0233FE}"/>
            </c:ext>
          </c:extLst>
        </c:ser>
        <c:ser>
          <c:idx val="6"/>
          <c:order val="8"/>
          <c:tx>
            <c:v>Computing</c:v>
          </c:tx>
          <c:spPr>
            <a:ln>
              <a:solidFill>
                <a:srgbClr val="00B0F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Teacher_need_figures!$C$20:$N$20</c:f>
              <c:numCache>
                <c:formatCode>#,##0</c:formatCode>
                <c:ptCount val="12"/>
                <c:pt idx="0">
                  <c:v>6886.2117410603414</c:v>
                </c:pt>
                <c:pt idx="1">
                  <c:v>6858.8559812158583</c:v>
                </c:pt>
                <c:pt idx="2">
                  <c:v>6873.8926369224801</c:v>
                </c:pt>
                <c:pt idx="3">
                  <c:v>6881.6845608980666</c:v>
                </c:pt>
                <c:pt idx="4">
                  <c:v>6879.4126362278994</c:v>
                </c:pt>
                <c:pt idx="5">
                  <c:v>6866.6071292678153</c:v>
                </c:pt>
                <c:pt idx="6">
                  <c:v>6890.5558365845072</c:v>
                </c:pt>
                <c:pt idx="7">
                  <c:v>6940.5384940871572</c:v>
                </c:pt>
                <c:pt idx="8">
                  <c:v>6958.6896565772204</c:v>
                </c:pt>
                <c:pt idx="9">
                  <c:v>6956.2019716804443</c:v>
                </c:pt>
                <c:pt idx="10">
                  <c:v>6955.3875819762616</c:v>
                </c:pt>
                <c:pt idx="11">
                  <c:v>6947.8634032138971</c:v>
                </c:pt>
              </c:numCache>
            </c:numRef>
          </c:val>
          <c:smooth val="0"/>
          <c:extLst>
            <c:ext xmlns:c16="http://schemas.microsoft.com/office/drawing/2014/chart" uri="{C3380CC4-5D6E-409C-BE32-E72D297353CC}">
              <c16:uniqueId val="{00000008-1129-40B9-A5E9-50109A0233FE}"/>
            </c:ext>
          </c:extLst>
        </c:ser>
        <c:dLbls>
          <c:showLegendKey val="0"/>
          <c:showVal val="0"/>
          <c:showCatName val="0"/>
          <c:showSerName val="0"/>
          <c:showPercent val="0"/>
          <c:showBubbleSize val="0"/>
        </c:dLbls>
        <c:smooth val="0"/>
        <c:axId val="168131200"/>
        <c:axId val="168161664"/>
      </c:lineChart>
      <c:catAx>
        <c:axId val="168131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161664"/>
        <c:crosses val="autoZero"/>
        <c:auto val="1"/>
        <c:lblAlgn val="ctr"/>
        <c:lblOffset val="100"/>
        <c:noMultiLvlLbl val="0"/>
      </c:catAx>
      <c:valAx>
        <c:axId val="168161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13120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Entrant teacher need by phase as calculated by the 2018/19 TSM</a:t>
            </a:r>
          </a:p>
        </c:rich>
      </c:tx>
      <c:layout>
        <c:manualLayout>
          <c:xMode val="edge"/>
          <c:yMode val="edge"/>
          <c:x val="0.16782363748411944"/>
          <c:y val="1.84776879200756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Entrant_need_figures!$C$14:$N$14</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Entrant_need_figures!$C$15:$N$15</c:f>
              <c:numCache>
                <c:formatCode>#,##0</c:formatCode>
                <c:ptCount val="12"/>
                <c:pt idx="0">
                  <c:v>27567.610098506135</c:v>
                </c:pt>
                <c:pt idx="1">
                  <c:v>26168.018656485227</c:v>
                </c:pt>
                <c:pt idx="2">
                  <c:v>25492.593807015372</c:v>
                </c:pt>
                <c:pt idx="3">
                  <c:v>25178.924285860096</c:v>
                </c:pt>
                <c:pt idx="4">
                  <c:v>24958.713813880742</c:v>
                </c:pt>
                <c:pt idx="5">
                  <c:v>24696.100468209581</c:v>
                </c:pt>
                <c:pt idx="6">
                  <c:v>24408.266644993811</c:v>
                </c:pt>
                <c:pt idx="7">
                  <c:v>24950.329485232243</c:v>
                </c:pt>
                <c:pt idx="8">
                  <c:v>25389.224909382261</c:v>
                </c:pt>
                <c:pt idx="9">
                  <c:v>25497.882054938753</c:v>
                </c:pt>
                <c:pt idx="10">
                  <c:v>25396.267516090727</c:v>
                </c:pt>
                <c:pt idx="11">
                  <c:v>25272.066186930482</c:v>
                </c:pt>
              </c:numCache>
            </c:numRef>
          </c:val>
          <c:smooth val="0"/>
          <c:extLst>
            <c:ext xmlns:c16="http://schemas.microsoft.com/office/drawing/2014/chart" uri="{C3380CC4-5D6E-409C-BE32-E72D297353CC}">
              <c16:uniqueId val="{00000000-C5DF-448C-ADB2-8DE3DCB601AC}"/>
            </c:ext>
          </c:extLst>
        </c:ser>
        <c:ser>
          <c:idx val="20"/>
          <c:order val="1"/>
          <c:tx>
            <c:v>Secondary (all subjects)</c:v>
          </c:tx>
          <c:spPr>
            <a:ln>
              <a:solidFill>
                <a:srgbClr val="FF0000"/>
              </a:solidFill>
              <a:prstDash val="sysDot"/>
            </a:ln>
          </c:spPr>
          <c:marker>
            <c:symbol val="none"/>
          </c:marker>
          <c:cat>
            <c:strRef>
              <c:f>Entrant_need_figures!$C$14:$N$14</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Entrant_need_figures!$C$35:$N$35</c:f>
              <c:numCache>
                <c:formatCode>#,##0</c:formatCode>
                <c:ptCount val="12"/>
                <c:pt idx="0">
                  <c:v>25726.914332450637</c:v>
                </c:pt>
                <c:pt idx="1">
                  <c:v>26013.082992911095</c:v>
                </c:pt>
                <c:pt idx="2">
                  <c:v>26773.534628117941</c:v>
                </c:pt>
                <c:pt idx="3">
                  <c:v>26280.056655388191</c:v>
                </c:pt>
                <c:pt idx="4">
                  <c:v>26557.750010090593</c:v>
                </c:pt>
                <c:pt idx="5">
                  <c:v>26839.574362018644</c:v>
                </c:pt>
                <c:pt idx="6">
                  <c:v>27623.063634274476</c:v>
                </c:pt>
                <c:pt idx="7">
                  <c:v>26917.518218870457</c:v>
                </c:pt>
                <c:pt idx="8">
                  <c:v>26106.103394555023</c:v>
                </c:pt>
                <c:pt idx="9">
                  <c:v>25450.928289338994</c:v>
                </c:pt>
                <c:pt idx="10">
                  <c:v>25287.319697064035</c:v>
                </c:pt>
                <c:pt idx="11">
                  <c:v>25073.871126010978</c:v>
                </c:pt>
              </c:numCache>
            </c:numRef>
          </c:val>
          <c:smooth val="0"/>
          <c:extLst>
            <c:ext xmlns:c16="http://schemas.microsoft.com/office/drawing/2014/chart" uri="{C3380CC4-5D6E-409C-BE32-E72D297353CC}">
              <c16:uniqueId val="{00000001-C5DF-448C-ADB2-8DE3DCB601AC}"/>
            </c:ext>
          </c:extLst>
        </c:ser>
        <c:ser>
          <c:idx val="1"/>
          <c:order val="2"/>
          <c:tx>
            <c:strRef>
              <c:f>Teacher_need_figures!$B$62</c:f>
              <c:strCache>
                <c:ptCount val="1"/>
                <c:pt idx="0">
                  <c:v>EBacc </c:v>
                </c:pt>
              </c:strCache>
            </c:strRef>
          </c:tx>
          <c:spPr>
            <a:ln>
              <a:solidFill>
                <a:srgbClr val="00B050"/>
              </a:solidFill>
              <a:prstDash val="sysDash"/>
            </a:ln>
          </c:spPr>
          <c:marker>
            <c:symbol val="none"/>
          </c:marker>
          <c:cat>
            <c:strRef>
              <c:f>Entrant_need_figures!$C$14:$N$14</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Entrant_need_figures!$C$66:$N$66</c:f>
              <c:numCache>
                <c:formatCode>#,##0</c:formatCode>
                <c:ptCount val="12"/>
                <c:pt idx="0">
                  <c:v>19124.198375225387</c:v>
                </c:pt>
                <c:pt idx="1">
                  <c:v>18931.228900726623</c:v>
                </c:pt>
                <c:pt idx="2">
                  <c:v>19132.014832160527</c:v>
                </c:pt>
                <c:pt idx="3">
                  <c:v>18795.01533143967</c:v>
                </c:pt>
                <c:pt idx="4">
                  <c:v>19161.126679834451</c:v>
                </c:pt>
                <c:pt idx="5">
                  <c:v>19543.293079115807</c:v>
                </c:pt>
                <c:pt idx="6">
                  <c:v>19945.370650076988</c:v>
                </c:pt>
                <c:pt idx="7">
                  <c:v>18935.123271671884</c:v>
                </c:pt>
                <c:pt idx="8">
                  <c:v>18424.178994635113</c:v>
                </c:pt>
                <c:pt idx="9">
                  <c:v>17962.635614953913</c:v>
                </c:pt>
                <c:pt idx="10">
                  <c:v>17729.368001485611</c:v>
                </c:pt>
                <c:pt idx="11">
                  <c:v>17538.2638899103</c:v>
                </c:pt>
              </c:numCache>
            </c:numRef>
          </c:val>
          <c:smooth val="0"/>
          <c:extLst>
            <c:ext xmlns:c16="http://schemas.microsoft.com/office/drawing/2014/chart" uri="{C3380CC4-5D6E-409C-BE32-E72D297353CC}">
              <c16:uniqueId val="{00000002-C5DF-448C-ADB2-8DE3DCB601AC}"/>
            </c:ext>
          </c:extLst>
        </c:ser>
        <c:ser>
          <c:idx val="2"/>
          <c:order val="3"/>
          <c:tx>
            <c:strRef>
              <c:f>Entrant_need_figures!$B$67</c:f>
              <c:strCache>
                <c:ptCount val="1"/>
                <c:pt idx="0">
                  <c:v>Non-EBacc</c:v>
                </c:pt>
              </c:strCache>
            </c:strRef>
          </c:tx>
          <c:spPr>
            <a:ln>
              <a:solidFill>
                <a:srgbClr val="FFC000"/>
              </a:solidFill>
            </a:ln>
          </c:spPr>
          <c:marker>
            <c:symbol val="none"/>
          </c:marker>
          <c:cat>
            <c:strRef>
              <c:f>Entrant_need_figures!$C$14:$N$14</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Entrant_need_figures!$C$67:$N$67</c:f>
              <c:numCache>
                <c:formatCode>#,##0</c:formatCode>
                <c:ptCount val="12"/>
                <c:pt idx="0">
                  <c:v>6602.7159572252522</c:v>
                </c:pt>
                <c:pt idx="1">
                  <c:v>7081.8540921844688</c:v>
                </c:pt>
                <c:pt idx="2">
                  <c:v>7641.5197959574207</c:v>
                </c:pt>
                <c:pt idx="3">
                  <c:v>7485.0413239485224</c:v>
                </c:pt>
                <c:pt idx="4">
                  <c:v>7396.623330256145</c:v>
                </c:pt>
                <c:pt idx="5">
                  <c:v>7296.2812829028389</c:v>
                </c:pt>
                <c:pt idx="6">
                  <c:v>7677.6929841974888</c:v>
                </c:pt>
                <c:pt idx="7">
                  <c:v>7982.3949471985707</c:v>
                </c:pt>
                <c:pt idx="8">
                  <c:v>7681.9243999199134</c:v>
                </c:pt>
                <c:pt idx="9">
                  <c:v>7488.2926743850785</c:v>
                </c:pt>
                <c:pt idx="10">
                  <c:v>7557.9516955784256</c:v>
                </c:pt>
                <c:pt idx="11">
                  <c:v>7535.6072361006763</c:v>
                </c:pt>
              </c:numCache>
            </c:numRef>
          </c:val>
          <c:smooth val="0"/>
          <c:extLst>
            <c:ext xmlns:c16="http://schemas.microsoft.com/office/drawing/2014/chart" uri="{C3380CC4-5D6E-409C-BE32-E72D297353CC}">
              <c16:uniqueId val="{00000003-C5DF-448C-ADB2-8DE3DCB601AC}"/>
            </c:ext>
          </c:extLst>
        </c:ser>
        <c:dLbls>
          <c:showLegendKey val="0"/>
          <c:showVal val="0"/>
          <c:showCatName val="0"/>
          <c:showSerName val="0"/>
          <c:showPercent val="0"/>
          <c:showBubbleSize val="0"/>
        </c:dLbls>
        <c:smooth val="0"/>
        <c:axId val="168277504"/>
        <c:axId val="168279040"/>
      </c:lineChart>
      <c:catAx>
        <c:axId val="16827750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8279040"/>
        <c:crosses val="autoZero"/>
        <c:auto val="1"/>
        <c:lblAlgn val="ctr"/>
        <c:lblOffset val="100"/>
        <c:noMultiLvlLbl val="0"/>
      </c:catAx>
      <c:valAx>
        <c:axId val="168279040"/>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277504"/>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Entrant 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Entrant_need_figures!$C$28:$N$28</c:f>
              <c:numCache>
                <c:formatCode>#,##0</c:formatCode>
                <c:ptCount val="12"/>
                <c:pt idx="0">
                  <c:v>4773.4029155564294</c:v>
                </c:pt>
                <c:pt idx="1">
                  <c:v>4492.3907511657389</c:v>
                </c:pt>
                <c:pt idx="2">
                  <c:v>4534.1002153363606</c:v>
                </c:pt>
                <c:pt idx="3">
                  <c:v>4327.5293604006165</c:v>
                </c:pt>
                <c:pt idx="4">
                  <c:v>4353.1431682321218</c:v>
                </c:pt>
                <c:pt idx="5">
                  <c:v>4382.430688150007</c:v>
                </c:pt>
                <c:pt idx="6">
                  <c:v>4463.84574483494</c:v>
                </c:pt>
                <c:pt idx="7">
                  <c:v>4341.0321890949162</c:v>
                </c:pt>
                <c:pt idx="8">
                  <c:v>4232.0745067582511</c:v>
                </c:pt>
                <c:pt idx="9">
                  <c:v>4129.9212799682773</c:v>
                </c:pt>
                <c:pt idx="10">
                  <c:v>4063.4202125427619</c:v>
                </c:pt>
                <c:pt idx="11">
                  <c:v>3996.4936402218709</c:v>
                </c:pt>
              </c:numCache>
            </c:numRef>
          </c:val>
          <c:smooth val="0"/>
          <c:extLst>
            <c:ext xmlns:c16="http://schemas.microsoft.com/office/drawing/2014/chart" uri="{C3380CC4-5D6E-409C-BE32-E72D297353CC}">
              <c16:uniqueId val="{00000000-3C9A-462E-8E86-7344DDB0DA2A}"/>
            </c:ext>
          </c:extLst>
        </c:ser>
        <c:ser>
          <c:idx val="9"/>
          <c:order val="1"/>
          <c:tx>
            <c:v>English</c:v>
          </c:tx>
          <c:spPr>
            <a:ln>
              <a:solidFill>
                <a:srgbClr val="FF0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Entrant_need_figures!$C$24:$N$24</c:f>
              <c:numCache>
                <c:formatCode>#,##0</c:formatCode>
                <c:ptCount val="12"/>
                <c:pt idx="0">
                  <c:v>4039.537608063712</c:v>
                </c:pt>
                <c:pt idx="1">
                  <c:v>4228.7636458328525</c:v>
                </c:pt>
                <c:pt idx="2">
                  <c:v>3912.914128603627</c:v>
                </c:pt>
                <c:pt idx="3">
                  <c:v>3858.6056594459533</c:v>
                </c:pt>
                <c:pt idx="4">
                  <c:v>3886.4354044751385</c:v>
                </c:pt>
                <c:pt idx="5">
                  <c:v>3915.6694020272062</c:v>
                </c:pt>
                <c:pt idx="6">
                  <c:v>3995.8114014758789</c:v>
                </c:pt>
                <c:pt idx="7">
                  <c:v>3866.479170970556</c:v>
                </c:pt>
                <c:pt idx="8">
                  <c:v>3782.7922950591205</c:v>
                </c:pt>
                <c:pt idx="9">
                  <c:v>3695.2986739401767</c:v>
                </c:pt>
                <c:pt idx="10">
                  <c:v>3627.1389424051795</c:v>
                </c:pt>
                <c:pt idx="11">
                  <c:v>3562.2042407503127</c:v>
                </c:pt>
              </c:numCache>
            </c:numRef>
          </c:val>
          <c:smooth val="0"/>
          <c:extLst>
            <c:ext xmlns:c16="http://schemas.microsoft.com/office/drawing/2014/chart" uri="{C3380CC4-5D6E-409C-BE32-E72D297353CC}">
              <c16:uniqueId val="{00000001-3C9A-462E-8E86-7344DDB0DA2A}"/>
            </c:ext>
          </c:extLst>
        </c:ser>
        <c:ser>
          <c:idx val="14"/>
          <c:order val="2"/>
          <c:tx>
            <c:v>Modern Foreign Languages</c:v>
          </c:tx>
          <c:spPr>
            <a:ln>
              <a:solidFill>
                <a:srgbClr val="00B05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Entrant_need_figures!$C$29:$N$29</c:f>
              <c:numCache>
                <c:formatCode>#,##0</c:formatCode>
                <c:ptCount val="12"/>
                <c:pt idx="0">
                  <c:v>1858.4175746536107</c:v>
                </c:pt>
                <c:pt idx="1">
                  <c:v>2277.0468819951711</c:v>
                </c:pt>
                <c:pt idx="2">
                  <c:v>2397.1091773555454</c:v>
                </c:pt>
                <c:pt idx="3">
                  <c:v>2539.1599817656106</c:v>
                </c:pt>
                <c:pt idx="4">
                  <c:v>2751.9042275669963</c:v>
                </c:pt>
                <c:pt idx="5">
                  <c:v>2970.6931857086374</c:v>
                </c:pt>
                <c:pt idx="6">
                  <c:v>3003.4851120198118</c:v>
                </c:pt>
                <c:pt idx="7">
                  <c:v>2384.0245514652083</c:v>
                </c:pt>
                <c:pt idx="8">
                  <c:v>2245.4563343924387</c:v>
                </c:pt>
                <c:pt idx="9">
                  <c:v>2141.5954615709479</c:v>
                </c:pt>
                <c:pt idx="10">
                  <c:v>2154.7719093476026</c:v>
                </c:pt>
                <c:pt idx="11">
                  <c:v>2221.8326440205547</c:v>
                </c:pt>
              </c:numCache>
            </c:numRef>
          </c:val>
          <c:smooth val="0"/>
          <c:extLst>
            <c:ext xmlns:c16="http://schemas.microsoft.com/office/drawing/2014/chart" uri="{C3380CC4-5D6E-409C-BE32-E72D297353CC}">
              <c16:uniqueId val="{00000002-3C9A-462E-8E86-7344DDB0DA2A}"/>
            </c:ext>
          </c:extLst>
        </c:ser>
        <c:ser>
          <c:idx val="2"/>
          <c:order val="3"/>
          <c:tx>
            <c:v>Biology</c:v>
          </c:tx>
          <c:spPr>
            <a:ln>
              <a:solidFill>
                <a:srgbClr val="FFC000"/>
              </a:solidFill>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Entrant_need_figures!$C$17:$N$17</c:f>
              <c:numCache>
                <c:formatCode>#,##0</c:formatCode>
                <c:ptCount val="12"/>
                <c:pt idx="0">
                  <c:v>1754.8582177378757</c:v>
                </c:pt>
                <c:pt idx="1">
                  <c:v>1564.951730038006</c:v>
                </c:pt>
                <c:pt idx="2">
                  <c:v>1616.5168720308891</c:v>
                </c:pt>
                <c:pt idx="3">
                  <c:v>1589.631948099769</c:v>
                </c:pt>
                <c:pt idx="4">
                  <c:v>1623.8400396573034</c:v>
                </c:pt>
                <c:pt idx="5">
                  <c:v>1663.0354761250419</c:v>
                </c:pt>
                <c:pt idx="6">
                  <c:v>1692.5197067368224</c:v>
                </c:pt>
                <c:pt idx="7">
                  <c:v>1666.9339203879388</c:v>
                </c:pt>
                <c:pt idx="8">
                  <c:v>1647.7816945449745</c:v>
                </c:pt>
                <c:pt idx="9">
                  <c:v>1622.5487612370466</c:v>
                </c:pt>
                <c:pt idx="10">
                  <c:v>1582.7788414961647</c:v>
                </c:pt>
                <c:pt idx="11">
                  <c:v>1542.4347347474536</c:v>
                </c:pt>
              </c:numCache>
            </c:numRef>
          </c:val>
          <c:smooth val="0"/>
          <c:extLst>
            <c:ext xmlns:c16="http://schemas.microsoft.com/office/drawing/2014/chart" uri="{C3380CC4-5D6E-409C-BE32-E72D297353CC}">
              <c16:uniqueId val="{00000003-3C9A-462E-8E86-7344DDB0DA2A}"/>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Entrant_need_figures!$C$27:$N$27</c:f>
              <c:numCache>
                <c:formatCode>#,##0</c:formatCode>
                <c:ptCount val="12"/>
                <c:pt idx="0">
                  <c:v>1364.77471129794</c:v>
                </c:pt>
                <c:pt idx="1">
                  <c:v>1349.6959609004903</c:v>
                </c:pt>
                <c:pt idx="2">
                  <c:v>1429.9252576724452</c:v>
                </c:pt>
                <c:pt idx="3">
                  <c:v>1382.3160766202275</c:v>
                </c:pt>
                <c:pt idx="4">
                  <c:v>1392.7375627500296</c:v>
                </c:pt>
                <c:pt idx="5">
                  <c:v>1399.8785307392218</c:v>
                </c:pt>
                <c:pt idx="6">
                  <c:v>1460.0325367086323</c:v>
                </c:pt>
                <c:pt idx="7">
                  <c:v>1418.9902742584986</c:v>
                </c:pt>
                <c:pt idx="8">
                  <c:v>1363.1619159777106</c:v>
                </c:pt>
                <c:pt idx="9">
                  <c:v>1324.3252678599069</c:v>
                </c:pt>
                <c:pt idx="10">
                  <c:v>1338.8948439444662</c:v>
                </c:pt>
                <c:pt idx="11">
                  <c:v>1348.5708602597178</c:v>
                </c:pt>
              </c:numCache>
            </c:numRef>
          </c:val>
          <c:smooth val="0"/>
          <c:extLst>
            <c:ext xmlns:c16="http://schemas.microsoft.com/office/drawing/2014/chart" uri="{C3380CC4-5D6E-409C-BE32-E72D297353CC}">
              <c16:uniqueId val="{00000004-3C9A-462E-8E86-7344DDB0DA2A}"/>
            </c:ext>
          </c:extLst>
        </c:ser>
        <c:ser>
          <c:idx val="4"/>
          <c:order val="5"/>
          <c:tx>
            <c:v>Chemistry</c:v>
          </c:tx>
          <c:spPr>
            <a:ln>
              <a:solidFill>
                <a:srgbClr val="FF0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Entrant_need_figures!$C$19:$N$19</c:f>
              <c:numCache>
                <c:formatCode>#,##0</c:formatCode>
                <c:ptCount val="12"/>
                <c:pt idx="0">
                  <c:v>1591.8760582329605</c:v>
                </c:pt>
                <c:pt idx="1">
                  <c:v>1438.5478249984121</c:v>
                </c:pt>
                <c:pt idx="2">
                  <c:v>1446.9078103826337</c:v>
                </c:pt>
                <c:pt idx="3">
                  <c:v>1447.6081676110557</c:v>
                </c:pt>
                <c:pt idx="4">
                  <c:v>1476.8650240167299</c:v>
                </c:pt>
                <c:pt idx="5">
                  <c:v>1511.6029073553927</c:v>
                </c:pt>
                <c:pt idx="6">
                  <c:v>1524.6538860757134</c:v>
                </c:pt>
                <c:pt idx="7">
                  <c:v>1498.4915438938874</c:v>
                </c:pt>
                <c:pt idx="8">
                  <c:v>1486.7257676817808</c:v>
                </c:pt>
                <c:pt idx="9">
                  <c:v>1464.134419689306</c:v>
                </c:pt>
                <c:pt idx="10">
                  <c:v>1413.2582238277173</c:v>
                </c:pt>
                <c:pt idx="11">
                  <c:v>1363.8132114839525</c:v>
                </c:pt>
              </c:numCache>
            </c:numRef>
          </c:val>
          <c:smooth val="0"/>
          <c:extLst>
            <c:ext xmlns:c16="http://schemas.microsoft.com/office/drawing/2014/chart" uri="{C3380CC4-5D6E-409C-BE32-E72D297353CC}">
              <c16:uniqueId val="{00000005-3C9A-462E-8E86-7344DDB0DA2A}"/>
            </c:ext>
          </c:extLst>
        </c:ser>
        <c:ser>
          <c:idx val="11"/>
          <c:order val="6"/>
          <c:tx>
            <c:v>Geography</c:v>
          </c:tx>
          <c:spPr>
            <a:ln>
              <a:solidFill>
                <a:srgbClr val="00B05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Entrant_need_figures!$C$26:$N$26</c:f>
              <c:numCache>
                <c:formatCode>#,##0</c:formatCode>
                <c:ptCount val="12"/>
                <c:pt idx="0">
                  <c:v>1291.2464891690154</c:v>
                </c:pt>
                <c:pt idx="1">
                  <c:v>1278.9675184822354</c:v>
                </c:pt>
                <c:pt idx="2">
                  <c:v>1357.3808848553588</c:v>
                </c:pt>
                <c:pt idx="3">
                  <c:v>1305.2374475649265</c:v>
                </c:pt>
                <c:pt idx="4">
                  <c:v>1312.7239577484927</c:v>
                </c:pt>
                <c:pt idx="5">
                  <c:v>1316.0972540517175</c:v>
                </c:pt>
                <c:pt idx="6">
                  <c:v>1375.2085717267385</c:v>
                </c:pt>
                <c:pt idx="7">
                  <c:v>1333.0186534144525</c:v>
                </c:pt>
                <c:pt idx="8">
                  <c:v>1278.8757379091594</c:v>
                </c:pt>
                <c:pt idx="9">
                  <c:v>1241.2699804477099</c:v>
                </c:pt>
                <c:pt idx="10">
                  <c:v>1258.0386979609664</c:v>
                </c:pt>
                <c:pt idx="11">
                  <c:v>1270.2383872782209</c:v>
                </c:pt>
              </c:numCache>
            </c:numRef>
          </c:val>
          <c:smooth val="0"/>
          <c:extLst>
            <c:ext xmlns:c16="http://schemas.microsoft.com/office/drawing/2014/chart" uri="{C3380CC4-5D6E-409C-BE32-E72D297353CC}">
              <c16:uniqueId val="{00000006-3C9A-462E-8E86-7344DDB0DA2A}"/>
            </c:ext>
          </c:extLst>
        </c:ser>
        <c:ser>
          <c:idx val="18"/>
          <c:order val="7"/>
          <c:tx>
            <c:v>Physics</c:v>
          </c:tx>
          <c:spPr>
            <a:ln>
              <a:solidFill>
                <a:srgbClr val="FFC00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Entrant_need_figures!$C$33:$N$33</c:f>
              <c:numCache>
                <c:formatCode>#,##0</c:formatCode>
                <c:ptCount val="12"/>
                <c:pt idx="0">
                  <c:v>1687.9302005483253</c:v>
                </c:pt>
                <c:pt idx="1">
                  <c:v>1465.611605238164</c:v>
                </c:pt>
                <c:pt idx="2">
                  <c:v>1550.8624100000545</c:v>
                </c:pt>
                <c:pt idx="3">
                  <c:v>1462.6053123830898</c:v>
                </c:pt>
                <c:pt idx="4">
                  <c:v>1486.8087909073329</c:v>
                </c:pt>
                <c:pt idx="5">
                  <c:v>1515.3445734819404</c:v>
                </c:pt>
                <c:pt idx="6">
                  <c:v>1524.5769730816937</c:v>
                </c:pt>
                <c:pt idx="7">
                  <c:v>1491.617316486821</c:v>
                </c:pt>
                <c:pt idx="8">
                  <c:v>1478.6931368504693</c:v>
                </c:pt>
                <c:pt idx="9">
                  <c:v>1453.9553003043052</c:v>
                </c:pt>
                <c:pt idx="10">
                  <c:v>1400.6936367708263</c:v>
                </c:pt>
                <c:pt idx="11">
                  <c:v>1349.8794392516111</c:v>
                </c:pt>
              </c:numCache>
            </c:numRef>
          </c:val>
          <c:smooth val="0"/>
          <c:extLst>
            <c:ext xmlns:c16="http://schemas.microsoft.com/office/drawing/2014/chart" uri="{C3380CC4-5D6E-409C-BE32-E72D297353CC}">
              <c16:uniqueId val="{00000007-3C9A-462E-8E86-7344DDB0DA2A}"/>
            </c:ext>
          </c:extLst>
        </c:ser>
        <c:ser>
          <c:idx val="6"/>
          <c:order val="8"/>
          <c:tx>
            <c:v>Computing</c:v>
          </c:tx>
          <c:spPr>
            <a:ln>
              <a:solidFill>
                <a:srgbClr val="00B0F0"/>
              </a:solidFill>
              <a:prstDash val="sysDot"/>
            </a:ln>
          </c:spPr>
          <c:marker>
            <c:symbol val="none"/>
          </c:marker>
          <c:cat>
            <c:strRef>
              <c:f>Teacher_need_figures!$C$13:$N$13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Entrant_need_figures!$C$21:$N$21</c:f>
              <c:numCache>
                <c:formatCode>#,##0</c:formatCode>
                <c:ptCount val="12"/>
                <c:pt idx="0">
                  <c:v>726.8391924291152</c:v>
                </c:pt>
                <c:pt idx="1">
                  <c:v>798.98281434623186</c:v>
                </c:pt>
                <c:pt idx="2">
                  <c:v>849.5530840155069</c:v>
                </c:pt>
                <c:pt idx="3">
                  <c:v>844.93124682941277</c:v>
                </c:pt>
                <c:pt idx="4">
                  <c:v>839.10513198124454</c:v>
                </c:pt>
                <c:pt idx="5">
                  <c:v>830.43403446102116</c:v>
                </c:pt>
                <c:pt idx="6">
                  <c:v>866.20808629718908</c:v>
                </c:pt>
                <c:pt idx="7">
                  <c:v>895.77096529902212</c:v>
                </c:pt>
                <c:pt idx="8">
                  <c:v>871.30663630882373</c:v>
                </c:pt>
                <c:pt idx="9">
                  <c:v>853.19202001778842</c:v>
                </c:pt>
                <c:pt idx="10">
                  <c:v>854.05866612700709</c:v>
                </c:pt>
                <c:pt idx="11">
                  <c:v>846.76230438501386</c:v>
                </c:pt>
              </c:numCache>
            </c:numRef>
          </c:val>
          <c:smooth val="0"/>
          <c:extLst>
            <c:ext xmlns:c16="http://schemas.microsoft.com/office/drawing/2014/chart" uri="{C3380CC4-5D6E-409C-BE32-E72D297353CC}">
              <c16:uniqueId val="{00000008-3C9A-462E-8E86-7344DDB0DA2A}"/>
            </c:ext>
          </c:extLst>
        </c:ser>
        <c:dLbls>
          <c:showLegendKey val="0"/>
          <c:showVal val="0"/>
          <c:showCatName val="0"/>
          <c:showSerName val="0"/>
          <c:showPercent val="0"/>
          <c:showBubbleSize val="0"/>
        </c:dLbls>
        <c:smooth val="0"/>
        <c:axId val="169735680"/>
        <c:axId val="169737216"/>
      </c:lineChart>
      <c:catAx>
        <c:axId val="1697356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37216"/>
        <c:crosses val="autoZero"/>
        <c:auto val="1"/>
        <c:lblAlgn val="ctr"/>
        <c:lblOffset val="100"/>
        <c:noMultiLvlLbl val="0"/>
      </c:catAx>
      <c:valAx>
        <c:axId val="1697372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73568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4433698505073"/>
          <c:h val="0.7654531418866759"/>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Wastage_over_time!$C$34:$N$34</c:f>
              <c:numCache>
                <c:formatCode>#,##0</c:formatCode>
                <c:ptCount val="12"/>
                <c:pt idx="0">
                  <c:v>37943.043454087587</c:v>
                </c:pt>
                <c:pt idx="1">
                  <c:v>38323.647879968754</c:v>
                </c:pt>
                <c:pt idx="2">
                  <c:v>39603.920580984275</c:v>
                </c:pt>
                <c:pt idx="3">
                  <c:v>40143.404261956333</c:v>
                </c:pt>
                <c:pt idx="4">
                  <c:v>40442.525269732592</c:v>
                </c:pt>
                <c:pt idx="5">
                  <c:v>40710.689431089377</c:v>
                </c:pt>
                <c:pt idx="6">
                  <c:v>40948.282885699096</c:v>
                </c:pt>
                <c:pt idx="7">
                  <c:v>41203.742988912425</c:v>
                </c:pt>
                <c:pt idx="8">
                  <c:v>41395.187582480903</c:v>
                </c:pt>
                <c:pt idx="9">
                  <c:v>41519.25463973415</c:v>
                </c:pt>
                <c:pt idx="10">
                  <c:v>41570.204007329572</c:v>
                </c:pt>
                <c:pt idx="11">
                  <c:v>41586.393215473923</c:v>
                </c:pt>
              </c:numCache>
            </c:numRef>
          </c:val>
          <c:smooth val="0"/>
          <c:extLst>
            <c:ext xmlns:c16="http://schemas.microsoft.com/office/drawing/2014/chart" uri="{C3380CC4-5D6E-409C-BE32-E72D297353CC}">
              <c16:uniqueId val="{00000000-7573-4FF0-8178-42D3163573B0}"/>
            </c:ext>
          </c:extLst>
        </c:ser>
        <c:ser>
          <c:idx val="0"/>
          <c:order val="1"/>
          <c:tx>
            <c:strRef>
              <c:f>Wastage_over_time!$B$14</c:f>
              <c:strCache>
                <c:ptCount val="1"/>
                <c:pt idx="0">
                  <c:v>Primary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Wastage_over_time!$C$14:$N$14</c:f>
              <c:numCache>
                <c:formatCode>#,##0</c:formatCode>
                <c:ptCount val="12"/>
                <c:pt idx="0">
                  <c:v>19560.892471246716</c:v>
                </c:pt>
                <c:pt idx="1">
                  <c:v>19783.496295357807</c:v>
                </c:pt>
                <c:pt idx="2">
                  <c:v>20286.419929483258</c:v>
                </c:pt>
                <c:pt idx="3">
                  <c:v>20491.711798712782</c:v>
                </c:pt>
                <c:pt idx="4">
                  <c:v>20545.870717475424</c:v>
                </c:pt>
                <c:pt idx="5">
                  <c:v>20576.362910991291</c:v>
                </c:pt>
                <c:pt idx="6">
                  <c:v>20580.829067717696</c:v>
                </c:pt>
                <c:pt idx="7">
                  <c:v>20558.969800268515</c:v>
                </c:pt>
                <c:pt idx="8">
                  <c:v>20591.226262430369</c:v>
                </c:pt>
                <c:pt idx="9">
                  <c:v>20661.181428673921</c:v>
                </c:pt>
                <c:pt idx="10">
                  <c:v>20733.166143527997</c:v>
                </c:pt>
                <c:pt idx="11">
                  <c:v>20787.06908374359</c:v>
                </c:pt>
              </c:numCache>
            </c:numRef>
          </c:val>
          <c:smooth val="0"/>
          <c:extLst>
            <c:ext xmlns:c16="http://schemas.microsoft.com/office/drawing/2014/chart" uri="{C3380CC4-5D6E-409C-BE32-E72D297353CC}">
              <c16:uniqueId val="{00000001-7573-4FF0-8178-42D3163573B0}"/>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6328287086"/>
          <c:y val="2.0249384714761124E-2"/>
          <c:w val="0.22502075431243654"/>
          <c:h val="0.88162124594238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739472783293396"/>
          <c:h val="0.7654531418866759"/>
        </c:manualLayout>
      </c:layout>
      <c:lineChart>
        <c:grouping val="standard"/>
        <c:varyColors val="0"/>
        <c:ser>
          <c:idx val="1"/>
          <c:order val="0"/>
          <c:tx>
            <c:strRef>
              <c:f>Wastage_over_time!$B$15</c:f>
              <c:strCache>
                <c:ptCount val="1"/>
                <c:pt idx="0">
                  <c:v>Art &amp; Design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Wastage_over_time!$C$15:$N$15</c:f>
              <c:numCache>
                <c:formatCode>#,##0</c:formatCode>
                <c:ptCount val="12"/>
                <c:pt idx="0">
                  <c:v>655.43402618677703</c:v>
                </c:pt>
                <c:pt idx="1">
                  <c:v>651.31641724489111</c:v>
                </c:pt>
                <c:pt idx="2">
                  <c:v>668.20157554700029</c:v>
                </c:pt>
                <c:pt idx="3">
                  <c:v>679.04290117416315</c:v>
                </c:pt>
                <c:pt idx="4">
                  <c:v>683.41759447921231</c:v>
                </c:pt>
                <c:pt idx="5">
                  <c:v>685.24787181215265</c:v>
                </c:pt>
                <c:pt idx="6">
                  <c:v>684.58459218049666</c:v>
                </c:pt>
                <c:pt idx="7">
                  <c:v>688.21962759234168</c:v>
                </c:pt>
                <c:pt idx="8">
                  <c:v>694.15283585544216</c:v>
                </c:pt>
                <c:pt idx="9">
                  <c:v>695.1178977220934</c:v>
                </c:pt>
                <c:pt idx="10">
                  <c:v>693.38096833403597</c:v>
                </c:pt>
                <c:pt idx="11">
                  <c:v>693.57029492443667</c:v>
                </c:pt>
              </c:numCache>
            </c:numRef>
          </c:val>
          <c:smooth val="0"/>
          <c:extLst>
            <c:ext xmlns:c16="http://schemas.microsoft.com/office/drawing/2014/chart" uri="{C3380CC4-5D6E-409C-BE32-E72D297353CC}">
              <c16:uniqueId val="{00000000-6368-4C24-809D-849768028A3B}"/>
            </c:ext>
          </c:extLst>
        </c:ser>
        <c:ser>
          <c:idx val="2"/>
          <c:order val="1"/>
          <c:tx>
            <c:strRef>
              <c:f>Wastage_over_time!$B$16</c:f>
              <c:strCache>
                <c:ptCount val="1"/>
                <c:pt idx="0">
                  <c:v>Biology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Wastage_over_time!$C$16:$N$16</c:f>
              <c:numCache>
                <c:formatCode>#,##0</c:formatCode>
                <c:ptCount val="12"/>
                <c:pt idx="0">
                  <c:v>1139.8556086692879</c:v>
                </c:pt>
                <c:pt idx="1">
                  <c:v>1178.248711625296</c:v>
                </c:pt>
                <c:pt idx="2">
                  <c:v>1224.5710898156481</c:v>
                </c:pt>
                <c:pt idx="3">
                  <c:v>1245.9622063092681</c:v>
                </c:pt>
                <c:pt idx="4">
                  <c:v>1260.7094232642398</c:v>
                </c:pt>
                <c:pt idx="5">
                  <c:v>1276.4553700892593</c:v>
                </c:pt>
                <c:pt idx="6">
                  <c:v>1293.7048921778871</c:v>
                </c:pt>
                <c:pt idx="7">
                  <c:v>1311.2023567712185</c:v>
                </c:pt>
                <c:pt idx="8">
                  <c:v>1322.6925701280679</c:v>
                </c:pt>
                <c:pt idx="9">
                  <c:v>1329.9565133217857</c:v>
                </c:pt>
                <c:pt idx="10">
                  <c:v>1333.0267194712176</c:v>
                </c:pt>
                <c:pt idx="11">
                  <c:v>1330.9388907193033</c:v>
                </c:pt>
              </c:numCache>
            </c:numRef>
          </c:val>
          <c:smooth val="0"/>
          <c:extLst>
            <c:ext xmlns:c16="http://schemas.microsoft.com/office/drawing/2014/chart" uri="{C3380CC4-5D6E-409C-BE32-E72D297353CC}">
              <c16:uniqueId val="{00000001-6368-4C24-809D-849768028A3B}"/>
            </c:ext>
          </c:extLst>
        </c:ser>
        <c:ser>
          <c:idx val="3"/>
          <c:order val="2"/>
          <c:tx>
            <c:strRef>
              <c:f>Wastage_over_time!$B$17</c:f>
              <c:strCache>
                <c:ptCount val="1"/>
                <c:pt idx="0">
                  <c:v>Business Studies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Wastage_over_time!$C$17:$N$17</c:f>
              <c:numCache>
                <c:formatCode>#,##0</c:formatCode>
                <c:ptCount val="12"/>
                <c:pt idx="0">
                  <c:v>321.19525066338622</c:v>
                </c:pt>
                <c:pt idx="1">
                  <c:v>306.2327050016064</c:v>
                </c:pt>
                <c:pt idx="2">
                  <c:v>309.32154807738698</c:v>
                </c:pt>
                <c:pt idx="3">
                  <c:v>306.79134665270146</c:v>
                </c:pt>
                <c:pt idx="4">
                  <c:v>307.87640587627186</c:v>
                </c:pt>
                <c:pt idx="5">
                  <c:v>310.41121387944622</c:v>
                </c:pt>
                <c:pt idx="6">
                  <c:v>314.8423648346303</c:v>
                </c:pt>
                <c:pt idx="7">
                  <c:v>319.38357976122097</c:v>
                </c:pt>
                <c:pt idx="8">
                  <c:v>325.67914703129668</c:v>
                </c:pt>
                <c:pt idx="9">
                  <c:v>331.56488836281915</c:v>
                </c:pt>
                <c:pt idx="10">
                  <c:v>336.67729183985966</c:v>
                </c:pt>
                <c:pt idx="11">
                  <c:v>338.68593122039448</c:v>
                </c:pt>
              </c:numCache>
            </c:numRef>
          </c:val>
          <c:smooth val="0"/>
          <c:extLst>
            <c:ext xmlns:c16="http://schemas.microsoft.com/office/drawing/2014/chart" uri="{C3380CC4-5D6E-409C-BE32-E72D297353CC}">
              <c16:uniqueId val="{00000002-6368-4C24-809D-849768028A3B}"/>
            </c:ext>
          </c:extLst>
        </c:ser>
        <c:ser>
          <c:idx val="4"/>
          <c:order val="3"/>
          <c:tx>
            <c:strRef>
              <c:f>Wastage_over_time!$B$18</c:f>
              <c:strCache>
                <c:ptCount val="1"/>
                <c:pt idx="0">
                  <c:v>Chemistry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Wastage_over_time!$C$18:$N$18</c:f>
              <c:numCache>
                <c:formatCode>#,##0</c:formatCode>
                <c:ptCount val="12"/>
                <c:pt idx="0">
                  <c:v>1025.1473840688291</c:v>
                </c:pt>
                <c:pt idx="1">
                  <c:v>1052.2229277551162</c:v>
                </c:pt>
                <c:pt idx="2">
                  <c:v>1095.9550680956904</c:v>
                </c:pt>
                <c:pt idx="3">
                  <c:v>1110.7689893582015</c:v>
                </c:pt>
                <c:pt idx="4">
                  <c:v>1123.4073926436529</c:v>
                </c:pt>
                <c:pt idx="5">
                  <c:v>1137.3871384986955</c:v>
                </c:pt>
                <c:pt idx="6">
                  <c:v>1153.2359509622536</c:v>
                </c:pt>
                <c:pt idx="7">
                  <c:v>1168.2291355142584</c:v>
                </c:pt>
                <c:pt idx="8">
                  <c:v>1178.0336884052313</c:v>
                </c:pt>
                <c:pt idx="9">
                  <c:v>1185.1847951506656</c:v>
                </c:pt>
                <c:pt idx="10">
                  <c:v>1188.8558592016952</c:v>
                </c:pt>
                <c:pt idx="11">
                  <c:v>1186.3135006074388</c:v>
                </c:pt>
              </c:numCache>
            </c:numRef>
          </c:val>
          <c:smooth val="0"/>
          <c:extLst>
            <c:ext xmlns:c16="http://schemas.microsoft.com/office/drawing/2014/chart" uri="{C3380CC4-5D6E-409C-BE32-E72D297353CC}">
              <c16:uniqueId val="{00000003-6368-4C24-809D-849768028A3B}"/>
            </c:ext>
          </c:extLst>
        </c:ser>
        <c:ser>
          <c:idx val="5"/>
          <c:order val="4"/>
          <c:tx>
            <c:strRef>
              <c:f>Wastage_over_time!$B$19</c:f>
              <c:strCache>
                <c:ptCount val="1"/>
                <c:pt idx="0">
                  <c:v>Classics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Wastage_over_time!$C$19:$N$19</c:f>
              <c:numCache>
                <c:formatCode>#,##0</c:formatCode>
                <c:ptCount val="12"/>
                <c:pt idx="0">
                  <c:v>25.974288086439117</c:v>
                </c:pt>
                <c:pt idx="1">
                  <c:v>25.392430454229206</c:v>
                </c:pt>
                <c:pt idx="2">
                  <c:v>26.075832798415096</c:v>
                </c:pt>
                <c:pt idx="3">
                  <c:v>26.25914729432667</c:v>
                </c:pt>
                <c:pt idx="4">
                  <c:v>26.5675158549885</c:v>
                </c:pt>
                <c:pt idx="5">
                  <c:v>26.902090820892919</c:v>
                </c:pt>
                <c:pt idx="6">
                  <c:v>27.283153528593694</c:v>
                </c:pt>
                <c:pt idx="7">
                  <c:v>27.733441828764231</c:v>
                </c:pt>
                <c:pt idx="8">
                  <c:v>28.114552674327943</c:v>
                </c:pt>
                <c:pt idx="9">
                  <c:v>28.308981011166047</c:v>
                </c:pt>
                <c:pt idx="10">
                  <c:v>28.394680528492337</c:v>
                </c:pt>
                <c:pt idx="11">
                  <c:v>28.470206540918923</c:v>
                </c:pt>
              </c:numCache>
            </c:numRef>
          </c:val>
          <c:smooth val="0"/>
          <c:extLst>
            <c:ext xmlns:c16="http://schemas.microsoft.com/office/drawing/2014/chart" uri="{C3380CC4-5D6E-409C-BE32-E72D297353CC}">
              <c16:uniqueId val="{00000004-6368-4C24-809D-849768028A3B}"/>
            </c:ext>
          </c:extLst>
        </c:ser>
        <c:ser>
          <c:idx val="6"/>
          <c:order val="5"/>
          <c:tx>
            <c:strRef>
              <c:f>Wastage_over_time!$B$20</c:f>
              <c:strCache>
                <c:ptCount val="1"/>
                <c:pt idx="0">
                  <c:v>Computing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Wastage_over_time!$C$20:$N$20</c:f>
              <c:numCache>
                <c:formatCode>#,##0</c:formatCode>
                <c:ptCount val="12"/>
                <c:pt idx="0">
                  <c:v>660.69023127634</c:v>
                </c:pt>
                <c:pt idx="1">
                  <c:v>645.53990654415679</c:v>
                </c:pt>
                <c:pt idx="2">
                  <c:v>670.48855498379896</c:v>
                </c:pt>
                <c:pt idx="3">
                  <c:v>675.40680057130692</c:v>
                </c:pt>
                <c:pt idx="4">
                  <c:v>681.85104347687206</c:v>
                </c:pt>
                <c:pt idx="5">
                  <c:v>685.73394780211072</c:v>
                </c:pt>
                <c:pt idx="6">
                  <c:v>687.35625032712755</c:v>
                </c:pt>
                <c:pt idx="7">
                  <c:v>692.45764209060189</c:v>
                </c:pt>
                <c:pt idx="8">
                  <c:v>699.85503961383722</c:v>
                </c:pt>
                <c:pt idx="9">
                  <c:v>702.95013273875611</c:v>
                </c:pt>
                <c:pt idx="10">
                  <c:v>703.30094454156665</c:v>
                </c:pt>
                <c:pt idx="11">
                  <c:v>703.64881449441179</c:v>
                </c:pt>
              </c:numCache>
            </c:numRef>
          </c:val>
          <c:smooth val="0"/>
          <c:extLst>
            <c:ext xmlns:c16="http://schemas.microsoft.com/office/drawing/2014/chart" uri="{C3380CC4-5D6E-409C-BE32-E72D297353CC}">
              <c16:uniqueId val="{00000005-6368-4C24-809D-849768028A3B}"/>
            </c:ext>
          </c:extLst>
        </c:ser>
        <c:dLbls>
          <c:showLegendKey val="0"/>
          <c:showVal val="0"/>
          <c:showCatName val="0"/>
          <c:showSerName val="0"/>
          <c:showPercent val="0"/>
          <c:showBubbleSize val="0"/>
        </c:dLbls>
        <c:smooth val="0"/>
        <c:axId val="170391424"/>
        <c:axId val="170392960"/>
      </c:lineChart>
      <c:catAx>
        <c:axId val="1703914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92960"/>
        <c:crosses val="autoZero"/>
        <c:auto val="1"/>
        <c:lblAlgn val="ctr"/>
        <c:lblOffset val="100"/>
        <c:noMultiLvlLbl val="0"/>
      </c:catAx>
      <c:valAx>
        <c:axId val="1703929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91424"/>
        <c:crosses val="autoZero"/>
        <c:crossBetween val="between"/>
      </c:valAx>
      <c:spPr>
        <a:ln>
          <a:solidFill>
            <a:schemeClr val="tx1">
              <a:lumMod val="95000"/>
              <a:lumOff val="5000"/>
            </a:schemeClr>
          </a:solidFill>
        </a:ln>
      </c:spPr>
    </c:plotArea>
    <c:legend>
      <c:legendPos val="r"/>
      <c:layout>
        <c:manualLayout>
          <c:xMode val="edge"/>
          <c:yMode val="edge"/>
          <c:x val="0.79127042453026697"/>
          <c:y val="2.0186498426827081E-2"/>
          <c:w val="0.19444452776736243"/>
          <c:h val="0.86645962732919257"/>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933712769599"/>
          <c:h val="0.7654531418866759"/>
        </c:manualLayout>
      </c:layout>
      <c:lineChart>
        <c:grouping val="standard"/>
        <c:varyColors val="0"/>
        <c:ser>
          <c:idx val="7"/>
          <c:order val="0"/>
          <c:tx>
            <c:strRef>
              <c:f>Wastage_over_time!$B$21</c:f>
              <c:strCache>
                <c:ptCount val="1"/>
                <c:pt idx="0">
                  <c:v>Design &amp; Technology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Wastage_over_time!$C$21:$N$21</c:f>
              <c:numCache>
                <c:formatCode>#,##0</c:formatCode>
                <c:ptCount val="12"/>
                <c:pt idx="0">
                  <c:v>764.67680364728506</c:v>
                </c:pt>
                <c:pt idx="1">
                  <c:v>765.61011371335394</c:v>
                </c:pt>
                <c:pt idx="2">
                  <c:v>794.74588984556897</c:v>
                </c:pt>
                <c:pt idx="3">
                  <c:v>807.61471986433276</c:v>
                </c:pt>
                <c:pt idx="4">
                  <c:v>814.50323972068077</c:v>
                </c:pt>
                <c:pt idx="5">
                  <c:v>816.51310172885155</c:v>
                </c:pt>
                <c:pt idx="6">
                  <c:v>813.61055335776064</c:v>
                </c:pt>
                <c:pt idx="7">
                  <c:v>816.53291377257051</c:v>
                </c:pt>
                <c:pt idx="8">
                  <c:v>821.65164552490205</c:v>
                </c:pt>
                <c:pt idx="9">
                  <c:v>819.93799841456575</c:v>
                </c:pt>
                <c:pt idx="10">
                  <c:v>814.73079587913821</c:v>
                </c:pt>
                <c:pt idx="11">
                  <c:v>813.6687665518175</c:v>
                </c:pt>
              </c:numCache>
            </c:numRef>
          </c:val>
          <c:smooth val="0"/>
          <c:extLst>
            <c:ext xmlns:c16="http://schemas.microsoft.com/office/drawing/2014/chart" uri="{C3380CC4-5D6E-409C-BE32-E72D297353CC}">
              <c16:uniqueId val="{00000000-2EE6-4FEA-AF31-4D5A8B30E0E9}"/>
            </c:ext>
          </c:extLst>
        </c:ser>
        <c:ser>
          <c:idx val="8"/>
          <c:order val="1"/>
          <c:tx>
            <c:strRef>
              <c:f>Wastage_over_time!$B$22</c:f>
              <c:strCache>
                <c:ptCount val="1"/>
                <c:pt idx="0">
                  <c:v>Drama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Wastage_over_time!$C$22:$N$22</c:f>
              <c:numCache>
                <c:formatCode>#,##0</c:formatCode>
                <c:ptCount val="12"/>
                <c:pt idx="0">
                  <c:v>390.86352119356729</c:v>
                </c:pt>
                <c:pt idx="1">
                  <c:v>390.21826957408985</c:v>
                </c:pt>
                <c:pt idx="2">
                  <c:v>399.79781045893424</c:v>
                </c:pt>
                <c:pt idx="3">
                  <c:v>405.93688656001018</c:v>
                </c:pt>
                <c:pt idx="4">
                  <c:v>408.03855554091081</c:v>
                </c:pt>
                <c:pt idx="5">
                  <c:v>408.4679768456607</c:v>
                </c:pt>
                <c:pt idx="6">
                  <c:v>407.12457338156389</c:v>
                </c:pt>
                <c:pt idx="7">
                  <c:v>408.75408073956135</c:v>
                </c:pt>
                <c:pt idx="8">
                  <c:v>411.69720915206881</c:v>
                </c:pt>
                <c:pt idx="9">
                  <c:v>411.33936920319752</c:v>
                </c:pt>
                <c:pt idx="10">
                  <c:v>409.31053682429337</c:v>
                </c:pt>
                <c:pt idx="11">
                  <c:v>409.17504946698847</c:v>
                </c:pt>
              </c:numCache>
            </c:numRef>
          </c:val>
          <c:smooth val="0"/>
          <c:extLst>
            <c:ext xmlns:c16="http://schemas.microsoft.com/office/drawing/2014/chart" uri="{C3380CC4-5D6E-409C-BE32-E72D297353CC}">
              <c16:uniqueId val="{00000001-2EE6-4FEA-AF31-4D5A8B30E0E9}"/>
            </c:ext>
          </c:extLst>
        </c:ser>
        <c:ser>
          <c:idx val="9"/>
          <c:order val="2"/>
          <c:tx>
            <c:strRef>
              <c:f>Wastage_over_time!$B$23</c:f>
              <c:strCache>
                <c:ptCount val="1"/>
                <c:pt idx="0">
                  <c:v>English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Wastage_over_time!$C$23:$N$23</c:f>
              <c:numCache>
                <c:formatCode>#,##0</c:formatCode>
                <c:ptCount val="12"/>
                <c:pt idx="0">
                  <c:v>2609.1720588073522</c:v>
                </c:pt>
                <c:pt idx="1">
                  <c:v>2676.4848213743635</c:v>
                </c:pt>
                <c:pt idx="2">
                  <c:v>2819.9444133791708</c:v>
                </c:pt>
                <c:pt idx="3">
                  <c:v>2884.6989252228527</c:v>
                </c:pt>
                <c:pt idx="4">
                  <c:v>2917.9950605542458</c:v>
                </c:pt>
                <c:pt idx="5">
                  <c:v>2949.9101420007091</c:v>
                </c:pt>
                <c:pt idx="6">
                  <c:v>2980.6269774913007</c:v>
                </c:pt>
                <c:pt idx="7">
                  <c:v>3015.4375819472552</c:v>
                </c:pt>
                <c:pt idx="8">
                  <c:v>3032.1333120760023</c:v>
                </c:pt>
                <c:pt idx="9">
                  <c:v>3037.8267922451214</c:v>
                </c:pt>
                <c:pt idx="10">
                  <c:v>3033.5746435226488</c:v>
                </c:pt>
                <c:pt idx="11">
                  <c:v>3022.679717009501</c:v>
                </c:pt>
              </c:numCache>
            </c:numRef>
          </c:val>
          <c:smooth val="0"/>
          <c:extLst>
            <c:ext xmlns:c16="http://schemas.microsoft.com/office/drawing/2014/chart" uri="{C3380CC4-5D6E-409C-BE32-E72D297353CC}">
              <c16:uniqueId val="{00000002-2EE6-4FEA-AF31-4D5A8B30E0E9}"/>
            </c:ext>
          </c:extLst>
        </c:ser>
        <c:ser>
          <c:idx val="0"/>
          <c:order val="3"/>
          <c:tx>
            <c:strRef>
              <c:f>Wastage_over_time!$B$24</c:f>
              <c:strCache>
                <c:ptCount val="1"/>
                <c:pt idx="0">
                  <c:v>Food Wastage</c:v>
                </c:pt>
              </c:strCache>
            </c:strRef>
          </c:tx>
          <c:marker>
            <c:symbol val="none"/>
          </c:marker>
          <c:val>
            <c:numRef>
              <c:f>Wastage_over_time!$C$24:$N$24</c:f>
              <c:numCache>
                <c:formatCode>#,##0</c:formatCode>
                <c:ptCount val="12"/>
                <c:pt idx="0">
                  <c:v>157.93620230488926</c:v>
                </c:pt>
                <c:pt idx="1">
                  <c:v>156.79720398123777</c:v>
                </c:pt>
                <c:pt idx="2">
                  <c:v>162.07843862789986</c:v>
                </c:pt>
                <c:pt idx="3">
                  <c:v>166.47494501548786</c:v>
                </c:pt>
                <c:pt idx="4">
                  <c:v>167.98750927613821</c:v>
                </c:pt>
                <c:pt idx="5">
                  <c:v>168.84469074452679</c:v>
                </c:pt>
                <c:pt idx="6">
                  <c:v>169.16969478319371</c:v>
                </c:pt>
                <c:pt idx="7">
                  <c:v>169.88053905049978</c:v>
                </c:pt>
                <c:pt idx="8">
                  <c:v>171.05858560668023</c:v>
                </c:pt>
                <c:pt idx="9">
                  <c:v>171.99430175919383</c:v>
                </c:pt>
                <c:pt idx="10">
                  <c:v>172.45953699377031</c:v>
                </c:pt>
                <c:pt idx="11">
                  <c:v>171.96541466206304</c:v>
                </c:pt>
              </c:numCache>
            </c:numRef>
          </c:val>
          <c:smooth val="0"/>
          <c:extLst>
            <c:ext xmlns:c16="http://schemas.microsoft.com/office/drawing/2014/chart" uri="{C3380CC4-5D6E-409C-BE32-E72D297353CC}">
              <c16:uniqueId val="{00000003-2EE6-4FEA-AF31-4D5A8B30E0E9}"/>
            </c:ext>
          </c:extLst>
        </c:ser>
        <c:ser>
          <c:idx val="10"/>
          <c:order val="4"/>
          <c:tx>
            <c:strRef>
              <c:f>Wastage_over_time!$B$25</c:f>
              <c:strCache>
                <c:ptCount val="1"/>
                <c:pt idx="0">
                  <c:v>Geography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Wastage_over_time!$C$25:$N$25</c:f>
              <c:numCache>
                <c:formatCode>#,##0</c:formatCode>
                <c:ptCount val="12"/>
                <c:pt idx="0">
                  <c:v>934.667089283633</c:v>
                </c:pt>
                <c:pt idx="1">
                  <c:v>939.59319338477474</c:v>
                </c:pt>
                <c:pt idx="2">
                  <c:v>976.84930246882459</c:v>
                </c:pt>
                <c:pt idx="3">
                  <c:v>990.92874901644473</c:v>
                </c:pt>
                <c:pt idx="4">
                  <c:v>1002.0475648164027</c:v>
                </c:pt>
                <c:pt idx="5">
                  <c:v>1011.8329787806863</c:v>
                </c:pt>
                <c:pt idx="6">
                  <c:v>1020.0972946701354</c:v>
                </c:pt>
                <c:pt idx="7">
                  <c:v>1032.8514158645701</c:v>
                </c:pt>
                <c:pt idx="8">
                  <c:v>1039.0946939026267</c:v>
                </c:pt>
                <c:pt idx="9">
                  <c:v>1038.5685261479905</c:v>
                </c:pt>
                <c:pt idx="10">
                  <c:v>1033.9724668347908</c:v>
                </c:pt>
                <c:pt idx="11">
                  <c:v>1031.5151335875191</c:v>
                </c:pt>
              </c:numCache>
            </c:numRef>
          </c:val>
          <c:smooth val="0"/>
          <c:extLst>
            <c:ext xmlns:c16="http://schemas.microsoft.com/office/drawing/2014/chart" uri="{C3380CC4-5D6E-409C-BE32-E72D297353CC}">
              <c16:uniqueId val="{00000004-2EE6-4FEA-AF31-4D5A8B30E0E9}"/>
            </c:ext>
          </c:extLst>
        </c:ser>
        <c:ser>
          <c:idx val="11"/>
          <c:order val="5"/>
          <c:tx>
            <c:strRef>
              <c:f>Wastage_over_time!$B$26</c:f>
              <c:strCache>
                <c:ptCount val="1"/>
                <c:pt idx="0">
                  <c:v>History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Wastage_over_time!$C$26:$N$26</c:f>
              <c:numCache>
                <c:formatCode>#,##0</c:formatCode>
                <c:ptCount val="12"/>
                <c:pt idx="0">
                  <c:v>1000.662431270393</c:v>
                </c:pt>
                <c:pt idx="1">
                  <c:v>1001.8628202280956</c:v>
                </c:pt>
                <c:pt idx="2">
                  <c:v>1038.9476101227478</c:v>
                </c:pt>
                <c:pt idx="3">
                  <c:v>1051.3535907368646</c:v>
                </c:pt>
                <c:pt idx="4">
                  <c:v>1062.1631324193406</c:v>
                </c:pt>
                <c:pt idx="5">
                  <c:v>1072.1770856772191</c:v>
                </c:pt>
                <c:pt idx="6">
                  <c:v>1081.1787271332109</c:v>
                </c:pt>
                <c:pt idx="7">
                  <c:v>1094.7928805415086</c:v>
                </c:pt>
                <c:pt idx="8">
                  <c:v>1101.9825067934219</c:v>
                </c:pt>
                <c:pt idx="9">
                  <c:v>1102.1607655806501</c:v>
                </c:pt>
                <c:pt idx="10">
                  <c:v>1098.0876412483931</c:v>
                </c:pt>
                <c:pt idx="11">
                  <c:v>1095.8804003032556</c:v>
                </c:pt>
              </c:numCache>
            </c:numRef>
          </c:val>
          <c:smooth val="0"/>
          <c:extLst>
            <c:ext xmlns:c16="http://schemas.microsoft.com/office/drawing/2014/chart" uri="{C3380CC4-5D6E-409C-BE32-E72D297353CC}">
              <c16:uniqueId val="{00000005-2EE6-4FEA-AF31-4D5A8B30E0E9}"/>
            </c:ext>
          </c:extLst>
        </c:ser>
        <c:ser>
          <c:idx val="12"/>
          <c:order val="6"/>
          <c:tx>
            <c:strRef>
              <c:f>Wastage_over_time!$B$27</c:f>
              <c:strCache>
                <c:ptCount val="1"/>
                <c:pt idx="0">
                  <c:v>Mathematics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Wastage_over_time!$C$27:$N$27</c:f>
              <c:numCache>
                <c:formatCode>#,##0</c:formatCode>
                <c:ptCount val="12"/>
                <c:pt idx="0">
                  <c:v>2960.3692980600567</c:v>
                </c:pt>
                <c:pt idx="1">
                  <c:v>3036.9562807235816</c:v>
                </c:pt>
                <c:pt idx="2">
                  <c:v>3192.8683364784933</c:v>
                </c:pt>
                <c:pt idx="3">
                  <c:v>3255.6471280514188</c:v>
                </c:pt>
                <c:pt idx="4">
                  <c:v>3292.5410347133447</c:v>
                </c:pt>
                <c:pt idx="5">
                  <c:v>3328.5067978074176</c:v>
                </c:pt>
                <c:pt idx="6">
                  <c:v>3364.1439078298381</c:v>
                </c:pt>
                <c:pt idx="7">
                  <c:v>3405.5024042233977</c:v>
                </c:pt>
                <c:pt idx="8">
                  <c:v>3427.8338939147729</c:v>
                </c:pt>
                <c:pt idx="9">
                  <c:v>3435.7030873925632</c:v>
                </c:pt>
                <c:pt idx="10">
                  <c:v>3432.0045394372937</c:v>
                </c:pt>
                <c:pt idx="11">
                  <c:v>3422.4586393556133</c:v>
                </c:pt>
              </c:numCache>
            </c:numRef>
          </c:val>
          <c:smooth val="0"/>
          <c:extLst>
            <c:ext xmlns:c16="http://schemas.microsoft.com/office/drawing/2014/chart" uri="{C3380CC4-5D6E-409C-BE32-E72D297353CC}">
              <c16:uniqueId val="{00000006-2EE6-4FEA-AF31-4D5A8B30E0E9}"/>
            </c:ext>
          </c:extLst>
        </c:ser>
        <c:dLbls>
          <c:showLegendKey val="0"/>
          <c:showVal val="0"/>
          <c:showCatName val="0"/>
          <c:showSerName val="0"/>
          <c:showPercent val="0"/>
          <c:showBubbleSize val="0"/>
        </c:dLbls>
        <c:smooth val="0"/>
        <c:axId val="3730048"/>
        <c:axId val="169767296"/>
      </c:lineChart>
      <c:catAx>
        <c:axId val="3730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67296"/>
        <c:crosses val="autoZero"/>
        <c:auto val="1"/>
        <c:lblAlgn val="ctr"/>
        <c:lblOffset val="100"/>
        <c:noMultiLvlLbl val="0"/>
      </c:catAx>
      <c:valAx>
        <c:axId val="16976729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30048"/>
        <c:crosses val="autoZero"/>
        <c:crossBetween val="between"/>
      </c:valAx>
      <c:spPr>
        <a:ln>
          <a:solidFill>
            <a:schemeClr val="tx1">
              <a:lumMod val="95000"/>
              <a:lumOff val="5000"/>
            </a:schemeClr>
          </a:solidFill>
        </a:ln>
      </c:spPr>
    </c:plotArea>
    <c:legend>
      <c:legendPos val="r"/>
      <c:layout>
        <c:manualLayout>
          <c:xMode val="edge"/>
          <c:yMode val="edge"/>
          <c:x val="0.75792160457459601"/>
          <c:y val="1.7028026295474674E-2"/>
          <c:w val="0.22502071593026896"/>
          <c:h val="0.9349874454547670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51988560718448"/>
          <c:h val="0.7654531418866759"/>
        </c:manualLayout>
      </c:layout>
      <c:lineChart>
        <c:grouping val="standard"/>
        <c:varyColors val="0"/>
        <c:ser>
          <c:idx val="13"/>
          <c:order val="0"/>
          <c:tx>
            <c:strRef>
              <c:f>Wastage_over_time!$B$28</c:f>
              <c:strCache>
                <c:ptCount val="1"/>
                <c:pt idx="0">
                  <c:v>Modern Foreign Languages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Wastage_over_time!$C$28:$N$28</c:f>
              <c:numCache>
                <c:formatCode>#,##0</c:formatCode>
                <c:ptCount val="12"/>
                <c:pt idx="0">
                  <c:v>1259.3099524965305</c:v>
                </c:pt>
                <c:pt idx="1">
                  <c:v>1284.6101159754514</c:v>
                </c:pt>
                <c:pt idx="2">
                  <c:v>1376.9702787718634</c:v>
                </c:pt>
                <c:pt idx="3">
                  <c:v>1457.5412961061556</c:v>
                </c:pt>
                <c:pt idx="4">
                  <c:v>1531.793014999198</c:v>
                </c:pt>
                <c:pt idx="5">
                  <c:v>1617.6681968581029</c:v>
                </c:pt>
                <c:pt idx="6">
                  <c:v>1714.5212711293175</c:v>
                </c:pt>
                <c:pt idx="7">
                  <c:v>1801.9836234803508</c:v>
                </c:pt>
                <c:pt idx="8">
                  <c:v>1814.3636634633683</c:v>
                </c:pt>
                <c:pt idx="9">
                  <c:v>1811.4712725321126</c:v>
                </c:pt>
                <c:pt idx="10">
                  <c:v>1798.9351619376885</c:v>
                </c:pt>
                <c:pt idx="11">
                  <c:v>1790.0533122142174</c:v>
                </c:pt>
              </c:numCache>
            </c:numRef>
          </c:val>
          <c:smooth val="0"/>
          <c:extLst>
            <c:ext xmlns:c16="http://schemas.microsoft.com/office/drawing/2014/chart" uri="{C3380CC4-5D6E-409C-BE32-E72D297353CC}">
              <c16:uniqueId val="{00000000-CE89-478C-BD9D-757ED5DDDB97}"/>
            </c:ext>
          </c:extLst>
        </c:ser>
        <c:ser>
          <c:idx val="14"/>
          <c:order val="1"/>
          <c:tx>
            <c:strRef>
              <c:f>Wastage_over_time!$B$29</c:f>
              <c:strCache>
                <c:ptCount val="1"/>
                <c:pt idx="0">
                  <c:v>Music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Wastage_over_time!$C$29:$N$29</c:f>
              <c:numCache>
                <c:formatCode>#,##0</c:formatCode>
                <c:ptCount val="12"/>
                <c:pt idx="0">
                  <c:v>405.07637477354729</c:v>
                </c:pt>
                <c:pt idx="1">
                  <c:v>404.12518963318166</c:v>
                </c:pt>
                <c:pt idx="2">
                  <c:v>416.27191736990926</c:v>
                </c:pt>
                <c:pt idx="3">
                  <c:v>420.66017903126976</c:v>
                </c:pt>
                <c:pt idx="4">
                  <c:v>422.83610044246154</c:v>
                </c:pt>
                <c:pt idx="5">
                  <c:v>422.77561787223112</c:v>
                </c:pt>
                <c:pt idx="6">
                  <c:v>420.24920315071222</c:v>
                </c:pt>
                <c:pt idx="7">
                  <c:v>421.43014076071961</c:v>
                </c:pt>
                <c:pt idx="8">
                  <c:v>423.89685267888751</c:v>
                </c:pt>
                <c:pt idx="9">
                  <c:v>422.22325431593674</c:v>
                </c:pt>
                <c:pt idx="10">
                  <c:v>418.65718468284763</c:v>
                </c:pt>
                <c:pt idx="11">
                  <c:v>418.34999726171668</c:v>
                </c:pt>
              </c:numCache>
            </c:numRef>
          </c:val>
          <c:smooth val="0"/>
          <c:extLst>
            <c:ext xmlns:c16="http://schemas.microsoft.com/office/drawing/2014/chart" uri="{C3380CC4-5D6E-409C-BE32-E72D297353CC}">
              <c16:uniqueId val="{00000001-CE89-478C-BD9D-757ED5DDDB97}"/>
            </c:ext>
          </c:extLst>
        </c:ser>
        <c:ser>
          <c:idx val="15"/>
          <c:order val="2"/>
          <c:tx>
            <c:strRef>
              <c:f>Wastage_over_time!$B$30</c:f>
              <c:strCache>
                <c:ptCount val="1"/>
                <c:pt idx="0">
                  <c:v>Others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Wastage_over_time!$C$30:$N$30</c:f>
              <c:numCache>
                <c:formatCode>#,##0</c:formatCode>
                <c:ptCount val="12"/>
                <c:pt idx="0">
                  <c:v>1109.6047093651628</c:v>
                </c:pt>
                <c:pt idx="1">
                  <c:v>1075.5475565518041</c:v>
                </c:pt>
                <c:pt idx="2">
                  <c:v>1085.3936731521608</c:v>
                </c:pt>
                <c:pt idx="3">
                  <c:v>1080.3408037904458</c:v>
                </c:pt>
                <c:pt idx="4">
                  <c:v>1083.5332960410637</c:v>
                </c:pt>
                <c:pt idx="5">
                  <c:v>1089.34453669355</c:v>
                </c:pt>
                <c:pt idx="6">
                  <c:v>1098.7322635913429</c:v>
                </c:pt>
                <c:pt idx="7">
                  <c:v>1112.6225608706741</c:v>
                </c:pt>
                <c:pt idx="8">
                  <c:v>1132.7572380059169</c:v>
                </c:pt>
                <c:pt idx="9">
                  <c:v>1146.2211481724507</c:v>
                </c:pt>
                <c:pt idx="10">
                  <c:v>1155.8937079591999</c:v>
                </c:pt>
                <c:pt idx="11">
                  <c:v>1163.4453670565451</c:v>
                </c:pt>
              </c:numCache>
            </c:numRef>
          </c:val>
          <c:smooth val="0"/>
          <c:extLst>
            <c:ext xmlns:c16="http://schemas.microsoft.com/office/drawing/2014/chart" uri="{C3380CC4-5D6E-409C-BE32-E72D297353CC}">
              <c16:uniqueId val="{00000002-CE89-478C-BD9D-757ED5DDDB97}"/>
            </c:ext>
          </c:extLst>
        </c:ser>
        <c:ser>
          <c:idx val="16"/>
          <c:order val="3"/>
          <c:tx>
            <c:strRef>
              <c:f>Wastage_over_time!$B$31</c:f>
              <c:strCache>
                <c:ptCount val="1"/>
                <c:pt idx="0">
                  <c:v>Physical Education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Wastage_over_time!$C$31:$N$31</c:f>
              <c:numCache>
                <c:formatCode>#,##0</c:formatCode>
                <c:ptCount val="12"/>
                <c:pt idx="0">
                  <c:v>1355.7700776184997</c:v>
                </c:pt>
                <c:pt idx="1">
                  <c:v>1318.1965158703015</c:v>
                </c:pt>
                <c:pt idx="2">
                  <c:v>1359.5321417745731</c:v>
                </c:pt>
                <c:pt idx="3">
                  <c:v>1368.9173895744609</c:v>
                </c:pt>
                <c:pt idx="4">
                  <c:v>1375.0673874572203</c:v>
                </c:pt>
                <c:pt idx="5">
                  <c:v>1376.3638060943447</c:v>
                </c:pt>
                <c:pt idx="6">
                  <c:v>1372.6778037223755</c:v>
                </c:pt>
                <c:pt idx="7">
                  <c:v>1376.6000603452628</c:v>
                </c:pt>
                <c:pt idx="8">
                  <c:v>1384.8027212835384</c:v>
                </c:pt>
                <c:pt idx="9">
                  <c:v>1386.2170782876597</c:v>
                </c:pt>
                <c:pt idx="10">
                  <c:v>1382.9426255935955</c:v>
                </c:pt>
                <c:pt idx="11">
                  <c:v>1380.0305243959858</c:v>
                </c:pt>
              </c:numCache>
            </c:numRef>
          </c:val>
          <c:smooth val="0"/>
          <c:extLst>
            <c:ext xmlns:c16="http://schemas.microsoft.com/office/drawing/2014/chart" uri="{C3380CC4-5D6E-409C-BE32-E72D297353CC}">
              <c16:uniqueId val="{00000003-CE89-478C-BD9D-757ED5DDDB97}"/>
            </c:ext>
          </c:extLst>
        </c:ser>
        <c:ser>
          <c:idx val="17"/>
          <c:order val="4"/>
          <c:tx>
            <c:strRef>
              <c:f>Wastage_over_time!$B$32</c:f>
              <c:strCache>
                <c:ptCount val="1"/>
                <c:pt idx="0">
                  <c:v>Physics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Wastage_over_time!$C$32:$N$32</c:f>
              <c:numCache>
                <c:formatCode>#,##0</c:formatCode>
                <c:ptCount val="12"/>
                <c:pt idx="0">
                  <c:v>1012.8930527338358</c:v>
                </c:pt>
                <c:pt idx="1">
                  <c:v>1043.7172579265816</c:v>
                </c:pt>
                <c:pt idx="2">
                  <c:v>1095.5643539563871</c:v>
                </c:pt>
                <c:pt idx="3">
                  <c:v>1105.0738793156775</c:v>
                </c:pt>
                <c:pt idx="4">
                  <c:v>1118.9359721182486</c:v>
                </c:pt>
                <c:pt idx="5">
                  <c:v>1133.5551217305185</c:v>
                </c:pt>
                <c:pt idx="6">
                  <c:v>1149.4524801628663</c:v>
                </c:pt>
                <c:pt idx="7">
                  <c:v>1164.2311630704985</c:v>
                </c:pt>
                <c:pt idx="8">
                  <c:v>1173.1640213751166</c:v>
                </c:pt>
                <c:pt idx="9">
                  <c:v>1179.5896224288501</c:v>
                </c:pt>
                <c:pt idx="10">
                  <c:v>1182.5003407690588</c:v>
                </c:pt>
                <c:pt idx="11">
                  <c:v>1179.0704270897811</c:v>
                </c:pt>
              </c:numCache>
            </c:numRef>
          </c:val>
          <c:smooth val="0"/>
          <c:extLst>
            <c:ext xmlns:c16="http://schemas.microsoft.com/office/drawing/2014/chart" uri="{C3380CC4-5D6E-409C-BE32-E72D297353CC}">
              <c16:uniqueId val="{00000004-CE89-478C-BD9D-757ED5DDDB97}"/>
            </c:ext>
          </c:extLst>
        </c:ser>
        <c:ser>
          <c:idx val="18"/>
          <c:order val="5"/>
          <c:tx>
            <c:strRef>
              <c:f>Wastage_over_time!$B$33</c:f>
              <c:strCache>
                <c:ptCount val="1"/>
                <c:pt idx="0">
                  <c:v>Religious Education Wastage</c:v>
                </c:pt>
              </c:strCache>
            </c:strRef>
          </c:tx>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Wastage_over_time!$C$33:$N$33</c:f>
              <c:numCache>
                <c:formatCode>#,##0</c:formatCode>
                <c:ptCount val="12"/>
                <c:pt idx="0">
                  <c:v>592.85262233505023</c:v>
                </c:pt>
                <c:pt idx="1">
                  <c:v>587.47914704882464</c:v>
                </c:pt>
                <c:pt idx="2">
                  <c:v>603.92281577653887</c:v>
                </c:pt>
                <c:pt idx="3">
                  <c:v>612.27257959815893</c:v>
                </c:pt>
                <c:pt idx="4">
                  <c:v>615.38330856267817</c:v>
                </c:pt>
                <c:pt idx="5">
                  <c:v>616.22883436172128</c:v>
                </c:pt>
                <c:pt idx="6">
                  <c:v>614.86186356678218</c:v>
                </c:pt>
                <c:pt idx="7">
                  <c:v>616.92804041862496</c:v>
                </c:pt>
                <c:pt idx="8">
                  <c:v>620.99714256503728</c:v>
                </c:pt>
                <c:pt idx="9">
                  <c:v>621.73678627264508</c:v>
                </c:pt>
                <c:pt idx="10">
                  <c:v>620.33221820198105</c:v>
                </c:pt>
                <c:pt idx="11">
                  <c:v>619.40374426842448</c:v>
                </c:pt>
              </c:numCache>
            </c:numRef>
          </c:val>
          <c:smooth val="0"/>
          <c:extLst>
            <c:ext xmlns:c16="http://schemas.microsoft.com/office/drawing/2014/chart" uri="{C3380CC4-5D6E-409C-BE32-E72D297353CC}">
              <c16:uniqueId val="{00000005-CE89-478C-BD9D-757ED5DDDB97}"/>
            </c:ext>
          </c:extLst>
        </c:ser>
        <c:dLbls>
          <c:showLegendKey val="0"/>
          <c:showVal val="0"/>
          <c:showCatName val="0"/>
          <c:showSerName val="0"/>
          <c:showPercent val="0"/>
          <c:showBubbleSize val="0"/>
        </c:dLbls>
        <c:smooth val="0"/>
        <c:axId val="170642048"/>
        <c:axId val="170643840"/>
      </c:lineChart>
      <c:catAx>
        <c:axId val="170642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643840"/>
        <c:crosses val="autoZero"/>
        <c:auto val="1"/>
        <c:lblAlgn val="ctr"/>
        <c:lblOffset val="100"/>
        <c:noMultiLvlLbl val="0"/>
      </c:catAx>
      <c:valAx>
        <c:axId val="170643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642048"/>
        <c:crosses val="autoZero"/>
        <c:crossBetween val="between"/>
      </c:valAx>
      <c:spPr>
        <a:ln>
          <a:solidFill>
            <a:schemeClr val="tx1">
              <a:lumMod val="95000"/>
              <a:lumOff val="5000"/>
            </a:schemeClr>
          </a:solidFill>
        </a:ln>
      </c:spPr>
    </c:plotArea>
    <c:legend>
      <c:legendPos val="r"/>
      <c:layout>
        <c:manualLayout>
          <c:xMode val="edge"/>
          <c:yMode val="edge"/>
          <c:x val="0.78412765071032786"/>
          <c:y val="1.8575851393188854E-2"/>
          <c:w val="0.20079373411656876"/>
          <c:h val="0.9102193185604121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481507993319E-2"/>
          <c:y val="7.4448818897637797E-2"/>
          <c:w val="0.62253113815318539"/>
          <c:h val="0.74167894335788676"/>
        </c:manualLayout>
      </c:layout>
      <c:lineChart>
        <c:grouping val="standard"/>
        <c:varyColors val="0"/>
        <c:ser>
          <c:idx val="30"/>
          <c:order val="0"/>
          <c:tx>
            <c:strRef>
              <c:f>SUMMARY_OUTPUTS!$B$81</c:f>
              <c:strCache>
                <c:ptCount val="1"/>
                <c:pt idx="0">
                  <c:v>Modern Foreign Languages All Central Scenario</c:v>
                </c:pt>
              </c:strCache>
            </c:strRef>
          </c:tx>
          <c:spPr>
            <a:ln>
              <a:solidFill>
                <a:schemeClr val="tx2">
                  <a:lumMod val="50000"/>
                </a:schemeClr>
              </a:solidFill>
              <a:prstDash val="solid"/>
            </a:ln>
          </c:spPr>
          <c:marker>
            <c:symbol val="square"/>
            <c:size val="7"/>
            <c:spPr>
              <a:solidFill>
                <a:schemeClr val="tx2"/>
              </a:solid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SUMMARY_OUTPUTS!$C$81:$N$81</c:f>
              <c:numCache>
                <c:formatCode>#,##0</c:formatCode>
                <c:ptCount val="12"/>
                <c:pt idx="0">
                  <c:v>14971.501798068488</c:v>
                </c:pt>
                <c:pt idx="1">
                  <c:v>15518.448326772366</c:v>
                </c:pt>
                <c:pt idx="2">
                  <c:v>16134.071227593558</c:v>
                </c:pt>
                <c:pt idx="3">
                  <c:v>16812.756948289185</c:v>
                </c:pt>
                <c:pt idx="4">
                  <c:v>17630.402554431716</c:v>
                </c:pt>
                <c:pt idx="5">
                  <c:v>18578.0202666437</c:v>
                </c:pt>
                <c:pt idx="6">
                  <c:v>19452.46551534941</c:v>
                </c:pt>
                <c:pt idx="7">
                  <c:v>19600.61185016208</c:v>
                </c:pt>
                <c:pt idx="8">
                  <c:v>19598.097876335123</c:v>
                </c:pt>
                <c:pt idx="9">
                  <c:v>19497.170074560905</c:v>
                </c:pt>
                <c:pt idx="10">
                  <c:v>19427.392336902663</c:v>
                </c:pt>
                <c:pt idx="11">
                  <c:v>19438.746388143565</c:v>
                </c:pt>
              </c:numCache>
            </c:numRef>
          </c:val>
          <c:smooth val="0"/>
          <c:extLst>
            <c:ext xmlns:c16="http://schemas.microsoft.com/office/drawing/2014/chart" uri="{C3380CC4-5D6E-409C-BE32-E72D297353CC}">
              <c16:uniqueId val="{00000000-A908-46A4-90F1-3E03D3043AD0}"/>
            </c:ext>
          </c:extLst>
        </c:ser>
        <c:ser>
          <c:idx val="10"/>
          <c:order val="1"/>
          <c:tx>
            <c:strRef>
              <c:f>SUMMARY_OUTPUTS!$B$76</c:f>
              <c:strCache>
                <c:ptCount val="1"/>
                <c:pt idx="0">
                  <c:v>Modern Foreign Languages Scenario Selected</c:v>
                </c:pt>
              </c:strCache>
            </c:strRef>
          </c:tx>
          <c:spPr>
            <a:ln>
              <a:solidFill>
                <a:schemeClr val="tx2">
                  <a:lumMod val="50000"/>
                </a:schemeClr>
              </a:solidFill>
              <a:prstDash val="sysDot"/>
            </a:ln>
          </c:spPr>
          <c:marker>
            <c:symbol val="x"/>
            <c:size val="7"/>
            <c:spPr>
              <a:no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SUMMARY_OUTPUTS!$C$76:$N$76</c:f>
              <c:numCache>
                <c:formatCode>#,##0</c:formatCode>
                <c:ptCount val="12"/>
                <c:pt idx="0">
                  <c:v>14971.501798068488</c:v>
                </c:pt>
                <c:pt idx="1">
                  <c:v>15518.448326772366</c:v>
                </c:pt>
                <c:pt idx="2">
                  <c:v>16134.071227593558</c:v>
                </c:pt>
                <c:pt idx="3">
                  <c:v>16812.756948289185</c:v>
                </c:pt>
                <c:pt idx="4">
                  <c:v>17630.402554431716</c:v>
                </c:pt>
                <c:pt idx="5">
                  <c:v>18578.0202666437</c:v>
                </c:pt>
                <c:pt idx="6">
                  <c:v>19452.46551534941</c:v>
                </c:pt>
                <c:pt idx="7">
                  <c:v>19600.61185016208</c:v>
                </c:pt>
                <c:pt idx="8">
                  <c:v>19598.097876335123</c:v>
                </c:pt>
                <c:pt idx="9">
                  <c:v>19497.170074560905</c:v>
                </c:pt>
                <c:pt idx="10">
                  <c:v>19427.392336902663</c:v>
                </c:pt>
                <c:pt idx="11">
                  <c:v>19438.746388143565</c:v>
                </c:pt>
              </c:numCache>
            </c:numRef>
          </c:val>
          <c:smooth val="0"/>
          <c:extLst>
            <c:ext xmlns:c16="http://schemas.microsoft.com/office/drawing/2014/chart" uri="{C3380CC4-5D6E-409C-BE32-E72D297353CC}">
              <c16:uniqueId val="{00000001-A908-46A4-90F1-3E03D3043AD0}"/>
            </c:ext>
          </c:extLst>
        </c:ser>
        <c:ser>
          <c:idx val="31"/>
          <c:order val="2"/>
          <c:tx>
            <c:strRef>
              <c:f>SUMMARY_OUTPUTS!$B$82</c:f>
              <c:strCache>
                <c:ptCount val="1"/>
                <c:pt idx="0">
                  <c:v>Geography All Central Scenario</c:v>
                </c:pt>
              </c:strCache>
            </c:strRef>
          </c:tx>
          <c:spPr>
            <a:ln>
              <a:solidFill>
                <a:srgbClr val="FF0000"/>
              </a:solidFill>
              <a:prstDash val="solid"/>
            </a:ln>
          </c:spPr>
          <c:marker>
            <c:symbol val="square"/>
            <c:size val="7"/>
            <c:spPr>
              <a:solidFill>
                <a:srgbClr val="FF0000"/>
              </a:solid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SUMMARY_OUTPUTS!$C$82:$N$82</c:f>
              <c:numCache>
                <c:formatCode>#,##0</c:formatCode>
                <c:ptCount val="12"/>
                <c:pt idx="0">
                  <c:v>10803.079082425373</c:v>
                </c:pt>
                <c:pt idx="1">
                  <c:v>10913.97383137792</c:v>
                </c:pt>
                <c:pt idx="2">
                  <c:v>11040.073537517266</c:v>
                </c:pt>
                <c:pt idx="3">
                  <c:v>11141.835814652577</c:v>
                </c:pt>
                <c:pt idx="4">
                  <c:v>11235.812997276715</c:v>
                </c:pt>
                <c:pt idx="5">
                  <c:v>11318.429527654655</c:v>
                </c:pt>
                <c:pt idx="6">
                  <c:v>11447.571971044999</c:v>
                </c:pt>
                <c:pt idx="7">
                  <c:v>11514.819044284342</c:v>
                </c:pt>
                <c:pt idx="8">
                  <c:v>11515.740365562662</c:v>
                </c:pt>
                <c:pt idx="9">
                  <c:v>11475.359015980936</c:v>
                </c:pt>
                <c:pt idx="10">
                  <c:v>11454.130023559828</c:v>
                </c:pt>
                <c:pt idx="11">
                  <c:v>11445.395839009616</c:v>
                </c:pt>
              </c:numCache>
            </c:numRef>
          </c:val>
          <c:smooth val="0"/>
          <c:extLst>
            <c:ext xmlns:c16="http://schemas.microsoft.com/office/drawing/2014/chart" uri="{C3380CC4-5D6E-409C-BE32-E72D297353CC}">
              <c16:uniqueId val="{00000002-A908-46A4-90F1-3E03D3043AD0}"/>
            </c:ext>
          </c:extLst>
        </c:ser>
        <c:ser>
          <c:idx val="11"/>
          <c:order val="3"/>
          <c:tx>
            <c:strRef>
              <c:f>SUMMARY_OUTPUTS!$B$77</c:f>
              <c:strCache>
                <c:ptCount val="1"/>
                <c:pt idx="0">
                  <c:v>Geography Scenario Selected</c:v>
                </c:pt>
              </c:strCache>
            </c:strRef>
          </c:tx>
          <c:spPr>
            <a:ln>
              <a:solidFill>
                <a:srgbClr val="FF0000"/>
              </a:solidFill>
              <a:prstDash val="sysDot"/>
            </a:ln>
          </c:spPr>
          <c:marker>
            <c:symbol val="x"/>
            <c:size val="7"/>
            <c:spPr>
              <a:no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SUMMARY_OUTPUTS!$C$77:$N$77</c:f>
              <c:numCache>
                <c:formatCode>#,##0</c:formatCode>
                <c:ptCount val="12"/>
                <c:pt idx="0">
                  <c:v>10803.079082425373</c:v>
                </c:pt>
                <c:pt idx="1">
                  <c:v>10913.97383137792</c:v>
                </c:pt>
                <c:pt idx="2">
                  <c:v>11040.073537517266</c:v>
                </c:pt>
                <c:pt idx="3">
                  <c:v>11141.835814652577</c:v>
                </c:pt>
                <c:pt idx="4">
                  <c:v>11235.812997276715</c:v>
                </c:pt>
                <c:pt idx="5">
                  <c:v>11318.429527654655</c:v>
                </c:pt>
                <c:pt idx="6">
                  <c:v>11447.571971044999</c:v>
                </c:pt>
                <c:pt idx="7">
                  <c:v>11514.819044284342</c:v>
                </c:pt>
                <c:pt idx="8">
                  <c:v>11515.740365562662</c:v>
                </c:pt>
                <c:pt idx="9">
                  <c:v>11475.359015980936</c:v>
                </c:pt>
                <c:pt idx="10">
                  <c:v>11454.130023559828</c:v>
                </c:pt>
                <c:pt idx="11">
                  <c:v>11445.395839009616</c:v>
                </c:pt>
              </c:numCache>
            </c:numRef>
          </c:val>
          <c:smooth val="0"/>
          <c:extLst>
            <c:ext xmlns:c16="http://schemas.microsoft.com/office/drawing/2014/chart" uri="{C3380CC4-5D6E-409C-BE32-E72D297353CC}">
              <c16:uniqueId val="{00000003-A908-46A4-90F1-3E03D3043AD0}"/>
            </c:ext>
          </c:extLst>
        </c:ser>
        <c:ser>
          <c:idx val="38"/>
          <c:order val="4"/>
          <c:tx>
            <c:strRef>
              <c:f>SUMMARY_OUTPUTS!$B$83</c:f>
              <c:strCache>
                <c:ptCount val="1"/>
                <c:pt idx="0">
                  <c:v>History All Central Scenario</c:v>
                </c:pt>
              </c:strCache>
            </c:strRef>
          </c:tx>
          <c:spPr>
            <a:ln>
              <a:solidFill>
                <a:srgbClr val="92D050"/>
              </a:solidFill>
              <a:prstDash val="solid"/>
            </a:ln>
          </c:spPr>
          <c:marker>
            <c:symbol val="square"/>
            <c:size val="7"/>
            <c:spPr>
              <a:solidFill>
                <a:srgbClr val="92D050"/>
              </a:solid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SUMMARY_OUTPUTS!$C$83:$N$83</c:f>
              <c:numCache>
                <c:formatCode>#,##0</c:formatCode>
                <c:ptCount val="12"/>
                <c:pt idx="0">
                  <c:v>11478.78528353108</c:v>
                </c:pt>
                <c:pt idx="1">
                  <c:v>11581.968504481012</c:v>
                </c:pt>
                <c:pt idx="2">
                  <c:v>11702.36853693105</c:v>
                </c:pt>
                <c:pt idx="3">
                  <c:v>11805.823561991971</c:v>
                </c:pt>
                <c:pt idx="4">
                  <c:v>11905.04406842778</c:v>
                </c:pt>
                <c:pt idx="5">
                  <c:v>11996.878419563651</c:v>
                </c:pt>
                <c:pt idx="6">
                  <c:v>12135.936933273137</c:v>
                </c:pt>
                <c:pt idx="7">
                  <c:v>12213.749991184312</c:v>
                </c:pt>
                <c:pt idx="8">
                  <c:v>12222.822653396182</c:v>
                </c:pt>
                <c:pt idx="9">
                  <c:v>12188.797624594896</c:v>
                </c:pt>
                <c:pt idx="10">
                  <c:v>12171.21671946704</c:v>
                </c:pt>
                <c:pt idx="11">
                  <c:v>12163.2752523872</c:v>
                </c:pt>
              </c:numCache>
            </c:numRef>
          </c:val>
          <c:smooth val="0"/>
          <c:extLst>
            <c:ext xmlns:c16="http://schemas.microsoft.com/office/drawing/2014/chart" uri="{C3380CC4-5D6E-409C-BE32-E72D297353CC}">
              <c16:uniqueId val="{00000004-A908-46A4-90F1-3E03D3043AD0}"/>
            </c:ext>
          </c:extLst>
        </c:ser>
        <c:ser>
          <c:idx val="18"/>
          <c:order val="5"/>
          <c:tx>
            <c:strRef>
              <c:f>SUMMARY_OUTPUTS!$B$78</c:f>
              <c:strCache>
                <c:ptCount val="1"/>
                <c:pt idx="0">
                  <c:v>History Scenario Selected</c:v>
                </c:pt>
              </c:strCache>
            </c:strRef>
          </c:tx>
          <c:spPr>
            <a:ln>
              <a:solidFill>
                <a:srgbClr val="92D050"/>
              </a:solidFill>
              <a:prstDash val="sysDot"/>
            </a:ln>
          </c:spPr>
          <c:marker>
            <c:symbol val="x"/>
            <c:size val="7"/>
            <c:spPr>
              <a:noFill/>
            </c:spPr>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SUMMARY_OUTPUTS!$C$78:$N$78</c:f>
              <c:numCache>
                <c:formatCode>#,##0</c:formatCode>
                <c:ptCount val="12"/>
                <c:pt idx="0">
                  <c:v>11478.78528353108</c:v>
                </c:pt>
                <c:pt idx="1">
                  <c:v>11581.968504481012</c:v>
                </c:pt>
                <c:pt idx="2">
                  <c:v>11702.36853693105</c:v>
                </c:pt>
                <c:pt idx="3">
                  <c:v>11805.823561991971</c:v>
                </c:pt>
                <c:pt idx="4">
                  <c:v>11905.04406842778</c:v>
                </c:pt>
                <c:pt idx="5">
                  <c:v>11996.878419563651</c:v>
                </c:pt>
                <c:pt idx="6">
                  <c:v>12135.936933273137</c:v>
                </c:pt>
                <c:pt idx="7">
                  <c:v>12213.749991184312</c:v>
                </c:pt>
                <c:pt idx="8">
                  <c:v>12222.822653396182</c:v>
                </c:pt>
                <c:pt idx="9">
                  <c:v>12188.797624594896</c:v>
                </c:pt>
                <c:pt idx="10">
                  <c:v>12171.21671946704</c:v>
                </c:pt>
                <c:pt idx="11">
                  <c:v>12163.2752523872</c:v>
                </c:pt>
              </c:numCache>
            </c:numRef>
          </c:val>
          <c:smooth val="0"/>
          <c:extLst>
            <c:ext xmlns:c16="http://schemas.microsoft.com/office/drawing/2014/chart" uri="{C3380CC4-5D6E-409C-BE32-E72D297353CC}">
              <c16:uniqueId val="{00000005-A908-46A4-90F1-3E03D3043AD0}"/>
            </c:ext>
          </c:extLst>
        </c:ser>
        <c:dLbls>
          <c:showLegendKey val="0"/>
          <c:showVal val="0"/>
          <c:showCatName val="0"/>
          <c:showSerName val="0"/>
          <c:showPercent val="0"/>
          <c:showBubbleSize val="0"/>
        </c:dLbls>
        <c:marker val="1"/>
        <c:smooth val="0"/>
        <c:axId val="147247488"/>
        <c:axId val="147249408"/>
      </c:lineChart>
      <c:catAx>
        <c:axId val="147247488"/>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7249408"/>
        <c:crosses val="autoZero"/>
        <c:auto val="1"/>
        <c:lblAlgn val="ctr"/>
        <c:lblOffset val="100"/>
        <c:noMultiLvlLbl val="0"/>
      </c:catAx>
      <c:valAx>
        <c:axId val="147249408"/>
        <c:scaling>
          <c:orientation val="minMax"/>
        </c:scaling>
        <c:delete val="0"/>
        <c:axPos val="l"/>
        <c:majorGridlines>
          <c:spPr>
            <a:ln>
              <a:solidFill>
                <a:schemeClr val="bg1">
                  <a:lumMod val="85000"/>
                  <a:alpha val="50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247488"/>
        <c:crosses val="autoZero"/>
        <c:crossBetween val="midCat"/>
      </c:valAx>
      <c:spPr>
        <a:ln>
          <a:solidFill>
            <a:schemeClr val="tx1">
              <a:lumMod val="95000"/>
              <a:lumOff val="5000"/>
            </a:schemeClr>
          </a:solidFill>
        </a:ln>
      </c:spPr>
    </c:plotArea>
    <c:legend>
      <c:legendPos val="r"/>
      <c:layout>
        <c:manualLayout>
          <c:xMode val="edge"/>
          <c:yMode val="edge"/>
          <c:x val="0.72769840133619657"/>
          <c:y val="6.5609778428859192E-2"/>
          <c:w val="0.27230159866380332"/>
          <c:h val="0.7771372764450954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Number of teachers leaving as</a:t>
            </a:r>
            <a:r>
              <a:rPr lang="en-GB" baseline="0"/>
              <a:t> wastage (retirements and deaths not included) as estimated by the 2018/19 TSM</a:t>
            </a:r>
            <a:endParaRPr lang="en-GB"/>
          </a:p>
        </c:rich>
      </c:tx>
      <c:overlay val="0"/>
    </c:title>
    <c:autoTitleDeleted val="0"/>
    <c:plotArea>
      <c:layout>
        <c:manualLayout>
          <c:layoutTarget val="inner"/>
          <c:xMode val="edge"/>
          <c:yMode val="edge"/>
          <c:x val="9.2897459948892744E-2"/>
          <c:y val="0.15764700594251735"/>
          <c:w val="0.64240801661357239"/>
          <c:h val="0.70366004203876908"/>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Wastage_over_time!$C$34:$N$34</c:f>
              <c:numCache>
                <c:formatCode>#,##0</c:formatCode>
                <c:ptCount val="12"/>
                <c:pt idx="0">
                  <c:v>37943.043454087587</c:v>
                </c:pt>
                <c:pt idx="1">
                  <c:v>38323.647879968754</c:v>
                </c:pt>
                <c:pt idx="2">
                  <c:v>39603.920580984275</c:v>
                </c:pt>
                <c:pt idx="3">
                  <c:v>40143.404261956333</c:v>
                </c:pt>
                <c:pt idx="4">
                  <c:v>40442.525269732592</c:v>
                </c:pt>
                <c:pt idx="5">
                  <c:v>40710.689431089377</c:v>
                </c:pt>
                <c:pt idx="6">
                  <c:v>40948.282885699096</c:v>
                </c:pt>
                <c:pt idx="7">
                  <c:v>41203.742988912425</c:v>
                </c:pt>
                <c:pt idx="8">
                  <c:v>41395.187582480903</c:v>
                </c:pt>
                <c:pt idx="9">
                  <c:v>41519.25463973415</c:v>
                </c:pt>
                <c:pt idx="10">
                  <c:v>41570.204007329572</c:v>
                </c:pt>
                <c:pt idx="11">
                  <c:v>41586.393215473923</c:v>
                </c:pt>
              </c:numCache>
            </c:numRef>
          </c:val>
          <c:smooth val="0"/>
          <c:extLst>
            <c:ext xmlns:c16="http://schemas.microsoft.com/office/drawing/2014/chart" uri="{C3380CC4-5D6E-409C-BE32-E72D297353CC}">
              <c16:uniqueId val="{00000000-FAFA-40F6-BEAF-EAAE5119B013}"/>
            </c:ext>
          </c:extLst>
        </c:ser>
        <c:ser>
          <c:idx val="0"/>
          <c:order val="1"/>
          <c:tx>
            <c:strRef>
              <c:f>Wastage_over_time!$B$14</c:f>
              <c:strCache>
                <c:ptCount val="1"/>
                <c:pt idx="0">
                  <c:v>Primary Wastage</c:v>
                </c:pt>
              </c:strCache>
            </c:strRef>
          </c:tx>
          <c:spPr>
            <a:ln>
              <a:solidFill>
                <a:sysClr val="windowText" lastClr="000000"/>
              </a:solidFill>
            </a:ln>
          </c:spPr>
          <c:marker>
            <c:symbol val="none"/>
          </c:marker>
          <c:cat>
            <c:strRef>
              <c:f>Wastage_over_time!$C$13:$N$13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Wastage_over_time!$C$14:$N$14</c:f>
              <c:numCache>
                <c:formatCode>#,##0</c:formatCode>
                <c:ptCount val="12"/>
                <c:pt idx="0">
                  <c:v>19560.892471246716</c:v>
                </c:pt>
                <c:pt idx="1">
                  <c:v>19783.496295357807</c:v>
                </c:pt>
                <c:pt idx="2">
                  <c:v>20286.419929483258</c:v>
                </c:pt>
                <c:pt idx="3">
                  <c:v>20491.711798712782</c:v>
                </c:pt>
                <c:pt idx="4">
                  <c:v>20545.870717475424</c:v>
                </c:pt>
                <c:pt idx="5">
                  <c:v>20576.362910991291</c:v>
                </c:pt>
                <c:pt idx="6">
                  <c:v>20580.829067717696</c:v>
                </c:pt>
                <c:pt idx="7">
                  <c:v>20558.969800268515</c:v>
                </c:pt>
                <c:pt idx="8">
                  <c:v>20591.226262430369</c:v>
                </c:pt>
                <c:pt idx="9">
                  <c:v>20661.181428673921</c:v>
                </c:pt>
                <c:pt idx="10">
                  <c:v>20733.166143527997</c:v>
                </c:pt>
                <c:pt idx="11">
                  <c:v>20787.06908374359</c:v>
                </c:pt>
              </c:numCache>
            </c:numRef>
          </c:val>
          <c:smooth val="0"/>
          <c:extLst>
            <c:ext xmlns:c16="http://schemas.microsoft.com/office/drawing/2014/chart" uri="{C3380CC4-5D6E-409C-BE32-E72D297353CC}">
              <c16:uniqueId val="{00000001-FAFA-40F6-BEAF-EAAE5119B013}"/>
            </c:ext>
          </c:extLst>
        </c:ser>
        <c:ser>
          <c:idx val="1"/>
          <c:order val="2"/>
          <c:tx>
            <c:strRef>
              <c:f>Wastage_over_time!$B$35</c:f>
              <c:strCache>
                <c:ptCount val="1"/>
                <c:pt idx="0">
                  <c:v>Secondary Wastage</c:v>
                </c:pt>
              </c:strCache>
            </c:strRef>
          </c:tx>
          <c:spPr>
            <a:ln>
              <a:solidFill>
                <a:schemeClr val="tx1"/>
              </a:solidFill>
              <a:prstDash val="sysDot"/>
            </a:ln>
          </c:spPr>
          <c:marker>
            <c:symbol val="none"/>
          </c:marker>
          <c:val>
            <c:numRef>
              <c:f>Wastage_over_time!$C$35:$N$35</c:f>
              <c:numCache>
                <c:formatCode>#,##0</c:formatCode>
                <c:ptCount val="12"/>
                <c:pt idx="0">
                  <c:v>18382.150982840871</c:v>
                </c:pt>
                <c:pt idx="1">
                  <c:v>18540.151584610947</c:v>
                </c:pt>
                <c:pt idx="2">
                  <c:v>19317.500651501017</c:v>
                </c:pt>
                <c:pt idx="3">
                  <c:v>19651.692463243551</c:v>
                </c:pt>
                <c:pt idx="4">
                  <c:v>19896.654552257169</c:v>
                </c:pt>
                <c:pt idx="5">
                  <c:v>20134.326520098086</c:v>
                </c:pt>
                <c:pt idx="6">
                  <c:v>20367.453817981401</c:v>
                </c:pt>
                <c:pt idx="7">
                  <c:v>20644.773188643911</c:v>
                </c:pt>
                <c:pt idx="8">
                  <c:v>20803.961320050534</c:v>
                </c:pt>
                <c:pt idx="9">
                  <c:v>20858.073211060229</c:v>
                </c:pt>
                <c:pt idx="10">
                  <c:v>20837.037863801575</c:v>
                </c:pt>
                <c:pt idx="11">
                  <c:v>20799.324131730333</c:v>
                </c:pt>
              </c:numCache>
            </c:numRef>
          </c:val>
          <c:smooth val="0"/>
          <c:extLst>
            <c:ext xmlns:c16="http://schemas.microsoft.com/office/drawing/2014/chart" uri="{C3380CC4-5D6E-409C-BE32-E72D297353CC}">
              <c16:uniqueId val="{00000000-48A1-46CC-89FC-FCFD98CCEF4A}"/>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6328287086"/>
          <c:y val="9.9697730499608894E-2"/>
          <c:w val="0.22475564996737044"/>
          <c:h val="0.75461189207824997"/>
        </c:manualLayout>
      </c:layout>
      <c:overlay val="0"/>
      <c:txPr>
        <a:bodyPr/>
        <a:lstStyle/>
        <a:p>
          <a:pPr>
            <a:defRPr sz="10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9"/>
          <c:order val="0"/>
          <c:tx>
            <c:strRef>
              <c:f>Retirements_over_time!$B$34</c:f>
              <c:strCache>
                <c:ptCount val="1"/>
                <c:pt idx="0">
                  <c:v>Total Retirements</c:v>
                </c:pt>
              </c:strCache>
            </c:strRef>
          </c:tx>
          <c:spPr>
            <a:ln>
              <a:solidFill>
                <a:srgbClr val="FF0000"/>
              </a:solidFill>
            </a:ln>
          </c:spPr>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Retirements_over_time!$C$34:$N$34</c:f>
              <c:numCache>
                <c:formatCode>#,##0</c:formatCode>
                <c:ptCount val="12"/>
                <c:pt idx="0">
                  <c:v>11208.574272247784</c:v>
                </c:pt>
                <c:pt idx="1">
                  <c:v>10875.19562740191</c:v>
                </c:pt>
                <c:pt idx="2">
                  <c:v>10577.625063188776</c:v>
                </c:pt>
                <c:pt idx="3">
                  <c:v>10336.208657089963</c:v>
                </c:pt>
                <c:pt idx="4">
                  <c:v>10158.052140288375</c:v>
                </c:pt>
                <c:pt idx="5">
                  <c:v>10038.483840918803</c:v>
                </c:pt>
                <c:pt idx="6">
                  <c:v>9965.0849152690844</c:v>
                </c:pt>
                <c:pt idx="7">
                  <c:v>9934.391892128031</c:v>
                </c:pt>
                <c:pt idx="8">
                  <c:v>9920.2902235063375</c:v>
                </c:pt>
                <c:pt idx="9">
                  <c:v>9913.0698429889871</c:v>
                </c:pt>
                <c:pt idx="10">
                  <c:v>9906.653201188512</c:v>
                </c:pt>
                <c:pt idx="11">
                  <c:v>9903.4973220106149</c:v>
                </c:pt>
              </c:numCache>
            </c:numRef>
          </c:val>
          <c:smooth val="0"/>
          <c:extLst>
            <c:ext xmlns:c16="http://schemas.microsoft.com/office/drawing/2014/chart" uri="{C3380CC4-5D6E-409C-BE32-E72D297353CC}">
              <c16:uniqueId val="{00000000-3BAD-4361-B236-6EE9D6ABB4AB}"/>
            </c:ext>
          </c:extLst>
        </c:ser>
        <c:ser>
          <c:idx val="0"/>
          <c:order val="1"/>
          <c:tx>
            <c:strRef>
              <c:f>Retirements_over_time!$B$14</c:f>
              <c:strCache>
                <c:ptCount val="1"/>
                <c:pt idx="0">
                  <c:v>Primary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Retirements_over_time!$C$14:$N$14</c:f>
              <c:numCache>
                <c:formatCode>#,##0</c:formatCode>
                <c:ptCount val="12"/>
                <c:pt idx="0">
                  <c:v>5769.3880036971213</c:v>
                </c:pt>
                <c:pt idx="1">
                  <c:v>5579.5713608204587</c:v>
                </c:pt>
                <c:pt idx="2">
                  <c:v>5403.2559156435054</c:v>
                </c:pt>
                <c:pt idx="3">
                  <c:v>5253.0354177965819</c:v>
                </c:pt>
                <c:pt idx="4">
                  <c:v>5139.6336606845225</c:v>
                </c:pt>
                <c:pt idx="5">
                  <c:v>5054.6192540728553</c:v>
                </c:pt>
                <c:pt idx="6">
                  <c:v>4991.6192821778568</c:v>
                </c:pt>
                <c:pt idx="7">
                  <c:v>4944.7870500405879</c:v>
                </c:pt>
                <c:pt idx="8">
                  <c:v>4919.666483332453</c:v>
                </c:pt>
                <c:pt idx="9">
                  <c:v>4909.9022167811527</c:v>
                </c:pt>
                <c:pt idx="10">
                  <c:v>4907.5858854310209</c:v>
                </c:pt>
                <c:pt idx="11">
                  <c:v>4907.6840118537821</c:v>
                </c:pt>
              </c:numCache>
            </c:numRef>
          </c:val>
          <c:smooth val="0"/>
          <c:extLst>
            <c:ext xmlns:c16="http://schemas.microsoft.com/office/drawing/2014/chart" uri="{C3380CC4-5D6E-409C-BE32-E72D297353CC}">
              <c16:uniqueId val="{00000001-3BAD-4361-B236-6EE9D6ABB4AB}"/>
            </c:ext>
          </c:extLst>
        </c:ser>
        <c:dLbls>
          <c:showLegendKey val="0"/>
          <c:showVal val="0"/>
          <c:showCatName val="0"/>
          <c:showSerName val="0"/>
          <c:showPercent val="0"/>
          <c:showBubbleSize val="0"/>
        </c:dLbls>
        <c:smooth val="0"/>
        <c:axId val="170236160"/>
        <c:axId val="170237952"/>
      </c:lineChart>
      <c:catAx>
        <c:axId val="17023616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237952"/>
        <c:crosses val="autoZero"/>
        <c:auto val="1"/>
        <c:lblAlgn val="ctr"/>
        <c:lblOffset val="100"/>
        <c:noMultiLvlLbl val="0"/>
      </c:catAx>
      <c:valAx>
        <c:axId val="170237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236160"/>
        <c:crosses val="autoZero"/>
        <c:crossBetween val="between"/>
      </c:valAx>
      <c:spPr>
        <a:ln>
          <a:solidFill>
            <a:schemeClr val="tx1">
              <a:lumMod val="95000"/>
              <a:lumOff val="5000"/>
            </a:schemeClr>
          </a:solidFill>
        </a:ln>
      </c:spPr>
    </c:plotArea>
    <c:legend>
      <c:legendPos val="r"/>
      <c:layout>
        <c:manualLayout>
          <c:xMode val="edge"/>
          <c:yMode val="edge"/>
          <c:x val="0.7941634715015462"/>
          <c:y val="1.8404907975460124E-2"/>
          <c:w val="0.18817212364583458"/>
          <c:h val="0.86810073587427339"/>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
          <c:order val="0"/>
          <c:tx>
            <c:strRef>
              <c:f>Retirements_over_time!$B$15</c:f>
              <c:strCache>
                <c:ptCount val="1"/>
                <c:pt idx="0">
                  <c:v>Art &amp; Design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Retirements_over_time!$C$15:$N$15</c:f>
              <c:numCache>
                <c:formatCode>#,##0</c:formatCode>
                <c:ptCount val="12"/>
                <c:pt idx="0">
                  <c:v>224.59549124423935</c:v>
                </c:pt>
                <c:pt idx="1">
                  <c:v>219.59956850758496</c:v>
                </c:pt>
                <c:pt idx="2">
                  <c:v>215.90020803041051</c:v>
                </c:pt>
                <c:pt idx="3">
                  <c:v>213.09616227326393</c:v>
                </c:pt>
                <c:pt idx="4">
                  <c:v>210.38318831247489</c:v>
                </c:pt>
                <c:pt idx="5">
                  <c:v>207.64681962882742</c:v>
                </c:pt>
                <c:pt idx="6">
                  <c:v>204.80131227480967</c:v>
                </c:pt>
                <c:pt idx="7">
                  <c:v>202.96167210700941</c:v>
                </c:pt>
                <c:pt idx="8">
                  <c:v>201.65960389178724</c:v>
                </c:pt>
                <c:pt idx="9">
                  <c:v>199.52992893780299</c:v>
                </c:pt>
                <c:pt idx="10">
                  <c:v>196.97299333566235</c:v>
                </c:pt>
                <c:pt idx="11">
                  <c:v>194.81525555691721</c:v>
                </c:pt>
              </c:numCache>
            </c:numRef>
          </c:val>
          <c:smooth val="0"/>
          <c:extLst>
            <c:ext xmlns:c16="http://schemas.microsoft.com/office/drawing/2014/chart" uri="{C3380CC4-5D6E-409C-BE32-E72D297353CC}">
              <c16:uniqueId val="{00000000-029E-4B7E-882B-B7946DD66F51}"/>
            </c:ext>
          </c:extLst>
        </c:ser>
        <c:ser>
          <c:idx val="2"/>
          <c:order val="1"/>
          <c:tx>
            <c:strRef>
              <c:f>Retirements_over_time!$B$16</c:f>
              <c:strCache>
                <c:ptCount val="1"/>
                <c:pt idx="0">
                  <c:v>Biology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Retirements_over_time!$C$16:$N$16</c:f>
              <c:numCache>
                <c:formatCode>#,##0</c:formatCode>
                <c:ptCount val="12"/>
                <c:pt idx="0">
                  <c:v>268.68391891985027</c:v>
                </c:pt>
                <c:pt idx="1">
                  <c:v>266.81229042562626</c:v>
                </c:pt>
                <c:pt idx="2">
                  <c:v>262.88828272775879</c:v>
                </c:pt>
                <c:pt idx="3">
                  <c:v>261.18200704451749</c:v>
                </c:pt>
                <c:pt idx="4">
                  <c:v>261.46424120853914</c:v>
                </c:pt>
                <c:pt idx="5">
                  <c:v>263.68284430660208</c:v>
                </c:pt>
                <c:pt idx="6">
                  <c:v>267.32486700188701</c:v>
                </c:pt>
                <c:pt idx="7">
                  <c:v>271.70428200222648</c:v>
                </c:pt>
                <c:pt idx="8">
                  <c:v>275.51879908157292</c:v>
                </c:pt>
                <c:pt idx="9">
                  <c:v>278.75999958657741</c:v>
                </c:pt>
                <c:pt idx="10">
                  <c:v>281.25175641661025</c:v>
                </c:pt>
                <c:pt idx="11">
                  <c:v>282.74524137685171</c:v>
                </c:pt>
              </c:numCache>
            </c:numRef>
          </c:val>
          <c:smooth val="0"/>
          <c:extLst>
            <c:ext xmlns:c16="http://schemas.microsoft.com/office/drawing/2014/chart" uri="{C3380CC4-5D6E-409C-BE32-E72D297353CC}">
              <c16:uniqueId val="{00000001-029E-4B7E-882B-B7946DD66F51}"/>
            </c:ext>
          </c:extLst>
        </c:ser>
        <c:ser>
          <c:idx val="3"/>
          <c:order val="2"/>
          <c:tx>
            <c:strRef>
              <c:f>Retirements_over_time!$B$17</c:f>
              <c:strCache>
                <c:ptCount val="1"/>
                <c:pt idx="0">
                  <c:v>Business Studies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Retirements_over_time!$C$17:$N$17</c:f>
              <c:numCache>
                <c:formatCode>#,##0</c:formatCode>
                <c:ptCount val="12"/>
                <c:pt idx="0">
                  <c:v>102.17735341936826</c:v>
                </c:pt>
                <c:pt idx="1">
                  <c:v>100.31874949342904</c:v>
                </c:pt>
                <c:pt idx="2">
                  <c:v>98.928324490165863</c:v>
                </c:pt>
                <c:pt idx="3">
                  <c:v>97.486397567959841</c:v>
                </c:pt>
                <c:pt idx="4">
                  <c:v>96.602703032399774</c:v>
                </c:pt>
                <c:pt idx="5">
                  <c:v>95.984961102104805</c:v>
                </c:pt>
                <c:pt idx="6">
                  <c:v>95.760580302552853</c:v>
                </c:pt>
                <c:pt idx="7">
                  <c:v>95.605965356527676</c:v>
                </c:pt>
                <c:pt idx="8">
                  <c:v>95.816600561066963</c:v>
                </c:pt>
                <c:pt idx="9">
                  <c:v>95.977842451674832</c:v>
                </c:pt>
                <c:pt idx="10">
                  <c:v>96.017946533862641</c:v>
                </c:pt>
                <c:pt idx="11">
                  <c:v>95.509166992513087</c:v>
                </c:pt>
              </c:numCache>
            </c:numRef>
          </c:val>
          <c:smooth val="0"/>
          <c:extLst>
            <c:ext xmlns:c16="http://schemas.microsoft.com/office/drawing/2014/chart" uri="{C3380CC4-5D6E-409C-BE32-E72D297353CC}">
              <c16:uniqueId val="{00000002-029E-4B7E-882B-B7946DD66F51}"/>
            </c:ext>
          </c:extLst>
        </c:ser>
        <c:ser>
          <c:idx val="4"/>
          <c:order val="3"/>
          <c:tx>
            <c:strRef>
              <c:f>Retirements_over_time!$B$18</c:f>
              <c:strCache>
                <c:ptCount val="1"/>
                <c:pt idx="0">
                  <c:v>Chemistry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Retirements_over_time!$C$18:$N$18</c:f>
              <c:numCache>
                <c:formatCode>#,##0</c:formatCode>
                <c:ptCount val="12"/>
                <c:pt idx="0">
                  <c:v>273.94019946751246</c:v>
                </c:pt>
                <c:pt idx="1">
                  <c:v>272.2080712647446</c:v>
                </c:pt>
                <c:pt idx="2">
                  <c:v>267.31589532157477</c:v>
                </c:pt>
                <c:pt idx="3">
                  <c:v>262.83298181452346</c:v>
                </c:pt>
                <c:pt idx="4">
                  <c:v>259.3430664900028</c:v>
                </c:pt>
                <c:pt idx="5">
                  <c:v>257.21811847026174</c:v>
                </c:pt>
                <c:pt idx="6">
                  <c:v>256.34789054754299</c:v>
                </c:pt>
                <c:pt idx="7">
                  <c:v>256.13713912738478</c:v>
                </c:pt>
                <c:pt idx="8">
                  <c:v>255.78384096333849</c:v>
                </c:pt>
                <c:pt idx="9">
                  <c:v>255.52493133002514</c:v>
                </c:pt>
                <c:pt idx="10">
                  <c:v>255.13030274301536</c:v>
                </c:pt>
                <c:pt idx="11">
                  <c:v>254.11526527005088</c:v>
                </c:pt>
              </c:numCache>
            </c:numRef>
          </c:val>
          <c:smooth val="0"/>
          <c:extLst>
            <c:ext xmlns:c16="http://schemas.microsoft.com/office/drawing/2014/chart" uri="{C3380CC4-5D6E-409C-BE32-E72D297353CC}">
              <c16:uniqueId val="{00000003-029E-4B7E-882B-B7946DD66F51}"/>
            </c:ext>
          </c:extLst>
        </c:ser>
        <c:ser>
          <c:idx val="5"/>
          <c:order val="4"/>
          <c:tx>
            <c:strRef>
              <c:f>Retirements_over_time!$B$19</c:f>
              <c:strCache>
                <c:ptCount val="1"/>
                <c:pt idx="0">
                  <c:v>Classics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Retirements_over_time!$C$19:$N$19</c:f>
              <c:numCache>
                <c:formatCode>#,##0</c:formatCode>
                <c:ptCount val="12"/>
                <c:pt idx="0">
                  <c:v>16.070459308069804</c:v>
                </c:pt>
                <c:pt idx="1">
                  <c:v>13.394628080634249</c:v>
                </c:pt>
                <c:pt idx="2">
                  <c:v>11.485031735709498</c:v>
                </c:pt>
                <c:pt idx="3">
                  <c:v>10.111041382276969</c:v>
                </c:pt>
                <c:pt idx="4">
                  <c:v>9.1552576915941941</c:v>
                </c:pt>
                <c:pt idx="5">
                  <c:v>8.4935682751488351</c:v>
                </c:pt>
                <c:pt idx="6">
                  <c:v>8.0500082033263034</c:v>
                </c:pt>
                <c:pt idx="7">
                  <c:v>7.7695871787026665</c:v>
                </c:pt>
                <c:pt idx="8">
                  <c:v>7.586629495617859</c:v>
                </c:pt>
                <c:pt idx="9">
                  <c:v>7.4509912383998724</c:v>
                </c:pt>
                <c:pt idx="10">
                  <c:v>7.3533242692161673</c:v>
                </c:pt>
                <c:pt idx="11">
                  <c:v>7.2935596917707679</c:v>
                </c:pt>
              </c:numCache>
            </c:numRef>
          </c:val>
          <c:smooth val="0"/>
          <c:extLst>
            <c:ext xmlns:c16="http://schemas.microsoft.com/office/drawing/2014/chart" uri="{C3380CC4-5D6E-409C-BE32-E72D297353CC}">
              <c16:uniqueId val="{00000004-029E-4B7E-882B-B7946DD66F51}"/>
            </c:ext>
          </c:extLst>
        </c:ser>
        <c:ser>
          <c:idx val="6"/>
          <c:order val="5"/>
          <c:tx>
            <c:strRef>
              <c:f>Retirements_over_time!$B$20</c:f>
              <c:strCache>
                <c:ptCount val="1"/>
                <c:pt idx="0">
                  <c:v>Computing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Retirements_over_time!$C$20:$N$20</c:f>
              <c:numCache>
                <c:formatCode>#,##0</c:formatCode>
                <c:ptCount val="12"/>
                <c:pt idx="0">
                  <c:v>178.59411482869638</c:v>
                </c:pt>
                <c:pt idx="1">
                  <c:v>175.49333407048334</c:v>
                </c:pt>
                <c:pt idx="2">
                  <c:v>172.91494064879419</c:v>
                </c:pt>
                <c:pt idx="3">
                  <c:v>170.59861650587317</c:v>
                </c:pt>
                <c:pt idx="4">
                  <c:v>168.34893514035724</c:v>
                </c:pt>
                <c:pt idx="5">
                  <c:v>166.23828230236117</c:v>
                </c:pt>
                <c:pt idx="6">
                  <c:v>164.28469958529132</c:v>
                </c:pt>
                <c:pt idx="7">
                  <c:v>163.23603119839927</c:v>
                </c:pt>
                <c:pt idx="8">
                  <c:v>162.81407475285187</c:v>
                </c:pt>
                <c:pt idx="9">
                  <c:v>161.96691920351367</c:v>
                </c:pt>
                <c:pt idx="10">
                  <c:v>160.85445045334166</c:v>
                </c:pt>
                <c:pt idx="11">
                  <c:v>159.82524537088784</c:v>
                </c:pt>
              </c:numCache>
            </c:numRef>
          </c:val>
          <c:smooth val="0"/>
          <c:extLst>
            <c:ext xmlns:c16="http://schemas.microsoft.com/office/drawing/2014/chart" uri="{C3380CC4-5D6E-409C-BE32-E72D297353CC}">
              <c16:uniqueId val="{00000005-029E-4B7E-882B-B7946DD66F51}"/>
            </c:ext>
          </c:extLst>
        </c:ser>
        <c:dLbls>
          <c:showLegendKey val="0"/>
          <c:showVal val="0"/>
          <c:showCatName val="0"/>
          <c:showSerName val="0"/>
          <c:showPercent val="0"/>
          <c:showBubbleSize val="0"/>
        </c:dLbls>
        <c:smooth val="0"/>
        <c:axId val="168781696"/>
        <c:axId val="168783232"/>
      </c:lineChart>
      <c:catAx>
        <c:axId val="1687816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83232"/>
        <c:crosses val="autoZero"/>
        <c:auto val="1"/>
        <c:lblAlgn val="ctr"/>
        <c:lblOffset val="100"/>
        <c:noMultiLvlLbl val="0"/>
      </c:catAx>
      <c:valAx>
        <c:axId val="1687832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81696"/>
        <c:crosses val="autoZero"/>
        <c:crossBetween val="between"/>
      </c:valAx>
      <c:spPr>
        <a:ln>
          <a:solidFill>
            <a:schemeClr val="tx1">
              <a:lumMod val="95000"/>
              <a:lumOff val="5000"/>
            </a:schemeClr>
          </a:solidFill>
        </a:ln>
      </c:spPr>
    </c:plotArea>
    <c:legend>
      <c:legendPos val="r"/>
      <c:layout>
        <c:manualLayout>
          <c:xMode val="edge"/>
          <c:yMode val="edge"/>
          <c:x val="0.77639865668965291"/>
          <c:y val="1.834862385321101E-2"/>
          <c:w val="0.20885117621166915"/>
          <c:h val="0.91131626895261941"/>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7"/>
          <c:order val="0"/>
          <c:tx>
            <c:strRef>
              <c:f>Retirements_over_time!$B$21</c:f>
              <c:strCache>
                <c:ptCount val="1"/>
                <c:pt idx="0">
                  <c:v>Design &amp; Technology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Retirements_over_time!$C$21:$N$21</c:f>
              <c:numCache>
                <c:formatCode>#,##0</c:formatCode>
                <c:ptCount val="12"/>
                <c:pt idx="0">
                  <c:v>379.64010623066986</c:v>
                </c:pt>
                <c:pt idx="1">
                  <c:v>355.88892620205604</c:v>
                </c:pt>
                <c:pt idx="2">
                  <c:v>333.63545710839162</c:v>
                </c:pt>
                <c:pt idx="3">
                  <c:v>314.33591419229799</c:v>
                </c:pt>
                <c:pt idx="4">
                  <c:v>297.24238717852552</c:v>
                </c:pt>
                <c:pt idx="5">
                  <c:v>282.33988304551758</c:v>
                </c:pt>
                <c:pt idx="6">
                  <c:v>269.25805013297651</c:v>
                </c:pt>
                <c:pt idx="7">
                  <c:v>259.53814788545066</c:v>
                </c:pt>
                <c:pt idx="8">
                  <c:v>252.06845435276074</c:v>
                </c:pt>
                <c:pt idx="9">
                  <c:v>244.8347890807178</c:v>
                </c:pt>
                <c:pt idx="10">
                  <c:v>238.18926620975918</c:v>
                </c:pt>
                <c:pt idx="11">
                  <c:v>233.30227470330715</c:v>
                </c:pt>
              </c:numCache>
            </c:numRef>
          </c:val>
          <c:smooth val="0"/>
          <c:extLst>
            <c:ext xmlns:c16="http://schemas.microsoft.com/office/drawing/2014/chart" uri="{C3380CC4-5D6E-409C-BE32-E72D297353CC}">
              <c16:uniqueId val="{00000000-72FD-43FE-A8D1-1CCBCBB34915}"/>
            </c:ext>
          </c:extLst>
        </c:ser>
        <c:ser>
          <c:idx val="8"/>
          <c:order val="1"/>
          <c:tx>
            <c:strRef>
              <c:f>Retirements_over_time!$B$22</c:f>
              <c:strCache>
                <c:ptCount val="1"/>
                <c:pt idx="0">
                  <c:v>Drama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Retirements_over_time!$C$22:$N$22</c:f>
              <c:numCache>
                <c:formatCode>#,##0</c:formatCode>
                <c:ptCount val="12"/>
                <c:pt idx="0">
                  <c:v>95.140433357687414</c:v>
                </c:pt>
                <c:pt idx="1">
                  <c:v>92.798229583339634</c:v>
                </c:pt>
                <c:pt idx="2">
                  <c:v>91.583402958061043</c:v>
                </c:pt>
                <c:pt idx="3">
                  <c:v>91.712460360670434</c:v>
                </c:pt>
                <c:pt idx="4">
                  <c:v>92.392568522322918</c:v>
                </c:pt>
                <c:pt idx="5">
                  <c:v>93.41657249656086</c:v>
                </c:pt>
                <c:pt idx="6">
                  <c:v>94.576276547723523</c:v>
                </c:pt>
                <c:pt idx="7">
                  <c:v>96.538161606343706</c:v>
                </c:pt>
                <c:pt idx="8">
                  <c:v>98.825219282653961</c:v>
                </c:pt>
                <c:pt idx="9">
                  <c:v>100.47666138270198</c:v>
                </c:pt>
                <c:pt idx="10">
                  <c:v>101.70396199968455</c:v>
                </c:pt>
                <c:pt idx="11">
                  <c:v>103.08413767795336</c:v>
                </c:pt>
              </c:numCache>
            </c:numRef>
          </c:val>
          <c:smooth val="0"/>
          <c:extLst>
            <c:ext xmlns:c16="http://schemas.microsoft.com/office/drawing/2014/chart" uri="{C3380CC4-5D6E-409C-BE32-E72D297353CC}">
              <c16:uniqueId val="{00000001-72FD-43FE-A8D1-1CCBCBB34915}"/>
            </c:ext>
          </c:extLst>
        </c:ser>
        <c:ser>
          <c:idx val="9"/>
          <c:order val="2"/>
          <c:tx>
            <c:strRef>
              <c:f>Retirements_over_time!$B$23</c:f>
              <c:strCache>
                <c:ptCount val="1"/>
                <c:pt idx="0">
                  <c:v>English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Retirements_over_time!$C$23:$N$23</c:f>
              <c:numCache>
                <c:formatCode>#,##0</c:formatCode>
                <c:ptCount val="12"/>
                <c:pt idx="0">
                  <c:v>748.23515596602419</c:v>
                </c:pt>
                <c:pt idx="1">
                  <c:v>732.72540825006297</c:v>
                </c:pt>
                <c:pt idx="2">
                  <c:v>722.96779160425012</c:v>
                </c:pt>
                <c:pt idx="3">
                  <c:v>712.17027888135476</c:v>
                </c:pt>
                <c:pt idx="4">
                  <c:v>705.40424257837071</c:v>
                </c:pt>
                <c:pt idx="5">
                  <c:v>703.73540695976226</c:v>
                </c:pt>
                <c:pt idx="6">
                  <c:v>706.0255322385583</c:v>
                </c:pt>
                <c:pt idx="7">
                  <c:v>712.01305211227236</c:v>
                </c:pt>
                <c:pt idx="8">
                  <c:v>717.10870029302896</c:v>
                </c:pt>
                <c:pt idx="9">
                  <c:v>721.73141145839008</c:v>
                </c:pt>
                <c:pt idx="10">
                  <c:v>725.44397898278214</c:v>
                </c:pt>
                <c:pt idx="11">
                  <c:v>728.32090911872911</c:v>
                </c:pt>
              </c:numCache>
            </c:numRef>
          </c:val>
          <c:smooth val="0"/>
          <c:extLst>
            <c:ext xmlns:c16="http://schemas.microsoft.com/office/drawing/2014/chart" uri="{C3380CC4-5D6E-409C-BE32-E72D297353CC}">
              <c16:uniqueId val="{00000002-72FD-43FE-A8D1-1CCBCBB34915}"/>
            </c:ext>
          </c:extLst>
        </c:ser>
        <c:ser>
          <c:idx val="0"/>
          <c:order val="3"/>
          <c:tx>
            <c:strRef>
              <c:f>Retirements_over_time!$B$24</c:f>
              <c:strCache>
                <c:ptCount val="1"/>
                <c:pt idx="0">
                  <c:v>Food Retirements</c:v>
                </c:pt>
              </c:strCache>
            </c:strRef>
          </c:tx>
          <c:marker>
            <c:symbol val="none"/>
          </c:marker>
          <c:val>
            <c:numRef>
              <c:f>Retirements_over_time!$C$24:$N$24</c:f>
              <c:numCache>
                <c:formatCode>#,##0</c:formatCode>
                <c:ptCount val="12"/>
                <c:pt idx="0">
                  <c:v>93.914202462538697</c:v>
                </c:pt>
                <c:pt idx="1">
                  <c:v>85.746379068320849</c:v>
                </c:pt>
                <c:pt idx="2">
                  <c:v>78.725636069574207</c:v>
                </c:pt>
                <c:pt idx="3">
                  <c:v>72.610875802353092</c:v>
                </c:pt>
                <c:pt idx="4">
                  <c:v>67.212521023659804</c:v>
                </c:pt>
                <c:pt idx="5">
                  <c:v>62.631661759810825</c:v>
                </c:pt>
                <c:pt idx="6">
                  <c:v>58.774802363543614</c:v>
                </c:pt>
                <c:pt idx="7">
                  <c:v>55.679125442574829</c:v>
                </c:pt>
                <c:pt idx="8">
                  <c:v>53.24008856730665</c:v>
                </c:pt>
                <c:pt idx="9">
                  <c:v>51.230795397500145</c:v>
                </c:pt>
                <c:pt idx="10">
                  <c:v>49.53005336719994</c:v>
                </c:pt>
                <c:pt idx="11">
                  <c:v>47.985817413636731</c:v>
                </c:pt>
              </c:numCache>
            </c:numRef>
          </c:val>
          <c:smooth val="0"/>
          <c:extLst>
            <c:ext xmlns:c16="http://schemas.microsoft.com/office/drawing/2014/chart" uri="{C3380CC4-5D6E-409C-BE32-E72D297353CC}">
              <c16:uniqueId val="{00000003-72FD-43FE-A8D1-1CCBCBB34915}"/>
            </c:ext>
          </c:extLst>
        </c:ser>
        <c:ser>
          <c:idx val="10"/>
          <c:order val="4"/>
          <c:tx>
            <c:strRef>
              <c:f>Retirements_over_time!$B$25</c:f>
              <c:strCache>
                <c:ptCount val="1"/>
                <c:pt idx="0">
                  <c:v>Geography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Retirements_over_time!$C$25:$N$25</c:f>
              <c:numCache>
                <c:formatCode>#,##0</c:formatCode>
                <c:ptCount val="12"/>
                <c:pt idx="0">
                  <c:v>219.4044938417984</c:v>
                </c:pt>
                <c:pt idx="1">
                  <c:v>221.58525090847507</c:v>
                </c:pt>
                <c:pt idx="2">
                  <c:v>223.68433745635008</c:v>
                </c:pt>
                <c:pt idx="3">
                  <c:v>227.07538032858278</c:v>
                </c:pt>
                <c:pt idx="4">
                  <c:v>231.24097040121069</c:v>
                </c:pt>
                <c:pt idx="5">
                  <c:v>236.14495453954891</c:v>
                </c:pt>
                <c:pt idx="6">
                  <c:v>241.35938779172577</c:v>
                </c:pt>
                <c:pt idx="7">
                  <c:v>247.5044227925182</c:v>
                </c:pt>
                <c:pt idx="8">
                  <c:v>252.47143802193736</c:v>
                </c:pt>
                <c:pt idx="9">
                  <c:v>256.03245350387851</c:v>
                </c:pt>
                <c:pt idx="10">
                  <c:v>258.51200013615744</c:v>
                </c:pt>
                <c:pt idx="11">
                  <c:v>260.86345029778818</c:v>
                </c:pt>
              </c:numCache>
            </c:numRef>
          </c:val>
          <c:smooth val="0"/>
          <c:extLst>
            <c:ext xmlns:c16="http://schemas.microsoft.com/office/drawing/2014/chart" uri="{C3380CC4-5D6E-409C-BE32-E72D297353CC}">
              <c16:uniqueId val="{00000004-72FD-43FE-A8D1-1CCBCBB34915}"/>
            </c:ext>
          </c:extLst>
        </c:ser>
        <c:ser>
          <c:idx val="11"/>
          <c:order val="5"/>
          <c:tx>
            <c:strRef>
              <c:f>Retirements_over_time!$B$26</c:f>
              <c:strCache>
                <c:ptCount val="1"/>
                <c:pt idx="0">
                  <c:v>History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Retirements_over_time!$C$26:$N$26</c:f>
              <c:numCache>
                <c:formatCode>#,##0</c:formatCode>
                <c:ptCount val="12"/>
                <c:pt idx="0">
                  <c:v>234.74323701619051</c:v>
                </c:pt>
                <c:pt idx="1">
                  <c:v>237.36678891429244</c:v>
                </c:pt>
                <c:pt idx="2">
                  <c:v>239.63307744741661</c:v>
                </c:pt>
                <c:pt idx="3">
                  <c:v>242.91503605322163</c:v>
                </c:pt>
                <c:pt idx="4">
                  <c:v>246.81765385892072</c:v>
                </c:pt>
                <c:pt idx="5">
                  <c:v>251.34280881928274</c:v>
                </c:pt>
                <c:pt idx="6">
                  <c:v>256.1738494150278</c:v>
                </c:pt>
                <c:pt idx="7">
                  <c:v>261.96704972032734</c:v>
                </c:pt>
                <c:pt idx="8">
                  <c:v>266.67942271530683</c:v>
                </c:pt>
                <c:pt idx="9">
                  <c:v>270.07074791421962</c:v>
                </c:pt>
                <c:pt idx="10">
                  <c:v>272.49136712556498</c:v>
                </c:pt>
                <c:pt idx="11">
                  <c:v>274.87491728586883</c:v>
                </c:pt>
              </c:numCache>
            </c:numRef>
          </c:val>
          <c:smooth val="0"/>
          <c:extLst>
            <c:ext xmlns:c16="http://schemas.microsoft.com/office/drawing/2014/chart" uri="{C3380CC4-5D6E-409C-BE32-E72D297353CC}">
              <c16:uniqueId val="{00000005-72FD-43FE-A8D1-1CCBCBB34915}"/>
            </c:ext>
          </c:extLst>
        </c:ser>
        <c:ser>
          <c:idx val="12"/>
          <c:order val="6"/>
          <c:tx>
            <c:strRef>
              <c:f>Retirements_over_time!$B$27</c:f>
              <c:strCache>
                <c:ptCount val="1"/>
                <c:pt idx="0">
                  <c:v>Mathematics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Retirements_over_time!$C$27:$N$27</c:f>
              <c:numCache>
                <c:formatCode>#,##0</c:formatCode>
                <c:ptCount val="12"/>
                <c:pt idx="0">
                  <c:v>933.43151023459359</c:v>
                </c:pt>
                <c:pt idx="1">
                  <c:v>896.09676119888013</c:v>
                </c:pt>
                <c:pt idx="2">
                  <c:v>861.41788010642244</c:v>
                </c:pt>
                <c:pt idx="3">
                  <c:v>833.09342497293198</c:v>
                </c:pt>
                <c:pt idx="4">
                  <c:v>807.45105415322223</c:v>
                </c:pt>
                <c:pt idx="5">
                  <c:v>787.74388700303712</c:v>
                </c:pt>
                <c:pt idx="6">
                  <c:v>773.02412568327259</c:v>
                </c:pt>
                <c:pt idx="7">
                  <c:v>763.31629403884995</c:v>
                </c:pt>
                <c:pt idx="8">
                  <c:v>754.29945527764562</c:v>
                </c:pt>
                <c:pt idx="9">
                  <c:v>746.07260520909608</c:v>
                </c:pt>
                <c:pt idx="10">
                  <c:v>738.55912874931835</c:v>
                </c:pt>
                <c:pt idx="11">
                  <c:v>732.15559578187026</c:v>
                </c:pt>
              </c:numCache>
            </c:numRef>
          </c:val>
          <c:smooth val="0"/>
          <c:extLst>
            <c:ext xmlns:c16="http://schemas.microsoft.com/office/drawing/2014/chart" uri="{C3380CC4-5D6E-409C-BE32-E72D297353CC}">
              <c16:uniqueId val="{00000006-72FD-43FE-A8D1-1CCBCBB34915}"/>
            </c:ext>
          </c:extLst>
        </c:ser>
        <c:dLbls>
          <c:showLegendKey val="0"/>
          <c:showVal val="0"/>
          <c:showCatName val="0"/>
          <c:showSerName val="0"/>
          <c:showPercent val="0"/>
          <c:showBubbleSize val="0"/>
        </c:dLbls>
        <c:smooth val="0"/>
        <c:axId val="168503936"/>
        <c:axId val="168509824"/>
      </c:lineChart>
      <c:catAx>
        <c:axId val="168503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09824"/>
        <c:crosses val="autoZero"/>
        <c:auto val="1"/>
        <c:lblAlgn val="ctr"/>
        <c:lblOffset val="100"/>
        <c:noMultiLvlLbl val="0"/>
      </c:catAx>
      <c:valAx>
        <c:axId val="1685098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03936"/>
        <c:crosses val="autoZero"/>
        <c:crossBetween val="between"/>
      </c:valAx>
      <c:spPr>
        <a:ln>
          <a:solidFill>
            <a:schemeClr val="tx1">
              <a:lumMod val="95000"/>
              <a:lumOff val="5000"/>
            </a:schemeClr>
          </a:solidFill>
        </a:ln>
      </c:spPr>
    </c:plotArea>
    <c:legend>
      <c:legendPos val="r"/>
      <c:layout>
        <c:manualLayout>
          <c:xMode val="edge"/>
          <c:yMode val="edge"/>
          <c:x val="0.77880248839862753"/>
          <c:y val="1.6871326666988713E-2"/>
          <c:w val="0.20660530336933691"/>
          <c:h val="0.8972420011915689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3"/>
          <c:order val="0"/>
          <c:tx>
            <c:strRef>
              <c:f>Retirements_over_time!$B$28</c:f>
              <c:strCache>
                <c:ptCount val="1"/>
                <c:pt idx="0">
                  <c:v>Modern Foreign Languages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Retirements_over_time!$C$28:$N$28</c:f>
              <c:numCache>
                <c:formatCode>#,##0</c:formatCode>
                <c:ptCount val="12"/>
                <c:pt idx="0">
                  <c:v>442.29103399063627</c:v>
                </c:pt>
                <c:pt idx="1">
                  <c:v>434.68897447168638</c:v>
                </c:pt>
                <c:pt idx="2">
                  <c:v>433.44383086198383</c:v>
                </c:pt>
                <c:pt idx="3">
                  <c:v>434.08448385478044</c:v>
                </c:pt>
                <c:pt idx="4">
                  <c:v>436.98555150457003</c:v>
                </c:pt>
                <c:pt idx="5">
                  <c:v>443.32235979576274</c:v>
                </c:pt>
                <c:pt idx="6">
                  <c:v>452.65992127179584</c:v>
                </c:pt>
                <c:pt idx="7">
                  <c:v>461.42366114738724</c:v>
                </c:pt>
                <c:pt idx="8">
                  <c:v>458.80297021779779</c:v>
                </c:pt>
                <c:pt idx="9">
                  <c:v>454.546259608887</c:v>
                </c:pt>
                <c:pt idx="10">
                  <c:v>449.38700145031885</c:v>
                </c:pt>
                <c:pt idx="11">
                  <c:v>445.35385469668938</c:v>
                </c:pt>
              </c:numCache>
            </c:numRef>
          </c:val>
          <c:smooth val="0"/>
          <c:extLst>
            <c:ext xmlns:c16="http://schemas.microsoft.com/office/drawing/2014/chart" uri="{C3380CC4-5D6E-409C-BE32-E72D297353CC}">
              <c16:uniqueId val="{00000000-56DC-4261-B669-F08FC275638D}"/>
            </c:ext>
          </c:extLst>
        </c:ser>
        <c:ser>
          <c:idx val="14"/>
          <c:order val="1"/>
          <c:tx>
            <c:strRef>
              <c:f>Retirements_over_time!$B$29</c:f>
              <c:strCache>
                <c:ptCount val="1"/>
                <c:pt idx="0">
                  <c:v>Music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Retirements_over_time!$C$29:$N$29</c:f>
              <c:numCache>
                <c:formatCode>#,##0</c:formatCode>
                <c:ptCount val="12"/>
                <c:pt idx="0">
                  <c:v>100.79736411989163</c:v>
                </c:pt>
                <c:pt idx="1">
                  <c:v>102.20473924073264</c:v>
                </c:pt>
                <c:pt idx="2">
                  <c:v>102.59206234012521</c:v>
                </c:pt>
                <c:pt idx="3">
                  <c:v>103.41478948937329</c:v>
                </c:pt>
                <c:pt idx="4">
                  <c:v>104.09938346406204</c:v>
                </c:pt>
                <c:pt idx="5">
                  <c:v>104.69435606183683</c:v>
                </c:pt>
                <c:pt idx="6">
                  <c:v>105.1054949669697</c:v>
                </c:pt>
                <c:pt idx="7">
                  <c:v>106.37132421844987</c:v>
                </c:pt>
                <c:pt idx="8">
                  <c:v>107.92760326893426</c:v>
                </c:pt>
                <c:pt idx="9">
                  <c:v>108.69360655501666</c:v>
                </c:pt>
                <c:pt idx="10">
                  <c:v>109.03725793327517</c:v>
                </c:pt>
                <c:pt idx="11">
                  <c:v>109.86140186354103</c:v>
                </c:pt>
              </c:numCache>
            </c:numRef>
          </c:val>
          <c:smooth val="0"/>
          <c:extLst>
            <c:ext xmlns:c16="http://schemas.microsoft.com/office/drawing/2014/chart" uri="{C3380CC4-5D6E-409C-BE32-E72D297353CC}">
              <c16:uniqueId val="{00000001-56DC-4261-B669-F08FC275638D}"/>
            </c:ext>
          </c:extLst>
        </c:ser>
        <c:ser>
          <c:idx val="15"/>
          <c:order val="2"/>
          <c:tx>
            <c:strRef>
              <c:f>Retirements_over_time!$B$30</c:f>
              <c:strCache>
                <c:ptCount val="1"/>
                <c:pt idx="0">
                  <c:v>Others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Retirements_over_time!$C$30:$N$30</c:f>
              <c:numCache>
                <c:formatCode>#,##0</c:formatCode>
                <c:ptCount val="12"/>
                <c:pt idx="0">
                  <c:v>423.34342320737483</c:v>
                </c:pt>
                <c:pt idx="1">
                  <c:v>389.68178721114748</c:v>
                </c:pt>
                <c:pt idx="2">
                  <c:v>363.39955333931653</c:v>
                </c:pt>
                <c:pt idx="3">
                  <c:v>343.3815694230251</c:v>
                </c:pt>
                <c:pt idx="4">
                  <c:v>329.96816067741759</c:v>
                </c:pt>
                <c:pt idx="5">
                  <c:v>320.68492257571887</c:v>
                </c:pt>
                <c:pt idx="6">
                  <c:v>314.88431835920312</c:v>
                </c:pt>
                <c:pt idx="7">
                  <c:v>312.00943338618782</c:v>
                </c:pt>
                <c:pt idx="8">
                  <c:v>311.77748802402675</c:v>
                </c:pt>
                <c:pt idx="9">
                  <c:v>311.36975129391305</c:v>
                </c:pt>
                <c:pt idx="10">
                  <c:v>311.00210194924495</c:v>
                </c:pt>
                <c:pt idx="11">
                  <c:v>310.73598276209958</c:v>
                </c:pt>
              </c:numCache>
            </c:numRef>
          </c:val>
          <c:smooth val="0"/>
          <c:extLst>
            <c:ext xmlns:c16="http://schemas.microsoft.com/office/drawing/2014/chart" uri="{C3380CC4-5D6E-409C-BE32-E72D297353CC}">
              <c16:uniqueId val="{00000002-56DC-4261-B669-F08FC275638D}"/>
            </c:ext>
          </c:extLst>
        </c:ser>
        <c:ser>
          <c:idx val="16"/>
          <c:order val="3"/>
          <c:tx>
            <c:strRef>
              <c:f>Retirements_over_time!$B$31</c:f>
              <c:strCache>
                <c:ptCount val="1"/>
                <c:pt idx="0">
                  <c:v>Physical Education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Retirements_over_time!$C$31:$N$31</c:f>
              <c:numCache>
                <c:formatCode>#,##0</c:formatCode>
                <c:ptCount val="12"/>
                <c:pt idx="0">
                  <c:v>214.36696161447696</c:v>
                </c:pt>
                <c:pt idx="1">
                  <c:v>220.31292995687375</c:v>
                </c:pt>
                <c:pt idx="2">
                  <c:v>229.57538670601951</c:v>
                </c:pt>
                <c:pt idx="3">
                  <c:v>241.48959838344166</c:v>
                </c:pt>
                <c:pt idx="4">
                  <c:v>253.57899444232547</c:v>
                </c:pt>
                <c:pt idx="5">
                  <c:v>266.20857041431134</c:v>
                </c:pt>
                <c:pt idx="6">
                  <c:v>278.85842455300269</c:v>
                </c:pt>
                <c:pt idx="7">
                  <c:v>293.24523840842062</c:v>
                </c:pt>
                <c:pt idx="8">
                  <c:v>308.11690576533374</c:v>
                </c:pt>
                <c:pt idx="9">
                  <c:v>320.92460810234974</c:v>
                </c:pt>
                <c:pt idx="10">
                  <c:v>331.73464700794585</c:v>
                </c:pt>
                <c:pt idx="11">
                  <c:v>341.26450393230141</c:v>
                </c:pt>
              </c:numCache>
            </c:numRef>
          </c:val>
          <c:smooth val="0"/>
          <c:extLst>
            <c:ext xmlns:c16="http://schemas.microsoft.com/office/drawing/2014/chart" uri="{C3380CC4-5D6E-409C-BE32-E72D297353CC}">
              <c16:uniqueId val="{00000003-56DC-4261-B669-F08FC275638D}"/>
            </c:ext>
          </c:extLst>
        </c:ser>
        <c:ser>
          <c:idx val="17"/>
          <c:order val="4"/>
          <c:tx>
            <c:strRef>
              <c:f>Retirements_over_time!$B$32</c:f>
              <c:strCache>
                <c:ptCount val="1"/>
                <c:pt idx="0">
                  <c:v>Physics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Retirements_over_time!$C$32:$N$32</c:f>
              <c:numCache>
                <c:formatCode>#,##0</c:formatCode>
                <c:ptCount val="12"/>
                <c:pt idx="0">
                  <c:v>292.01605981262537</c:v>
                </c:pt>
                <c:pt idx="1">
                  <c:v>291.24985052597725</c:v>
                </c:pt>
                <c:pt idx="2">
                  <c:v>285.24425068109485</c:v>
                </c:pt>
                <c:pt idx="3">
                  <c:v>278.67074530552549</c:v>
                </c:pt>
                <c:pt idx="4">
                  <c:v>272.54982538620669</c:v>
                </c:pt>
                <c:pt idx="5">
                  <c:v>267.61177023480525</c:v>
                </c:pt>
                <c:pt idx="6">
                  <c:v>263.99622723737616</c:v>
                </c:pt>
                <c:pt idx="7">
                  <c:v>261.31072621523015</c:v>
                </c:pt>
                <c:pt idx="8">
                  <c:v>258.76845739071848</c:v>
                </c:pt>
                <c:pt idx="9">
                  <c:v>256.73048361093794</c:v>
                </c:pt>
                <c:pt idx="10">
                  <c:v>254.91307038555752</c:v>
                </c:pt>
                <c:pt idx="11">
                  <c:v>252.77401990738787</c:v>
                </c:pt>
              </c:numCache>
            </c:numRef>
          </c:val>
          <c:smooth val="0"/>
          <c:extLst>
            <c:ext xmlns:c16="http://schemas.microsoft.com/office/drawing/2014/chart" uri="{C3380CC4-5D6E-409C-BE32-E72D297353CC}">
              <c16:uniqueId val="{00000004-56DC-4261-B669-F08FC275638D}"/>
            </c:ext>
          </c:extLst>
        </c:ser>
        <c:ser>
          <c:idx val="18"/>
          <c:order val="5"/>
          <c:tx>
            <c:strRef>
              <c:f>Retirements_over_time!$B$33</c:f>
              <c:strCache>
                <c:ptCount val="1"/>
                <c:pt idx="0">
                  <c:v>Religious Education Retirements</c:v>
                </c:pt>
              </c:strCache>
            </c:strRef>
          </c:tx>
          <c:marker>
            <c:symbol val="none"/>
          </c:marker>
          <c:cat>
            <c:strRef>
              <c:f>Retirements_over_time!$C$13:$N$13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Retirements_over_time!$C$33:$N$33</c:f>
              <c:numCache>
                <c:formatCode>#,##0</c:formatCode>
                <c:ptCount val="12"/>
                <c:pt idx="0">
                  <c:v>197.80074950842032</c:v>
                </c:pt>
                <c:pt idx="1">
                  <c:v>187.45159920710557</c:v>
                </c:pt>
                <c:pt idx="2">
                  <c:v>179.03379791184864</c:v>
                </c:pt>
                <c:pt idx="3">
                  <c:v>172.91147565740692</c:v>
                </c:pt>
                <c:pt idx="4">
                  <c:v>168.17777453767221</c:v>
                </c:pt>
                <c:pt idx="5">
                  <c:v>164.72283905468879</c:v>
                </c:pt>
                <c:pt idx="6">
                  <c:v>162.19986461464254</c:v>
                </c:pt>
                <c:pt idx="7">
                  <c:v>161.27352814317936</c:v>
                </c:pt>
                <c:pt idx="8">
                  <c:v>161.35798825019742</c:v>
                </c:pt>
                <c:pt idx="9">
                  <c:v>161.24284034223021</c:v>
                </c:pt>
                <c:pt idx="10">
                  <c:v>160.98270670897449</c:v>
                </c:pt>
                <c:pt idx="11">
                  <c:v>160.9327104566656</c:v>
                </c:pt>
              </c:numCache>
            </c:numRef>
          </c:val>
          <c:smooth val="0"/>
          <c:extLst>
            <c:ext xmlns:c16="http://schemas.microsoft.com/office/drawing/2014/chart" uri="{C3380CC4-5D6E-409C-BE32-E72D297353CC}">
              <c16:uniqueId val="{00000005-56DC-4261-B669-F08FC275638D}"/>
            </c:ext>
          </c:extLst>
        </c:ser>
        <c:dLbls>
          <c:showLegendKey val="0"/>
          <c:showVal val="0"/>
          <c:showCatName val="0"/>
          <c:showSerName val="0"/>
          <c:showPercent val="0"/>
          <c:showBubbleSize val="0"/>
        </c:dLbls>
        <c:smooth val="0"/>
        <c:axId val="168569472"/>
        <c:axId val="168575360"/>
      </c:lineChart>
      <c:catAx>
        <c:axId val="1685694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75360"/>
        <c:crosses val="autoZero"/>
        <c:auto val="1"/>
        <c:lblAlgn val="ctr"/>
        <c:lblOffset val="100"/>
        <c:noMultiLvlLbl val="0"/>
      </c:catAx>
      <c:valAx>
        <c:axId val="1685753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69472"/>
        <c:crosses val="autoZero"/>
        <c:crossBetween val="between"/>
      </c:valAx>
      <c:spPr>
        <a:ln>
          <a:solidFill>
            <a:schemeClr val="tx1">
              <a:lumMod val="95000"/>
              <a:lumOff val="5000"/>
            </a:schemeClr>
          </a:solidFill>
        </a:ln>
      </c:spPr>
    </c:plotArea>
    <c:legend>
      <c:legendPos val="r"/>
      <c:layout>
        <c:manualLayout>
          <c:xMode val="edge"/>
          <c:yMode val="edge"/>
          <c:x val="0.77639865668965291"/>
          <c:y val="1.6871326666988713E-2"/>
          <c:w val="0.20885117621166915"/>
          <c:h val="0.921781878492182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9"/>
          <c:order val="0"/>
          <c:tx>
            <c:strRef>
              <c:f>Deaths_over_time!$B$34</c:f>
              <c:strCache>
                <c:ptCount val="1"/>
                <c:pt idx="0">
                  <c:v>Total Deaths</c:v>
                </c:pt>
              </c:strCache>
            </c:strRef>
          </c:tx>
          <c:spPr>
            <a:ln>
              <a:solidFill>
                <a:srgbClr val="FF0000"/>
              </a:solidFill>
            </a:ln>
          </c:spPr>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Deaths_over_time!$C$34:$N$34</c:f>
              <c:numCache>
                <c:formatCode>0</c:formatCode>
                <c:ptCount val="12"/>
                <c:pt idx="0">
                  <c:v>283.91239435925326</c:v>
                </c:pt>
                <c:pt idx="1">
                  <c:v>284.72534271678529</c:v>
                </c:pt>
                <c:pt idx="2">
                  <c:v>284.75952047843339</c:v>
                </c:pt>
                <c:pt idx="3">
                  <c:v>284.29247718523476</c:v>
                </c:pt>
                <c:pt idx="4">
                  <c:v>283.84073587097112</c:v>
                </c:pt>
                <c:pt idx="5">
                  <c:v>283.59197072886695</c:v>
                </c:pt>
                <c:pt idx="6">
                  <c:v>283.54670710782625</c:v>
                </c:pt>
                <c:pt idx="7">
                  <c:v>283.90208853004862</c:v>
                </c:pt>
                <c:pt idx="8">
                  <c:v>284.22900574275349</c:v>
                </c:pt>
                <c:pt idx="9">
                  <c:v>284.41505111138088</c:v>
                </c:pt>
                <c:pt idx="10">
                  <c:v>284.40467016972866</c:v>
                </c:pt>
                <c:pt idx="11">
                  <c:v>284.33745463955438</c:v>
                </c:pt>
              </c:numCache>
            </c:numRef>
          </c:val>
          <c:smooth val="0"/>
          <c:extLst>
            <c:ext xmlns:c16="http://schemas.microsoft.com/office/drawing/2014/chart" uri="{C3380CC4-5D6E-409C-BE32-E72D297353CC}">
              <c16:uniqueId val="{00000000-E0C7-46BD-8A0B-D19143F4151E}"/>
            </c:ext>
          </c:extLst>
        </c:ser>
        <c:ser>
          <c:idx val="0"/>
          <c:order val="1"/>
          <c:tx>
            <c:strRef>
              <c:f>Deaths_over_time!$B$14</c:f>
              <c:strCache>
                <c:ptCount val="1"/>
                <c:pt idx="0">
                  <c:v>Primary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Deaths_over_time!$C$14:$N$14</c:f>
              <c:numCache>
                <c:formatCode>0</c:formatCode>
                <c:ptCount val="12"/>
                <c:pt idx="0">
                  <c:v>139.7185757212942</c:v>
                </c:pt>
                <c:pt idx="1">
                  <c:v>140.51779296808175</c:v>
                </c:pt>
                <c:pt idx="2">
                  <c:v>140.45037584672642</c:v>
                </c:pt>
                <c:pt idx="3">
                  <c:v>139.88163053099592</c:v>
                </c:pt>
                <c:pt idx="4">
                  <c:v>139.34638702601171</c:v>
                </c:pt>
                <c:pt idx="5">
                  <c:v>138.81986781332816</c:v>
                </c:pt>
                <c:pt idx="6">
                  <c:v>138.30799970793373</c:v>
                </c:pt>
                <c:pt idx="7">
                  <c:v>137.79869884641153</c:v>
                </c:pt>
                <c:pt idx="8">
                  <c:v>137.56902860683539</c:v>
                </c:pt>
                <c:pt idx="9">
                  <c:v>137.55631123749336</c:v>
                </c:pt>
                <c:pt idx="10">
                  <c:v>137.62097654505649</c:v>
                </c:pt>
                <c:pt idx="11">
                  <c:v>137.67307017714899</c:v>
                </c:pt>
              </c:numCache>
            </c:numRef>
          </c:val>
          <c:smooth val="0"/>
          <c:extLst>
            <c:ext xmlns:c16="http://schemas.microsoft.com/office/drawing/2014/chart" uri="{C3380CC4-5D6E-409C-BE32-E72D297353CC}">
              <c16:uniqueId val="{00000001-E0C7-46BD-8A0B-D19143F4151E}"/>
            </c:ext>
          </c:extLst>
        </c:ser>
        <c:dLbls>
          <c:showLegendKey val="0"/>
          <c:showVal val="0"/>
          <c:showCatName val="0"/>
          <c:showSerName val="0"/>
          <c:showPercent val="0"/>
          <c:showBubbleSize val="0"/>
        </c:dLbls>
        <c:smooth val="0"/>
        <c:axId val="167426304"/>
        <c:axId val="167436288"/>
      </c:lineChart>
      <c:catAx>
        <c:axId val="167426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36288"/>
        <c:crosses val="autoZero"/>
        <c:auto val="1"/>
        <c:lblAlgn val="ctr"/>
        <c:lblOffset val="100"/>
        <c:noMultiLvlLbl val="0"/>
      </c:catAx>
      <c:valAx>
        <c:axId val="16743628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26304"/>
        <c:crosses val="autoZero"/>
        <c:crossBetween val="between"/>
      </c:valAx>
      <c:spPr>
        <a:ln>
          <a:solidFill>
            <a:schemeClr val="tx1">
              <a:lumMod val="95000"/>
              <a:lumOff val="5000"/>
            </a:schemeClr>
          </a:solidFill>
        </a:ln>
      </c:spPr>
    </c:plotArea>
    <c:legend>
      <c:legendPos val="r"/>
      <c:layout>
        <c:manualLayout>
          <c:xMode val="edge"/>
          <c:yMode val="edge"/>
          <c:x val="0.71655943453873994"/>
          <c:y val="6.0764071157771944E-2"/>
          <c:w val="0.26564206514247718"/>
          <c:h val="0.8402792359288421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
          <c:order val="0"/>
          <c:tx>
            <c:strRef>
              <c:f>Deaths_over_time!$B$15</c:f>
              <c:strCache>
                <c:ptCount val="1"/>
                <c:pt idx="0">
                  <c:v>Art &amp; Design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Deaths_over_time!$C$15:$N$15</c:f>
              <c:numCache>
                <c:formatCode>0</c:formatCode>
                <c:ptCount val="12"/>
                <c:pt idx="0">
                  <c:v>5.9717388910167131</c:v>
                </c:pt>
                <c:pt idx="1">
                  <c:v>5.8784221912961723</c:v>
                </c:pt>
                <c:pt idx="2">
                  <c:v>5.7974893576853654</c:v>
                </c:pt>
                <c:pt idx="3">
                  <c:v>5.7270648814030949</c:v>
                </c:pt>
                <c:pt idx="4">
                  <c:v>5.6534946120506664</c:v>
                </c:pt>
                <c:pt idx="5">
                  <c:v>5.5769272229370319</c:v>
                </c:pt>
                <c:pt idx="6">
                  <c:v>5.497219149287516</c:v>
                </c:pt>
                <c:pt idx="7">
                  <c:v>5.4449282621282364</c:v>
                </c:pt>
                <c:pt idx="8">
                  <c:v>5.4112144334625336</c:v>
                </c:pt>
                <c:pt idx="9">
                  <c:v>5.3621639242979526</c:v>
                </c:pt>
                <c:pt idx="10">
                  <c:v>5.3064669884013318</c:v>
                </c:pt>
                <c:pt idx="11">
                  <c:v>5.2645689396474538</c:v>
                </c:pt>
              </c:numCache>
            </c:numRef>
          </c:val>
          <c:smooth val="0"/>
          <c:extLst>
            <c:ext xmlns:c16="http://schemas.microsoft.com/office/drawing/2014/chart" uri="{C3380CC4-5D6E-409C-BE32-E72D297353CC}">
              <c16:uniqueId val="{00000000-3E31-45A2-937D-9B92250245D0}"/>
            </c:ext>
          </c:extLst>
        </c:ser>
        <c:ser>
          <c:idx val="2"/>
          <c:order val="1"/>
          <c:tx>
            <c:strRef>
              <c:f>Deaths_over_time!$B$16</c:f>
              <c:strCache>
                <c:ptCount val="1"/>
                <c:pt idx="0">
                  <c:v>Biology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Deaths_over_time!$C$16:$N$16</c:f>
              <c:numCache>
                <c:formatCode>0</c:formatCode>
                <c:ptCount val="12"/>
                <c:pt idx="0">
                  <c:v>7.4976744162598683</c:v>
                </c:pt>
                <c:pt idx="1">
                  <c:v>7.6983752572122555</c:v>
                </c:pt>
                <c:pt idx="2">
                  <c:v>7.7872742581655929</c:v>
                </c:pt>
                <c:pt idx="3">
                  <c:v>7.859629848890064</c:v>
                </c:pt>
                <c:pt idx="4">
                  <c:v>7.9256398063693307</c:v>
                </c:pt>
                <c:pt idx="5">
                  <c:v>7.9998328008311574</c:v>
                </c:pt>
                <c:pt idx="6">
                  <c:v>8.0842311208547688</c:v>
                </c:pt>
                <c:pt idx="7">
                  <c:v>8.1732837071219624</c:v>
                </c:pt>
                <c:pt idx="8">
                  <c:v>8.2415641198464016</c:v>
                </c:pt>
                <c:pt idx="9">
                  <c:v>8.2932507362791625</c:v>
                </c:pt>
                <c:pt idx="10">
                  <c:v>8.3267734737062504</c:v>
                </c:pt>
                <c:pt idx="11">
                  <c:v>8.3371336543583201</c:v>
                </c:pt>
              </c:numCache>
            </c:numRef>
          </c:val>
          <c:smooth val="0"/>
          <c:extLst>
            <c:ext xmlns:c16="http://schemas.microsoft.com/office/drawing/2014/chart" uri="{C3380CC4-5D6E-409C-BE32-E72D297353CC}">
              <c16:uniqueId val="{00000001-3E31-45A2-937D-9B92250245D0}"/>
            </c:ext>
          </c:extLst>
        </c:ser>
        <c:ser>
          <c:idx val="3"/>
          <c:order val="2"/>
          <c:tx>
            <c:strRef>
              <c:f>Deaths_over_time!$B$17</c:f>
              <c:strCache>
                <c:ptCount val="1"/>
                <c:pt idx="0">
                  <c:v>Business Studies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Deaths_over_time!$C$17:$N$17</c:f>
              <c:numCache>
                <c:formatCode>0</c:formatCode>
                <c:ptCount val="12"/>
                <c:pt idx="0">
                  <c:v>3.0215373653203184</c:v>
                </c:pt>
                <c:pt idx="1">
                  <c:v>2.9295938245803406</c:v>
                </c:pt>
                <c:pt idx="2">
                  <c:v>2.8677031470255807</c:v>
                </c:pt>
                <c:pt idx="3">
                  <c:v>2.8116678549825442</c:v>
                </c:pt>
                <c:pt idx="4">
                  <c:v>2.7748937162328735</c:v>
                </c:pt>
                <c:pt idx="5">
                  <c:v>2.7480838630664479</c:v>
                </c:pt>
                <c:pt idx="6">
                  <c:v>2.7342449383203871</c:v>
                </c:pt>
                <c:pt idx="7">
                  <c:v>2.7250965898110389</c:v>
                </c:pt>
                <c:pt idx="8">
                  <c:v>2.7287067991749772</c:v>
                </c:pt>
                <c:pt idx="9">
                  <c:v>2.7346060717011715</c:v>
                </c:pt>
                <c:pt idx="10">
                  <c:v>2.7406262130988175</c:v>
                </c:pt>
                <c:pt idx="11">
                  <c:v>2.7347551324392452</c:v>
                </c:pt>
              </c:numCache>
            </c:numRef>
          </c:val>
          <c:smooth val="0"/>
          <c:extLst>
            <c:ext xmlns:c16="http://schemas.microsoft.com/office/drawing/2014/chart" uri="{C3380CC4-5D6E-409C-BE32-E72D297353CC}">
              <c16:uniqueId val="{00000002-3E31-45A2-937D-9B92250245D0}"/>
            </c:ext>
          </c:extLst>
        </c:ser>
        <c:ser>
          <c:idx val="4"/>
          <c:order val="3"/>
          <c:tx>
            <c:strRef>
              <c:f>Deaths_over_time!$B$18</c:f>
              <c:strCache>
                <c:ptCount val="1"/>
                <c:pt idx="0">
                  <c:v>Chemistry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Deaths_over_time!$C$18:$N$18</c:f>
              <c:numCache>
                <c:formatCode>0</c:formatCode>
                <c:ptCount val="12"/>
                <c:pt idx="0">
                  <c:v>7.412103254371198</c:v>
                </c:pt>
                <c:pt idx="1">
                  <c:v>7.4651658856432839</c:v>
                </c:pt>
                <c:pt idx="2">
                  <c:v>7.4559058714339743</c:v>
                </c:pt>
                <c:pt idx="3">
                  <c:v>7.4438813034011861</c:v>
                </c:pt>
                <c:pt idx="4">
                  <c:v>7.4389433069400113</c:v>
                </c:pt>
                <c:pt idx="5">
                  <c:v>7.4521284139056725</c:v>
                </c:pt>
                <c:pt idx="6">
                  <c:v>7.484828054373013</c:v>
                </c:pt>
                <c:pt idx="7">
                  <c:v>7.5254041857198466</c:v>
                </c:pt>
                <c:pt idx="8">
                  <c:v>7.5549767009439286</c:v>
                </c:pt>
                <c:pt idx="9">
                  <c:v>7.5806604689417778</c:v>
                </c:pt>
                <c:pt idx="10">
                  <c:v>7.5973345067860434</c:v>
                </c:pt>
                <c:pt idx="11">
                  <c:v>7.5923291325049789</c:v>
                </c:pt>
              </c:numCache>
            </c:numRef>
          </c:val>
          <c:smooth val="0"/>
          <c:extLst>
            <c:ext xmlns:c16="http://schemas.microsoft.com/office/drawing/2014/chart" uri="{C3380CC4-5D6E-409C-BE32-E72D297353CC}">
              <c16:uniqueId val="{00000003-3E31-45A2-937D-9B92250245D0}"/>
            </c:ext>
          </c:extLst>
        </c:ser>
        <c:ser>
          <c:idx val="5"/>
          <c:order val="4"/>
          <c:tx>
            <c:strRef>
              <c:f>Deaths_over_time!$B$19</c:f>
              <c:strCache>
                <c:ptCount val="1"/>
                <c:pt idx="0">
                  <c:v>Classics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Deaths_over_time!$C$19:$N$19</c:f>
              <c:numCache>
                <c:formatCode>0</c:formatCode>
                <c:ptCount val="12"/>
                <c:pt idx="0">
                  <c:v>0.30608116448462452</c:v>
                </c:pt>
                <c:pt idx="1">
                  <c:v>0.27262463365413386</c:v>
                </c:pt>
                <c:pt idx="2">
                  <c:v>0.25018161682239148</c:v>
                </c:pt>
                <c:pt idx="3">
                  <c:v>0.23452331260463688</c:v>
                </c:pt>
                <c:pt idx="4">
                  <c:v>0.22412610218724838</c:v>
                </c:pt>
                <c:pt idx="5">
                  <c:v>0.21727414155925173</c:v>
                </c:pt>
                <c:pt idx="6">
                  <c:v>0.21315297733086319</c:v>
                </c:pt>
                <c:pt idx="7">
                  <c:v>0.21121204633072441</c:v>
                </c:pt>
                <c:pt idx="8">
                  <c:v>0.21036329806423668</c:v>
                </c:pt>
                <c:pt idx="9">
                  <c:v>0.20969866879929966</c:v>
                </c:pt>
                <c:pt idx="10">
                  <c:v>0.20924204201020336</c:v>
                </c:pt>
                <c:pt idx="11">
                  <c:v>0.20920388526931327</c:v>
                </c:pt>
              </c:numCache>
            </c:numRef>
          </c:val>
          <c:smooth val="0"/>
          <c:extLst>
            <c:ext xmlns:c16="http://schemas.microsoft.com/office/drawing/2014/chart" uri="{C3380CC4-5D6E-409C-BE32-E72D297353CC}">
              <c16:uniqueId val="{00000004-3E31-45A2-937D-9B92250245D0}"/>
            </c:ext>
          </c:extLst>
        </c:ser>
        <c:ser>
          <c:idx val="6"/>
          <c:order val="5"/>
          <c:tx>
            <c:strRef>
              <c:f>Deaths_over_time!$B$20</c:f>
              <c:strCache>
                <c:ptCount val="1"/>
                <c:pt idx="0">
                  <c:v>Computing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Deaths_over_time!$C$20:$N$20</c:f>
              <c:numCache>
                <c:formatCode>0</c:formatCode>
                <c:ptCount val="12"/>
                <c:pt idx="0">
                  <c:v>5.4105038317506446</c:v>
                </c:pt>
                <c:pt idx="1">
                  <c:v>5.3053335760748332</c:v>
                </c:pt>
                <c:pt idx="2">
                  <c:v>5.2377414537024407</c:v>
                </c:pt>
                <c:pt idx="3">
                  <c:v>5.1818711316948818</c:v>
                </c:pt>
                <c:pt idx="4">
                  <c:v>5.1281774491339762</c:v>
                </c:pt>
                <c:pt idx="5">
                  <c:v>5.0742436434207292</c:v>
                </c:pt>
                <c:pt idx="6">
                  <c:v>5.020146642410932</c:v>
                </c:pt>
                <c:pt idx="7">
                  <c:v>4.9878693519806978</c:v>
                </c:pt>
                <c:pt idx="8">
                  <c:v>4.9728463543147896</c:v>
                </c:pt>
                <c:pt idx="9">
                  <c:v>4.9479632959327979</c:v>
                </c:pt>
                <c:pt idx="10">
                  <c:v>4.9173801601348481</c:v>
                </c:pt>
                <c:pt idx="11">
                  <c:v>4.8908321000728776</c:v>
                </c:pt>
              </c:numCache>
            </c:numRef>
          </c:val>
          <c:smooth val="0"/>
          <c:extLst>
            <c:ext xmlns:c16="http://schemas.microsoft.com/office/drawing/2014/chart" uri="{C3380CC4-5D6E-409C-BE32-E72D297353CC}">
              <c16:uniqueId val="{00000005-3E31-45A2-937D-9B92250245D0}"/>
            </c:ext>
          </c:extLst>
        </c:ser>
        <c:dLbls>
          <c:showLegendKey val="0"/>
          <c:showVal val="0"/>
          <c:showCatName val="0"/>
          <c:showSerName val="0"/>
          <c:showPercent val="0"/>
          <c:showBubbleSize val="0"/>
        </c:dLbls>
        <c:smooth val="0"/>
        <c:axId val="167450496"/>
        <c:axId val="167452032"/>
      </c:lineChart>
      <c:catAx>
        <c:axId val="1674504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52032"/>
        <c:crosses val="autoZero"/>
        <c:auto val="1"/>
        <c:lblAlgn val="ctr"/>
        <c:lblOffset val="100"/>
        <c:noMultiLvlLbl val="0"/>
      </c:catAx>
      <c:valAx>
        <c:axId val="1674520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50496"/>
        <c:crosses val="autoZero"/>
        <c:crossBetween val="between"/>
      </c:valAx>
      <c:spPr>
        <a:ln>
          <a:solidFill>
            <a:schemeClr val="tx1">
              <a:lumMod val="95000"/>
              <a:lumOff val="5000"/>
            </a:schemeClr>
          </a:solidFill>
        </a:ln>
      </c:spPr>
    </c:plotArea>
    <c:legend>
      <c:legendPos val="r"/>
      <c:layout>
        <c:manualLayout>
          <c:xMode val="edge"/>
          <c:yMode val="edge"/>
          <c:x val="0.71786949045162463"/>
          <c:y val="1.9031323506706992E-2"/>
          <c:w val="0.26332321312500506"/>
          <c:h val="0.859861773333696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7"/>
          <c:order val="0"/>
          <c:tx>
            <c:strRef>
              <c:f>Deaths_over_time!$B$21</c:f>
              <c:strCache>
                <c:ptCount val="1"/>
                <c:pt idx="0">
                  <c:v>Design &amp; Technology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Deaths_over_time!$C$21:$N$21</c:f>
              <c:numCache>
                <c:formatCode>0</c:formatCode>
                <c:ptCount val="12"/>
                <c:pt idx="0">
                  <c:v>8.5055013213957231</c:v>
                </c:pt>
                <c:pt idx="1">
                  <c:v>8.2135739065046831</c:v>
                </c:pt>
                <c:pt idx="2">
                  <c:v>7.9438617422790259</c:v>
                </c:pt>
                <c:pt idx="3">
                  <c:v>7.7116101326011472</c:v>
                </c:pt>
                <c:pt idx="4">
                  <c:v>7.4927303157937359</c:v>
                </c:pt>
                <c:pt idx="5">
                  <c:v>7.2895800416429974</c:v>
                </c:pt>
                <c:pt idx="6">
                  <c:v>7.0981246525610917</c:v>
                </c:pt>
                <c:pt idx="7">
                  <c:v>6.9663229554343058</c:v>
                </c:pt>
                <c:pt idx="8">
                  <c:v>6.8733179103308562</c:v>
                </c:pt>
                <c:pt idx="9">
                  <c:v>6.7705035037744725</c:v>
                </c:pt>
                <c:pt idx="10">
                  <c:v>6.6686830153478294</c:v>
                </c:pt>
                <c:pt idx="11">
                  <c:v>6.6015828256376388</c:v>
                </c:pt>
              </c:numCache>
            </c:numRef>
          </c:val>
          <c:smooth val="0"/>
          <c:extLst>
            <c:ext xmlns:c16="http://schemas.microsoft.com/office/drawing/2014/chart" uri="{C3380CC4-5D6E-409C-BE32-E72D297353CC}">
              <c16:uniqueId val="{00000000-A226-488A-AA6C-6193EBF58AF2}"/>
            </c:ext>
          </c:extLst>
        </c:ser>
        <c:ser>
          <c:idx val="8"/>
          <c:order val="1"/>
          <c:tx>
            <c:strRef>
              <c:f>Deaths_over_time!$B$22</c:f>
              <c:strCache>
                <c:ptCount val="1"/>
                <c:pt idx="0">
                  <c:v>Drama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Deaths_over_time!$C$22:$N$22</c:f>
              <c:numCache>
                <c:formatCode>0</c:formatCode>
                <c:ptCount val="12"/>
                <c:pt idx="0">
                  <c:v>2.7827405632388205</c:v>
                </c:pt>
                <c:pt idx="1">
                  <c:v>2.8134440988214982</c:v>
                </c:pt>
                <c:pt idx="2">
                  <c:v>2.8414005983733688</c:v>
                </c:pt>
                <c:pt idx="3">
                  <c:v>2.8760528154279763</c:v>
                </c:pt>
                <c:pt idx="4">
                  <c:v>2.9038882392077485</c:v>
                </c:pt>
                <c:pt idx="5">
                  <c:v>2.9242302433580107</c:v>
                </c:pt>
                <c:pt idx="6">
                  <c:v>2.9358521877157995</c:v>
                </c:pt>
                <c:pt idx="7">
                  <c:v>2.959855215545514</c:v>
                </c:pt>
                <c:pt idx="8">
                  <c:v>2.9887037364983158</c:v>
                </c:pt>
                <c:pt idx="9">
                  <c:v>3.0007525147098866</c:v>
                </c:pt>
                <c:pt idx="10">
                  <c:v>3.0024762640397715</c:v>
                </c:pt>
                <c:pt idx="11">
                  <c:v>3.0100193187013562</c:v>
                </c:pt>
              </c:numCache>
            </c:numRef>
          </c:val>
          <c:smooth val="0"/>
          <c:extLst>
            <c:ext xmlns:c16="http://schemas.microsoft.com/office/drawing/2014/chart" uri="{C3380CC4-5D6E-409C-BE32-E72D297353CC}">
              <c16:uniqueId val="{00000001-A226-488A-AA6C-6193EBF58AF2}"/>
            </c:ext>
          </c:extLst>
        </c:ser>
        <c:ser>
          <c:idx val="9"/>
          <c:order val="2"/>
          <c:tx>
            <c:strRef>
              <c:f>Deaths_over_time!$B$23</c:f>
              <c:strCache>
                <c:ptCount val="1"/>
                <c:pt idx="0">
                  <c:v>English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Deaths_over_time!$C$23:$N$23</c:f>
              <c:numCache>
                <c:formatCode>0</c:formatCode>
                <c:ptCount val="12"/>
                <c:pt idx="0">
                  <c:v>18.593571124023153</c:v>
                </c:pt>
                <c:pt idx="1">
                  <c:v>18.930764319357159</c:v>
                </c:pt>
                <c:pt idx="2">
                  <c:v>19.302007950133952</c:v>
                </c:pt>
                <c:pt idx="3">
                  <c:v>19.493494181094896</c:v>
                </c:pt>
                <c:pt idx="4">
                  <c:v>19.643117873231486</c:v>
                </c:pt>
                <c:pt idx="5">
                  <c:v>19.805034436085403</c:v>
                </c:pt>
                <c:pt idx="6">
                  <c:v>19.980232147408294</c:v>
                </c:pt>
                <c:pt idx="7">
                  <c:v>20.187996400925933</c:v>
                </c:pt>
                <c:pt idx="8">
                  <c:v>20.331911290409497</c:v>
                </c:pt>
                <c:pt idx="9">
                  <c:v>20.433462287147432</c:v>
                </c:pt>
                <c:pt idx="10">
                  <c:v>20.491247856942579</c:v>
                </c:pt>
                <c:pt idx="11">
                  <c:v>20.514484454637945</c:v>
                </c:pt>
              </c:numCache>
            </c:numRef>
          </c:val>
          <c:smooth val="0"/>
          <c:extLst>
            <c:ext xmlns:c16="http://schemas.microsoft.com/office/drawing/2014/chart" uri="{C3380CC4-5D6E-409C-BE32-E72D297353CC}">
              <c16:uniqueId val="{00000002-A226-488A-AA6C-6193EBF58AF2}"/>
            </c:ext>
          </c:extLst>
        </c:ser>
        <c:ser>
          <c:idx val="0"/>
          <c:order val="3"/>
          <c:tx>
            <c:strRef>
              <c:f>Deaths_over_time!$B$24</c:f>
              <c:strCache>
                <c:ptCount val="1"/>
                <c:pt idx="0">
                  <c:v>Food Deaths</c:v>
                </c:pt>
              </c:strCache>
            </c:strRef>
          </c:tx>
          <c:marker>
            <c:symbol val="none"/>
          </c:marker>
          <c:val>
            <c:numRef>
              <c:f>Deaths_over_time!$C$24:$N$24</c:f>
              <c:numCache>
                <c:formatCode>0</c:formatCode>
                <c:ptCount val="12"/>
                <c:pt idx="0">
                  <c:v>1.7892105290084455</c:v>
                </c:pt>
                <c:pt idx="1">
                  <c:v>1.6877225643112226</c:v>
                </c:pt>
                <c:pt idx="2">
                  <c:v>1.6123933373553416</c:v>
                </c:pt>
                <c:pt idx="3">
                  <c:v>1.5465302139655435</c:v>
                </c:pt>
                <c:pt idx="4">
                  <c:v>1.4836261224729999</c:v>
                </c:pt>
                <c:pt idx="5">
                  <c:v>1.42726618656724</c:v>
                </c:pt>
                <c:pt idx="6">
                  <c:v>1.3776074476274363</c:v>
                </c:pt>
                <c:pt idx="7">
                  <c:v>1.3379930340109329</c:v>
                </c:pt>
                <c:pt idx="8">
                  <c:v>1.3080122203017017</c:v>
                </c:pt>
                <c:pt idx="9">
                  <c:v>1.2836424108152924</c:v>
                </c:pt>
                <c:pt idx="10">
                  <c:v>1.2628537946037077</c:v>
                </c:pt>
                <c:pt idx="11">
                  <c:v>1.2424830807980529</c:v>
                </c:pt>
              </c:numCache>
            </c:numRef>
          </c:val>
          <c:smooth val="0"/>
          <c:extLst>
            <c:ext xmlns:c16="http://schemas.microsoft.com/office/drawing/2014/chart" uri="{C3380CC4-5D6E-409C-BE32-E72D297353CC}">
              <c16:uniqueId val="{00000003-A226-488A-AA6C-6193EBF58AF2}"/>
            </c:ext>
          </c:extLst>
        </c:ser>
        <c:ser>
          <c:idx val="10"/>
          <c:order val="4"/>
          <c:tx>
            <c:strRef>
              <c:f>Deaths_over_time!$B$25</c:f>
              <c:strCache>
                <c:ptCount val="1"/>
                <c:pt idx="0">
                  <c:v>Geography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Deaths_over_time!$C$25:$N$25</c:f>
              <c:numCache>
                <c:formatCode>0</c:formatCode>
                <c:ptCount val="12"/>
                <c:pt idx="0">
                  <c:v>6.7159661703889997</c:v>
                </c:pt>
                <c:pt idx="1">
                  <c:v>6.8943252364385978</c:v>
                </c:pt>
                <c:pt idx="2">
                  <c:v>7.0410026734656013</c:v>
                </c:pt>
                <c:pt idx="3">
                  <c:v>7.1721327560225649</c:v>
                </c:pt>
                <c:pt idx="4">
                  <c:v>7.2838035231815947</c:v>
                </c:pt>
                <c:pt idx="5">
                  <c:v>7.3844389470472054</c:v>
                </c:pt>
                <c:pt idx="6">
                  <c:v>7.4738889213212651</c:v>
                </c:pt>
                <c:pt idx="7">
                  <c:v>7.5787280699679407</c:v>
                </c:pt>
                <c:pt idx="8">
                  <c:v>7.6510822735044659</c:v>
                </c:pt>
                <c:pt idx="9">
                  <c:v>7.6879084593930376</c:v>
                </c:pt>
                <c:pt idx="10">
                  <c:v>7.6995809379455782</c:v>
                </c:pt>
                <c:pt idx="11">
                  <c:v>7.7131795035014594</c:v>
                </c:pt>
              </c:numCache>
            </c:numRef>
          </c:val>
          <c:smooth val="0"/>
          <c:extLst>
            <c:ext xmlns:c16="http://schemas.microsoft.com/office/drawing/2014/chart" uri="{C3380CC4-5D6E-409C-BE32-E72D297353CC}">
              <c16:uniqueId val="{00000004-A226-488A-AA6C-6193EBF58AF2}"/>
            </c:ext>
          </c:extLst>
        </c:ser>
        <c:ser>
          <c:idx val="11"/>
          <c:order val="5"/>
          <c:tx>
            <c:strRef>
              <c:f>Deaths_over_time!$B$26</c:f>
              <c:strCache>
                <c:ptCount val="1"/>
                <c:pt idx="0">
                  <c:v>History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Deaths_over_time!$C$26:$N$26</c:f>
              <c:numCache>
                <c:formatCode>0</c:formatCode>
                <c:ptCount val="12"/>
                <c:pt idx="0">
                  <c:v>7.0854953229007904</c:v>
                </c:pt>
                <c:pt idx="1">
                  <c:v>7.2831308081703536</c:v>
                </c:pt>
                <c:pt idx="2">
                  <c:v>7.4390623994963718</c:v>
                </c:pt>
                <c:pt idx="3">
                  <c:v>7.5750383569601869</c:v>
                </c:pt>
                <c:pt idx="4">
                  <c:v>7.692152959693539</c:v>
                </c:pt>
                <c:pt idx="5">
                  <c:v>7.7988949344473122</c:v>
                </c:pt>
                <c:pt idx="6">
                  <c:v>7.896186638220648</c:v>
                </c:pt>
                <c:pt idx="7">
                  <c:v>8.009650892371404</c:v>
                </c:pt>
                <c:pt idx="8">
                  <c:v>8.0914776315247572</c:v>
                </c:pt>
                <c:pt idx="9">
                  <c:v>8.1372320655956081</c:v>
                </c:pt>
                <c:pt idx="10">
                  <c:v>8.1574257568990305</c:v>
                </c:pt>
                <c:pt idx="11">
                  <c:v>8.1785698416780832</c:v>
                </c:pt>
              </c:numCache>
            </c:numRef>
          </c:val>
          <c:smooth val="0"/>
          <c:extLst>
            <c:ext xmlns:c16="http://schemas.microsoft.com/office/drawing/2014/chart" uri="{C3380CC4-5D6E-409C-BE32-E72D297353CC}">
              <c16:uniqueId val="{00000005-A226-488A-AA6C-6193EBF58AF2}"/>
            </c:ext>
          </c:extLst>
        </c:ser>
        <c:ser>
          <c:idx val="12"/>
          <c:order val="6"/>
          <c:tx>
            <c:strRef>
              <c:f>Deaths_over_time!$B$27</c:f>
              <c:strCache>
                <c:ptCount val="1"/>
                <c:pt idx="0">
                  <c:v>Mathematics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Deaths_over_time!$C$27:$N$27</c:f>
              <c:numCache>
                <c:formatCode>0</c:formatCode>
                <c:ptCount val="12"/>
                <c:pt idx="0">
                  <c:v>23.10267867268248</c:v>
                </c:pt>
                <c:pt idx="1">
                  <c:v>22.929317686447167</c:v>
                </c:pt>
                <c:pt idx="2">
                  <c:v>22.715199697065273</c:v>
                </c:pt>
                <c:pt idx="3">
                  <c:v>22.556354370100021</c:v>
                </c:pt>
                <c:pt idx="4">
                  <c:v>22.373598362230979</c:v>
                </c:pt>
                <c:pt idx="5">
                  <c:v>22.264822730278979</c:v>
                </c:pt>
                <c:pt idx="6">
                  <c:v>22.221543654067638</c:v>
                </c:pt>
                <c:pt idx="7">
                  <c:v>22.257541711892841</c:v>
                </c:pt>
                <c:pt idx="8">
                  <c:v>22.266498552998534</c:v>
                </c:pt>
                <c:pt idx="9">
                  <c:v>22.252632202806375</c:v>
                </c:pt>
                <c:pt idx="10">
                  <c:v>22.216565729041093</c:v>
                </c:pt>
                <c:pt idx="11">
                  <c:v>22.172417913220563</c:v>
                </c:pt>
              </c:numCache>
            </c:numRef>
          </c:val>
          <c:smooth val="0"/>
          <c:extLst>
            <c:ext xmlns:c16="http://schemas.microsoft.com/office/drawing/2014/chart" uri="{C3380CC4-5D6E-409C-BE32-E72D297353CC}">
              <c16:uniqueId val="{00000006-A226-488A-AA6C-6193EBF58AF2}"/>
            </c:ext>
          </c:extLst>
        </c:ser>
        <c:dLbls>
          <c:showLegendKey val="0"/>
          <c:showVal val="0"/>
          <c:showCatName val="0"/>
          <c:showSerName val="0"/>
          <c:showPercent val="0"/>
          <c:showBubbleSize val="0"/>
        </c:dLbls>
        <c:smooth val="0"/>
        <c:axId val="167508608"/>
        <c:axId val="167842176"/>
      </c:lineChart>
      <c:catAx>
        <c:axId val="1675086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42176"/>
        <c:crosses val="autoZero"/>
        <c:auto val="1"/>
        <c:lblAlgn val="ctr"/>
        <c:lblOffset val="100"/>
        <c:noMultiLvlLbl val="0"/>
      </c:catAx>
      <c:valAx>
        <c:axId val="1678421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508608"/>
        <c:crosses val="autoZero"/>
        <c:crossBetween val="between"/>
      </c:valAx>
      <c:spPr>
        <a:ln>
          <a:solidFill>
            <a:schemeClr val="tx1">
              <a:lumMod val="95000"/>
              <a:lumOff val="5000"/>
            </a:schemeClr>
          </a:solidFill>
        </a:ln>
      </c:spPr>
    </c:plotArea>
    <c:legend>
      <c:legendPos val="r"/>
      <c:layout>
        <c:manualLayout>
          <c:xMode val="edge"/>
          <c:yMode val="edge"/>
          <c:x val="0.72697899838449109"/>
          <c:y val="1.9031323506706992E-2"/>
          <c:w val="0.2560582431234868"/>
          <c:h val="0.7958477508650518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3"/>
          <c:order val="0"/>
          <c:tx>
            <c:strRef>
              <c:f>Deaths_over_time!$B$28</c:f>
              <c:strCache>
                <c:ptCount val="1"/>
                <c:pt idx="0">
                  <c:v>Modern Foreign Languages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Deaths_over_time!$C$28:$N$28</c:f>
              <c:numCache>
                <c:formatCode>0</c:formatCode>
                <c:ptCount val="12"/>
                <c:pt idx="0">
                  <c:v>10.816640683616745</c:v>
                </c:pt>
                <c:pt idx="1">
                  <c:v>10.80126284415457</c:v>
                </c:pt>
                <c:pt idx="2">
                  <c:v>10.926896858858337</c:v>
                </c:pt>
                <c:pt idx="3">
                  <c:v>11.064971017096614</c:v>
                </c:pt>
                <c:pt idx="4">
                  <c:v>11.233665518409898</c:v>
                </c:pt>
                <c:pt idx="5">
                  <c:v>11.476148507981826</c:v>
                </c:pt>
                <c:pt idx="6">
                  <c:v>11.795106518117402</c:v>
                </c:pt>
                <c:pt idx="7">
                  <c:v>12.108114849131455</c:v>
                </c:pt>
                <c:pt idx="8">
                  <c:v>12.136999480570898</c:v>
                </c:pt>
                <c:pt idx="9">
                  <c:v>12.112248256970027</c:v>
                </c:pt>
                <c:pt idx="10">
                  <c:v>12.053074450386518</c:v>
                </c:pt>
                <c:pt idx="11">
                  <c:v>12.011979464130512</c:v>
                </c:pt>
              </c:numCache>
            </c:numRef>
          </c:val>
          <c:smooth val="0"/>
          <c:extLst>
            <c:ext xmlns:c16="http://schemas.microsoft.com/office/drawing/2014/chart" uri="{C3380CC4-5D6E-409C-BE32-E72D297353CC}">
              <c16:uniqueId val="{00000000-7EC6-42B6-AE21-D7D671BB860D}"/>
            </c:ext>
          </c:extLst>
        </c:ser>
        <c:ser>
          <c:idx val="14"/>
          <c:order val="1"/>
          <c:tx>
            <c:strRef>
              <c:f>Deaths_over_time!$B$29</c:f>
              <c:strCache>
                <c:ptCount val="1"/>
                <c:pt idx="0">
                  <c:v>Music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Deaths_over_time!$C$29:$N$29</c:f>
              <c:numCache>
                <c:formatCode>0</c:formatCode>
                <c:ptCount val="12"/>
                <c:pt idx="0">
                  <c:v>3.1471221953475763</c:v>
                </c:pt>
                <c:pt idx="1">
                  <c:v>3.2024624044724579</c:v>
                </c:pt>
                <c:pt idx="2">
                  <c:v>3.2385864033920688</c:v>
                </c:pt>
                <c:pt idx="3">
                  <c:v>3.2778812379082707</c:v>
                </c:pt>
                <c:pt idx="4">
                  <c:v>3.3039381555478897</c:v>
                </c:pt>
                <c:pt idx="5">
                  <c:v>3.3171856449786046</c:v>
                </c:pt>
                <c:pt idx="6">
                  <c:v>3.3165474723941442</c:v>
                </c:pt>
                <c:pt idx="7">
                  <c:v>3.3322000006298058</c:v>
                </c:pt>
                <c:pt idx="8">
                  <c:v>3.3531067013444642</c:v>
                </c:pt>
                <c:pt idx="9">
                  <c:v>3.3525333310538796</c:v>
                </c:pt>
                <c:pt idx="10">
                  <c:v>3.3404275342009346</c:v>
                </c:pt>
                <c:pt idx="11">
                  <c:v>3.3419202154616827</c:v>
                </c:pt>
              </c:numCache>
            </c:numRef>
          </c:val>
          <c:smooth val="0"/>
          <c:extLst>
            <c:ext xmlns:c16="http://schemas.microsoft.com/office/drawing/2014/chart" uri="{C3380CC4-5D6E-409C-BE32-E72D297353CC}">
              <c16:uniqueId val="{00000001-7EC6-42B6-AE21-D7D671BB860D}"/>
            </c:ext>
          </c:extLst>
        </c:ser>
        <c:ser>
          <c:idx val="15"/>
          <c:order val="2"/>
          <c:tx>
            <c:strRef>
              <c:f>Deaths_over_time!$B$30</c:f>
              <c:strCache>
                <c:ptCount val="1"/>
                <c:pt idx="0">
                  <c:v>Others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Deaths_over_time!$C$30:$N$30</c:f>
              <c:numCache>
                <c:formatCode>0</c:formatCode>
                <c:ptCount val="12"/>
                <c:pt idx="0">
                  <c:v>10.228610691519702</c:v>
                </c:pt>
                <c:pt idx="1">
                  <c:v>9.837244529573109</c:v>
                </c:pt>
                <c:pt idx="2">
                  <c:v>9.5254816628985601</c:v>
                </c:pt>
                <c:pt idx="3">
                  <c:v>9.2710341494773107</c:v>
                </c:pt>
                <c:pt idx="4">
                  <c:v>9.1052686084664476</c:v>
                </c:pt>
                <c:pt idx="5">
                  <c:v>8.9857252385288202</c:v>
                </c:pt>
                <c:pt idx="6">
                  <c:v>8.9130197974329981</c:v>
                </c:pt>
                <c:pt idx="7">
                  <c:v>8.8875086368454337</c:v>
                </c:pt>
                <c:pt idx="8">
                  <c:v>8.9139905107696329</c:v>
                </c:pt>
                <c:pt idx="9">
                  <c:v>8.9274683252985341</c:v>
                </c:pt>
                <c:pt idx="10">
                  <c:v>8.9365756750744954</c:v>
                </c:pt>
                <c:pt idx="11">
                  <c:v>8.9457311026049293</c:v>
                </c:pt>
              </c:numCache>
            </c:numRef>
          </c:val>
          <c:smooth val="0"/>
          <c:extLst>
            <c:ext xmlns:c16="http://schemas.microsoft.com/office/drawing/2014/chart" uri="{C3380CC4-5D6E-409C-BE32-E72D297353CC}">
              <c16:uniqueId val="{00000002-7EC6-42B6-AE21-D7D671BB860D}"/>
            </c:ext>
          </c:extLst>
        </c:ser>
        <c:ser>
          <c:idx val="16"/>
          <c:order val="3"/>
          <c:tx>
            <c:strRef>
              <c:f>Deaths_over_time!$B$31</c:f>
              <c:strCache>
                <c:ptCount val="1"/>
                <c:pt idx="0">
                  <c:v>Physical Education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Deaths_over_time!$C$31:$N$31</c:f>
              <c:numCache>
                <c:formatCode>0</c:formatCode>
                <c:ptCount val="12"/>
                <c:pt idx="0">
                  <c:v>8.750073177591597</c:v>
                </c:pt>
                <c:pt idx="1">
                  <c:v>9.0638765178894936</c:v>
                </c:pt>
                <c:pt idx="2">
                  <c:v>9.4390858926086008</c:v>
                </c:pt>
                <c:pt idx="3">
                  <c:v>9.8081351256911429</c:v>
                </c:pt>
                <c:pt idx="4">
                  <c:v>10.110398414118707</c:v>
                </c:pt>
                <c:pt idx="5">
                  <c:v>10.357954810442763</c:v>
                </c:pt>
                <c:pt idx="6">
                  <c:v>10.550863366498419</c:v>
                </c:pt>
                <c:pt idx="7">
                  <c:v>10.753198108122621</c:v>
                </c:pt>
                <c:pt idx="8">
                  <c:v>10.951082929597465</c:v>
                </c:pt>
                <c:pt idx="9">
                  <c:v>11.090250837645588</c:v>
                </c:pt>
                <c:pt idx="10">
                  <c:v>11.180979379228411</c:v>
                </c:pt>
                <c:pt idx="11">
                  <c:v>11.249787383396111</c:v>
                </c:pt>
              </c:numCache>
            </c:numRef>
          </c:val>
          <c:smooth val="0"/>
          <c:extLst>
            <c:ext xmlns:c16="http://schemas.microsoft.com/office/drawing/2014/chart" uri="{C3380CC4-5D6E-409C-BE32-E72D297353CC}">
              <c16:uniqueId val="{00000003-7EC6-42B6-AE21-D7D671BB860D}"/>
            </c:ext>
          </c:extLst>
        </c:ser>
        <c:ser>
          <c:idx val="17"/>
          <c:order val="4"/>
          <c:tx>
            <c:strRef>
              <c:f>Deaths_over_time!$B$32</c:f>
              <c:strCache>
                <c:ptCount val="1"/>
                <c:pt idx="0">
                  <c:v>Physics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Deaths_over_time!$C$32:$N$32</c:f>
              <c:numCache>
                <c:formatCode>0</c:formatCode>
                <c:ptCount val="12"/>
                <c:pt idx="0">
                  <c:v>8.1351111033438013</c:v>
                </c:pt>
                <c:pt idx="1">
                  <c:v>8.1468858571363754</c:v>
                </c:pt>
                <c:pt idx="2">
                  <c:v>8.0720384116191788</c:v>
                </c:pt>
                <c:pt idx="3">
                  <c:v>8.0034001975380722</c:v>
                </c:pt>
                <c:pt idx="4">
                  <c:v>7.9520314706959851</c:v>
                </c:pt>
                <c:pt idx="5">
                  <c:v>7.9280576443813127</c:v>
                </c:pt>
                <c:pt idx="6">
                  <c:v>7.931120024068445</c:v>
                </c:pt>
                <c:pt idx="7">
                  <c:v>7.9488679632157204</c:v>
                </c:pt>
                <c:pt idx="8">
                  <c:v>7.9586863192240695</c:v>
                </c:pt>
                <c:pt idx="9">
                  <c:v>7.9698498572370635</c:v>
                </c:pt>
                <c:pt idx="10">
                  <c:v>7.9752888210376369</c:v>
                </c:pt>
                <c:pt idx="11">
                  <c:v>7.9605028325364415</c:v>
                </c:pt>
              </c:numCache>
            </c:numRef>
          </c:val>
          <c:smooth val="0"/>
          <c:extLst>
            <c:ext xmlns:c16="http://schemas.microsoft.com/office/drawing/2014/chart" uri="{C3380CC4-5D6E-409C-BE32-E72D297353CC}">
              <c16:uniqueId val="{00000004-7EC6-42B6-AE21-D7D671BB860D}"/>
            </c:ext>
          </c:extLst>
        </c:ser>
        <c:ser>
          <c:idx val="18"/>
          <c:order val="5"/>
          <c:tx>
            <c:strRef>
              <c:f>Deaths_over_time!$B$33</c:f>
              <c:strCache>
                <c:ptCount val="1"/>
                <c:pt idx="0">
                  <c:v>Religious Education Deaths</c:v>
                </c:pt>
              </c:strCache>
            </c:strRef>
          </c:tx>
          <c:marker>
            <c:symbol val="none"/>
          </c:marker>
          <c:cat>
            <c:strRef>
              <c:f>Deaths_over_time!$C$13:$N$13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Deaths_over_time!$C$33:$N$33</c:f>
              <c:numCache>
                <c:formatCode>0</c:formatCode>
                <c:ptCount val="12"/>
                <c:pt idx="0">
                  <c:v>4.9214581596978562</c:v>
                </c:pt>
                <c:pt idx="1">
                  <c:v>4.8540236069658054</c:v>
                </c:pt>
                <c:pt idx="2">
                  <c:v>4.8158312993259278</c:v>
                </c:pt>
                <c:pt idx="3">
                  <c:v>4.7955737673786505</c:v>
                </c:pt>
                <c:pt idx="4">
                  <c:v>4.7708542889941965</c:v>
                </c:pt>
                <c:pt idx="5">
                  <c:v>4.7442734640779864</c:v>
                </c:pt>
                <c:pt idx="6">
                  <c:v>4.7147916898814728</c:v>
                </c:pt>
                <c:pt idx="7">
                  <c:v>4.7076177024507224</c:v>
                </c:pt>
                <c:pt idx="8">
                  <c:v>4.7154358730365926</c:v>
                </c:pt>
                <c:pt idx="9">
                  <c:v>4.7119126554880975</c:v>
                </c:pt>
                <c:pt idx="10">
                  <c:v>4.7006910257871404</c:v>
                </c:pt>
                <c:pt idx="11">
                  <c:v>4.69290368180837</c:v>
                </c:pt>
              </c:numCache>
            </c:numRef>
          </c:val>
          <c:smooth val="0"/>
          <c:extLst>
            <c:ext xmlns:c16="http://schemas.microsoft.com/office/drawing/2014/chart" uri="{C3380CC4-5D6E-409C-BE32-E72D297353CC}">
              <c16:uniqueId val="{00000005-7EC6-42B6-AE21-D7D671BB860D}"/>
            </c:ext>
          </c:extLst>
        </c:ser>
        <c:dLbls>
          <c:showLegendKey val="0"/>
          <c:showVal val="0"/>
          <c:showCatName val="0"/>
          <c:showSerName val="0"/>
          <c:showPercent val="0"/>
          <c:showBubbleSize val="0"/>
        </c:dLbls>
        <c:smooth val="0"/>
        <c:axId val="167893632"/>
        <c:axId val="167895424"/>
      </c:lineChart>
      <c:catAx>
        <c:axId val="1678936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95424"/>
        <c:crosses val="autoZero"/>
        <c:auto val="1"/>
        <c:lblAlgn val="ctr"/>
        <c:lblOffset val="100"/>
        <c:noMultiLvlLbl val="0"/>
      </c:catAx>
      <c:valAx>
        <c:axId val="1678954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893632"/>
        <c:crosses val="autoZero"/>
        <c:crossBetween val="between"/>
      </c:valAx>
      <c:spPr>
        <a:ln>
          <a:solidFill>
            <a:schemeClr val="tx1">
              <a:lumMod val="95000"/>
              <a:lumOff val="5000"/>
            </a:schemeClr>
          </a:solidFill>
        </a:ln>
      </c:spPr>
    </c:plotArea>
    <c:legend>
      <c:legendPos val="r"/>
      <c:layout>
        <c:manualLayout>
          <c:xMode val="edge"/>
          <c:yMode val="edge"/>
          <c:x val="0.72413908292811358"/>
          <c:y val="2.4221453287197232E-2"/>
          <c:w val="0.25940480010531597"/>
          <c:h val="0.8546712802768166"/>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338724551323"/>
          <c:y val="4.2416503094706286E-2"/>
          <c:w val="0.62704156912818321"/>
          <c:h val="0.78292654678910123"/>
        </c:manualLayout>
      </c:layout>
      <c:lineChart>
        <c:grouping val="standard"/>
        <c:varyColors val="0"/>
        <c:ser>
          <c:idx val="19"/>
          <c:order val="0"/>
          <c:tx>
            <c:strRef>
              <c:f>Leavers_over_time!$B$34</c:f>
              <c:strCache>
                <c:ptCount val="1"/>
                <c:pt idx="0">
                  <c:v>Total Leavers</c:v>
                </c:pt>
              </c:strCache>
            </c:strRef>
          </c:tx>
          <c:spPr>
            <a:ln>
              <a:solidFill>
                <a:srgbClr val="FF0000"/>
              </a:solidFill>
            </a:ln>
          </c:spPr>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Leavers_over_time!$C$34:$N$34</c:f>
              <c:numCache>
                <c:formatCode>#,##0</c:formatCode>
                <c:ptCount val="12"/>
                <c:pt idx="0">
                  <c:v>49435.530120694631</c:v>
                </c:pt>
                <c:pt idx="1">
                  <c:v>49483.568850087446</c:v>
                </c:pt>
                <c:pt idx="2">
                  <c:v>50466.305164651472</c:v>
                </c:pt>
                <c:pt idx="3">
                  <c:v>50763.905396231523</c:v>
                </c:pt>
                <c:pt idx="4">
                  <c:v>50884.418145891934</c:v>
                </c:pt>
                <c:pt idx="5">
                  <c:v>51032.765242737063</c:v>
                </c:pt>
                <c:pt idx="6">
                  <c:v>51196.914508076014</c:v>
                </c:pt>
                <c:pt idx="7">
                  <c:v>51422.036969570494</c:v>
                </c:pt>
                <c:pt idx="8">
                  <c:v>51599.70681173</c:v>
                </c:pt>
                <c:pt idx="9">
                  <c:v>51716.739533834516</c:v>
                </c:pt>
                <c:pt idx="10">
                  <c:v>51761.261878687794</c:v>
                </c:pt>
                <c:pt idx="11">
                  <c:v>51774.227992124092</c:v>
                </c:pt>
              </c:numCache>
            </c:numRef>
          </c:val>
          <c:smooth val="0"/>
          <c:extLst>
            <c:ext xmlns:c16="http://schemas.microsoft.com/office/drawing/2014/chart" uri="{C3380CC4-5D6E-409C-BE32-E72D297353CC}">
              <c16:uniqueId val="{00000000-415B-4760-A8F2-A005DED1A332}"/>
            </c:ext>
          </c:extLst>
        </c:ser>
        <c:ser>
          <c:idx val="0"/>
          <c:order val="1"/>
          <c:tx>
            <c:strRef>
              <c:f>Leavers_over_time!$B$14</c:f>
              <c:strCache>
                <c:ptCount val="1"/>
                <c:pt idx="0">
                  <c:v>Primary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Leavers_over_time!$C$14:$N$14</c:f>
              <c:numCache>
                <c:formatCode>#,##0</c:formatCode>
                <c:ptCount val="12"/>
                <c:pt idx="0">
                  <c:v>25469.999050665137</c:v>
                </c:pt>
                <c:pt idx="1">
                  <c:v>25503.585449146347</c:v>
                </c:pt>
                <c:pt idx="2">
                  <c:v>25830.126220973485</c:v>
                </c:pt>
                <c:pt idx="3">
                  <c:v>25884.628847040363</c:v>
                </c:pt>
                <c:pt idx="4">
                  <c:v>25824.850765185955</c:v>
                </c:pt>
                <c:pt idx="5">
                  <c:v>25769.802032877469</c:v>
                </c:pt>
                <c:pt idx="6">
                  <c:v>25710.756349603485</c:v>
                </c:pt>
                <c:pt idx="7">
                  <c:v>25641.555549155513</c:v>
                </c:pt>
                <c:pt idx="8">
                  <c:v>25648.461774369662</c:v>
                </c:pt>
                <c:pt idx="9">
                  <c:v>25708.639956692565</c:v>
                </c:pt>
                <c:pt idx="10">
                  <c:v>25778.373005504072</c:v>
                </c:pt>
                <c:pt idx="11">
                  <c:v>25832.426165774519</c:v>
                </c:pt>
              </c:numCache>
            </c:numRef>
          </c:val>
          <c:smooth val="0"/>
          <c:extLst>
            <c:ext xmlns:c16="http://schemas.microsoft.com/office/drawing/2014/chart" uri="{C3380CC4-5D6E-409C-BE32-E72D297353CC}">
              <c16:uniqueId val="{00000001-415B-4760-A8F2-A005DED1A332}"/>
            </c:ext>
          </c:extLst>
        </c:ser>
        <c:dLbls>
          <c:showLegendKey val="0"/>
          <c:showVal val="0"/>
          <c:showCatName val="0"/>
          <c:showSerName val="0"/>
          <c:showPercent val="0"/>
          <c:showBubbleSize val="0"/>
        </c:dLbls>
        <c:smooth val="0"/>
        <c:axId val="168728832"/>
        <c:axId val="168742912"/>
      </c:lineChart>
      <c:catAx>
        <c:axId val="168728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42912"/>
        <c:crosses val="autoZero"/>
        <c:auto val="1"/>
        <c:lblAlgn val="ctr"/>
        <c:lblOffset val="100"/>
        <c:noMultiLvlLbl val="0"/>
      </c:catAx>
      <c:valAx>
        <c:axId val="1687429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28832"/>
        <c:crosses val="autoZero"/>
        <c:crossBetween val="between"/>
      </c:valAx>
      <c:spPr>
        <a:ln>
          <a:solidFill>
            <a:schemeClr val="tx1">
              <a:lumMod val="95000"/>
              <a:lumOff val="5000"/>
            </a:schemeClr>
          </a:solidFill>
        </a:ln>
      </c:spPr>
    </c:plotArea>
    <c:legend>
      <c:legendPos val="r"/>
      <c:layout>
        <c:manualLayout>
          <c:xMode val="edge"/>
          <c:yMode val="edge"/>
          <c:x val="0.74340342352197897"/>
          <c:y val="3.961762976349268E-2"/>
          <c:w val="0.22186322024771135"/>
          <c:h val="0.84289717883625204"/>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BY PHASE</a:t>
            </a:r>
          </a:p>
        </c:rich>
      </c:tx>
      <c:layout/>
      <c:overlay val="0"/>
    </c:title>
    <c:autoTitleDeleted val="0"/>
    <c:plotArea>
      <c:layout>
        <c:manualLayout>
          <c:layoutTarget val="inner"/>
          <c:xMode val="edge"/>
          <c:yMode val="edge"/>
          <c:x val="0.11423840769903762"/>
          <c:y val="0.12283573928258967"/>
          <c:w val="0.56135181668901846"/>
          <c:h val="0.70718066491688547"/>
        </c:manualLayout>
      </c:layout>
      <c:lineChart>
        <c:grouping val="standard"/>
        <c:varyColors val="0"/>
        <c:ser>
          <c:idx val="20"/>
          <c:order val="0"/>
          <c:tx>
            <c:strRef>
              <c:f>Entrant_need_figures!$B$109</c:f>
              <c:strCache>
                <c:ptCount val="1"/>
                <c:pt idx="0">
                  <c:v>PRIMARY All Central Scenario</c:v>
                </c:pt>
              </c:strCache>
            </c:strRef>
          </c:tx>
          <c:spPr>
            <a:ln>
              <a:solidFill>
                <a:schemeClr val="tx1">
                  <a:lumMod val="95000"/>
                  <a:lumOff val="5000"/>
                </a:schemeClr>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Entrant_need_figures!$C$109:$N$109</c:f>
              <c:numCache>
                <c:formatCode>#,##0</c:formatCode>
                <c:ptCount val="12"/>
                <c:pt idx="0">
                  <c:v>27567.610098506135</c:v>
                </c:pt>
                <c:pt idx="1">
                  <c:v>26168.018656485227</c:v>
                </c:pt>
                <c:pt idx="2">
                  <c:v>25492.593807015372</c:v>
                </c:pt>
                <c:pt idx="3">
                  <c:v>25178.924285860096</c:v>
                </c:pt>
                <c:pt idx="4">
                  <c:v>24958.713813880742</c:v>
                </c:pt>
                <c:pt idx="5">
                  <c:v>24696.100468209581</c:v>
                </c:pt>
                <c:pt idx="6">
                  <c:v>24408.266644993811</c:v>
                </c:pt>
                <c:pt idx="7">
                  <c:v>24950.329485232243</c:v>
                </c:pt>
                <c:pt idx="8">
                  <c:v>25389.224909382261</c:v>
                </c:pt>
                <c:pt idx="9">
                  <c:v>25497.882054938753</c:v>
                </c:pt>
                <c:pt idx="10">
                  <c:v>25396.267516090727</c:v>
                </c:pt>
                <c:pt idx="11">
                  <c:v>25272.066186930482</c:v>
                </c:pt>
              </c:numCache>
            </c:numRef>
          </c:val>
          <c:smooth val="0"/>
          <c:extLst>
            <c:ext xmlns:c16="http://schemas.microsoft.com/office/drawing/2014/chart" uri="{C3380CC4-5D6E-409C-BE32-E72D297353CC}">
              <c16:uniqueId val="{00000000-7EDE-497B-8499-5D4C38A76079}"/>
            </c:ext>
          </c:extLst>
        </c:ser>
        <c:ser>
          <c:idx val="0"/>
          <c:order val="1"/>
          <c:tx>
            <c:strRef>
              <c:f>Entrant_need_figures!$B$88</c:f>
              <c:strCache>
                <c:ptCount val="1"/>
                <c:pt idx="0">
                  <c:v>PRIMARY Scenario Selected</c:v>
                </c:pt>
              </c:strCache>
            </c:strRef>
          </c:tx>
          <c:spPr>
            <a:ln>
              <a:solidFill>
                <a:schemeClr val="tx1">
                  <a:lumMod val="95000"/>
                  <a:lumOff val="5000"/>
                </a:schemeClr>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Entrant_need_figures!$C$88:$N$88</c:f>
              <c:numCache>
                <c:formatCode>#,##0</c:formatCode>
                <c:ptCount val="12"/>
                <c:pt idx="0">
                  <c:v>27567.610098506135</c:v>
                </c:pt>
                <c:pt idx="1">
                  <c:v>26168.018656485227</c:v>
                </c:pt>
                <c:pt idx="2">
                  <c:v>25492.593807015372</c:v>
                </c:pt>
                <c:pt idx="3">
                  <c:v>25178.924285860096</c:v>
                </c:pt>
                <c:pt idx="4">
                  <c:v>24958.713813880742</c:v>
                </c:pt>
                <c:pt idx="5">
                  <c:v>24696.100468209581</c:v>
                </c:pt>
                <c:pt idx="6">
                  <c:v>24408.266644993811</c:v>
                </c:pt>
                <c:pt idx="7">
                  <c:v>24950.329485232243</c:v>
                </c:pt>
                <c:pt idx="8">
                  <c:v>25389.224909382261</c:v>
                </c:pt>
                <c:pt idx="9">
                  <c:v>25497.882054938753</c:v>
                </c:pt>
                <c:pt idx="10">
                  <c:v>25396.267516090727</c:v>
                </c:pt>
                <c:pt idx="11">
                  <c:v>25272.066186930482</c:v>
                </c:pt>
              </c:numCache>
            </c:numRef>
          </c:val>
          <c:smooth val="0"/>
          <c:extLst>
            <c:ext xmlns:c16="http://schemas.microsoft.com/office/drawing/2014/chart" uri="{C3380CC4-5D6E-409C-BE32-E72D297353CC}">
              <c16:uniqueId val="{00000001-7EDE-497B-8499-5D4C38A76079}"/>
            </c:ext>
          </c:extLst>
        </c:ser>
        <c:ser>
          <c:idx val="39"/>
          <c:order val="2"/>
          <c:tx>
            <c:strRef>
              <c:f>Entrant_need_figures!$B$129</c:f>
              <c:strCache>
                <c:ptCount val="1"/>
                <c:pt idx="0">
                  <c:v>SECONDARY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Entrant_need_figures!$C$129:$N$129</c:f>
              <c:numCache>
                <c:formatCode>#,##0</c:formatCode>
                <c:ptCount val="12"/>
                <c:pt idx="0">
                  <c:v>25726.914332450637</c:v>
                </c:pt>
                <c:pt idx="1">
                  <c:v>26013.082992911095</c:v>
                </c:pt>
                <c:pt idx="2">
                  <c:v>26773.534628117941</c:v>
                </c:pt>
                <c:pt idx="3">
                  <c:v>26280.056655388191</c:v>
                </c:pt>
                <c:pt idx="4">
                  <c:v>26557.750010090593</c:v>
                </c:pt>
                <c:pt idx="5">
                  <c:v>26839.574362018644</c:v>
                </c:pt>
                <c:pt idx="6">
                  <c:v>27623.063634274476</c:v>
                </c:pt>
                <c:pt idx="7">
                  <c:v>26917.518218870457</c:v>
                </c:pt>
                <c:pt idx="8">
                  <c:v>26106.103394555023</c:v>
                </c:pt>
                <c:pt idx="9">
                  <c:v>25450.928289338994</c:v>
                </c:pt>
                <c:pt idx="10">
                  <c:v>25287.319697064035</c:v>
                </c:pt>
                <c:pt idx="11">
                  <c:v>25073.871126010978</c:v>
                </c:pt>
              </c:numCache>
            </c:numRef>
          </c:val>
          <c:smooth val="0"/>
          <c:extLst>
            <c:ext xmlns:c16="http://schemas.microsoft.com/office/drawing/2014/chart" uri="{C3380CC4-5D6E-409C-BE32-E72D297353CC}">
              <c16:uniqueId val="{00000002-7EDE-497B-8499-5D4C38A76079}"/>
            </c:ext>
          </c:extLst>
        </c:ser>
        <c:ser>
          <c:idx val="19"/>
          <c:order val="3"/>
          <c:tx>
            <c:strRef>
              <c:f>Entrant_need_figures!$B$108</c:f>
              <c:strCache>
                <c:ptCount val="1"/>
                <c:pt idx="0">
                  <c:v>SECONDARY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Entrant_need_figures!$C$108:$N$108</c:f>
              <c:numCache>
                <c:formatCode>#,##0</c:formatCode>
                <c:ptCount val="12"/>
                <c:pt idx="0">
                  <c:v>25726.914332450637</c:v>
                </c:pt>
                <c:pt idx="1">
                  <c:v>26013.082992911095</c:v>
                </c:pt>
                <c:pt idx="2">
                  <c:v>26773.534628117941</c:v>
                </c:pt>
                <c:pt idx="3">
                  <c:v>26280.056655388191</c:v>
                </c:pt>
                <c:pt idx="4">
                  <c:v>26557.750010090593</c:v>
                </c:pt>
                <c:pt idx="5">
                  <c:v>26839.574362018644</c:v>
                </c:pt>
                <c:pt idx="6">
                  <c:v>27623.063634274476</c:v>
                </c:pt>
                <c:pt idx="7">
                  <c:v>26917.518218870457</c:v>
                </c:pt>
                <c:pt idx="8">
                  <c:v>26106.103394555023</c:v>
                </c:pt>
                <c:pt idx="9">
                  <c:v>25450.928289338994</c:v>
                </c:pt>
                <c:pt idx="10">
                  <c:v>25287.319697064035</c:v>
                </c:pt>
                <c:pt idx="11">
                  <c:v>25073.871126010978</c:v>
                </c:pt>
              </c:numCache>
            </c:numRef>
          </c:val>
          <c:smooth val="0"/>
          <c:extLst>
            <c:ext xmlns:c16="http://schemas.microsoft.com/office/drawing/2014/chart" uri="{C3380CC4-5D6E-409C-BE32-E72D297353CC}">
              <c16:uniqueId val="{00000003-7EDE-497B-8499-5D4C38A76079}"/>
            </c:ext>
          </c:extLst>
        </c:ser>
        <c:dLbls>
          <c:showLegendKey val="0"/>
          <c:showVal val="0"/>
          <c:showCatName val="0"/>
          <c:showSerName val="0"/>
          <c:showPercent val="0"/>
          <c:showBubbleSize val="0"/>
        </c:dLbls>
        <c:smooth val="0"/>
        <c:axId val="148446592"/>
        <c:axId val="148206720"/>
      </c:lineChart>
      <c:catAx>
        <c:axId val="14844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06720"/>
        <c:crosses val="autoZero"/>
        <c:auto val="1"/>
        <c:lblAlgn val="ctr"/>
        <c:lblOffset val="100"/>
        <c:noMultiLvlLbl val="0"/>
      </c:catAx>
      <c:valAx>
        <c:axId val="148206720"/>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46592"/>
        <c:crosses val="autoZero"/>
        <c:crossBetween val="between"/>
      </c:valAx>
      <c:spPr>
        <a:ln>
          <a:solidFill>
            <a:schemeClr val="tx1">
              <a:lumMod val="95000"/>
              <a:lumOff val="5000"/>
            </a:schemeClr>
          </a:solidFill>
        </a:ln>
      </c:spPr>
    </c:plotArea>
    <c:legend>
      <c:legendPos val="r"/>
      <c:layout>
        <c:manualLayout>
          <c:xMode val="edge"/>
          <c:yMode val="edge"/>
          <c:x val="0.69153397517592996"/>
          <c:y val="9.8616098593212173E-2"/>
          <c:w val="0.28415764891370709"/>
          <c:h val="0.7577854671280276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2522071104748"/>
          <c:y val="4.2416503094706286E-2"/>
          <c:w val="0.6226652382259189"/>
          <c:h val="0.78292654678910123"/>
        </c:manualLayout>
      </c:layout>
      <c:lineChart>
        <c:grouping val="standard"/>
        <c:varyColors val="0"/>
        <c:ser>
          <c:idx val="1"/>
          <c:order val="0"/>
          <c:tx>
            <c:strRef>
              <c:f>Leavers_over_time!$B$15</c:f>
              <c:strCache>
                <c:ptCount val="1"/>
                <c:pt idx="0">
                  <c:v>Art &amp; Design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Leavers_over_time!$C$15:$N$15</c:f>
              <c:numCache>
                <c:formatCode>#,##0</c:formatCode>
                <c:ptCount val="12"/>
                <c:pt idx="0">
                  <c:v>886.0012563220331</c:v>
                </c:pt>
                <c:pt idx="1">
                  <c:v>876.79440794377228</c:v>
                </c:pt>
                <c:pt idx="2">
                  <c:v>889.89927293509618</c:v>
                </c:pt>
                <c:pt idx="3">
                  <c:v>897.86612832883031</c:v>
                </c:pt>
                <c:pt idx="4">
                  <c:v>899.45427740373793</c:v>
                </c:pt>
                <c:pt idx="5">
                  <c:v>898.47161866391718</c:v>
                </c:pt>
                <c:pt idx="6">
                  <c:v>894.88312360459372</c:v>
                </c:pt>
                <c:pt idx="7">
                  <c:v>896.62622796147957</c:v>
                </c:pt>
                <c:pt idx="8">
                  <c:v>901.22365418069194</c:v>
                </c:pt>
                <c:pt idx="9">
                  <c:v>900.0099905841945</c:v>
                </c:pt>
                <c:pt idx="10">
                  <c:v>895.66042865809982</c:v>
                </c:pt>
                <c:pt idx="11">
                  <c:v>893.65011942100114</c:v>
                </c:pt>
              </c:numCache>
            </c:numRef>
          </c:val>
          <c:smooth val="0"/>
          <c:extLst>
            <c:ext xmlns:c16="http://schemas.microsoft.com/office/drawing/2014/chart" uri="{C3380CC4-5D6E-409C-BE32-E72D297353CC}">
              <c16:uniqueId val="{00000000-B683-4F42-B2F1-F95497D58647}"/>
            </c:ext>
          </c:extLst>
        </c:ser>
        <c:ser>
          <c:idx val="2"/>
          <c:order val="1"/>
          <c:tx>
            <c:strRef>
              <c:f>Leavers_over_time!$B$16</c:f>
              <c:strCache>
                <c:ptCount val="1"/>
                <c:pt idx="0">
                  <c:v>Biology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Leavers_over_time!$C$16:$N$16</c:f>
              <c:numCache>
                <c:formatCode>#,##0</c:formatCode>
                <c:ptCount val="12"/>
                <c:pt idx="0">
                  <c:v>1416.0372020053983</c:v>
                </c:pt>
                <c:pt idx="1">
                  <c:v>1452.7593773081346</c:v>
                </c:pt>
                <c:pt idx="2">
                  <c:v>1495.2466468015721</c:v>
                </c:pt>
                <c:pt idx="3">
                  <c:v>1515.0038432026759</c:v>
                </c:pt>
                <c:pt idx="4">
                  <c:v>1530.0993042791483</c:v>
                </c:pt>
                <c:pt idx="5">
                  <c:v>1548.1380471966927</c:v>
                </c:pt>
                <c:pt idx="6">
                  <c:v>1569.113990300629</c:v>
                </c:pt>
                <c:pt idx="7">
                  <c:v>1591.0799224805669</c:v>
                </c:pt>
                <c:pt idx="8">
                  <c:v>1606.452933329487</c:v>
                </c:pt>
                <c:pt idx="9">
                  <c:v>1617.0097636446426</c:v>
                </c:pt>
                <c:pt idx="10">
                  <c:v>1622.6052493615341</c:v>
                </c:pt>
                <c:pt idx="11">
                  <c:v>1622.0212657505137</c:v>
                </c:pt>
              </c:numCache>
            </c:numRef>
          </c:val>
          <c:smooth val="0"/>
          <c:extLst>
            <c:ext xmlns:c16="http://schemas.microsoft.com/office/drawing/2014/chart" uri="{C3380CC4-5D6E-409C-BE32-E72D297353CC}">
              <c16:uniqueId val="{00000001-B683-4F42-B2F1-F95497D58647}"/>
            </c:ext>
          </c:extLst>
        </c:ser>
        <c:ser>
          <c:idx val="3"/>
          <c:order val="2"/>
          <c:tx>
            <c:strRef>
              <c:f>Leavers_over_time!$B$17</c:f>
              <c:strCache>
                <c:ptCount val="1"/>
                <c:pt idx="0">
                  <c:v>Business Studies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Leavers_over_time!$C$17:$N$17</c:f>
              <c:numCache>
                <c:formatCode>#,##0</c:formatCode>
                <c:ptCount val="12"/>
                <c:pt idx="0">
                  <c:v>426.39414144807483</c:v>
                </c:pt>
                <c:pt idx="1">
                  <c:v>409.48104831961575</c:v>
                </c:pt>
                <c:pt idx="2">
                  <c:v>411.11757571457838</c:v>
                </c:pt>
                <c:pt idx="3">
                  <c:v>407.08941207564385</c:v>
                </c:pt>
                <c:pt idx="4">
                  <c:v>407.2540026249045</c:v>
                </c:pt>
                <c:pt idx="5">
                  <c:v>409.14425884461747</c:v>
                </c:pt>
                <c:pt idx="6">
                  <c:v>413.3371900755036</c:v>
                </c:pt>
                <c:pt idx="7">
                  <c:v>417.71464170755974</c:v>
                </c:pt>
                <c:pt idx="8">
                  <c:v>424.22445439153853</c:v>
                </c:pt>
                <c:pt idx="9">
                  <c:v>430.27733688619526</c:v>
                </c:pt>
                <c:pt idx="10">
                  <c:v>435.43586458682114</c:v>
                </c:pt>
                <c:pt idx="11">
                  <c:v>436.92985334534683</c:v>
                </c:pt>
              </c:numCache>
            </c:numRef>
          </c:val>
          <c:smooth val="0"/>
          <c:extLst>
            <c:ext xmlns:c16="http://schemas.microsoft.com/office/drawing/2014/chart" uri="{C3380CC4-5D6E-409C-BE32-E72D297353CC}">
              <c16:uniqueId val="{00000002-B683-4F42-B2F1-F95497D58647}"/>
            </c:ext>
          </c:extLst>
        </c:ser>
        <c:ser>
          <c:idx val="4"/>
          <c:order val="3"/>
          <c:tx>
            <c:strRef>
              <c:f>Leavers_over_time!$B$18</c:f>
              <c:strCache>
                <c:ptCount val="1"/>
                <c:pt idx="0">
                  <c:v>Chemistry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Leavers_over_time!$C$18:$N$18</c:f>
              <c:numCache>
                <c:formatCode>#,##0</c:formatCode>
                <c:ptCount val="12"/>
                <c:pt idx="0">
                  <c:v>1306.499686790713</c:v>
                </c:pt>
                <c:pt idx="1">
                  <c:v>1331.8961649055041</c:v>
                </c:pt>
                <c:pt idx="2">
                  <c:v>1370.7268692886992</c:v>
                </c:pt>
                <c:pt idx="3">
                  <c:v>1381.0458524761259</c:v>
                </c:pt>
                <c:pt idx="4">
                  <c:v>1390.1894024405958</c:v>
                </c:pt>
                <c:pt idx="5">
                  <c:v>1402.0573853828628</c:v>
                </c:pt>
                <c:pt idx="6">
                  <c:v>1417.0686695641693</c:v>
                </c:pt>
                <c:pt idx="7">
                  <c:v>1431.891678827363</c:v>
                </c:pt>
                <c:pt idx="8">
                  <c:v>1441.3725060695133</c:v>
                </c:pt>
                <c:pt idx="9">
                  <c:v>1448.2903869496326</c:v>
                </c:pt>
                <c:pt idx="10">
                  <c:v>1451.583496451497</c:v>
                </c:pt>
                <c:pt idx="11">
                  <c:v>1448.0210950099945</c:v>
                </c:pt>
              </c:numCache>
            </c:numRef>
          </c:val>
          <c:smooth val="0"/>
          <c:extLst>
            <c:ext xmlns:c16="http://schemas.microsoft.com/office/drawing/2014/chart" uri="{C3380CC4-5D6E-409C-BE32-E72D297353CC}">
              <c16:uniqueId val="{00000003-B683-4F42-B2F1-F95497D58647}"/>
            </c:ext>
          </c:extLst>
        </c:ser>
        <c:ser>
          <c:idx val="5"/>
          <c:order val="4"/>
          <c:tx>
            <c:strRef>
              <c:f>Leavers_over_time!$B$19</c:f>
              <c:strCache>
                <c:ptCount val="1"/>
                <c:pt idx="0">
                  <c:v>Classics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Leavers_over_time!$C$19:$N$19</c:f>
              <c:numCache>
                <c:formatCode>#,##0</c:formatCode>
                <c:ptCount val="12"/>
                <c:pt idx="0">
                  <c:v>42.350828558993548</c:v>
                </c:pt>
                <c:pt idx="1">
                  <c:v>39.059683168517594</c:v>
                </c:pt>
                <c:pt idx="2">
                  <c:v>37.811046150946986</c:v>
                </c:pt>
                <c:pt idx="3">
                  <c:v>36.604711989208276</c:v>
                </c:pt>
                <c:pt idx="4">
                  <c:v>35.946899648769943</c:v>
                </c:pt>
                <c:pt idx="5">
                  <c:v>35.612933237601005</c:v>
                </c:pt>
                <c:pt idx="6">
                  <c:v>35.546314709250858</c:v>
                </c:pt>
                <c:pt idx="7">
                  <c:v>35.714241053797622</c:v>
                </c:pt>
                <c:pt idx="8">
                  <c:v>35.911545468010033</c:v>
                </c:pt>
                <c:pt idx="9">
                  <c:v>35.969670918365217</c:v>
                </c:pt>
                <c:pt idx="10">
                  <c:v>35.957246839718707</c:v>
                </c:pt>
                <c:pt idx="11">
                  <c:v>35.972970117958994</c:v>
                </c:pt>
              </c:numCache>
            </c:numRef>
          </c:val>
          <c:smooth val="0"/>
          <c:extLst>
            <c:ext xmlns:c16="http://schemas.microsoft.com/office/drawing/2014/chart" uri="{C3380CC4-5D6E-409C-BE32-E72D297353CC}">
              <c16:uniqueId val="{00000004-B683-4F42-B2F1-F95497D58647}"/>
            </c:ext>
          </c:extLst>
        </c:ser>
        <c:ser>
          <c:idx val="6"/>
          <c:order val="5"/>
          <c:tx>
            <c:strRef>
              <c:f>Leavers_over_time!$B$20</c:f>
              <c:strCache>
                <c:ptCount val="1"/>
                <c:pt idx="0">
                  <c:v>Computing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Leavers_over_time!$C$20:$N$20</c:f>
              <c:numCache>
                <c:formatCode>#,##0</c:formatCode>
                <c:ptCount val="12"/>
                <c:pt idx="0">
                  <c:v>844.69484993678702</c:v>
                </c:pt>
                <c:pt idx="1">
                  <c:v>826.33857419071501</c:v>
                </c:pt>
                <c:pt idx="2">
                  <c:v>848.64123708629563</c:v>
                </c:pt>
                <c:pt idx="3">
                  <c:v>851.18728820887486</c:v>
                </c:pt>
                <c:pt idx="4">
                  <c:v>855.32815606636314</c:v>
                </c:pt>
                <c:pt idx="5">
                  <c:v>857.04647374789261</c:v>
                </c:pt>
                <c:pt idx="6">
                  <c:v>856.66109655482956</c:v>
                </c:pt>
                <c:pt idx="7">
                  <c:v>860.68154264098166</c:v>
                </c:pt>
                <c:pt idx="8">
                  <c:v>867.64196072100378</c:v>
                </c:pt>
                <c:pt idx="9">
                  <c:v>869.86501523820266</c:v>
                </c:pt>
                <c:pt idx="10">
                  <c:v>869.07277515504325</c:v>
                </c:pt>
                <c:pt idx="11">
                  <c:v>868.36489196537241</c:v>
                </c:pt>
              </c:numCache>
            </c:numRef>
          </c:val>
          <c:smooth val="0"/>
          <c:extLst>
            <c:ext xmlns:c16="http://schemas.microsoft.com/office/drawing/2014/chart" uri="{C3380CC4-5D6E-409C-BE32-E72D297353CC}">
              <c16:uniqueId val="{00000005-B683-4F42-B2F1-F95497D58647}"/>
            </c:ext>
          </c:extLst>
        </c:ser>
        <c:dLbls>
          <c:showLegendKey val="0"/>
          <c:showVal val="0"/>
          <c:showCatName val="0"/>
          <c:showSerName val="0"/>
          <c:showPercent val="0"/>
          <c:showBubbleSize val="0"/>
        </c:dLbls>
        <c:smooth val="0"/>
        <c:axId val="169437056"/>
        <c:axId val="169438592"/>
      </c:lineChart>
      <c:catAx>
        <c:axId val="1694370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438592"/>
        <c:crosses val="autoZero"/>
        <c:auto val="1"/>
        <c:lblAlgn val="ctr"/>
        <c:lblOffset val="100"/>
        <c:noMultiLvlLbl val="0"/>
      </c:catAx>
      <c:valAx>
        <c:axId val="16943859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37056"/>
        <c:crosses val="autoZero"/>
        <c:crossBetween val="between"/>
      </c:valAx>
      <c:spPr>
        <a:ln>
          <a:solidFill>
            <a:schemeClr val="tx1">
              <a:lumMod val="95000"/>
              <a:lumOff val="5000"/>
            </a:schemeClr>
          </a:solidFill>
        </a:ln>
      </c:spPr>
    </c:plotArea>
    <c:legend>
      <c:legendPos val="r"/>
      <c:layout>
        <c:manualLayout>
          <c:xMode val="edge"/>
          <c:yMode val="edge"/>
          <c:x val="0.7649885328492243"/>
          <c:y val="1.6348773841961851E-2"/>
          <c:w val="0.21982437400635924"/>
          <c:h val="0.9346049046321526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15854437114295E-2"/>
          <c:y val="4.2416503094706286E-2"/>
          <c:w val="0.62657314282855026"/>
          <c:h val="0.78292654678910123"/>
        </c:manualLayout>
      </c:layout>
      <c:lineChart>
        <c:grouping val="standard"/>
        <c:varyColors val="0"/>
        <c:ser>
          <c:idx val="7"/>
          <c:order val="0"/>
          <c:tx>
            <c:strRef>
              <c:f>Leavers_over_time!$B$21</c:f>
              <c:strCache>
                <c:ptCount val="1"/>
                <c:pt idx="0">
                  <c:v>Design &amp; Technology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Leavers_over_time!$C$21:$N$21</c:f>
              <c:numCache>
                <c:formatCode>#,##0</c:formatCode>
                <c:ptCount val="12"/>
                <c:pt idx="0">
                  <c:v>1152.8224111993504</c:v>
                </c:pt>
                <c:pt idx="1">
                  <c:v>1129.7126138219146</c:v>
                </c:pt>
                <c:pt idx="2">
                  <c:v>1136.3252086962393</c:v>
                </c:pt>
                <c:pt idx="3">
                  <c:v>1129.6622441892318</c:v>
                </c:pt>
                <c:pt idx="4">
                  <c:v>1119.238357215</c:v>
                </c:pt>
                <c:pt idx="5">
                  <c:v>1106.1425648160121</c:v>
                </c:pt>
                <c:pt idx="6">
                  <c:v>1089.9667281432983</c:v>
                </c:pt>
                <c:pt idx="7">
                  <c:v>1083.0373846134557</c:v>
                </c:pt>
                <c:pt idx="8">
                  <c:v>1080.5934177879935</c:v>
                </c:pt>
                <c:pt idx="9">
                  <c:v>1071.5432909990582</c:v>
                </c:pt>
                <c:pt idx="10">
                  <c:v>1059.5887451042454</c:v>
                </c:pt>
                <c:pt idx="11">
                  <c:v>1053.5726240807621</c:v>
                </c:pt>
              </c:numCache>
            </c:numRef>
          </c:val>
          <c:smooth val="0"/>
          <c:extLst>
            <c:ext xmlns:c16="http://schemas.microsoft.com/office/drawing/2014/chart" uri="{C3380CC4-5D6E-409C-BE32-E72D297353CC}">
              <c16:uniqueId val="{00000000-A483-4098-859C-51FC1A739AEF}"/>
            </c:ext>
          </c:extLst>
        </c:ser>
        <c:ser>
          <c:idx val="8"/>
          <c:order val="1"/>
          <c:tx>
            <c:strRef>
              <c:f>Leavers_over_time!$B$22</c:f>
              <c:strCache>
                <c:ptCount val="1"/>
                <c:pt idx="0">
                  <c:v>Drama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Leavers_over_time!$C$22:$N$22</c:f>
              <c:numCache>
                <c:formatCode>#,##0</c:formatCode>
                <c:ptCount val="12"/>
                <c:pt idx="0">
                  <c:v>488.78669511449357</c:v>
                </c:pt>
                <c:pt idx="1">
                  <c:v>485.829943256251</c:v>
                </c:pt>
                <c:pt idx="2">
                  <c:v>494.22261401536866</c:v>
                </c:pt>
                <c:pt idx="3">
                  <c:v>500.52539973610862</c:v>
                </c:pt>
                <c:pt idx="4">
                  <c:v>503.33501230244144</c:v>
                </c:pt>
                <c:pt idx="5">
                  <c:v>504.8087795855796</c:v>
                </c:pt>
                <c:pt idx="6">
                  <c:v>504.63670211700332</c:v>
                </c:pt>
                <c:pt idx="7">
                  <c:v>508.25209756145068</c:v>
                </c:pt>
                <c:pt idx="8">
                  <c:v>513.51113217122122</c:v>
                </c:pt>
                <c:pt idx="9">
                  <c:v>514.81678310060943</c:v>
                </c:pt>
                <c:pt idx="10">
                  <c:v>514.01697508801772</c:v>
                </c:pt>
                <c:pt idx="11">
                  <c:v>515.26920646364317</c:v>
                </c:pt>
              </c:numCache>
            </c:numRef>
          </c:val>
          <c:smooth val="0"/>
          <c:extLst>
            <c:ext xmlns:c16="http://schemas.microsoft.com/office/drawing/2014/chart" uri="{C3380CC4-5D6E-409C-BE32-E72D297353CC}">
              <c16:uniqueId val="{00000001-A483-4098-859C-51FC1A739AEF}"/>
            </c:ext>
          </c:extLst>
        </c:ser>
        <c:ser>
          <c:idx val="9"/>
          <c:order val="2"/>
          <c:tx>
            <c:strRef>
              <c:f>Leavers_over_time!$B$23</c:f>
              <c:strCache>
                <c:ptCount val="1"/>
                <c:pt idx="0">
                  <c:v>English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Leavers_over_time!$C$23:$N$23</c:f>
              <c:numCache>
                <c:formatCode>#,##0</c:formatCode>
                <c:ptCount val="12"/>
                <c:pt idx="0">
                  <c:v>3376.0007858974</c:v>
                </c:pt>
                <c:pt idx="1">
                  <c:v>3428.1409939437831</c:v>
                </c:pt>
                <c:pt idx="2">
                  <c:v>3562.2142129335552</c:v>
                </c:pt>
                <c:pt idx="3">
                  <c:v>3616.3626982853016</c:v>
                </c:pt>
                <c:pt idx="4">
                  <c:v>3643.0424210058482</c:v>
                </c:pt>
                <c:pt idx="5">
                  <c:v>3673.4505833965568</c:v>
                </c:pt>
                <c:pt idx="6">
                  <c:v>3706.6327418772676</c:v>
                </c:pt>
                <c:pt idx="7">
                  <c:v>3747.6386304604534</c:v>
                </c:pt>
                <c:pt idx="8">
                  <c:v>3769.5739236594413</c:v>
                </c:pt>
                <c:pt idx="9">
                  <c:v>3779.9916659906585</c:v>
                </c:pt>
                <c:pt idx="10">
                  <c:v>3779.509870362373</c:v>
                </c:pt>
                <c:pt idx="11">
                  <c:v>3771.5151105828681</c:v>
                </c:pt>
              </c:numCache>
            </c:numRef>
          </c:val>
          <c:smooth val="0"/>
          <c:extLst>
            <c:ext xmlns:c16="http://schemas.microsoft.com/office/drawing/2014/chart" uri="{C3380CC4-5D6E-409C-BE32-E72D297353CC}">
              <c16:uniqueId val="{00000002-A483-4098-859C-51FC1A739AEF}"/>
            </c:ext>
          </c:extLst>
        </c:ser>
        <c:ser>
          <c:idx val="0"/>
          <c:order val="3"/>
          <c:tx>
            <c:strRef>
              <c:f>Leavers_over_time!$B$24</c:f>
              <c:strCache>
                <c:ptCount val="1"/>
                <c:pt idx="0">
                  <c:v>Food Leavers</c:v>
                </c:pt>
              </c:strCache>
            </c:strRef>
          </c:tx>
          <c:marker>
            <c:symbol val="none"/>
          </c:marker>
          <c:val>
            <c:numRef>
              <c:f>Leavers_over_time!$C$24:$N$24</c:f>
              <c:numCache>
                <c:formatCode>#,##0</c:formatCode>
                <c:ptCount val="12"/>
                <c:pt idx="0">
                  <c:v>253.63961529643643</c:v>
                </c:pt>
                <c:pt idx="1">
                  <c:v>244.23130561386981</c:v>
                </c:pt>
                <c:pt idx="2">
                  <c:v>242.41646803482939</c:v>
                </c:pt>
                <c:pt idx="3">
                  <c:v>240.63235103180645</c:v>
                </c:pt>
                <c:pt idx="4">
                  <c:v>236.68365642227101</c:v>
                </c:pt>
                <c:pt idx="5">
                  <c:v>232.90361869090486</c:v>
                </c:pt>
                <c:pt idx="6">
                  <c:v>229.32210459436473</c:v>
                </c:pt>
                <c:pt idx="7">
                  <c:v>226.89765752708556</c:v>
                </c:pt>
                <c:pt idx="8">
                  <c:v>225.60668639428854</c:v>
                </c:pt>
                <c:pt idx="9">
                  <c:v>224.50873956750928</c:v>
                </c:pt>
                <c:pt idx="10">
                  <c:v>223.25244415557398</c:v>
                </c:pt>
                <c:pt idx="11">
                  <c:v>221.19371515649783</c:v>
                </c:pt>
              </c:numCache>
            </c:numRef>
          </c:val>
          <c:smooth val="0"/>
          <c:extLst>
            <c:ext xmlns:c16="http://schemas.microsoft.com/office/drawing/2014/chart" uri="{C3380CC4-5D6E-409C-BE32-E72D297353CC}">
              <c16:uniqueId val="{00000003-A483-4098-859C-51FC1A739AEF}"/>
            </c:ext>
          </c:extLst>
        </c:ser>
        <c:ser>
          <c:idx val="10"/>
          <c:order val="4"/>
          <c:tx>
            <c:strRef>
              <c:f>Leavers_over_time!$B$25</c:f>
              <c:strCache>
                <c:ptCount val="1"/>
                <c:pt idx="0">
                  <c:v>Geography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Leavers_over_time!$C$25:$N$25</c:f>
              <c:numCache>
                <c:formatCode>#,##0</c:formatCode>
                <c:ptCount val="12"/>
                <c:pt idx="0">
                  <c:v>1160.7875492958203</c:v>
                </c:pt>
                <c:pt idx="1">
                  <c:v>1168.0727695296882</c:v>
                </c:pt>
                <c:pt idx="2">
                  <c:v>1207.5746425986401</c:v>
                </c:pt>
                <c:pt idx="3">
                  <c:v>1225.1762621010498</c:v>
                </c:pt>
                <c:pt idx="4">
                  <c:v>1240.572338740795</c:v>
                </c:pt>
                <c:pt idx="5">
                  <c:v>1255.3623722672826</c:v>
                </c:pt>
                <c:pt idx="6">
                  <c:v>1268.9305713831823</c:v>
                </c:pt>
                <c:pt idx="7">
                  <c:v>1287.9345667270561</c:v>
                </c:pt>
                <c:pt idx="8">
                  <c:v>1299.2172141980686</c:v>
                </c:pt>
                <c:pt idx="9">
                  <c:v>1302.2888881112622</c:v>
                </c:pt>
                <c:pt idx="10">
                  <c:v>1300.1840479088939</c:v>
                </c:pt>
                <c:pt idx="11">
                  <c:v>1300.0917633888087</c:v>
                </c:pt>
              </c:numCache>
            </c:numRef>
          </c:val>
          <c:smooth val="0"/>
          <c:extLst>
            <c:ext xmlns:c16="http://schemas.microsoft.com/office/drawing/2014/chart" uri="{C3380CC4-5D6E-409C-BE32-E72D297353CC}">
              <c16:uniqueId val="{00000004-A483-4098-859C-51FC1A739AEF}"/>
            </c:ext>
          </c:extLst>
        </c:ser>
        <c:ser>
          <c:idx val="11"/>
          <c:order val="5"/>
          <c:tx>
            <c:strRef>
              <c:f>Leavers_over_time!$B$26</c:f>
              <c:strCache>
                <c:ptCount val="1"/>
                <c:pt idx="0">
                  <c:v>History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Leavers_over_time!$C$26:$N$26</c:f>
              <c:numCache>
                <c:formatCode>#,##0</c:formatCode>
                <c:ptCount val="12"/>
                <c:pt idx="0">
                  <c:v>1242.4911636094844</c:v>
                </c:pt>
                <c:pt idx="1">
                  <c:v>1246.5127399505586</c:v>
                </c:pt>
                <c:pt idx="2">
                  <c:v>1286.0197499696606</c:v>
                </c:pt>
                <c:pt idx="3">
                  <c:v>1301.8436651470465</c:v>
                </c:pt>
                <c:pt idx="4">
                  <c:v>1316.6729392379552</c:v>
                </c:pt>
                <c:pt idx="5">
                  <c:v>1331.3187894309494</c:v>
                </c:pt>
                <c:pt idx="6">
                  <c:v>1345.2487631864597</c:v>
                </c:pt>
                <c:pt idx="7">
                  <c:v>1364.7695811542071</c:v>
                </c:pt>
                <c:pt idx="8">
                  <c:v>1376.7534071402536</c:v>
                </c:pt>
                <c:pt idx="9">
                  <c:v>1380.3687455604654</c:v>
                </c:pt>
                <c:pt idx="10">
                  <c:v>1378.7364341308569</c:v>
                </c:pt>
                <c:pt idx="11">
                  <c:v>1378.9338874308028</c:v>
                </c:pt>
              </c:numCache>
            </c:numRef>
          </c:val>
          <c:smooth val="0"/>
          <c:extLst>
            <c:ext xmlns:c16="http://schemas.microsoft.com/office/drawing/2014/chart" uri="{C3380CC4-5D6E-409C-BE32-E72D297353CC}">
              <c16:uniqueId val="{00000005-A483-4098-859C-51FC1A739AEF}"/>
            </c:ext>
          </c:extLst>
        </c:ser>
        <c:ser>
          <c:idx val="12"/>
          <c:order val="6"/>
          <c:tx>
            <c:strRef>
              <c:f>Leavers_over_time!$B$27</c:f>
              <c:strCache>
                <c:ptCount val="1"/>
                <c:pt idx="0">
                  <c:v>Mathematics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Leavers_over_time!$C$27:$N$27</c:f>
              <c:numCache>
                <c:formatCode>#,##0</c:formatCode>
                <c:ptCount val="12"/>
                <c:pt idx="0">
                  <c:v>3916.9034869673328</c:v>
                </c:pt>
                <c:pt idx="1">
                  <c:v>3955.9823596089091</c:v>
                </c:pt>
                <c:pt idx="2">
                  <c:v>4077.0014162819816</c:v>
                </c:pt>
                <c:pt idx="3">
                  <c:v>4111.2969073944514</c:v>
                </c:pt>
                <c:pt idx="4">
                  <c:v>4122.3656872287975</c:v>
                </c:pt>
                <c:pt idx="5">
                  <c:v>4138.5155075407347</c:v>
                </c:pt>
                <c:pt idx="6">
                  <c:v>4159.3895771671778</c:v>
                </c:pt>
                <c:pt idx="7">
                  <c:v>4191.0762399741407</c:v>
                </c:pt>
                <c:pt idx="8">
                  <c:v>4204.399847745417</c:v>
                </c:pt>
                <c:pt idx="9">
                  <c:v>4204.0283248044652</c:v>
                </c:pt>
                <c:pt idx="10">
                  <c:v>4192.7802339156533</c:v>
                </c:pt>
                <c:pt idx="11">
                  <c:v>4176.7866530507035</c:v>
                </c:pt>
              </c:numCache>
            </c:numRef>
          </c:val>
          <c:smooth val="0"/>
          <c:extLst>
            <c:ext xmlns:c16="http://schemas.microsoft.com/office/drawing/2014/chart" uri="{C3380CC4-5D6E-409C-BE32-E72D297353CC}">
              <c16:uniqueId val="{00000006-A483-4098-859C-51FC1A739AEF}"/>
            </c:ext>
          </c:extLst>
        </c:ser>
        <c:dLbls>
          <c:showLegendKey val="0"/>
          <c:showVal val="0"/>
          <c:showCatName val="0"/>
          <c:showSerName val="0"/>
          <c:showPercent val="0"/>
          <c:showBubbleSize val="0"/>
        </c:dLbls>
        <c:smooth val="0"/>
        <c:axId val="169499264"/>
        <c:axId val="169501056"/>
      </c:lineChart>
      <c:catAx>
        <c:axId val="169499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01056"/>
        <c:crosses val="autoZero"/>
        <c:auto val="1"/>
        <c:lblAlgn val="ctr"/>
        <c:lblOffset val="100"/>
        <c:noMultiLvlLbl val="0"/>
      </c:catAx>
      <c:valAx>
        <c:axId val="16950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99264"/>
        <c:crosses val="autoZero"/>
        <c:crossBetween val="between"/>
      </c:valAx>
      <c:spPr>
        <a:ln>
          <a:solidFill>
            <a:schemeClr val="tx1">
              <a:lumMod val="95000"/>
              <a:lumOff val="5000"/>
            </a:schemeClr>
          </a:solidFill>
        </a:ln>
      </c:spPr>
    </c:plotArea>
    <c:legend>
      <c:legendPos val="r"/>
      <c:layout>
        <c:manualLayout>
          <c:xMode val="edge"/>
          <c:yMode val="edge"/>
          <c:x val="0.73505654281098542"/>
          <c:y val="1.5759462731914958E-2"/>
          <c:w val="0.24798069869699246"/>
          <c:h val="0.9713467048710601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0473194161988"/>
          <c:y val="4.2416503094706286E-2"/>
          <c:w val="0.61101857979587892"/>
          <c:h val="0.78292654678910123"/>
        </c:manualLayout>
      </c:layout>
      <c:lineChart>
        <c:grouping val="standard"/>
        <c:varyColors val="0"/>
        <c:ser>
          <c:idx val="13"/>
          <c:order val="0"/>
          <c:tx>
            <c:strRef>
              <c:f>Leavers_over_time!$B$28</c:f>
              <c:strCache>
                <c:ptCount val="1"/>
                <c:pt idx="0">
                  <c:v>Modern Foreign Languages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Leavers_over_time!$C$28:$N$28</c:f>
              <c:numCache>
                <c:formatCode>#,##0</c:formatCode>
                <c:ptCount val="12"/>
                <c:pt idx="0">
                  <c:v>1712.4176271707834</c:v>
                </c:pt>
                <c:pt idx="1">
                  <c:v>1730.1003532912928</c:v>
                </c:pt>
                <c:pt idx="2">
                  <c:v>1821.3410064927052</c:v>
                </c:pt>
                <c:pt idx="3">
                  <c:v>1902.6907509780331</c:v>
                </c:pt>
                <c:pt idx="4">
                  <c:v>1980.0122320221783</c:v>
                </c:pt>
                <c:pt idx="5">
                  <c:v>2072.466705161848</c:v>
                </c:pt>
                <c:pt idx="6">
                  <c:v>2178.9762989192309</c:v>
                </c:pt>
                <c:pt idx="7">
                  <c:v>2275.5153994768698</c:v>
                </c:pt>
                <c:pt idx="8">
                  <c:v>2285.3036331617368</c:v>
                </c:pt>
                <c:pt idx="9">
                  <c:v>2278.1297803979701</c:v>
                </c:pt>
                <c:pt idx="10">
                  <c:v>2260.3752378383942</c:v>
                </c:pt>
                <c:pt idx="11">
                  <c:v>2247.4191463750371</c:v>
                </c:pt>
              </c:numCache>
            </c:numRef>
          </c:val>
          <c:smooth val="0"/>
          <c:extLst>
            <c:ext xmlns:c16="http://schemas.microsoft.com/office/drawing/2014/chart" uri="{C3380CC4-5D6E-409C-BE32-E72D297353CC}">
              <c16:uniqueId val="{00000000-7123-4AD3-9FDD-D0B0AC5F313D}"/>
            </c:ext>
          </c:extLst>
        </c:ser>
        <c:ser>
          <c:idx val="14"/>
          <c:order val="1"/>
          <c:tx>
            <c:strRef>
              <c:f>Leavers_over_time!$B$29</c:f>
              <c:strCache>
                <c:ptCount val="1"/>
                <c:pt idx="0">
                  <c:v>Music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Leavers_over_time!$C$29:$N$29</c:f>
              <c:numCache>
                <c:formatCode>#,##0</c:formatCode>
                <c:ptCount val="12"/>
                <c:pt idx="0">
                  <c:v>509.02086108878643</c:v>
                </c:pt>
                <c:pt idx="1">
                  <c:v>509.53239127838674</c:v>
                </c:pt>
                <c:pt idx="2">
                  <c:v>522.10256611342652</c:v>
                </c:pt>
                <c:pt idx="3">
                  <c:v>527.35284975855132</c:v>
                </c:pt>
                <c:pt idx="4">
                  <c:v>530.23942206207141</c:v>
                </c:pt>
                <c:pt idx="5">
                  <c:v>530.7871595790466</c:v>
                </c:pt>
                <c:pt idx="6">
                  <c:v>528.67124559007607</c:v>
                </c:pt>
                <c:pt idx="7">
                  <c:v>531.13366497979928</c:v>
                </c:pt>
                <c:pt idx="8">
                  <c:v>535.17756264916625</c:v>
                </c:pt>
                <c:pt idx="9">
                  <c:v>534.26939420200733</c:v>
                </c:pt>
                <c:pt idx="10">
                  <c:v>531.03487015032385</c:v>
                </c:pt>
                <c:pt idx="11">
                  <c:v>531.55331934071933</c:v>
                </c:pt>
              </c:numCache>
            </c:numRef>
          </c:val>
          <c:smooth val="0"/>
          <c:extLst>
            <c:ext xmlns:c16="http://schemas.microsoft.com/office/drawing/2014/chart" uri="{C3380CC4-5D6E-409C-BE32-E72D297353CC}">
              <c16:uniqueId val="{00000001-7123-4AD3-9FDD-D0B0AC5F313D}"/>
            </c:ext>
          </c:extLst>
        </c:ser>
        <c:ser>
          <c:idx val="15"/>
          <c:order val="2"/>
          <c:tx>
            <c:strRef>
              <c:f>Leavers_over_time!$B$30</c:f>
              <c:strCache>
                <c:ptCount val="1"/>
                <c:pt idx="0">
                  <c:v>Others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Leavers_over_time!$C$30:$N$30</c:f>
              <c:numCache>
                <c:formatCode>#,##0</c:formatCode>
                <c:ptCount val="12"/>
                <c:pt idx="0">
                  <c:v>1543.1767432640572</c:v>
                </c:pt>
                <c:pt idx="1">
                  <c:v>1475.0665882925246</c:v>
                </c:pt>
                <c:pt idx="2">
                  <c:v>1458.3187081543761</c:v>
                </c:pt>
                <c:pt idx="3">
                  <c:v>1432.9934073629479</c:v>
                </c:pt>
                <c:pt idx="4">
                  <c:v>1422.6067253269475</c:v>
                </c:pt>
                <c:pt idx="5">
                  <c:v>1419.0151845077978</c:v>
                </c:pt>
                <c:pt idx="6">
                  <c:v>1422.5296017479789</c:v>
                </c:pt>
                <c:pt idx="7">
                  <c:v>1433.5195028937073</c:v>
                </c:pt>
                <c:pt idx="8">
                  <c:v>1453.4487165407131</c:v>
                </c:pt>
                <c:pt idx="9">
                  <c:v>1466.5183677916625</c:v>
                </c:pt>
                <c:pt idx="10">
                  <c:v>1475.8323855835195</c:v>
                </c:pt>
                <c:pt idx="11">
                  <c:v>1483.1270809212497</c:v>
                </c:pt>
              </c:numCache>
            </c:numRef>
          </c:val>
          <c:smooth val="0"/>
          <c:extLst>
            <c:ext xmlns:c16="http://schemas.microsoft.com/office/drawing/2014/chart" uri="{C3380CC4-5D6E-409C-BE32-E72D297353CC}">
              <c16:uniqueId val="{00000002-7123-4AD3-9FDD-D0B0AC5F313D}"/>
            </c:ext>
          </c:extLst>
        </c:ser>
        <c:ser>
          <c:idx val="16"/>
          <c:order val="3"/>
          <c:tx>
            <c:strRef>
              <c:f>Leavers_over_time!$B$31</c:f>
              <c:strCache>
                <c:ptCount val="1"/>
                <c:pt idx="0">
                  <c:v>Physical Education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Leavers_over_time!$C$31:$N$31</c:f>
              <c:numCache>
                <c:formatCode>#,##0</c:formatCode>
                <c:ptCount val="12"/>
                <c:pt idx="0">
                  <c:v>1578.8871124105681</c:v>
                </c:pt>
                <c:pt idx="1">
                  <c:v>1547.5733223450648</c:v>
                </c:pt>
                <c:pt idx="2">
                  <c:v>1598.5466143732015</c:v>
                </c:pt>
                <c:pt idx="3">
                  <c:v>1620.2151230835937</c:v>
                </c:pt>
                <c:pt idx="4">
                  <c:v>1638.7567803136642</c:v>
                </c:pt>
                <c:pt idx="5">
                  <c:v>1652.930331319099</c:v>
                </c:pt>
                <c:pt idx="6">
                  <c:v>1662.0870916418767</c:v>
                </c:pt>
                <c:pt idx="7">
                  <c:v>1680.5984968618061</c:v>
                </c:pt>
                <c:pt idx="8">
                  <c:v>1703.8707099784697</c:v>
                </c:pt>
                <c:pt idx="9">
                  <c:v>1718.2319372276547</c:v>
                </c:pt>
                <c:pt idx="10">
                  <c:v>1725.8582519807696</c:v>
                </c:pt>
                <c:pt idx="11">
                  <c:v>1732.5448157116834</c:v>
                </c:pt>
              </c:numCache>
            </c:numRef>
          </c:val>
          <c:smooth val="0"/>
          <c:extLst>
            <c:ext xmlns:c16="http://schemas.microsoft.com/office/drawing/2014/chart" uri="{C3380CC4-5D6E-409C-BE32-E72D297353CC}">
              <c16:uniqueId val="{00000003-7123-4AD3-9FDD-D0B0AC5F313D}"/>
            </c:ext>
          </c:extLst>
        </c:ser>
        <c:ser>
          <c:idx val="17"/>
          <c:order val="4"/>
          <c:tx>
            <c:strRef>
              <c:f>Leavers_over_time!$B$32</c:f>
              <c:strCache>
                <c:ptCount val="1"/>
                <c:pt idx="0">
                  <c:v>Physics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Leavers_over_time!$C$32:$N$32</c:f>
              <c:numCache>
                <c:formatCode>#,##0</c:formatCode>
                <c:ptCount val="12"/>
                <c:pt idx="0">
                  <c:v>1313.044223649805</c:v>
                </c:pt>
                <c:pt idx="1">
                  <c:v>1343.113994309695</c:v>
                </c:pt>
                <c:pt idx="2">
                  <c:v>1388.8806430491013</c:v>
                </c:pt>
                <c:pt idx="3">
                  <c:v>1391.7480248187412</c:v>
                </c:pt>
                <c:pt idx="4">
                  <c:v>1399.4378289751512</c:v>
                </c:pt>
                <c:pt idx="5">
                  <c:v>1409.0949496097051</c:v>
                </c:pt>
                <c:pt idx="6">
                  <c:v>1421.3798274243111</c:v>
                </c:pt>
                <c:pt idx="7">
                  <c:v>1433.4907572489446</c:v>
                </c:pt>
                <c:pt idx="8">
                  <c:v>1439.8911650850591</c:v>
                </c:pt>
                <c:pt idx="9">
                  <c:v>1444.289955897025</c:v>
                </c:pt>
                <c:pt idx="10">
                  <c:v>1445.3886999756539</c:v>
                </c:pt>
                <c:pt idx="11">
                  <c:v>1439.804949829705</c:v>
                </c:pt>
              </c:numCache>
            </c:numRef>
          </c:val>
          <c:smooth val="0"/>
          <c:extLst>
            <c:ext xmlns:c16="http://schemas.microsoft.com/office/drawing/2014/chart" uri="{C3380CC4-5D6E-409C-BE32-E72D297353CC}">
              <c16:uniqueId val="{00000004-7123-4AD3-9FDD-D0B0AC5F313D}"/>
            </c:ext>
          </c:extLst>
        </c:ser>
        <c:ser>
          <c:idx val="18"/>
          <c:order val="5"/>
          <c:tx>
            <c:strRef>
              <c:f>Leavers_over_time!$B$33</c:f>
              <c:strCache>
                <c:ptCount val="1"/>
                <c:pt idx="0">
                  <c:v>Religious Education Leavers</c:v>
                </c:pt>
              </c:strCache>
            </c:strRef>
          </c:tx>
          <c:marker>
            <c:symbol val="none"/>
          </c:marker>
          <c:cat>
            <c:strRef>
              <c:f>Leavers_over_time!$C$13:$N$13</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Leavers_over_time!$C$33:$N$33</c:f>
              <c:numCache>
                <c:formatCode>#,##0</c:formatCode>
                <c:ptCount val="12"/>
                <c:pt idx="0">
                  <c:v>795.57483000316824</c:v>
                </c:pt>
                <c:pt idx="1">
                  <c:v>779.78476986289604</c:v>
                </c:pt>
                <c:pt idx="2">
                  <c:v>787.77244498771347</c:v>
                </c:pt>
                <c:pt idx="3">
                  <c:v>789.97962902294444</c:v>
                </c:pt>
                <c:pt idx="4">
                  <c:v>788.3319373893446</c:v>
                </c:pt>
                <c:pt idx="5">
                  <c:v>785.69594688048812</c:v>
                </c:pt>
                <c:pt idx="6">
                  <c:v>781.77651987130605</c:v>
                </c:pt>
                <c:pt idx="7">
                  <c:v>782.90918626425503</c:v>
                </c:pt>
                <c:pt idx="8">
                  <c:v>787.07056668827136</c:v>
                </c:pt>
                <c:pt idx="9">
                  <c:v>787.69153927036325</c:v>
                </c:pt>
                <c:pt idx="10">
                  <c:v>786.01561593674273</c:v>
                </c:pt>
                <c:pt idx="11">
                  <c:v>785.02935840689838</c:v>
                </c:pt>
              </c:numCache>
            </c:numRef>
          </c:val>
          <c:smooth val="0"/>
          <c:extLst>
            <c:ext xmlns:c16="http://schemas.microsoft.com/office/drawing/2014/chart" uri="{C3380CC4-5D6E-409C-BE32-E72D297353CC}">
              <c16:uniqueId val="{00000005-7123-4AD3-9FDD-D0B0AC5F313D}"/>
            </c:ext>
          </c:extLst>
        </c:ser>
        <c:dLbls>
          <c:showLegendKey val="0"/>
          <c:showVal val="0"/>
          <c:showCatName val="0"/>
          <c:showSerName val="0"/>
          <c:showPercent val="0"/>
          <c:showBubbleSize val="0"/>
        </c:dLbls>
        <c:smooth val="0"/>
        <c:axId val="169540224"/>
        <c:axId val="169550208"/>
      </c:lineChart>
      <c:catAx>
        <c:axId val="1695402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50208"/>
        <c:crosses val="autoZero"/>
        <c:auto val="1"/>
        <c:lblAlgn val="ctr"/>
        <c:lblOffset val="100"/>
        <c:noMultiLvlLbl val="0"/>
      </c:catAx>
      <c:valAx>
        <c:axId val="16955020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540224"/>
        <c:crosses val="autoZero"/>
        <c:crossBetween val="between"/>
      </c:valAx>
      <c:spPr>
        <a:ln>
          <a:solidFill>
            <a:schemeClr val="tx1">
              <a:lumMod val="95000"/>
              <a:lumOff val="5000"/>
            </a:schemeClr>
          </a:solidFill>
        </a:ln>
      </c:spPr>
    </c:plotArea>
    <c:legend>
      <c:legendPos val="r"/>
      <c:layout>
        <c:manualLayout>
          <c:xMode val="edge"/>
          <c:yMode val="edge"/>
          <c:x val="0.75139948921497013"/>
          <c:y val="3.4383954154727794E-2"/>
          <c:w val="0.23261414111846346"/>
          <c:h val="0.9484240687679083"/>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Qualified teacher stock (by headcount)</a:t>
            </a:r>
          </a:p>
        </c:rich>
      </c:tx>
      <c:overlay val="0"/>
    </c:title>
    <c:autoTitleDeleted val="0"/>
    <c:plotArea>
      <c:layout>
        <c:manualLayout>
          <c:layoutTarget val="inner"/>
          <c:xMode val="edge"/>
          <c:yMode val="edge"/>
          <c:x val="0.15600356418515868"/>
          <c:y val="0.11118797950736928"/>
          <c:w val="0.56814323103078024"/>
          <c:h val="0.70000347011911968"/>
        </c:manualLayout>
      </c:layout>
      <c:lineChart>
        <c:grouping val="standard"/>
        <c:varyColors val="0"/>
        <c:ser>
          <c:idx val="0"/>
          <c:order val="0"/>
          <c:tx>
            <c:strRef>
              <c:f>Outputs_with_historical_data!$B$25</c:f>
              <c:strCache>
                <c:ptCount val="1"/>
                <c:pt idx="0">
                  <c:v>Primary - historical</c:v>
                </c:pt>
              </c:strCache>
            </c:strRef>
          </c:tx>
          <c:spPr>
            <a:ln>
              <a:solidFill>
                <a:schemeClr val="tx1">
                  <a:lumMod val="95000"/>
                  <a:lumOff val="5000"/>
                </a:schemeClr>
              </a:solidFill>
            </a:ln>
          </c:spPr>
          <c:marker>
            <c:symbol val="none"/>
          </c:marker>
          <c:cat>
            <c:strRef>
              <c:f>Outputs_with_historical_data!$C$24:$U$24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Outputs_with_historical_data!$C$25:$U$25</c:f>
              <c:numCache>
                <c:formatCode>#,##0</c:formatCode>
                <c:ptCount val="19"/>
                <c:pt idx="0">
                  <c:v>216803.06543690819</c:v>
                </c:pt>
                <c:pt idx="1">
                  <c:v>219759.26699999999</c:v>
                </c:pt>
                <c:pt idx="2">
                  <c:v>225242.84299999999</c:v>
                </c:pt>
                <c:pt idx="3">
                  <c:v>230506.90999999997</c:v>
                </c:pt>
                <c:pt idx="4">
                  <c:v>235669.495</c:v>
                </c:pt>
                <c:pt idx="5">
                  <c:v>239334.26899999997</c:v>
                </c:pt>
                <c:pt idx="6">
                  <c:v>241507.71000000002</c:v>
                </c:pt>
              </c:numCache>
            </c:numRef>
          </c:val>
          <c:smooth val="0"/>
          <c:extLst>
            <c:ext xmlns:c16="http://schemas.microsoft.com/office/drawing/2014/chart" uri="{C3380CC4-5D6E-409C-BE32-E72D297353CC}">
              <c16:uniqueId val="{00000000-8431-419C-BE6B-C77E858D3DC5}"/>
            </c:ext>
          </c:extLst>
        </c:ser>
        <c:ser>
          <c:idx val="1"/>
          <c:order val="1"/>
          <c:tx>
            <c:strRef>
              <c:f>Outputs_with_historical_data!$B$26</c:f>
              <c:strCache>
                <c:ptCount val="1"/>
                <c:pt idx="0">
                  <c:v>Primary - projected</c:v>
                </c:pt>
              </c:strCache>
            </c:strRef>
          </c:tx>
          <c:spPr>
            <a:ln>
              <a:solidFill>
                <a:schemeClr val="tx1">
                  <a:lumMod val="95000"/>
                  <a:lumOff val="5000"/>
                </a:schemeClr>
              </a:solidFill>
              <a:prstDash val="sysDot"/>
            </a:ln>
          </c:spPr>
          <c:marker>
            <c:symbol val="none"/>
          </c:marker>
          <c:cat>
            <c:strRef>
              <c:f>Outputs_with_historical_data!$C$24:$U$24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Outputs_with_historical_data!$C$26:$U$26</c:f>
              <c:numCache>
                <c:formatCode>#,##0</c:formatCode>
                <c:ptCount val="19"/>
                <c:pt idx="6">
                  <c:v>241507.71000000002</c:v>
                </c:pt>
                <c:pt idx="7">
                  <c:v>243605.32104784102</c:v>
                </c:pt>
                <c:pt idx="8">
                  <c:v>244269.7542551799</c:v>
                </c:pt>
                <c:pt idx="9">
                  <c:v>244274.82192656255</c:v>
                </c:pt>
                <c:pt idx="10">
                  <c:v>244504.52764222646</c:v>
                </c:pt>
                <c:pt idx="11">
                  <c:v>244565.62003293994</c:v>
                </c:pt>
                <c:pt idx="12">
                  <c:v>244409.39158641128</c:v>
                </c:pt>
                <c:pt idx="13">
                  <c:v>244013.68182205909</c:v>
                </c:pt>
                <c:pt idx="14">
                  <c:v>244249.37361793657</c:v>
                </c:pt>
                <c:pt idx="15">
                  <c:v>244933.35980853782</c:v>
                </c:pt>
                <c:pt idx="16">
                  <c:v>245669.86163246437</c:v>
                </c:pt>
                <c:pt idx="17">
                  <c:v>246231.24083518205</c:v>
                </c:pt>
                <c:pt idx="18">
                  <c:v>246609.75140378298</c:v>
                </c:pt>
              </c:numCache>
            </c:numRef>
          </c:val>
          <c:smooth val="0"/>
          <c:extLst>
            <c:ext xmlns:c16="http://schemas.microsoft.com/office/drawing/2014/chart" uri="{C3380CC4-5D6E-409C-BE32-E72D297353CC}">
              <c16:uniqueId val="{00000001-8431-419C-BE6B-C77E858D3DC5}"/>
            </c:ext>
          </c:extLst>
        </c:ser>
        <c:ser>
          <c:idx val="2"/>
          <c:order val="2"/>
          <c:tx>
            <c:strRef>
              <c:f>Outputs_with_historical_data!$B$27</c:f>
              <c:strCache>
                <c:ptCount val="1"/>
                <c:pt idx="0">
                  <c:v>Secondary - historical</c:v>
                </c:pt>
              </c:strCache>
            </c:strRef>
          </c:tx>
          <c:spPr>
            <a:ln>
              <a:solidFill>
                <a:srgbClr val="FF0000"/>
              </a:solidFill>
            </a:ln>
          </c:spPr>
          <c:marker>
            <c:symbol val="none"/>
          </c:marker>
          <c:cat>
            <c:strRef>
              <c:f>Outputs_with_historical_data!$C$24:$U$24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Outputs_with_historical_data!$C$27:$U$27</c:f>
              <c:numCache>
                <c:formatCode>#,##0</c:formatCode>
                <c:ptCount val="19"/>
                <c:pt idx="0">
                  <c:v>221900.66049640172</c:v>
                </c:pt>
                <c:pt idx="1">
                  <c:v>219183.60100000002</c:v>
                </c:pt>
                <c:pt idx="2">
                  <c:v>219703.59299999999</c:v>
                </c:pt>
                <c:pt idx="3">
                  <c:v>217686.05700000003</c:v>
                </c:pt>
                <c:pt idx="4">
                  <c:v>215630.02100000001</c:v>
                </c:pt>
                <c:pt idx="5">
                  <c:v>212013.74599999998</c:v>
                </c:pt>
                <c:pt idx="6">
                  <c:v>208904.02100376648</c:v>
                </c:pt>
              </c:numCache>
            </c:numRef>
          </c:val>
          <c:smooth val="0"/>
          <c:extLst>
            <c:ext xmlns:c16="http://schemas.microsoft.com/office/drawing/2014/chart" uri="{C3380CC4-5D6E-409C-BE32-E72D297353CC}">
              <c16:uniqueId val="{00000002-8431-419C-BE6B-C77E858D3DC5}"/>
            </c:ext>
          </c:extLst>
        </c:ser>
        <c:ser>
          <c:idx val="3"/>
          <c:order val="3"/>
          <c:tx>
            <c:strRef>
              <c:f>Outputs_with_historical_data!$B$28</c:f>
              <c:strCache>
                <c:ptCount val="1"/>
                <c:pt idx="0">
                  <c:v>Secondary - projected</c:v>
                </c:pt>
              </c:strCache>
            </c:strRef>
          </c:tx>
          <c:spPr>
            <a:ln>
              <a:solidFill>
                <a:srgbClr val="FF0000"/>
              </a:solidFill>
              <a:prstDash val="sysDot"/>
            </a:ln>
          </c:spPr>
          <c:marker>
            <c:symbol val="none"/>
          </c:marker>
          <c:cat>
            <c:strRef>
              <c:f>Outputs_with_historical_data!$C$24:$U$24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Outputs_with_historical_data!$C$28:$U$28</c:f>
              <c:numCache>
                <c:formatCode>#,##0</c:formatCode>
                <c:ptCount val="19"/>
                <c:pt idx="6">
                  <c:v>208904.02100376648</c:v>
                </c:pt>
                <c:pt idx="7">
                  <c:v>210665.40426618766</c:v>
                </c:pt>
                <c:pt idx="8">
                  <c:v>212698.50385815764</c:v>
                </c:pt>
                <c:pt idx="9">
                  <c:v>214920.23730955189</c:v>
                </c:pt>
                <c:pt idx="10">
                  <c:v>216757.95394379064</c:v>
                </c:pt>
                <c:pt idx="11">
                  <c:v>218697.69007643341</c:v>
                </c:pt>
                <c:pt idx="12">
                  <c:v>220720.5403897037</c:v>
                </c:pt>
                <c:pt idx="13">
                  <c:v>223316.71144763532</c:v>
                </c:pt>
                <c:pt idx="14">
                  <c:v>224901.28331453755</c:v>
                </c:pt>
                <c:pt idx="15">
                  <c:v>225490.18602435637</c:v>
                </c:pt>
                <c:pt idx="16">
                  <c:v>225356.16604052536</c:v>
                </c:pt>
                <c:pt idx="17">
                  <c:v>225081.02798511446</c:v>
                </c:pt>
                <c:pt idx="18">
                  <c:v>224629.97957456802</c:v>
                </c:pt>
              </c:numCache>
            </c:numRef>
          </c:val>
          <c:smooth val="0"/>
          <c:extLst>
            <c:ext xmlns:c16="http://schemas.microsoft.com/office/drawing/2014/chart" uri="{C3380CC4-5D6E-409C-BE32-E72D297353CC}">
              <c16:uniqueId val="{00000003-8431-419C-BE6B-C77E858D3DC5}"/>
            </c:ext>
          </c:extLst>
        </c:ser>
        <c:dLbls>
          <c:showLegendKey val="0"/>
          <c:showVal val="0"/>
          <c:showCatName val="0"/>
          <c:showSerName val="0"/>
          <c:showPercent val="0"/>
          <c:showBubbleSize val="0"/>
        </c:dLbls>
        <c:smooth val="0"/>
        <c:axId val="169980288"/>
        <c:axId val="169981824"/>
      </c:lineChart>
      <c:catAx>
        <c:axId val="169980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69981824"/>
        <c:crosses val="autoZero"/>
        <c:auto val="1"/>
        <c:lblAlgn val="ctr"/>
        <c:lblOffset val="100"/>
        <c:noMultiLvlLbl val="0"/>
      </c:catAx>
      <c:valAx>
        <c:axId val="16998182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980288"/>
        <c:crosses val="autoZero"/>
        <c:crossBetween val="between"/>
      </c:valAx>
      <c:spPr>
        <a:ln>
          <a:solidFill>
            <a:schemeClr val="tx1">
              <a:lumMod val="95000"/>
              <a:lumOff val="5000"/>
            </a:schemeClr>
          </a:solidFill>
        </a:ln>
      </c:spPr>
    </c:plotArea>
    <c:legend>
      <c:legendPos val="r"/>
      <c:layout>
        <c:manualLayout>
          <c:xMode val="edge"/>
          <c:yMode val="edge"/>
          <c:x val="0.73801495703448028"/>
          <c:y val="0.19626200930491164"/>
          <c:w val="0.24400729874519111"/>
          <c:h val="0.5545181151421492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PRIMARY No. of pupils (FTE) and qualified teacher stock (headcount)</a:t>
            </a:r>
          </a:p>
        </c:rich>
      </c:tx>
      <c:layout>
        <c:manualLayout>
          <c:xMode val="edge"/>
          <c:yMode val="edge"/>
          <c:x val="0.11053626002229172"/>
          <c:y val="2.2173047334600415E-2"/>
        </c:manualLayout>
      </c:layout>
      <c:overlay val="0"/>
    </c:title>
    <c:autoTitleDeleted val="0"/>
    <c:plotArea>
      <c:layout>
        <c:manualLayout>
          <c:layoutTarget val="inner"/>
          <c:xMode val="edge"/>
          <c:yMode val="edge"/>
          <c:x val="0.12791247274172585"/>
          <c:y val="0.11283266698092893"/>
          <c:w val="0.48912438857074686"/>
          <c:h val="0.71301133090071056"/>
        </c:manualLayout>
      </c:layout>
      <c:lineChart>
        <c:grouping val="standard"/>
        <c:varyColors val="0"/>
        <c:ser>
          <c:idx val="2"/>
          <c:order val="2"/>
          <c:tx>
            <c:strRef>
              <c:f>Outputs_with_historical_data!$B$55</c:f>
              <c:strCache>
                <c:ptCount val="1"/>
                <c:pt idx="0">
                  <c:v>Primary pupils - historical</c:v>
                </c:pt>
              </c:strCache>
            </c:strRef>
          </c:tx>
          <c:spPr>
            <a:ln>
              <a:solidFill>
                <a:srgbClr val="00B0F0"/>
              </a:solidFill>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Outputs_with_historical_data!$C$55:$U$55</c:f>
              <c:numCache>
                <c:formatCode>#,##0</c:formatCode>
                <c:ptCount val="19"/>
                <c:pt idx="0">
                  <c:v>4074368</c:v>
                </c:pt>
                <c:pt idx="1">
                  <c:v>4150277.5</c:v>
                </c:pt>
                <c:pt idx="2">
                  <c:v>4247394.5</c:v>
                </c:pt>
                <c:pt idx="3">
                  <c:v>4359000</c:v>
                </c:pt>
                <c:pt idx="4">
                  <c:v>4463434</c:v>
                </c:pt>
                <c:pt idx="5">
                  <c:v>4574041.5</c:v>
                </c:pt>
                <c:pt idx="6">
                  <c:v>4659421</c:v>
                </c:pt>
              </c:numCache>
            </c:numRef>
          </c:val>
          <c:smooth val="0"/>
          <c:extLst>
            <c:ext xmlns:c16="http://schemas.microsoft.com/office/drawing/2014/chart" uri="{C3380CC4-5D6E-409C-BE32-E72D297353CC}">
              <c16:uniqueId val="{00000000-EFE6-4BF5-8073-26A797DF19A4}"/>
            </c:ext>
          </c:extLst>
        </c:ser>
        <c:ser>
          <c:idx val="3"/>
          <c:order val="3"/>
          <c:tx>
            <c:strRef>
              <c:f>Outputs_with_historical_data!$B$56</c:f>
              <c:strCache>
                <c:ptCount val="1"/>
                <c:pt idx="0">
                  <c:v>Primary pupils - projected</c:v>
                </c:pt>
              </c:strCache>
            </c:strRef>
          </c:tx>
          <c:spPr>
            <a:ln>
              <a:solidFill>
                <a:srgbClr val="00B0F0"/>
              </a:solidFill>
              <a:prstDash val="sysDot"/>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Outputs_with_historical_data!$C$56:$U$56</c:f>
              <c:numCache>
                <c:formatCode>#,##0</c:formatCode>
                <c:ptCount val="19"/>
                <c:pt idx="6">
                  <c:v>4659421</c:v>
                </c:pt>
                <c:pt idx="7">
                  <c:v>4717394.1869075894</c:v>
                </c:pt>
                <c:pt idx="8">
                  <c:v>4743197.9400571762</c:v>
                </c:pt>
                <c:pt idx="9">
                  <c:v>4743394.7508921698</c:v>
                </c:pt>
                <c:pt idx="10">
                  <c:v>4752324.1234839866</c:v>
                </c:pt>
                <c:pt idx="11">
                  <c:v>4754699.5674540829</c:v>
                </c:pt>
                <c:pt idx="12">
                  <c:v>4748628.8440450421</c:v>
                </c:pt>
                <c:pt idx="13">
                  <c:v>4733277.2129678745</c:v>
                </c:pt>
                <c:pt idx="14">
                  <c:v>4742429.7587460289</c:v>
                </c:pt>
                <c:pt idx="15">
                  <c:v>4769065.3698165566</c:v>
                </c:pt>
                <c:pt idx="16">
                  <c:v>4797832.532279524</c:v>
                </c:pt>
                <c:pt idx="17">
                  <c:v>4819809.7676248243</c:v>
                </c:pt>
                <c:pt idx="18">
                  <c:v>4834650.7574622277</c:v>
                </c:pt>
              </c:numCache>
            </c:numRef>
          </c:val>
          <c:smooth val="0"/>
          <c:extLst>
            <c:ext xmlns:c16="http://schemas.microsoft.com/office/drawing/2014/chart" uri="{C3380CC4-5D6E-409C-BE32-E72D297353CC}">
              <c16:uniqueId val="{00000001-EFE6-4BF5-8073-26A797DF19A4}"/>
            </c:ext>
          </c:extLst>
        </c:ser>
        <c:dLbls>
          <c:showLegendKey val="0"/>
          <c:showVal val="0"/>
          <c:showCatName val="0"/>
          <c:showSerName val="0"/>
          <c:showPercent val="0"/>
          <c:showBubbleSize val="0"/>
        </c:dLbls>
        <c:marker val="1"/>
        <c:smooth val="0"/>
        <c:axId val="170044800"/>
        <c:axId val="170054784"/>
      </c:lineChart>
      <c:lineChart>
        <c:grouping val="standard"/>
        <c:varyColors val="0"/>
        <c:ser>
          <c:idx val="0"/>
          <c:order val="0"/>
          <c:tx>
            <c:strRef>
              <c:f>Outputs_with_historical_data!$B$53</c:f>
              <c:strCache>
                <c:ptCount val="1"/>
                <c:pt idx="0">
                  <c:v>Primary stock - historical</c:v>
                </c:pt>
              </c:strCache>
            </c:strRef>
          </c:tx>
          <c:spPr>
            <a:ln>
              <a:solidFill>
                <a:schemeClr val="tx1">
                  <a:lumMod val="95000"/>
                  <a:lumOff val="5000"/>
                </a:schemeClr>
              </a:solidFill>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Outputs_with_historical_data!$C$53:$U$53</c:f>
              <c:numCache>
                <c:formatCode>#,##0</c:formatCode>
                <c:ptCount val="19"/>
                <c:pt idx="0">
                  <c:v>216803.06543690819</c:v>
                </c:pt>
                <c:pt idx="1">
                  <c:v>219759.26699999999</c:v>
                </c:pt>
                <c:pt idx="2">
                  <c:v>225242.84299999999</c:v>
                </c:pt>
                <c:pt idx="3">
                  <c:v>230506.90999999997</c:v>
                </c:pt>
                <c:pt idx="4">
                  <c:v>235669.495</c:v>
                </c:pt>
                <c:pt idx="5">
                  <c:v>239334.26899999997</c:v>
                </c:pt>
                <c:pt idx="6">
                  <c:v>241507.71000000002</c:v>
                </c:pt>
              </c:numCache>
            </c:numRef>
          </c:val>
          <c:smooth val="0"/>
          <c:extLst>
            <c:ext xmlns:c16="http://schemas.microsoft.com/office/drawing/2014/chart" uri="{C3380CC4-5D6E-409C-BE32-E72D297353CC}">
              <c16:uniqueId val="{00000002-EFE6-4BF5-8073-26A797DF19A4}"/>
            </c:ext>
          </c:extLst>
        </c:ser>
        <c:ser>
          <c:idx val="1"/>
          <c:order val="1"/>
          <c:tx>
            <c:strRef>
              <c:f>Outputs_with_historical_data!$B$54</c:f>
              <c:strCache>
                <c:ptCount val="1"/>
                <c:pt idx="0">
                  <c:v>Primary stock - projected</c:v>
                </c:pt>
              </c:strCache>
            </c:strRef>
          </c:tx>
          <c:spPr>
            <a:ln>
              <a:solidFill>
                <a:schemeClr val="tx1">
                  <a:lumMod val="95000"/>
                  <a:lumOff val="5000"/>
                </a:schemeClr>
              </a:solidFill>
              <a:prstDash val="sysDot"/>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Outputs_with_historical_data!$C$54:$U$54</c:f>
              <c:numCache>
                <c:formatCode>#,##0</c:formatCode>
                <c:ptCount val="19"/>
                <c:pt idx="6">
                  <c:v>241507.71000000002</c:v>
                </c:pt>
                <c:pt idx="7">
                  <c:v>243605.32104784102</c:v>
                </c:pt>
                <c:pt idx="8">
                  <c:v>244269.7542551799</c:v>
                </c:pt>
                <c:pt idx="9">
                  <c:v>244274.82192656255</c:v>
                </c:pt>
                <c:pt idx="10">
                  <c:v>244504.52764222646</c:v>
                </c:pt>
                <c:pt idx="11">
                  <c:v>244565.62003293994</c:v>
                </c:pt>
                <c:pt idx="12">
                  <c:v>244409.39158641128</c:v>
                </c:pt>
                <c:pt idx="13">
                  <c:v>244013.68182205909</c:v>
                </c:pt>
                <c:pt idx="14">
                  <c:v>244249.37361793657</c:v>
                </c:pt>
                <c:pt idx="15">
                  <c:v>244933.35980853782</c:v>
                </c:pt>
                <c:pt idx="16">
                  <c:v>245669.86163246437</c:v>
                </c:pt>
                <c:pt idx="17">
                  <c:v>246231.24083518205</c:v>
                </c:pt>
                <c:pt idx="18">
                  <c:v>246609.75140378298</c:v>
                </c:pt>
              </c:numCache>
            </c:numRef>
          </c:val>
          <c:smooth val="0"/>
          <c:extLst>
            <c:ext xmlns:c16="http://schemas.microsoft.com/office/drawing/2014/chart" uri="{C3380CC4-5D6E-409C-BE32-E72D297353CC}">
              <c16:uniqueId val="{00000003-EFE6-4BF5-8073-26A797DF19A4}"/>
            </c:ext>
          </c:extLst>
        </c:ser>
        <c:dLbls>
          <c:showLegendKey val="0"/>
          <c:showVal val="0"/>
          <c:showCatName val="0"/>
          <c:showSerName val="0"/>
          <c:showPercent val="0"/>
          <c:showBubbleSize val="0"/>
        </c:dLbls>
        <c:marker val="1"/>
        <c:smooth val="0"/>
        <c:axId val="170056704"/>
        <c:axId val="170062592"/>
      </c:lineChart>
      <c:catAx>
        <c:axId val="17004480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054784"/>
        <c:crosses val="autoZero"/>
        <c:auto val="1"/>
        <c:lblAlgn val="ctr"/>
        <c:lblOffset val="100"/>
        <c:noMultiLvlLbl val="0"/>
      </c:catAx>
      <c:valAx>
        <c:axId val="1700547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44800"/>
        <c:crosses val="autoZero"/>
        <c:crossBetween val="between"/>
      </c:valAx>
      <c:catAx>
        <c:axId val="170056704"/>
        <c:scaling>
          <c:orientation val="minMax"/>
        </c:scaling>
        <c:delete val="1"/>
        <c:axPos val="b"/>
        <c:numFmt formatCode="General" sourceLinked="1"/>
        <c:majorTickMark val="out"/>
        <c:minorTickMark val="none"/>
        <c:tickLblPos val="nextTo"/>
        <c:crossAx val="170062592"/>
        <c:crosses val="autoZero"/>
        <c:auto val="1"/>
        <c:lblAlgn val="ctr"/>
        <c:lblOffset val="100"/>
        <c:noMultiLvlLbl val="0"/>
      </c:catAx>
      <c:valAx>
        <c:axId val="170062592"/>
        <c:scaling>
          <c:orientation val="minMax"/>
          <c:max val="250000"/>
          <c:min val="18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56704"/>
        <c:crosses val="max"/>
        <c:crossBetween val="between"/>
      </c:valAx>
      <c:spPr>
        <a:ln>
          <a:solidFill>
            <a:schemeClr val="tx1">
              <a:lumMod val="95000"/>
              <a:lumOff val="5000"/>
            </a:schemeClr>
          </a:solidFill>
        </a:ln>
      </c:spPr>
    </c:plotArea>
    <c:legend>
      <c:legendPos val="r"/>
      <c:layout>
        <c:manualLayout>
          <c:xMode val="edge"/>
          <c:yMode val="edge"/>
          <c:x val="0.74572034660051056"/>
          <c:y val="0.13505777295079494"/>
          <c:w val="0.22602775680437204"/>
          <c:h val="0.702587262799046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SECONDARY No. of pupils (FTE) and qualified teacher stock (headcount)</a:t>
            </a:r>
          </a:p>
        </c:rich>
      </c:tx>
      <c:layout>
        <c:manualLayout>
          <c:xMode val="edge"/>
          <c:yMode val="edge"/>
          <c:x val="0.16759856048921717"/>
          <c:y val="7.3910157782001388E-3"/>
        </c:manualLayout>
      </c:layout>
      <c:overlay val="0"/>
    </c:title>
    <c:autoTitleDeleted val="0"/>
    <c:plotArea>
      <c:layout>
        <c:manualLayout>
          <c:layoutTarget val="inner"/>
          <c:xMode val="edge"/>
          <c:yMode val="edge"/>
          <c:x val="0.13753242965841392"/>
          <c:y val="0.12020328113087861"/>
          <c:w val="0.48175701522158215"/>
          <c:h val="0.70564100773434368"/>
        </c:manualLayout>
      </c:layout>
      <c:lineChart>
        <c:grouping val="standard"/>
        <c:varyColors val="0"/>
        <c:ser>
          <c:idx val="6"/>
          <c:order val="2"/>
          <c:tx>
            <c:strRef>
              <c:f>Outputs_with_historical_data!$B$59</c:f>
              <c:strCache>
                <c:ptCount val="1"/>
                <c:pt idx="0">
                  <c:v>Secondary pupils - historical</c:v>
                </c:pt>
              </c:strCache>
            </c:strRef>
          </c:tx>
          <c:spPr>
            <a:ln>
              <a:solidFill>
                <a:srgbClr val="00B0F0"/>
              </a:solidFill>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Outputs_with_historical_data!$C$59:$U$59</c:f>
              <c:numCache>
                <c:formatCode>#,##0</c:formatCode>
                <c:ptCount val="19"/>
                <c:pt idx="0">
                  <c:v>3212254</c:v>
                </c:pt>
                <c:pt idx="1">
                  <c:v>3185686.5</c:v>
                </c:pt>
                <c:pt idx="2">
                  <c:v>3158780</c:v>
                </c:pt>
                <c:pt idx="3">
                  <c:v>3125924</c:v>
                </c:pt>
                <c:pt idx="4">
                  <c:v>3119863.5</c:v>
                </c:pt>
                <c:pt idx="5">
                  <c:v>3122070.5</c:v>
                </c:pt>
                <c:pt idx="6">
                  <c:v>3145583</c:v>
                </c:pt>
              </c:numCache>
            </c:numRef>
          </c:val>
          <c:smooth val="0"/>
          <c:extLst>
            <c:ext xmlns:c16="http://schemas.microsoft.com/office/drawing/2014/chart" uri="{C3380CC4-5D6E-409C-BE32-E72D297353CC}">
              <c16:uniqueId val="{00000000-C26A-4C9C-936B-EBC003DA6659}"/>
            </c:ext>
          </c:extLst>
        </c:ser>
        <c:ser>
          <c:idx val="7"/>
          <c:order val="3"/>
          <c:tx>
            <c:strRef>
              <c:f>Outputs_with_historical_data!$B$60</c:f>
              <c:strCache>
                <c:ptCount val="1"/>
                <c:pt idx="0">
                  <c:v>Secondary pupils - projected</c:v>
                </c:pt>
              </c:strCache>
            </c:strRef>
          </c:tx>
          <c:spPr>
            <a:ln>
              <a:solidFill>
                <a:srgbClr val="00B0F0"/>
              </a:solidFill>
              <a:prstDash val="sysDot"/>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Outputs_with_historical_data!$C$60:$U$60</c:f>
              <c:numCache>
                <c:formatCode>#,##0</c:formatCode>
                <c:ptCount val="19"/>
                <c:pt idx="6">
                  <c:v>3145583</c:v>
                </c:pt>
                <c:pt idx="7">
                  <c:v>3197180.5600349735</c:v>
                </c:pt>
                <c:pt idx="8">
                  <c:v>3274228.6548275417</c:v>
                </c:pt>
                <c:pt idx="9">
                  <c:v>3359656.345562675</c:v>
                </c:pt>
                <c:pt idx="10">
                  <c:v>3431462.9098517485</c:v>
                </c:pt>
                <c:pt idx="11">
                  <c:v>3508384.2642579307</c:v>
                </c:pt>
                <c:pt idx="12">
                  <c:v>3589855.437922664</c:v>
                </c:pt>
                <c:pt idx="13">
                  <c:v>3662527.1591678588</c:v>
                </c:pt>
                <c:pt idx="14">
                  <c:v>3688681.2876089499</c:v>
                </c:pt>
                <c:pt idx="15">
                  <c:v>3698533.8733492214</c:v>
                </c:pt>
                <c:pt idx="16">
                  <c:v>3693590.259872193</c:v>
                </c:pt>
                <c:pt idx="17">
                  <c:v>3682746.3169983355</c:v>
                </c:pt>
                <c:pt idx="18">
                  <c:v>3664537.0998463929</c:v>
                </c:pt>
              </c:numCache>
            </c:numRef>
          </c:val>
          <c:smooth val="0"/>
          <c:extLst>
            <c:ext xmlns:c16="http://schemas.microsoft.com/office/drawing/2014/chart" uri="{C3380CC4-5D6E-409C-BE32-E72D297353CC}">
              <c16:uniqueId val="{00000001-C26A-4C9C-936B-EBC003DA6659}"/>
            </c:ext>
          </c:extLst>
        </c:ser>
        <c:dLbls>
          <c:showLegendKey val="0"/>
          <c:showVal val="0"/>
          <c:showCatName val="0"/>
          <c:showSerName val="0"/>
          <c:showPercent val="0"/>
          <c:showBubbleSize val="0"/>
        </c:dLbls>
        <c:marker val="1"/>
        <c:smooth val="0"/>
        <c:axId val="170760448"/>
        <c:axId val="170766336"/>
      </c:lineChart>
      <c:lineChart>
        <c:grouping val="standard"/>
        <c:varyColors val="0"/>
        <c:ser>
          <c:idx val="4"/>
          <c:order val="0"/>
          <c:tx>
            <c:strRef>
              <c:f>Outputs_with_historical_data!$B$57</c:f>
              <c:strCache>
                <c:ptCount val="1"/>
                <c:pt idx="0">
                  <c:v>Secondary stock - historical</c:v>
                </c:pt>
              </c:strCache>
            </c:strRef>
          </c:tx>
          <c:spPr>
            <a:ln>
              <a:solidFill>
                <a:srgbClr val="FF0000"/>
              </a:solidFill>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Outputs_with_historical_data!$C$57:$U$57</c:f>
              <c:numCache>
                <c:formatCode>#,##0</c:formatCode>
                <c:ptCount val="19"/>
                <c:pt idx="0">
                  <c:v>221900.66049640172</c:v>
                </c:pt>
                <c:pt idx="1">
                  <c:v>219183.60100000002</c:v>
                </c:pt>
                <c:pt idx="2">
                  <c:v>219703.59299999999</c:v>
                </c:pt>
                <c:pt idx="3">
                  <c:v>217686.05700000003</c:v>
                </c:pt>
                <c:pt idx="4">
                  <c:v>215630.02100000001</c:v>
                </c:pt>
                <c:pt idx="5">
                  <c:v>212013.74599999998</c:v>
                </c:pt>
                <c:pt idx="6">
                  <c:v>208904.02100376648</c:v>
                </c:pt>
              </c:numCache>
            </c:numRef>
          </c:val>
          <c:smooth val="0"/>
          <c:extLst>
            <c:ext xmlns:c16="http://schemas.microsoft.com/office/drawing/2014/chart" uri="{C3380CC4-5D6E-409C-BE32-E72D297353CC}">
              <c16:uniqueId val="{00000002-C26A-4C9C-936B-EBC003DA6659}"/>
            </c:ext>
          </c:extLst>
        </c:ser>
        <c:ser>
          <c:idx val="5"/>
          <c:order val="1"/>
          <c:tx>
            <c:strRef>
              <c:f>Outputs_with_historical_data!$B$58</c:f>
              <c:strCache>
                <c:ptCount val="1"/>
                <c:pt idx="0">
                  <c:v>Secondary stock - projected</c:v>
                </c:pt>
              </c:strCache>
            </c:strRef>
          </c:tx>
          <c:spPr>
            <a:ln>
              <a:solidFill>
                <a:srgbClr val="FF0000"/>
              </a:solidFill>
              <a:prstDash val="sysDot"/>
            </a:ln>
          </c:spPr>
          <c:marker>
            <c:symbol val="none"/>
          </c:marker>
          <c:cat>
            <c:strRef>
              <c:f>Outputs_with_historical_data!$C$52:$U$52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Outputs_with_historical_data!$C$58:$U$58</c:f>
              <c:numCache>
                <c:formatCode>#,##0</c:formatCode>
                <c:ptCount val="19"/>
                <c:pt idx="6">
                  <c:v>208904.02100376648</c:v>
                </c:pt>
                <c:pt idx="7">
                  <c:v>210665.40426618766</c:v>
                </c:pt>
                <c:pt idx="8">
                  <c:v>212698.50385815764</c:v>
                </c:pt>
                <c:pt idx="9">
                  <c:v>214920.23730955189</c:v>
                </c:pt>
                <c:pt idx="10">
                  <c:v>216757.95394379064</c:v>
                </c:pt>
                <c:pt idx="11">
                  <c:v>218697.69007643341</c:v>
                </c:pt>
                <c:pt idx="12">
                  <c:v>220720.5403897037</c:v>
                </c:pt>
                <c:pt idx="13">
                  <c:v>223316.71144763532</c:v>
                </c:pt>
                <c:pt idx="14">
                  <c:v>224901.28331453755</c:v>
                </c:pt>
                <c:pt idx="15">
                  <c:v>225490.18602435637</c:v>
                </c:pt>
                <c:pt idx="16">
                  <c:v>225356.16604052536</c:v>
                </c:pt>
                <c:pt idx="17">
                  <c:v>225081.02798511446</c:v>
                </c:pt>
                <c:pt idx="18">
                  <c:v>224629.97957456802</c:v>
                </c:pt>
              </c:numCache>
            </c:numRef>
          </c:val>
          <c:smooth val="0"/>
          <c:extLst>
            <c:ext xmlns:c16="http://schemas.microsoft.com/office/drawing/2014/chart" uri="{C3380CC4-5D6E-409C-BE32-E72D297353CC}">
              <c16:uniqueId val="{00000003-C26A-4C9C-936B-EBC003DA6659}"/>
            </c:ext>
          </c:extLst>
        </c:ser>
        <c:dLbls>
          <c:showLegendKey val="0"/>
          <c:showVal val="0"/>
          <c:showCatName val="0"/>
          <c:showSerName val="0"/>
          <c:showPercent val="0"/>
          <c:showBubbleSize val="0"/>
        </c:dLbls>
        <c:marker val="1"/>
        <c:smooth val="0"/>
        <c:axId val="170768256"/>
        <c:axId val="170769792"/>
      </c:lineChart>
      <c:catAx>
        <c:axId val="17076044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766336"/>
        <c:crosses val="autoZero"/>
        <c:auto val="1"/>
        <c:lblAlgn val="ctr"/>
        <c:lblOffset val="100"/>
        <c:noMultiLvlLbl val="0"/>
      </c:catAx>
      <c:valAx>
        <c:axId val="1707663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0448"/>
        <c:crosses val="autoZero"/>
        <c:crossBetween val="between"/>
      </c:valAx>
      <c:catAx>
        <c:axId val="170768256"/>
        <c:scaling>
          <c:orientation val="minMax"/>
        </c:scaling>
        <c:delete val="1"/>
        <c:axPos val="b"/>
        <c:numFmt formatCode="General" sourceLinked="1"/>
        <c:majorTickMark val="out"/>
        <c:minorTickMark val="none"/>
        <c:tickLblPos val="nextTo"/>
        <c:crossAx val="170769792"/>
        <c:crosses val="autoZero"/>
        <c:auto val="1"/>
        <c:lblAlgn val="ctr"/>
        <c:lblOffset val="100"/>
        <c:noMultiLvlLbl val="0"/>
      </c:catAx>
      <c:valAx>
        <c:axId val="170769792"/>
        <c:scaling>
          <c:orientation val="minMax"/>
          <c:max val="250000"/>
          <c:min val="15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8256"/>
        <c:crosses val="max"/>
        <c:crossBetween val="between"/>
      </c:valAx>
      <c:spPr>
        <a:ln>
          <a:solidFill>
            <a:schemeClr val="tx1">
              <a:lumMod val="95000"/>
              <a:lumOff val="5000"/>
            </a:schemeClr>
          </a:solidFill>
        </a:ln>
      </c:spPr>
    </c:plotArea>
    <c:legend>
      <c:legendPos val="r"/>
      <c:layout>
        <c:manualLayout>
          <c:xMode val="edge"/>
          <c:yMode val="edge"/>
          <c:x val="0.75859169665647463"/>
          <c:y val="0.11637946118804114"/>
          <c:w val="0.22938171388370265"/>
          <c:h val="0.698276767128246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wastage</a:t>
            </a:r>
          </a:p>
        </c:rich>
      </c:tx>
      <c:overlay val="0"/>
    </c:title>
    <c:autoTitleDeleted val="0"/>
    <c:plotArea>
      <c:layout>
        <c:manualLayout>
          <c:layoutTarget val="inner"/>
          <c:xMode val="edge"/>
          <c:yMode val="edge"/>
          <c:x val="0.14360333671162392"/>
          <c:y val="0.11245959706425586"/>
          <c:w val="0.61014345189609931"/>
          <c:h val="0.72652133761057647"/>
        </c:manualLayout>
      </c:layout>
      <c:lineChart>
        <c:grouping val="standard"/>
        <c:varyColors val="0"/>
        <c:ser>
          <c:idx val="4"/>
          <c:order val="0"/>
          <c:tx>
            <c:strRef>
              <c:f>Outputs_with_historical_data!$B$91</c:f>
              <c:strCache>
                <c:ptCount val="1"/>
                <c:pt idx="0">
                  <c:v>Wastage - historical</c:v>
                </c:pt>
              </c:strCache>
            </c:strRef>
          </c:tx>
          <c:spPr>
            <a:ln>
              <a:solidFill>
                <a:schemeClr val="tx1">
                  <a:lumMod val="95000"/>
                  <a:lumOff val="5000"/>
                </a:schemeClr>
              </a:solidFill>
            </a:ln>
          </c:spPr>
          <c:marker>
            <c:symbol val="none"/>
          </c:marker>
          <c:cat>
            <c:strRef>
              <c:f>Outputs_with_historical_data!$C$86:$U$86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Outputs_with_historical_data!$C$91:$U$91</c:f>
              <c:numCache>
                <c:formatCode>#,##0</c:formatCode>
                <c:ptCount val="19"/>
                <c:pt idx="0">
                  <c:v>27043.775618081043</c:v>
                </c:pt>
                <c:pt idx="1">
                  <c:v>27362.157983189885</c:v>
                </c:pt>
                <c:pt idx="2">
                  <c:v>30915.353999999999</c:v>
                </c:pt>
                <c:pt idx="3">
                  <c:v>34960.877</c:v>
                </c:pt>
                <c:pt idx="4">
                  <c:v>39048.521999999997</c:v>
                </c:pt>
                <c:pt idx="5">
                  <c:v>39337.032999999996</c:v>
                </c:pt>
              </c:numCache>
            </c:numRef>
          </c:val>
          <c:smooth val="0"/>
          <c:extLst>
            <c:ext xmlns:c16="http://schemas.microsoft.com/office/drawing/2014/chart" uri="{C3380CC4-5D6E-409C-BE32-E72D297353CC}">
              <c16:uniqueId val="{00000000-5463-442E-AE08-F72C1F80CB71}"/>
            </c:ext>
          </c:extLst>
        </c:ser>
        <c:ser>
          <c:idx val="5"/>
          <c:order val="1"/>
          <c:tx>
            <c:strRef>
              <c:f>Outputs_with_historical_data!$B$92</c:f>
              <c:strCache>
                <c:ptCount val="1"/>
                <c:pt idx="0">
                  <c:v>Wastage - projected</c:v>
                </c:pt>
              </c:strCache>
            </c:strRef>
          </c:tx>
          <c:spPr>
            <a:ln>
              <a:solidFill>
                <a:schemeClr val="tx1">
                  <a:lumMod val="95000"/>
                  <a:lumOff val="5000"/>
                </a:schemeClr>
              </a:solidFill>
              <a:prstDash val="sysDot"/>
            </a:ln>
          </c:spPr>
          <c:marker>
            <c:symbol val="none"/>
          </c:marker>
          <c:cat>
            <c:strRef>
              <c:f>Outputs_with_historical_data!$C$86:$U$86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Outputs_with_historical_data!$C$92:$U$92</c:f>
              <c:numCache>
                <c:formatCode>#,##0</c:formatCode>
                <c:ptCount val="19"/>
                <c:pt idx="7">
                  <c:v>37943.043454087587</c:v>
                </c:pt>
                <c:pt idx="8">
                  <c:v>38323.647879968754</c:v>
                </c:pt>
                <c:pt idx="9">
                  <c:v>39603.920580984275</c:v>
                </c:pt>
                <c:pt idx="10">
                  <c:v>40143.404261956333</c:v>
                </c:pt>
                <c:pt idx="11">
                  <c:v>40442.525269732592</c:v>
                </c:pt>
                <c:pt idx="12">
                  <c:v>40710.689431089377</c:v>
                </c:pt>
                <c:pt idx="13">
                  <c:v>40948.282885699096</c:v>
                </c:pt>
                <c:pt idx="14">
                  <c:v>41203.742988912425</c:v>
                </c:pt>
                <c:pt idx="15">
                  <c:v>41395.187582480903</c:v>
                </c:pt>
                <c:pt idx="16">
                  <c:v>41519.25463973415</c:v>
                </c:pt>
                <c:pt idx="17">
                  <c:v>41570.204007329572</c:v>
                </c:pt>
                <c:pt idx="18">
                  <c:v>41586.393215473923</c:v>
                </c:pt>
              </c:numCache>
            </c:numRef>
          </c:val>
          <c:smooth val="0"/>
          <c:extLst>
            <c:ext xmlns:c16="http://schemas.microsoft.com/office/drawing/2014/chart" uri="{C3380CC4-5D6E-409C-BE32-E72D297353CC}">
              <c16:uniqueId val="{00000001-5463-442E-AE08-F72C1F80CB71}"/>
            </c:ext>
          </c:extLst>
        </c:ser>
        <c:dLbls>
          <c:showLegendKey val="0"/>
          <c:showVal val="0"/>
          <c:showCatName val="0"/>
          <c:showSerName val="0"/>
          <c:showPercent val="0"/>
          <c:showBubbleSize val="0"/>
        </c:dLbls>
        <c:smooth val="0"/>
        <c:axId val="170857984"/>
        <c:axId val="170859520"/>
      </c:lineChart>
      <c:catAx>
        <c:axId val="17085798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859520"/>
        <c:crosses val="autoZero"/>
        <c:auto val="1"/>
        <c:lblAlgn val="ctr"/>
        <c:lblOffset val="100"/>
        <c:noMultiLvlLbl val="0"/>
      </c:catAx>
      <c:valAx>
        <c:axId val="1708595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wastage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57984"/>
        <c:crosses val="autoZero"/>
        <c:crossBetween val="between"/>
      </c:valAx>
      <c:spPr>
        <a:ln>
          <a:solidFill>
            <a:schemeClr val="tx1">
              <a:lumMod val="95000"/>
              <a:lumOff val="5000"/>
            </a:schemeClr>
          </a:solidFill>
        </a:ln>
      </c:spPr>
    </c:plotArea>
    <c:legend>
      <c:legendPos val="r"/>
      <c:layout>
        <c:manualLayout>
          <c:xMode val="edge"/>
          <c:yMode val="edge"/>
          <c:x val="0.77911084744543924"/>
          <c:y val="0.19519551047110101"/>
          <c:w val="0.20291122856218313"/>
          <c:h val="0.5615625073892791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wastage rate</a:t>
            </a:r>
          </a:p>
        </c:rich>
      </c:tx>
      <c:overlay val="0"/>
    </c:title>
    <c:autoTitleDeleted val="0"/>
    <c:plotArea>
      <c:layout>
        <c:manualLayout>
          <c:layoutTarget val="inner"/>
          <c:xMode val="edge"/>
          <c:yMode val="edge"/>
          <c:x val="0.14276549409651967"/>
          <c:y val="0.10120999026065138"/>
          <c:w val="0.61284582970887602"/>
          <c:h val="0.73777078965758214"/>
        </c:manualLayout>
      </c:layout>
      <c:lineChart>
        <c:grouping val="standard"/>
        <c:varyColors val="0"/>
        <c:ser>
          <c:idx val="4"/>
          <c:order val="0"/>
          <c:tx>
            <c:strRef>
              <c:f>Outputs_with_historical_data!$B$122</c:f>
              <c:strCache>
                <c:ptCount val="1"/>
                <c:pt idx="0">
                  <c:v>Wastage rate - historical</c:v>
                </c:pt>
              </c:strCache>
            </c:strRef>
          </c:tx>
          <c:spPr>
            <a:ln>
              <a:solidFill>
                <a:schemeClr val="tx1">
                  <a:lumMod val="95000"/>
                  <a:lumOff val="5000"/>
                </a:schemeClr>
              </a:solidFill>
            </a:ln>
          </c:spPr>
          <c:marker>
            <c:symbol val="none"/>
          </c:marker>
          <c:cat>
            <c:strRef>
              <c:f>Outputs_with_historical_data!$C$117:$U$117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Outputs_with_historical_data!$C$122:$U$122</c:f>
              <c:numCache>
                <c:formatCode>0.0%</c:formatCode>
                <c:ptCount val="19"/>
                <c:pt idx="0">
                  <c:v>6.1644736571469509E-2</c:v>
                </c:pt>
                <c:pt idx="1">
                  <c:v>6.2336490641396833E-2</c:v>
                </c:pt>
                <c:pt idx="2">
                  <c:v>6.9481068952758171E-2</c:v>
                </c:pt>
                <c:pt idx="3">
                  <c:v>7.8004073187520589E-2</c:v>
                </c:pt>
                <c:pt idx="4">
                  <c:v>8.6524626363658666E-2</c:v>
                </c:pt>
                <c:pt idx="5">
                  <c:v>8.7154549688226723E-2</c:v>
                </c:pt>
              </c:numCache>
            </c:numRef>
          </c:val>
          <c:smooth val="0"/>
          <c:extLst>
            <c:ext xmlns:c16="http://schemas.microsoft.com/office/drawing/2014/chart" uri="{C3380CC4-5D6E-409C-BE32-E72D297353CC}">
              <c16:uniqueId val="{00000000-3235-4353-B41A-3B0AEDF4C0B8}"/>
            </c:ext>
          </c:extLst>
        </c:ser>
        <c:ser>
          <c:idx val="5"/>
          <c:order val="1"/>
          <c:tx>
            <c:strRef>
              <c:f>Outputs_with_historical_data!$B$123</c:f>
              <c:strCache>
                <c:ptCount val="1"/>
                <c:pt idx="0">
                  <c:v>Wastage rate - projected</c:v>
                </c:pt>
              </c:strCache>
            </c:strRef>
          </c:tx>
          <c:spPr>
            <a:ln>
              <a:solidFill>
                <a:schemeClr val="tx1">
                  <a:lumMod val="95000"/>
                  <a:lumOff val="5000"/>
                </a:schemeClr>
              </a:solidFill>
              <a:prstDash val="sysDot"/>
            </a:ln>
          </c:spPr>
          <c:marker>
            <c:symbol val="none"/>
          </c:marker>
          <c:cat>
            <c:strRef>
              <c:f>Outputs_with_historical_data!$C$117:$U$117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Outputs_with_historical_data!$C$123:$U$123</c:f>
              <c:numCache>
                <c:formatCode>0.0%</c:formatCode>
                <c:ptCount val="19"/>
                <c:pt idx="7">
                  <c:v>8.3525178576845965E-2</c:v>
                </c:pt>
                <c:pt idx="8">
                  <c:v>8.3865010751936517E-2</c:v>
                </c:pt>
                <c:pt idx="9">
                  <c:v>8.6246399616900615E-2</c:v>
                </c:pt>
                <c:pt idx="10">
                  <c:v>8.7029415711258787E-2</c:v>
                </c:pt>
                <c:pt idx="11">
                  <c:v>8.7299219228443498E-2</c:v>
                </c:pt>
                <c:pt idx="12">
                  <c:v>8.7525413077866432E-2</c:v>
                </c:pt>
                <c:pt idx="13">
                  <c:v>8.7621698642801546E-2</c:v>
                </c:pt>
                <c:pt idx="14">
                  <c:v>8.7826250224867466E-2</c:v>
                </c:pt>
                <c:pt idx="15">
                  <c:v>8.7995568991322298E-2</c:v>
                </c:pt>
                <c:pt idx="16">
                  <c:v>8.8146412725538234E-2</c:v>
                </c:pt>
                <c:pt idx="17">
                  <c:v>8.8200980024094378E-2</c:v>
                </c:pt>
                <c:pt idx="18">
                  <c:v>8.8248911290089049E-2</c:v>
                </c:pt>
              </c:numCache>
            </c:numRef>
          </c:val>
          <c:smooth val="0"/>
          <c:extLst>
            <c:ext xmlns:c16="http://schemas.microsoft.com/office/drawing/2014/chart" uri="{C3380CC4-5D6E-409C-BE32-E72D297353CC}">
              <c16:uniqueId val="{00000001-3235-4353-B41A-3B0AEDF4C0B8}"/>
            </c:ext>
          </c:extLst>
        </c:ser>
        <c:dLbls>
          <c:showLegendKey val="0"/>
          <c:showVal val="0"/>
          <c:showCatName val="0"/>
          <c:showSerName val="0"/>
          <c:showPercent val="0"/>
          <c:showBubbleSize val="0"/>
        </c:dLbls>
        <c:smooth val="0"/>
        <c:axId val="171189376"/>
        <c:axId val="171190912"/>
      </c:lineChart>
      <c:catAx>
        <c:axId val="17118937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90912"/>
        <c:crosses val="autoZero"/>
        <c:auto val="1"/>
        <c:lblAlgn val="ctr"/>
        <c:lblOffset val="100"/>
        <c:noMultiLvlLbl val="0"/>
      </c:catAx>
      <c:valAx>
        <c:axId val="1711909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wastage rate (proportion of teachers leaving as wastage)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89376"/>
        <c:crosses val="autoZero"/>
        <c:crossBetween val="between"/>
      </c:valAx>
      <c:spPr>
        <a:ln>
          <a:solidFill>
            <a:schemeClr val="tx1">
              <a:lumMod val="95000"/>
              <a:lumOff val="5000"/>
            </a:schemeClr>
          </a:solidFill>
        </a:ln>
      </c:spPr>
    </c:plotArea>
    <c:legend>
      <c:legendPos val="r"/>
      <c:layout>
        <c:manualLayout>
          <c:xMode val="edge"/>
          <c:yMode val="edge"/>
          <c:x val="0.76153908966507389"/>
          <c:y val="0.17208686312584909"/>
          <c:w val="0.2188035982681652"/>
          <c:h val="0.5934967885111921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retirements</a:t>
            </a:r>
          </a:p>
        </c:rich>
      </c:tx>
      <c:overlay val="0"/>
    </c:title>
    <c:autoTitleDeleted val="0"/>
    <c:plotArea>
      <c:layout>
        <c:manualLayout>
          <c:layoutTarget val="inner"/>
          <c:xMode val="edge"/>
          <c:yMode val="edge"/>
          <c:x val="0.14083309030815591"/>
          <c:y val="0.1106690820822796"/>
          <c:w val="0.62800456859319098"/>
          <c:h val="0.71596565805128576"/>
        </c:manualLayout>
      </c:layout>
      <c:lineChart>
        <c:grouping val="standard"/>
        <c:varyColors val="0"/>
        <c:ser>
          <c:idx val="0"/>
          <c:order val="0"/>
          <c:tx>
            <c:strRef>
              <c:f>Outputs_with_historical_data!$B$151</c:f>
              <c:strCache>
                <c:ptCount val="1"/>
                <c:pt idx="0">
                  <c:v>Primary retirements - historical</c:v>
                </c:pt>
              </c:strCache>
            </c:strRef>
          </c:tx>
          <c:spPr>
            <a:ln>
              <a:solidFill>
                <a:schemeClr val="tx1">
                  <a:lumMod val="95000"/>
                  <a:lumOff val="5000"/>
                </a:schemeClr>
              </a:solidFill>
            </a:ln>
          </c:spPr>
          <c:marker>
            <c:symbol val="none"/>
          </c:marker>
          <c:cat>
            <c:strRef>
              <c:f>Outputs_with_historical_data!$C$150:$U$150</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Outputs_with_historical_data!$C$151:$U$151</c:f>
              <c:numCache>
                <c:formatCode>#,##0</c:formatCode>
                <c:ptCount val="19"/>
                <c:pt idx="0">
                  <c:v>6762.6063646304747</c:v>
                </c:pt>
                <c:pt idx="1">
                  <c:v>6628.8568091804718</c:v>
                </c:pt>
                <c:pt idx="2">
                  <c:v>6286.4310000000005</c:v>
                </c:pt>
                <c:pt idx="3">
                  <c:v>6149.5320000000002</c:v>
                </c:pt>
                <c:pt idx="4">
                  <c:v>5099.3519999999999</c:v>
                </c:pt>
                <c:pt idx="5">
                  <c:v>4297.8269999999993</c:v>
                </c:pt>
              </c:numCache>
            </c:numRef>
          </c:val>
          <c:smooth val="0"/>
          <c:extLst>
            <c:ext xmlns:c16="http://schemas.microsoft.com/office/drawing/2014/chart" uri="{C3380CC4-5D6E-409C-BE32-E72D297353CC}">
              <c16:uniqueId val="{00000000-56E7-4C45-977C-A47833FD3E0C}"/>
            </c:ext>
          </c:extLst>
        </c:ser>
        <c:ser>
          <c:idx val="1"/>
          <c:order val="1"/>
          <c:tx>
            <c:strRef>
              <c:f>Outputs_with_historical_data!$B$152</c:f>
              <c:strCache>
                <c:ptCount val="1"/>
                <c:pt idx="0">
                  <c:v>Primary retirements - projected</c:v>
                </c:pt>
              </c:strCache>
            </c:strRef>
          </c:tx>
          <c:spPr>
            <a:ln>
              <a:solidFill>
                <a:schemeClr val="tx1">
                  <a:lumMod val="95000"/>
                  <a:lumOff val="5000"/>
                </a:schemeClr>
              </a:solidFill>
              <a:prstDash val="sysDot"/>
            </a:ln>
          </c:spPr>
          <c:marker>
            <c:symbol val="none"/>
          </c:marker>
          <c:cat>
            <c:strRef>
              <c:f>Outputs_with_historical_data!$C$150:$U$150</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Outputs_with_historical_data!$C$152:$U$152</c:f>
              <c:numCache>
                <c:formatCode>#,##0</c:formatCode>
                <c:ptCount val="19"/>
                <c:pt idx="7">
                  <c:v>5769.3880036971213</c:v>
                </c:pt>
                <c:pt idx="8">
                  <c:v>5579.5713608204587</c:v>
                </c:pt>
                <c:pt idx="9">
                  <c:v>5403.2559156435054</c:v>
                </c:pt>
                <c:pt idx="10">
                  <c:v>5253.0354177965819</c:v>
                </c:pt>
                <c:pt idx="11">
                  <c:v>5139.6336606845225</c:v>
                </c:pt>
                <c:pt idx="12">
                  <c:v>5054.6192540728553</c:v>
                </c:pt>
                <c:pt idx="13">
                  <c:v>4991.6192821778568</c:v>
                </c:pt>
                <c:pt idx="14">
                  <c:v>4944.7870500405879</c:v>
                </c:pt>
                <c:pt idx="15">
                  <c:v>4919.666483332453</c:v>
                </c:pt>
                <c:pt idx="16">
                  <c:v>4909.9022167811527</c:v>
                </c:pt>
                <c:pt idx="17">
                  <c:v>4907.5858854310209</c:v>
                </c:pt>
                <c:pt idx="18">
                  <c:v>4907.6840118537821</c:v>
                </c:pt>
              </c:numCache>
            </c:numRef>
          </c:val>
          <c:smooth val="0"/>
          <c:extLst>
            <c:ext xmlns:c16="http://schemas.microsoft.com/office/drawing/2014/chart" uri="{C3380CC4-5D6E-409C-BE32-E72D297353CC}">
              <c16:uniqueId val="{00000001-56E7-4C45-977C-A47833FD3E0C}"/>
            </c:ext>
          </c:extLst>
        </c:ser>
        <c:ser>
          <c:idx val="2"/>
          <c:order val="2"/>
          <c:tx>
            <c:strRef>
              <c:f>Outputs_with_historical_data!$B$153</c:f>
              <c:strCache>
                <c:ptCount val="1"/>
                <c:pt idx="0">
                  <c:v>Secondary retirements - historical</c:v>
                </c:pt>
              </c:strCache>
            </c:strRef>
          </c:tx>
          <c:spPr>
            <a:ln>
              <a:solidFill>
                <a:srgbClr val="FF0000"/>
              </a:solidFill>
            </a:ln>
          </c:spPr>
          <c:marker>
            <c:symbol val="none"/>
          </c:marker>
          <c:cat>
            <c:strRef>
              <c:f>Outputs_with_historical_data!$C$150:$U$150</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Outputs_with_historical_data!$C$153:$U$153</c:f>
              <c:numCache>
                <c:formatCode>#,##0</c:formatCode>
                <c:ptCount val="19"/>
                <c:pt idx="0">
                  <c:v>7912.703734365622</c:v>
                </c:pt>
                <c:pt idx="1">
                  <c:v>6979.0077246996079</c:v>
                </c:pt>
                <c:pt idx="2">
                  <c:v>6512.2160000000003</c:v>
                </c:pt>
                <c:pt idx="3">
                  <c:v>6129.7759999999998</c:v>
                </c:pt>
                <c:pt idx="4">
                  <c:v>5442.1010000000006</c:v>
                </c:pt>
                <c:pt idx="5">
                  <c:v>4579.7669999999998</c:v>
                </c:pt>
              </c:numCache>
            </c:numRef>
          </c:val>
          <c:smooth val="0"/>
          <c:extLst>
            <c:ext xmlns:c16="http://schemas.microsoft.com/office/drawing/2014/chart" uri="{C3380CC4-5D6E-409C-BE32-E72D297353CC}">
              <c16:uniqueId val="{00000002-56E7-4C45-977C-A47833FD3E0C}"/>
            </c:ext>
          </c:extLst>
        </c:ser>
        <c:ser>
          <c:idx val="3"/>
          <c:order val="3"/>
          <c:tx>
            <c:strRef>
              <c:f>Outputs_with_historical_data!$B$154</c:f>
              <c:strCache>
                <c:ptCount val="1"/>
                <c:pt idx="0">
                  <c:v>Secondary retirements - projected</c:v>
                </c:pt>
              </c:strCache>
            </c:strRef>
          </c:tx>
          <c:spPr>
            <a:ln>
              <a:solidFill>
                <a:srgbClr val="FF0000"/>
              </a:solidFill>
              <a:prstDash val="sysDot"/>
            </a:ln>
          </c:spPr>
          <c:marker>
            <c:symbol val="none"/>
          </c:marker>
          <c:cat>
            <c:strRef>
              <c:f>Outputs_with_historical_data!$C$150:$U$150</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Outputs_with_historical_data!$C$154:$U$154</c:f>
              <c:numCache>
                <c:formatCode>#,##0</c:formatCode>
                <c:ptCount val="19"/>
                <c:pt idx="7">
                  <c:v>5439.186268550663</c:v>
                </c:pt>
                <c:pt idx="8">
                  <c:v>5174.3691475452706</c:v>
                </c:pt>
                <c:pt idx="9">
                  <c:v>5083.1732392933809</c:v>
                </c:pt>
                <c:pt idx="10">
                  <c:v>5018.4184796038526</c:v>
                </c:pt>
                <c:pt idx="11">
                  <c:v>4983.864586845948</c:v>
                </c:pt>
                <c:pt idx="12">
                  <c:v>4973.4656330912276</c:v>
                </c:pt>
                <c:pt idx="13">
                  <c:v>4989.6048420874431</c:v>
                </c:pt>
                <c:pt idx="14">
                  <c:v>5000.6237401738845</c:v>
                </c:pt>
                <c:pt idx="15">
                  <c:v>5003.1676262078345</c:v>
                </c:pt>
                <c:pt idx="16">
                  <c:v>4999.0673157574911</c:v>
                </c:pt>
                <c:pt idx="17">
                  <c:v>4995.8133101568328</c:v>
                </c:pt>
                <c:pt idx="18">
                  <c:v>4995.8133101568328</c:v>
                </c:pt>
              </c:numCache>
            </c:numRef>
          </c:val>
          <c:smooth val="0"/>
          <c:extLst>
            <c:ext xmlns:c16="http://schemas.microsoft.com/office/drawing/2014/chart" uri="{C3380CC4-5D6E-409C-BE32-E72D297353CC}">
              <c16:uniqueId val="{00000003-56E7-4C45-977C-A47833FD3E0C}"/>
            </c:ext>
          </c:extLst>
        </c:ser>
        <c:dLbls>
          <c:showLegendKey val="0"/>
          <c:showVal val="0"/>
          <c:showCatName val="0"/>
          <c:showSerName val="0"/>
          <c:showPercent val="0"/>
          <c:showBubbleSize val="0"/>
        </c:dLbls>
        <c:smooth val="0"/>
        <c:axId val="171215872"/>
        <c:axId val="171217664"/>
      </c:lineChart>
      <c:catAx>
        <c:axId val="1712158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217664"/>
        <c:crosses val="autoZero"/>
        <c:auto val="1"/>
        <c:lblAlgn val="ctr"/>
        <c:lblOffset val="100"/>
        <c:noMultiLvlLbl val="0"/>
      </c:catAx>
      <c:valAx>
        <c:axId val="171217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retirements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215872"/>
        <c:crosses val="autoZero"/>
        <c:crossBetween val="between"/>
      </c:valAx>
      <c:spPr>
        <a:ln>
          <a:solidFill>
            <a:schemeClr val="tx1">
              <a:lumMod val="95000"/>
              <a:lumOff val="5000"/>
            </a:schemeClr>
          </a:solidFill>
        </a:ln>
      </c:spPr>
    </c:plotArea>
    <c:legend>
      <c:legendPos val="r"/>
      <c:layout>
        <c:manualLayout>
          <c:xMode val="edge"/>
          <c:yMode val="edge"/>
          <c:x val="0.79037872843214185"/>
          <c:y val="7.9646017699115043E-2"/>
          <c:w val="0.19501727232549537"/>
          <c:h val="0.752213318467934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retirement rate</a:t>
            </a:r>
          </a:p>
        </c:rich>
      </c:tx>
      <c:overlay val="0"/>
    </c:title>
    <c:autoTitleDeleted val="0"/>
    <c:plotArea>
      <c:layout>
        <c:manualLayout>
          <c:layoutTarget val="inner"/>
          <c:xMode val="edge"/>
          <c:yMode val="edge"/>
          <c:x val="0.13054502446453453"/>
          <c:y val="9.9468816397950258E-2"/>
          <c:w val="0.63052701146169676"/>
          <c:h val="0.74228280988685935"/>
        </c:manualLayout>
      </c:layout>
      <c:lineChart>
        <c:grouping val="standard"/>
        <c:varyColors val="0"/>
        <c:ser>
          <c:idx val="0"/>
          <c:order val="0"/>
          <c:tx>
            <c:strRef>
              <c:f>Outputs_with_historical_data!$B$180</c:f>
              <c:strCache>
                <c:ptCount val="1"/>
                <c:pt idx="0">
                  <c:v>Primary retirement rate - historical</c:v>
                </c:pt>
              </c:strCache>
            </c:strRef>
          </c:tx>
          <c:spPr>
            <a:ln>
              <a:solidFill>
                <a:schemeClr val="tx1">
                  <a:lumMod val="95000"/>
                  <a:lumOff val="5000"/>
                </a:schemeClr>
              </a:solidFill>
            </a:ln>
          </c:spPr>
          <c:marker>
            <c:symbol val="none"/>
          </c:marker>
          <c:cat>
            <c:strRef>
              <c:f>Outputs_with_historical_data!$C$179:$U$179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Outputs_with_historical_data!$C$180:$U$180</c:f>
              <c:numCache>
                <c:formatCode>0.0%</c:formatCode>
                <c:ptCount val="19"/>
                <c:pt idx="0">
                  <c:v>3.1192392741321545E-2</c:v>
                </c:pt>
                <c:pt idx="1">
                  <c:v>3.0164174187841973E-2</c:v>
                </c:pt>
                <c:pt idx="2">
                  <c:v>2.7909570471901745E-2</c:v>
                </c:pt>
                <c:pt idx="3">
                  <c:v>2.6678297843652499E-2</c:v>
                </c:pt>
                <c:pt idx="4">
                  <c:v>2.1637726172409374E-2</c:v>
                </c:pt>
                <c:pt idx="5">
                  <c:v>1.795742422494457E-2</c:v>
                </c:pt>
              </c:numCache>
            </c:numRef>
          </c:val>
          <c:smooth val="0"/>
          <c:extLst>
            <c:ext xmlns:c16="http://schemas.microsoft.com/office/drawing/2014/chart" uri="{C3380CC4-5D6E-409C-BE32-E72D297353CC}">
              <c16:uniqueId val="{00000000-523D-4E09-AFCA-C12E16BBB5EB}"/>
            </c:ext>
          </c:extLst>
        </c:ser>
        <c:ser>
          <c:idx val="1"/>
          <c:order val="1"/>
          <c:tx>
            <c:strRef>
              <c:f>Outputs_with_historical_data!$B$181</c:f>
              <c:strCache>
                <c:ptCount val="1"/>
                <c:pt idx="0">
                  <c:v>Primary retirement rate - projected</c:v>
                </c:pt>
              </c:strCache>
            </c:strRef>
          </c:tx>
          <c:spPr>
            <a:ln>
              <a:solidFill>
                <a:schemeClr val="tx1">
                  <a:lumMod val="95000"/>
                  <a:lumOff val="5000"/>
                </a:schemeClr>
              </a:solidFill>
              <a:prstDash val="sysDot"/>
            </a:ln>
          </c:spPr>
          <c:marker>
            <c:symbol val="none"/>
          </c:marker>
          <c:cat>
            <c:strRef>
              <c:f>Outputs_with_historical_data!$C$179:$U$179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Outputs_with_historical_data!$C$181:$U$181</c:f>
              <c:numCache>
                <c:formatCode>0.0%</c:formatCode>
                <c:ptCount val="19"/>
                <c:pt idx="7">
                  <c:v>2.368334147579677E-2</c:v>
                </c:pt>
                <c:pt idx="8">
                  <c:v>2.2841842936443452E-2</c:v>
                </c:pt>
                <c:pt idx="9">
                  <c:v>2.2119577748655205E-2</c:v>
                </c:pt>
                <c:pt idx="10">
                  <c:v>2.1484409587225049E-2</c:v>
                </c:pt>
                <c:pt idx="11">
                  <c:v>2.1015356369355094E-2</c:v>
                </c:pt>
                <c:pt idx="12">
                  <c:v>2.0680953466085561E-2</c:v>
                </c:pt>
                <c:pt idx="13" formatCode="0%">
                  <c:v>2.0456309027040012E-2</c:v>
                </c:pt>
                <c:pt idx="14" formatCode="0%">
                  <c:v>2.0244830014489196E-2</c:v>
                </c:pt>
                <c:pt idx="15" formatCode="0%">
                  <c:v>2.0085734696074522E-2</c:v>
                </c:pt>
                <c:pt idx="16" formatCode="0%">
                  <c:v>1.9985773526126037E-2</c:v>
                </c:pt>
                <c:pt idx="17" formatCode="0%">
                  <c:v>1.9930801098939247E-2</c:v>
                </c:pt>
                <c:pt idx="18" formatCode="0%">
                  <c:v>1.9900608081868811E-2</c:v>
                </c:pt>
              </c:numCache>
            </c:numRef>
          </c:val>
          <c:smooth val="0"/>
          <c:extLst>
            <c:ext xmlns:c16="http://schemas.microsoft.com/office/drawing/2014/chart" uri="{C3380CC4-5D6E-409C-BE32-E72D297353CC}">
              <c16:uniqueId val="{00000001-523D-4E09-AFCA-C12E16BBB5EB}"/>
            </c:ext>
          </c:extLst>
        </c:ser>
        <c:ser>
          <c:idx val="2"/>
          <c:order val="2"/>
          <c:tx>
            <c:strRef>
              <c:f>Outputs_with_historical_data!$B$182</c:f>
              <c:strCache>
                <c:ptCount val="1"/>
                <c:pt idx="0">
                  <c:v>Secondary retirement rate - historical</c:v>
                </c:pt>
              </c:strCache>
            </c:strRef>
          </c:tx>
          <c:spPr>
            <a:ln>
              <a:solidFill>
                <a:srgbClr val="FF0000"/>
              </a:solidFill>
            </a:ln>
          </c:spPr>
          <c:marker>
            <c:symbol val="none"/>
          </c:marker>
          <c:cat>
            <c:strRef>
              <c:f>Outputs_with_historical_data!$C$179:$U$179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Outputs_with_historical_data!$C$182:$U$182</c:f>
              <c:numCache>
                <c:formatCode>0.0%</c:formatCode>
                <c:ptCount val="19"/>
                <c:pt idx="0">
                  <c:v>3.5658766029197701E-2</c:v>
                </c:pt>
                <c:pt idx="1">
                  <c:v>3.1840921003481494E-2</c:v>
                </c:pt>
                <c:pt idx="2">
                  <c:v>2.9640917160603745E-2</c:v>
                </c:pt>
                <c:pt idx="3">
                  <c:v>2.8158790160823205E-2</c:v>
                </c:pt>
                <c:pt idx="4">
                  <c:v>2.5238141585118151E-2</c:v>
                </c:pt>
                <c:pt idx="5">
                  <c:v>2.1601273909852996E-2</c:v>
                </c:pt>
              </c:numCache>
            </c:numRef>
          </c:val>
          <c:smooth val="0"/>
          <c:extLst>
            <c:ext xmlns:c16="http://schemas.microsoft.com/office/drawing/2014/chart" uri="{C3380CC4-5D6E-409C-BE32-E72D297353CC}">
              <c16:uniqueId val="{00000002-523D-4E09-AFCA-C12E16BBB5EB}"/>
            </c:ext>
          </c:extLst>
        </c:ser>
        <c:ser>
          <c:idx val="3"/>
          <c:order val="3"/>
          <c:tx>
            <c:strRef>
              <c:f>Outputs_with_historical_data!$B$183</c:f>
              <c:strCache>
                <c:ptCount val="1"/>
                <c:pt idx="0">
                  <c:v>Secondary retirement rate - projected</c:v>
                </c:pt>
              </c:strCache>
            </c:strRef>
          </c:tx>
          <c:spPr>
            <a:ln>
              <a:solidFill>
                <a:srgbClr val="FF0000"/>
              </a:solidFill>
              <a:prstDash val="sysDot"/>
            </a:ln>
          </c:spPr>
          <c:marker>
            <c:symbol val="none"/>
          </c:marker>
          <c:cat>
            <c:strRef>
              <c:f>Outputs_with_historical_data!$C$179:$U$179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Outputs_with_historical_data!$C$183:$U$183</c:f>
              <c:numCache>
                <c:formatCode>0%</c:formatCode>
                <c:ptCount val="19"/>
                <c:pt idx="7" formatCode="0.0%">
                  <c:v>2.5819076879267482E-2</c:v>
                </c:pt>
                <c:pt idx="8" formatCode="0.0%">
                  <c:v>2.4327247506150326E-2</c:v>
                </c:pt>
                <c:pt idx="9" formatCode="0.0%">
                  <c:v>2.36514406596901E-2</c:v>
                </c:pt>
                <c:pt idx="10" formatCode="0.0%">
                  <c:v>2.31521768327137E-2</c:v>
                </c:pt>
                <c:pt idx="11" formatCode="0.0%">
                  <c:v>2.2788830486065583E-2</c:v>
                </c:pt>
                <c:pt idx="12" formatCode="0.0%">
                  <c:v>2.2532862706434516E-2</c:v>
                </c:pt>
                <c:pt idx="13" formatCode="0.0%">
                  <c:v>2.2343177139510388E-2</c:v>
                </c:pt>
                <c:pt idx="14" formatCode="0.0%">
                  <c:v>2.2234749693180813E-2</c:v>
                </c:pt>
                <c:pt idx="15" formatCode="0.0%">
                  <c:v>2.2187961766404397E-2</c:v>
                </c:pt>
                <c:pt idx="16" formatCode="0.0%">
                  <c:v>2.2182962213061961E-2</c:v>
                </c:pt>
                <c:pt idx="17" formatCode="0.0%">
                  <c:v>2.2195621527404907E-2</c:v>
                </c:pt>
                <c:pt idx="18">
                  <c:v>2.22401894868108E-2</c:v>
                </c:pt>
              </c:numCache>
            </c:numRef>
          </c:val>
          <c:smooth val="0"/>
          <c:extLst>
            <c:ext xmlns:c16="http://schemas.microsoft.com/office/drawing/2014/chart" uri="{C3380CC4-5D6E-409C-BE32-E72D297353CC}">
              <c16:uniqueId val="{00000003-523D-4E09-AFCA-C12E16BBB5EB}"/>
            </c:ext>
          </c:extLst>
        </c:ser>
        <c:dLbls>
          <c:showLegendKey val="0"/>
          <c:showVal val="0"/>
          <c:showCatName val="0"/>
          <c:showSerName val="0"/>
          <c:showPercent val="0"/>
          <c:showBubbleSize val="0"/>
        </c:dLbls>
        <c:smooth val="0"/>
        <c:axId val="171017344"/>
        <c:axId val="171018880"/>
      </c:lineChart>
      <c:catAx>
        <c:axId val="17101734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18880"/>
        <c:crosses val="autoZero"/>
        <c:auto val="1"/>
        <c:lblAlgn val="ctr"/>
        <c:lblOffset val="100"/>
        <c:noMultiLvlLbl val="0"/>
      </c:catAx>
      <c:valAx>
        <c:axId val="1710188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retirement rate (proportion of teachers leaving as retirements)</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17344"/>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78216123499142365"/>
          <c:y val="8.5044296149198353E-2"/>
          <c:w val="0.20154382931979131"/>
          <c:h val="0.7917910114608107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ENGLISH AND MATHEMATICS</a:t>
            </a:r>
          </a:p>
        </c:rich>
      </c:tx>
      <c:layout/>
      <c:overlay val="0"/>
    </c:title>
    <c:autoTitleDeleted val="0"/>
    <c:plotArea>
      <c:layout>
        <c:manualLayout>
          <c:layoutTarget val="inner"/>
          <c:xMode val="edge"/>
          <c:yMode val="edge"/>
          <c:x val="0.11423840769903762"/>
          <c:y val="0.12283573928258967"/>
          <c:w val="0.56320465347237003"/>
          <c:h val="0.69792140565762617"/>
        </c:manualLayout>
      </c:layout>
      <c:lineChart>
        <c:grouping val="standard"/>
        <c:varyColors val="0"/>
        <c:ser>
          <c:idx val="29"/>
          <c:order val="0"/>
          <c:tx>
            <c:strRef>
              <c:f>Entrant_need_figures!$B$118</c:f>
              <c:strCache>
                <c:ptCount val="1"/>
                <c:pt idx="0">
                  <c:v>ENGLISH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Entrant_need_figures!$C$118:$N$118</c:f>
              <c:numCache>
                <c:formatCode>#,##0</c:formatCode>
                <c:ptCount val="12"/>
                <c:pt idx="0">
                  <c:v>4039.537608063712</c:v>
                </c:pt>
                <c:pt idx="1">
                  <c:v>4228.7636458328525</c:v>
                </c:pt>
                <c:pt idx="2">
                  <c:v>3912.914128603627</c:v>
                </c:pt>
                <c:pt idx="3">
                  <c:v>3858.6056594459533</c:v>
                </c:pt>
                <c:pt idx="4">
                  <c:v>3886.4354044751385</c:v>
                </c:pt>
                <c:pt idx="5">
                  <c:v>3915.6694020272062</c:v>
                </c:pt>
                <c:pt idx="6">
                  <c:v>3995.8114014758789</c:v>
                </c:pt>
                <c:pt idx="7">
                  <c:v>3866.479170970556</c:v>
                </c:pt>
                <c:pt idx="8">
                  <c:v>3782.7922950591205</c:v>
                </c:pt>
                <c:pt idx="9">
                  <c:v>3695.2986739401767</c:v>
                </c:pt>
                <c:pt idx="10">
                  <c:v>3627.1389424051795</c:v>
                </c:pt>
                <c:pt idx="11">
                  <c:v>3562.2042407503127</c:v>
                </c:pt>
              </c:numCache>
            </c:numRef>
          </c:val>
          <c:smooth val="0"/>
          <c:extLst>
            <c:ext xmlns:c16="http://schemas.microsoft.com/office/drawing/2014/chart" uri="{C3380CC4-5D6E-409C-BE32-E72D297353CC}">
              <c16:uniqueId val="{00000000-D7EE-4CCA-8CFA-4FD45F636E1E}"/>
            </c:ext>
          </c:extLst>
        </c:ser>
        <c:ser>
          <c:idx val="9"/>
          <c:order val="1"/>
          <c:tx>
            <c:strRef>
              <c:f>Entrant_need_figures!$B$97</c:f>
              <c:strCache>
                <c:ptCount val="1"/>
                <c:pt idx="0">
                  <c:v>ENGLISH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Entrant_need_figures!$C$97:$N$97</c:f>
              <c:numCache>
                <c:formatCode>#,##0</c:formatCode>
                <c:ptCount val="12"/>
                <c:pt idx="0">
                  <c:v>4039.537608063712</c:v>
                </c:pt>
                <c:pt idx="1">
                  <c:v>4228.7636458328525</c:v>
                </c:pt>
                <c:pt idx="2">
                  <c:v>3912.914128603627</c:v>
                </c:pt>
                <c:pt idx="3">
                  <c:v>3858.6056594459533</c:v>
                </c:pt>
                <c:pt idx="4">
                  <c:v>3886.4354044751385</c:v>
                </c:pt>
                <c:pt idx="5">
                  <c:v>3915.6694020272062</c:v>
                </c:pt>
                <c:pt idx="6">
                  <c:v>3995.8114014758789</c:v>
                </c:pt>
                <c:pt idx="7">
                  <c:v>3866.479170970556</c:v>
                </c:pt>
                <c:pt idx="8">
                  <c:v>3782.7922950591205</c:v>
                </c:pt>
                <c:pt idx="9">
                  <c:v>3695.2986739401767</c:v>
                </c:pt>
                <c:pt idx="10">
                  <c:v>3627.1389424051795</c:v>
                </c:pt>
                <c:pt idx="11">
                  <c:v>3562.2042407503127</c:v>
                </c:pt>
              </c:numCache>
            </c:numRef>
          </c:val>
          <c:smooth val="0"/>
          <c:extLst>
            <c:ext xmlns:c16="http://schemas.microsoft.com/office/drawing/2014/chart" uri="{C3380CC4-5D6E-409C-BE32-E72D297353CC}">
              <c16:uniqueId val="{00000001-D7EE-4CCA-8CFA-4FD45F636E1E}"/>
            </c:ext>
          </c:extLst>
        </c:ser>
        <c:ser>
          <c:idx val="32"/>
          <c:order val="2"/>
          <c:tx>
            <c:strRef>
              <c:f>Entrant_need_figures!$B$122</c:f>
              <c:strCache>
                <c:ptCount val="1"/>
                <c:pt idx="0">
                  <c:v>MATHEMATICS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Entrant_need_figures!$C$122:$N$122</c:f>
              <c:numCache>
                <c:formatCode>#,##0</c:formatCode>
                <c:ptCount val="12"/>
                <c:pt idx="0">
                  <c:v>4773.4029155564294</c:v>
                </c:pt>
                <c:pt idx="1">
                  <c:v>4492.3907511657389</c:v>
                </c:pt>
                <c:pt idx="2">
                  <c:v>4534.1002153363606</c:v>
                </c:pt>
                <c:pt idx="3">
                  <c:v>4327.5293604006165</c:v>
                </c:pt>
                <c:pt idx="4">
                  <c:v>4353.1431682321218</c:v>
                </c:pt>
                <c:pt idx="5">
                  <c:v>4382.430688150007</c:v>
                </c:pt>
                <c:pt idx="6">
                  <c:v>4463.84574483494</c:v>
                </c:pt>
                <c:pt idx="7">
                  <c:v>4341.0321890949162</c:v>
                </c:pt>
                <c:pt idx="8">
                  <c:v>4232.0745067582511</c:v>
                </c:pt>
                <c:pt idx="9">
                  <c:v>4129.9212799682773</c:v>
                </c:pt>
                <c:pt idx="10">
                  <c:v>4063.4202125427619</c:v>
                </c:pt>
                <c:pt idx="11">
                  <c:v>3996.4936402218709</c:v>
                </c:pt>
              </c:numCache>
            </c:numRef>
          </c:val>
          <c:smooth val="0"/>
          <c:extLst>
            <c:ext xmlns:c16="http://schemas.microsoft.com/office/drawing/2014/chart" uri="{C3380CC4-5D6E-409C-BE32-E72D297353CC}">
              <c16:uniqueId val="{00000002-D7EE-4CCA-8CFA-4FD45F636E1E}"/>
            </c:ext>
          </c:extLst>
        </c:ser>
        <c:ser>
          <c:idx val="12"/>
          <c:order val="3"/>
          <c:tx>
            <c:strRef>
              <c:f>Entrant_need_figures!$B$101</c:f>
              <c:strCache>
                <c:ptCount val="1"/>
                <c:pt idx="0">
                  <c:v>MATHEMATICS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Entrant_need_figures!$C$101:$N$101</c:f>
              <c:numCache>
                <c:formatCode>#,##0</c:formatCode>
                <c:ptCount val="12"/>
                <c:pt idx="0">
                  <c:v>4773.4029155564294</c:v>
                </c:pt>
                <c:pt idx="1">
                  <c:v>4492.3907511657389</c:v>
                </c:pt>
                <c:pt idx="2">
                  <c:v>4534.1002153363606</c:v>
                </c:pt>
                <c:pt idx="3">
                  <c:v>4327.5293604006165</c:v>
                </c:pt>
                <c:pt idx="4">
                  <c:v>4353.1431682321218</c:v>
                </c:pt>
                <c:pt idx="5">
                  <c:v>4382.430688150007</c:v>
                </c:pt>
                <c:pt idx="6">
                  <c:v>4463.84574483494</c:v>
                </c:pt>
                <c:pt idx="7">
                  <c:v>4341.0321890949162</c:v>
                </c:pt>
                <c:pt idx="8">
                  <c:v>4232.0745067582511</c:v>
                </c:pt>
                <c:pt idx="9">
                  <c:v>4129.9212799682773</c:v>
                </c:pt>
                <c:pt idx="10">
                  <c:v>4063.4202125427619</c:v>
                </c:pt>
                <c:pt idx="11">
                  <c:v>3996.4936402218709</c:v>
                </c:pt>
              </c:numCache>
            </c:numRef>
          </c:val>
          <c:smooth val="0"/>
          <c:extLst>
            <c:ext xmlns:c16="http://schemas.microsoft.com/office/drawing/2014/chart" uri="{C3380CC4-5D6E-409C-BE32-E72D297353CC}">
              <c16:uniqueId val="{00000003-D7EE-4CCA-8CFA-4FD45F636E1E}"/>
            </c:ext>
          </c:extLst>
        </c:ser>
        <c:dLbls>
          <c:showLegendKey val="0"/>
          <c:showVal val="0"/>
          <c:showCatName val="0"/>
          <c:showSerName val="0"/>
          <c:showPercent val="0"/>
          <c:showBubbleSize val="0"/>
        </c:dLbls>
        <c:smooth val="0"/>
        <c:axId val="148251776"/>
        <c:axId val="148253312"/>
      </c:lineChart>
      <c:catAx>
        <c:axId val="148251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53312"/>
        <c:crosses val="autoZero"/>
        <c:auto val="1"/>
        <c:lblAlgn val="ctr"/>
        <c:lblOffset val="100"/>
        <c:noMultiLvlLbl val="0"/>
      </c:catAx>
      <c:valAx>
        <c:axId val="148253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51776"/>
        <c:crosses val="autoZero"/>
        <c:crossBetween val="between"/>
      </c:valAx>
      <c:spPr>
        <a:ln>
          <a:solidFill>
            <a:schemeClr val="tx1">
              <a:lumMod val="95000"/>
              <a:lumOff val="5000"/>
            </a:schemeClr>
          </a:solidFill>
        </a:ln>
      </c:spPr>
    </c:plotArea>
    <c:legend>
      <c:legendPos val="r"/>
      <c:layout>
        <c:manualLayout>
          <c:xMode val="edge"/>
          <c:yMode val="edge"/>
          <c:x val="0.6895983723511071"/>
          <c:y val="0.10380622837370242"/>
          <c:w val="0.28859113248427837"/>
          <c:h val="0.78200692041522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deaths in service</a:t>
            </a:r>
          </a:p>
        </c:rich>
      </c:tx>
      <c:overlay val="0"/>
    </c:title>
    <c:autoTitleDeleted val="0"/>
    <c:plotArea>
      <c:layout>
        <c:manualLayout>
          <c:layoutTarget val="inner"/>
          <c:xMode val="edge"/>
          <c:yMode val="edge"/>
          <c:x val="0.12339410488487146"/>
          <c:y val="0.1069500119303269"/>
          <c:w val="0.6391404671538361"/>
          <c:h val="0.71968444285373423"/>
        </c:manualLayout>
      </c:layout>
      <c:lineChart>
        <c:grouping val="standard"/>
        <c:varyColors val="0"/>
        <c:ser>
          <c:idx val="0"/>
          <c:order val="0"/>
          <c:tx>
            <c:strRef>
              <c:f>Outputs_with_historical_data!$B$210</c:f>
              <c:strCache>
                <c:ptCount val="1"/>
                <c:pt idx="0">
                  <c:v>Primary deaths - historical</c:v>
                </c:pt>
              </c:strCache>
            </c:strRef>
          </c:tx>
          <c:spPr>
            <a:ln>
              <a:solidFill>
                <a:schemeClr val="tx1">
                  <a:lumMod val="95000"/>
                  <a:lumOff val="5000"/>
                </a:schemeClr>
              </a:solidFill>
            </a:ln>
          </c:spPr>
          <c:marker>
            <c:symbol val="none"/>
          </c:marker>
          <c:cat>
            <c:strRef>
              <c:f>Outputs_with_historical_data!$C$209:$U$209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Outputs_with_historical_data!$C$210:$U$210</c:f>
              <c:numCache>
                <c:formatCode>#,##0</c:formatCode>
                <c:ptCount val="19"/>
                <c:pt idx="0">
                  <c:v>108.32561868123376</c:v>
                </c:pt>
                <c:pt idx="1">
                  <c:v>123.78999256339159</c:v>
                </c:pt>
                <c:pt idx="2">
                  <c:v>147.196</c:v>
                </c:pt>
                <c:pt idx="3">
                  <c:v>119.65599999999999</c:v>
                </c:pt>
                <c:pt idx="4">
                  <c:v>163.38000000000002</c:v>
                </c:pt>
                <c:pt idx="5">
                  <c:v>98.563999999999993</c:v>
                </c:pt>
              </c:numCache>
            </c:numRef>
          </c:val>
          <c:smooth val="0"/>
          <c:extLst>
            <c:ext xmlns:c16="http://schemas.microsoft.com/office/drawing/2014/chart" uri="{C3380CC4-5D6E-409C-BE32-E72D297353CC}">
              <c16:uniqueId val="{00000000-2C46-479D-A60A-9F57B908FA14}"/>
            </c:ext>
          </c:extLst>
        </c:ser>
        <c:ser>
          <c:idx val="1"/>
          <c:order val="1"/>
          <c:tx>
            <c:strRef>
              <c:f>Outputs_with_historical_data!$B$211</c:f>
              <c:strCache>
                <c:ptCount val="1"/>
                <c:pt idx="0">
                  <c:v>Primary deaths - projected</c:v>
                </c:pt>
              </c:strCache>
            </c:strRef>
          </c:tx>
          <c:spPr>
            <a:ln>
              <a:solidFill>
                <a:schemeClr val="tx1">
                  <a:lumMod val="95000"/>
                  <a:lumOff val="5000"/>
                </a:schemeClr>
              </a:solidFill>
              <a:prstDash val="sysDot"/>
            </a:ln>
          </c:spPr>
          <c:marker>
            <c:symbol val="none"/>
          </c:marker>
          <c:cat>
            <c:strRef>
              <c:f>Outputs_with_historical_data!$C$209:$U$209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Outputs_with_historical_data!$C$211:$U$211</c:f>
              <c:numCache>
                <c:formatCode>#,##0</c:formatCode>
                <c:ptCount val="19"/>
                <c:pt idx="7">
                  <c:v>139.7185757212942</c:v>
                </c:pt>
                <c:pt idx="8">
                  <c:v>140.51779296808175</c:v>
                </c:pt>
                <c:pt idx="9">
                  <c:v>140.45037584672642</c:v>
                </c:pt>
                <c:pt idx="10">
                  <c:v>139.88163053099592</c:v>
                </c:pt>
                <c:pt idx="11">
                  <c:v>139.34638702601171</c:v>
                </c:pt>
                <c:pt idx="12">
                  <c:v>138.81986781332816</c:v>
                </c:pt>
                <c:pt idx="13">
                  <c:v>138.30799970793373</c:v>
                </c:pt>
                <c:pt idx="14">
                  <c:v>137.79869884641153</c:v>
                </c:pt>
                <c:pt idx="15">
                  <c:v>137.56902860683539</c:v>
                </c:pt>
                <c:pt idx="16">
                  <c:v>137.55631123749336</c:v>
                </c:pt>
                <c:pt idx="17">
                  <c:v>137.62097654505649</c:v>
                </c:pt>
                <c:pt idx="18">
                  <c:v>137.67307017714899</c:v>
                </c:pt>
              </c:numCache>
            </c:numRef>
          </c:val>
          <c:smooth val="0"/>
          <c:extLst>
            <c:ext xmlns:c16="http://schemas.microsoft.com/office/drawing/2014/chart" uri="{C3380CC4-5D6E-409C-BE32-E72D297353CC}">
              <c16:uniqueId val="{00000001-2C46-479D-A60A-9F57B908FA14}"/>
            </c:ext>
          </c:extLst>
        </c:ser>
        <c:ser>
          <c:idx val="2"/>
          <c:order val="2"/>
          <c:tx>
            <c:strRef>
              <c:f>Outputs_with_historical_data!$B$212</c:f>
              <c:strCache>
                <c:ptCount val="1"/>
                <c:pt idx="0">
                  <c:v>Secondary deaths - historical</c:v>
                </c:pt>
              </c:strCache>
            </c:strRef>
          </c:tx>
          <c:spPr>
            <a:ln>
              <a:solidFill>
                <a:srgbClr val="FF0000"/>
              </a:solidFill>
            </a:ln>
          </c:spPr>
          <c:marker>
            <c:symbol val="none"/>
          </c:marker>
          <c:cat>
            <c:strRef>
              <c:f>Outputs_with_historical_data!$C$209:$U$209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Outputs_with_historical_data!$C$212:$U$212</c:f>
              <c:numCache>
                <c:formatCode>#,##0</c:formatCode>
                <c:ptCount val="19"/>
                <c:pt idx="0">
                  <c:v>125.67159650001329</c:v>
                </c:pt>
                <c:pt idx="1">
                  <c:v>125.43187980730896</c:v>
                </c:pt>
                <c:pt idx="2">
                  <c:v>179.423</c:v>
                </c:pt>
                <c:pt idx="3">
                  <c:v>136.42700000000002</c:v>
                </c:pt>
                <c:pt idx="4">
                  <c:v>198.31199999999998</c:v>
                </c:pt>
                <c:pt idx="5">
                  <c:v>87.206999999999994</c:v>
                </c:pt>
              </c:numCache>
            </c:numRef>
          </c:val>
          <c:smooth val="0"/>
          <c:extLst>
            <c:ext xmlns:c16="http://schemas.microsoft.com/office/drawing/2014/chart" uri="{C3380CC4-5D6E-409C-BE32-E72D297353CC}">
              <c16:uniqueId val="{00000002-2C46-479D-A60A-9F57B908FA14}"/>
            </c:ext>
          </c:extLst>
        </c:ser>
        <c:ser>
          <c:idx val="3"/>
          <c:order val="3"/>
          <c:tx>
            <c:strRef>
              <c:f>Outputs_with_historical_data!$B$213</c:f>
              <c:strCache>
                <c:ptCount val="1"/>
                <c:pt idx="0">
                  <c:v>Secondary deaths - projected</c:v>
                </c:pt>
              </c:strCache>
            </c:strRef>
          </c:tx>
          <c:spPr>
            <a:ln>
              <a:solidFill>
                <a:srgbClr val="FF0000"/>
              </a:solidFill>
              <a:prstDash val="sysDot"/>
            </a:ln>
          </c:spPr>
          <c:marker>
            <c:symbol val="none"/>
          </c:marker>
          <c:cat>
            <c:strRef>
              <c:f>Outputs_with_historical_data!$C$209:$U$209</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Outputs_with_historical_data!$C$213:$U$213</c:f>
              <c:numCache>
                <c:formatCode>#,##0</c:formatCode>
                <c:ptCount val="19"/>
                <c:pt idx="7">
                  <c:v>144.19381863795905</c:v>
                </c:pt>
                <c:pt idx="8">
                  <c:v>144.20754974870354</c:v>
                </c:pt>
                <c:pt idx="9">
                  <c:v>144.30914463170697</c:v>
                </c:pt>
                <c:pt idx="10">
                  <c:v>144.41084665423884</c:v>
                </c:pt>
                <c:pt idx="11">
                  <c:v>144.4943488449594</c:v>
                </c:pt>
                <c:pt idx="12">
                  <c:v>144.7721029155388</c:v>
                </c:pt>
                <c:pt idx="13">
                  <c:v>145.23870739989252</c:v>
                </c:pt>
                <c:pt idx="14">
                  <c:v>146.10338968363709</c:v>
                </c:pt>
                <c:pt idx="15">
                  <c:v>146.6599771359181</c:v>
                </c:pt>
                <c:pt idx="16">
                  <c:v>146.85873987388752</c:v>
                </c:pt>
                <c:pt idx="17">
                  <c:v>146.78369362467217</c:v>
                </c:pt>
                <c:pt idx="18">
                  <c:v>146.66438446240539</c:v>
                </c:pt>
              </c:numCache>
            </c:numRef>
          </c:val>
          <c:smooth val="0"/>
          <c:extLst>
            <c:ext xmlns:c16="http://schemas.microsoft.com/office/drawing/2014/chart" uri="{C3380CC4-5D6E-409C-BE32-E72D297353CC}">
              <c16:uniqueId val="{00000003-2C46-479D-A60A-9F57B908FA14}"/>
            </c:ext>
          </c:extLst>
        </c:ser>
        <c:dLbls>
          <c:showLegendKey val="0"/>
          <c:showVal val="0"/>
          <c:showCatName val="0"/>
          <c:showSerName val="0"/>
          <c:showPercent val="0"/>
          <c:showBubbleSize val="0"/>
        </c:dLbls>
        <c:smooth val="0"/>
        <c:axId val="171064320"/>
        <c:axId val="171086592"/>
      </c:lineChart>
      <c:catAx>
        <c:axId val="17106432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86592"/>
        <c:crosses val="autoZero"/>
        <c:auto val="1"/>
        <c:lblAlgn val="ctr"/>
        <c:lblOffset val="100"/>
        <c:noMultiLvlLbl val="0"/>
      </c:catAx>
      <c:valAx>
        <c:axId val="1710865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deaths in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64320"/>
        <c:crosses val="autoZero"/>
        <c:crossBetween val="between"/>
      </c:valAx>
      <c:spPr>
        <a:ln>
          <a:solidFill>
            <a:schemeClr val="tx1">
              <a:lumMod val="95000"/>
              <a:lumOff val="5000"/>
            </a:schemeClr>
          </a:solidFill>
        </a:ln>
      </c:spPr>
    </c:plotArea>
    <c:legend>
      <c:legendPos val="r"/>
      <c:layout>
        <c:manualLayout>
          <c:xMode val="edge"/>
          <c:yMode val="edge"/>
          <c:x val="0.78044596912521436"/>
          <c:y val="8.2352941176470587E-2"/>
          <c:w val="0.20325909518600049"/>
          <c:h val="0.7426472132159951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deaths in service rate</a:t>
            </a:r>
          </a:p>
        </c:rich>
      </c:tx>
      <c:overlay val="0"/>
    </c:title>
    <c:autoTitleDeleted val="0"/>
    <c:plotArea>
      <c:layout>
        <c:manualLayout>
          <c:layoutTarget val="inner"/>
          <c:xMode val="edge"/>
          <c:yMode val="edge"/>
          <c:x val="0.16398123845630408"/>
          <c:y val="9.9468816397950258E-2"/>
          <c:w val="0.59527804528031114"/>
          <c:h val="0.72716565191255855"/>
        </c:manualLayout>
      </c:layout>
      <c:lineChart>
        <c:grouping val="standard"/>
        <c:varyColors val="0"/>
        <c:ser>
          <c:idx val="0"/>
          <c:order val="0"/>
          <c:tx>
            <c:strRef>
              <c:f>Outputs_with_historical_data!$B$239</c:f>
              <c:strCache>
                <c:ptCount val="1"/>
                <c:pt idx="0">
                  <c:v>Primary deaths rate - historical</c:v>
                </c:pt>
              </c:strCache>
            </c:strRef>
          </c:tx>
          <c:spPr>
            <a:ln>
              <a:solidFill>
                <a:schemeClr val="tx1">
                  <a:lumMod val="95000"/>
                  <a:lumOff val="5000"/>
                </a:schemeClr>
              </a:solidFill>
            </a:ln>
          </c:spPr>
          <c:marker>
            <c:symbol val="none"/>
          </c:marker>
          <c:cat>
            <c:strRef>
              <c:f>Outputs_with_historical_data!$C$238:$U$238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Outputs_with_historical_data!$C$239:$U$239</c:f>
              <c:numCache>
                <c:formatCode>0.00%</c:formatCode>
                <c:ptCount val="19"/>
                <c:pt idx="0">
                  <c:v>4.9964984795271533E-4</c:v>
                </c:pt>
                <c:pt idx="1">
                  <c:v>5.6329816827879937E-4</c:v>
                </c:pt>
                <c:pt idx="2">
                  <c:v>6.5349912139050744E-4</c:v>
                </c:pt>
                <c:pt idx="3">
                  <c:v>5.190994057401577E-4</c:v>
                </c:pt>
                <c:pt idx="4">
                  <c:v>6.9325900664402929E-4</c:v>
                </c:pt>
                <c:pt idx="5">
                  <c:v>4.1182568802965701E-4</c:v>
                </c:pt>
              </c:numCache>
            </c:numRef>
          </c:val>
          <c:smooth val="0"/>
          <c:extLst>
            <c:ext xmlns:c16="http://schemas.microsoft.com/office/drawing/2014/chart" uri="{C3380CC4-5D6E-409C-BE32-E72D297353CC}">
              <c16:uniqueId val="{00000000-5189-4ADA-94CF-BC0C6D157C84}"/>
            </c:ext>
          </c:extLst>
        </c:ser>
        <c:ser>
          <c:idx val="1"/>
          <c:order val="1"/>
          <c:tx>
            <c:strRef>
              <c:f>Outputs_with_historical_data!$B$240</c:f>
              <c:strCache>
                <c:ptCount val="1"/>
                <c:pt idx="0">
                  <c:v>Primary deaths rate - projected</c:v>
                </c:pt>
              </c:strCache>
            </c:strRef>
          </c:tx>
          <c:spPr>
            <a:ln>
              <a:solidFill>
                <a:schemeClr val="tx1">
                  <a:lumMod val="95000"/>
                  <a:lumOff val="5000"/>
                </a:schemeClr>
              </a:solidFill>
              <a:prstDash val="sysDot"/>
            </a:ln>
          </c:spPr>
          <c:marker>
            <c:symbol val="none"/>
          </c:marker>
          <c:cat>
            <c:strRef>
              <c:f>Outputs_with_historical_data!$C$238:$U$238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Outputs_with_historical_data!$C$240:$U$240</c:f>
              <c:numCache>
                <c:formatCode>0.00%</c:formatCode>
                <c:ptCount val="19"/>
                <c:pt idx="7">
                  <c:v>5.7354484343901183E-4</c:v>
                </c:pt>
                <c:pt idx="8">
                  <c:v>5.7525661904620341E-4</c:v>
                </c:pt>
                <c:pt idx="9">
                  <c:v>5.7496869607359961E-4</c:v>
                </c:pt>
                <c:pt idx="10">
                  <c:v>5.721024141347559E-4</c:v>
                </c:pt>
                <c:pt idx="11">
                  <c:v>5.6977095557112032E-4</c:v>
                </c:pt>
                <c:pt idx="12">
                  <c:v>5.6798090659396043E-4</c:v>
                </c:pt>
                <c:pt idx="13">
                  <c:v>5.6680428193690954E-4</c:v>
                </c:pt>
                <c:pt idx="14">
                  <c:v>5.6417216881776363E-4</c:v>
                </c:pt>
                <c:pt idx="15">
                  <c:v>5.6165901090146251E-4</c:v>
                </c:pt>
                <c:pt idx="16">
                  <c:v>5.5992342863482852E-4</c:v>
                </c:pt>
                <c:pt idx="17">
                  <c:v>5.5890948718881209E-4</c:v>
                </c:pt>
                <c:pt idx="18">
                  <c:v>5.5826288049628636E-4</c:v>
                </c:pt>
              </c:numCache>
            </c:numRef>
          </c:val>
          <c:smooth val="0"/>
          <c:extLst>
            <c:ext xmlns:c16="http://schemas.microsoft.com/office/drawing/2014/chart" uri="{C3380CC4-5D6E-409C-BE32-E72D297353CC}">
              <c16:uniqueId val="{00000001-5189-4ADA-94CF-BC0C6D157C84}"/>
            </c:ext>
          </c:extLst>
        </c:ser>
        <c:ser>
          <c:idx val="2"/>
          <c:order val="2"/>
          <c:tx>
            <c:strRef>
              <c:f>Outputs_with_historical_data!$B$241</c:f>
              <c:strCache>
                <c:ptCount val="1"/>
                <c:pt idx="0">
                  <c:v>Secondary deaths rate - historical</c:v>
                </c:pt>
              </c:strCache>
            </c:strRef>
          </c:tx>
          <c:spPr>
            <a:ln>
              <a:solidFill>
                <a:srgbClr val="FF0000"/>
              </a:solidFill>
            </a:ln>
          </c:spPr>
          <c:marker>
            <c:symbol val="none"/>
          </c:marker>
          <c:cat>
            <c:strRef>
              <c:f>Outputs_with_historical_data!$C$238:$U$238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Outputs_with_historical_data!$C$241:$U$241</c:f>
              <c:numCache>
                <c:formatCode>0.00%</c:formatCode>
                <c:ptCount val="19"/>
                <c:pt idx="0">
                  <c:v>5.6634169640991741E-4</c:v>
                </c:pt>
                <c:pt idx="1">
                  <c:v>5.7226854214932328E-4</c:v>
                </c:pt>
                <c:pt idx="2">
                  <c:v>8.1665937980358839E-4</c:v>
                </c:pt>
                <c:pt idx="3">
                  <c:v>6.2671446155138913E-4</c:v>
                </c:pt>
                <c:pt idx="4">
                  <c:v>9.1968641045580559E-4</c:v>
                </c:pt>
                <c:pt idx="5">
                  <c:v>4.1132710329074609E-4</c:v>
                </c:pt>
              </c:numCache>
            </c:numRef>
          </c:val>
          <c:smooth val="0"/>
          <c:extLst>
            <c:ext xmlns:c16="http://schemas.microsoft.com/office/drawing/2014/chart" uri="{C3380CC4-5D6E-409C-BE32-E72D297353CC}">
              <c16:uniqueId val="{00000002-5189-4ADA-94CF-BC0C6D157C84}"/>
            </c:ext>
          </c:extLst>
        </c:ser>
        <c:ser>
          <c:idx val="3"/>
          <c:order val="3"/>
          <c:tx>
            <c:strRef>
              <c:f>Outputs_with_historical_data!$B$242</c:f>
              <c:strCache>
                <c:ptCount val="1"/>
                <c:pt idx="0">
                  <c:v>Secondary deaths rate - projected</c:v>
                </c:pt>
              </c:strCache>
            </c:strRef>
          </c:tx>
          <c:spPr>
            <a:ln>
              <a:solidFill>
                <a:srgbClr val="FF0000"/>
              </a:solidFill>
              <a:prstDash val="sysDot"/>
            </a:ln>
          </c:spPr>
          <c:marker>
            <c:symbol val="none"/>
          </c:marker>
          <c:cat>
            <c:strRef>
              <c:f>Outputs_with_historical_data!$C$238:$U$238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Outputs_with_historical_data!$C$242:$U$242</c:f>
              <c:numCache>
                <c:formatCode>0.00%</c:formatCode>
                <c:ptCount val="19"/>
                <c:pt idx="7">
                  <c:v>6.844684305912992E-4</c:v>
                </c:pt>
                <c:pt idx="8">
                  <c:v>6.7799042838999617E-4</c:v>
                </c:pt>
                <c:pt idx="9">
                  <c:v>6.7145442624771067E-4</c:v>
                </c:pt>
                <c:pt idx="10">
                  <c:v>6.6623089961297219E-4</c:v>
                </c:pt>
                <c:pt idx="11">
                  <c:v>6.6070358948217315E-4</c:v>
                </c:pt>
                <c:pt idx="12">
                  <c:v>6.5590679807112421E-4</c:v>
                </c:pt>
                <c:pt idx="13">
                  <c:v>6.503709751876271E-4</c:v>
                </c:pt>
                <c:pt idx="14">
                  <c:v>6.4963341929580277E-4</c:v>
                </c:pt>
                <c:pt idx="15">
                  <c:v>6.5040514499410001E-4</c:v>
                </c:pt>
                <c:pt idx="16">
                  <c:v>6.5167393665846354E-4</c:v>
                </c:pt>
                <c:pt idx="17">
                  <c:v>6.5213712118988355E-4</c:v>
                </c:pt>
                <c:pt idx="18">
                  <c:v>6.5291545117965332E-4</c:v>
                </c:pt>
              </c:numCache>
            </c:numRef>
          </c:val>
          <c:smooth val="0"/>
          <c:extLst>
            <c:ext xmlns:c16="http://schemas.microsoft.com/office/drawing/2014/chart" uri="{C3380CC4-5D6E-409C-BE32-E72D297353CC}">
              <c16:uniqueId val="{00000003-5189-4ADA-94CF-BC0C6D157C84}"/>
            </c:ext>
          </c:extLst>
        </c:ser>
        <c:dLbls>
          <c:showLegendKey val="0"/>
          <c:showVal val="0"/>
          <c:showCatName val="0"/>
          <c:showSerName val="0"/>
          <c:showPercent val="0"/>
          <c:showBubbleSize val="0"/>
        </c:dLbls>
        <c:smooth val="0"/>
        <c:axId val="171127936"/>
        <c:axId val="171129472"/>
      </c:lineChart>
      <c:catAx>
        <c:axId val="171127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29472"/>
        <c:crosses val="autoZero"/>
        <c:auto val="1"/>
        <c:lblAlgn val="ctr"/>
        <c:lblOffset val="100"/>
        <c:noMultiLvlLbl val="0"/>
      </c:catAx>
      <c:valAx>
        <c:axId val="17112947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deaths rate (proportion of teachers leaving as deaths in service)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27936"/>
        <c:crosses val="autoZero"/>
        <c:crossBetween val="between"/>
      </c:valAx>
      <c:spPr>
        <a:ln>
          <a:solidFill>
            <a:schemeClr val="tx1">
              <a:lumMod val="95000"/>
              <a:lumOff val="5000"/>
            </a:schemeClr>
          </a:solidFill>
        </a:ln>
      </c:spPr>
    </c:plotArea>
    <c:legend>
      <c:legendPos val="r"/>
      <c:layout>
        <c:manualLayout>
          <c:xMode val="edge"/>
          <c:yMode val="edge"/>
          <c:x val="0.77444262863368496"/>
          <c:y val="8.9442969188968671E-2"/>
          <c:w val="0.20840489278462837"/>
          <c:h val="0.759532946944681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a:t>
            </a:r>
          </a:p>
        </c:rich>
      </c:tx>
      <c:overlay val="0"/>
    </c:title>
    <c:autoTitleDeleted val="0"/>
    <c:plotArea>
      <c:layout>
        <c:manualLayout>
          <c:layoutTarget val="inner"/>
          <c:xMode val="edge"/>
          <c:yMode val="edge"/>
          <c:x val="0.1458156295485486"/>
          <c:y val="0.11073789071820568"/>
          <c:w val="0.61212919428236934"/>
          <c:h val="0.71589656406585545"/>
        </c:manualLayout>
      </c:layout>
      <c:lineChart>
        <c:grouping val="standard"/>
        <c:varyColors val="0"/>
        <c:ser>
          <c:idx val="0"/>
          <c:order val="0"/>
          <c:tx>
            <c:strRef>
              <c:f>Outputs_with_historical_data!$B$327</c:f>
              <c:strCache>
                <c:ptCount val="1"/>
                <c:pt idx="0">
                  <c:v>Primary entrants - historical</c:v>
                </c:pt>
              </c:strCache>
            </c:strRef>
          </c:tx>
          <c:spPr>
            <a:ln>
              <a:solidFill>
                <a:schemeClr val="tx1">
                  <a:lumMod val="95000"/>
                  <a:lumOff val="5000"/>
                </a:schemeClr>
              </a:solidFill>
            </a:ln>
          </c:spPr>
          <c:marker>
            <c:symbol val="none"/>
          </c:marker>
          <c:cat>
            <c:strRef>
              <c:f>Outputs_with_historical_data!$C$326:$U$326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Outputs_with_historical_data!$C$327:$U$327</c:f>
              <c:numCache>
                <c:formatCode>#,##0</c:formatCode>
                <c:ptCount val="19"/>
                <c:pt idx="0">
                  <c:v>20529.657089546286</c:v>
                </c:pt>
                <c:pt idx="1">
                  <c:v>23989.040999999994</c:v>
                </c:pt>
                <c:pt idx="2">
                  <c:v>25277.416000000001</c:v>
                </c:pt>
                <c:pt idx="3">
                  <c:v>26598.285000000003</c:v>
                </c:pt>
                <c:pt idx="4">
                  <c:v>26693.667000000001</c:v>
                </c:pt>
                <c:pt idx="5">
                  <c:v>25406.252</c:v>
                </c:pt>
              </c:numCache>
            </c:numRef>
          </c:val>
          <c:smooth val="0"/>
          <c:extLst>
            <c:ext xmlns:c16="http://schemas.microsoft.com/office/drawing/2014/chart" uri="{C3380CC4-5D6E-409C-BE32-E72D297353CC}">
              <c16:uniqueId val="{00000000-D495-4F7B-9372-C15FDD7403A6}"/>
            </c:ext>
          </c:extLst>
        </c:ser>
        <c:ser>
          <c:idx val="1"/>
          <c:order val="1"/>
          <c:tx>
            <c:strRef>
              <c:f>Outputs_with_historical_data!$B$328</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Outputs_with_historical_data!$C$326:$U$326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Outputs_with_historical_data!$C$328:$U$328</c:f>
              <c:numCache>
                <c:formatCode>#,##0</c:formatCode>
                <c:ptCount val="19"/>
                <c:pt idx="7">
                  <c:v>27567.610098506135</c:v>
                </c:pt>
                <c:pt idx="8">
                  <c:v>26168.018656485227</c:v>
                </c:pt>
                <c:pt idx="9">
                  <c:v>25492.593807015372</c:v>
                </c:pt>
                <c:pt idx="10">
                  <c:v>25178.924285860096</c:v>
                </c:pt>
                <c:pt idx="11">
                  <c:v>24958.713813880742</c:v>
                </c:pt>
                <c:pt idx="12">
                  <c:v>24696.100468209581</c:v>
                </c:pt>
                <c:pt idx="13">
                  <c:v>24408.266644993811</c:v>
                </c:pt>
                <c:pt idx="14">
                  <c:v>24950.329485232243</c:v>
                </c:pt>
                <c:pt idx="15">
                  <c:v>25389.224909382261</c:v>
                </c:pt>
                <c:pt idx="16">
                  <c:v>25497.882054938753</c:v>
                </c:pt>
                <c:pt idx="17">
                  <c:v>25396.267516090727</c:v>
                </c:pt>
                <c:pt idx="18">
                  <c:v>25272.066186930482</c:v>
                </c:pt>
              </c:numCache>
            </c:numRef>
          </c:val>
          <c:smooth val="0"/>
          <c:extLst>
            <c:ext xmlns:c16="http://schemas.microsoft.com/office/drawing/2014/chart" uri="{C3380CC4-5D6E-409C-BE32-E72D297353CC}">
              <c16:uniqueId val="{00000001-D495-4F7B-9372-C15FDD7403A6}"/>
            </c:ext>
          </c:extLst>
        </c:ser>
        <c:ser>
          <c:idx val="2"/>
          <c:order val="2"/>
          <c:tx>
            <c:strRef>
              <c:f>Outputs_with_historical_data!$B$329</c:f>
              <c:strCache>
                <c:ptCount val="1"/>
                <c:pt idx="0">
                  <c:v>Secondary entrants - historical</c:v>
                </c:pt>
              </c:strCache>
            </c:strRef>
          </c:tx>
          <c:spPr>
            <a:ln>
              <a:solidFill>
                <a:srgbClr val="FF0000"/>
              </a:solidFill>
            </a:ln>
          </c:spPr>
          <c:marker>
            <c:symbol val="none"/>
          </c:marker>
          <c:cat>
            <c:strRef>
              <c:f>Outputs_with_historical_data!$C$326:$U$326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Outputs_with_historical_data!$C$329:$U$329</c:f>
              <c:numCache>
                <c:formatCode>#,##0</c:formatCode>
                <c:ptCount val="19"/>
                <c:pt idx="0">
                  <c:v>19900.351266773563</c:v>
                </c:pt>
                <c:pt idx="1">
                  <c:v>21265.592999999993</c:v>
                </c:pt>
                <c:pt idx="2">
                  <c:v>20658.706999999999</c:v>
                </c:pt>
                <c:pt idx="3">
                  <c:v>21075.14</c:v>
                </c:pt>
                <c:pt idx="4">
                  <c:v>20526.904000000002</c:v>
                </c:pt>
                <c:pt idx="5">
                  <c:v>21260.055</c:v>
                </c:pt>
              </c:numCache>
            </c:numRef>
          </c:val>
          <c:smooth val="0"/>
          <c:extLst>
            <c:ext xmlns:c16="http://schemas.microsoft.com/office/drawing/2014/chart" uri="{C3380CC4-5D6E-409C-BE32-E72D297353CC}">
              <c16:uniqueId val="{00000002-D495-4F7B-9372-C15FDD7403A6}"/>
            </c:ext>
          </c:extLst>
        </c:ser>
        <c:ser>
          <c:idx val="3"/>
          <c:order val="3"/>
          <c:tx>
            <c:strRef>
              <c:f>Outputs_with_historical_data!$B$330</c:f>
              <c:strCache>
                <c:ptCount val="1"/>
                <c:pt idx="0">
                  <c:v>Secondary entrants - projected</c:v>
                </c:pt>
              </c:strCache>
            </c:strRef>
          </c:tx>
          <c:spPr>
            <a:ln>
              <a:solidFill>
                <a:srgbClr val="FF0000"/>
              </a:solidFill>
              <a:prstDash val="sysDot"/>
            </a:ln>
          </c:spPr>
          <c:marker>
            <c:symbol val="none"/>
          </c:marker>
          <c:cat>
            <c:strRef>
              <c:f>Outputs_with_historical_data!$C$326:$U$326</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Outputs_with_historical_data!$C$330:$U$330</c:f>
              <c:numCache>
                <c:formatCode>#,##0</c:formatCode>
                <c:ptCount val="19"/>
                <c:pt idx="7">
                  <c:v>25726.914332450637</c:v>
                </c:pt>
                <c:pt idx="8">
                  <c:v>26013.082992911095</c:v>
                </c:pt>
                <c:pt idx="9">
                  <c:v>26773.534628117941</c:v>
                </c:pt>
                <c:pt idx="10">
                  <c:v>26280.056655388191</c:v>
                </c:pt>
                <c:pt idx="11">
                  <c:v>26557.750010090593</c:v>
                </c:pt>
                <c:pt idx="12">
                  <c:v>26839.574362018644</c:v>
                </c:pt>
                <c:pt idx="13">
                  <c:v>27623.063634274476</c:v>
                </c:pt>
                <c:pt idx="14">
                  <c:v>26917.518218870457</c:v>
                </c:pt>
                <c:pt idx="15">
                  <c:v>26106.103394555023</c:v>
                </c:pt>
                <c:pt idx="16">
                  <c:v>25450.928289338994</c:v>
                </c:pt>
                <c:pt idx="17">
                  <c:v>25287.319697064035</c:v>
                </c:pt>
                <c:pt idx="18">
                  <c:v>25073.871126010978</c:v>
                </c:pt>
              </c:numCache>
            </c:numRef>
          </c:val>
          <c:smooth val="0"/>
          <c:extLst>
            <c:ext xmlns:c16="http://schemas.microsoft.com/office/drawing/2014/chart" uri="{C3380CC4-5D6E-409C-BE32-E72D297353CC}">
              <c16:uniqueId val="{00000003-D495-4F7B-9372-C15FDD7403A6}"/>
            </c:ext>
          </c:extLst>
        </c:ser>
        <c:dLbls>
          <c:showLegendKey val="0"/>
          <c:showVal val="0"/>
          <c:showCatName val="0"/>
          <c:showSerName val="0"/>
          <c:showPercent val="0"/>
          <c:showBubbleSize val="0"/>
        </c:dLbls>
        <c:smooth val="0"/>
        <c:axId val="171514880"/>
        <c:axId val="171520768"/>
      </c:lineChart>
      <c:catAx>
        <c:axId val="1715148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20768"/>
        <c:crosses val="autoZero"/>
        <c:auto val="1"/>
        <c:lblAlgn val="ctr"/>
        <c:lblOffset val="100"/>
        <c:noMultiLvlLbl val="0"/>
      </c:catAx>
      <c:valAx>
        <c:axId val="1715207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14880"/>
        <c:crosses val="autoZero"/>
        <c:crossBetween val="between"/>
      </c:valAx>
      <c:spPr>
        <a:ln>
          <a:solidFill>
            <a:schemeClr val="tx1">
              <a:lumMod val="95000"/>
              <a:lumOff val="5000"/>
            </a:schemeClr>
          </a:solidFill>
        </a:ln>
      </c:spPr>
    </c:plotArea>
    <c:legend>
      <c:legendPos val="r"/>
      <c:layout>
        <c:manualLayout>
          <c:xMode val="edge"/>
          <c:yMode val="edge"/>
          <c:x val="0.77358490566037741"/>
          <c:y val="8.5294117647058826E-2"/>
          <c:w val="0.21012015865083766"/>
          <c:h val="0.7588235294117646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entrant rate</a:t>
            </a:r>
          </a:p>
        </c:rich>
      </c:tx>
      <c:overlay val="0"/>
    </c:title>
    <c:autoTitleDeleted val="0"/>
    <c:plotArea>
      <c:layout>
        <c:manualLayout>
          <c:layoutTarget val="inner"/>
          <c:xMode val="edge"/>
          <c:yMode val="edge"/>
          <c:x val="0.14975657381376406"/>
          <c:y val="0.10697591372507008"/>
          <c:w val="0.6020530976793369"/>
          <c:h val="0.71965885216728864"/>
        </c:manualLayout>
      </c:layout>
      <c:lineChart>
        <c:grouping val="standard"/>
        <c:varyColors val="0"/>
        <c:ser>
          <c:idx val="0"/>
          <c:order val="0"/>
          <c:tx>
            <c:strRef>
              <c:f>Outputs_with_historical_data!$B$356</c:f>
              <c:strCache>
                <c:ptCount val="1"/>
                <c:pt idx="0">
                  <c:v>Primary entrants - historical</c:v>
                </c:pt>
              </c:strCache>
            </c:strRef>
          </c:tx>
          <c:spPr>
            <a:ln>
              <a:solidFill>
                <a:schemeClr val="tx1">
                  <a:lumMod val="95000"/>
                  <a:lumOff val="5000"/>
                </a:schemeClr>
              </a:solidFill>
            </a:ln>
          </c:spPr>
          <c:marker>
            <c:symbol val="none"/>
          </c:marker>
          <c:cat>
            <c:strRef>
              <c:f>Outputs_with_historical_data!$C$355:$U$355</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Outputs_with_historical_data!$C$356:$U$356</c:f>
              <c:numCache>
                <c:formatCode>0.0%</c:formatCode>
                <c:ptCount val="19"/>
                <c:pt idx="0">
                  <c:v>9.4692651361613783E-2</c:v>
                </c:pt>
                <c:pt idx="1">
                  <c:v>0.10916054338677783</c:v>
                </c:pt>
                <c:pt idx="2">
                  <c:v>0.1122229486332669</c:v>
                </c:pt>
                <c:pt idx="3">
                  <c:v>0.11539040196235335</c:v>
                </c:pt>
                <c:pt idx="4">
                  <c:v>0.1132673832054505</c:v>
                </c:pt>
                <c:pt idx="5">
                  <c:v>0.10615384126207185</c:v>
                </c:pt>
              </c:numCache>
            </c:numRef>
          </c:val>
          <c:smooth val="0"/>
          <c:extLst>
            <c:ext xmlns:c16="http://schemas.microsoft.com/office/drawing/2014/chart" uri="{C3380CC4-5D6E-409C-BE32-E72D297353CC}">
              <c16:uniqueId val="{00000000-2085-4DF6-9257-51A64F019026}"/>
            </c:ext>
          </c:extLst>
        </c:ser>
        <c:ser>
          <c:idx val="1"/>
          <c:order val="1"/>
          <c:tx>
            <c:strRef>
              <c:f>Outputs_with_historical_data!$B$357</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Outputs_with_historical_data!$C$355:$U$355</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Outputs_with_historical_data!$C$357:$U$357</c:f>
              <c:numCache>
                <c:formatCode>0.0%</c:formatCode>
                <c:ptCount val="19"/>
                <c:pt idx="7">
                  <c:v>0.11316505723244118</c:v>
                </c:pt>
                <c:pt idx="8">
                  <c:v>0.10712754322071504</c:v>
                </c:pt>
                <c:pt idx="9">
                  <c:v>0.10436030044340519</c:v>
                </c:pt>
                <c:pt idx="10">
                  <c:v>0.10297937845430573</c:v>
                </c:pt>
                <c:pt idx="11">
                  <c:v>0.10205323957847842</c:v>
                </c:pt>
                <c:pt idx="12">
                  <c:v>0.10104399142730258</c:v>
                </c:pt>
                <c:pt idx="13">
                  <c:v>0.1000282708032451</c:v>
                </c:pt>
                <c:pt idx="14">
                  <c:v>0.10215104798696607</c:v>
                </c:pt>
                <c:pt idx="15">
                  <c:v>0.10365768439721232</c:v>
                </c:pt>
                <c:pt idx="16">
                  <c:v>0.10378921486545625</c:v>
                </c:pt>
                <c:pt idx="17">
                  <c:v>0.1031399079578616</c:v>
                </c:pt>
                <c:pt idx="18">
                  <c:v>0.1024779678949176</c:v>
                </c:pt>
              </c:numCache>
            </c:numRef>
          </c:val>
          <c:smooth val="0"/>
          <c:extLst>
            <c:ext xmlns:c16="http://schemas.microsoft.com/office/drawing/2014/chart" uri="{C3380CC4-5D6E-409C-BE32-E72D297353CC}">
              <c16:uniqueId val="{00000001-2085-4DF6-9257-51A64F019026}"/>
            </c:ext>
          </c:extLst>
        </c:ser>
        <c:ser>
          <c:idx val="2"/>
          <c:order val="2"/>
          <c:tx>
            <c:strRef>
              <c:f>Outputs_with_historical_data!$B$358</c:f>
              <c:strCache>
                <c:ptCount val="1"/>
                <c:pt idx="0">
                  <c:v>Secondary entrants - historical</c:v>
                </c:pt>
              </c:strCache>
            </c:strRef>
          </c:tx>
          <c:spPr>
            <a:ln>
              <a:solidFill>
                <a:srgbClr val="FF0000"/>
              </a:solidFill>
            </a:ln>
          </c:spPr>
          <c:marker>
            <c:symbol val="none"/>
          </c:marker>
          <c:cat>
            <c:strRef>
              <c:f>Outputs_with_historical_data!$C$355:$U$355</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Outputs_with_historical_data!$C$358:$U$358</c:f>
              <c:numCache>
                <c:formatCode>0.0%</c:formatCode>
                <c:ptCount val="19"/>
                <c:pt idx="0">
                  <c:v>8.9681352107089662E-2</c:v>
                </c:pt>
                <c:pt idx="1">
                  <c:v>9.7021825095391104E-2</c:v>
                </c:pt>
                <c:pt idx="2">
                  <c:v>9.4029900548781645E-2</c:v>
                </c:pt>
                <c:pt idx="3">
                  <c:v>9.6814377045747108E-2</c:v>
                </c:pt>
                <c:pt idx="4">
                  <c:v>9.5195019250125662E-2</c:v>
                </c:pt>
                <c:pt idx="5">
                  <c:v>0.10027677639354574</c:v>
                </c:pt>
              </c:numCache>
            </c:numRef>
          </c:val>
          <c:smooth val="0"/>
          <c:extLst>
            <c:ext xmlns:c16="http://schemas.microsoft.com/office/drawing/2014/chart" uri="{C3380CC4-5D6E-409C-BE32-E72D297353CC}">
              <c16:uniqueId val="{00000002-2085-4DF6-9257-51A64F019026}"/>
            </c:ext>
          </c:extLst>
        </c:ser>
        <c:ser>
          <c:idx val="3"/>
          <c:order val="3"/>
          <c:tx>
            <c:strRef>
              <c:f>Outputs_with_historical_data!$B$359</c:f>
              <c:strCache>
                <c:ptCount val="1"/>
                <c:pt idx="0">
                  <c:v>Secondary entrants - projected</c:v>
                </c:pt>
              </c:strCache>
            </c:strRef>
          </c:tx>
          <c:spPr>
            <a:ln>
              <a:solidFill>
                <a:srgbClr val="FF0000"/>
              </a:solidFill>
              <a:prstDash val="sysDot"/>
            </a:ln>
          </c:spPr>
          <c:marker>
            <c:symbol val="none"/>
          </c:marker>
          <c:cat>
            <c:strRef>
              <c:f>Outputs_with_historical_data!$C$355:$U$355</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Outputs_with_historical_data!$C$359:$U$359</c:f>
              <c:numCache>
                <c:formatCode>0.0%</c:formatCode>
                <c:ptCount val="19"/>
                <c:pt idx="7">
                  <c:v>0.12212216059900953</c:v>
                </c:pt>
                <c:pt idx="8">
                  <c:v>0.12230026314740067</c:v>
                </c:pt>
                <c:pt idx="9">
                  <c:v>0.12457428375884276</c:v>
                </c:pt>
                <c:pt idx="10">
                  <c:v>0.12124148700076352</c:v>
                </c:pt>
                <c:pt idx="11">
                  <c:v>0.12143589628591336</c:v>
                </c:pt>
                <c:pt idx="12">
                  <c:v>0.12159980360065606</c:v>
                </c:pt>
                <c:pt idx="13">
                  <c:v>0.12369456569197108</c:v>
                </c:pt>
                <c:pt idx="14">
                  <c:v>0.1196859254076587</c:v>
                </c:pt>
                <c:pt idx="15">
                  <c:v>0.11577489847711228</c:v>
                </c:pt>
                <c:pt idx="16">
                  <c:v>0.11293646291782494</c:v>
                </c:pt>
                <c:pt idx="17">
                  <c:v>0.11234762842266914</c:v>
                </c:pt>
                <c:pt idx="18">
                  <c:v>0.11162299517410351</c:v>
                </c:pt>
              </c:numCache>
            </c:numRef>
          </c:val>
          <c:smooth val="0"/>
          <c:extLst>
            <c:ext xmlns:c16="http://schemas.microsoft.com/office/drawing/2014/chart" uri="{C3380CC4-5D6E-409C-BE32-E72D297353CC}">
              <c16:uniqueId val="{00000003-2085-4DF6-9257-51A64F019026}"/>
            </c:ext>
          </c:extLst>
        </c:ser>
        <c:dLbls>
          <c:showLegendKey val="0"/>
          <c:showVal val="0"/>
          <c:showCatName val="0"/>
          <c:showSerName val="0"/>
          <c:showPercent val="0"/>
          <c:showBubbleSize val="0"/>
        </c:dLbls>
        <c:smooth val="0"/>
        <c:axId val="171566208"/>
        <c:axId val="171567744"/>
      </c:lineChart>
      <c:catAx>
        <c:axId val="17156620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67744"/>
        <c:crosses val="autoZero"/>
        <c:auto val="1"/>
        <c:lblAlgn val="ctr"/>
        <c:lblOffset val="100"/>
        <c:noMultiLvlLbl val="0"/>
      </c:catAx>
      <c:valAx>
        <c:axId val="171567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entrant rate (proportion of teachers entering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66208"/>
        <c:crosses val="autoZero"/>
        <c:crossBetween val="between"/>
      </c:valAx>
      <c:spPr>
        <a:ln>
          <a:solidFill>
            <a:schemeClr val="tx1">
              <a:lumMod val="95000"/>
              <a:lumOff val="5000"/>
            </a:schemeClr>
          </a:solidFill>
        </a:ln>
      </c:spPr>
    </c:plotArea>
    <c:legend>
      <c:legendPos val="r"/>
      <c:layout>
        <c:manualLayout>
          <c:xMode val="edge"/>
          <c:yMode val="edge"/>
          <c:x val="0.77530017152658659"/>
          <c:y val="8.2111744829550262E-2"/>
          <c:w val="0.20840489278462837"/>
          <c:h val="0.7683306009036260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Newly Qualified Teachers</a:t>
            </a:r>
          </a:p>
        </c:rich>
      </c:tx>
      <c:overlay val="0"/>
    </c:title>
    <c:autoTitleDeleted val="0"/>
    <c:plotArea>
      <c:layout>
        <c:manualLayout>
          <c:layoutTarget val="inner"/>
          <c:xMode val="edge"/>
          <c:yMode val="edge"/>
          <c:x val="0.1458156295485486"/>
          <c:y val="0.12210152708184205"/>
          <c:w val="0.59874536157118297"/>
          <c:h val="0.70453292770221909"/>
        </c:manualLayout>
      </c:layout>
      <c:lineChart>
        <c:grouping val="standard"/>
        <c:varyColors val="0"/>
        <c:ser>
          <c:idx val="0"/>
          <c:order val="0"/>
          <c:tx>
            <c:strRef>
              <c:f>Outputs_with_historical_data!$B$385</c:f>
              <c:strCache>
                <c:ptCount val="1"/>
                <c:pt idx="0">
                  <c:v>Primary NQTs - historical</c:v>
                </c:pt>
              </c:strCache>
            </c:strRef>
          </c:tx>
          <c:spPr>
            <a:ln>
              <a:solidFill>
                <a:schemeClr val="tx1">
                  <a:lumMod val="95000"/>
                  <a:lumOff val="5000"/>
                </a:schemeClr>
              </a:solidFill>
            </a:ln>
          </c:spPr>
          <c:marker>
            <c:symbol val="none"/>
          </c:marker>
          <c:cat>
            <c:strRef>
              <c:f>Outputs_with_historical_data!$C$384:$U$384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Outputs_with_historical_data!$C$385:$U$385</c:f>
              <c:numCache>
                <c:formatCode>#,##0</c:formatCode>
                <c:ptCount val="19"/>
                <c:pt idx="0">
                  <c:v>9238.1412282795718</c:v>
                </c:pt>
                <c:pt idx="1">
                  <c:v>11663.958000000001</c:v>
                </c:pt>
                <c:pt idx="2">
                  <c:v>12880.737999999999</c:v>
                </c:pt>
                <c:pt idx="3">
                  <c:v>13678.62</c:v>
                </c:pt>
                <c:pt idx="4">
                  <c:v>14577.31</c:v>
                </c:pt>
                <c:pt idx="5">
                  <c:v>12896.03</c:v>
                </c:pt>
              </c:numCache>
            </c:numRef>
          </c:val>
          <c:smooth val="0"/>
          <c:extLst>
            <c:ext xmlns:c16="http://schemas.microsoft.com/office/drawing/2014/chart" uri="{C3380CC4-5D6E-409C-BE32-E72D297353CC}">
              <c16:uniqueId val="{00000000-AC66-4E74-A78A-7E5592318B07}"/>
            </c:ext>
          </c:extLst>
        </c:ser>
        <c:ser>
          <c:idx val="1"/>
          <c:order val="1"/>
          <c:tx>
            <c:strRef>
              <c:f>Outputs_with_historical_data!$B$386</c:f>
              <c:strCache>
                <c:ptCount val="1"/>
                <c:pt idx="0">
                  <c:v>Primary NQTs - projected</c:v>
                </c:pt>
              </c:strCache>
            </c:strRef>
          </c:tx>
          <c:spPr>
            <a:ln>
              <a:solidFill>
                <a:schemeClr val="tx1">
                  <a:lumMod val="95000"/>
                  <a:lumOff val="5000"/>
                </a:schemeClr>
              </a:solidFill>
              <a:prstDash val="sysDot"/>
            </a:ln>
          </c:spPr>
          <c:marker>
            <c:symbol val="none"/>
          </c:marker>
          <c:cat>
            <c:strRef>
              <c:f>Outputs_with_historical_data!$C$384:$U$384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Outputs_with_historical_data!$C$386:$U$386</c:f>
              <c:numCache>
                <c:formatCode>#,##0</c:formatCode>
                <c:ptCount val="19"/>
                <c:pt idx="9">
                  <c:v>13273.403714588394</c:v>
                </c:pt>
                <c:pt idx="10">
                  <c:v>13110.08325301536</c:v>
                </c:pt>
                <c:pt idx="11">
                  <c:v>12995.424755771441</c:v>
                </c:pt>
                <c:pt idx="12">
                  <c:v>12858.688063368929</c:v>
                </c:pt>
                <c:pt idx="13">
                  <c:v>12708.819651893084</c:v>
                </c:pt>
                <c:pt idx="14">
                  <c:v>12991.059229851648</c:v>
                </c:pt>
                <c:pt idx="15">
                  <c:v>13219.581921474559</c:v>
                </c:pt>
                <c:pt idx="16">
                  <c:v>13276.157182915755</c:v>
                </c:pt>
                <c:pt idx="17">
                  <c:v>13223.248843826681</c:v>
                </c:pt>
                <c:pt idx="18">
                  <c:v>13158.580085664507</c:v>
                </c:pt>
              </c:numCache>
            </c:numRef>
          </c:val>
          <c:smooth val="0"/>
          <c:extLst>
            <c:ext xmlns:c16="http://schemas.microsoft.com/office/drawing/2014/chart" uri="{C3380CC4-5D6E-409C-BE32-E72D297353CC}">
              <c16:uniqueId val="{00000001-AC66-4E74-A78A-7E5592318B07}"/>
            </c:ext>
          </c:extLst>
        </c:ser>
        <c:ser>
          <c:idx val="2"/>
          <c:order val="2"/>
          <c:tx>
            <c:strRef>
              <c:f>Outputs_with_historical_data!$B$387</c:f>
              <c:strCache>
                <c:ptCount val="1"/>
                <c:pt idx="0">
                  <c:v>Secondary NQTs - historical</c:v>
                </c:pt>
              </c:strCache>
            </c:strRef>
          </c:tx>
          <c:spPr>
            <a:ln>
              <a:solidFill>
                <a:srgbClr val="FF0000"/>
              </a:solidFill>
            </a:ln>
          </c:spPr>
          <c:marker>
            <c:symbol val="none"/>
          </c:marker>
          <c:cat>
            <c:strRef>
              <c:f>Outputs_with_historical_data!$C$384:$U$384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Outputs_with_historical_data!$C$387:$U$387</c:f>
              <c:numCache>
                <c:formatCode>#,##0</c:formatCode>
                <c:ptCount val="19"/>
                <c:pt idx="0">
                  <c:v>11078.722844185231</c:v>
                </c:pt>
                <c:pt idx="1">
                  <c:v>11086.531000000001</c:v>
                </c:pt>
                <c:pt idx="2">
                  <c:v>10502.683999999999</c:v>
                </c:pt>
                <c:pt idx="3">
                  <c:v>10472.761</c:v>
                </c:pt>
                <c:pt idx="4">
                  <c:v>10690.763000000001</c:v>
                </c:pt>
                <c:pt idx="5">
                  <c:v>11034.485000000001</c:v>
                </c:pt>
              </c:numCache>
            </c:numRef>
          </c:val>
          <c:smooth val="0"/>
          <c:extLst>
            <c:ext xmlns:c16="http://schemas.microsoft.com/office/drawing/2014/chart" uri="{C3380CC4-5D6E-409C-BE32-E72D297353CC}">
              <c16:uniqueId val="{00000002-AC66-4E74-A78A-7E5592318B07}"/>
            </c:ext>
          </c:extLst>
        </c:ser>
        <c:ser>
          <c:idx val="3"/>
          <c:order val="3"/>
          <c:tx>
            <c:strRef>
              <c:f>Outputs_with_historical_data!$B$388</c:f>
              <c:strCache>
                <c:ptCount val="1"/>
                <c:pt idx="0">
                  <c:v>Secondary NQTs - projected</c:v>
                </c:pt>
              </c:strCache>
            </c:strRef>
          </c:tx>
          <c:spPr>
            <a:ln>
              <a:solidFill>
                <a:srgbClr val="FF0000"/>
              </a:solidFill>
              <a:prstDash val="sysDot"/>
            </a:ln>
          </c:spPr>
          <c:marker>
            <c:symbol val="none"/>
          </c:marker>
          <c:cat>
            <c:strRef>
              <c:f>Outputs_with_historical_data!$C$384:$U$384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Outputs_with_historical_data!$C$388:$U$388</c:f>
              <c:numCache>
                <c:formatCode>#,##0</c:formatCode>
                <c:ptCount val="19"/>
                <c:pt idx="9">
                  <c:v>14033.736963744634</c:v>
                </c:pt>
                <c:pt idx="10">
                  <c:v>13800.603957809075</c:v>
                </c:pt>
                <c:pt idx="11">
                  <c:v>14055.439041023463</c:v>
                </c:pt>
                <c:pt idx="12">
                  <c:v>14311.742265350756</c:v>
                </c:pt>
                <c:pt idx="13">
                  <c:v>14788.405363691703</c:v>
                </c:pt>
                <c:pt idx="14">
                  <c:v>14084.246122958315</c:v>
                </c:pt>
                <c:pt idx="15">
                  <c:v>13546.344327529825</c:v>
                </c:pt>
                <c:pt idx="16">
                  <c:v>13121.91948612038</c:v>
                </c:pt>
                <c:pt idx="17">
                  <c:v>13059.442423306733</c:v>
                </c:pt>
                <c:pt idx="18">
                  <c:v>12992.929124472455</c:v>
                </c:pt>
              </c:numCache>
            </c:numRef>
          </c:val>
          <c:smooth val="0"/>
          <c:extLst>
            <c:ext xmlns:c16="http://schemas.microsoft.com/office/drawing/2014/chart" uri="{C3380CC4-5D6E-409C-BE32-E72D297353CC}">
              <c16:uniqueId val="{00000003-AC66-4E74-A78A-7E5592318B07}"/>
            </c:ext>
          </c:extLst>
        </c:ser>
        <c:dLbls>
          <c:showLegendKey val="0"/>
          <c:showVal val="0"/>
          <c:showCatName val="0"/>
          <c:showSerName val="0"/>
          <c:showPercent val="0"/>
          <c:showBubbleSize val="0"/>
        </c:dLbls>
        <c:smooth val="0"/>
        <c:axId val="171351040"/>
        <c:axId val="171356928"/>
      </c:lineChart>
      <c:catAx>
        <c:axId val="17135104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356928"/>
        <c:crosses val="autoZero"/>
        <c:auto val="1"/>
        <c:lblAlgn val="ctr"/>
        <c:lblOffset val="100"/>
        <c:noMultiLvlLbl val="0"/>
      </c:catAx>
      <c:valAx>
        <c:axId val="171356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51040"/>
        <c:crosses val="autoZero"/>
        <c:crossBetween val="between"/>
      </c:valAx>
      <c:spPr>
        <a:ln>
          <a:solidFill>
            <a:schemeClr val="tx1">
              <a:lumMod val="95000"/>
              <a:lumOff val="5000"/>
            </a:schemeClr>
          </a:solidFill>
        </a:ln>
      </c:spPr>
    </c:plotArea>
    <c:legend>
      <c:legendPos val="r"/>
      <c:layout>
        <c:manualLayout>
          <c:xMode val="edge"/>
          <c:yMode val="edge"/>
          <c:x val="0.76113148527666918"/>
          <c:y val="8.8235294117647065E-2"/>
          <c:w val="0.22174702477258834"/>
          <c:h val="0.7823529411764705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re-entrants</a:t>
            </a:r>
          </a:p>
        </c:rich>
      </c:tx>
      <c:overlay val="0"/>
    </c:title>
    <c:autoTitleDeleted val="0"/>
    <c:plotArea>
      <c:layout>
        <c:manualLayout>
          <c:layoutTarget val="inner"/>
          <c:xMode val="edge"/>
          <c:yMode val="edge"/>
          <c:x val="0.1458156295485486"/>
          <c:y val="0.11073789071820568"/>
          <c:w val="0.62385962530545747"/>
          <c:h val="0.71589656406585545"/>
        </c:manualLayout>
      </c:layout>
      <c:lineChart>
        <c:grouping val="standard"/>
        <c:varyColors val="0"/>
        <c:ser>
          <c:idx val="0"/>
          <c:order val="0"/>
          <c:tx>
            <c:strRef>
              <c:f>Outputs_with_historical_data!$B$414</c:f>
              <c:strCache>
                <c:ptCount val="1"/>
                <c:pt idx="0">
                  <c:v>Primary re-entrants - historical</c:v>
                </c:pt>
              </c:strCache>
            </c:strRef>
          </c:tx>
          <c:spPr>
            <a:ln>
              <a:solidFill>
                <a:schemeClr val="tx1">
                  <a:lumMod val="95000"/>
                  <a:lumOff val="5000"/>
                </a:schemeClr>
              </a:solidFill>
            </a:ln>
          </c:spPr>
          <c:marker>
            <c:symbol val="none"/>
          </c:marker>
          <c:cat>
            <c:strRef>
              <c:f>Outputs_with_historical_data!$C$413:$U$413</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Outputs_with_historical_data!$C$414:$U$414</c:f>
              <c:numCache>
                <c:formatCode>#,##0</c:formatCode>
                <c:ptCount val="19"/>
                <c:pt idx="0">
                  <c:v>7477.0196836734895</c:v>
                </c:pt>
                <c:pt idx="1">
                  <c:v>7952.49</c:v>
                </c:pt>
                <c:pt idx="2">
                  <c:v>8215.0490000000009</c:v>
                </c:pt>
                <c:pt idx="3">
                  <c:v>8915.7649999999994</c:v>
                </c:pt>
                <c:pt idx="4">
                  <c:v>8755.4369999999999</c:v>
                </c:pt>
                <c:pt idx="5">
                  <c:v>9192.4950000000008</c:v>
                </c:pt>
              </c:numCache>
            </c:numRef>
          </c:val>
          <c:smooth val="0"/>
          <c:extLst>
            <c:ext xmlns:c16="http://schemas.microsoft.com/office/drawing/2014/chart" uri="{C3380CC4-5D6E-409C-BE32-E72D297353CC}">
              <c16:uniqueId val="{00000000-0081-4FF8-8449-6375AE457D49}"/>
            </c:ext>
          </c:extLst>
        </c:ser>
        <c:ser>
          <c:idx val="1"/>
          <c:order val="1"/>
          <c:tx>
            <c:strRef>
              <c:f>Outputs_with_historical_data!$B$415</c:f>
              <c:strCache>
                <c:ptCount val="1"/>
                <c:pt idx="0">
                  <c:v>Primary re-entrants - projected</c:v>
                </c:pt>
              </c:strCache>
            </c:strRef>
          </c:tx>
          <c:spPr>
            <a:ln>
              <a:solidFill>
                <a:schemeClr val="tx1">
                  <a:lumMod val="95000"/>
                  <a:lumOff val="5000"/>
                </a:schemeClr>
              </a:solidFill>
              <a:prstDash val="sysDot"/>
            </a:ln>
          </c:spPr>
          <c:marker>
            <c:symbol val="none"/>
          </c:marker>
          <c:cat>
            <c:strRef>
              <c:f>Outputs_with_historical_data!$C$413:$U$413</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Outputs_with_historical_data!$C$415:$U$415</c:f>
              <c:numCache>
                <c:formatCode>#,##0</c:formatCode>
                <c:ptCount val="19"/>
                <c:pt idx="9">
                  <c:v>8735.4660878889172</c:v>
                </c:pt>
                <c:pt idx="10">
                  <c:v>8627.9819501193724</c:v>
                </c:pt>
                <c:pt idx="11">
                  <c:v>8552.5231276575996</c:v>
                </c:pt>
                <c:pt idx="12">
                  <c:v>8462.5342472516313</c:v>
                </c:pt>
                <c:pt idx="13">
                  <c:v>8363.9031459724501</c:v>
                </c:pt>
                <c:pt idx="14">
                  <c:v>8549.6500964104416</c:v>
                </c:pt>
                <c:pt idx="15">
                  <c:v>8700.0449963102328</c:v>
                </c:pt>
                <c:pt idx="16">
                  <c:v>8737.2781949953496</c:v>
                </c:pt>
                <c:pt idx="17">
                  <c:v>8702.4582639650616</c:v>
                </c:pt>
                <c:pt idx="18">
                  <c:v>8659.8985892939236</c:v>
                </c:pt>
              </c:numCache>
            </c:numRef>
          </c:val>
          <c:smooth val="0"/>
          <c:extLst>
            <c:ext xmlns:c16="http://schemas.microsoft.com/office/drawing/2014/chart" uri="{C3380CC4-5D6E-409C-BE32-E72D297353CC}">
              <c16:uniqueId val="{00000001-0081-4FF8-8449-6375AE457D49}"/>
            </c:ext>
          </c:extLst>
        </c:ser>
        <c:ser>
          <c:idx val="2"/>
          <c:order val="2"/>
          <c:tx>
            <c:strRef>
              <c:f>Outputs_with_historical_data!$B$416</c:f>
              <c:strCache>
                <c:ptCount val="1"/>
                <c:pt idx="0">
                  <c:v>Secondary re-entrants - historical</c:v>
                </c:pt>
              </c:strCache>
            </c:strRef>
          </c:tx>
          <c:spPr>
            <a:ln>
              <a:solidFill>
                <a:srgbClr val="FF0000"/>
              </a:solidFill>
            </a:ln>
          </c:spPr>
          <c:marker>
            <c:symbol val="none"/>
          </c:marker>
          <c:cat>
            <c:strRef>
              <c:f>Outputs_with_historical_data!$C$413:$U$413</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Outputs_with_historical_data!$C$416:$U$416</c:f>
              <c:numCache>
                <c:formatCode>#,##0</c:formatCode>
                <c:ptCount val="19"/>
                <c:pt idx="0">
                  <c:v>5851.643530536141</c:v>
                </c:pt>
                <c:pt idx="1">
                  <c:v>6637.8329999999996</c:v>
                </c:pt>
                <c:pt idx="2">
                  <c:v>7050.9430000000002</c:v>
                </c:pt>
                <c:pt idx="3">
                  <c:v>7598.009</c:v>
                </c:pt>
                <c:pt idx="4">
                  <c:v>7261.6940000000004</c:v>
                </c:pt>
                <c:pt idx="5">
                  <c:v>7797.71</c:v>
                </c:pt>
              </c:numCache>
            </c:numRef>
          </c:val>
          <c:smooth val="0"/>
          <c:extLst>
            <c:ext xmlns:c16="http://schemas.microsoft.com/office/drawing/2014/chart" uri="{C3380CC4-5D6E-409C-BE32-E72D297353CC}">
              <c16:uniqueId val="{00000002-0081-4FF8-8449-6375AE457D49}"/>
            </c:ext>
          </c:extLst>
        </c:ser>
        <c:ser>
          <c:idx val="3"/>
          <c:order val="3"/>
          <c:tx>
            <c:strRef>
              <c:f>Outputs_with_historical_data!$B$417</c:f>
              <c:strCache>
                <c:ptCount val="1"/>
                <c:pt idx="0">
                  <c:v>Secondary re-entrants - projected</c:v>
                </c:pt>
              </c:strCache>
            </c:strRef>
          </c:tx>
          <c:spPr>
            <a:ln>
              <a:solidFill>
                <a:srgbClr val="FF0000"/>
              </a:solidFill>
              <a:prstDash val="sysDot"/>
            </a:ln>
          </c:spPr>
          <c:marker>
            <c:symbol val="none"/>
          </c:marker>
          <c:cat>
            <c:strRef>
              <c:f>Outputs_with_historical_data!$C$413:$U$413</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Outputs_with_historical_data!$C$417:$U$417</c:f>
              <c:numCache>
                <c:formatCode>#,##0</c:formatCode>
                <c:ptCount val="19"/>
                <c:pt idx="9">
                  <c:v>9133.4625495636774</c:v>
                </c:pt>
                <c:pt idx="10">
                  <c:v>8941.0787120923396</c:v>
                </c:pt>
                <c:pt idx="11">
                  <c:v>8957.9700007582087</c:v>
                </c:pt>
                <c:pt idx="12">
                  <c:v>8976.8290266302574</c:v>
                </c:pt>
                <c:pt idx="13">
                  <c:v>9203.5604956547868</c:v>
                </c:pt>
                <c:pt idx="14">
                  <c:v>9202.5361716364496</c:v>
                </c:pt>
                <c:pt idx="15">
                  <c:v>9000.4216973540424</c:v>
                </c:pt>
                <c:pt idx="16">
                  <c:v>8829.9070843954396</c:v>
                </c:pt>
                <c:pt idx="17">
                  <c:v>8755.1751932178013</c:v>
                </c:pt>
                <c:pt idx="18">
                  <c:v>8646.5962877854035</c:v>
                </c:pt>
              </c:numCache>
            </c:numRef>
          </c:val>
          <c:smooth val="0"/>
          <c:extLst>
            <c:ext xmlns:c16="http://schemas.microsoft.com/office/drawing/2014/chart" uri="{C3380CC4-5D6E-409C-BE32-E72D297353CC}">
              <c16:uniqueId val="{00000003-0081-4FF8-8449-6375AE457D49}"/>
            </c:ext>
          </c:extLst>
        </c:ser>
        <c:dLbls>
          <c:showLegendKey val="0"/>
          <c:showVal val="0"/>
          <c:showCatName val="0"/>
          <c:showSerName val="0"/>
          <c:showPercent val="0"/>
          <c:showBubbleSize val="0"/>
        </c:dLbls>
        <c:smooth val="0"/>
        <c:axId val="171398656"/>
        <c:axId val="171400192"/>
      </c:lineChart>
      <c:catAx>
        <c:axId val="1713986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00192"/>
        <c:crosses val="autoZero"/>
        <c:auto val="1"/>
        <c:lblAlgn val="ctr"/>
        <c:lblOffset val="100"/>
        <c:noMultiLvlLbl val="0"/>
      </c:catAx>
      <c:valAx>
        <c:axId val="1714001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98656"/>
        <c:crosses val="autoZero"/>
        <c:crossBetween val="between"/>
      </c:valAx>
      <c:spPr>
        <a:ln>
          <a:solidFill>
            <a:schemeClr val="tx1">
              <a:lumMod val="95000"/>
              <a:lumOff val="5000"/>
            </a:schemeClr>
          </a:solidFill>
        </a:ln>
      </c:spPr>
    </c:plotArea>
    <c:legend>
      <c:legendPos val="r"/>
      <c:layout>
        <c:manualLayout>
          <c:xMode val="edge"/>
          <c:yMode val="edge"/>
          <c:x val="0.78339175924927196"/>
          <c:y val="5.5882352941176473E-2"/>
          <c:w val="0.20119889979505989"/>
          <c:h val="0.797058823529411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 to the state-funded sector</a:t>
            </a:r>
          </a:p>
        </c:rich>
      </c:tx>
      <c:overlay val="0"/>
    </c:title>
    <c:autoTitleDeleted val="0"/>
    <c:plotArea>
      <c:layout>
        <c:manualLayout>
          <c:layoutTarget val="inner"/>
          <c:xMode val="edge"/>
          <c:yMode val="edge"/>
          <c:x val="0.13163120567375886"/>
          <c:y val="0.11073789071820568"/>
          <c:w val="0.6241349314836363"/>
          <c:h val="0.71589656406585545"/>
        </c:manualLayout>
      </c:layout>
      <c:lineChart>
        <c:grouping val="standard"/>
        <c:varyColors val="0"/>
        <c:ser>
          <c:idx val="0"/>
          <c:order val="0"/>
          <c:tx>
            <c:strRef>
              <c:f>Outputs_with_historical_data!$B$443</c:f>
              <c:strCache>
                <c:ptCount val="1"/>
                <c:pt idx="0">
                  <c:v>Primary new to SF - historical</c:v>
                </c:pt>
              </c:strCache>
            </c:strRef>
          </c:tx>
          <c:spPr>
            <a:ln>
              <a:solidFill>
                <a:schemeClr val="tx1">
                  <a:lumMod val="95000"/>
                  <a:lumOff val="5000"/>
                </a:schemeClr>
              </a:solidFill>
            </a:ln>
          </c:spPr>
          <c:marker>
            <c:symbol val="none"/>
          </c:marker>
          <c:cat>
            <c:strRef>
              <c:f>Outputs_with_historical_data!$C$442:$U$442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Outputs_with_historical_data!$C$443:$U$443</c:f>
              <c:numCache>
                <c:formatCode>#,##0</c:formatCode>
                <c:ptCount val="19"/>
                <c:pt idx="0">
                  <c:v>3814.4961775932238</c:v>
                </c:pt>
                <c:pt idx="1">
                  <c:v>4372.5929999999998</c:v>
                </c:pt>
                <c:pt idx="2">
                  <c:v>4181.63</c:v>
                </c:pt>
                <c:pt idx="3">
                  <c:v>4003.9</c:v>
                </c:pt>
                <c:pt idx="4">
                  <c:v>3360.92</c:v>
                </c:pt>
                <c:pt idx="5">
                  <c:v>3317.7269999999999</c:v>
                </c:pt>
              </c:numCache>
            </c:numRef>
          </c:val>
          <c:smooth val="0"/>
          <c:extLst>
            <c:ext xmlns:c16="http://schemas.microsoft.com/office/drawing/2014/chart" uri="{C3380CC4-5D6E-409C-BE32-E72D297353CC}">
              <c16:uniqueId val="{00000000-E21F-4B84-98A3-FB4A9867C868}"/>
            </c:ext>
          </c:extLst>
        </c:ser>
        <c:ser>
          <c:idx val="1"/>
          <c:order val="1"/>
          <c:tx>
            <c:strRef>
              <c:f>Outputs_with_historical_data!$B$444</c:f>
              <c:strCache>
                <c:ptCount val="1"/>
                <c:pt idx="0">
                  <c:v>Primary new to SF - projected</c:v>
                </c:pt>
              </c:strCache>
            </c:strRef>
          </c:tx>
          <c:spPr>
            <a:ln>
              <a:solidFill>
                <a:schemeClr val="tx1">
                  <a:lumMod val="95000"/>
                  <a:lumOff val="5000"/>
                </a:schemeClr>
              </a:solidFill>
              <a:prstDash val="sysDot"/>
            </a:ln>
          </c:spPr>
          <c:marker>
            <c:symbol val="none"/>
          </c:marker>
          <c:cat>
            <c:strRef>
              <c:f>Outputs_with_historical_data!$C$442:$U$442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Outputs_with_historical_data!$C$444:$U$444</c:f>
              <c:numCache>
                <c:formatCode>#,##0</c:formatCode>
                <c:ptCount val="19"/>
                <c:pt idx="9">
                  <c:v>3483.7240045380604</c:v>
                </c:pt>
                <c:pt idx="10">
                  <c:v>3440.859082725362</c:v>
                </c:pt>
                <c:pt idx="11">
                  <c:v>3410.7659304516997</c:v>
                </c:pt>
                <c:pt idx="12">
                  <c:v>3374.8781575890225</c:v>
                </c:pt>
                <c:pt idx="13">
                  <c:v>3335.54384712828</c:v>
                </c:pt>
                <c:pt idx="14">
                  <c:v>3409.6201589701541</c:v>
                </c:pt>
                <c:pt idx="15">
                  <c:v>3469.5979915974704</c:v>
                </c:pt>
                <c:pt idx="16">
                  <c:v>3484.4466770276508</c:v>
                </c:pt>
                <c:pt idx="17">
                  <c:v>3470.5604082989853</c:v>
                </c:pt>
                <c:pt idx="18">
                  <c:v>3453.5875119720527</c:v>
                </c:pt>
              </c:numCache>
            </c:numRef>
          </c:val>
          <c:smooth val="0"/>
          <c:extLst>
            <c:ext xmlns:c16="http://schemas.microsoft.com/office/drawing/2014/chart" uri="{C3380CC4-5D6E-409C-BE32-E72D297353CC}">
              <c16:uniqueId val="{00000001-E21F-4B84-98A3-FB4A9867C868}"/>
            </c:ext>
          </c:extLst>
        </c:ser>
        <c:ser>
          <c:idx val="2"/>
          <c:order val="2"/>
          <c:tx>
            <c:strRef>
              <c:f>Outputs_with_historical_data!$B$445</c:f>
              <c:strCache>
                <c:ptCount val="1"/>
                <c:pt idx="0">
                  <c:v>Secondary new to SF - historical</c:v>
                </c:pt>
              </c:strCache>
            </c:strRef>
          </c:tx>
          <c:spPr>
            <a:ln>
              <a:solidFill>
                <a:srgbClr val="FF0000"/>
              </a:solidFill>
            </a:ln>
          </c:spPr>
          <c:marker>
            <c:symbol val="none"/>
          </c:marker>
          <c:cat>
            <c:strRef>
              <c:f>Outputs_with_historical_data!$C$442:$U$442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Outputs_with_historical_data!$C$445:$U$445</c:f>
              <c:numCache>
                <c:formatCode>#,##0</c:formatCode>
                <c:ptCount val="19"/>
                <c:pt idx="0">
                  <c:v>2969.9848920521908</c:v>
                </c:pt>
                <c:pt idx="1">
                  <c:v>3541.2289999999998</c:v>
                </c:pt>
                <c:pt idx="2">
                  <c:v>3105.078</c:v>
                </c:pt>
                <c:pt idx="3">
                  <c:v>3004.37</c:v>
                </c:pt>
                <c:pt idx="4">
                  <c:v>2574.4479999999999</c:v>
                </c:pt>
                <c:pt idx="5">
                  <c:v>2427.8589999999999</c:v>
                </c:pt>
              </c:numCache>
            </c:numRef>
          </c:val>
          <c:smooth val="0"/>
          <c:extLst>
            <c:ext xmlns:c16="http://schemas.microsoft.com/office/drawing/2014/chart" uri="{C3380CC4-5D6E-409C-BE32-E72D297353CC}">
              <c16:uniqueId val="{00000002-E21F-4B84-98A3-FB4A9867C868}"/>
            </c:ext>
          </c:extLst>
        </c:ser>
        <c:ser>
          <c:idx val="3"/>
          <c:order val="3"/>
          <c:tx>
            <c:strRef>
              <c:f>Outputs_with_historical_data!$B$446</c:f>
              <c:strCache>
                <c:ptCount val="1"/>
                <c:pt idx="0">
                  <c:v>Secondary new to SF - projected</c:v>
                </c:pt>
              </c:strCache>
            </c:strRef>
          </c:tx>
          <c:spPr>
            <a:ln>
              <a:solidFill>
                <a:srgbClr val="FF0000"/>
              </a:solidFill>
              <a:prstDash val="sysDot"/>
            </a:ln>
          </c:spPr>
          <c:marker>
            <c:symbol val="none"/>
          </c:marker>
          <c:cat>
            <c:strRef>
              <c:f>Outputs_with_historical_data!$C$442:$U$442</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Outputs_with_historical_data!$C$446:$U$446</c:f>
              <c:numCache>
                <c:formatCode>#,##0</c:formatCode>
                <c:ptCount val="19"/>
                <c:pt idx="9">
                  <c:v>3196.3351148096399</c:v>
                </c:pt>
                <c:pt idx="10">
                  <c:v>3128.3739854867754</c:v>
                </c:pt>
                <c:pt idx="11">
                  <c:v>3134.3409683089253</c:v>
                </c:pt>
                <c:pt idx="12">
                  <c:v>3141.0030700376365</c:v>
                </c:pt>
                <c:pt idx="13">
                  <c:v>3221.0977749279841</c:v>
                </c:pt>
                <c:pt idx="14">
                  <c:v>3220.735924275692</c:v>
                </c:pt>
                <c:pt idx="15">
                  <c:v>3149.3373696711478</c:v>
                </c:pt>
                <c:pt idx="16">
                  <c:v>3089.1017188231676</c:v>
                </c:pt>
                <c:pt idx="17">
                  <c:v>3062.7020805395064</c:v>
                </c:pt>
                <c:pt idx="18">
                  <c:v>3024.3457137531072</c:v>
                </c:pt>
              </c:numCache>
            </c:numRef>
          </c:val>
          <c:smooth val="0"/>
          <c:extLst>
            <c:ext xmlns:c16="http://schemas.microsoft.com/office/drawing/2014/chart" uri="{C3380CC4-5D6E-409C-BE32-E72D297353CC}">
              <c16:uniqueId val="{00000003-E21F-4B84-98A3-FB4A9867C868}"/>
            </c:ext>
          </c:extLst>
        </c:ser>
        <c:dLbls>
          <c:showLegendKey val="0"/>
          <c:showVal val="0"/>
          <c:showCatName val="0"/>
          <c:showSerName val="0"/>
          <c:showPercent val="0"/>
          <c:showBubbleSize val="0"/>
        </c:dLbls>
        <c:smooth val="0"/>
        <c:axId val="171446272"/>
        <c:axId val="171447808"/>
      </c:lineChart>
      <c:catAx>
        <c:axId val="1714462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47808"/>
        <c:crosses val="autoZero"/>
        <c:auto val="1"/>
        <c:lblAlgn val="ctr"/>
        <c:lblOffset val="100"/>
        <c:noMultiLvlLbl val="0"/>
      </c:catAx>
      <c:valAx>
        <c:axId val="1714478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446272"/>
        <c:crosses val="autoZero"/>
        <c:crossBetween val="between"/>
      </c:valAx>
      <c:spPr>
        <a:ln>
          <a:solidFill>
            <a:schemeClr val="tx1">
              <a:lumMod val="95000"/>
              <a:lumOff val="5000"/>
            </a:schemeClr>
          </a:solidFill>
        </a:ln>
      </c:spPr>
    </c:plotArea>
    <c:legend>
      <c:legendPos val="r"/>
      <c:layout>
        <c:manualLayout>
          <c:xMode val="edge"/>
          <c:yMode val="edge"/>
          <c:x val="0.7700860982120824"/>
          <c:y val="0.10294117647058823"/>
          <c:w val="0.21453000426228774"/>
          <c:h val="0.7705882352941176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of teachers that enter service that do so as NQTs</a:t>
            </a:r>
          </a:p>
        </c:rich>
      </c:tx>
      <c:overlay val="0"/>
    </c:title>
    <c:autoTitleDeleted val="0"/>
    <c:plotArea>
      <c:layout>
        <c:manualLayout>
          <c:layoutTarget val="inner"/>
          <c:xMode val="edge"/>
          <c:yMode val="edge"/>
          <c:x val="0.11592026333031241"/>
          <c:y val="0.10333368962363867"/>
          <c:w val="0.62264091089333262"/>
          <c:h val="0.72330108906070001"/>
        </c:manualLayout>
      </c:layout>
      <c:lineChart>
        <c:grouping val="standard"/>
        <c:varyColors val="0"/>
        <c:ser>
          <c:idx val="0"/>
          <c:order val="0"/>
          <c:tx>
            <c:strRef>
              <c:f>Outputs_with_historical_data!$B$472</c:f>
              <c:strCache>
                <c:ptCount val="1"/>
                <c:pt idx="0">
                  <c:v>Primary NQT rate - historical</c:v>
                </c:pt>
              </c:strCache>
            </c:strRef>
          </c:tx>
          <c:spPr>
            <a:ln>
              <a:solidFill>
                <a:schemeClr val="tx1">
                  <a:lumMod val="95000"/>
                  <a:lumOff val="5000"/>
                </a:schemeClr>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Outputs_with_historical_data!$C$472:$U$472</c:f>
              <c:numCache>
                <c:formatCode>0%</c:formatCode>
                <c:ptCount val="19"/>
                <c:pt idx="0">
                  <c:v>0.44999004065117282</c:v>
                </c:pt>
                <c:pt idx="1">
                  <c:v>0.48622027033093984</c:v>
                </c:pt>
                <c:pt idx="2">
                  <c:v>0.50957493006504573</c:v>
                </c:pt>
                <c:pt idx="3">
                  <c:v>0.51426699127406139</c:v>
                </c:pt>
                <c:pt idx="4">
                  <c:v>0.54609619577557478</c:v>
                </c:pt>
                <c:pt idx="5">
                  <c:v>0.50759277677006431</c:v>
                </c:pt>
              </c:numCache>
            </c:numRef>
          </c:val>
          <c:smooth val="0"/>
          <c:extLst>
            <c:ext xmlns:c16="http://schemas.microsoft.com/office/drawing/2014/chart" uri="{C3380CC4-5D6E-409C-BE32-E72D297353CC}">
              <c16:uniqueId val="{00000000-3D6A-402E-A261-CE25C0B61BD6}"/>
            </c:ext>
          </c:extLst>
        </c:ser>
        <c:ser>
          <c:idx val="1"/>
          <c:order val="1"/>
          <c:tx>
            <c:strRef>
              <c:f>Outputs_with_historical_data!$B$473</c:f>
              <c:strCache>
                <c:ptCount val="1"/>
                <c:pt idx="0">
                  <c:v>Primary NQT rate - projected</c:v>
                </c:pt>
              </c:strCache>
            </c:strRef>
          </c:tx>
          <c:spPr>
            <a:ln>
              <a:solidFill>
                <a:schemeClr val="tx1">
                  <a:lumMod val="95000"/>
                  <a:lumOff val="5000"/>
                </a:schemeClr>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Outputs_with_historical_data!$C$473:$U$473</c:f>
              <c:numCache>
                <c:formatCode>0%</c:formatCode>
                <c:ptCount val="19"/>
                <c:pt idx="9">
                  <c:v>0.52067686070201502</c:v>
                </c:pt>
                <c:pt idx="10">
                  <c:v>0.52067686070201502</c:v>
                </c:pt>
                <c:pt idx="11">
                  <c:v>0.52067686070201502</c:v>
                </c:pt>
                <c:pt idx="12">
                  <c:v>0.52067686070201502</c:v>
                </c:pt>
                <c:pt idx="13">
                  <c:v>0.52067686070201502</c:v>
                </c:pt>
                <c:pt idx="14">
                  <c:v>0.52067686070201502</c:v>
                </c:pt>
                <c:pt idx="15">
                  <c:v>0.52067686070201502</c:v>
                </c:pt>
                <c:pt idx="16">
                  <c:v>0.52067686070201502</c:v>
                </c:pt>
                <c:pt idx="17">
                  <c:v>0.52067686070201502</c:v>
                </c:pt>
                <c:pt idx="18">
                  <c:v>0.52067686070201502</c:v>
                </c:pt>
              </c:numCache>
            </c:numRef>
          </c:val>
          <c:smooth val="0"/>
          <c:extLst>
            <c:ext xmlns:c16="http://schemas.microsoft.com/office/drawing/2014/chart" uri="{C3380CC4-5D6E-409C-BE32-E72D297353CC}">
              <c16:uniqueId val="{00000001-3D6A-402E-A261-CE25C0B61BD6}"/>
            </c:ext>
          </c:extLst>
        </c:ser>
        <c:ser>
          <c:idx val="2"/>
          <c:order val="2"/>
          <c:tx>
            <c:strRef>
              <c:f>Outputs_with_historical_data!$B$474</c:f>
              <c:strCache>
                <c:ptCount val="1"/>
                <c:pt idx="0">
                  <c:v>Secondary NQT rate - historical</c:v>
                </c:pt>
              </c:strCache>
            </c:strRef>
          </c:tx>
          <c:spPr>
            <a:ln>
              <a:solidFill>
                <a:srgbClr val="FF0000"/>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Outputs_with_historical_data!$C$474:$U$474</c:f>
              <c:numCache>
                <c:formatCode>0%</c:formatCode>
                <c:ptCount val="19"/>
                <c:pt idx="0">
                  <c:v>0.55670991409496973</c:v>
                </c:pt>
                <c:pt idx="1">
                  <c:v>0.5213365552514807</c:v>
                </c:pt>
                <c:pt idx="2">
                  <c:v>0.50839024033694258</c:v>
                </c:pt>
                <c:pt idx="3">
                  <c:v>0.49692486028562566</c:v>
                </c:pt>
                <c:pt idx="4">
                  <c:v>0.52081709346830418</c:v>
                </c:pt>
                <c:pt idx="5">
                  <c:v>0.51902431668329729</c:v>
                </c:pt>
              </c:numCache>
            </c:numRef>
          </c:val>
          <c:smooth val="0"/>
          <c:extLst>
            <c:ext xmlns:c16="http://schemas.microsoft.com/office/drawing/2014/chart" uri="{C3380CC4-5D6E-409C-BE32-E72D297353CC}">
              <c16:uniqueId val="{00000002-3D6A-402E-A261-CE25C0B61BD6}"/>
            </c:ext>
          </c:extLst>
        </c:ser>
        <c:ser>
          <c:idx val="3"/>
          <c:order val="3"/>
          <c:tx>
            <c:strRef>
              <c:f>Outputs_with_historical_data!$B$475</c:f>
              <c:strCache>
                <c:ptCount val="1"/>
                <c:pt idx="0">
                  <c:v>Secondary NQT rate - projected</c:v>
                </c:pt>
              </c:strCache>
            </c:strRef>
          </c:tx>
          <c:spPr>
            <a:ln>
              <a:solidFill>
                <a:srgbClr val="FF0000"/>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Outputs_with_historical_data!$C$475:$U$475</c:f>
              <c:numCache>
                <c:formatCode>0%</c:formatCode>
                <c:ptCount val="19"/>
                <c:pt idx="9">
                  <c:v>0.53231621486661318</c:v>
                </c:pt>
                <c:pt idx="10">
                  <c:v>0.53345859043314847</c:v>
                </c:pt>
                <c:pt idx="11">
                  <c:v>0.53753913952823373</c:v>
                </c:pt>
                <c:pt idx="12">
                  <c:v>0.54150483353670043</c:v>
                </c:pt>
                <c:pt idx="13">
                  <c:v>0.54343037455973575</c:v>
                </c:pt>
                <c:pt idx="14">
                  <c:v>0.53133024399590423</c:v>
                </c:pt>
                <c:pt idx="15">
                  <c:v>0.52717503971439827</c:v>
                </c:pt>
                <c:pt idx="16">
                  <c:v>0.52401889157228054</c:v>
                </c:pt>
                <c:pt idx="17">
                  <c:v>0.52495375636660624</c:v>
                </c:pt>
                <c:pt idx="18">
                  <c:v>0.52680007360117431</c:v>
                </c:pt>
              </c:numCache>
            </c:numRef>
          </c:val>
          <c:smooth val="0"/>
          <c:extLst>
            <c:ext xmlns:c16="http://schemas.microsoft.com/office/drawing/2014/chart" uri="{C3380CC4-5D6E-409C-BE32-E72D297353CC}">
              <c16:uniqueId val="{00000003-3D6A-402E-A261-CE25C0B61BD6}"/>
            </c:ext>
          </c:extLst>
        </c:ser>
        <c:dLbls>
          <c:showLegendKey val="0"/>
          <c:showVal val="0"/>
          <c:showCatName val="0"/>
          <c:showSerName val="0"/>
          <c:showPercent val="0"/>
          <c:showBubbleSize val="0"/>
        </c:dLbls>
        <c:smooth val="0"/>
        <c:axId val="171639936"/>
        <c:axId val="171641472"/>
      </c:lineChart>
      <c:catAx>
        <c:axId val="171639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641472"/>
        <c:crosses val="autoZero"/>
        <c:auto val="1"/>
        <c:lblAlgn val="ctr"/>
        <c:lblOffset val="100"/>
        <c:noMultiLvlLbl val="0"/>
      </c:catAx>
      <c:valAx>
        <c:axId val="1716414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Proportion of entrants that are NQTs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639936"/>
        <c:crosses val="autoZero"/>
        <c:crossBetween val="between"/>
      </c:valAx>
      <c:spPr>
        <a:ln>
          <a:solidFill>
            <a:schemeClr val="tx1">
              <a:lumMod val="95000"/>
              <a:lumOff val="5000"/>
            </a:schemeClr>
          </a:solidFill>
        </a:ln>
      </c:spPr>
    </c:plotArea>
    <c:legend>
      <c:legendPos val="r"/>
      <c:layout>
        <c:manualLayout>
          <c:xMode val="edge"/>
          <c:yMode val="edge"/>
          <c:x val="0.75385943823917378"/>
          <c:y val="6.1403508771929821E-2"/>
          <c:w val="0.22898808317913943"/>
          <c:h val="0.7500010744271001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0762516460186503"/>
          <c:y val="2.2922636103151862E-2"/>
        </c:manualLayout>
      </c:layout>
      <c:overlay val="0"/>
    </c:title>
    <c:autoTitleDeleted val="0"/>
    <c:plotArea>
      <c:layout>
        <c:manualLayout>
          <c:layoutTarget val="inner"/>
          <c:xMode val="edge"/>
          <c:yMode val="edge"/>
          <c:x val="0.13675280871903209"/>
          <c:y val="0.10376038083931305"/>
          <c:w val="0.56507346107232348"/>
          <c:h val="0.74182539821103288"/>
        </c:manualLayout>
      </c:layout>
      <c:lineChart>
        <c:grouping val="standard"/>
        <c:varyColors val="0"/>
        <c:ser>
          <c:idx val="0"/>
          <c:order val="0"/>
          <c:tx>
            <c:strRef>
              <c:f>Outputs_with_historical_data!$B$509</c:f>
              <c:strCache>
                <c:ptCount val="1"/>
                <c:pt idx="0">
                  <c:v>Primary aged 20-29 - historical</c:v>
                </c:pt>
              </c:strCache>
            </c:strRef>
          </c:tx>
          <c:spPr>
            <a:ln>
              <a:solidFill>
                <a:schemeClr val="tx1"/>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Outputs_with_historical_data!$C$509:$U$509</c:f>
              <c:numCache>
                <c:formatCode>#,##0</c:formatCode>
                <c:ptCount val="19"/>
                <c:pt idx="0">
                  <c:v>47409.606736543297</c:v>
                </c:pt>
                <c:pt idx="1">
                  <c:v>48174.248</c:v>
                </c:pt>
                <c:pt idx="2">
                  <c:v>51232.173999999999</c:v>
                </c:pt>
                <c:pt idx="3">
                  <c:v>54770.172000000006</c:v>
                </c:pt>
                <c:pt idx="4">
                  <c:v>57979.341</c:v>
                </c:pt>
                <c:pt idx="5">
                  <c:v>60539.201000000001</c:v>
                </c:pt>
                <c:pt idx="6">
                  <c:v>61020.88</c:v>
                </c:pt>
              </c:numCache>
            </c:numRef>
          </c:val>
          <c:smooth val="0"/>
          <c:extLst>
            <c:ext xmlns:c16="http://schemas.microsoft.com/office/drawing/2014/chart" uri="{C3380CC4-5D6E-409C-BE32-E72D297353CC}">
              <c16:uniqueId val="{00000000-FB8A-4F74-BD09-C5979D79082B}"/>
            </c:ext>
          </c:extLst>
        </c:ser>
        <c:ser>
          <c:idx val="1"/>
          <c:order val="1"/>
          <c:tx>
            <c:strRef>
              <c:f>Outputs_with_historical_data!$B$510</c:f>
              <c:strCache>
                <c:ptCount val="1"/>
                <c:pt idx="0">
                  <c:v>Primary aged 30-39 - historical</c:v>
                </c:pt>
              </c:strCache>
            </c:strRef>
          </c:tx>
          <c:spPr>
            <a:ln>
              <a:solidFill>
                <a:srgbClr val="FF000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Outputs_with_historical_data!$C$510:$U$510</c:f>
              <c:numCache>
                <c:formatCode>#,##0</c:formatCode>
                <c:ptCount val="19"/>
                <c:pt idx="0">
                  <c:v>66482.935842105537</c:v>
                </c:pt>
                <c:pt idx="1">
                  <c:v>68607.543999999994</c:v>
                </c:pt>
                <c:pt idx="2">
                  <c:v>70668.385999999999</c:v>
                </c:pt>
                <c:pt idx="3">
                  <c:v>71992.13</c:v>
                </c:pt>
                <c:pt idx="4">
                  <c:v>73585.013000000006</c:v>
                </c:pt>
                <c:pt idx="5">
                  <c:v>74646.114999999991</c:v>
                </c:pt>
                <c:pt idx="6">
                  <c:v>76080.14</c:v>
                </c:pt>
              </c:numCache>
            </c:numRef>
          </c:val>
          <c:smooth val="0"/>
          <c:extLst>
            <c:ext xmlns:c16="http://schemas.microsoft.com/office/drawing/2014/chart" uri="{C3380CC4-5D6E-409C-BE32-E72D297353CC}">
              <c16:uniqueId val="{00000001-FB8A-4F74-BD09-C5979D79082B}"/>
            </c:ext>
          </c:extLst>
        </c:ser>
        <c:ser>
          <c:idx val="2"/>
          <c:order val="2"/>
          <c:tx>
            <c:strRef>
              <c:f>Outputs_with_historical_data!$B$511</c:f>
              <c:strCache>
                <c:ptCount val="1"/>
                <c:pt idx="0">
                  <c:v>Primary aged 40-49 - historical</c:v>
                </c:pt>
              </c:strCache>
            </c:strRef>
          </c:tx>
          <c:spPr>
            <a:ln>
              <a:solidFill>
                <a:srgbClr val="00B0F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Outputs_with_historical_data!$C$511:$U$511</c:f>
              <c:numCache>
                <c:formatCode>#,##0</c:formatCode>
                <c:ptCount val="19"/>
                <c:pt idx="0">
                  <c:v>51259.979128336861</c:v>
                </c:pt>
                <c:pt idx="1">
                  <c:v>53644.612999999998</c:v>
                </c:pt>
                <c:pt idx="2">
                  <c:v>56223.648999999998</c:v>
                </c:pt>
                <c:pt idx="3">
                  <c:v>58451.664000000004</c:v>
                </c:pt>
                <c:pt idx="4">
                  <c:v>60356.185999999994</c:v>
                </c:pt>
                <c:pt idx="5">
                  <c:v>61156.366999999998</c:v>
                </c:pt>
                <c:pt idx="6">
                  <c:v>61745.76999999999</c:v>
                </c:pt>
              </c:numCache>
            </c:numRef>
          </c:val>
          <c:smooth val="0"/>
          <c:extLst>
            <c:ext xmlns:c16="http://schemas.microsoft.com/office/drawing/2014/chart" uri="{C3380CC4-5D6E-409C-BE32-E72D297353CC}">
              <c16:uniqueId val="{00000002-FB8A-4F74-BD09-C5979D79082B}"/>
            </c:ext>
          </c:extLst>
        </c:ser>
        <c:ser>
          <c:idx val="3"/>
          <c:order val="3"/>
          <c:tx>
            <c:strRef>
              <c:f>Outputs_with_historical_data!$B$512</c:f>
              <c:strCache>
                <c:ptCount val="1"/>
                <c:pt idx="0">
                  <c:v>Primary aged 50-59 - historical</c:v>
                </c:pt>
              </c:strCache>
            </c:strRef>
          </c:tx>
          <c:spPr>
            <a:ln>
              <a:solidFill>
                <a:srgbClr val="92D05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Outputs_with_historical_data!$C$512:$U$512</c:f>
              <c:numCache>
                <c:formatCode>#,##0</c:formatCode>
                <c:ptCount val="19"/>
                <c:pt idx="0">
                  <c:v>45676.552149158888</c:v>
                </c:pt>
                <c:pt idx="1">
                  <c:v>43154.445</c:v>
                </c:pt>
                <c:pt idx="2">
                  <c:v>40594.880999999994</c:v>
                </c:pt>
                <c:pt idx="3">
                  <c:v>38766.082999999999</c:v>
                </c:pt>
                <c:pt idx="4">
                  <c:v>37290.980000000003</c:v>
                </c:pt>
                <c:pt idx="5">
                  <c:v>36696.199999999997</c:v>
                </c:pt>
                <c:pt idx="6">
                  <c:v>36479.599999999999</c:v>
                </c:pt>
              </c:numCache>
            </c:numRef>
          </c:val>
          <c:smooth val="0"/>
          <c:extLst>
            <c:ext xmlns:c16="http://schemas.microsoft.com/office/drawing/2014/chart" uri="{C3380CC4-5D6E-409C-BE32-E72D297353CC}">
              <c16:uniqueId val="{00000003-FB8A-4F74-BD09-C5979D79082B}"/>
            </c:ext>
          </c:extLst>
        </c:ser>
        <c:ser>
          <c:idx val="4"/>
          <c:order val="4"/>
          <c:tx>
            <c:strRef>
              <c:f>Outputs_with_historical_data!$B$513</c:f>
              <c:strCache>
                <c:ptCount val="1"/>
                <c:pt idx="0">
                  <c:v>Primary aged 60 plus - historical</c:v>
                </c:pt>
              </c:strCache>
            </c:strRef>
          </c:tx>
          <c:spPr>
            <a:ln>
              <a:solidFill>
                <a:srgbClr val="FFC00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Outputs_with_historical_data!$C$513:$U$513</c:f>
              <c:numCache>
                <c:formatCode>#,##0</c:formatCode>
                <c:ptCount val="19"/>
                <c:pt idx="0">
                  <c:v>5973.9915807636144</c:v>
                </c:pt>
                <c:pt idx="1">
                  <c:v>6178.4169999999995</c:v>
                </c:pt>
                <c:pt idx="2">
                  <c:v>6523.7529999999997</c:v>
                </c:pt>
                <c:pt idx="3">
                  <c:v>6526.8609999999999</c:v>
                </c:pt>
                <c:pt idx="4">
                  <c:v>6457.9750000000004</c:v>
                </c:pt>
                <c:pt idx="5">
                  <c:v>6296.3860000000004</c:v>
                </c:pt>
                <c:pt idx="6">
                  <c:v>6181.3200000000006</c:v>
                </c:pt>
              </c:numCache>
            </c:numRef>
          </c:val>
          <c:smooth val="0"/>
          <c:extLst>
            <c:ext xmlns:c16="http://schemas.microsoft.com/office/drawing/2014/chart" uri="{C3380CC4-5D6E-409C-BE32-E72D297353CC}">
              <c16:uniqueId val="{00000004-FB8A-4F74-BD09-C5979D79082B}"/>
            </c:ext>
          </c:extLst>
        </c:ser>
        <c:ser>
          <c:idx val="5"/>
          <c:order val="5"/>
          <c:tx>
            <c:strRef>
              <c:f>Outputs_with_historical_data!$B$514</c:f>
              <c:strCache>
                <c:ptCount val="1"/>
                <c:pt idx="0">
                  <c:v>Primary aged 20-29 - projected</c:v>
                </c:pt>
              </c:strCache>
            </c:strRef>
          </c:tx>
          <c:spPr>
            <a:ln>
              <a:solidFill>
                <a:schemeClr val="tx1"/>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Outputs_with_historical_data!$C$514:$U$514</c:f>
              <c:numCache>
                <c:formatCode>#,##0</c:formatCode>
                <c:ptCount val="19"/>
                <c:pt idx="6">
                  <c:v>61020.88</c:v>
                </c:pt>
                <c:pt idx="7">
                  <c:v>62593.135168692956</c:v>
                </c:pt>
                <c:pt idx="8">
                  <c:v>63624.242611643633</c:v>
                </c:pt>
                <c:pt idx="9">
                  <c:v>64475.249302534634</c:v>
                </c:pt>
                <c:pt idx="10">
                  <c:v>65461.806145041381</c:v>
                </c:pt>
                <c:pt idx="11">
                  <c:v>66244.626401235</c:v>
                </c:pt>
                <c:pt idx="12">
                  <c:v>66786.980235278723</c:v>
                </c:pt>
                <c:pt idx="13">
                  <c:v>67089.480814474213</c:v>
                </c:pt>
                <c:pt idx="14">
                  <c:v>67660.031758863101</c:v>
                </c:pt>
                <c:pt idx="15">
                  <c:v>68384.314774140512</c:v>
                </c:pt>
                <c:pt idx="16">
                  <c:v>69037.061762169789</c:v>
                </c:pt>
                <c:pt idx="17">
                  <c:v>69503.78739075303</c:v>
                </c:pt>
                <c:pt idx="18">
                  <c:v>69801.976931660232</c:v>
                </c:pt>
              </c:numCache>
            </c:numRef>
          </c:val>
          <c:smooth val="0"/>
          <c:extLst>
            <c:ext xmlns:c16="http://schemas.microsoft.com/office/drawing/2014/chart" uri="{C3380CC4-5D6E-409C-BE32-E72D297353CC}">
              <c16:uniqueId val="{00000005-FB8A-4F74-BD09-C5979D79082B}"/>
            </c:ext>
          </c:extLst>
        </c:ser>
        <c:ser>
          <c:idx val="6"/>
          <c:order val="6"/>
          <c:tx>
            <c:strRef>
              <c:f>Outputs_with_historical_data!$B$515</c:f>
              <c:strCache>
                <c:ptCount val="1"/>
                <c:pt idx="0">
                  <c:v>Primary aged 30-39 - projected</c:v>
                </c:pt>
              </c:strCache>
            </c:strRef>
          </c:tx>
          <c:spPr>
            <a:ln>
              <a:solidFill>
                <a:srgbClr val="FF000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Outputs_with_historical_data!$C$515:$U$515</c:f>
              <c:numCache>
                <c:formatCode>#,##0</c:formatCode>
                <c:ptCount val="19"/>
                <c:pt idx="6">
                  <c:v>76080.14</c:v>
                </c:pt>
                <c:pt idx="7">
                  <c:v>76842.773209770559</c:v>
                </c:pt>
                <c:pt idx="8">
                  <c:v>76801.591504220938</c:v>
                </c:pt>
                <c:pt idx="9">
                  <c:v>76309.557319366533</c:v>
                </c:pt>
                <c:pt idx="10">
                  <c:v>75747.733861158311</c:v>
                </c:pt>
                <c:pt idx="11">
                  <c:v>75175.309289437078</c:v>
                </c:pt>
                <c:pt idx="12">
                  <c:v>74634.773065551155</c:v>
                </c:pt>
                <c:pt idx="13">
                  <c:v>74137.936693071781</c:v>
                </c:pt>
                <c:pt idx="14">
                  <c:v>73858.804643468437</c:v>
                </c:pt>
                <c:pt idx="15">
                  <c:v>73771.676933407172</c:v>
                </c:pt>
                <c:pt idx="16">
                  <c:v>73796.490007193759</c:v>
                </c:pt>
                <c:pt idx="17">
                  <c:v>73871.725703080156</c:v>
                </c:pt>
                <c:pt idx="18">
                  <c:v>73972.250594376746</c:v>
                </c:pt>
              </c:numCache>
            </c:numRef>
          </c:val>
          <c:smooth val="0"/>
          <c:extLst>
            <c:ext xmlns:c16="http://schemas.microsoft.com/office/drawing/2014/chart" uri="{C3380CC4-5D6E-409C-BE32-E72D297353CC}">
              <c16:uniqueId val="{00000006-FB8A-4F74-BD09-C5979D79082B}"/>
            </c:ext>
          </c:extLst>
        </c:ser>
        <c:ser>
          <c:idx val="7"/>
          <c:order val="7"/>
          <c:tx>
            <c:strRef>
              <c:f>Outputs_with_historical_data!$B$516</c:f>
              <c:strCache>
                <c:ptCount val="1"/>
                <c:pt idx="0">
                  <c:v>Primary aged 40-49 - projected</c:v>
                </c:pt>
              </c:strCache>
            </c:strRef>
          </c:tx>
          <c:spPr>
            <a:ln>
              <a:solidFill>
                <a:srgbClr val="00B0F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Outputs_with_historical_data!$C$516:$U$516</c:f>
              <c:numCache>
                <c:formatCode>#,##0</c:formatCode>
                <c:ptCount val="19"/>
                <c:pt idx="6">
                  <c:v>61745.76999999999</c:v>
                </c:pt>
                <c:pt idx="7">
                  <c:v>62644.752289012868</c:v>
                </c:pt>
                <c:pt idx="8">
                  <c:v>63241.619622681857</c:v>
                </c:pt>
                <c:pt idx="9">
                  <c:v>63617.148012075399</c:v>
                </c:pt>
                <c:pt idx="10">
                  <c:v>63926.755054142399</c:v>
                </c:pt>
                <c:pt idx="11">
                  <c:v>64125.627863160807</c:v>
                </c:pt>
                <c:pt idx="12">
                  <c:v>64207.846695805318</c:v>
                </c:pt>
                <c:pt idx="13">
                  <c:v>64177.511558647078</c:v>
                </c:pt>
                <c:pt idx="14">
                  <c:v>64180.841206613273</c:v>
                </c:pt>
                <c:pt idx="15">
                  <c:v>64210.535524947663</c:v>
                </c:pt>
                <c:pt idx="16">
                  <c:v>64223.906182543156</c:v>
                </c:pt>
                <c:pt idx="17">
                  <c:v>64199.326801681731</c:v>
                </c:pt>
                <c:pt idx="18">
                  <c:v>64145.432940055027</c:v>
                </c:pt>
              </c:numCache>
            </c:numRef>
          </c:val>
          <c:smooth val="0"/>
          <c:extLst>
            <c:ext xmlns:c16="http://schemas.microsoft.com/office/drawing/2014/chart" uri="{C3380CC4-5D6E-409C-BE32-E72D297353CC}">
              <c16:uniqueId val="{00000007-FB8A-4F74-BD09-C5979D79082B}"/>
            </c:ext>
          </c:extLst>
        </c:ser>
        <c:ser>
          <c:idx val="8"/>
          <c:order val="8"/>
          <c:tx>
            <c:strRef>
              <c:f>Outputs_with_historical_data!$B$517</c:f>
              <c:strCache>
                <c:ptCount val="1"/>
                <c:pt idx="0">
                  <c:v>Primary aged 50-59 - projected</c:v>
                </c:pt>
              </c:strCache>
            </c:strRef>
          </c:tx>
          <c:spPr>
            <a:ln>
              <a:solidFill>
                <a:srgbClr val="92D05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Outputs_with_historical_data!$C$517:$U$517</c:f>
              <c:numCache>
                <c:formatCode>#,##0</c:formatCode>
                <c:ptCount val="19"/>
                <c:pt idx="6">
                  <c:v>36479.599999999999</c:v>
                </c:pt>
                <c:pt idx="7">
                  <c:v>35311.624664004761</c:v>
                </c:pt>
                <c:pt idx="8">
                  <c:v>34524.630121374714</c:v>
                </c:pt>
                <c:pt idx="9">
                  <c:v>33987.968405783933</c:v>
                </c:pt>
                <c:pt idx="10">
                  <c:v>33668.847780057906</c:v>
                </c:pt>
                <c:pt idx="11">
                  <c:v>33483.242505379407</c:v>
                </c:pt>
                <c:pt idx="12">
                  <c:v>33377.379190266613</c:v>
                </c:pt>
                <c:pt idx="13">
                  <c:v>33313.871627320557</c:v>
                </c:pt>
                <c:pt idx="14">
                  <c:v>33325.732224662614</c:v>
                </c:pt>
                <c:pt idx="15">
                  <c:v>33385.594339019197</c:v>
                </c:pt>
                <c:pt idx="16">
                  <c:v>33457.065187322747</c:v>
                </c:pt>
                <c:pt idx="17">
                  <c:v>33517.843843117866</c:v>
                </c:pt>
                <c:pt idx="18">
                  <c:v>33562.506674916229</c:v>
                </c:pt>
              </c:numCache>
            </c:numRef>
          </c:val>
          <c:smooth val="0"/>
          <c:extLst>
            <c:ext xmlns:c16="http://schemas.microsoft.com/office/drawing/2014/chart" uri="{C3380CC4-5D6E-409C-BE32-E72D297353CC}">
              <c16:uniqueId val="{00000008-FB8A-4F74-BD09-C5979D79082B}"/>
            </c:ext>
          </c:extLst>
        </c:ser>
        <c:ser>
          <c:idx val="9"/>
          <c:order val="9"/>
          <c:tx>
            <c:strRef>
              <c:f>Outputs_with_historical_data!$B$518</c:f>
              <c:strCache>
                <c:ptCount val="1"/>
                <c:pt idx="0">
                  <c:v>Primary aged 60 plus - projected</c:v>
                </c:pt>
              </c:strCache>
            </c:strRef>
          </c:tx>
          <c:spPr>
            <a:ln>
              <a:solidFill>
                <a:srgbClr val="FFC00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Outputs_with_historical_data!$C$518:$U$518</c:f>
              <c:numCache>
                <c:formatCode>#,##0</c:formatCode>
                <c:ptCount val="19"/>
                <c:pt idx="6">
                  <c:v>6181.3200000000006</c:v>
                </c:pt>
                <c:pt idx="7">
                  <c:v>6213.0357163598492</c:v>
                </c:pt>
                <c:pt idx="8">
                  <c:v>6077.6703952587322</c:v>
                </c:pt>
                <c:pt idx="9">
                  <c:v>5884.8988868020188</c:v>
                </c:pt>
                <c:pt idx="10">
                  <c:v>5699.3848018264262</c:v>
                </c:pt>
                <c:pt idx="11">
                  <c:v>5536.8139737276133</c:v>
                </c:pt>
                <c:pt idx="12">
                  <c:v>5402.4123995094378</c:v>
                </c:pt>
                <c:pt idx="13">
                  <c:v>5294.8811285454294</c:v>
                </c:pt>
                <c:pt idx="14">
                  <c:v>5223.9637843290957</c:v>
                </c:pt>
                <c:pt idx="15">
                  <c:v>5181.2382370232335</c:v>
                </c:pt>
                <c:pt idx="16">
                  <c:v>5155.3384932348818</c:v>
                </c:pt>
                <c:pt idx="17">
                  <c:v>5138.5570965492179</c:v>
                </c:pt>
                <c:pt idx="18">
                  <c:v>5127.5842627747006</c:v>
                </c:pt>
              </c:numCache>
            </c:numRef>
          </c:val>
          <c:smooth val="0"/>
          <c:extLst>
            <c:ext xmlns:c16="http://schemas.microsoft.com/office/drawing/2014/chart" uri="{C3380CC4-5D6E-409C-BE32-E72D297353CC}">
              <c16:uniqueId val="{00000009-FB8A-4F74-BD09-C5979D79082B}"/>
            </c:ext>
          </c:extLst>
        </c:ser>
        <c:dLbls>
          <c:showLegendKey val="0"/>
          <c:showVal val="0"/>
          <c:showCatName val="0"/>
          <c:showSerName val="0"/>
          <c:showPercent val="0"/>
          <c:showBubbleSize val="0"/>
        </c:dLbls>
        <c:smooth val="0"/>
        <c:axId val="171718912"/>
        <c:axId val="171737088"/>
      </c:lineChart>
      <c:catAx>
        <c:axId val="17171891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737088"/>
        <c:crosses val="autoZero"/>
        <c:auto val="1"/>
        <c:lblAlgn val="ctr"/>
        <c:lblOffset val="100"/>
        <c:noMultiLvlLbl val="0"/>
      </c:catAx>
      <c:valAx>
        <c:axId val="17173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718912"/>
        <c:crosses val="autoZero"/>
        <c:crossBetween val="between"/>
      </c:valAx>
      <c:spPr>
        <a:ln>
          <a:solidFill>
            <a:schemeClr val="tx1">
              <a:lumMod val="95000"/>
              <a:lumOff val="5000"/>
            </a:schemeClr>
          </a:solidFill>
        </a:ln>
      </c:spPr>
    </c:plotArea>
    <c:legend>
      <c:legendPos val="r"/>
      <c:layout>
        <c:manualLayout>
          <c:xMode val="edge"/>
          <c:yMode val="edge"/>
          <c:x val="0.70932878270762223"/>
          <c:y val="7.3066052989794614E-2"/>
          <c:w val="0.27986348122866894"/>
          <c:h val="0.8538681948424068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867276846804406"/>
          <c:y val="2.2922636103151862E-2"/>
        </c:manualLayout>
      </c:layout>
      <c:overlay val="0"/>
    </c:title>
    <c:autoTitleDeleted val="0"/>
    <c:plotArea>
      <c:layout>
        <c:manualLayout>
          <c:layoutTarget val="inner"/>
          <c:xMode val="edge"/>
          <c:yMode val="edge"/>
          <c:x val="0.13675280871903209"/>
          <c:y val="0.10372210315426549"/>
          <c:w val="0.54672756225593755"/>
          <c:h val="0.74186361412663648"/>
        </c:manualLayout>
      </c:layout>
      <c:lineChart>
        <c:grouping val="standard"/>
        <c:varyColors val="0"/>
        <c:ser>
          <c:idx val="10"/>
          <c:order val="0"/>
          <c:tx>
            <c:strRef>
              <c:f>Outputs_with_historical_data!$B$519</c:f>
              <c:strCache>
                <c:ptCount val="1"/>
                <c:pt idx="0">
                  <c:v>Secondary aged 20-29 - historical</c:v>
                </c:pt>
              </c:strCache>
            </c:strRef>
          </c:tx>
          <c:spPr>
            <a:ln>
              <a:solidFill>
                <a:schemeClr val="tx1"/>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Outputs_with_historical_data!$C$519:$U$519</c:f>
              <c:numCache>
                <c:formatCode>#,##0</c:formatCode>
                <c:ptCount val="19"/>
                <c:pt idx="0">
                  <c:v>48223.053502070397</c:v>
                </c:pt>
                <c:pt idx="1">
                  <c:v>48675.355000000003</c:v>
                </c:pt>
                <c:pt idx="2">
                  <c:v>46994.233999999997</c:v>
                </c:pt>
                <c:pt idx="3">
                  <c:v>45899.119999999995</c:v>
                </c:pt>
                <c:pt idx="4">
                  <c:v>45133.057000000001</c:v>
                </c:pt>
                <c:pt idx="5">
                  <c:v>43760.148000000001</c:v>
                </c:pt>
                <c:pt idx="6">
                  <c:v>43266.851269166087</c:v>
                </c:pt>
              </c:numCache>
            </c:numRef>
          </c:val>
          <c:smooth val="0"/>
          <c:extLst>
            <c:ext xmlns:c16="http://schemas.microsoft.com/office/drawing/2014/chart" uri="{C3380CC4-5D6E-409C-BE32-E72D297353CC}">
              <c16:uniqueId val="{00000000-A907-4F52-B390-B8CF825C8D86}"/>
            </c:ext>
          </c:extLst>
        </c:ser>
        <c:ser>
          <c:idx val="11"/>
          <c:order val="1"/>
          <c:tx>
            <c:strRef>
              <c:f>Outputs_with_historical_data!$B$520</c:f>
              <c:strCache>
                <c:ptCount val="1"/>
                <c:pt idx="0">
                  <c:v>Secondary aged 30-39 - historical</c:v>
                </c:pt>
              </c:strCache>
            </c:strRef>
          </c:tx>
          <c:spPr>
            <a:ln>
              <a:solidFill>
                <a:srgbClr val="FF000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Outputs_with_historical_data!$C$520:$U$520</c:f>
              <c:numCache>
                <c:formatCode>#,##0</c:formatCode>
                <c:ptCount val="19"/>
                <c:pt idx="0">
                  <c:v>70746.670872497823</c:v>
                </c:pt>
                <c:pt idx="1">
                  <c:v>71910.765000000014</c:v>
                </c:pt>
                <c:pt idx="2">
                  <c:v>73681.04800000001</c:v>
                </c:pt>
                <c:pt idx="3">
                  <c:v>74429.118000000002</c:v>
                </c:pt>
                <c:pt idx="4">
                  <c:v>74909.958000000013</c:v>
                </c:pt>
                <c:pt idx="5">
                  <c:v>74720.228000000003</c:v>
                </c:pt>
                <c:pt idx="6">
                  <c:v>72882.169729511137</c:v>
                </c:pt>
              </c:numCache>
            </c:numRef>
          </c:val>
          <c:smooth val="0"/>
          <c:extLst>
            <c:ext xmlns:c16="http://schemas.microsoft.com/office/drawing/2014/chart" uri="{C3380CC4-5D6E-409C-BE32-E72D297353CC}">
              <c16:uniqueId val="{00000001-A907-4F52-B390-B8CF825C8D86}"/>
            </c:ext>
          </c:extLst>
        </c:ser>
        <c:ser>
          <c:idx val="12"/>
          <c:order val="2"/>
          <c:tx>
            <c:strRef>
              <c:f>Outputs_with_historical_data!$B$521</c:f>
              <c:strCache>
                <c:ptCount val="1"/>
                <c:pt idx="0">
                  <c:v>Secondary aged 40-49 - historical</c:v>
                </c:pt>
              </c:strCache>
            </c:strRef>
          </c:tx>
          <c:spPr>
            <a:ln>
              <a:solidFill>
                <a:srgbClr val="00B0F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Outputs_with_historical_data!$C$521:$U$521</c:f>
              <c:numCache>
                <c:formatCode>#,##0</c:formatCode>
                <c:ptCount val="19"/>
                <c:pt idx="0">
                  <c:v>49557.739923707719</c:v>
                </c:pt>
                <c:pt idx="1">
                  <c:v>51414.662000000004</c:v>
                </c:pt>
                <c:pt idx="2">
                  <c:v>51808.369000000006</c:v>
                </c:pt>
                <c:pt idx="3">
                  <c:v>52805.289000000004</c:v>
                </c:pt>
                <c:pt idx="4">
                  <c:v>53491.175000000003</c:v>
                </c:pt>
                <c:pt idx="5">
                  <c:v>53737.138999999996</c:v>
                </c:pt>
                <c:pt idx="6">
                  <c:v>55616.744338865014</c:v>
                </c:pt>
              </c:numCache>
            </c:numRef>
          </c:val>
          <c:smooth val="0"/>
          <c:extLst>
            <c:ext xmlns:c16="http://schemas.microsoft.com/office/drawing/2014/chart" uri="{C3380CC4-5D6E-409C-BE32-E72D297353CC}">
              <c16:uniqueId val="{00000002-A907-4F52-B390-B8CF825C8D86}"/>
            </c:ext>
          </c:extLst>
        </c:ser>
        <c:ser>
          <c:idx val="13"/>
          <c:order val="3"/>
          <c:tx>
            <c:strRef>
              <c:f>Outputs_with_historical_data!$B$522</c:f>
              <c:strCache>
                <c:ptCount val="1"/>
                <c:pt idx="0">
                  <c:v>Secondary aged 50-59 - historical</c:v>
                </c:pt>
              </c:strCache>
            </c:strRef>
          </c:tx>
          <c:spPr>
            <a:ln>
              <a:solidFill>
                <a:srgbClr val="92D05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Outputs_with_historical_data!$C$522:$U$522</c:f>
              <c:numCache>
                <c:formatCode>#,##0</c:formatCode>
                <c:ptCount val="19"/>
                <c:pt idx="0">
                  <c:v>47135.9921469494</c:v>
                </c:pt>
                <c:pt idx="1">
                  <c:v>41941.245999999999</c:v>
                </c:pt>
                <c:pt idx="2">
                  <c:v>40994.202000000005</c:v>
                </c:pt>
                <c:pt idx="3">
                  <c:v>38404.726999999999</c:v>
                </c:pt>
                <c:pt idx="4">
                  <c:v>36166.059000000001</c:v>
                </c:pt>
                <c:pt idx="5">
                  <c:v>34195.427000000003</c:v>
                </c:pt>
                <c:pt idx="6">
                  <c:v>32561.860120210669</c:v>
                </c:pt>
              </c:numCache>
            </c:numRef>
          </c:val>
          <c:smooth val="0"/>
          <c:extLst>
            <c:ext xmlns:c16="http://schemas.microsoft.com/office/drawing/2014/chart" uri="{C3380CC4-5D6E-409C-BE32-E72D297353CC}">
              <c16:uniqueId val="{00000003-A907-4F52-B390-B8CF825C8D86}"/>
            </c:ext>
          </c:extLst>
        </c:ser>
        <c:ser>
          <c:idx val="14"/>
          <c:order val="4"/>
          <c:tx>
            <c:strRef>
              <c:f>Outputs_with_historical_data!$B$523</c:f>
              <c:strCache>
                <c:ptCount val="1"/>
                <c:pt idx="0">
                  <c:v>Secondary aged 60 plus - historical</c:v>
                </c:pt>
              </c:strCache>
            </c:strRef>
          </c:tx>
          <c:spPr>
            <a:ln>
              <a:solidFill>
                <a:srgbClr val="FFC000"/>
              </a:solidFill>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Outputs_with_historical_data!$C$523:$U$523</c:f>
              <c:numCache>
                <c:formatCode>#,##0</c:formatCode>
                <c:ptCount val="19"/>
                <c:pt idx="0">
                  <c:v>6237.2040511763826</c:v>
                </c:pt>
                <c:pt idx="1">
                  <c:v>5241.5729999999994</c:v>
                </c:pt>
                <c:pt idx="2">
                  <c:v>6225.74</c:v>
                </c:pt>
                <c:pt idx="3">
                  <c:v>6147.8029999999999</c:v>
                </c:pt>
                <c:pt idx="4">
                  <c:v>5929.7719999999999</c:v>
                </c:pt>
                <c:pt idx="5">
                  <c:v>5600.8040000000001</c:v>
                </c:pt>
                <c:pt idx="6">
                  <c:v>4576.3955460135903</c:v>
                </c:pt>
              </c:numCache>
            </c:numRef>
          </c:val>
          <c:smooth val="0"/>
          <c:extLst>
            <c:ext xmlns:c16="http://schemas.microsoft.com/office/drawing/2014/chart" uri="{C3380CC4-5D6E-409C-BE32-E72D297353CC}">
              <c16:uniqueId val="{00000004-A907-4F52-B390-B8CF825C8D86}"/>
            </c:ext>
          </c:extLst>
        </c:ser>
        <c:ser>
          <c:idx val="15"/>
          <c:order val="5"/>
          <c:tx>
            <c:strRef>
              <c:f>Outputs_with_historical_data!$B$524</c:f>
              <c:strCache>
                <c:ptCount val="1"/>
                <c:pt idx="0">
                  <c:v>Secondary aged 20-29 - projected</c:v>
                </c:pt>
              </c:strCache>
            </c:strRef>
          </c:tx>
          <c:spPr>
            <a:ln>
              <a:solidFill>
                <a:schemeClr val="tx1"/>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Outputs_with_historical_data!$C$524:$U$524</c:f>
              <c:numCache>
                <c:formatCode>#,##0</c:formatCode>
                <c:ptCount val="19"/>
                <c:pt idx="6">
                  <c:v>43266.851269166087</c:v>
                </c:pt>
                <c:pt idx="7">
                  <c:v>45642.000286182694</c:v>
                </c:pt>
                <c:pt idx="8">
                  <c:v>48071.620127153255</c:v>
                </c:pt>
                <c:pt idx="9">
                  <c:v>50521.441177457673</c:v>
                </c:pt>
                <c:pt idx="10">
                  <c:v>52488.885742683255</c:v>
                </c:pt>
                <c:pt idx="11">
                  <c:v>54240.014181605773</c:v>
                </c:pt>
                <c:pt idx="12">
                  <c:v>55786.36673672578</c:v>
                </c:pt>
                <c:pt idx="13">
                  <c:v>57414.675743106643</c:v>
                </c:pt>
                <c:pt idx="14">
                  <c:v>58313.579215177961</c:v>
                </c:pt>
                <c:pt idx="15">
                  <c:v>58577.836090188372</c:v>
                </c:pt>
                <c:pt idx="16">
                  <c:v>58423.692072302205</c:v>
                </c:pt>
                <c:pt idx="17">
                  <c:v>58204.063462380531</c:v>
                </c:pt>
                <c:pt idx="18">
                  <c:v>57914.92333921641</c:v>
                </c:pt>
              </c:numCache>
            </c:numRef>
          </c:val>
          <c:smooth val="0"/>
          <c:extLst>
            <c:ext xmlns:c16="http://schemas.microsoft.com/office/drawing/2014/chart" uri="{C3380CC4-5D6E-409C-BE32-E72D297353CC}">
              <c16:uniqueId val="{00000005-A907-4F52-B390-B8CF825C8D86}"/>
            </c:ext>
          </c:extLst>
        </c:ser>
        <c:ser>
          <c:idx val="16"/>
          <c:order val="6"/>
          <c:tx>
            <c:strRef>
              <c:f>Outputs_with_historical_data!$B$525</c:f>
              <c:strCache>
                <c:ptCount val="1"/>
                <c:pt idx="0">
                  <c:v>Secondary aged 30-39 - projected</c:v>
                </c:pt>
              </c:strCache>
            </c:strRef>
          </c:tx>
          <c:spPr>
            <a:ln>
              <a:solidFill>
                <a:srgbClr val="FF000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Outputs_with_historical_data!$C$525:$U$525</c:f>
              <c:numCache>
                <c:formatCode>#,##0</c:formatCode>
                <c:ptCount val="19"/>
                <c:pt idx="6">
                  <c:v>72882.169729511137</c:v>
                </c:pt>
                <c:pt idx="7">
                  <c:v>72168.677504657593</c:v>
                </c:pt>
                <c:pt idx="8">
                  <c:v>71436.211352155762</c:v>
                </c:pt>
                <c:pt idx="9">
                  <c:v>70814.912829037392</c:v>
                </c:pt>
                <c:pt idx="10">
                  <c:v>70328.511624133855</c:v>
                </c:pt>
                <c:pt idx="11">
                  <c:v>70109.114313693688</c:v>
                </c:pt>
                <c:pt idx="12">
                  <c:v>70146.606827379379</c:v>
                </c:pt>
                <c:pt idx="13">
                  <c:v>70525.008580834343</c:v>
                </c:pt>
                <c:pt idx="14">
                  <c:v>70866.817286988313</c:v>
                </c:pt>
                <c:pt idx="15">
                  <c:v>71095.845505230711</c:v>
                </c:pt>
                <c:pt idx="16">
                  <c:v>71202.760459027864</c:v>
                </c:pt>
                <c:pt idx="17">
                  <c:v>71270.540605126444</c:v>
                </c:pt>
                <c:pt idx="18">
                  <c:v>71275.340728484269</c:v>
                </c:pt>
              </c:numCache>
            </c:numRef>
          </c:val>
          <c:smooth val="0"/>
          <c:extLst>
            <c:ext xmlns:c16="http://schemas.microsoft.com/office/drawing/2014/chart" uri="{C3380CC4-5D6E-409C-BE32-E72D297353CC}">
              <c16:uniqueId val="{00000006-A907-4F52-B390-B8CF825C8D86}"/>
            </c:ext>
          </c:extLst>
        </c:ser>
        <c:ser>
          <c:idx val="17"/>
          <c:order val="7"/>
          <c:tx>
            <c:strRef>
              <c:f>Outputs_with_historical_data!$B$526</c:f>
              <c:strCache>
                <c:ptCount val="1"/>
                <c:pt idx="0">
                  <c:v>Secondary aged 40-49 - projected</c:v>
                </c:pt>
              </c:strCache>
            </c:strRef>
          </c:tx>
          <c:spPr>
            <a:ln>
              <a:solidFill>
                <a:srgbClr val="00B0F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Outputs_with_historical_data!$C$526:$U$526</c:f>
              <c:numCache>
                <c:formatCode>#,##0</c:formatCode>
                <c:ptCount val="19"/>
                <c:pt idx="6">
                  <c:v>55616.744338865014</c:v>
                </c:pt>
                <c:pt idx="7">
                  <c:v>56621.932510053601</c:v>
                </c:pt>
                <c:pt idx="8">
                  <c:v>57537.108464362609</c:v>
                </c:pt>
                <c:pt idx="9">
                  <c:v>58267.485503226788</c:v>
                </c:pt>
                <c:pt idx="10">
                  <c:v>58793.797026856009</c:v>
                </c:pt>
                <c:pt idx="11">
                  <c:v>59206.274688305159</c:v>
                </c:pt>
                <c:pt idx="12">
                  <c:v>59531.941847805807</c:v>
                </c:pt>
                <c:pt idx="13">
                  <c:v>59876.994025297769</c:v>
                </c:pt>
                <c:pt idx="14">
                  <c:v>60038.366720858452</c:v>
                </c:pt>
                <c:pt idx="15">
                  <c:v>60033.283546960432</c:v>
                </c:pt>
                <c:pt idx="16">
                  <c:v>59914.085309111688</c:v>
                </c:pt>
                <c:pt idx="17">
                  <c:v>59776.319154551813</c:v>
                </c:pt>
                <c:pt idx="18">
                  <c:v>59622.313919946202</c:v>
                </c:pt>
              </c:numCache>
            </c:numRef>
          </c:val>
          <c:smooth val="0"/>
          <c:extLst>
            <c:ext xmlns:c16="http://schemas.microsoft.com/office/drawing/2014/chart" uri="{C3380CC4-5D6E-409C-BE32-E72D297353CC}">
              <c16:uniqueId val="{00000007-A907-4F52-B390-B8CF825C8D86}"/>
            </c:ext>
          </c:extLst>
        </c:ser>
        <c:ser>
          <c:idx val="18"/>
          <c:order val="8"/>
          <c:tx>
            <c:strRef>
              <c:f>Outputs_with_historical_data!$B$527</c:f>
              <c:strCache>
                <c:ptCount val="1"/>
                <c:pt idx="0">
                  <c:v>Secondary aged 50-59 - projected</c:v>
                </c:pt>
              </c:strCache>
            </c:strRef>
          </c:tx>
          <c:spPr>
            <a:ln>
              <a:solidFill>
                <a:srgbClr val="92D05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Outputs_with_historical_data!$C$527:$U$527</c:f>
              <c:numCache>
                <c:formatCode>#,##0</c:formatCode>
                <c:ptCount val="19"/>
                <c:pt idx="6">
                  <c:v>32561.860120210669</c:v>
                </c:pt>
                <c:pt idx="7">
                  <c:v>31173.330739059995</c:v>
                </c:pt>
                <c:pt idx="8">
                  <c:v>30452.180957208882</c:v>
                </c:pt>
                <c:pt idx="9">
                  <c:v>30120.814891231705</c:v>
                </c:pt>
                <c:pt idx="10">
                  <c:v>30014.916752908011</c:v>
                </c:pt>
                <c:pt idx="11">
                  <c:v>30076.852035048978</c:v>
                </c:pt>
                <c:pt idx="12">
                  <c:v>30240.683424841463</c:v>
                </c:pt>
                <c:pt idx="13">
                  <c:v>30503.609276818406</c:v>
                </c:pt>
                <c:pt idx="14">
                  <c:v>30707.949813188818</c:v>
                </c:pt>
                <c:pt idx="15">
                  <c:v>30835.201409652538</c:v>
                </c:pt>
                <c:pt idx="16">
                  <c:v>30895.521299315435</c:v>
                </c:pt>
                <c:pt idx="17">
                  <c:v>30929.755793820692</c:v>
                </c:pt>
                <c:pt idx="18">
                  <c:v>30932.772770451571</c:v>
                </c:pt>
              </c:numCache>
            </c:numRef>
          </c:val>
          <c:smooth val="0"/>
          <c:extLst>
            <c:ext xmlns:c16="http://schemas.microsoft.com/office/drawing/2014/chart" uri="{C3380CC4-5D6E-409C-BE32-E72D297353CC}">
              <c16:uniqueId val="{00000008-A907-4F52-B390-B8CF825C8D86}"/>
            </c:ext>
          </c:extLst>
        </c:ser>
        <c:ser>
          <c:idx val="19"/>
          <c:order val="9"/>
          <c:tx>
            <c:strRef>
              <c:f>Outputs_with_historical_data!$B$528</c:f>
              <c:strCache>
                <c:ptCount val="1"/>
                <c:pt idx="0">
                  <c:v>Secondary aged 60 plus - projected</c:v>
                </c:pt>
              </c:strCache>
            </c:strRef>
          </c:tx>
          <c:spPr>
            <a:ln>
              <a:solidFill>
                <a:srgbClr val="FFC000"/>
              </a:solidFill>
              <a:prstDash val="sysDot"/>
            </a:ln>
          </c:spPr>
          <c:marker>
            <c:symbol val="none"/>
          </c:marker>
          <c:cat>
            <c:strRef>
              <c:f>Outputs_with_historical_data!$C$508:$U$508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Outputs_with_historical_data!$C$528:$U$528</c:f>
              <c:numCache>
                <c:formatCode>#,##0</c:formatCode>
                <c:ptCount val="19"/>
                <c:pt idx="6">
                  <c:v>4576.3955460135903</c:v>
                </c:pt>
                <c:pt idx="7">
                  <c:v>5059.4632262337655</c:v>
                </c:pt>
                <c:pt idx="8">
                  <c:v>5201.3829572771383</c:v>
                </c:pt>
                <c:pt idx="9">
                  <c:v>5195.5829085982978</c:v>
                </c:pt>
                <c:pt idx="10">
                  <c:v>5131.8427972094969</c:v>
                </c:pt>
                <c:pt idx="11">
                  <c:v>5065.4348577797718</c:v>
                </c:pt>
                <c:pt idx="12">
                  <c:v>5014.9415529513089</c:v>
                </c:pt>
                <c:pt idx="13">
                  <c:v>4996.4238215781224</c:v>
                </c:pt>
                <c:pt idx="14">
                  <c:v>4974.5702783239476</c:v>
                </c:pt>
                <c:pt idx="15">
                  <c:v>4948.0194723242957</c:v>
                </c:pt>
                <c:pt idx="16">
                  <c:v>4920.1069007681253</c:v>
                </c:pt>
                <c:pt idx="17">
                  <c:v>4900.3489692349658</c:v>
                </c:pt>
                <c:pt idx="18">
                  <c:v>4884.6288164694934</c:v>
                </c:pt>
              </c:numCache>
            </c:numRef>
          </c:val>
          <c:smooth val="0"/>
          <c:extLst>
            <c:ext xmlns:c16="http://schemas.microsoft.com/office/drawing/2014/chart" uri="{C3380CC4-5D6E-409C-BE32-E72D297353CC}">
              <c16:uniqueId val="{00000009-A907-4F52-B390-B8CF825C8D86}"/>
            </c:ext>
          </c:extLst>
        </c:ser>
        <c:dLbls>
          <c:showLegendKey val="0"/>
          <c:showVal val="0"/>
          <c:showCatName val="0"/>
          <c:showSerName val="0"/>
          <c:showPercent val="0"/>
          <c:showBubbleSize val="0"/>
        </c:dLbls>
        <c:smooth val="0"/>
        <c:axId val="172051456"/>
        <c:axId val="172061440"/>
      </c:lineChart>
      <c:catAx>
        <c:axId val="1720514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061440"/>
        <c:crosses val="autoZero"/>
        <c:auto val="1"/>
        <c:lblAlgn val="ctr"/>
        <c:lblOffset val="100"/>
        <c:noMultiLvlLbl val="0"/>
      </c:catAx>
      <c:valAx>
        <c:axId val="1720614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2051456"/>
        <c:crosses val="autoZero"/>
        <c:crossBetween val="between"/>
      </c:valAx>
      <c:spPr>
        <a:ln>
          <a:solidFill>
            <a:schemeClr val="tx1">
              <a:lumMod val="95000"/>
              <a:lumOff val="5000"/>
            </a:schemeClr>
          </a:solidFill>
        </a:ln>
      </c:spPr>
    </c:plotArea>
    <c:legend>
      <c:legendPos val="r"/>
      <c:layout>
        <c:manualLayout>
          <c:xMode val="edge"/>
          <c:yMode val="edge"/>
          <c:x val="0.69316302128900553"/>
          <c:y val="7.0200723476900623E-2"/>
          <c:w val="0.2846156538125042"/>
          <c:h val="0.8538681948424068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SCIENCES</a:t>
            </a:r>
          </a:p>
        </c:rich>
      </c:tx>
      <c:layout/>
      <c:overlay val="0"/>
    </c:title>
    <c:autoTitleDeleted val="0"/>
    <c:plotArea>
      <c:layout>
        <c:manualLayout>
          <c:layoutTarget val="inner"/>
          <c:xMode val="edge"/>
          <c:yMode val="edge"/>
          <c:x val="0.11423840769903762"/>
          <c:y val="0.12283573928258967"/>
          <c:w val="0.56431028459326549"/>
          <c:h val="0.71181029454651512"/>
        </c:manualLayout>
      </c:layout>
      <c:lineChart>
        <c:grouping val="standard"/>
        <c:varyColors val="0"/>
        <c:ser>
          <c:idx val="22"/>
          <c:order val="0"/>
          <c:tx>
            <c:strRef>
              <c:f>Entrant_need_figures!$B$111</c:f>
              <c:strCache>
                <c:ptCount val="1"/>
                <c:pt idx="0">
                  <c:v>BIOLOGY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Entrant_need_figures!$C$111:$N$111</c:f>
              <c:numCache>
                <c:formatCode>#,##0</c:formatCode>
                <c:ptCount val="12"/>
                <c:pt idx="0">
                  <c:v>1754.8582177378757</c:v>
                </c:pt>
                <c:pt idx="1">
                  <c:v>1564.951730038006</c:v>
                </c:pt>
                <c:pt idx="2">
                  <c:v>1616.5168720308891</c:v>
                </c:pt>
                <c:pt idx="3">
                  <c:v>1589.631948099769</c:v>
                </c:pt>
                <c:pt idx="4">
                  <c:v>1623.8400396573034</c:v>
                </c:pt>
                <c:pt idx="5">
                  <c:v>1663.0354761250419</c:v>
                </c:pt>
                <c:pt idx="6">
                  <c:v>1692.5197067368224</c:v>
                </c:pt>
                <c:pt idx="7">
                  <c:v>1666.9339203879388</c:v>
                </c:pt>
                <c:pt idx="8">
                  <c:v>1647.7816945449745</c:v>
                </c:pt>
                <c:pt idx="9">
                  <c:v>1622.5487612370466</c:v>
                </c:pt>
                <c:pt idx="10">
                  <c:v>1582.7788414961647</c:v>
                </c:pt>
                <c:pt idx="11">
                  <c:v>1542.4347347474536</c:v>
                </c:pt>
              </c:numCache>
            </c:numRef>
          </c:val>
          <c:smooth val="0"/>
          <c:extLst>
            <c:ext xmlns:c16="http://schemas.microsoft.com/office/drawing/2014/chart" uri="{C3380CC4-5D6E-409C-BE32-E72D297353CC}">
              <c16:uniqueId val="{00000000-15D3-490A-AB8E-456EC4EED70A}"/>
            </c:ext>
          </c:extLst>
        </c:ser>
        <c:ser>
          <c:idx val="2"/>
          <c:order val="1"/>
          <c:tx>
            <c:strRef>
              <c:f>Entrant_need_figures!$B$90</c:f>
              <c:strCache>
                <c:ptCount val="1"/>
                <c:pt idx="0">
                  <c:v>BIOLOGY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Entrant_need_figures!$C$90:$N$90</c:f>
              <c:numCache>
                <c:formatCode>#,##0</c:formatCode>
                <c:ptCount val="12"/>
                <c:pt idx="0">
                  <c:v>1754.8582177378757</c:v>
                </c:pt>
                <c:pt idx="1">
                  <c:v>1564.951730038006</c:v>
                </c:pt>
                <c:pt idx="2">
                  <c:v>1616.5168720308891</c:v>
                </c:pt>
                <c:pt idx="3">
                  <c:v>1589.631948099769</c:v>
                </c:pt>
                <c:pt idx="4">
                  <c:v>1623.8400396573034</c:v>
                </c:pt>
                <c:pt idx="5">
                  <c:v>1663.0354761250419</c:v>
                </c:pt>
                <c:pt idx="6">
                  <c:v>1692.5197067368224</c:v>
                </c:pt>
                <c:pt idx="7">
                  <c:v>1666.9339203879388</c:v>
                </c:pt>
                <c:pt idx="8">
                  <c:v>1647.7816945449745</c:v>
                </c:pt>
                <c:pt idx="9">
                  <c:v>1622.5487612370466</c:v>
                </c:pt>
                <c:pt idx="10">
                  <c:v>1582.7788414961647</c:v>
                </c:pt>
                <c:pt idx="11">
                  <c:v>1542.4347347474536</c:v>
                </c:pt>
              </c:numCache>
            </c:numRef>
          </c:val>
          <c:smooth val="0"/>
          <c:extLst>
            <c:ext xmlns:c16="http://schemas.microsoft.com/office/drawing/2014/chart" uri="{C3380CC4-5D6E-409C-BE32-E72D297353CC}">
              <c16:uniqueId val="{00000001-15D3-490A-AB8E-456EC4EED70A}"/>
            </c:ext>
          </c:extLst>
        </c:ser>
        <c:ser>
          <c:idx val="24"/>
          <c:order val="2"/>
          <c:tx>
            <c:strRef>
              <c:f>Entrant_need_figures!$B$113</c:f>
              <c:strCache>
                <c:ptCount val="1"/>
                <c:pt idx="0">
                  <c:v>CHEMISTRY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Entrant_need_figures!$C$113:$N$113</c:f>
              <c:numCache>
                <c:formatCode>#,##0</c:formatCode>
                <c:ptCount val="12"/>
                <c:pt idx="0">
                  <c:v>1591.8760582329605</c:v>
                </c:pt>
                <c:pt idx="1">
                  <c:v>1438.5478249984121</c:v>
                </c:pt>
                <c:pt idx="2">
                  <c:v>1446.9078103826337</c:v>
                </c:pt>
                <c:pt idx="3">
                  <c:v>1447.6081676110557</c:v>
                </c:pt>
                <c:pt idx="4">
                  <c:v>1476.8650240167299</c:v>
                </c:pt>
                <c:pt idx="5">
                  <c:v>1511.6029073553927</c:v>
                </c:pt>
                <c:pt idx="6">
                  <c:v>1524.6538860757134</c:v>
                </c:pt>
                <c:pt idx="7">
                  <c:v>1498.4915438938874</c:v>
                </c:pt>
                <c:pt idx="8">
                  <c:v>1486.7257676817808</c:v>
                </c:pt>
                <c:pt idx="9">
                  <c:v>1464.134419689306</c:v>
                </c:pt>
                <c:pt idx="10">
                  <c:v>1413.2582238277173</c:v>
                </c:pt>
                <c:pt idx="11">
                  <c:v>1363.8132114839525</c:v>
                </c:pt>
              </c:numCache>
            </c:numRef>
          </c:val>
          <c:smooth val="0"/>
          <c:extLst>
            <c:ext xmlns:c16="http://schemas.microsoft.com/office/drawing/2014/chart" uri="{C3380CC4-5D6E-409C-BE32-E72D297353CC}">
              <c16:uniqueId val="{00000002-15D3-490A-AB8E-456EC4EED70A}"/>
            </c:ext>
          </c:extLst>
        </c:ser>
        <c:ser>
          <c:idx val="4"/>
          <c:order val="3"/>
          <c:tx>
            <c:strRef>
              <c:f>Entrant_need_figures!$B$92</c:f>
              <c:strCache>
                <c:ptCount val="1"/>
                <c:pt idx="0">
                  <c:v>CHEMISTRY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Entrant_need_figures!$C$92:$N$92</c:f>
              <c:numCache>
                <c:formatCode>#,##0</c:formatCode>
                <c:ptCount val="12"/>
                <c:pt idx="0">
                  <c:v>1591.8760582329605</c:v>
                </c:pt>
                <c:pt idx="1">
                  <c:v>1438.5478249984121</c:v>
                </c:pt>
                <c:pt idx="2">
                  <c:v>1446.9078103826337</c:v>
                </c:pt>
                <c:pt idx="3">
                  <c:v>1447.6081676110557</c:v>
                </c:pt>
                <c:pt idx="4">
                  <c:v>1476.8650240167299</c:v>
                </c:pt>
                <c:pt idx="5">
                  <c:v>1511.6029073553927</c:v>
                </c:pt>
                <c:pt idx="6">
                  <c:v>1524.6538860757134</c:v>
                </c:pt>
                <c:pt idx="7">
                  <c:v>1498.4915438938874</c:v>
                </c:pt>
                <c:pt idx="8">
                  <c:v>1486.7257676817808</c:v>
                </c:pt>
                <c:pt idx="9">
                  <c:v>1464.134419689306</c:v>
                </c:pt>
                <c:pt idx="10">
                  <c:v>1413.2582238277173</c:v>
                </c:pt>
                <c:pt idx="11">
                  <c:v>1363.8132114839525</c:v>
                </c:pt>
              </c:numCache>
            </c:numRef>
          </c:val>
          <c:smooth val="0"/>
          <c:extLst>
            <c:ext xmlns:c16="http://schemas.microsoft.com/office/drawing/2014/chart" uri="{C3380CC4-5D6E-409C-BE32-E72D297353CC}">
              <c16:uniqueId val="{00000003-15D3-490A-AB8E-456EC4EED70A}"/>
            </c:ext>
          </c:extLst>
        </c:ser>
        <c:ser>
          <c:idx val="37"/>
          <c:order val="4"/>
          <c:tx>
            <c:strRef>
              <c:f>Entrant_need_figures!$B$127</c:f>
              <c:strCache>
                <c:ptCount val="1"/>
                <c:pt idx="0">
                  <c:v>PHYSICS All Central Scenario</c:v>
                </c:pt>
              </c:strCache>
            </c:strRef>
          </c:tx>
          <c:spPr>
            <a:ln>
              <a:solidFill>
                <a:srgbClr val="92D05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Entrant_need_figures!$C$127:$N$127</c:f>
              <c:numCache>
                <c:formatCode>#,##0</c:formatCode>
                <c:ptCount val="12"/>
                <c:pt idx="0">
                  <c:v>1687.9302005483253</c:v>
                </c:pt>
                <c:pt idx="1">
                  <c:v>1465.611605238164</c:v>
                </c:pt>
                <c:pt idx="2">
                  <c:v>1550.8624100000545</c:v>
                </c:pt>
                <c:pt idx="3">
                  <c:v>1462.6053123830898</c:v>
                </c:pt>
                <c:pt idx="4">
                  <c:v>1486.8087909073329</c:v>
                </c:pt>
                <c:pt idx="5">
                  <c:v>1515.3445734819404</c:v>
                </c:pt>
                <c:pt idx="6">
                  <c:v>1524.5769730816937</c:v>
                </c:pt>
                <c:pt idx="7">
                  <c:v>1491.617316486821</c:v>
                </c:pt>
                <c:pt idx="8">
                  <c:v>1478.6931368504693</c:v>
                </c:pt>
                <c:pt idx="9">
                  <c:v>1453.9553003043052</c:v>
                </c:pt>
                <c:pt idx="10">
                  <c:v>1400.6936367708263</c:v>
                </c:pt>
                <c:pt idx="11">
                  <c:v>1349.8794392516111</c:v>
                </c:pt>
              </c:numCache>
            </c:numRef>
          </c:val>
          <c:smooth val="0"/>
          <c:extLst>
            <c:ext xmlns:c16="http://schemas.microsoft.com/office/drawing/2014/chart" uri="{C3380CC4-5D6E-409C-BE32-E72D297353CC}">
              <c16:uniqueId val="{00000004-15D3-490A-AB8E-456EC4EED70A}"/>
            </c:ext>
          </c:extLst>
        </c:ser>
        <c:ser>
          <c:idx val="17"/>
          <c:order val="5"/>
          <c:tx>
            <c:strRef>
              <c:f>Entrant_need_figures!$B$106</c:f>
              <c:strCache>
                <c:ptCount val="1"/>
                <c:pt idx="0">
                  <c:v>PHYSICS Scenario Selected</c:v>
                </c:pt>
              </c:strCache>
            </c:strRef>
          </c:tx>
          <c:spPr>
            <a:ln>
              <a:solidFill>
                <a:srgbClr val="92D05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Entrant_need_figures!$C$106:$N$106</c:f>
              <c:numCache>
                <c:formatCode>#,##0</c:formatCode>
                <c:ptCount val="12"/>
                <c:pt idx="0">
                  <c:v>1687.9302005483253</c:v>
                </c:pt>
                <c:pt idx="1">
                  <c:v>1465.611605238164</c:v>
                </c:pt>
                <c:pt idx="2">
                  <c:v>1550.8624100000545</c:v>
                </c:pt>
                <c:pt idx="3">
                  <c:v>1462.6053123830898</c:v>
                </c:pt>
                <c:pt idx="4">
                  <c:v>1486.8087909073329</c:v>
                </c:pt>
                <c:pt idx="5">
                  <c:v>1515.3445734819404</c:v>
                </c:pt>
                <c:pt idx="6">
                  <c:v>1524.5769730816937</c:v>
                </c:pt>
                <c:pt idx="7">
                  <c:v>1491.617316486821</c:v>
                </c:pt>
                <c:pt idx="8">
                  <c:v>1478.6931368504693</c:v>
                </c:pt>
                <c:pt idx="9">
                  <c:v>1453.9553003043052</c:v>
                </c:pt>
                <c:pt idx="10">
                  <c:v>1400.6936367708263</c:v>
                </c:pt>
                <c:pt idx="11">
                  <c:v>1349.8794392516111</c:v>
                </c:pt>
              </c:numCache>
            </c:numRef>
          </c:val>
          <c:smooth val="0"/>
          <c:extLst>
            <c:ext xmlns:c16="http://schemas.microsoft.com/office/drawing/2014/chart" uri="{C3380CC4-5D6E-409C-BE32-E72D297353CC}">
              <c16:uniqueId val="{00000005-15D3-490A-AB8E-456EC4EED70A}"/>
            </c:ext>
          </c:extLst>
        </c:ser>
        <c:dLbls>
          <c:showLegendKey val="0"/>
          <c:showVal val="0"/>
          <c:showCatName val="0"/>
          <c:showSerName val="0"/>
          <c:showPercent val="0"/>
          <c:showBubbleSize val="0"/>
        </c:dLbls>
        <c:smooth val="0"/>
        <c:axId val="148297216"/>
        <c:axId val="148298752"/>
      </c:lineChart>
      <c:catAx>
        <c:axId val="1482972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98752"/>
        <c:crosses val="autoZero"/>
        <c:auto val="1"/>
        <c:lblAlgn val="ctr"/>
        <c:lblOffset val="100"/>
        <c:noMultiLvlLbl val="0"/>
      </c:catAx>
      <c:valAx>
        <c:axId val="1482987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97216"/>
        <c:crosses val="autoZero"/>
        <c:crossBetween val="between"/>
      </c:valAx>
      <c:spPr>
        <a:ln>
          <a:solidFill>
            <a:schemeClr val="tx1">
              <a:lumMod val="95000"/>
              <a:lumOff val="5000"/>
            </a:schemeClr>
          </a:solidFill>
        </a:ln>
      </c:spPr>
    </c:plotArea>
    <c:legend>
      <c:legendPos val="r"/>
      <c:layout>
        <c:manualLayout>
          <c:xMode val="edge"/>
          <c:yMode val="edge"/>
          <c:x val="0.70075433900250683"/>
          <c:y val="4.3554189872607389E-2"/>
          <c:w val="0.28164289223067263"/>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139032107287959"/>
          <c:y val="2.2922636103151862E-2"/>
        </c:manualLayout>
      </c:layout>
      <c:overlay val="0"/>
    </c:title>
    <c:autoTitleDeleted val="0"/>
    <c:plotArea>
      <c:layout>
        <c:manualLayout>
          <c:layoutTarget val="inner"/>
          <c:xMode val="edge"/>
          <c:yMode val="edge"/>
          <c:x val="0.10597634812693868"/>
          <c:y val="0.10488268684418788"/>
          <c:w val="0.59342021902434605"/>
          <c:h val="0.74070319572309429"/>
        </c:manualLayout>
      </c:layout>
      <c:lineChart>
        <c:grouping val="standard"/>
        <c:varyColors val="0"/>
        <c:ser>
          <c:idx val="0"/>
          <c:order val="0"/>
          <c:tx>
            <c:strRef>
              <c:f>Outputs_with_historical_data!$B$568</c:f>
              <c:strCache>
                <c:ptCount val="1"/>
                <c:pt idx="0">
                  <c:v>Primary 20-29 - historical</c:v>
                </c:pt>
              </c:strCache>
            </c:strRef>
          </c:tx>
          <c:spPr>
            <a:ln>
              <a:solidFill>
                <a:schemeClr val="tx1"/>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Outputs_with_historical_data!$C$568:$U$568</c:f>
              <c:numCache>
                <c:formatCode>0%</c:formatCode>
                <c:ptCount val="19"/>
                <c:pt idx="0">
                  <c:v>0.21867590590106281</c:v>
                </c:pt>
                <c:pt idx="1">
                  <c:v>0.21921372717356219</c:v>
                </c:pt>
                <c:pt idx="2">
                  <c:v>0.22745306051744338</c:v>
                </c:pt>
                <c:pt idx="3">
                  <c:v>0.23760750599624109</c:v>
                </c:pt>
                <c:pt idx="4">
                  <c:v>0.2460197107818303</c:v>
                </c:pt>
                <c:pt idx="5">
                  <c:v>0.25294831890538838</c:v>
                </c:pt>
                <c:pt idx="6">
                  <c:v>0.25266638485371751</c:v>
                </c:pt>
              </c:numCache>
            </c:numRef>
          </c:val>
          <c:smooth val="0"/>
          <c:extLst>
            <c:ext xmlns:c16="http://schemas.microsoft.com/office/drawing/2014/chart" uri="{C3380CC4-5D6E-409C-BE32-E72D297353CC}">
              <c16:uniqueId val="{00000000-D2B6-481D-8724-61EFD497F207}"/>
            </c:ext>
          </c:extLst>
        </c:ser>
        <c:ser>
          <c:idx val="1"/>
          <c:order val="1"/>
          <c:tx>
            <c:strRef>
              <c:f>Outputs_with_historical_data!$B$569</c:f>
              <c:strCache>
                <c:ptCount val="1"/>
                <c:pt idx="0">
                  <c:v>Primary 30-39 - historical</c:v>
                </c:pt>
              </c:strCache>
            </c:strRef>
          </c:tx>
          <c:spPr>
            <a:ln>
              <a:solidFill>
                <a:srgbClr val="FF000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Outputs_with_historical_data!$C$569:$U$569</c:f>
              <c:numCache>
                <c:formatCode>0%</c:formatCode>
                <c:ptCount val="19"/>
                <c:pt idx="0">
                  <c:v>0.30665127224159439</c:v>
                </c:pt>
                <c:pt idx="1">
                  <c:v>0.31219408827023437</c:v>
                </c:pt>
                <c:pt idx="2">
                  <c:v>0.31374309193921868</c:v>
                </c:pt>
                <c:pt idx="3">
                  <c:v>0.31232091914294458</c:v>
                </c:pt>
                <c:pt idx="4">
                  <c:v>0.31223817490676936</c:v>
                </c:pt>
                <c:pt idx="5">
                  <c:v>0.31189062607661922</c:v>
                </c:pt>
                <c:pt idx="6">
                  <c:v>0.31502157840012646</c:v>
                </c:pt>
              </c:numCache>
            </c:numRef>
          </c:val>
          <c:smooth val="0"/>
          <c:extLst>
            <c:ext xmlns:c16="http://schemas.microsoft.com/office/drawing/2014/chart" uri="{C3380CC4-5D6E-409C-BE32-E72D297353CC}">
              <c16:uniqueId val="{00000001-D2B6-481D-8724-61EFD497F207}"/>
            </c:ext>
          </c:extLst>
        </c:ser>
        <c:ser>
          <c:idx val="2"/>
          <c:order val="2"/>
          <c:tx>
            <c:strRef>
              <c:f>Outputs_with_historical_data!$B$570</c:f>
              <c:strCache>
                <c:ptCount val="1"/>
                <c:pt idx="0">
                  <c:v>Primary 40-49 - historical</c:v>
                </c:pt>
              </c:strCache>
            </c:strRef>
          </c:tx>
          <c:spPr>
            <a:ln>
              <a:solidFill>
                <a:srgbClr val="00B0F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Outputs_with_historical_data!$C$570:$U$570</c:f>
              <c:numCache>
                <c:formatCode>0%</c:formatCode>
                <c:ptCount val="19"/>
                <c:pt idx="0">
                  <c:v>0.23643567504470556</c:v>
                </c:pt>
                <c:pt idx="1">
                  <c:v>0.24410626105701383</c:v>
                </c:pt>
                <c:pt idx="2">
                  <c:v>0.24961347606503084</c:v>
                </c:pt>
                <c:pt idx="3">
                  <c:v>0.25357879293076291</c:v>
                </c:pt>
                <c:pt idx="4">
                  <c:v>0.25610521208949844</c:v>
                </c:pt>
                <c:pt idx="5">
                  <c:v>0.25552699684640651</c:v>
                </c:pt>
                <c:pt idx="6">
                  <c:v>0.25566790393565486</c:v>
                </c:pt>
              </c:numCache>
            </c:numRef>
          </c:val>
          <c:smooth val="0"/>
          <c:extLst>
            <c:ext xmlns:c16="http://schemas.microsoft.com/office/drawing/2014/chart" uri="{C3380CC4-5D6E-409C-BE32-E72D297353CC}">
              <c16:uniqueId val="{00000002-D2B6-481D-8724-61EFD497F207}"/>
            </c:ext>
          </c:extLst>
        </c:ser>
        <c:ser>
          <c:idx val="3"/>
          <c:order val="3"/>
          <c:tx>
            <c:strRef>
              <c:f>Outputs_with_historical_data!$B$571</c:f>
              <c:strCache>
                <c:ptCount val="1"/>
                <c:pt idx="0">
                  <c:v>Primary 50-59 - historical</c:v>
                </c:pt>
              </c:strCache>
            </c:strRef>
          </c:tx>
          <c:spPr>
            <a:ln>
              <a:solidFill>
                <a:srgbClr val="92D05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Outputs_with_historical_data!$C$571:$U$571</c:f>
              <c:numCache>
                <c:formatCode>0%</c:formatCode>
                <c:ptCount val="19"/>
                <c:pt idx="0">
                  <c:v>0.21068222470521852</c:v>
                </c:pt>
                <c:pt idx="1">
                  <c:v>0.19637144585124597</c:v>
                </c:pt>
                <c:pt idx="2">
                  <c:v>0.18022717374420635</c:v>
                </c:pt>
                <c:pt idx="3">
                  <c:v>0.16817753099028571</c:v>
                </c:pt>
                <c:pt idx="4">
                  <c:v>0.15823422543507382</c:v>
                </c:pt>
                <c:pt idx="5">
                  <c:v>0.15332614152300941</c:v>
                </c:pt>
                <c:pt idx="6">
                  <c:v>0.15104942198325677</c:v>
                </c:pt>
              </c:numCache>
            </c:numRef>
          </c:val>
          <c:smooth val="0"/>
          <c:extLst>
            <c:ext xmlns:c16="http://schemas.microsoft.com/office/drawing/2014/chart" uri="{C3380CC4-5D6E-409C-BE32-E72D297353CC}">
              <c16:uniqueId val="{00000003-D2B6-481D-8724-61EFD497F207}"/>
            </c:ext>
          </c:extLst>
        </c:ser>
        <c:ser>
          <c:idx val="4"/>
          <c:order val="4"/>
          <c:tx>
            <c:strRef>
              <c:f>Outputs_with_historical_data!$B$572</c:f>
              <c:strCache>
                <c:ptCount val="1"/>
                <c:pt idx="0">
                  <c:v>Primary 60 plus - historical</c:v>
                </c:pt>
              </c:strCache>
            </c:strRef>
          </c:tx>
          <c:spPr>
            <a:ln>
              <a:solidFill>
                <a:srgbClr val="FFC00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Outputs_with_historical_data!$C$572:$U$572</c:f>
              <c:numCache>
                <c:formatCode>0%</c:formatCode>
                <c:ptCount val="19"/>
                <c:pt idx="0">
                  <c:v>2.7554922107418747E-2</c:v>
                </c:pt>
                <c:pt idx="1">
                  <c:v>2.8114477647943739E-2</c:v>
                </c:pt>
                <c:pt idx="2">
                  <c:v>2.89631977341007E-2</c:v>
                </c:pt>
                <c:pt idx="3">
                  <c:v>2.8315250939765751E-2</c:v>
                </c:pt>
                <c:pt idx="4">
                  <c:v>2.7402676786828097E-2</c:v>
                </c:pt>
                <c:pt idx="5">
                  <c:v>2.6307916648576561E-2</c:v>
                </c:pt>
                <c:pt idx="6">
                  <c:v>2.5594710827244401E-2</c:v>
                </c:pt>
              </c:numCache>
            </c:numRef>
          </c:val>
          <c:smooth val="0"/>
          <c:extLst>
            <c:ext xmlns:c16="http://schemas.microsoft.com/office/drawing/2014/chart" uri="{C3380CC4-5D6E-409C-BE32-E72D297353CC}">
              <c16:uniqueId val="{00000004-D2B6-481D-8724-61EFD497F207}"/>
            </c:ext>
          </c:extLst>
        </c:ser>
        <c:ser>
          <c:idx val="5"/>
          <c:order val="5"/>
          <c:tx>
            <c:strRef>
              <c:f>Outputs_with_historical_data!$B$573</c:f>
              <c:strCache>
                <c:ptCount val="1"/>
                <c:pt idx="0">
                  <c:v>Primary 20-29 - projected</c:v>
                </c:pt>
              </c:strCache>
            </c:strRef>
          </c:tx>
          <c:spPr>
            <a:ln>
              <a:solidFill>
                <a:schemeClr val="tx1"/>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Outputs_with_historical_data!$C$573:$U$573</c:f>
              <c:numCache>
                <c:formatCode>0%</c:formatCode>
                <c:ptCount val="19"/>
                <c:pt idx="6">
                  <c:v>0.25266638485371751</c:v>
                </c:pt>
                <c:pt idx="7">
                  <c:v>0.25694486023316565</c:v>
                </c:pt>
                <c:pt idx="8">
                  <c:v>0.26046713317268771</c:v>
                </c:pt>
                <c:pt idx="9">
                  <c:v>0.263945538037965</c:v>
                </c:pt>
                <c:pt idx="10">
                  <c:v>0.26773249058532361</c:v>
                </c:pt>
                <c:pt idx="11">
                  <c:v>0.27086647089771937</c:v>
                </c:pt>
                <c:pt idx="12">
                  <c:v>0.27325864935785865</c:v>
                </c:pt>
                <c:pt idx="13">
                  <c:v>0.27494147177942896</c:v>
                </c:pt>
                <c:pt idx="14">
                  <c:v>0.27701209938290078</c:v>
                </c:pt>
                <c:pt idx="15">
                  <c:v>0.27919559355898244</c:v>
                </c:pt>
                <c:pt idx="16">
                  <c:v>0.28101559264706649</c:v>
                </c:pt>
                <c:pt idx="17">
                  <c:v>0.28227038597947962</c:v>
                </c:pt>
                <c:pt idx="18">
                  <c:v>0.28304629697051586</c:v>
                </c:pt>
              </c:numCache>
            </c:numRef>
          </c:val>
          <c:smooth val="0"/>
          <c:extLst>
            <c:ext xmlns:c16="http://schemas.microsoft.com/office/drawing/2014/chart" uri="{C3380CC4-5D6E-409C-BE32-E72D297353CC}">
              <c16:uniqueId val="{00000005-D2B6-481D-8724-61EFD497F207}"/>
            </c:ext>
          </c:extLst>
        </c:ser>
        <c:ser>
          <c:idx val="6"/>
          <c:order val="6"/>
          <c:tx>
            <c:strRef>
              <c:f>Outputs_with_historical_data!$B$574</c:f>
              <c:strCache>
                <c:ptCount val="1"/>
                <c:pt idx="0">
                  <c:v>Primary 30-39 - projected</c:v>
                </c:pt>
              </c:strCache>
            </c:strRef>
          </c:tx>
          <c:spPr>
            <a:ln>
              <a:solidFill>
                <a:srgbClr val="FF000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Outputs_with_historical_data!$C$574:$U$574</c:f>
              <c:numCache>
                <c:formatCode>0%</c:formatCode>
                <c:ptCount val="19"/>
                <c:pt idx="6">
                  <c:v>0.31502157840012646</c:v>
                </c:pt>
                <c:pt idx="7">
                  <c:v>0.315439633581237</c:v>
                </c:pt>
                <c:pt idx="8">
                  <c:v>0.31441302153188017</c:v>
                </c:pt>
                <c:pt idx="9">
                  <c:v>0.31239223394995591</c:v>
                </c:pt>
                <c:pt idx="10">
                  <c:v>0.30980094557593185</c:v>
                </c:pt>
                <c:pt idx="11">
                  <c:v>0.30738298081027055</c:v>
                </c:pt>
                <c:pt idx="12">
                  <c:v>0.30536786078927713</c:v>
                </c:pt>
                <c:pt idx="13">
                  <c:v>0.30382696633844913</c:v>
                </c:pt>
                <c:pt idx="14">
                  <c:v>0.30239096849845348</c:v>
                </c:pt>
                <c:pt idx="15">
                  <c:v>0.30119080957805766</c:v>
                </c:pt>
                <c:pt idx="16">
                  <c:v>0.30038886136386311</c:v>
                </c:pt>
                <c:pt idx="17">
                  <c:v>0.30000955789573075</c:v>
                </c:pt>
                <c:pt idx="18">
                  <c:v>0.29995671368752708</c:v>
                </c:pt>
              </c:numCache>
            </c:numRef>
          </c:val>
          <c:smooth val="0"/>
          <c:extLst>
            <c:ext xmlns:c16="http://schemas.microsoft.com/office/drawing/2014/chart" uri="{C3380CC4-5D6E-409C-BE32-E72D297353CC}">
              <c16:uniqueId val="{00000006-D2B6-481D-8724-61EFD497F207}"/>
            </c:ext>
          </c:extLst>
        </c:ser>
        <c:ser>
          <c:idx val="7"/>
          <c:order val="7"/>
          <c:tx>
            <c:strRef>
              <c:f>Outputs_with_historical_data!$B$575</c:f>
              <c:strCache>
                <c:ptCount val="1"/>
                <c:pt idx="0">
                  <c:v>Primary 40-49 - projected</c:v>
                </c:pt>
              </c:strCache>
            </c:strRef>
          </c:tx>
          <c:spPr>
            <a:ln>
              <a:solidFill>
                <a:srgbClr val="00B0F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Outputs_with_historical_data!$C$575:$U$575</c:f>
              <c:numCache>
                <c:formatCode>0%</c:formatCode>
                <c:ptCount val="19"/>
                <c:pt idx="6">
                  <c:v>0.25566790393565486</c:v>
                </c:pt>
                <c:pt idx="7">
                  <c:v>0.2571567485453663</c:v>
                </c:pt>
                <c:pt idx="8">
                  <c:v>0.25890073789739687</c:v>
                </c:pt>
                <c:pt idx="9">
                  <c:v>0.26043268606373571</c:v>
                </c:pt>
                <c:pt idx="10">
                  <c:v>0.26145427927487641</c:v>
                </c:pt>
                <c:pt idx="11">
                  <c:v>0.26220213558440431</c:v>
                </c:pt>
                <c:pt idx="12">
                  <c:v>0.26270613530456155</c:v>
                </c:pt>
                <c:pt idx="13">
                  <c:v>0.26300784070561639</c:v>
                </c:pt>
                <c:pt idx="14">
                  <c:v>0.26276767983449245</c:v>
                </c:pt>
                <c:pt idx="15">
                  <c:v>0.26215512486800685</c:v>
                </c:pt>
                <c:pt idx="16">
                  <c:v>0.26142362663363916</c:v>
                </c:pt>
                <c:pt idx="17">
                  <c:v>0.26072778817150327</c:v>
                </c:pt>
                <c:pt idx="18">
                  <c:v>0.26010906938966671</c:v>
                </c:pt>
              </c:numCache>
            </c:numRef>
          </c:val>
          <c:smooth val="0"/>
          <c:extLst>
            <c:ext xmlns:c16="http://schemas.microsoft.com/office/drawing/2014/chart" uri="{C3380CC4-5D6E-409C-BE32-E72D297353CC}">
              <c16:uniqueId val="{00000007-D2B6-481D-8724-61EFD497F207}"/>
            </c:ext>
          </c:extLst>
        </c:ser>
        <c:ser>
          <c:idx val="8"/>
          <c:order val="8"/>
          <c:tx>
            <c:strRef>
              <c:f>Outputs_with_historical_data!$B$576</c:f>
              <c:strCache>
                <c:ptCount val="1"/>
                <c:pt idx="0">
                  <c:v>Primary 50-59 - projected</c:v>
                </c:pt>
              </c:strCache>
            </c:strRef>
          </c:tx>
          <c:spPr>
            <a:ln>
              <a:solidFill>
                <a:srgbClr val="92D05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Outputs_with_historical_data!$C$576:$U$576</c:f>
              <c:numCache>
                <c:formatCode>0%</c:formatCode>
                <c:ptCount val="19"/>
                <c:pt idx="6">
                  <c:v>0.15104942198325677</c:v>
                </c:pt>
                <c:pt idx="7">
                  <c:v>0.14495424201784987</c:v>
                </c:pt>
                <c:pt idx="8">
                  <c:v>0.14133812934248124</c:v>
                </c:pt>
                <c:pt idx="9">
                  <c:v>0.13913823838955411</c:v>
                </c:pt>
                <c:pt idx="10">
                  <c:v>0.13770234892878619</c:v>
                </c:pt>
                <c:pt idx="11">
                  <c:v>0.13690903284308578</c:v>
                </c:pt>
                <c:pt idx="12">
                  <c:v>0.13656340688719401</c:v>
                </c:pt>
                <c:pt idx="13">
                  <c:v>0.13652460541787928</c:v>
                </c:pt>
                <c:pt idx="14">
                  <c:v>0.1364414234969212</c:v>
                </c:pt>
                <c:pt idx="15">
                  <c:v>0.13630480701002273</c:v>
                </c:pt>
                <c:pt idx="16">
                  <c:v>0.13618709663856271</c:v>
                </c:pt>
                <c:pt idx="17">
                  <c:v>0.13612344123934078</c:v>
                </c:pt>
                <c:pt idx="18">
                  <c:v>0.13609561861957009</c:v>
                </c:pt>
              </c:numCache>
            </c:numRef>
          </c:val>
          <c:smooth val="0"/>
          <c:extLst>
            <c:ext xmlns:c16="http://schemas.microsoft.com/office/drawing/2014/chart" uri="{C3380CC4-5D6E-409C-BE32-E72D297353CC}">
              <c16:uniqueId val="{00000008-D2B6-481D-8724-61EFD497F207}"/>
            </c:ext>
          </c:extLst>
        </c:ser>
        <c:ser>
          <c:idx val="9"/>
          <c:order val="9"/>
          <c:tx>
            <c:strRef>
              <c:f>Outputs_with_historical_data!$B$577</c:f>
              <c:strCache>
                <c:ptCount val="1"/>
                <c:pt idx="0">
                  <c:v>Primary 60 plus - projected</c:v>
                </c:pt>
              </c:strCache>
            </c:strRef>
          </c:tx>
          <c:spPr>
            <a:ln>
              <a:solidFill>
                <a:srgbClr val="FFC00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Outputs_with_historical_data!$C$577:$U$577</c:f>
              <c:numCache>
                <c:formatCode>0%</c:formatCode>
                <c:ptCount val="19"/>
                <c:pt idx="6">
                  <c:v>2.5594710827244401E-2</c:v>
                </c:pt>
                <c:pt idx="7">
                  <c:v>2.5504515622381204E-2</c:v>
                </c:pt>
                <c:pt idx="8">
                  <c:v>2.4880978055554139E-2</c:v>
                </c:pt>
                <c:pt idx="9">
                  <c:v>2.4091303558789301E-2</c:v>
                </c:pt>
                <c:pt idx="10">
                  <c:v>2.3309935635082005E-2</c:v>
                </c:pt>
                <c:pt idx="11">
                  <c:v>2.2639379864520102E-2</c:v>
                </c:pt>
                <c:pt idx="12">
                  <c:v>2.2103947661108628E-2</c:v>
                </c:pt>
                <c:pt idx="13">
                  <c:v>2.1699115758626149E-2</c:v>
                </c:pt>
                <c:pt idx="14">
                  <c:v>2.1387828787232034E-2</c:v>
                </c:pt>
                <c:pt idx="15">
                  <c:v>2.1153664984930438E-2</c:v>
                </c:pt>
                <c:pt idx="16">
                  <c:v>2.0984822716868513E-2</c:v>
                </c:pt>
                <c:pt idx="17">
                  <c:v>2.0868826713945597E-2</c:v>
                </c:pt>
                <c:pt idx="18">
                  <c:v>2.0792301332720312E-2</c:v>
                </c:pt>
              </c:numCache>
            </c:numRef>
          </c:val>
          <c:smooth val="0"/>
          <c:extLst>
            <c:ext xmlns:c16="http://schemas.microsoft.com/office/drawing/2014/chart" uri="{C3380CC4-5D6E-409C-BE32-E72D297353CC}">
              <c16:uniqueId val="{00000009-D2B6-481D-8724-61EFD497F207}"/>
            </c:ext>
          </c:extLst>
        </c:ser>
        <c:dLbls>
          <c:showLegendKey val="0"/>
          <c:showVal val="0"/>
          <c:showCatName val="0"/>
          <c:showSerName val="0"/>
          <c:showPercent val="0"/>
          <c:showBubbleSize val="0"/>
        </c:dLbls>
        <c:smooth val="0"/>
        <c:axId val="171880832"/>
        <c:axId val="171882368"/>
      </c:lineChart>
      <c:catAx>
        <c:axId val="17188083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882368"/>
        <c:crosses val="autoZero"/>
        <c:auto val="1"/>
        <c:lblAlgn val="ctr"/>
        <c:lblOffset val="100"/>
        <c:noMultiLvlLbl val="0"/>
      </c:catAx>
      <c:valAx>
        <c:axId val="171882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880832"/>
        <c:crosses val="autoZero"/>
        <c:crossBetween val="between"/>
      </c:valAx>
      <c:spPr>
        <a:ln>
          <a:solidFill>
            <a:schemeClr val="tx1">
              <a:lumMod val="95000"/>
              <a:lumOff val="5000"/>
            </a:schemeClr>
          </a:solidFill>
        </a:ln>
      </c:spPr>
    </c:plotArea>
    <c:legend>
      <c:legendPos val="r"/>
      <c:layout>
        <c:manualLayout>
          <c:xMode val="edge"/>
          <c:yMode val="edge"/>
          <c:x val="0.71661075755941461"/>
          <c:y val="7.0200723476900623E-2"/>
          <c:w val="0.26455524395067054"/>
          <c:h val="0.8495703509840639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9294030784745389"/>
          <c:y val="2.2922636103151862E-2"/>
        </c:manualLayout>
      </c:layout>
      <c:overlay val="0"/>
    </c:title>
    <c:autoTitleDeleted val="0"/>
    <c:plotArea>
      <c:layout>
        <c:manualLayout>
          <c:layoutTarget val="inner"/>
          <c:xMode val="edge"/>
          <c:yMode val="edge"/>
          <c:x val="0.10593257990688575"/>
          <c:y val="0.10493739745153741"/>
          <c:w val="0.60599735666043164"/>
          <c:h val="0.74064829111962305"/>
        </c:manualLayout>
      </c:layout>
      <c:lineChart>
        <c:grouping val="standard"/>
        <c:varyColors val="0"/>
        <c:ser>
          <c:idx val="10"/>
          <c:order val="0"/>
          <c:tx>
            <c:strRef>
              <c:f>Outputs_with_historical_data!$B$578</c:f>
              <c:strCache>
                <c:ptCount val="1"/>
                <c:pt idx="0">
                  <c:v>Secondary 20-29 - historical</c:v>
                </c:pt>
              </c:strCache>
            </c:strRef>
          </c:tx>
          <c:spPr>
            <a:ln>
              <a:solidFill>
                <a:schemeClr val="tx1"/>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Outputs_with_historical_data!$C$578:$U$578</c:f>
              <c:numCache>
                <c:formatCode>0%</c:formatCode>
                <c:ptCount val="19"/>
                <c:pt idx="0">
                  <c:v>0.21731820623784204</c:v>
                </c:pt>
                <c:pt idx="1">
                  <c:v>0.22207571541814386</c:v>
                </c:pt>
                <c:pt idx="2">
                  <c:v>0.21389834075221517</c:v>
                </c:pt>
                <c:pt idx="3">
                  <c:v>0.21085006836243991</c:v>
                </c:pt>
                <c:pt idx="4">
                  <c:v>0.20930785421571702</c:v>
                </c:pt>
                <c:pt idx="5">
                  <c:v>0.20640240939849247</c:v>
                </c:pt>
                <c:pt idx="6">
                  <c:v>0.20711353980297967</c:v>
                </c:pt>
              </c:numCache>
            </c:numRef>
          </c:val>
          <c:smooth val="0"/>
          <c:extLst>
            <c:ext xmlns:c16="http://schemas.microsoft.com/office/drawing/2014/chart" uri="{C3380CC4-5D6E-409C-BE32-E72D297353CC}">
              <c16:uniqueId val="{00000000-04C4-44B9-A2EA-DFE20844E2E3}"/>
            </c:ext>
          </c:extLst>
        </c:ser>
        <c:ser>
          <c:idx val="11"/>
          <c:order val="1"/>
          <c:tx>
            <c:strRef>
              <c:f>Outputs_with_historical_data!$B$579</c:f>
              <c:strCache>
                <c:ptCount val="1"/>
                <c:pt idx="0">
                  <c:v>Secondary 30-39 - historical</c:v>
                </c:pt>
              </c:strCache>
            </c:strRef>
          </c:tx>
          <c:spPr>
            <a:ln>
              <a:solidFill>
                <a:srgbClr val="FF000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Outputs_with_historical_data!$C$579:$U$579</c:f>
              <c:numCache>
                <c:formatCode>0%</c:formatCode>
                <c:ptCount val="19"/>
                <c:pt idx="0">
                  <c:v>0.31882136228992897</c:v>
                </c:pt>
                <c:pt idx="1">
                  <c:v>0.32808460428570108</c:v>
                </c:pt>
                <c:pt idx="2">
                  <c:v>0.33536569426973373</c:v>
                </c:pt>
                <c:pt idx="3">
                  <c:v>0.34191035946780912</c:v>
                </c:pt>
                <c:pt idx="4">
                  <c:v>0.34740041137407307</c:v>
                </c:pt>
                <c:pt idx="5">
                  <c:v>0.3524310541638182</c:v>
                </c:pt>
                <c:pt idx="6">
                  <c:v>0.34887873090866495</c:v>
                </c:pt>
              </c:numCache>
            </c:numRef>
          </c:val>
          <c:smooth val="0"/>
          <c:extLst>
            <c:ext xmlns:c16="http://schemas.microsoft.com/office/drawing/2014/chart" uri="{C3380CC4-5D6E-409C-BE32-E72D297353CC}">
              <c16:uniqueId val="{00000001-04C4-44B9-A2EA-DFE20844E2E3}"/>
            </c:ext>
          </c:extLst>
        </c:ser>
        <c:ser>
          <c:idx val="12"/>
          <c:order val="2"/>
          <c:tx>
            <c:strRef>
              <c:f>Outputs_with_historical_data!$B$580</c:f>
              <c:strCache>
                <c:ptCount val="1"/>
                <c:pt idx="0">
                  <c:v>Secondary 40-49 - historical</c:v>
                </c:pt>
              </c:strCache>
            </c:strRef>
          </c:tx>
          <c:spPr>
            <a:ln>
              <a:solidFill>
                <a:srgbClr val="00B0F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Outputs_with_historical_data!$C$580:$U$580</c:f>
              <c:numCache>
                <c:formatCode>0%</c:formatCode>
                <c:ptCount val="19"/>
                <c:pt idx="0">
                  <c:v>0.22333299870692064</c:v>
                </c:pt>
                <c:pt idx="1">
                  <c:v>0.23457348891717492</c:v>
                </c:pt>
                <c:pt idx="2">
                  <c:v>0.23581029464547723</c:v>
                </c:pt>
                <c:pt idx="3">
                  <c:v>0.2425754305430779</c:v>
                </c:pt>
                <c:pt idx="4">
                  <c:v>0.24806923800281039</c:v>
                </c:pt>
                <c:pt idx="5">
                  <c:v>0.25346063646269423</c:v>
                </c:pt>
                <c:pt idx="6">
                  <c:v>0.26623108579543453</c:v>
                </c:pt>
              </c:numCache>
            </c:numRef>
          </c:val>
          <c:smooth val="0"/>
          <c:extLst>
            <c:ext xmlns:c16="http://schemas.microsoft.com/office/drawing/2014/chart" uri="{C3380CC4-5D6E-409C-BE32-E72D297353CC}">
              <c16:uniqueId val="{00000002-04C4-44B9-A2EA-DFE20844E2E3}"/>
            </c:ext>
          </c:extLst>
        </c:ser>
        <c:ser>
          <c:idx val="13"/>
          <c:order val="3"/>
          <c:tx>
            <c:strRef>
              <c:f>Outputs_with_historical_data!$B$581</c:f>
              <c:strCache>
                <c:ptCount val="1"/>
                <c:pt idx="0">
                  <c:v>Secondary 50-59 - historical</c:v>
                </c:pt>
              </c:strCache>
            </c:strRef>
          </c:tx>
          <c:spPr>
            <a:ln>
              <a:solidFill>
                <a:srgbClr val="92D05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Outputs_with_historical_data!$C$581:$U$581</c:f>
              <c:numCache>
                <c:formatCode>0%</c:formatCode>
                <c:ptCount val="19"/>
                <c:pt idx="0">
                  <c:v>0.21241934134627663</c:v>
                </c:pt>
                <c:pt idx="1">
                  <c:v>0.19135211671241767</c:v>
                </c:pt>
                <c:pt idx="2">
                  <c:v>0.1865886735862349</c:v>
                </c:pt>
                <c:pt idx="3">
                  <c:v>0.17642253954739964</c:v>
                </c:pt>
                <c:pt idx="4">
                  <c:v>0.16772274487697611</c:v>
                </c:pt>
                <c:pt idx="5">
                  <c:v>0.16128872606212996</c:v>
                </c:pt>
                <c:pt idx="6">
                  <c:v>0.15586995388482058</c:v>
                </c:pt>
              </c:numCache>
            </c:numRef>
          </c:val>
          <c:smooth val="0"/>
          <c:extLst>
            <c:ext xmlns:c16="http://schemas.microsoft.com/office/drawing/2014/chart" uri="{C3380CC4-5D6E-409C-BE32-E72D297353CC}">
              <c16:uniqueId val="{00000003-04C4-44B9-A2EA-DFE20844E2E3}"/>
            </c:ext>
          </c:extLst>
        </c:ser>
        <c:ser>
          <c:idx val="14"/>
          <c:order val="4"/>
          <c:tx>
            <c:strRef>
              <c:f>Outputs_with_historical_data!$B$582</c:f>
              <c:strCache>
                <c:ptCount val="1"/>
                <c:pt idx="0">
                  <c:v>Secondary 60 plus - historical</c:v>
                </c:pt>
              </c:strCache>
            </c:strRef>
          </c:tx>
          <c:spPr>
            <a:ln>
              <a:solidFill>
                <a:srgbClr val="FFC000"/>
              </a:solidFill>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Outputs_with_historical_data!$C$582:$U$582</c:f>
              <c:numCache>
                <c:formatCode>0%</c:formatCode>
                <c:ptCount val="19"/>
                <c:pt idx="0">
                  <c:v>2.8108091419031731E-2</c:v>
                </c:pt>
                <c:pt idx="1">
                  <c:v>2.3914074666562295E-2</c:v>
                </c:pt>
                <c:pt idx="2">
                  <c:v>2.8336996746339056E-2</c:v>
                </c:pt>
                <c:pt idx="3">
                  <c:v>2.8241602079273266E-2</c:v>
                </c:pt>
                <c:pt idx="4">
                  <c:v>2.7499751530423493E-2</c:v>
                </c:pt>
                <c:pt idx="5">
                  <c:v>2.6417173912865063E-2</c:v>
                </c:pt>
                <c:pt idx="6">
                  <c:v>2.1906689608100358E-2</c:v>
                </c:pt>
              </c:numCache>
            </c:numRef>
          </c:val>
          <c:smooth val="0"/>
          <c:extLst>
            <c:ext xmlns:c16="http://schemas.microsoft.com/office/drawing/2014/chart" uri="{C3380CC4-5D6E-409C-BE32-E72D297353CC}">
              <c16:uniqueId val="{00000004-04C4-44B9-A2EA-DFE20844E2E3}"/>
            </c:ext>
          </c:extLst>
        </c:ser>
        <c:ser>
          <c:idx val="15"/>
          <c:order val="5"/>
          <c:tx>
            <c:strRef>
              <c:f>Outputs_with_historical_data!$B$583</c:f>
              <c:strCache>
                <c:ptCount val="1"/>
                <c:pt idx="0">
                  <c:v>Secondary 20-29 - projected</c:v>
                </c:pt>
              </c:strCache>
            </c:strRef>
          </c:tx>
          <c:spPr>
            <a:ln>
              <a:solidFill>
                <a:schemeClr val="tx1"/>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Outputs_with_historical_data!$C$583:$U$583</c:f>
              <c:numCache>
                <c:formatCode>0%</c:formatCode>
                <c:ptCount val="19"/>
                <c:pt idx="6">
                  <c:v>0.20711353980297967</c:v>
                </c:pt>
                <c:pt idx="7">
                  <c:v>0.21665636294278032</c:v>
                </c:pt>
                <c:pt idx="8">
                  <c:v>0.22600826642020386</c:v>
                </c:pt>
                <c:pt idx="9">
                  <c:v>0.23507065602524491</c:v>
                </c:pt>
                <c:pt idx="10">
                  <c:v>0.24215436982900568</c:v>
                </c:pt>
                <c:pt idx="11">
                  <c:v>0.24801365831824404</c:v>
                </c:pt>
                <c:pt idx="12">
                  <c:v>0.25274660273225807</c:v>
                </c:pt>
                <c:pt idx="13">
                  <c:v>0.25709977265436135</c:v>
                </c:pt>
                <c:pt idx="14">
                  <c:v>0.25928522219067573</c:v>
                </c:pt>
                <c:pt idx="15">
                  <c:v>0.25977998033076738</c:v>
                </c:pt>
                <c:pt idx="16">
                  <c:v>0.25925047048322608</c:v>
                </c:pt>
                <c:pt idx="17">
                  <c:v>0.25859160135979925</c:v>
                </c:pt>
                <c:pt idx="18">
                  <c:v>0.25782365937486551</c:v>
                </c:pt>
              </c:numCache>
            </c:numRef>
          </c:val>
          <c:smooth val="0"/>
          <c:extLst>
            <c:ext xmlns:c16="http://schemas.microsoft.com/office/drawing/2014/chart" uri="{C3380CC4-5D6E-409C-BE32-E72D297353CC}">
              <c16:uniqueId val="{00000005-04C4-44B9-A2EA-DFE20844E2E3}"/>
            </c:ext>
          </c:extLst>
        </c:ser>
        <c:ser>
          <c:idx val="16"/>
          <c:order val="6"/>
          <c:tx>
            <c:strRef>
              <c:f>Outputs_with_historical_data!$B$584</c:f>
              <c:strCache>
                <c:ptCount val="1"/>
                <c:pt idx="0">
                  <c:v>Secondary 30-39 - projected</c:v>
                </c:pt>
              </c:strCache>
            </c:strRef>
          </c:tx>
          <c:spPr>
            <a:ln>
              <a:solidFill>
                <a:srgbClr val="FF000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Outputs_with_historical_data!$C$584:$U$584</c:f>
              <c:numCache>
                <c:formatCode>0%</c:formatCode>
                <c:ptCount val="19"/>
                <c:pt idx="6">
                  <c:v>0.34887873090866495</c:v>
                </c:pt>
                <c:pt idx="7">
                  <c:v>0.34257488910456502</c:v>
                </c:pt>
                <c:pt idx="8">
                  <c:v>0.33585667062234936</c:v>
                </c:pt>
                <c:pt idx="9">
                  <c:v>0.32949392628411228</c:v>
                </c:pt>
                <c:pt idx="10">
                  <c:v>0.32445642867791297</c:v>
                </c:pt>
                <c:pt idx="11">
                  <c:v>0.32057546784875063</c:v>
                </c:pt>
                <c:pt idx="12">
                  <c:v>0.31780733548191148</c:v>
                </c:pt>
                <c:pt idx="13">
                  <c:v>0.3158071248840304</c:v>
                </c:pt>
                <c:pt idx="14">
                  <c:v>0.3151018804453728</c:v>
                </c:pt>
                <c:pt idx="15">
                  <c:v>0.31529463325535279</c:v>
                </c:pt>
                <c:pt idx="16">
                  <c:v>0.31595656648783965</c:v>
                </c:pt>
                <c:pt idx="17">
                  <c:v>0.31664392704764022</c:v>
                </c:pt>
                <c:pt idx="18">
                  <c:v>0.31730110497037983</c:v>
                </c:pt>
              </c:numCache>
            </c:numRef>
          </c:val>
          <c:smooth val="0"/>
          <c:extLst>
            <c:ext xmlns:c16="http://schemas.microsoft.com/office/drawing/2014/chart" uri="{C3380CC4-5D6E-409C-BE32-E72D297353CC}">
              <c16:uniqueId val="{00000006-04C4-44B9-A2EA-DFE20844E2E3}"/>
            </c:ext>
          </c:extLst>
        </c:ser>
        <c:ser>
          <c:idx val="17"/>
          <c:order val="7"/>
          <c:tx>
            <c:strRef>
              <c:f>Outputs_with_historical_data!$B$585</c:f>
              <c:strCache>
                <c:ptCount val="1"/>
                <c:pt idx="0">
                  <c:v>Secondary 40-49 - projected</c:v>
                </c:pt>
              </c:strCache>
            </c:strRef>
          </c:tx>
          <c:spPr>
            <a:ln>
              <a:solidFill>
                <a:srgbClr val="00B0F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Outputs_with_historical_data!$C$585:$U$585</c:f>
              <c:numCache>
                <c:formatCode>0%</c:formatCode>
                <c:ptCount val="19"/>
                <c:pt idx="6">
                  <c:v>0.26623108579543453</c:v>
                </c:pt>
                <c:pt idx="7">
                  <c:v>0.26877660671093667</c:v>
                </c:pt>
                <c:pt idx="8">
                  <c:v>0.27051017012668976</c:v>
                </c:pt>
                <c:pt idx="9">
                  <c:v>0.27111214017181418</c:v>
                </c:pt>
                <c:pt idx="10">
                  <c:v>0.27124170512378215</c:v>
                </c:pt>
                <c:pt idx="11">
                  <c:v>0.27072199376048722</c:v>
                </c:pt>
                <c:pt idx="12">
                  <c:v>0.26971636505916635</c:v>
                </c:pt>
                <c:pt idx="13">
                  <c:v>0.26812589902989908</c:v>
                </c:pt>
                <c:pt idx="14">
                  <c:v>0.2669543091796916</c:v>
                </c:pt>
                <c:pt idx="15">
                  <c:v>0.26623457368772552</c:v>
                </c:pt>
                <c:pt idx="16">
                  <c:v>0.26586397151581587</c:v>
                </c:pt>
                <c:pt idx="17">
                  <c:v>0.26557688886379655</c:v>
                </c:pt>
                <c:pt idx="18">
                  <c:v>0.26542456190783759</c:v>
                </c:pt>
              </c:numCache>
            </c:numRef>
          </c:val>
          <c:smooth val="0"/>
          <c:extLst>
            <c:ext xmlns:c16="http://schemas.microsoft.com/office/drawing/2014/chart" uri="{C3380CC4-5D6E-409C-BE32-E72D297353CC}">
              <c16:uniqueId val="{00000007-04C4-44B9-A2EA-DFE20844E2E3}"/>
            </c:ext>
          </c:extLst>
        </c:ser>
        <c:ser>
          <c:idx val="18"/>
          <c:order val="8"/>
          <c:tx>
            <c:strRef>
              <c:f>Outputs_with_historical_data!$B$586</c:f>
              <c:strCache>
                <c:ptCount val="1"/>
                <c:pt idx="0">
                  <c:v>Secondary 50-59 - projected</c:v>
                </c:pt>
              </c:strCache>
            </c:strRef>
          </c:tx>
          <c:spPr>
            <a:ln>
              <a:solidFill>
                <a:srgbClr val="92D05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Outputs_with_historical_data!$C$586:$U$586</c:f>
              <c:numCache>
                <c:formatCode>0%</c:formatCode>
                <c:ptCount val="19"/>
                <c:pt idx="6">
                  <c:v>0.15586995388482058</c:v>
                </c:pt>
                <c:pt idx="7">
                  <c:v>0.14797555795953438</c:v>
                </c:pt>
                <c:pt idx="8">
                  <c:v>0.14317064015418057</c:v>
                </c:pt>
                <c:pt idx="9">
                  <c:v>0.14014880714954908</c:v>
                </c:pt>
                <c:pt idx="10">
                  <c:v>0.13847204315598696</c:v>
                </c:pt>
                <c:pt idx="11">
                  <c:v>0.13752706772777218</c:v>
                </c:pt>
                <c:pt idx="12">
                  <c:v>0.13700892255631747</c:v>
                </c:pt>
                <c:pt idx="13">
                  <c:v>0.13659349127560069</c:v>
                </c:pt>
                <c:pt idx="14">
                  <c:v>0.13653968248034393</c:v>
                </c:pt>
                <c:pt idx="15">
                  <c:v>0.1367474210443991</c:v>
                </c:pt>
                <c:pt idx="16">
                  <c:v>0.13709640983934543</c:v>
                </c:pt>
                <c:pt idx="17">
                  <c:v>0.13741609442030009</c:v>
                </c:pt>
                <c:pt idx="18">
                  <c:v>0.13770545155653705</c:v>
                </c:pt>
              </c:numCache>
            </c:numRef>
          </c:val>
          <c:smooth val="0"/>
          <c:extLst>
            <c:ext xmlns:c16="http://schemas.microsoft.com/office/drawing/2014/chart" uri="{C3380CC4-5D6E-409C-BE32-E72D297353CC}">
              <c16:uniqueId val="{00000008-04C4-44B9-A2EA-DFE20844E2E3}"/>
            </c:ext>
          </c:extLst>
        </c:ser>
        <c:ser>
          <c:idx val="19"/>
          <c:order val="9"/>
          <c:tx>
            <c:strRef>
              <c:f>Outputs_with_historical_data!$B$587</c:f>
              <c:strCache>
                <c:ptCount val="1"/>
                <c:pt idx="0">
                  <c:v>Secondary 60 plus - projected</c:v>
                </c:pt>
              </c:strCache>
            </c:strRef>
          </c:tx>
          <c:spPr>
            <a:ln>
              <a:solidFill>
                <a:srgbClr val="FFC000"/>
              </a:solidFill>
              <a:prstDash val="sysDot"/>
            </a:ln>
          </c:spPr>
          <c:marker>
            <c:symbol val="none"/>
          </c:marker>
          <c:cat>
            <c:strRef>
              <c:f>Outputs_with_historical_data!$C$567:$U$567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Outputs_with_historical_data!$C$587:$U$587</c:f>
              <c:numCache>
                <c:formatCode>0%</c:formatCode>
                <c:ptCount val="19"/>
                <c:pt idx="6">
                  <c:v>2.1906689608100358E-2</c:v>
                </c:pt>
                <c:pt idx="7">
                  <c:v>2.4016583282183569E-2</c:v>
                </c:pt>
                <c:pt idx="8">
                  <c:v>2.4454252676576357E-2</c:v>
                </c:pt>
                <c:pt idx="9">
                  <c:v>2.4174470369279583E-2</c:v>
                </c:pt>
                <c:pt idx="10">
                  <c:v>2.3675453213312204E-2</c:v>
                </c:pt>
                <c:pt idx="11">
                  <c:v>2.3161812344746013E-2</c:v>
                </c:pt>
                <c:pt idx="12">
                  <c:v>2.2720774170346528E-2</c:v>
                </c:pt>
                <c:pt idx="13">
                  <c:v>2.2373712156108456E-2</c:v>
                </c:pt>
                <c:pt idx="14">
                  <c:v>2.2118905703915982E-2</c:v>
                </c:pt>
                <c:pt idx="15">
                  <c:v>2.1943391681755211E-2</c:v>
                </c:pt>
                <c:pt idx="16">
                  <c:v>2.1832581673773031E-2</c:v>
                </c:pt>
                <c:pt idx="17">
                  <c:v>2.1771488308463951E-2</c:v>
                </c:pt>
                <c:pt idx="18">
                  <c:v>2.1745222190379963E-2</c:v>
                </c:pt>
              </c:numCache>
            </c:numRef>
          </c:val>
          <c:smooth val="0"/>
          <c:extLst>
            <c:ext xmlns:c16="http://schemas.microsoft.com/office/drawing/2014/chart" uri="{C3380CC4-5D6E-409C-BE32-E72D297353CC}">
              <c16:uniqueId val="{00000009-04C4-44B9-A2EA-DFE20844E2E3}"/>
            </c:ext>
          </c:extLst>
        </c:ser>
        <c:dLbls>
          <c:showLegendKey val="0"/>
          <c:showVal val="0"/>
          <c:showCatName val="0"/>
          <c:showSerName val="0"/>
          <c:showPercent val="0"/>
          <c:showBubbleSize val="0"/>
        </c:dLbls>
        <c:smooth val="0"/>
        <c:axId val="171944192"/>
        <c:axId val="171966464"/>
      </c:lineChart>
      <c:catAx>
        <c:axId val="17194419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966464"/>
        <c:crosses val="autoZero"/>
        <c:auto val="1"/>
        <c:lblAlgn val="ctr"/>
        <c:lblOffset val="100"/>
        <c:noMultiLvlLbl val="0"/>
      </c:catAx>
      <c:valAx>
        <c:axId val="1719664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944192"/>
        <c:crosses val="autoZero"/>
        <c:crossBetween val="between"/>
      </c:valAx>
      <c:spPr>
        <a:ln>
          <a:solidFill>
            <a:schemeClr val="tx1">
              <a:lumMod val="95000"/>
              <a:lumOff val="5000"/>
            </a:schemeClr>
          </a:solidFill>
        </a:ln>
      </c:spPr>
    </c:plotArea>
    <c:legend>
      <c:legendPos val="r"/>
      <c:layout>
        <c:manualLayout>
          <c:xMode val="edge"/>
          <c:yMode val="edge"/>
          <c:x val="0.72126938678119779"/>
          <c:y val="7.5931382502688591E-2"/>
          <c:w val="0.26072041166380788"/>
          <c:h val="0.8567335243553008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41544678048"/>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Outputs_with_historical_data!$B$615</c:f>
              <c:strCache>
                <c:ptCount val="1"/>
                <c:pt idx="0">
                  <c:v>Primary entrants - historical</c:v>
                </c:pt>
              </c:strCache>
            </c:strRef>
          </c:tx>
          <c:spPr>
            <a:ln>
              <a:solidFill>
                <a:schemeClr val="tx1">
                  <a:lumMod val="95000"/>
                  <a:lumOff val="5000"/>
                </a:schemeClr>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Outputs_with_historical_data!$C$615:$U$615</c:f>
              <c:numCache>
                <c:formatCode>#,##0</c:formatCode>
                <c:ptCount val="19"/>
                <c:pt idx="0">
                  <c:v>20529.657089546286</c:v>
                </c:pt>
                <c:pt idx="1">
                  <c:v>23989.040999999994</c:v>
                </c:pt>
                <c:pt idx="2">
                  <c:v>25277.416000000001</c:v>
                </c:pt>
                <c:pt idx="3">
                  <c:v>26598.285000000003</c:v>
                </c:pt>
                <c:pt idx="4">
                  <c:v>26693.667000000001</c:v>
                </c:pt>
                <c:pt idx="5">
                  <c:v>25406.252</c:v>
                </c:pt>
              </c:numCache>
            </c:numRef>
          </c:val>
          <c:smooth val="0"/>
          <c:extLst>
            <c:ext xmlns:c16="http://schemas.microsoft.com/office/drawing/2014/chart" uri="{C3380CC4-5D6E-409C-BE32-E72D297353CC}">
              <c16:uniqueId val="{00000000-2056-4E00-B912-7914049F10D7}"/>
            </c:ext>
          </c:extLst>
        </c:ser>
        <c:ser>
          <c:idx val="7"/>
          <c:order val="1"/>
          <c:tx>
            <c:strRef>
              <c:f>Outputs_with_historical_data!$B$616</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Outputs_with_historical_data!$C$616:$U$616</c:f>
              <c:numCache>
                <c:formatCode>#,##0</c:formatCode>
                <c:ptCount val="19"/>
                <c:pt idx="7">
                  <c:v>27567.610098506135</c:v>
                </c:pt>
                <c:pt idx="8">
                  <c:v>26168.018656485227</c:v>
                </c:pt>
                <c:pt idx="9">
                  <c:v>25492.593807015372</c:v>
                </c:pt>
                <c:pt idx="10">
                  <c:v>25178.924285860096</c:v>
                </c:pt>
                <c:pt idx="11">
                  <c:v>24958.713813880742</c:v>
                </c:pt>
                <c:pt idx="12">
                  <c:v>24696.100468209581</c:v>
                </c:pt>
                <c:pt idx="13">
                  <c:v>24408.266644993811</c:v>
                </c:pt>
                <c:pt idx="14">
                  <c:v>24950.329485232243</c:v>
                </c:pt>
                <c:pt idx="15">
                  <c:v>25389.224909382261</c:v>
                </c:pt>
                <c:pt idx="16">
                  <c:v>25497.882054938753</c:v>
                </c:pt>
                <c:pt idx="17">
                  <c:v>25396.267516090727</c:v>
                </c:pt>
                <c:pt idx="18">
                  <c:v>25272.066186930482</c:v>
                </c:pt>
              </c:numCache>
            </c:numRef>
          </c:val>
          <c:smooth val="0"/>
          <c:extLst>
            <c:ext xmlns:c16="http://schemas.microsoft.com/office/drawing/2014/chart" uri="{C3380CC4-5D6E-409C-BE32-E72D297353CC}">
              <c16:uniqueId val="{00000001-2056-4E00-B912-7914049F10D7}"/>
            </c:ext>
          </c:extLst>
        </c:ser>
        <c:ser>
          <c:idx val="8"/>
          <c:order val="2"/>
          <c:tx>
            <c:strRef>
              <c:f>Outputs_with_historical_data!$B$617</c:f>
              <c:strCache>
                <c:ptCount val="1"/>
                <c:pt idx="0">
                  <c:v>Primary leavers - historical</c:v>
                </c:pt>
              </c:strCache>
            </c:strRef>
          </c:tx>
          <c:spPr>
            <a:ln>
              <a:solidFill>
                <a:srgbClr val="FF0000"/>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Outputs_with_historical_data!$C$617:$U$617</c:f>
              <c:numCache>
                <c:formatCode>#,##0</c:formatCode>
                <c:ptCount val="19"/>
                <c:pt idx="1">
                  <c:v>20111.489062167639</c:v>
                </c:pt>
                <c:pt idx="2">
                  <c:v>21601.430999999997</c:v>
                </c:pt>
                <c:pt idx="3">
                  <c:v>23974.491000000002</c:v>
                </c:pt>
                <c:pt idx="4">
                  <c:v>24838.873</c:v>
                </c:pt>
                <c:pt idx="5">
                  <c:v>24403.489999999998</c:v>
                </c:pt>
              </c:numCache>
            </c:numRef>
          </c:val>
          <c:smooth val="0"/>
          <c:extLst>
            <c:ext xmlns:c16="http://schemas.microsoft.com/office/drawing/2014/chart" uri="{C3380CC4-5D6E-409C-BE32-E72D297353CC}">
              <c16:uniqueId val="{00000002-2056-4E00-B912-7914049F10D7}"/>
            </c:ext>
          </c:extLst>
        </c:ser>
        <c:ser>
          <c:idx val="0"/>
          <c:order val="3"/>
          <c:tx>
            <c:strRef>
              <c:f>Outputs_with_historical_data!$B$618</c:f>
              <c:strCache>
                <c:ptCount val="1"/>
                <c:pt idx="0">
                  <c:v>Primary leavers - projected</c:v>
                </c:pt>
              </c:strCache>
            </c:strRef>
          </c:tx>
          <c:spPr>
            <a:ln>
              <a:solidFill>
                <a:srgbClr val="FF0000"/>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Outputs_with_historical_data!$C$618:$U$618</c:f>
              <c:numCache>
                <c:formatCode>#,##0</c:formatCode>
                <c:ptCount val="19"/>
                <c:pt idx="7">
                  <c:v>25469.99905066513</c:v>
                </c:pt>
                <c:pt idx="8">
                  <c:v>25503.585449146347</c:v>
                </c:pt>
                <c:pt idx="9">
                  <c:v>25830.126220973489</c:v>
                </c:pt>
                <c:pt idx="10">
                  <c:v>25884.62884704036</c:v>
                </c:pt>
                <c:pt idx="11">
                  <c:v>25824.850765185958</c:v>
                </c:pt>
                <c:pt idx="12">
                  <c:v>25769.802032877473</c:v>
                </c:pt>
                <c:pt idx="13">
                  <c:v>25710.756349603485</c:v>
                </c:pt>
                <c:pt idx="14">
                  <c:v>25641.555549155513</c:v>
                </c:pt>
                <c:pt idx="15">
                  <c:v>25648.461774369658</c:v>
                </c:pt>
                <c:pt idx="16">
                  <c:v>25708.639956692568</c:v>
                </c:pt>
                <c:pt idx="17">
                  <c:v>25778.373005504072</c:v>
                </c:pt>
                <c:pt idx="18">
                  <c:v>25832.426165774523</c:v>
                </c:pt>
              </c:numCache>
            </c:numRef>
          </c:val>
          <c:smooth val="0"/>
          <c:extLst>
            <c:ext xmlns:c16="http://schemas.microsoft.com/office/drawing/2014/chart" uri="{C3380CC4-5D6E-409C-BE32-E72D297353CC}">
              <c16:uniqueId val="{00000003-2056-4E00-B912-7914049F10D7}"/>
            </c:ext>
          </c:extLst>
        </c:ser>
        <c:ser>
          <c:idx val="1"/>
          <c:order val="4"/>
          <c:tx>
            <c:strRef>
              <c:f>Outputs_with_historical_data!$B$619</c:f>
              <c:strCache>
                <c:ptCount val="1"/>
                <c:pt idx="0">
                  <c:v>Primary net change - historical</c:v>
                </c:pt>
              </c:strCache>
            </c:strRef>
          </c:tx>
          <c:spPr>
            <a:ln>
              <a:solidFill>
                <a:srgbClr val="00B0F0"/>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Outputs_with_historical_data!$C$619:$U$619</c:f>
              <c:numCache>
                <c:formatCode>#,##0</c:formatCode>
                <c:ptCount val="19"/>
                <c:pt idx="1">
                  <c:v>3877.5519378323552</c:v>
                </c:pt>
                <c:pt idx="2">
                  <c:v>3675.9850000000042</c:v>
                </c:pt>
                <c:pt idx="3">
                  <c:v>2623.7940000000017</c:v>
                </c:pt>
                <c:pt idx="4">
                  <c:v>1854.7940000000017</c:v>
                </c:pt>
                <c:pt idx="5">
                  <c:v>1002.7620000000024</c:v>
                </c:pt>
              </c:numCache>
            </c:numRef>
          </c:val>
          <c:smooth val="0"/>
          <c:extLst>
            <c:ext xmlns:c16="http://schemas.microsoft.com/office/drawing/2014/chart" uri="{C3380CC4-5D6E-409C-BE32-E72D297353CC}">
              <c16:uniqueId val="{00000004-2056-4E00-B912-7914049F10D7}"/>
            </c:ext>
          </c:extLst>
        </c:ser>
        <c:ser>
          <c:idx val="2"/>
          <c:order val="5"/>
          <c:tx>
            <c:strRef>
              <c:f>Outputs_with_historical_data!$B$620</c:f>
              <c:strCache>
                <c:ptCount val="1"/>
                <c:pt idx="0">
                  <c:v>Primary net change - projected</c:v>
                </c:pt>
              </c:strCache>
            </c:strRef>
          </c:tx>
          <c:spPr>
            <a:ln>
              <a:solidFill>
                <a:srgbClr val="00B0F0"/>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Outputs_with_historical_data!$C$620:$U$620</c:f>
              <c:numCache>
                <c:formatCode>#,##0</c:formatCode>
                <c:ptCount val="19"/>
                <c:pt idx="7">
                  <c:v>2097.6110478410046</c:v>
                </c:pt>
                <c:pt idx="8">
                  <c:v>664.43320733887958</c:v>
                </c:pt>
                <c:pt idx="9">
                  <c:v>-337.5324139581171</c:v>
                </c:pt>
                <c:pt idx="10">
                  <c:v>-705.70456118026414</c:v>
                </c:pt>
                <c:pt idx="11">
                  <c:v>-866.13695130521592</c:v>
                </c:pt>
                <c:pt idx="12">
                  <c:v>-1073.7015646678919</c:v>
                </c:pt>
                <c:pt idx="13">
                  <c:v>-1302.4897046096739</c:v>
                </c:pt>
                <c:pt idx="14">
                  <c:v>-691.22606392326998</c:v>
                </c:pt>
                <c:pt idx="15">
                  <c:v>-259.23686498739698</c:v>
                </c:pt>
                <c:pt idx="16">
                  <c:v>-210.75790175381553</c:v>
                </c:pt>
                <c:pt idx="17">
                  <c:v>-382.10548941334491</c:v>
                </c:pt>
                <c:pt idx="18">
                  <c:v>-560.3599788440406</c:v>
                </c:pt>
              </c:numCache>
            </c:numRef>
          </c:val>
          <c:smooth val="0"/>
          <c:extLst>
            <c:ext xmlns:c16="http://schemas.microsoft.com/office/drawing/2014/chart" uri="{C3380CC4-5D6E-409C-BE32-E72D297353CC}">
              <c16:uniqueId val="{00000005-2056-4E00-B912-7914049F10D7}"/>
            </c:ext>
          </c:extLst>
        </c:ser>
        <c:dLbls>
          <c:showLegendKey val="0"/>
          <c:showVal val="0"/>
          <c:showCatName val="0"/>
          <c:showSerName val="0"/>
          <c:showPercent val="0"/>
          <c:showBubbleSize val="0"/>
        </c:dLbls>
        <c:smooth val="0"/>
        <c:axId val="172014592"/>
        <c:axId val="172163840"/>
      </c:lineChart>
      <c:catAx>
        <c:axId val="172014592"/>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163840"/>
        <c:crosses val="autoZero"/>
        <c:auto val="1"/>
        <c:lblAlgn val="ctr"/>
        <c:lblOffset val="100"/>
        <c:noMultiLvlLbl val="0"/>
      </c:catAx>
      <c:valAx>
        <c:axId val="1721638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014592"/>
        <c:crosses val="autoZero"/>
        <c:crossBetween val="between"/>
      </c:valAx>
      <c:spPr>
        <a:ln>
          <a:solidFill>
            <a:schemeClr val="tx1">
              <a:lumMod val="95000"/>
              <a:lumOff val="5000"/>
            </a:schemeClr>
          </a:solidFill>
        </a:ln>
      </c:spPr>
    </c:plotArea>
    <c:legend>
      <c:legendPos val="r"/>
      <c:layout>
        <c:manualLayout>
          <c:xMode val="edge"/>
          <c:yMode val="edge"/>
          <c:x val="0.75343705748121681"/>
          <c:y val="0.1141978548977674"/>
          <c:w val="0.22938171388370265"/>
          <c:h val="0.771606234405884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service by all routes</a:t>
            </a:r>
          </a:p>
        </c:rich>
      </c:tx>
      <c:overlay val="0"/>
    </c:title>
    <c:autoTitleDeleted val="0"/>
    <c:plotArea>
      <c:layout>
        <c:manualLayout>
          <c:layoutTarget val="inner"/>
          <c:xMode val="edge"/>
          <c:yMode val="edge"/>
          <c:x val="0.12813569889823517"/>
          <c:y val="0.1031621331424481"/>
          <c:w val="0.63448083392136434"/>
          <c:h val="0.72347232164161301"/>
        </c:manualLayout>
      </c:layout>
      <c:lineChart>
        <c:grouping val="standard"/>
        <c:varyColors val="0"/>
        <c:ser>
          <c:idx val="0"/>
          <c:order val="0"/>
          <c:tx>
            <c:strRef>
              <c:f>Outputs_with_historical_data!$B$269</c:f>
              <c:strCache>
                <c:ptCount val="1"/>
                <c:pt idx="0">
                  <c:v>Primary leavers - historical</c:v>
                </c:pt>
              </c:strCache>
            </c:strRef>
          </c:tx>
          <c:spPr>
            <a:ln>
              <a:solidFill>
                <a:schemeClr val="tx1">
                  <a:lumMod val="95000"/>
                  <a:lumOff val="5000"/>
                </a:schemeClr>
              </a:solidFill>
            </a:ln>
          </c:spPr>
          <c:marker>
            <c:symbol val="none"/>
          </c:marker>
          <c:cat>
            <c:strRef>
              <c:f>Outputs_with_historical_data!$C$268:$U$268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Outputs_with_historical_data!$C$269:$U$269</c:f>
              <c:numCache>
                <c:formatCode>#,##0</c:formatCode>
                <c:ptCount val="19"/>
                <c:pt idx="1">
                  <c:v>20111.489062167639</c:v>
                </c:pt>
                <c:pt idx="2">
                  <c:v>21601.430999999997</c:v>
                </c:pt>
                <c:pt idx="3">
                  <c:v>23974.491000000002</c:v>
                </c:pt>
                <c:pt idx="4">
                  <c:v>24838.873</c:v>
                </c:pt>
                <c:pt idx="5">
                  <c:v>24403.489999999998</c:v>
                </c:pt>
              </c:numCache>
            </c:numRef>
          </c:val>
          <c:smooth val="0"/>
          <c:extLst>
            <c:ext xmlns:c16="http://schemas.microsoft.com/office/drawing/2014/chart" uri="{C3380CC4-5D6E-409C-BE32-E72D297353CC}">
              <c16:uniqueId val="{00000000-D0EF-42EF-93A6-B5B83C48DC60}"/>
            </c:ext>
          </c:extLst>
        </c:ser>
        <c:ser>
          <c:idx val="1"/>
          <c:order val="1"/>
          <c:tx>
            <c:strRef>
              <c:f>Outputs_with_historical_data!$B$270</c:f>
              <c:strCache>
                <c:ptCount val="1"/>
                <c:pt idx="0">
                  <c:v>Primary leavers - projected</c:v>
                </c:pt>
              </c:strCache>
            </c:strRef>
          </c:tx>
          <c:spPr>
            <a:ln>
              <a:solidFill>
                <a:schemeClr val="tx1">
                  <a:lumMod val="95000"/>
                  <a:lumOff val="5000"/>
                </a:schemeClr>
              </a:solidFill>
              <a:prstDash val="sysDot"/>
            </a:ln>
          </c:spPr>
          <c:marker>
            <c:symbol val="none"/>
          </c:marker>
          <c:cat>
            <c:strRef>
              <c:f>Outputs_with_historical_data!$C$268:$U$268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Outputs_with_historical_data!$C$270:$U$270</c:f>
              <c:numCache>
                <c:formatCode>#,##0</c:formatCode>
                <c:ptCount val="19"/>
                <c:pt idx="7">
                  <c:v>25469.99905066513</c:v>
                </c:pt>
                <c:pt idx="8">
                  <c:v>25503.585449146347</c:v>
                </c:pt>
                <c:pt idx="9">
                  <c:v>25830.126220973489</c:v>
                </c:pt>
                <c:pt idx="10">
                  <c:v>25884.62884704036</c:v>
                </c:pt>
                <c:pt idx="11">
                  <c:v>25824.850765185958</c:v>
                </c:pt>
                <c:pt idx="12">
                  <c:v>25769.802032877473</c:v>
                </c:pt>
                <c:pt idx="13">
                  <c:v>25710.756349603485</c:v>
                </c:pt>
                <c:pt idx="14">
                  <c:v>25641.555549155513</c:v>
                </c:pt>
                <c:pt idx="15">
                  <c:v>25648.461774369658</c:v>
                </c:pt>
                <c:pt idx="16">
                  <c:v>25708.639956692568</c:v>
                </c:pt>
                <c:pt idx="17">
                  <c:v>25778.373005504072</c:v>
                </c:pt>
                <c:pt idx="18">
                  <c:v>25832.426165774523</c:v>
                </c:pt>
              </c:numCache>
            </c:numRef>
          </c:val>
          <c:smooth val="0"/>
          <c:extLst>
            <c:ext xmlns:c16="http://schemas.microsoft.com/office/drawing/2014/chart" uri="{C3380CC4-5D6E-409C-BE32-E72D297353CC}">
              <c16:uniqueId val="{00000001-D0EF-42EF-93A6-B5B83C48DC60}"/>
            </c:ext>
          </c:extLst>
        </c:ser>
        <c:ser>
          <c:idx val="2"/>
          <c:order val="2"/>
          <c:tx>
            <c:strRef>
              <c:f>Outputs_with_historical_data!$B$271</c:f>
              <c:strCache>
                <c:ptCount val="1"/>
                <c:pt idx="0">
                  <c:v>Secondary leavers - historical</c:v>
                </c:pt>
              </c:strCache>
            </c:strRef>
          </c:tx>
          <c:spPr>
            <a:ln>
              <a:solidFill>
                <a:srgbClr val="FF0000"/>
              </a:solidFill>
            </a:ln>
          </c:spPr>
          <c:marker>
            <c:symbol val="none"/>
          </c:marker>
          <c:cat>
            <c:strRef>
              <c:f>Outputs_with_historical_data!$C$268:$U$268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Outputs_with_historical_data!$C$271:$U$271</c:f>
              <c:numCache>
                <c:formatCode>#,##0</c:formatCode>
                <c:ptCount val="19"/>
                <c:pt idx="1">
                  <c:v>21107.755327273022</c:v>
                </c:pt>
                <c:pt idx="2">
                  <c:v>22439.189000000002</c:v>
                </c:pt>
                <c:pt idx="3">
                  <c:v>23521.777000000002</c:v>
                </c:pt>
                <c:pt idx="4">
                  <c:v>25112.794000000002</c:v>
                </c:pt>
                <c:pt idx="5">
                  <c:v>23996.908000000003</c:v>
                </c:pt>
              </c:numCache>
            </c:numRef>
          </c:val>
          <c:smooth val="0"/>
          <c:extLst>
            <c:ext xmlns:c16="http://schemas.microsoft.com/office/drawing/2014/chart" uri="{C3380CC4-5D6E-409C-BE32-E72D297353CC}">
              <c16:uniqueId val="{00000002-D0EF-42EF-93A6-B5B83C48DC60}"/>
            </c:ext>
          </c:extLst>
        </c:ser>
        <c:ser>
          <c:idx val="3"/>
          <c:order val="3"/>
          <c:tx>
            <c:strRef>
              <c:f>Outputs_with_historical_data!$B$272</c:f>
              <c:strCache>
                <c:ptCount val="1"/>
                <c:pt idx="0">
                  <c:v>Secondary leavers - projected</c:v>
                </c:pt>
              </c:strCache>
            </c:strRef>
          </c:tx>
          <c:spPr>
            <a:ln>
              <a:solidFill>
                <a:srgbClr val="FF0000"/>
              </a:solidFill>
              <a:prstDash val="sysDot"/>
            </a:ln>
          </c:spPr>
          <c:marker>
            <c:symbol val="none"/>
          </c:marker>
          <c:cat>
            <c:strRef>
              <c:f>Outputs_with_historical_data!$C$268:$U$268</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Outputs_with_historical_data!$C$272:$U$272</c:f>
              <c:numCache>
                <c:formatCode>#,##0</c:formatCode>
                <c:ptCount val="19"/>
                <c:pt idx="7">
                  <c:v>23965.531070029494</c:v>
                </c:pt>
                <c:pt idx="8">
                  <c:v>23858.728281904921</c:v>
                </c:pt>
                <c:pt idx="9">
                  <c:v>24544.983035426107</c:v>
                </c:pt>
                <c:pt idx="10">
                  <c:v>24814.521789501643</c:v>
                </c:pt>
                <c:pt idx="11">
                  <c:v>25025.013487948076</c:v>
                </c:pt>
                <c:pt idx="12">
                  <c:v>25252.564256104852</c:v>
                </c:pt>
                <c:pt idx="13">
                  <c:v>25502.297367468738</c:v>
                </c:pt>
                <c:pt idx="14">
                  <c:v>25791.500318501432</c:v>
                </c:pt>
                <c:pt idx="15">
                  <c:v>25953.788923394284</c:v>
                </c:pt>
                <c:pt idx="16">
                  <c:v>26003.999266691608</c:v>
                </c:pt>
                <c:pt idx="17">
                  <c:v>25979.634867583081</c:v>
                </c:pt>
                <c:pt idx="18">
                  <c:v>25941.801826349569</c:v>
                </c:pt>
              </c:numCache>
            </c:numRef>
          </c:val>
          <c:smooth val="0"/>
          <c:extLst>
            <c:ext xmlns:c16="http://schemas.microsoft.com/office/drawing/2014/chart" uri="{C3380CC4-5D6E-409C-BE32-E72D297353CC}">
              <c16:uniqueId val="{00000003-D0EF-42EF-93A6-B5B83C48DC60}"/>
            </c:ext>
          </c:extLst>
        </c:ser>
        <c:dLbls>
          <c:showLegendKey val="0"/>
          <c:showVal val="0"/>
          <c:showCatName val="0"/>
          <c:showSerName val="0"/>
          <c:showPercent val="0"/>
          <c:showBubbleSize val="0"/>
        </c:dLbls>
        <c:smooth val="0"/>
        <c:axId val="172193280"/>
        <c:axId val="172194816"/>
      </c:lineChart>
      <c:catAx>
        <c:axId val="1721932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194816"/>
        <c:crosses val="autoZero"/>
        <c:auto val="1"/>
        <c:lblAlgn val="ctr"/>
        <c:lblOffset val="100"/>
        <c:noMultiLvlLbl val="0"/>
      </c:catAx>
      <c:valAx>
        <c:axId val="17219481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193280"/>
        <c:crosses val="autoZero"/>
        <c:crossBetween val="between"/>
      </c:valAx>
      <c:spPr>
        <a:ln>
          <a:solidFill>
            <a:schemeClr val="tx1">
              <a:lumMod val="95000"/>
              <a:lumOff val="5000"/>
            </a:schemeClr>
          </a:solidFill>
        </a:ln>
      </c:spPr>
    </c:plotArea>
    <c:legend>
      <c:legendPos val="r"/>
      <c:layout>
        <c:manualLayout>
          <c:xMode val="edge"/>
          <c:yMode val="edge"/>
          <c:x val="0.77530017152658659"/>
          <c:y val="8.5294117647058826E-2"/>
          <c:w val="0.20840489278462837"/>
          <c:h val="0.7470588235294117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leaving service rate</a:t>
            </a:r>
          </a:p>
        </c:rich>
      </c:tx>
      <c:overlay val="0"/>
    </c:title>
    <c:autoTitleDeleted val="0"/>
    <c:plotArea>
      <c:layout>
        <c:manualLayout>
          <c:layoutTarget val="inner"/>
          <c:xMode val="edge"/>
          <c:yMode val="edge"/>
          <c:x val="0.14959270378972411"/>
          <c:y val="0.1145859743722511"/>
          <c:w val="0.59816726146641741"/>
          <c:h val="0.71204849393825775"/>
        </c:manualLayout>
      </c:layout>
      <c:lineChart>
        <c:grouping val="standard"/>
        <c:varyColors val="0"/>
        <c:ser>
          <c:idx val="0"/>
          <c:order val="0"/>
          <c:tx>
            <c:strRef>
              <c:f>Outputs_with_historical_data!$B$298</c:f>
              <c:strCache>
                <c:ptCount val="1"/>
                <c:pt idx="0">
                  <c:v>Primary leavers rate - historical</c:v>
                </c:pt>
              </c:strCache>
            </c:strRef>
          </c:tx>
          <c:spPr>
            <a:ln>
              <a:solidFill>
                <a:schemeClr val="tx1">
                  <a:lumMod val="95000"/>
                  <a:lumOff val="5000"/>
                </a:schemeClr>
              </a:solidFill>
            </a:ln>
          </c:spPr>
          <c:marker>
            <c:symbol val="none"/>
          </c:marker>
          <c:cat>
            <c:strRef>
              <c:f>Outputs_with_historical_data!$C$297:$U$297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Outputs_with_historical_data!$C$298:$U$298</c:f>
              <c:numCache>
                <c:formatCode>0.0%</c:formatCode>
                <c:ptCount val="19"/>
                <c:pt idx="1">
                  <c:v>9.1515999924442953E-2</c:v>
                </c:pt>
                <c:pt idx="2">
                  <c:v>9.5902851838892827E-2</c:v>
                </c:pt>
                <c:pt idx="3">
                  <c:v>0.10400768896689476</c:v>
                </c:pt>
                <c:pt idx="4">
                  <c:v>0.10539706464767534</c:v>
                </c:pt>
                <c:pt idx="5">
                  <c:v>0.10196404427148709</c:v>
                </c:pt>
              </c:numCache>
            </c:numRef>
          </c:val>
          <c:smooth val="0"/>
          <c:extLst>
            <c:ext xmlns:c16="http://schemas.microsoft.com/office/drawing/2014/chart" uri="{C3380CC4-5D6E-409C-BE32-E72D297353CC}">
              <c16:uniqueId val="{00000000-CDB4-49D8-A36B-163920375A4A}"/>
            </c:ext>
          </c:extLst>
        </c:ser>
        <c:ser>
          <c:idx val="1"/>
          <c:order val="1"/>
          <c:tx>
            <c:strRef>
              <c:f>Outputs_with_historical_data!$B$299</c:f>
              <c:strCache>
                <c:ptCount val="1"/>
                <c:pt idx="0">
                  <c:v>Primary leavers rate - projected</c:v>
                </c:pt>
              </c:strCache>
            </c:strRef>
          </c:tx>
          <c:spPr>
            <a:ln>
              <a:solidFill>
                <a:schemeClr val="tx1">
                  <a:lumMod val="95000"/>
                  <a:lumOff val="5000"/>
                </a:schemeClr>
              </a:solidFill>
              <a:prstDash val="sysDot"/>
            </a:ln>
          </c:spPr>
          <c:marker>
            <c:symbol val="none"/>
          </c:marker>
          <c:cat>
            <c:strRef>
              <c:f>Outputs_with_historical_data!$C$297:$U$297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Outputs_with_historical_data!$C$299:$U$299</c:f>
              <c:numCache>
                <c:formatCode>0.0%</c:formatCode>
                <c:ptCount val="19"/>
                <c:pt idx="7">
                  <c:v>0.10455436252832566</c:v>
                </c:pt>
                <c:pt idx="8">
                  <c:v>0.10440746349015302</c:v>
                </c:pt>
                <c:pt idx="9">
                  <c:v>0.10574207369083219</c:v>
                </c:pt>
                <c:pt idx="10">
                  <c:v>0.10586564223021785</c:v>
                </c:pt>
                <c:pt idx="11">
                  <c:v>0.10559477150430086</c:v>
                </c:pt>
                <c:pt idx="12">
                  <c:v>0.10543703687330085</c:v>
                </c:pt>
                <c:pt idx="13">
                  <c:v>0.10536604405794105</c:v>
                </c:pt>
                <c:pt idx="14">
                  <c:v>0.1049810493650024</c:v>
                </c:pt>
                <c:pt idx="15">
                  <c:v>0.10471608193517955</c:v>
                </c:pt>
                <c:pt idx="16">
                  <c:v>0.10464710561507178</c:v>
                </c:pt>
                <c:pt idx="17">
                  <c:v>0.10469172359310469</c:v>
                </c:pt>
                <c:pt idx="18">
                  <c:v>0.10475022183319169</c:v>
                </c:pt>
              </c:numCache>
            </c:numRef>
          </c:val>
          <c:smooth val="0"/>
          <c:extLst>
            <c:ext xmlns:c16="http://schemas.microsoft.com/office/drawing/2014/chart" uri="{C3380CC4-5D6E-409C-BE32-E72D297353CC}">
              <c16:uniqueId val="{00000001-CDB4-49D8-A36B-163920375A4A}"/>
            </c:ext>
          </c:extLst>
        </c:ser>
        <c:ser>
          <c:idx val="2"/>
          <c:order val="2"/>
          <c:tx>
            <c:strRef>
              <c:f>Outputs_with_historical_data!$B$300</c:f>
              <c:strCache>
                <c:ptCount val="1"/>
                <c:pt idx="0">
                  <c:v>Secondary leavers rate - historical</c:v>
                </c:pt>
              </c:strCache>
            </c:strRef>
          </c:tx>
          <c:spPr>
            <a:ln>
              <a:solidFill>
                <a:srgbClr val="FF0000"/>
              </a:solidFill>
            </a:ln>
          </c:spPr>
          <c:marker>
            <c:symbol val="none"/>
          </c:marker>
          <c:cat>
            <c:strRef>
              <c:f>Outputs_with_historical_data!$C$297:$U$297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Outputs_with_historical_data!$C$300:$U$300</c:f>
              <c:numCache>
                <c:formatCode>0.0%</c:formatCode>
                <c:ptCount val="19"/>
                <c:pt idx="1">
                  <c:v>9.6301708845786413E-2</c:v>
                </c:pt>
                <c:pt idx="2">
                  <c:v>0.10213391912985238</c:v>
                </c:pt>
                <c:pt idx="3">
                  <c:v>0.10805366831555958</c:v>
                </c:pt>
                <c:pt idx="4">
                  <c:v>0.11646241967392842</c:v>
                </c:pt>
                <c:pt idx="5">
                  <c:v>0.11318562335104444</c:v>
                </c:pt>
              </c:numCache>
            </c:numRef>
          </c:val>
          <c:smooth val="0"/>
          <c:extLst>
            <c:ext xmlns:c16="http://schemas.microsoft.com/office/drawing/2014/chart" uri="{C3380CC4-5D6E-409C-BE32-E72D297353CC}">
              <c16:uniqueId val="{00000002-CDB4-49D8-A36B-163920375A4A}"/>
            </c:ext>
          </c:extLst>
        </c:ser>
        <c:ser>
          <c:idx val="3"/>
          <c:order val="3"/>
          <c:tx>
            <c:strRef>
              <c:f>Outputs_with_historical_data!$B$301</c:f>
              <c:strCache>
                <c:ptCount val="1"/>
                <c:pt idx="0">
                  <c:v>Secondary leavers rate - projected</c:v>
                </c:pt>
              </c:strCache>
            </c:strRef>
          </c:tx>
          <c:spPr>
            <a:ln>
              <a:solidFill>
                <a:srgbClr val="FF0000"/>
              </a:solidFill>
              <a:prstDash val="sysDot"/>
            </a:ln>
          </c:spPr>
          <c:marker>
            <c:symbol val="none"/>
          </c:marker>
          <c:cat>
            <c:strRef>
              <c:f>Outputs_with_historical_data!$C$297:$U$297</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Outputs_with_historical_data!$C$301:$U$301</c:f>
              <c:numCache>
                <c:formatCode>0.0%</c:formatCode>
                <c:ptCount val="19"/>
                <c:pt idx="7">
                  <c:v>0.113761113997378</c:v>
                </c:pt>
                <c:pt idx="8">
                  <c:v>0.11217158489189752</c:v>
                </c:pt>
                <c:pt idx="9">
                  <c:v>0.11420508065079842</c:v>
                </c:pt>
                <c:pt idx="10">
                  <c:v>0.11448032857856054</c:v>
                </c:pt>
                <c:pt idx="11">
                  <c:v>0.11442742481277236</c:v>
                </c:pt>
                <c:pt idx="12">
                  <c:v>0.11440967030761605</c:v>
                </c:pt>
                <c:pt idx="13">
                  <c:v>0.11419789053023323</c:v>
                </c:pt>
                <c:pt idx="14">
                  <c:v>0.11467920475327176</c:v>
                </c:pt>
                <c:pt idx="15">
                  <c:v>0.11509941687923785</c:v>
                </c:pt>
                <c:pt idx="16">
                  <c:v>0.11539067123646113</c:v>
                </c:pt>
                <c:pt idx="17">
                  <c:v>0.11542347704801323</c:v>
                </c:pt>
                <c:pt idx="18">
                  <c:v>0.11548681914801112</c:v>
                </c:pt>
              </c:numCache>
            </c:numRef>
          </c:val>
          <c:smooth val="0"/>
          <c:extLst>
            <c:ext xmlns:c16="http://schemas.microsoft.com/office/drawing/2014/chart" uri="{C3380CC4-5D6E-409C-BE32-E72D297353CC}">
              <c16:uniqueId val="{00000003-CDB4-49D8-A36B-163920375A4A}"/>
            </c:ext>
          </c:extLst>
        </c:ser>
        <c:dLbls>
          <c:showLegendKey val="0"/>
          <c:showVal val="0"/>
          <c:showCatName val="0"/>
          <c:showSerName val="0"/>
          <c:showPercent val="0"/>
          <c:showBubbleSize val="0"/>
        </c:dLbls>
        <c:smooth val="0"/>
        <c:axId val="172227968"/>
        <c:axId val="172237952"/>
      </c:lineChart>
      <c:catAx>
        <c:axId val="172227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237952"/>
        <c:crosses val="autoZero"/>
        <c:auto val="1"/>
        <c:lblAlgn val="ctr"/>
        <c:lblOffset val="100"/>
        <c:noMultiLvlLbl val="0"/>
      </c:catAx>
      <c:valAx>
        <c:axId val="172237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leaving rate (proportion of teachers leaving service)</a:t>
                </a:r>
              </a:p>
            </c:rich>
          </c:tx>
          <c:overlay val="0"/>
        </c:title>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227968"/>
        <c:crosses val="autoZero"/>
        <c:crossBetween val="between"/>
      </c:valAx>
      <c:spPr>
        <a:ln>
          <a:solidFill>
            <a:schemeClr val="tx1">
              <a:lumMod val="95000"/>
              <a:lumOff val="5000"/>
            </a:schemeClr>
          </a:solidFill>
        </a:ln>
      </c:spPr>
    </c:plotArea>
    <c:legend>
      <c:legendPos val="r"/>
      <c:layout>
        <c:manualLayout>
          <c:xMode val="edge"/>
          <c:yMode val="edge"/>
          <c:x val="0.76072050170401084"/>
          <c:y val="0.11290368762555707"/>
          <c:w val="0.22212701971430238"/>
          <c:h val="0.747802741666089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50239281839"/>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Outputs_with_historical_data!$B$621</c:f>
              <c:strCache>
                <c:ptCount val="1"/>
                <c:pt idx="0">
                  <c:v>Secondary entrants - historical</c:v>
                </c:pt>
              </c:strCache>
            </c:strRef>
          </c:tx>
          <c:spPr>
            <a:ln>
              <a:solidFill>
                <a:schemeClr val="tx1">
                  <a:lumMod val="95000"/>
                  <a:lumOff val="5000"/>
                </a:schemeClr>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Outputs_with_historical_data!$C$621:$U$621</c:f>
              <c:numCache>
                <c:formatCode>#,##0</c:formatCode>
                <c:ptCount val="19"/>
                <c:pt idx="0">
                  <c:v>19900.351266773563</c:v>
                </c:pt>
                <c:pt idx="1">
                  <c:v>21265.592999999993</c:v>
                </c:pt>
                <c:pt idx="2">
                  <c:v>20658.706999999999</c:v>
                </c:pt>
                <c:pt idx="3">
                  <c:v>21075.14</c:v>
                </c:pt>
                <c:pt idx="4">
                  <c:v>20526.904000000002</c:v>
                </c:pt>
                <c:pt idx="5">
                  <c:v>21260.055</c:v>
                </c:pt>
              </c:numCache>
            </c:numRef>
          </c:val>
          <c:smooth val="0"/>
          <c:extLst>
            <c:ext xmlns:c16="http://schemas.microsoft.com/office/drawing/2014/chart" uri="{C3380CC4-5D6E-409C-BE32-E72D297353CC}">
              <c16:uniqueId val="{00000000-4551-488B-B86B-C1CB117B2B78}"/>
            </c:ext>
          </c:extLst>
        </c:ser>
        <c:ser>
          <c:idx val="7"/>
          <c:order val="1"/>
          <c:tx>
            <c:strRef>
              <c:f>Outputs_with_historical_data!$B$622</c:f>
              <c:strCache>
                <c:ptCount val="1"/>
                <c:pt idx="0">
                  <c:v>Secondary entrants - projected</c:v>
                </c:pt>
              </c:strCache>
            </c:strRef>
          </c:tx>
          <c:spPr>
            <a:ln>
              <a:solidFill>
                <a:schemeClr val="tx1">
                  <a:lumMod val="95000"/>
                  <a:lumOff val="5000"/>
                </a:schemeClr>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Outputs_with_historical_data!$C$622:$U$622</c:f>
              <c:numCache>
                <c:formatCode>#,##0</c:formatCode>
                <c:ptCount val="19"/>
                <c:pt idx="7">
                  <c:v>25726.914332450637</c:v>
                </c:pt>
                <c:pt idx="8">
                  <c:v>26013.082992911095</c:v>
                </c:pt>
                <c:pt idx="9">
                  <c:v>26773.534628117941</c:v>
                </c:pt>
                <c:pt idx="10">
                  <c:v>26280.056655388191</c:v>
                </c:pt>
                <c:pt idx="11">
                  <c:v>26557.750010090593</c:v>
                </c:pt>
                <c:pt idx="12">
                  <c:v>26839.574362018644</c:v>
                </c:pt>
                <c:pt idx="13">
                  <c:v>27623.063634274476</c:v>
                </c:pt>
                <c:pt idx="14">
                  <c:v>26917.518218870457</c:v>
                </c:pt>
                <c:pt idx="15">
                  <c:v>26106.103394555023</c:v>
                </c:pt>
                <c:pt idx="16">
                  <c:v>25450.928289338994</c:v>
                </c:pt>
                <c:pt idx="17">
                  <c:v>25287.319697064035</c:v>
                </c:pt>
                <c:pt idx="18">
                  <c:v>25073.871126010978</c:v>
                </c:pt>
              </c:numCache>
            </c:numRef>
          </c:val>
          <c:smooth val="0"/>
          <c:extLst>
            <c:ext xmlns:c16="http://schemas.microsoft.com/office/drawing/2014/chart" uri="{C3380CC4-5D6E-409C-BE32-E72D297353CC}">
              <c16:uniqueId val="{00000001-4551-488B-B86B-C1CB117B2B78}"/>
            </c:ext>
          </c:extLst>
        </c:ser>
        <c:ser>
          <c:idx val="8"/>
          <c:order val="2"/>
          <c:tx>
            <c:strRef>
              <c:f>Outputs_with_historical_data!$B$623</c:f>
              <c:strCache>
                <c:ptCount val="1"/>
                <c:pt idx="0">
                  <c:v>Secondary leavers - historical</c:v>
                </c:pt>
              </c:strCache>
            </c:strRef>
          </c:tx>
          <c:spPr>
            <a:ln>
              <a:solidFill>
                <a:srgbClr val="FF0000"/>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Outputs_with_historical_data!$C$623:$U$623</c:f>
              <c:numCache>
                <c:formatCode>#,##0</c:formatCode>
                <c:ptCount val="19"/>
                <c:pt idx="1">
                  <c:v>21107.755327273022</c:v>
                </c:pt>
                <c:pt idx="2">
                  <c:v>22439.189000000002</c:v>
                </c:pt>
                <c:pt idx="3">
                  <c:v>23521.777000000002</c:v>
                </c:pt>
                <c:pt idx="4">
                  <c:v>25112.794000000002</c:v>
                </c:pt>
                <c:pt idx="5">
                  <c:v>23996.908000000003</c:v>
                </c:pt>
              </c:numCache>
            </c:numRef>
          </c:val>
          <c:smooth val="0"/>
          <c:extLst>
            <c:ext xmlns:c16="http://schemas.microsoft.com/office/drawing/2014/chart" uri="{C3380CC4-5D6E-409C-BE32-E72D297353CC}">
              <c16:uniqueId val="{00000002-4551-488B-B86B-C1CB117B2B78}"/>
            </c:ext>
          </c:extLst>
        </c:ser>
        <c:ser>
          <c:idx val="0"/>
          <c:order val="3"/>
          <c:tx>
            <c:strRef>
              <c:f>Outputs_with_historical_data!$B$624</c:f>
              <c:strCache>
                <c:ptCount val="1"/>
                <c:pt idx="0">
                  <c:v>Secondary leavers - projected</c:v>
                </c:pt>
              </c:strCache>
            </c:strRef>
          </c:tx>
          <c:spPr>
            <a:ln>
              <a:solidFill>
                <a:srgbClr val="FF0000"/>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Outputs_with_historical_data!$C$624:$U$624</c:f>
              <c:numCache>
                <c:formatCode>#,##0</c:formatCode>
                <c:ptCount val="19"/>
                <c:pt idx="7">
                  <c:v>23965.531070029494</c:v>
                </c:pt>
                <c:pt idx="8">
                  <c:v>23858.728281904921</c:v>
                </c:pt>
                <c:pt idx="9">
                  <c:v>24544.983035426107</c:v>
                </c:pt>
                <c:pt idx="10">
                  <c:v>24814.521789501643</c:v>
                </c:pt>
                <c:pt idx="11">
                  <c:v>25025.013487948076</c:v>
                </c:pt>
                <c:pt idx="12">
                  <c:v>25252.564256104852</c:v>
                </c:pt>
                <c:pt idx="13">
                  <c:v>25502.297367468738</c:v>
                </c:pt>
                <c:pt idx="14">
                  <c:v>25791.500318501432</c:v>
                </c:pt>
                <c:pt idx="15">
                  <c:v>25953.788923394284</c:v>
                </c:pt>
                <c:pt idx="16">
                  <c:v>26003.999266691608</c:v>
                </c:pt>
                <c:pt idx="17">
                  <c:v>25979.634867583081</c:v>
                </c:pt>
                <c:pt idx="18">
                  <c:v>25941.801826349569</c:v>
                </c:pt>
              </c:numCache>
            </c:numRef>
          </c:val>
          <c:smooth val="0"/>
          <c:extLst>
            <c:ext xmlns:c16="http://schemas.microsoft.com/office/drawing/2014/chart" uri="{C3380CC4-5D6E-409C-BE32-E72D297353CC}">
              <c16:uniqueId val="{00000003-4551-488B-B86B-C1CB117B2B78}"/>
            </c:ext>
          </c:extLst>
        </c:ser>
        <c:ser>
          <c:idx val="1"/>
          <c:order val="4"/>
          <c:tx>
            <c:strRef>
              <c:f>Outputs_with_historical_data!$B$625</c:f>
              <c:strCache>
                <c:ptCount val="1"/>
                <c:pt idx="0">
                  <c:v>Secondary net change - historical</c:v>
                </c:pt>
              </c:strCache>
            </c:strRef>
          </c:tx>
          <c:spPr>
            <a:ln>
              <a:solidFill>
                <a:srgbClr val="00B0F0"/>
              </a:solidFill>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Outputs_with_historical_data!$C$625:$U$625</c:f>
              <c:numCache>
                <c:formatCode>#,##0</c:formatCode>
                <c:ptCount val="19"/>
                <c:pt idx="1">
                  <c:v>157.8376727269715</c:v>
                </c:pt>
                <c:pt idx="2">
                  <c:v>-1780.4820000000036</c:v>
                </c:pt>
                <c:pt idx="3">
                  <c:v>-2446.6370000000024</c:v>
                </c:pt>
                <c:pt idx="4">
                  <c:v>-4585.8899999999994</c:v>
                </c:pt>
                <c:pt idx="5">
                  <c:v>-2736.8530000000028</c:v>
                </c:pt>
              </c:numCache>
            </c:numRef>
          </c:val>
          <c:smooth val="0"/>
          <c:extLst>
            <c:ext xmlns:c16="http://schemas.microsoft.com/office/drawing/2014/chart" uri="{C3380CC4-5D6E-409C-BE32-E72D297353CC}">
              <c16:uniqueId val="{00000004-4551-488B-B86B-C1CB117B2B78}"/>
            </c:ext>
          </c:extLst>
        </c:ser>
        <c:ser>
          <c:idx val="2"/>
          <c:order val="5"/>
          <c:tx>
            <c:strRef>
              <c:f>Outputs_with_historical_data!$B$626</c:f>
              <c:strCache>
                <c:ptCount val="1"/>
                <c:pt idx="0">
                  <c:v>Secondary net change - projected</c:v>
                </c:pt>
              </c:strCache>
            </c:strRef>
          </c:tx>
          <c:spPr>
            <a:ln>
              <a:solidFill>
                <a:srgbClr val="00B0F0"/>
              </a:solidFill>
              <a:prstDash val="sysDot"/>
            </a:ln>
          </c:spPr>
          <c:marker>
            <c:symbol val="none"/>
          </c:marker>
          <c:cat>
            <c:strRef>
              <c:f>Outputs_with_historical_data!$C$614:$U$614</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Outputs_with_historical_data!$C$626:$U$626</c:f>
              <c:numCache>
                <c:formatCode>#,##0</c:formatCode>
                <c:ptCount val="19"/>
                <c:pt idx="7">
                  <c:v>1761.3832624211427</c:v>
                </c:pt>
                <c:pt idx="8">
                  <c:v>2154.3547110061736</c:v>
                </c:pt>
                <c:pt idx="9">
                  <c:v>2228.5515926918342</c:v>
                </c:pt>
                <c:pt idx="10">
                  <c:v>1465.5348658865478</c:v>
                </c:pt>
                <c:pt idx="11">
                  <c:v>1532.7365221425171</c:v>
                </c:pt>
                <c:pt idx="12">
                  <c:v>1587.0101059137924</c:v>
                </c:pt>
                <c:pt idx="13">
                  <c:v>2120.7662668057383</c:v>
                </c:pt>
                <c:pt idx="14">
                  <c:v>1126.0179003690246</c:v>
                </c:pt>
                <c:pt idx="15">
                  <c:v>152.31447116073832</c:v>
                </c:pt>
                <c:pt idx="16">
                  <c:v>-553.07097735261414</c:v>
                </c:pt>
                <c:pt idx="17">
                  <c:v>-692.31517051904666</c:v>
                </c:pt>
                <c:pt idx="18">
                  <c:v>-867.93070033859112</c:v>
                </c:pt>
              </c:numCache>
            </c:numRef>
          </c:val>
          <c:smooth val="0"/>
          <c:extLst>
            <c:ext xmlns:c16="http://schemas.microsoft.com/office/drawing/2014/chart" uri="{C3380CC4-5D6E-409C-BE32-E72D297353CC}">
              <c16:uniqueId val="{00000005-4551-488B-B86B-C1CB117B2B78}"/>
            </c:ext>
          </c:extLst>
        </c:ser>
        <c:dLbls>
          <c:showLegendKey val="0"/>
          <c:showVal val="0"/>
          <c:showCatName val="0"/>
          <c:showSerName val="0"/>
          <c:showPercent val="0"/>
          <c:showBubbleSize val="0"/>
        </c:dLbls>
        <c:smooth val="0"/>
        <c:axId val="172302336"/>
        <c:axId val="172303872"/>
      </c:lineChart>
      <c:catAx>
        <c:axId val="172302336"/>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303872"/>
        <c:crosses val="autoZero"/>
        <c:auto val="1"/>
        <c:lblAlgn val="ctr"/>
        <c:lblOffset val="100"/>
        <c:noMultiLvlLbl val="0"/>
      </c:catAx>
      <c:valAx>
        <c:axId val="17230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02336"/>
        <c:crosses val="autoZero"/>
        <c:crossBetween val="between"/>
      </c:valAx>
      <c:spPr>
        <a:ln>
          <a:solidFill>
            <a:schemeClr val="tx1">
              <a:lumMod val="95000"/>
              <a:lumOff val="5000"/>
            </a:schemeClr>
          </a:solidFill>
        </a:ln>
      </c:spPr>
    </c:plotArea>
    <c:legend>
      <c:legendPos val="r"/>
      <c:layout>
        <c:manualLayout>
          <c:xMode val="edge"/>
          <c:yMode val="edge"/>
          <c:x val="0.75471698113207553"/>
          <c:y val="0.1141978548977674"/>
          <c:w val="0.22898808317913955"/>
          <c:h val="0.771606234405884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Primary entrants by entrant route</a:t>
            </a:r>
          </a:p>
        </c:rich>
      </c:tx>
      <c:overlay val="0"/>
    </c:title>
    <c:autoTitleDeleted val="0"/>
    <c:plotArea>
      <c:layout>
        <c:manualLayout>
          <c:layoutTarget val="inner"/>
          <c:xMode val="edge"/>
          <c:yMode val="edge"/>
          <c:x val="0.13167333039183482"/>
          <c:y val="0.10792987869759524"/>
          <c:w val="0.60164361089028273"/>
          <c:h val="0.7227415844642282"/>
        </c:manualLayout>
      </c:layout>
      <c:lineChart>
        <c:grouping val="standard"/>
        <c:varyColors val="0"/>
        <c:ser>
          <c:idx val="0"/>
          <c:order val="0"/>
          <c:tx>
            <c:strRef>
              <c:f>Outputs_with_historical_data!$B$476</c:f>
              <c:strCache>
                <c:ptCount val="1"/>
                <c:pt idx="0">
                  <c:v>Primary NQT entrants - historical</c:v>
                </c:pt>
              </c:strCache>
            </c:strRef>
          </c:tx>
          <c:spPr>
            <a:ln>
              <a:solidFill>
                <a:schemeClr val="tx1">
                  <a:lumMod val="95000"/>
                  <a:lumOff val="5000"/>
                </a:schemeClr>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Outputs_with_historical_data!$C$476:$U$476</c:f>
              <c:numCache>
                <c:formatCode>#,##0</c:formatCode>
                <c:ptCount val="19"/>
                <c:pt idx="0">
                  <c:v>9238.1412282795718</c:v>
                </c:pt>
                <c:pt idx="1">
                  <c:v>11663.958000000001</c:v>
                </c:pt>
                <c:pt idx="2">
                  <c:v>12880.737999999999</c:v>
                </c:pt>
                <c:pt idx="3">
                  <c:v>13678.62</c:v>
                </c:pt>
                <c:pt idx="4">
                  <c:v>14577.31</c:v>
                </c:pt>
                <c:pt idx="5">
                  <c:v>12896.03</c:v>
                </c:pt>
              </c:numCache>
            </c:numRef>
          </c:val>
          <c:smooth val="0"/>
          <c:extLst>
            <c:ext xmlns:c16="http://schemas.microsoft.com/office/drawing/2014/chart" uri="{C3380CC4-5D6E-409C-BE32-E72D297353CC}">
              <c16:uniqueId val="{00000000-688A-494D-B4DD-5E04A0234CAE}"/>
            </c:ext>
          </c:extLst>
        </c:ser>
        <c:ser>
          <c:idx val="1"/>
          <c:order val="1"/>
          <c:tx>
            <c:strRef>
              <c:f>Outputs_with_historical_data!$B$477</c:f>
              <c:strCache>
                <c:ptCount val="1"/>
                <c:pt idx="0">
                  <c:v>Primary NQT entrants - projected</c:v>
                </c:pt>
              </c:strCache>
            </c:strRef>
          </c:tx>
          <c:spPr>
            <a:ln>
              <a:solidFill>
                <a:schemeClr val="tx1">
                  <a:lumMod val="95000"/>
                  <a:lumOff val="5000"/>
                </a:schemeClr>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Outputs_with_historical_data!$C$477:$U$477</c:f>
              <c:numCache>
                <c:formatCode>#,##0</c:formatCode>
                <c:ptCount val="19"/>
                <c:pt idx="9">
                  <c:v>13273.403714588394</c:v>
                </c:pt>
                <c:pt idx="10">
                  <c:v>13110.08325301536</c:v>
                </c:pt>
                <c:pt idx="11">
                  <c:v>12995.424755771441</c:v>
                </c:pt>
                <c:pt idx="12">
                  <c:v>12858.688063368929</c:v>
                </c:pt>
                <c:pt idx="13">
                  <c:v>12708.819651893084</c:v>
                </c:pt>
                <c:pt idx="14">
                  <c:v>12991.059229851648</c:v>
                </c:pt>
                <c:pt idx="15">
                  <c:v>13219.581921474559</c:v>
                </c:pt>
                <c:pt idx="16">
                  <c:v>13276.157182915755</c:v>
                </c:pt>
                <c:pt idx="17">
                  <c:v>13223.248843826681</c:v>
                </c:pt>
                <c:pt idx="18">
                  <c:v>13158.580085664507</c:v>
                </c:pt>
              </c:numCache>
            </c:numRef>
          </c:val>
          <c:smooth val="0"/>
          <c:extLst>
            <c:ext xmlns:c16="http://schemas.microsoft.com/office/drawing/2014/chart" uri="{C3380CC4-5D6E-409C-BE32-E72D297353CC}">
              <c16:uniqueId val="{00000001-688A-494D-B4DD-5E04A0234CAE}"/>
            </c:ext>
          </c:extLst>
        </c:ser>
        <c:ser>
          <c:idx val="2"/>
          <c:order val="2"/>
          <c:tx>
            <c:strRef>
              <c:f>Outputs_with_historical_data!$B$478</c:f>
              <c:strCache>
                <c:ptCount val="1"/>
                <c:pt idx="0">
                  <c:v>Primary entrants other routes- historical</c:v>
                </c:pt>
              </c:strCache>
            </c:strRef>
          </c:tx>
          <c:spPr>
            <a:ln>
              <a:solidFill>
                <a:srgbClr val="FF0000"/>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Outputs_with_historical_data!$C$478:$U$478</c:f>
              <c:numCache>
                <c:formatCode>#,##0</c:formatCode>
                <c:ptCount val="19"/>
                <c:pt idx="0">
                  <c:v>11291.515861266713</c:v>
                </c:pt>
                <c:pt idx="1">
                  <c:v>12325.082999999999</c:v>
                </c:pt>
                <c:pt idx="2">
                  <c:v>12396.679</c:v>
                </c:pt>
                <c:pt idx="3">
                  <c:v>12919.664999999999</c:v>
                </c:pt>
                <c:pt idx="4">
                  <c:v>12116.357</c:v>
                </c:pt>
                <c:pt idx="5">
                  <c:v>12510.222000000002</c:v>
                </c:pt>
              </c:numCache>
            </c:numRef>
          </c:val>
          <c:smooth val="0"/>
          <c:extLst>
            <c:ext xmlns:c16="http://schemas.microsoft.com/office/drawing/2014/chart" uri="{C3380CC4-5D6E-409C-BE32-E72D297353CC}">
              <c16:uniqueId val="{00000002-688A-494D-B4DD-5E04A0234CAE}"/>
            </c:ext>
          </c:extLst>
        </c:ser>
        <c:ser>
          <c:idx val="3"/>
          <c:order val="3"/>
          <c:tx>
            <c:strRef>
              <c:f>Outputs_with_historical_data!$B$479</c:f>
              <c:strCache>
                <c:ptCount val="1"/>
                <c:pt idx="0">
                  <c:v>Primary entrants other routes - projected</c:v>
                </c:pt>
              </c:strCache>
            </c:strRef>
          </c:tx>
          <c:spPr>
            <a:ln>
              <a:solidFill>
                <a:srgbClr val="FF0000"/>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Outputs_with_historical_data!$C$479:$U$479</c:f>
              <c:numCache>
                <c:formatCode>#,##0</c:formatCode>
                <c:ptCount val="19"/>
                <c:pt idx="9">
                  <c:v>12219.190092426978</c:v>
                </c:pt>
                <c:pt idx="10">
                  <c:v>12068.841032844735</c:v>
                </c:pt>
                <c:pt idx="11">
                  <c:v>11963.2890581093</c:v>
                </c:pt>
                <c:pt idx="12">
                  <c:v>11837.412404840654</c:v>
                </c:pt>
                <c:pt idx="13">
                  <c:v>11699.44699310073</c:v>
                </c:pt>
                <c:pt idx="14">
                  <c:v>11959.270255380596</c:v>
                </c:pt>
                <c:pt idx="15">
                  <c:v>12169.642987907704</c:v>
                </c:pt>
                <c:pt idx="16">
                  <c:v>12221.724872023</c:v>
                </c:pt>
                <c:pt idx="17">
                  <c:v>12173.018672264046</c:v>
                </c:pt>
                <c:pt idx="18">
                  <c:v>12113.486101265977</c:v>
                </c:pt>
              </c:numCache>
            </c:numRef>
          </c:val>
          <c:smooth val="0"/>
          <c:extLst>
            <c:ext xmlns:c16="http://schemas.microsoft.com/office/drawing/2014/chart" uri="{C3380CC4-5D6E-409C-BE32-E72D297353CC}">
              <c16:uniqueId val="{00000003-688A-494D-B4DD-5E04A0234CAE}"/>
            </c:ext>
          </c:extLst>
        </c:ser>
        <c:dLbls>
          <c:showLegendKey val="0"/>
          <c:showVal val="0"/>
          <c:showCatName val="0"/>
          <c:showSerName val="0"/>
          <c:showPercent val="0"/>
          <c:showBubbleSize val="0"/>
        </c:dLbls>
        <c:smooth val="0"/>
        <c:axId val="172357504"/>
        <c:axId val="172359040"/>
      </c:lineChart>
      <c:catAx>
        <c:axId val="17235750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359040"/>
        <c:crosses val="autoZero"/>
        <c:auto val="1"/>
        <c:lblAlgn val="ctr"/>
        <c:lblOffset val="100"/>
        <c:noMultiLvlLbl val="0"/>
      </c:catAx>
      <c:valAx>
        <c:axId val="1723590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57504"/>
        <c:crosses val="autoZero"/>
        <c:crossBetween val="between"/>
      </c:valAx>
      <c:spPr>
        <a:ln>
          <a:solidFill>
            <a:schemeClr val="tx1">
              <a:lumMod val="95000"/>
              <a:lumOff val="5000"/>
            </a:schemeClr>
          </a:solidFill>
        </a:ln>
      </c:spPr>
    </c:plotArea>
    <c:legend>
      <c:legendPos val="r"/>
      <c:layout>
        <c:manualLayout>
          <c:xMode val="edge"/>
          <c:yMode val="edge"/>
          <c:x val="0.76014183412258651"/>
          <c:y val="8.771929824561403E-2"/>
          <c:w val="0.22134066575011457"/>
          <c:h val="0.7923988887353992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Secondary entrants by entrant route</a:t>
            </a:r>
          </a:p>
        </c:rich>
      </c:tx>
      <c:overlay val="0"/>
    </c:title>
    <c:autoTitleDeleted val="0"/>
    <c:plotArea>
      <c:layout>
        <c:manualLayout>
          <c:layoutTarget val="inner"/>
          <c:xMode val="edge"/>
          <c:yMode val="edge"/>
          <c:x val="0.12673627781222485"/>
          <c:y val="0.10792987869759524"/>
          <c:w val="0.6065806634698927"/>
          <c:h val="0.73031229448463408"/>
        </c:manualLayout>
      </c:layout>
      <c:lineChart>
        <c:grouping val="standard"/>
        <c:varyColors val="0"/>
        <c:ser>
          <c:idx val="0"/>
          <c:order val="0"/>
          <c:tx>
            <c:strRef>
              <c:f>Outputs_with_historical_data!$B$480</c:f>
              <c:strCache>
                <c:ptCount val="1"/>
                <c:pt idx="0">
                  <c:v>Secondary NQT entrants - historical</c:v>
                </c:pt>
              </c:strCache>
            </c:strRef>
          </c:tx>
          <c:spPr>
            <a:ln>
              <a:solidFill>
                <a:schemeClr val="tx1">
                  <a:lumMod val="95000"/>
                  <a:lumOff val="5000"/>
                </a:schemeClr>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Outputs_with_historical_data!$C$480:$U$480</c:f>
              <c:numCache>
                <c:formatCode>#,##0_ ;\-#,##0\ </c:formatCode>
                <c:ptCount val="19"/>
                <c:pt idx="0">
                  <c:v>11078.722844185231</c:v>
                </c:pt>
                <c:pt idx="1">
                  <c:v>11086.531000000001</c:v>
                </c:pt>
                <c:pt idx="2">
                  <c:v>10502.683999999999</c:v>
                </c:pt>
                <c:pt idx="3">
                  <c:v>10472.761</c:v>
                </c:pt>
                <c:pt idx="4">
                  <c:v>10690.763000000001</c:v>
                </c:pt>
                <c:pt idx="5">
                  <c:v>11034.485000000001</c:v>
                </c:pt>
              </c:numCache>
            </c:numRef>
          </c:val>
          <c:smooth val="0"/>
          <c:extLst>
            <c:ext xmlns:c16="http://schemas.microsoft.com/office/drawing/2014/chart" uri="{C3380CC4-5D6E-409C-BE32-E72D297353CC}">
              <c16:uniqueId val="{00000000-6DA0-48BC-A237-494EC026A472}"/>
            </c:ext>
          </c:extLst>
        </c:ser>
        <c:ser>
          <c:idx val="1"/>
          <c:order val="1"/>
          <c:tx>
            <c:strRef>
              <c:f>Outputs_with_historical_data!$B$481</c:f>
              <c:strCache>
                <c:ptCount val="1"/>
                <c:pt idx="0">
                  <c:v>Secondary NQT entrants - projected</c:v>
                </c:pt>
              </c:strCache>
            </c:strRef>
          </c:tx>
          <c:spPr>
            <a:ln>
              <a:solidFill>
                <a:schemeClr val="tx1">
                  <a:lumMod val="95000"/>
                  <a:lumOff val="5000"/>
                </a:schemeClr>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Outputs_with_historical_data!$C$481:$U$481</c:f>
              <c:numCache>
                <c:formatCode>#,##0_ ;\-#,##0\ </c:formatCode>
                <c:ptCount val="19"/>
                <c:pt idx="9">
                  <c:v>14033.736963744634</c:v>
                </c:pt>
                <c:pt idx="10">
                  <c:v>13800.603957809075</c:v>
                </c:pt>
                <c:pt idx="11">
                  <c:v>14055.439041023463</c:v>
                </c:pt>
                <c:pt idx="12">
                  <c:v>14311.742265350756</c:v>
                </c:pt>
                <c:pt idx="13">
                  <c:v>14788.405363691703</c:v>
                </c:pt>
                <c:pt idx="14">
                  <c:v>14084.246122958315</c:v>
                </c:pt>
                <c:pt idx="15">
                  <c:v>13546.344327529825</c:v>
                </c:pt>
                <c:pt idx="16">
                  <c:v>13121.91948612038</c:v>
                </c:pt>
                <c:pt idx="17">
                  <c:v>13059.442423306733</c:v>
                </c:pt>
                <c:pt idx="18">
                  <c:v>12992.929124472455</c:v>
                </c:pt>
              </c:numCache>
            </c:numRef>
          </c:val>
          <c:smooth val="0"/>
          <c:extLst>
            <c:ext xmlns:c16="http://schemas.microsoft.com/office/drawing/2014/chart" uri="{C3380CC4-5D6E-409C-BE32-E72D297353CC}">
              <c16:uniqueId val="{00000001-6DA0-48BC-A237-494EC026A472}"/>
            </c:ext>
          </c:extLst>
        </c:ser>
        <c:ser>
          <c:idx val="2"/>
          <c:order val="2"/>
          <c:tx>
            <c:strRef>
              <c:f>Outputs_with_historical_data!$B$482</c:f>
              <c:strCache>
                <c:ptCount val="1"/>
                <c:pt idx="0">
                  <c:v>Secondary entrants other routes- historical</c:v>
                </c:pt>
              </c:strCache>
            </c:strRef>
          </c:tx>
          <c:spPr>
            <a:ln>
              <a:solidFill>
                <a:srgbClr val="FF0000"/>
              </a:solidFill>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Outputs_with_historical_data!$C$482:$U$482</c:f>
              <c:numCache>
                <c:formatCode>#,##0</c:formatCode>
                <c:ptCount val="19"/>
                <c:pt idx="0">
                  <c:v>8821.6284225883319</c:v>
                </c:pt>
                <c:pt idx="1">
                  <c:v>10179.062</c:v>
                </c:pt>
                <c:pt idx="2">
                  <c:v>10156.021000000001</c:v>
                </c:pt>
                <c:pt idx="3">
                  <c:v>10602.379000000001</c:v>
                </c:pt>
                <c:pt idx="4">
                  <c:v>9836.1419999999998</c:v>
                </c:pt>
                <c:pt idx="5">
                  <c:v>10225.569</c:v>
                </c:pt>
              </c:numCache>
            </c:numRef>
          </c:val>
          <c:smooth val="0"/>
          <c:extLst>
            <c:ext xmlns:c16="http://schemas.microsoft.com/office/drawing/2014/chart" uri="{C3380CC4-5D6E-409C-BE32-E72D297353CC}">
              <c16:uniqueId val="{00000002-6DA0-48BC-A237-494EC026A472}"/>
            </c:ext>
          </c:extLst>
        </c:ser>
        <c:ser>
          <c:idx val="3"/>
          <c:order val="3"/>
          <c:tx>
            <c:strRef>
              <c:f>Outputs_with_historical_data!$B$483</c:f>
              <c:strCache>
                <c:ptCount val="1"/>
                <c:pt idx="0">
                  <c:v>Secondary entrants other routes - projected</c:v>
                </c:pt>
              </c:strCache>
            </c:strRef>
          </c:tx>
          <c:spPr>
            <a:ln>
              <a:solidFill>
                <a:srgbClr val="FF0000"/>
              </a:solidFill>
              <a:prstDash val="sysDot"/>
            </a:ln>
          </c:spPr>
          <c:marker>
            <c:symbol val="none"/>
          </c:marker>
          <c:cat>
            <c:strRef>
              <c:f>Outputs_with_historical_data!$C$471:$U$471</c:f>
              <c:strCache>
                <c:ptCount val="19"/>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pt idx="18">
                  <c:v>2028/29</c:v>
                </c:pt>
              </c:strCache>
            </c:strRef>
          </c:cat>
          <c:val>
            <c:numRef>
              <c:f>Outputs_with_historical_data!$C$483:$U$483</c:f>
              <c:numCache>
                <c:formatCode>#,##0</c:formatCode>
                <c:ptCount val="19"/>
                <c:pt idx="9">
                  <c:v>12329.797664373316</c:v>
                </c:pt>
                <c:pt idx="10">
                  <c:v>12069.452697579116</c:v>
                </c:pt>
                <c:pt idx="11">
                  <c:v>12092.310969067134</c:v>
                </c:pt>
                <c:pt idx="12">
                  <c:v>12117.832096667895</c:v>
                </c:pt>
                <c:pt idx="13">
                  <c:v>12424.658270582771</c:v>
                </c:pt>
                <c:pt idx="14">
                  <c:v>12423.272095912142</c:v>
                </c:pt>
                <c:pt idx="15">
                  <c:v>12149.75906702519</c:v>
                </c:pt>
                <c:pt idx="16">
                  <c:v>11919.008803218607</c:v>
                </c:pt>
                <c:pt idx="17">
                  <c:v>11817.877273757307</c:v>
                </c:pt>
                <c:pt idx="18">
                  <c:v>11670.942001538511</c:v>
                </c:pt>
              </c:numCache>
            </c:numRef>
          </c:val>
          <c:smooth val="0"/>
          <c:extLst>
            <c:ext xmlns:c16="http://schemas.microsoft.com/office/drawing/2014/chart" uri="{C3380CC4-5D6E-409C-BE32-E72D297353CC}">
              <c16:uniqueId val="{00000003-6DA0-48BC-A237-494EC026A472}"/>
            </c:ext>
          </c:extLst>
        </c:ser>
        <c:dLbls>
          <c:showLegendKey val="0"/>
          <c:showVal val="0"/>
          <c:showCatName val="0"/>
          <c:showSerName val="0"/>
          <c:showPercent val="0"/>
          <c:showBubbleSize val="0"/>
        </c:dLbls>
        <c:smooth val="0"/>
        <c:axId val="172412288"/>
        <c:axId val="172418176"/>
      </c:lineChart>
      <c:catAx>
        <c:axId val="172412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418176"/>
        <c:crosses val="autoZero"/>
        <c:auto val="1"/>
        <c:lblAlgn val="ctr"/>
        <c:lblOffset val="100"/>
        <c:noMultiLvlLbl val="0"/>
      </c:catAx>
      <c:valAx>
        <c:axId val="1724181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_ ;\-#,##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12288"/>
        <c:crosses val="autoZero"/>
        <c:crossBetween val="between"/>
      </c:valAx>
      <c:spPr>
        <a:ln>
          <a:solidFill>
            <a:schemeClr val="tx1">
              <a:lumMod val="95000"/>
              <a:lumOff val="5000"/>
            </a:schemeClr>
          </a:solidFill>
        </a:ln>
      </c:spPr>
    </c:plotArea>
    <c:legend>
      <c:legendPos val="r"/>
      <c:layout>
        <c:manualLayout>
          <c:xMode val="edge"/>
          <c:yMode val="edge"/>
          <c:x val="0.76085163412197787"/>
          <c:y val="8.1871345029239762E-2"/>
          <c:w val="0.22232108201380618"/>
          <c:h val="0.79239888873539921"/>
        </c:manualLayout>
      </c:layout>
      <c:overlay val="0"/>
      <c:txPr>
        <a:bodyPr/>
        <a:lstStyle/>
        <a:p>
          <a:pPr>
            <a:defRPr sz="6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Pupil numbers by Phase in the 2017/18 and 2018/19</a:t>
            </a:r>
          </a:p>
          <a:p>
            <a:pPr>
              <a:defRPr sz="1800" b="1" i="0" u="none" strike="noStrike" baseline="0">
                <a:solidFill>
                  <a:srgbClr val="000000"/>
                </a:solidFill>
                <a:latin typeface="Calibri"/>
                <a:ea typeface="Calibri"/>
                <a:cs typeface="Calibri"/>
              </a:defRPr>
            </a:pPr>
            <a:r>
              <a:rPr lang="en-GB"/>
              <a:t> TSMs</a:t>
            </a:r>
          </a:p>
        </c:rich>
      </c:tx>
      <c:layout>
        <c:manualLayout>
          <c:xMode val="edge"/>
          <c:yMode val="edge"/>
          <c:x val="0.19257588024213698"/>
          <c:y val="1.5726892064244848E-2"/>
        </c:manualLayout>
      </c:layout>
      <c:overlay val="0"/>
    </c:title>
    <c:autoTitleDeleted val="0"/>
    <c:plotArea>
      <c:layout>
        <c:manualLayout>
          <c:layoutTarget val="inner"/>
          <c:xMode val="edge"/>
          <c:yMode val="edge"/>
          <c:x val="0.11631919796433213"/>
          <c:y val="0.15864425767028018"/>
          <c:w val="0.6748640709888577"/>
          <c:h val="0.74355790145467227"/>
        </c:manualLayout>
      </c:layout>
      <c:lineChart>
        <c:grouping val="standard"/>
        <c:varyColors val="0"/>
        <c:ser>
          <c:idx val="0"/>
          <c:order val="0"/>
          <c:tx>
            <c:strRef>
              <c:f>Comparison_of_pupil_projns!$B$37</c:f>
              <c:strCache>
                <c:ptCount val="1"/>
                <c:pt idx="0">
                  <c:v>Primary total 2018/19 TSM</c:v>
                </c:pt>
              </c:strCache>
            </c:strRef>
          </c:tx>
          <c:spPr>
            <a:ln>
              <a:solidFill>
                <a:srgbClr val="FF000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Comparison_of_pupil_projns!$C$37:$AA$37</c:f>
              <c:numCache>
                <c:formatCode>_-* #,##0_-;\-* #,##0_-;_-* "-"??_-;_-@_-</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4659421</c:v>
                </c:pt>
                <c:pt idx="13">
                  <c:v>4717394.1869075894</c:v>
                </c:pt>
                <c:pt idx="14">
                  <c:v>4743197.9400571762</c:v>
                </c:pt>
                <c:pt idx="15">
                  <c:v>4743394.7508921698</c:v>
                </c:pt>
                <c:pt idx="16">
                  <c:v>4752324.1234839866</c:v>
                </c:pt>
                <c:pt idx="17">
                  <c:v>4754699.5674540829</c:v>
                </c:pt>
                <c:pt idx="18">
                  <c:v>4748628.8440450421</c:v>
                </c:pt>
                <c:pt idx="19">
                  <c:v>4733277.2129678745</c:v>
                </c:pt>
                <c:pt idx="20">
                  <c:v>4742429.7587460289</c:v>
                </c:pt>
                <c:pt idx="21">
                  <c:v>4769065.3698165566</c:v>
                </c:pt>
                <c:pt idx="22">
                  <c:v>4797832.532279524</c:v>
                </c:pt>
                <c:pt idx="23">
                  <c:v>4819809.7676248243</c:v>
                </c:pt>
                <c:pt idx="24">
                  <c:v>4834650.7574622277</c:v>
                </c:pt>
              </c:numCache>
            </c:numRef>
          </c:val>
          <c:smooth val="0"/>
          <c:extLst>
            <c:ext xmlns:c16="http://schemas.microsoft.com/office/drawing/2014/chart" uri="{C3380CC4-5D6E-409C-BE32-E72D297353CC}">
              <c16:uniqueId val="{00000000-BB64-403E-81F6-350AFC2B0E4E}"/>
            </c:ext>
          </c:extLst>
        </c:ser>
        <c:ser>
          <c:idx val="1"/>
          <c:order val="1"/>
          <c:tx>
            <c:strRef>
              <c:f>Comparison_of_pupil_projns!$B$38</c:f>
              <c:strCache>
                <c:ptCount val="1"/>
                <c:pt idx="0">
                  <c:v>Primary total 2017/18 TSM</c:v>
                </c:pt>
              </c:strCache>
            </c:strRef>
          </c:tx>
          <c:spPr>
            <a:ln>
              <a:solidFill>
                <a:srgbClr val="FF000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Comparison_of_pupil_projns!$C$38:$AA$38</c:f>
              <c:numCache>
                <c:formatCode>_-* #,##0_-;\-* #,##0_-;_-* "-"??_-;_-@_-</c:formatCode>
                <c:ptCount val="25"/>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4669403.6051013358</c:v>
                </c:pt>
                <c:pt idx="13">
                  <c:v>4728615.0056829667</c:v>
                </c:pt>
                <c:pt idx="14">
                  <c:v>4754148.1072515734</c:v>
                </c:pt>
                <c:pt idx="15">
                  <c:v>4754929.3367273957</c:v>
                </c:pt>
                <c:pt idx="16">
                  <c:v>4765188.6443500407</c:v>
                </c:pt>
                <c:pt idx="17">
                  <c:v>4768353.1674103234</c:v>
                </c:pt>
                <c:pt idx="18">
                  <c:v>4760117.7392643597</c:v>
                </c:pt>
                <c:pt idx="19">
                  <c:v>4744856.0009206505</c:v>
                </c:pt>
                <c:pt idx="20">
                  <c:v>4754081.3268117374</c:v>
                </c:pt>
                <c:pt idx="21">
                  <c:v>4780859.047119638</c:v>
                </c:pt>
                <c:pt idx="22">
                  <c:v>4809841.7847702289</c:v>
                </c:pt>
                <c:pt idx="23">
                  <c:v>4831636.05383253</c:v>
                </c:pt>
              </c:numCache>
            </c:numRef>
          </c:val>
          <c:smooth val="0"/>
          <c:extLst>
            <c:ext xmlns:c16="http://schemas.microsoft.com/office/drawing/2014/chart" uri="{C3380CC4-5D6E-409C-BE32-E72D297353CC}">
              <c16:uniqueId val="{00000001-BB64-403E-81F6-350AFC2B0E4E}"/>
            </c:ext>
          </c:extLst>
        </c:ser>
        <c:ser>
          <c:idx val="2"/>
          <c:order val="2"/>
          <c:tx>
            <c:strRef>
              <c:f>Comparison_of_pupil_projns!$B$39</c:f>
              <c:strCache>
                <c:ptCount val="1"/>
                <c:pt idx="0">
                  <c:v>Secondary total 2018/19 TSM</c:v>
                </c:pt>
              </c:strCache>
            </c:strRef>
          </c:tx>
          <c:spPr>
            <a:ln>
              <a:solidFill>
                <a:srgbClr val="00B0F0"/>
              </a:solidFill>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Comparison_of_pupil_projns!$C$39:$AA$39</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3119863.5</c:v>
                </c:pt>
                <c:pt idx="11">
                  <c:v>3122070.5</c:v>
                </c:pt>
                <c:pt idx="12">
                  <c:v>3145583</c:v>
                </c:pt>
                <c:pt idx="13">
                  <c:v>3197180.5600349735</c:v>
                </c:pt>
                <c:pt idx="14">
                  <c:v>3274228.6548275417</c:v>
                </c:pt>
                <c:pt idx="15">
                  <c:v>3359656.345562675</c:v>
                </c:pt>
                <c:pt idx="16">
                  <c:v>3431462.9098517485</c:v>
                </c:pt>
                <c:pt idx="17">
                  <c:v>3508384.2642579307</c:v>
                </c:pt>
                <c:pt idx="18">
                  <c:v>3589855.437922664</c:v>
                </c:pt>
                <c:pt idx="19">
                  <c:v>3662527.1591678588</c:v>
                </c:pt>
                <c:pt idx="20">
                  <c:v>3688681.2876089499</c:v>
                </c:pt>
                <c:pt idx="21">
                  <c:v>3698533.8733492214</c:v>
                </c:pt>
                <c:pt idx="22">
                  <c:v>3693590.259872193</c:v>
                </c:pt>
                <c:pt idx="23">
                  <c:v>3682746.3169983355</c:v>
                </c:pt>
                <c:pt idx="24">
                  <c:v>3664537.0998463929</c:v>
                </c:pt>
              </c:numCache>
            </c:numRef>
          </c:val>
          <c:smooth val="0"/>
          <c:extLst>
            <c:ext xmlns:c16="http://schemas.microsoft.com/office/drawing/2014/chart" uri="{C3380CC4-5D6E-409C-BE32-E72D297353CC}">
              <c16:uniqueId val="{00000002-BB64-403E-81F6-350AFC2B0E4E}"/>
            </c:ext>
          </c:extLst>
        </c:ser>
        <c:ser>
          <c:idx val="3"/>
          <c:order val="3"/>
          <c:tx>
            <c:strRef>
              <c:f>Comparison_of_pupil_projns!$B$40</c:f>
              <c:strCache>
                <c:ptCount val="1"/>
                <c:pt idx="0">
                  <c:v>Secondary total 2017/18 TSM</c:v>
                </c:pt>
              </c:strCache>
            </c:strRef>
          </c:tx>
          <c:spPr>
            <a:ln>
              <a:solidFill>
                <a:srgbClr val="00B0F0"/>
              </a:solidFill>
              <a:prstDash val="sysDot"/>
            </a:ln>
          </c:spPr>
          <c:marker>
            <c:symbol val="none"/>
          </c:marker>
          <c:cat>
            <c:strRef>
              <c:f>Comparison_of_pupil_projns!$C$36:$AA$36</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Comparison_of_pupil_projns!$C$40:$AA$40</c:f>
              <c:numCache>
                <c:formatCode>_-* #,##0_-;\-* #,##0_-;_-* "-"??_-;_-@_-</c:formatCode>
                <c:ptCount val="25"/>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3153434.5188964177</c:v>
                </c:pt>
                <c:pt idx="13">
                  <c:v>3206473.5103805256</c:v>
                </c:pt>
                <c:pt idx="14">
                  <c:v>3284777.7855463745</c:v>
                </c:pt>
                <c:pt idx="15">
                  <c:v>3371521.969667735</c:v>
                </c:pt>
                <c:pt idx="16">
                  <c:v>3441735.9770776005</c:v>
                </c:pt>
                <c:pt idx="17">
                  <c:v>3517503.4884628272</c:v>
                </c:pt>
                <c:pt idx="18">
                  <c:v>3601496.689145844</c:v>
                </c:pt>
                <c:pt idx="19">
                  <c:v>3674251.4793677852</c:v>
                </c:pt>
                <c:pt idx="20">
                  <c:v>3701291.536776138</c:v>
                </c:pt>
                <c:pt idx="21">
                  <c:v>3712096.756026078</c:v>
                </c:pt>
                <c:pt idx="22">
                  <c:v>3707922.516725075</c:v>
                </c:pt>
                <c:pt idx="23">
                  <c:v>3695259.6565467082</c:v>
                </c:pt>
              </c:numCache>
            </c:numRef>
          </c:val>
          <c:smooth val="0"/>
          <c:extLst>
            <c:ext xmlns:c16="http://schemas.microsoft.com/office/drawing/2014/chart" uri="{C3380CC4-5D6E-409C-BE32-E72D297353CC}">
              <c16:uniqueId val="{00000003-BB64-403E-81F6-350AFC2B0E4E}"/>
            </c:ext>
          </c:extLst>
        </c:ser>
        <c:dLbls>
          <c:showLegendKey val="0"/>
          <c:showVal val="0"/>
          <c:showCatName val="0"/>
          <c:showSerName val="0"/>
          <c:showPercent val="0"/>
          <c:showBubbleSize val="0"/>
        </c:dLbls>
        <c:smooth val="0"/>
        <c:axId val="169176448"/>
        <c:axId val="169182336"/>
      </c:lineChart>
      <c:catAx>
        <c:axId val="169176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182336"/>
        <c:crosses val="autoZero"/>
        <c:auto val="1"/>
        <c:lblAlgn val="ctr"/>
        <c:lblOffset val="100"/>
        <c:noMultiLvlLbl val="0"/>
      </c:catAx>
      <c:valAx>
        <c:axId val="16918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761682920727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176448"/>
        <c:crosses val="autoZero"/>
        <c:crossBetween val="between"/>
      </c:valAx>
      <c:spPr>
        <a:ln>
          <a:solidFill>
            <a:sysClr val="windowText" lastClr="000000"/>
          </a:solidFill>
        </a:ln>
      </c:spPr>
    </c:plotArea>
    <c:legend>
      <c:legendPos val="r"/>
      <c:layout>
        <c:manualLayout>
          <c:xMode val="edge"/>
          <c:yMode val="edge"/>
          <c:x val="0.81976490466837315"/>
          <c:y val="9.4444444444444442E-2"/>
          <c:w val="0.16641069509264594"/>
          <c:h val="0.8231488286186448"/>
        </c:manualLayout>
      </c:layout>
      <c:overlay val="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65354330708"/>
          <c:y val="2.9440171486684813E-3"/>
        </c:manualLayout>
      </c:layout>
      <c:overlay val="0"/>
    </c:title>
    <c:autoTitleDeleted val="0"/>
    <c:plotArea>
      <c:layout>
        <c:manualLayout>
          <c:layoutTarget val="inner"/>
          <c:xMode val="edge"/>
          <c:yMode val="edge"/>
          <c:x val="7.9354330708661422E-2"/>
          <c:y val="7.1691004961902199E-2"/>
          <c:w val="0.71772814298316767"/>
          <c:h val="0.89523600842533824"/>
        </c:manualLayout>
      </c:layout>
      <c:lineChart>
        <c:grouping val="standard"/>
        <c:varyColors val="0"/>
        <c:ser>
          <c:idx val="2"/>
          <c:order val="0"/>
          <c:tx>
            <c:strRef>
              <c:f>Comparison_of_pupil_projns!$B$86</c:f>
              <c:strCache>
                <c:ptCount val="1"/>
                <c:pt idx="0">
                  <c:v>2018/19 TSM Primary change rates</c:v>
                </c:pt>
              </c:strCache>
            </c:strRef>
          </c:tx>
          <c:spPr>
            <a:ln>
              <a:solidFill>
                <a:schemeClr val="tx1">
                  <a:lumMod val="95000"/>
                  <a:lumOff val="5000"/>
                </a:schemeClr>
              </a:solidFill>
            </a:ln>
          </c:spPr>
          <c:marker>
            <c:symbol val="none"/>
          </c:marker>
          <c:cat>
            <c:strRef>
              <c:f>Comparison_of_pupil_projns!$C$81:$Z$81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strCache>
            </c:strRef>
          </c:cat>
          <c:val>
            <c:numRef>
              <c:f>Comparison_of_pupil_projns!$C$86:$Z$86</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1.8666096492565711E-2</c:v>
                </c:pt>
                <c:pt idx="12">
                  <c:v>1.2442143971877501E-2</c:v>
                </c:pt>
                <c:pt idx="13">
                  <c:v>5.4699166801029948E-3</c:v>
                </c:pt>
                <c:pt idx="14">
                  <c:v>4.1493278897662002E-5</c:v>
                </c:pt>
                <c:pt idx="15">
                  <c:v>1.8824856586387468E-3</c:v>
                </c:pt>
                <c:pt idx="16">
                  <c:v>4.998488967446165E-4</c:v>
                </c:pt>
                <c:pt idx="17">
                  <c:v>-1.2767838057729096E-3</c:v>
                </c:pt>
                <c:pt idx="18">
                  <c:v>-3.2328555423781114E-3</c:v>
                </c:pt>
                <c:pt idx="19">
                  <c:v>1.93365935827273E-3</c:v>
                </c:pt>
                <c:pt idx="20">
                  <c:v>5.616448197552336E-3</c:v>
                </c:pt>
                <c:pt idx="21">
                  <c:v>1.0640323391125929E-2</c:v>
                </c:pt>
                <c:pt idx="22">
                  <c:v>7.6739287865912218E-3</c:v>
                </c:pt>
              </c:numCache>
            </c:numRef>
          </c:val>
          <c:smooth val="0"/>
          <c:extLst>
            <c:ext xmlns:c16="http://schemas.microsoft.com/office/drawing/2014/chart" uri="{C3380CC4-5D6E-409C-BE32-E72D297353CC}">
              <c16:uniqueId val="{00000000-AD40-423A-96EA-CFE62EACA192}"/>
            </c:ext>
          </c:extLst>
        </c:ser>
        <c:ser>
          <c:idx val="3"/>
          <c:order val="1"/>
          <c:tx>
            <c:strRef>
              <c:f>Comparison_of_pupil_projns!$B$87</c:f>
              <c:strCache>
                <c:ptCount val="1"/>
                <c:pt idx="0">
                  <c:v>2018/19 TSM Secondary change rates</c:v>
                </c:pt>
              </c:strCache>
            </c:strRef>
          </c:tx>
          <c:spPr>
            <a:ln>
              <a:solidFill>
                <a:srgbClr val="FF0000"/>
              </a:solidFill>
            </a:ln>
          </c:spPr>
          <c:marker>
            <c:symbol val="none"/>
          </c:marker>
          <c:cat>
            <c:strRef>
              <c:f>Comparison_of_pupil_projns!$C$81:$Z$81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strCache>
            </c:strRef>
          </c:cat>
          <c:val>
            <c:numRef>
              <c:f>Comparison_of_pupil_projns!$C$87:$Z$87</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-1.9387867395368537E-3</c:v>
                </c:pt>
                <c:pt idx="10">
                  <c:v>7.0740274374183362E-4</c:v>
                </c:pt>
                <c:pt idx="11">
                  <c:v>7.5310599168084127E-3</c:v>
                </c:pt>
                <c:pt idx="12">
                  <c:v>1.6403178690555471E-2</c:v>
                </c:pt>
                <c:pt idx="13">
                  <c:v>2.4098762439530567E-2</c:v>
                </c:pt>
                <c:pt idx="14">
                  <c:v>2.6090936138249931E-2</c:v>
                </c:pt>
                <c:pt idx="15">
                  <c:v>2.1373187285632127E-2</c:v>
                </c:pt>
                <c:pt idx="16">
                  <c:v>2.2416490117186046E-2</c:v>
                </c:pt>
                <c:pt idx="17">
                  <c:v>2.3221850153282889E-2</c:v>
                </c:pt>
                <c:pt idx="18">
                  <c:v>2.0243634458786901E-2</c:v>
                </c:pt>
                <c:pt idx="19">
                  <c:v>7.1410060060915666E-3</c:v>
                </c:pt>
                <c:pt idx="20">
                  <c:v>2.6710319954636312E-3</c:v>
                </c:pt>
                <c:pt idx="21">
                  <c:v>-4.2685985559433063E-3</c:v>
                </c:pt>
                <c:pt idx="22">
                  <c:v>-7.865831882176726E-3</c:v>
                </c:pt>
              </c:numCache>
            </c:numRef>
          </c:val>
          <c:smooth val="0"/>
          <c:extLst>
            <c:ext xmlns:c16="http://schemas.microsoft.com/office/drawing/2014/chart" uri="{C3380CC4-5D6E-409C-BE32-E72D297353CC}">
              <c16:uniqueId val="{00000001-AD40-423A-96EA-CFE62EACA192}"/>
            </c:ext>
          </c:extLst>
        </c:ser>
        <c:ser>
          <c:idx val="0"/>
          <c:order val="2"/>
          <c:tx>
            <c:strRef>
              <c:f>Comparison_of_pupil_projns!$B$92</c:f>
              <c:strCache>
                <c:ptCount val="1"/>
                <c:pt idx="0">
                  <c:v>2017/18 TSM Primary change rates</c:v>
                </c:pt>
              </c:strCache>
            </c:strRef>
          </c:tx>
          <c:spPr>
            <a:ln>
              <a:solidFill>
                <a:schemeClr val="tx1">
                  <a:lumMod val="95000"/>
                  <a:lumOff val="5000"/>
                </a:schemeClr>
              </a:solidFill>
              <a:prstDash val="sysDot"/>
            </a:ln>
          </c:spPr>
          <c:marker>
            <c:symbol val="none"/>
          </c:marker>
          <c:cat>
            <c:strRef>
              <c:f>Comparison_of_pupil_projns!$C$81:$Z$81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strCache>
            </c:strRef>
          </c:cat>
          <c:val>
            <c:numRef>
              <c:f>Comparison_of_pupil_projns!$C$92:$Z$92</c:f>
              <c:numCache>
                <c:formatCode>0%</c:formatCode>
                <c:ptCount val="24"/>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2.0848543919274844E-2</c:v>
                </c:pt>
                <c:pt idx="12">
                  <c:v>1.2680720192390794E-2</c:v>
                </c:pt>
                <c:pt idx="13">
                  <c:v>5.3996998144108512E-3</c:v>
                </c:pt>
                <c:pt idx="14">
                  <c:v>1.643258599013099E-4</c:v>
                </c:pt>
                <c:pt idx="15">
                  <c:v>2.1576151602088942E-3</c:v>
                </c:pt>
                <c:pt idx="16">
                  <c:v>6.6409187473297291E-4</c:v>
                </c:pt>
                <c:pt idx="17">
                  <c:v>-1.7271011304803021E-3</c:v>
                </c:pt>
                <c:pt idx="18">
                  <c:v>-3.2061682461803423E-3</c:v>
                </c:pt>
                <c:pt idx="19">
                  <c:v>1.9442794237163003E-3</c:v>
                </c:pt>
                <c:pt idx="20">
                  <c:v>5.6325751427266178E-3</c:v>
                </c:pt>
                <c:pt idx="21">
                  <c:v>1.0620895996397157E-2</c:v>
                </c:pt>
              </c:numCache>
            </c:numRef>
          </c:val>
          <c:smooth val="0"/>
          <c:extLst>
            <c:ext xmlns:c16="http://schemas.microsoft.com/office/drawing/2014/chart" uri="{C3380CC4-5D6E-409C-BE32-E72D297353CC}">
              <c16:uniqueId val="{00000002-AD40-423A-96EA-CFE62EACA192}"/>
            </c:ext>
          </c:extLst>
        </c:ser>
        <c:ser>
          <c:idx val="1"/>
          <c:order val="3"/>
          <c:tx>
            <c:strRef>
              <c:f>Comparison_of_pupil_projns!$B$93</c:f>
              <c:strCache>
                <c:ptCount val="1"/>
                <c:pt idx="0">
                  <c:v>2017/18 TSM Secondary change rates</c:v>
                </c:pt>
              </c:strCache>
            </c:strRef>
          </c:tx>
          <c:spPr>
            <a:ln>
              <a:solidFill>
                <a:srgbClr val="FF0000"/>
              </a:solidFill>
              <a:prstDash val="sysDot"/>
            </a:ln>
          </c:spPr>
          <c:marker>
            <c:symbol val="none"/>
          </c:marker>
          <c:cat>
            <c:strRef>
              <c:f>Comparison_of_pupil_projns!$C$81:$Z$81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2027/28 </c:v>
                </c:pt>
                <c:pt idx="22">
                  <c:v> 2028/29 </c:v>
                </c:pt>
              </c:strCache>
            </c:strRef>
          </c:cat>
          <c:val>
            <c:numRef>
              <c:f>Comparison_of_pupil_projns!$C$93:$Z$93</c:f>
              <c:numCache>
                <c:formatCode>0%</c:formatCode>
                <c:ptCount val="24"/>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-1.9594206385056068E-3</c:v>
                </c:pt>
                <c:pt idx="10">
                  <c:v>7.0164776641059245E-4</c:v>
                </c:pt>
                <c:pt idx="11">
                  <c:v>1.0072594416255826E-2</c:v>
                </c:pt>
                <c:pt idx="12">
                  <c:v>1.6819436448190322E-2</c:v>
                </c:pt>
                <c:pt idx="13">
                  <c:v>2.44206836302715E-2</c:v>
                </c:pt>
                <c:pt idx="14">
                  <c:v>2.6407930698706887E-2</c:v>
                </c:pt>
                <c:pt idx="15">
                  <c:v>2.0825611709356626E-2</c:v>
                </c:pt>
                <c:pt idx="16">
                  <c:v>2.2014329945657624E-2</c:v>
                </c:pt>
                <c:pt idx="17">
                  <c:v>2.3878640336394492E-2</c:v>
                </c:pt>
                <c:pt idx="18">
                  <c:v>2.0201265335383724E-2</c:v>
                </c:pt>
                <c:pt idx="19">
                  <c:v>7.3593376937295353E-3</c:v>
                </c:pt>
                <c:pt idx="20">
                  <c:v>2.9193105008289799E-3</c:v>
                </c:pt>
                <c:pt idx="21">
                  <c:v>-4.5357383134039019E-3</c:v>
                </c:pt>
              </c:numCache>
            </c:numRef>
          </c:val>
          <c:smooth val="0"/>
          <c:extLst>
            <c:ext xmlns:c16="http://schemas.microsoft.com/office/drawing/2014/chart" uri="{C3380CC4-5D6E-409C-BE32-E72D297353CC}">
              <c16:uniqueId val="{00000003-AD40-423A-96EA-CFE62EACA192}"/>
            </c:ext>
          </c:extLst>
        </c:ser>
        <c:dLbls>
          <c:showLegendKey val="0"/>
          <c:showVal val="0"/>
          <c:showCatName val="0"/>
          <c:showSerName val="0"/>
          <c:showPercent val="0"/>
          <c:showBubbleSize val="0"/>
        </c:dLbls>
        <c:smooth val="0"/>
        <c:axId val="169231872"/>
        <c:axId val="169233408"/>
      </c:lineChart>
      <c:catAx>
        <c:axId val="16923187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69233408"/>
        <c:crosses val="autoZero"/>
        <c:auto val="1"/>
        <c:lblAlgn val="ctr"/>
        <c:lblOffset val="100"/>
        <c:noMultiLvlLbl val="0"/>
      </c:catAx>
      <c:valAx>
        <c:axId val="1692334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23187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687598425196849"/>
          <c:y val="0.22853889203524735"/>
          <c:w val="0.18000026246719159"/>
          <c:h val="0.545244837434763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ARTS</a:t>
            </a:r>
          </a:p>
        </c:rich>
      </c:tx>
      <c:layout/>
      <c:overlay val="0"/>
    </c:title>
    <c:autoTitleDeleted val="0"/>
    <c:plotArea>
      <c:layout>
        <c:manualLayout>
          <c:layoutTarget val="inner"/>
          <c:xMode val="edge"/>
          <c:yMode val="edge"/>
          <c:x val="0.11423840769903762"/>
          <c:y val="0.12283573928258967"/>
          <c:w val="0.56316625286704025"/>
          <c:h val="0.69329177602799663"/>
        </c:manualLayout>
      </c:layout>
      <c:lineChart>
        <c:grouping val="standard"/>
        <c:varyColors val="0"/>
        <c:ser>
          <c:idx val="21"/>
          <c:order val="0"/>
          <c:tx>
            <c:strRef>
              <c:f>Entrant_need_figures!$B$110</c:f>
              <c:strCache>
                <c:ptCount val="1"/>
                <c:pt idx="0">
                  <c:v>ART &amp; DESIGN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Entrant_need_figures!$C$110:$N$110</c:f>
              <c:numCache>
                <c:formatCode>#,##0</c:formatCode>
                <c:ptCount val="12"/>
                <c:pt idx="0">
                  <c:v>784.26817674174765</c:v>
                </c:pt>
                <c:pt idx="1">
                  <c:v>847.98779009243503</c:v>
                </c:pt>
                <c:pt idx="2">
                  <c:v>901.07800660747716</c:v>
                </c:pt>
                <c:pt idx="3">
                  <c:v>893.66567056461827</c:v>
                </c:pt>
                <c:pt idx="4">
                  <c:v>878.15759626382442</c:v>
                </c:pt>
                <c:pt idx="5">
                  <c:v>857.96005228869774</c:v>
                </c:pt>
                <c:pt idx="6">
                  <c:v>905.52020091501095</c:v>
                </c:pt>
                <c:pt idx="7">
                  <c:v>936.43518330567122</c:v>
                </c:pt>
                <c:pt idx="8">
                  <c:v>891.81276162212566</c:v>
                </c:pt>
                <c:pt idx="9">
                  <c:v>863.77180954390406</c:v>
                </c:pt>
                <c:pt idx="10">
                  <c:v>880.97091747327249</c:v>
                </c:pt>
                <c:pt idx="11">
                  <c:v>886.56621946381574</c:v>
                </c:pt>
              </c:numCache>
            </c:numRef>
          </c:val>
          <c:smooth val="0"/>
          <c:extLst>
            <c:ext xmlns:c16="http://schemas.microsoft.com/office/drawing/2014/chart" uri="{C3380CC4-5D6E-409C-BE32-E72D297353CC}">
              <c16:uniqueId val="{00000000-AA13-4445-9596-6E5F0D62E010}"/>
            </c:ext>
          </c:extLst>
        </c:ser>
        <c:ser>
          <c:idx val="1"/>
          <c:order val="1"/>
          <c:tx>
            <c:strRef>
              <c:f>Entrant_need_figures!$B$89</c:f>
              <c:strCache>
                <c:ptCount val="1"/>
                <c:pt idx="0">
                  <c:v>ART &amp; DESIGN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Entrant_need_figures!$C$89:$N$89</c:f>
              <c:numCache>
                <c:formatCode>#,##0</c:formatCode>
                <c:ptCount val="12"/>
                <c:pt idx="0">
                  <c:v>784.26817674174765</c:v>
                </c:pt>
                <c:pt idx="1">
                  <c:v>847.98779009243503</c:v>
                </c:pt>
                <c:pt idx="2">
                  <c:v>901.07800660747716</c:v>
                </c:pt>
                <c:pt idx="3">
                  <c:v>893.66567056461827</c:v>
                </c:pt>
                <c:pt idx="4">
                  <c:v>878.15759626382442</c:v>
                </c:pt>
                <c:pt idx="5">
                  <c:v>857.96005228869774</c:v>
                </c:pt>
                <c:pt idx="6">
                  <c:v>905.52020091501095</c:v>
                </c:pt>
                <c:pt idx="7">
                  <c:v>936.43518330567122</c:v>
                </c:pt>
                <c:pt idx="8">
                  <c:v>891.81276162212566</c:v>
                </c:pt>
                <c:pt idx="9">
                  <c:v>863.77180954390406</c:v>
                </c:pt>
                <c:pt idx="10">
                  <c:v>880.97091747327249</c:v>
                </c:pt>
                <c:pt idx="11">
                  <c:v>886.56621946381574</c:v>
                </c:pt>
              </c:numCache>
            </c:numRef>
          </c:val>
          <c:smooth val="0"/>
          <c:extLst>
            <c:ext xmlns:c16="http://schemas.microsoft.com/office/drawing/2014/chart" uri="{C3380CC4-5D6E-409C-BE32-E72D297353CC}">
              <c16:uniqueId val="{00000001-AA13-4445-9596-6E5F0D62E010}"/>
            </c:ext>
          </c:extLst>
        </c:ser>
        <c:ser>
          <c:idx val="28"/>
          <c:order val="2"/>
          <c:tx>
            <c:strRef>
              <c:f>Entrant_need_figures!$B$117</c:f>
              <c:strCache>
                <c:ptCount val="1"/>
                <c:pt idx="0">
                  <c:v>DRAMA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Entrant_need_figures!$C$117:$N$117</c:f>
              <c:numCache>
                <c:formatCode>#,##0</c:formatCode>
                <c:ptCount val="12"/>
                <c:pt idx="0">
                  <c:v>468.76901163447405</c:v>
                </c:pt>
                <c:pt idx="1">
                  <c:v>476.88945248559162</c:v>
                </c:pt>
                <c:pt idx="2">
                  <c:v>531.64237814670241</c:v>
                </c:pt>
                <c:pt idx="3">
                  <c:v>500.63287784900183</c:v>
                </c:pt>
                <c:pt idx="4">
                  <c:v>489.36291977552969</c:v>
                </c:pt>
                <c:pt idx="5">
                  <c:v>474.68330287087286</c:v>
                </c:pt>
                <c:pt idx="6">
                  <c:v>508.17018316008341</c:v>
                </c:pt>
                <c:pt idx="7">
                  <c:v>527.75973028775275</c:v>
                </c:pt>
                <c:pt idx="8">
                  <c:v>499.44421191976147</c:v>
                </c:pt>
                <c:pt idx="9">
                  <c:v>483.61147594995941</c:v>
                </c:pt>
                <c:pt idx="10">
                  <c:v>503.23298273743859</c:v>
                </c:pt>
                <c:pt idx="11">
                  <c:v>515.1846860674475</c:v>
                </c:pt>
              </c:numCache>
            </c:numRef>
          </c:val>
          <c:smooth val="0"/>
          <c:extLst>
            <c:ext xmlns:c16="http://schemas.microsoft.com/office/drawing/2014/chart" uri="{C3380CC4-5D6E-409C-BE32-E72D297353CC}">
              <c16:uniqueId val="{00000002-AA13-4445-9596-6E5F0D62E010}"/>
            </c:ext>
          </c:extLst>
        </c:ser>
        <c:ser>
          <c:idx val="8"/>
          <c:order val="3"/>
          <c:tx>
            <c:strRef>
              <c:f>Entrant_need_figures!$B$96</c:f>
              <c:strCache>
                <c:ptCount val="1"/>
                <c:pt idx="0">
                  <c:v>DRAMA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Entrant_need_figures!$C$96:$N$96</c:f>
              <c:numCache>
                <c:formatCode>#,##0</c:formatCode>
                <c:ptCount val="12"/>
                <c:pt idx="0">
                  <c:v>468.76901163447405</c:v>
                </c:pt>
                <c:pt idx="1">
                  <c:v>476.88945248559162</c:v>
                </c:pt>
                <c:pt idx="2">
                  <c:v>531.64237814670241</c:v>
                </c:pt>
                <c:pt idx="3">
                  <c:v>500.63287784900183</c:v>
                </c:pt>
                <c:pt idx="4">
                  <c:v>489.36291977552969</c:v>
                </c:pt>
                <c:pt idx="5">
                  <c:v>474.68330287087286</c:v>
                </c:pt>
                <c:pt idx="6">
                  <c:v>508.17018316008341</c:v>
                </c:pt>
                <c:pt idx="7">
                  <c:v>527.75973028775275</c:v>
                </c:pt>
                <c:pt idx="8">
                  <c:v>499.44421191976147</c:v>
                </c:pt>
                <c:pt idx="9">
                  <c:v>483.61147594995941</c:v>
                </c:pt>
                <c:pt idx="10">
                  <c:v>503.23298273743859</c:v>
                </c:pt>
                <c:pt idx="11">
                  <c:v>515.1846860674475</c:v>
                </c:pt>
              </c:numCache>
            </c:numRef>
          </c:val>
          <c:smooth val="0"/>
          <c:extLst>
            <c:ext xmlns:c16="http://schemas.microsoft.com/office/drawing/2014/chart" uri="{C3380CC4-5D6E-409C-BE32-E72D297353CC}">
              <c16:uniqueId val="{00000003-AA13-4445-9596-6E5F0D62E010}"/>
            </c:ext>
          </c:extLst>
        </c:ser>
        <c:ser>
          <c:idx val="34"/>
          <c:order val="4"/>
          <c:tx>
            <c:strRef>
              <c:f>Entrant_need_figures!$B$124</c:f>
              <c:strCache>
                <c:ptCount val="1"/>
                <c:pt idx="0">
                  <c:v>MUSIC All Central Scenario</c:v>
                </c:pt>
              </c:strCache>
            </c:strRef>
          </c:tx>
          <c:spPr>
            <a:ln>
              <a:solidFill>
                <a:srgbClr val="92D05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Entrant_need_figures!$C$124:$N$124</c:f>
              <c:numCache>
                <c:formatCode>#,##0</c:formatCode>
                <c:ptCount val="12"/>
                <c:pt idx="0">
                  <c:v>528.29000145633813</c:v>
                </c:pt>
                <c:pt idx="1">
                  <c:v>510.31303476271</c:v>
                </c:pt>
                <c:pt idx="2">
                  <c:v>583.35285853253015</c:v>
                </c:pt>
                <c:pt idx="3">
                  <c:v>529.815448690322</c:v>
                </c:pt>
                <c:pt idx="4">
                  <c:v>511.86828819837422</c:v>
                </c:pt>
                <c:pt idx="5">
                  <c:v>488.07660565601088</c:v>
                </c:pt>
                <c:pt idx="6">
                  <c:v>527.41194953477088</c:v>
                </c:pt>
                <c:pt idx="7">
                  <c:v>545.48490923117038</c:v>
                </c:pt>
                <c:pt idx="8">
                  <c:v>506.31393309965932</c:v>
                </c:pt>
                <c:pt idx="9">
                  <c:v>485.36418262220758</c:v>
                </c:pt>
                <c:pt idx="10">
                  <c:v>517.27560028572077</c:v>
                </c:pt>
                <c:pt idx="11">
                  <c:v>539.96274530449432</c:v>
                </c:pt>
              </c:numCache>
            </c:numRef>
          </c:val>
          <c:smooth val="0"/>
          <c:extLst>
            <c:ext xmlns:c16="http://schemas.microsoft.com/office/drawing/2014/chart" uri="{C3380CC4-5D6E-409C-BE32-E72D297353CC}">
              <c16:uniqueId val="{00000004-AA13-4445-9596-6E5F0D62E010}"/>
            </c:ext>
          </c:extLst>
        </c:ser>
        <c:ser>
          <c:idx val="14"/>
          <c:order val="5"/>
          <c:tx>
            <c:strRef>
              <c:f>Entrant_need_figures!$B$103</c:f>
              <c:strCache>
                <c:ptCount val="1"/>
                <c:pt idx="0">
                  <c:v>MUSIC Scenario Selected</c:v>
                </c:pt>
              </c:strCache>
            </c:strRef>
          </c:tx>
          <c:spPr>
            <a:ln>
              <a:solidFill>
                <a:srgbClr val="92D05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Entrant_need_figures!$C$103:$N$103</c:f>
              <c:numCache>
                <c:formatCode>#,##0</c:formatCode>
                <c:ptCount val="12"/>
                <c:pt idx="0">
                  <c:v>528.29000145633813</c:v>
                </c:pt>
                <c:pt idx="1">
                  <c:v>510.31303476271</c:v>
                </c:pt>
                <c:pt idx="2">
                  <c:v>583.35285853253015</c:v>
                </c:pt>
                <c:pt idx="3">
                  <c:v>529.815448690322</c:v>
                </c:pt>
                <c:pt idx="4">
                  <c:v>511.86828819837422</c:v>
                </c:pt>
                <c:pt idx="5">
                  <c:v>488.07660565601088</c:v>
                </c:pt>
                <c:pt idx="6">
                  <c:v>527.41194953477088</c:v>
                </c:pt>
                <c:pt idx="7">
                  <c:v>545.48490923117038</c:v>
                </c:pt>
                <c:pt idx="8">
                  <c:v>506.31393309965932</c:v>
                </c:pt>
                <c:pt idx="9">
                  <c:v>485.36418262220758</c:v>
                </c:pt>
                <c:pt idx="10">
                  <c:v>517.27560028572077</c:v>
                </c:pt>
                <c:pt idx="11">
                  <c:v>539.96274530449432</c:v>
                </c:pt>
              </c:numCache>
            </c:numRef>
          </c:val>
          <c:smooth val="0"/>
          <c:extLst>
            <c:ext xmlns:c16="http://schemas.microsoft.com/office/drawing/2014/chart" uri="{C3380CC4-5D6E-409C-BE32-E72D297353CC}">
              <c16:uniqueId val="{00000005-AA13-4445-9596-6E5F0D62E010}"/>
            </c:ext>
          </c:extLst>
        </c:ser>
        <c:dLbls>
          <c:showLegendKey val="0"/>
          <c:showVal val="0"/>
          <c:showCatName val="0"/>
          <c:showSerName val="0"/>
          <c:showPercent val="0"/>
          <c:showBubbleSize val="0"/>
        </c:dLbls>
        <c:smooth val="0"/>
        <c:axId val="148813312"/>
        <c:axId val="148814848"/>
      </c:lineChart>
      <c:catAx>
        <c:axId val="14881331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14848"/>
        <c:crosses val="autoZero"/>
        <c:auto val="1"/>
        <c:lblAlgn val="ctr"/>
        <c:lblOffset val="100"/>
        <c:noMultiLvlLbl val="0"/>
      </c:catAx>
      <c:valAx>
        <c:axId val="14881484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13312"/>
        <c:crosses val="autoZero"/>
        <c:crossBetween val="between"/>
      </c:valAx>
      <c:spPr>
        <a:ln>
          <a:solidFill>
            <a:schemeClr val="tx1">
              <a:lumMod val="95000"/>
              <a:lumOff val="5000"/>
            </a:schemeClr>
          </a:solidFill>
        </a:ln>
      </c:spPr>
    </c:plotArea>
    <c:legend>
      <c:legendPos val="r"/>
      <c:layout>
        <c:manualLayout>
          <c:xMode val="edge"/>
          <c:yMode val="edge"/>
          <c:x val="0.6895983723511071"/>
          <c:y val="3.3216966760273844E-2"/>
          <c:w val="0.28859113248427837"/>
          <c:h val="0.8881118881118881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Secondary pupil numbers by Key Stage</a:t>
            </a:r>
          </a:p>
        </c:rich>
      </c:tx>
      <c:overlay val="0"/>
    </c:title>
    <c:autoTitleDeleted val="0"/>
    <c:plotArea>
      <c:layout>
        <c:manualLayout>
          <c:layoutTarget val="inner"/>
          <c:xMode val="edge"/>
          <c:yMode val="edge"/>
          <c:x val="0.13457058407557784"/>
          <c:y val="0.10986542454725348"/>
          <c:w val="0.66087901348355671"/>
          <c:h val="0.79050537137793397"/>
        </c:manualLayout>
      </c:layout>
      <c:lineChart>
        <c:grouping val="standard"/>
        <c:varyColors val="0"/>
        <c:ser>
          <c:idx val="0"/>
          <c:order val="0"/>
          <c:tx>
            <c:strRef>
              <c:f>Comparison_of_pupil_projns!$B$18</c:f>
              <c:strCache>
                <c:ptCount val="1"/>
                <c:pt idx="0">
                  <c:v>Years 7-9 2018/19 TSM</c:v>
                </c:pt>
              </c:strCache>
            </c:strRef>
          </c:tx>
          <c:spPr>
            <a:ln>
              <a:solidFill>
                <a:srgbClr val="92D05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Comparison_of_pupil_projns!$C$18:$AA$18</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1678899</c:v>
                </c:pt>
                <c:pt idx="13">
                  <c:v>1724020.9710333012</c:v>
                </c:pt>
                <c:pt idx="14">
                  <c:v>1772854.5848039868</c:v>
                </c:pt>
                <c:pt idx="15">
                  <c:v>1834934.1224812306</c:v>
                </c:pt>
                <c:pt idx="16">
                  <c:v>1879210.7299530376</c:v>
                </c:pt>
                <c:pt idx="17">
                  <c:v>1914351.168622531</c:v>
                </c:pt>
                <c:pt idx="18">
                  <c:v>1936762.2517991117</c:v>
                </c:pt>
                <c:pt idx="19">
                  <c:v>1974817.9779716961</c:v>
                </c:pt>
                <c:pt idx="20">
                  <c:v>1978504.8643901525</c:v>
                </c:pt>
                <c:pt idx="21">
                  <c:v>1953779.1387891811</c:v>
                </c:pt>
                <c:pt idx="22">
                  <c:v>1915886.5892006818</c:v>
                </c:pt>
                <c:pt idx="23">
                  <c:v>1907012.1075926665</c:v>
                </c:pt>
                <c:pt idx="24">
                  <c:v>1919851.9246029067</c:v>
                </c:pt>
              </c:numCache>
            </c:numRef>
          </c:val>
          <c:smooth val="0"/>
          <c:extLst>
            <c:ext xmlns:c16="http://schemas.microsoft.com/office/drawing/2014/chart" uri="{C3380CC4-5D6E-409C-BE32-E72D297353CC}">
              <c16:uniqueId val="{00000000-2548-4D8C-982A-26F4C63AA540}"/>
            </c:ext>
          </c:extLst>
        </c:ser>
        <c:ser>
          <c:idx val="1"/>
          <c:order val="1"/>
          <c:tx>
            <c:strRef>
              <c:f>Comparison_of_pupil_projns!$B$19</c:f>
              <c:strCache>
                <c:ptCount val="1"/>
                <c:pt idx="0">
                  <c:v>Years 7-9 2017/18 TSM</c:v>
                </c:pt>
              </c:strCache>
            </c:strRef>
          </c:tx>
          <c:spPr>
            <a:ln>
              <a:solidFill>
                <a:srgbClr val="92D05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Comparison_of_pupil_projns!$C$19:$AA$19</c:f>
              <c:numCache>
                <c:formatCode>_-* #,##0_-;\-* #,##0_-;_-* "-"??_-;_-@_-</c:formatCode>
                <c:ptCount val="25"/>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1684263.7099882406</c:v>
                </c:pt>
                <c:pt idx="13">
                  <c:v>1728753.1396461697</c:v>
                </c:pt>
                <c:pt idx="14">
                  <c:v>1776887.7109150444</c:v>
                </c:pt>
                <c:pt idx="15">
                  <c:v>1837687.6258995868</c:v>
                </c:pt>
                <c:pt idx="16">
                  <c:v>1881127.9885499382</c:v>
                </c:pt>
                <c:pt idx="17">
                  <c:v>1915313.121305503</c:v>
                </c:pt>
                <c:pt idx="18">
                  <c:v>1940527.0547370678</c:v>
                </c:pt>
                <c:pt idx="19">
                  <c:v>1979340.1487121659</c:v>
                </c:pt>
                <c:pt idx="20">
                  <c:v>1983726.1049581233</c:v>
                </c:pt>
                <c:pt idx="21">
                  <c:v>1956668.4677220159</c:v>
                </c:pt>
                <c:pt idx="22">
                  <c:v>1918632.3095877871</c:v>
                </c:pt>
                <c:pt idx="23">
                  <c:v>1909994.1147172714</c:v>
                </c:pt>
              </c:numCache>
            </c:numRef>
          </c:val>
          <c:smooth val="0"/>
          <c:extLst>
            <c:ext xmlns:c16="http://schemas.microsoft.com/office/drawing/2014/chart" uri="{C3380CC4-5D6E-409C-BE32-E72D297353CC}">
              <c16:uniqueId val="{00000001-2548-4D8C-982A-26F4C63AA540}"/>
            </c:ext>
          </c:extLst>
        </c:ser>
        <c:ser>
          <c:idx val="5"/>
          <c:order val="2"/>
          <c:tx>
            <c:strRef>
              <c:f>Comparison_of_pupil_projns!$B$23</c:f>
              <c:strCache>
                <c:ptCount val="1"/>
                <c:pt idx="0">
                  <c:v>Years 10-11 2018/19 TSM</c:v>
                </c:pt>
              </c:strCache>
            </c:strRef>
          </c:tx>
          <c:spPr>
            <a:ln>
              <a:solidFill>
                <a:srgbClr val="FF0000"/>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Comparison_of_pupil_projns!$C$23:$AA$23</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1041875</c:v>
                </c:pt>
                <c:pt idx="13">
                  <c:v>1059242.1765030818</c:v>
                </c:pt>
                <c:pt idx="14">
                  <c:v>1098492.845827396</c:v>
                </c:pt>
                <c:pt idx="15">
                  <c:v>1128522.0334177609</c:v>
                </c:pt>
                <c:pt idx="16">
                  <c:v>1154504.7206683625</c:v>
                </c:pt>
                <c:pt idx="17">
                  <c:v>1189761.543386043</c:v>
                </c:pt>
                <c:pt idx="18">
                  <c:v>1236679.5493941545</c:v>
                </c:pt>
                <c:pt idx="19">
                  <c:v>1258969.8278058928</c:v>
                </c:pt>
                <c:pt idx="20">
                  <c:v>1268399.1996321685</c:v>
                </c:pt>
                <c:pt idx="21">
                  <c:v>1293612.6085987107</c:v>
                </c:pt>
                <c:pt idx="22">
                  <c:v>1318848.3464785134</c:v>
                </c:pt>
                <c:pt idx="23">
                  <c:v>1309459.1785579114</c:v>
                </c:pt>
                <c:pt idx="24">
                  <c:v>1272619.0523094554</c:v>
                </c:pt>
              </c:numCache>
            </c:numRef>
          </c:val>
          <c:smooth val="0"/>
          <c:extLst>
            <c:ext xmlns:c16="http://schemas.microsoft.com/office/drawing/2014/chart" uri="{C3380CC4-5D6E-409C-BE32-E72D297353CC}">
              <c16:uniqueId val="{00000002-2548-4D8C-982A-26F4C63AA540}"/>
            </c:ext>
          </c:extLst>
        </c:ser>
        <c:ser>
          <c:idx val="6"/>
          <c:order val="3"/>
          <c:tx>
            <c:strRef>
              <c:f>Comparison_of_pupil_projns!$B$24</c:f>
              <c:strCache>
                <c:ptCount val="1"/>
                <c:pt idx="0">
                  <c:v>Years 10-11 2017/18 TSM</c:v>
                </c:pt>
              </c:strCache>
            </c:strRef>
          </c:tx>
          <c:spPr>
            <a:ln>
              <a:solidFill>
                <a:srgbClr val="FF0000"/>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Comparison_of_pupil_projns!$C$24:$AA$24</c:f>
              <c:numCache>
                <c:formatCode>_-* #,##0_-;\-* #,##0_-;_-* "-"??_-;_-@_-</c:formatCode>
                <c:ptCount val="25"/>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1040625.6043942383</c:v>
                </c:pt>
                <c:pt idx="13">
                  <c:v>1058358.5821559713</c:v>
                </c:pt>
                <c:pt idx="14">
                  <c:v>1097644.5657882683</c:v>
                </c:pt>
                <c:pt idx="15">
                  <c:v>1127512.3599218801</c:v>
                </c:pt>
                <c:pt idx="16">
                  <c:v>1152699.2067537962</c:v>
                </c:pt>
                <c:pt idx="17">
                  <c:v>1187590.8202413935</c:v>
                </c:pt>
                <c:pt idx="18">
                  <c:v>1233917.8070985656</c:v>
                </c:pt>
                <c:pt idx="19">
                  <c:v>1255218.8994874852</c:v>
                </c:pt>
                <c:pt idx="20">
                  <c:v>1264502.0497479856</c:v>
                </c:pt>
                <c:pt idx="21">
                  <c:v>1292760.7570925467</c:v>
                </c:pt>
                <c:pt idx="22">
                  <c:v>1318712.4272962825</c:v>
                </c:pt>
                <c:pt idx="23">
                  <c:v>1307078.5028154906</c:v>
                </c:pt>
              </c:numCache>
            </c:numRef>
          </c:val>
          <c:smooth val="0"/>
          <c:extLst>
            <c:ext xmlns:c16="http://schemas.microsoft.com/office/drawing/2014/chart" uri="{C3380CC4-5D6E-409C-BE32-E72D297353CC}">
              <c16:uniqueId val="{00000003-2548-4D8C-982A-26F4C63AA540}"/>
            </c:ext>
          </c:extLst>
        </c:ser>
        <c:ser>
          <c:idx val="10"/>
          <c:order val="4"/>
          <c:tx>
            <c:strRef>
              <c:f>Comparison_of_pupil_projns!$B$28</c:f>
              <c:strCache>
                <c:ptCount val="1"/>
                <c:pt idx="0">
                  <c:v>Years 12-13 2018/19 TSM</c:v>
                </c:pt>
              </c:strCache>
            </c:strRef>
          </c:tx>
          <c:spPr>
            <a:ln>
              <a:solidFill>
                <a:schemeClr val="tx1">
                  <a:lumMod val="95000"/>
                  <a:lumOff val="5000"/>
                </a:schemeClr>
              </a:solidFill>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Comparison_of_pupil_projns!$C$28:$AA$28</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442836.5</c:v>
                </c:pt>
                <c:pt idx="11">
                  <c:v>433870.5</c:v>
                </c:pt>
                <c:pt idx="12">
                  <c:v>424809</c:v>
                </c:pt>
                <c:pt idx="13">
                  <c:v>413917.41249859042</c:v>
                </c:pt>
                <c:pt idx="14">
                  <c:v>402881.22419615899</c:v>
                </c:pt>
                <c:pt idx="15">
                  <c:v>396200.18966368359</c:v>
                </c:pt>
                <c:pt idx="16">
                  <c:v>397747.45923034835</c:v>
                </c:pt>
                <c:pt idx="17">
                  <c:v>404271.55224935681</c:v>
                </c:pt>
                <c:pt idx="18">
                  <c:v>416413.63672939758</c:v>
                </c:pt>
                <c:pt idx="19">
                  <c:v>428739.35339027015</c:v>
                </c:pt>
                <c:pt idx="20">
                  <c:v>441777.22358662885</c:v>
                </c:pt>
                <c:pt idx="21">
                  <c:v>451142.12596132985</c:v>
                </c:pt>
                <c:pt idx="22">
                  <c:v>458855.32419299771</c:v>
                </c:pt>
                <c:pt idx="23">
                  <c:v>466275.03084775753</c:v>
                </c:pt>
                <c:pt idx="24">
                  <c:v>472066.1229340306</c:v>
                </c:pt>
              </c:numCache>
            </c:numRef>
          </c:val>
          <c:smooth val="0"/>
          <c:extLst>
            <c:ext xmlns:c16="http://schemas.microsoft.com/office/drawing/2014/chart" uri="{C3380CC4-5D6E-409C-BE32-E72D297353CC}">
              <c16:uniqueId val="{00000004-2548-4D8C-982A-26F4C63AA540}"/>
            </c:ext>
          </c:extLst>
        </c:ser>
        <c:ser>
          <c:idx val="11"/>
          <c:order val="5"/>
          <c:tx>
            <c:strRef>
              <c:f>Comparison_of_pupil_projns!$B$29</c:f>
              <c:strCache>
                <c:ptCount val="1"/>
                <c:pt idx="0">
                  <c:v>Years 12-13 2017/18 TSM</c:v>
                </c:pt>
              </c:strCache>
            </c:strRef>
          </c:tx>
          <c:spPr>
            <a:ln>
              <a:solidFill>
                <a:schemeClr val="tx1">
                  <a:lumMod val="95000"/>
                  <a:lumOff val="5000"/>
                </a:schemeClr>
              </a:solidFill>
              <a:prstDash val="sysDot"/>
            </a:ln>
          </c:spPr>
          <c:marker>
            <c:symbol val="none"/>
          </c:marker>
          <c:cat>
            <c:strRef>
              <c:f>Comparison_of_pupil_projns!$C$17:$AA$17</c:f>
              <c:strCache>
                <c:ptCount val="25"/>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pt idx="24">
                  <c:v>2028/29</c:v>
                </c:pt>
              </c:strCache>
            </c:strRef>
          </c:cat>
          <c:val>
            <c:numRef>
              <c:f>Comparison_of_pupil_projns!$C$29:$AA$29</c:f>
              <c:numCache>
                <c:formatCode>_-* #,##0_-;\-* #,##0_-;_-* "-"??_-;_-@_-</c:formatCode>
                <c:ptCount val="25"/>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428545.20451393852</c:v>
                </c:pt>
                <c:pt idx="13">
                  <c:v>419361.78857838438</c:v>
                </c:pt>
                <c:pt idx="14">
                  <c:v>410245.50884306151</c:v>
                </c:pt>
                <c:pt idx="15">
                  <c:v>406321.98384626833</c:v>
                </c:pt>
                <c:pt idx="16">
                  <c:v>407908.7817738661</c:v>
                </c:pt>
                <c:pt idx="17">
                  <c:v>414599.54691593052</c:v>
                </c:pt>
                <c:pt idx="18">
                  <c:v>427051.82731021068</c:v>
                </c:pt>
                <c:pt idx="19">
                  <c:v>439692.43116813409</c:v>
                </c:pt>
                <c:pt idx="20">
                  <c:v>453063.3820700291</c:v>
                </c:pt>
                <c:pt idx="21">
                  <c:v>462667.53121151531</c:v>
                </c:pt>
                <c:pt idx="22">
                  <c:v>470577.77984100528</c:v>
                </c:pt>
                <c:pt idx="23">
                  <c:v>478187.03901394637</c:v>
                </c:pt>
              </c:numCache>
            </c:numRef>
          </c:val>
          <c:smooth val="0"/>
          <c:extLst>
            <c:ext xmlns:c16="http://schemas.microsoft.com/office/drawing/2014/chart" uri="{C3380CC4-5D6E-409C-BE32-E72D297353CC}">
              <c16:uniqueId val="{00000005-2548-4D8C-982A-26F4C63AA540}"/>
            </c:ext>
          </c:extLst>
        </c:ser>
        <c:dLbls>
          <c:showLegendKey val="0"/>
          <c:showVal val="0"/>
          <c:showCatName val="0"/>
          <c:showSerName val="0"/>
          <c:showPercent val="0"/>
          <c:showBubbleSize val="0"/>
        </c:dLbls>
        <c:smooth val="0"/>
        <c:axId val="172448384"/>
        <c:axId val="172458368"/>
      </c:lineChart>
      <c:catAx>
        <c:axId val="1724483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2458368"/>
        <c:crosses val="autoZero"/>
        <c:auto val="1"/>
        <c:lblAlgn val="ctr"/>
        <c:lblOffset val="100"/>
        <c:noMultiLvlLbl val="0"/>
      </c:catAx>
      <c:valAx>
        <c:axId val="172458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Pupil population (FTE)</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48384"/>
        <c:crosses val="autoZero"/>
        <c:crossBetween val="between"/>
      </c:valAx>
      <c:spPr>
        <a:ln>
          <a:solidFill>
            <a:schemeClr val="tx1">
              <a:lumMod val="95000"/>
              <a:lumOff val="5000"/>
            </a:schemeClr>
          </a:solidFill>
        </a:ln>
      </c:spPr>
    </c:plotArea>
    <c:legend>
      <c:legendPos val="r"/>
      <c:layout>
        <c:manualLayout>
          <c:xMode val="edge"/>
          <c:yMode val="edge"/>
          <c:x val="0.82486811370800872"/>
          <c:y val="0.26481500923495671"/>
          <c:w val="0.16349211904067551"/>
          <c:h val="0.487037425877320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Phase level ITT places calculated by the TSM</a:t>
            </a:r>
          </a:p>
        </c:rich>
      </c:tx>
      <c:overlay val="0"/>
    </c:title>
    <c:autoTitleDeleted val="0"/>
    <c:plotArea>
      <c:layout>
        <c:manualLayout>
          <c:layoutTarget val="inner"/>
          <c:xMode val="edge"/>
          <c:yMode val="edge"/>
          <c:x val="0.12736444803373936"/>
          <c:y val="0.12284383062933676"/>
          <c:w val="0.59521123276202292"/>
          <c:h val="0.72498837963388196"/>
        </c:manualLayout>
      </c:layout>
      <c:lineChart>
        <c:grouping val="standard"/>
        <c:varyColors val="0"/>
        <c:ser>
          <c:idx val="0"/>
          <c:order val="0"/>
          <c:tx>
            <c:strRef>
              <c:f>Historical_and_projected_ITT!$B$43</c:f>
              <c:strCache>
                <c:ptCount val="1"/>
                <c:pt idx="0">
                  <c:v>Primary - Historical </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Historical_and_projected_ITT!$C$43:$R$43</c:f>
              <c:numCache>
                <c:formatCode>#,##0</c:formatCode>
                <c:ptCount val="16"/>
                <c:pt idx="0">
                  <c:v>13040.499199007802</c:v>
                </c:pt>
                <c:pt idx="1">
                  <c:v>14421.375629707218</c:v>
                </c:pt>
                <c:pt idx="2">
                  <c:v>14130</c:v>
                </c:pt>
                <c:pt idx="3">
                  <c:v>14328</c:v>
                </c:pt>
                <c:pt idx="4">
                  <c:v>11245.392069649593</c:v>
                </c:pt>
                <c:pt idx="5">
                  <c:v>11488.74477424193</c:v>
                </c:pt>
                <c:pt idx="6">
                  <c:v>12120.954810176481</c:v>
                </c:pt>
              </c:numCache>
            </c:numRef>
          </c:val>
          <c:smooth val="0"/>
          <c:extLst>
            <c:ext xmlns:c16="http://schemas.microsoft.com/office/drawing/2014/chart" uri="{C3380CC4-5D6E-409C-BE32-E72D297353CC}">
              <c16:uniqueId val="{00000000-AC50-494D-9523-CB92DD8D8B16}"/>
            </c:ext>
          </c:extLst>
        </c:ser>
        <c:ser>
          <c:idx val="21"/>
          <c:order val="1"/>
          <c:tx>
            <c:strRef>
              <c:f>Historical_and_projected_ITT!$B$64</c:f>
              <c:strCache>
                <c:ptCount val="1"/>
                <c:pt idx="0">
                  <c:v>Secondary total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Historical_and_projected_ITT!$C$64:$R$64</c:f>
              <c:numCache>
                <c:formatCode>#,##0</c:formatCode>
                <c:ptCount val="16"/>
                <c:pt idx="0">
                  <c:v>13806.688748035122</c:v>
                </c:pt>
                <c:pt idx="1">
                  <c:v>13816.873904163418</c:v>
                </c:pt>
                <c:pt idx="2">
                  <c:v>13360</c:v>
                </c:pt>
                <c:pt idx="3">
                  <c:v>13866</c:v>
                </c:pt>
                <c:pt idx="4">
                  <c:v>18541.484824463427</c:v>
                </c:pt>
                <c:pt idx="5">
                  <c:v>17687.709649774803</c:v>
                </c:pt>
                <c:pt idx="6">
                  <c:v>18725.549862912729</c:v>
                </c:pt>
              </c:numCache>
            </c:numRef>
          </c:val>
          <c:smooth val="0"/>
          <c:extLst>
            <c:ext xmlns:c16="http://schemas.microsoft.com/office/drawing/2014/chart" uri="{C3380CC4-5D6E-409C-BE32-E72D297353CC}">
              <c16:uniqueId val="{00000001-AC50-494D-9523-CB92DD8D8B16}"/>
            </c:ext>
          </c:extLst>
        </c:ser>
        <c:ser>
          <c:idx val="22"/>
          <c:order val="2"/>
          <c:tx>
            <c:strRef>
              <c:f>Historical_and_projected_ITT!$B$65</c:f>
              <c:strCache>
                <c:ptCount val="1"/>
                <c:pt idx="0">
                  <c:v>Total - Historical</c:v>
                </c:pt>
              </c:strCache>
            </c:strRef>
          </c:tx>
          <c:spPr>
            <a:ln>
              <a:solidFill>
                <a:schemeClr val="tx1">
                  <a:lumMod val="95000"/>
                  <a:lumOff val="5000"/>
                </a:schemeClr>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Historical_and_projected_ITT!$C$65:$R$65</c:f>
              <c:numCache>
                <c:formatCode>#,##0</c:formatCode>
                <c:ptCount val="16"/>
                <c:pt idx="0">
                  <c:v>26847.187947042923</c:v>
                </c:pt>
                <c:pt idx="1">
                  <c:v>28238.249533870639</c:v>
                </c:pt>
                <c:pt idx="2">
                  <c:v>27490</c:v>
                </c:pt>
                <c:pt idx="3">
                  <c:v>28194</c:v>
                </c:pt>
                <c:pt idx="4">
                  <c:v>29786.876894113011</c:v>
                </c:pt>
                <c:pt idx="5">
                  <c:v>29176.454424016734</c:v>
                </c:pt>
                <c:pt idx="6">
                  <c:v>30846.50467308921</c:v>
                </c:pt>
              </c:numCache>
            </c:numRef>
          </c:val>
          <c:smooth val="0"/>
          <c:extLst>
            <c:ext xmlns:c16="http://schemas.microsoft.com/office/drawing/2014/chart" uri="{C3380CC4-5D6E-409C-BE32-E72D297353CC}">
              <c16:uniqueId val="{00000002-AC50-494D-9523-CB92DD8D8B16}"/>
            </c:ext>
          </c:extLst>
        </c:ser>
        <c:ser>
          <c:idx val="23"/>
          <c:order val="3"/>
          <c:tx>
            <c:strRef>
              <c:f>Historical_and_projected_ITT!$B$66</c:f>
              <c:strCache>
                <c:ptCount val="1"/>
                <c:pt idx="0">
                  <c:v>Primary - Projected </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Historical_and_projected_ITT!$C$66:$R$66</c:f>
              <c:numCache>
                <c:formatCode>#,##0</c:formatCode>
                <c:ptCount val="16"/>
                <c:pt idx="7">
                  <c:v>12551.825169701613</c:v>
                </c:pt>
                <c:pt idx="8">
                  <c:v>12342.444610888844</c:v>
                </c:pt>
                <c:pt idx="9">
                  <c:v>12195.449800842778</c:v>
                </c:pt>
                <c:pt idx="10">
                  <c:v>12020.15024076503</c:v>
                </c:pt>
                <c:pt idx="11">
                  <c:v>11828.01551716114</c:v>
                </c:pt>
                <c:pt idx="12">
                  <c:v>12189.853096989542</c:v>
                </c:pt>
                <c:pt idx="13">
                  <c:v>12482.824402682347</c:v>
                </c:pt>
                <c:pt idx="14">
                  <c:v>12555.355178933178</c:v>
                </c:pt>
                <c:pt idx="15">
                  <c:v>12487.525480819253</c:v>
                </c:pt>
              </c:numCache>
            </c:numRef>
          </c:val>
          <c:smooth val="0"/>
          <c:extLst>
            <c:ext xmlns:c16="http://schemas.microsoft.com/office/drawing/2014/chart" uri="{C3380CC4-5D6E-409C-BE32-E72D297353CC}">
              <c16:uniqueId val="{00000003-AC50-494D-9523-CB92DD8D8B16}"/>
            </c:ext>
          </c:extLst>
        </c:ser>
        <c:ser>
          <c:idx val="44"/>
          <c:order val="4"/>
          <c:tx>
            <c:strRef>
              <c:f>Historical_and_projected_ITT!$B$87</c:f>
              <c:strCache>
                <c:ptCount val="1"/>
                <c:pt idx="0">
                  <c:v>Secondary total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Historical_and_projected_ITT!$C$87:$R$87</c:f>
              <c:numCache>
                <c:formatCode>#,##0</c:formatCode>
                <c:ptCount val="16"/>
                <c:pt idx="7">
                  <c:v>19673.948239461079</c:v>
                </c:pt>
                <c:pt idx="8">
                  <c:v>18806.598253648139</c:v>
                </c:pt>
                <c:pt idx="9">
                  <c:v>19167.715336951995</c:v>
                </c:pt>
                <c:pt idx="10">
                  <c:v>19531.659900419043</c:v>
                </c:pt>
                <c:pt idx="11">
                  <c:v>20183.541797218622</c:v>
                </c:pt>
                <c:pt idx="12">
                  <c:v>19182.227359325298</c:v>
                </c:pt>
                <c:pt idx="13">
                  <c:v>18437.014260225504</c:v>
                </c:pt>
                <c:pt idx="14">
                  <c:v>17848.424003619497</c:v>
                </c:pt>
                <c:pt idx="15">
                  <c:v>17759.427253501824</c:v>
                </c:pt>
              </c:numCache>
            </c:numRef>
          </c:val>
          <c:smooth val="0"/>
          <c:extLst>
            <c:ext xmlns:c16="http://schemas.microsoft.com/office/drawing/2014/chart" uri="{C3380CC4-5D6E-409C-BE32-E72D297353CC}">
              <c16:uniqueId val="{00000004-AC50-494D-9523-CB92DD8D8B16}"/>
            </c:ext>
          </c:extLst>
        </c:ser>
        <c:ser>
          <c:idx val="45"/>
          <c:order val="5"/>
          <c:tx>
            <c:strRef>
              <c:f>Historical_and_projected_ITT!$B$88</c:f>
              <c:strCache>
                <c:ptCount val="1"/>
                <c:pt idx="0">
                  <c:v>Total - Projected</c:v>
                </c:pt>
              </c:strCache>
            </c:strRef>
          </c:tx>
          <c:spPr>
            <a:ln>
              <a:solidFill>
                <a:schemeClr val="tx1">
                  <a:lumMod val="95000"/>
                  <a:lumOff val="5000"/>
                </a:schemeClr>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Historical_and_projected_ITT!$C$88:$R$88</c:f>
              <c:numCache>
                <c:formatCode>#,##0</c:formatCode>
                <c:ptCount val="16"/>
                <c:pt idx="7">
                  <c:v>32225.773409162688</c:v>
                </c:pt>
                <c:pt idx="8">
                  <c:v>31149.042864536983</c:v>
                </c:pt>
                <c:pt idx="9">
                  <c:v>31363.165137794764</c:v>
                </c:pt>
                <c:pt idx="10">
                  <c:v>31551.810141184076</c:v>
                </c:pt>
                <c:pt idx="11">
                  <c:v>32011.557314379766</c:v>
                </c:pt>
                <c:pt idx="12">
                  <c:v>31372.080456314838</c:v>
                </c:pt>
                <c:pt idx="13">
                  <c:v>30919.838662907849</c:v>
                </c:pt>
                <c:pt idx="14">
                  <c:v>30403.77918255268</c:v>
                </c:pt>
                <c:pt idx="15">
                  <c:v>30246.952734321076</c:v>
                </c:pt>
              </c:numCache>
            </c:numRef>
          </c:val>
          <c:smooth val="0"/>
          <c:extLst>
            <c:ext xmlns:c16="http://schemas.microsoft.com/office/drawing/2014/chart" uri="{C3380CC4-5D6E-409C-BE32-E72D297353CC}">
              <c16:uniqueId val="{00000005-AC50-494D-9523-CB92DD8D8B16}"/>
            </c:ext>
          </c:extLst>
        </c:ser>
        <c:dLbls>
          <c:showLegendKey val="0"/>
          <c:showVal val="0"/>
          <c:showCatName val="0"/>
          <c:showSerName val="0"/>
          <c:showPercent val="0"/>
          <c:showBubbleSize val="0"/>
        </c:dLbls>
        <c:smooth val="0"/>
        <c:axId val="152310912"/>
        <c:axId val="152312448"/>
      </c:lineChart>
      <c:catAx>
        <c:axId val="15231091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12448"/>
        <c:crosses val="autoZero"/>
        <c:auto val="1"/>
        <c:lblAlgn val="ctr"/>
        <c:lblOffset val="100"/>
        <c:noMultiLvlLbl val="0"/>
      </c:catAx>
      <c:valAx>
        <c:axId val="152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10912"/>
        <c:crosses val="autoZero"/>
        <c:crossBetween val="between"/>
      </c:valAx>
      <c:spPr>
        <a:ln>
          <a:solidFill>
            <a:schemeClr val="tx1">
              <a:lumMod val="95000"/>
              <a:lumOff val="5000"/>
            </a:schemeClr>
          </a:solidFill>
        </a:ln>
      </c:spPr>
    </c:plotArea>
    <c:legend>
      <c:legendPos val="r"/>
      <c:layout>
        <c:manualLayout>
          <c:xMode val="edge"/>
          <c:yMode val="edge"/>
          <c:x val="0.74176499294372122"/>
          <c:y val="8.7912087912087919E-2"/>
          <c:w val="0.23646034195474308"/>
          <c:h val="0.8035715727841712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English, Mathematics, &amp; Science ITT places calculated by the TSM</a:t>
            </a:r>
          </a:p>
        </c:rich>
      </c:tx>
      <c:overlay val="0"/>
    </c:title>
    <c:autoTitleDeleted val="0"/>
    <c:plotArea>
      <c:layout>
        <c:manualLayout>
          <c:layoutTarget val="inner"/>
          <c:xMode val="edge"/>
          <c:yMode val="edge"/>
          <c:x val="0.11786777187039654"/>
          <c:y val="0.12284383062933676"/>
          <c:w val="0.59685095452811987"/>
          <c:h val="0.72945561020142891"/>
        </c:manualLayout>
      </c:layout>
      <c:lineChart>
        <c:grouping val="standard"/>
        <c:varyColors val="0"/>
        <c:ser>
          <c:idx val="9"/>
          <c:order val="0"/>
          <c:tx>
            <c:strRef>
              <c:f>Historical_and_projected_ITT!$B$52</c:f>
              <c:strCache>
                <c:ptCount val="1"/>
                <c:pt idx="0">
                  <c:v>English - Historical</c:v>
                </c:pt>
              </c:strCache>
            </c:strRef>
          </c:tx>
          <c:spPr>
            <a:ln>
              <a:solidFill>
                <a:schemeClr val="tx1">
                  <a:lumMod val="95000"/>
                  <a:lumOff val="5000"/>
                </a:schemeClr>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Historical_and_projected_ITT!$C$52:$R$52</c:f>
              <c:numCache>
                <c:formatCode>#,##0</c:formatCode>
                <c:ptCount val="16"/>
                <c:pt idx="0">
                  <c:v>2051.5506807866868</c:v>
                </c:pt>
                <c:pt idx="1">
                  <c:v>1961.867816091954</c:v>
                </c:pt>
                <c:pt idx="2">
                  <c:v>1500</c:v>
                </c:pt>
                <c:pt idx="3">
                  <c:v>1348</c:v>
                </c:pt>
                <c:pt idx="4">
                  <c:v>2253.1400951922151</c:v>
                </c:pt>
                <c:pt idx="5">
                  <c:v>2253.1400951922151</c:v>
                </c:pt>
                <c:pt idx="6">
                  <c:v>2426.2873096074586</c:v>
                </c:pt>
              </c:numCache>
            </c:numRef>
          </c:val>
          <c:smooth val="0"/>
          <c:extLst>
            <c:ext xmlns:c16="http://schemas.microsoft.com/office/drawing/2014/chart" uri="{C3380CC4-5D6E-409C-BE32-E72D297353CC}">
              <c16:uniqueId val="{00000000-E0FE-4738-B955-28B344E8257B}"/>
            </c:ext>
          </c:extLst>
        </c:ser>
        <c:ser>
          <c:idx val="13"/>
          <c:order val="1"/>
          <c:tx>
            <c:strRef>
              <c:f>Historical_and_projected_ITT!$B$56</c:f>
              <c:strCache>
                <c:ptCount val="1"/>
                <c:pt idx="0">
                  <c:v>Mathematics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Historical_and_projected_ITT!$C$56:$R$56</c:f>
              <c:numCache>
                <c:formatCode>#,##0</c:formatCode>
                <c:ptCount val="16"/>
                <c:pt idx="0">
                  <c:v>2500.620842572062</c:v>
                </c:pt>
                <c:pt idx="1">
                  <c:v>2511.4154103852597</c:v>
                </c:pt>
                <c:pt idx="2">
                  <c:v>2460</c:v>
                </c:pt>
                <c:pt idx="3">
                  <c:v>2346</c:v>
                </c:pt>
                <c:pt idx="4">
                  <c:v>2581.4599575409056</c:v>
                </c:pt>
                <c:pt idx="5">
                  <c:v>3102.4919179919257</c:v>
                </c:pt>
                <c:pt idx="6">
                  <c:v>3102.4919179919257</c:v>
                </c:pt>
              </c:numCache>
            </c:numRef>
          </c:val>
          <c:smooth val="0"/>
          <c:extLst>
            <c:ext xmlns:c16="http://schemas.microsoft.com/office/drawing/2014/chart" uri="{C3380CC4-5D6E-409C-BE32-E72D297353CC}">
              <c16:uniqueId val="{00000001-E0FE-4738-B955-28B344E8257B}"/>
            </c:ext>
          </c:extLst>
        </c:ser>
        <c:ser>
          <c:idx val="0"/>
          <c:order val="2"/>
          <c:tx>
            <c:strRef>
              <c:f>Historical_and_projected_ITT!$B$63</c:f>
              <c:strCache>
                <c:ptCount val="1"/>
                <c:pt idx="0">
                  <c:v>Science - Historical</c:v>
                </c:pt>
              </c:strCache>
            </c:strRef>
          </c:tx>
          <c:spPr>
            <a:ln>
              <a:solidFill>
                <a:srgbClr val="00B0F0"/>
              </a:solidFill>
            </a:ln>
          </c:spPr>
          <c:marker>
            <c:symbol val="none"/>
          </c:marker>
          <c:val>
            <c:numRef>
              <c:f>Historical_and_projected_ITT!$C$63:$R$63</c:f>
              <c:numCache>
                <c:formatCode>#,##0_ ;\-#,##0\ </c:formatCode>
                <c:ptCount val="16"/>
                <c:pt idx="0">
                  <c:v>2749.5181846440782</c:v>
                </c:pt>
                <c:pt idx="1">
                  <c:v>2784.3395234758236</c:v>
                </c:pt>
                <c:pt idx="2">
                  <c:v>2550</c:v>
                </c:pt>
                <c:pt idx="3" formatCode="#,##0">
                  <c:v>2520</c:v>
                </c:pt>
                <c:pt idx="4" formatCode="#,##0">
                  <c:v>3285.7475286716763</c:v>
                </c:pt>
                <c:pt idx="5" formatCode="#,##0">
                  <c:v>3285.7475286716763</c:v>
                </c:pt>
                <c:pt idx="6" formatCode="#,##0">
                  <c:v>3295.7976481957203</c:v>
                </c:pt>
              </c:numCache>
            </c:numRef>
          </c:val>
          <c:smooth val="0"/>
          <c:extLst>
            <c:ext xmlns:c16="http://schemas.microsoft.com/office/drawing/2014/chart" uri="{C3380CC4-5D6E-409C-BE32-E72D297353CC}">
              <c16:uniqueId val="{00000002-E0FE-4738-B955-28B344E8257B}"/>
            </c:ext>
          </c:extLst>
        </c:ser>
        <c:ser>
          <c:idx val="32"/>
          <c:order val="3"/>
          <c:tx>
            <c:strRef>
              <c:f>Historical_and_projected_ITT!$B$75</c:f>
              <c:strCache>
                <c:ptCount val="1"/>
                <c:pt idx="0">
                  <c:v>English - Projected</c:v>
                </c:pt>
              </c:strCache>
            </c:strRef>
          </c:tx>
          <c:spPr>
            <a:ln>
              <a:solidFill>
                <a:schemeClr val="tx1">
                  <a:lumMod val="95000"/>
                  <a:lumOff val="5000"/>
                </a:schemeClr>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Historical_and_projected_ITT!$C$75:$R$75</c:f>
              <c:numCache>
                <c:formatCode>#,##0</c:formatCode>
                <c:ptCount val="16"/>
                <c:pt idx="7">
                  <c:v>2558.1893120078576</c:v>
                </c:pt>
                <c:pt idx="8">
                  <c:v>2522.1729230404112</c:v>
                </c:pt>
                <c:pt idx="9">
                  <c:v>2540.6291037684286</c:v>
                </c:pt>
                <c:pt idx="10">
                  <c:v>2560.0165592286767</c:v>
                </c:pt>
                <c:pt idx="11">
                  <c:v>2613.1652756174981</c:v>
                </c:pt>
                <c:pt idx="12">
                  <c:v>2527.3944926778549</c:v>
                </c:pt>
                <c:pt idx="13">
                  <c:v>2471.8948786941528</c:v>
                </c:pt>
                <c:pt idx="14">
                  <c:v>2413.8707005269989</c:v>
                </c:pt>
                <c:pt idx="15">
                  <c:v>2368.6684062816212</c:v>
                </c:pt>
              </c:numCache>
            </c:numRef>
          </c:val>
          <c:smooth val="0"/>
          <c:extLst>
            <c:ext xmlns:c16="http://schemas.microsoft.com/office/drawing/2014/chart" uri="{C3380CC4-5D6E-409C-BE32-E72D297353CC}">
              <c16:uniqueId val="{00000003-E0FE-4738-B955-28B344E8257B}"/>
            </c:ext>
          </c:extLst>
        </c:ser>
        <c:ser>
          <c:idx val="36"/>
          <c:order val="4"/>
          <c:tx>
            <c:strRef>
              <c:f>Historical_and_projected_ITT!$B$79</c:f>
              <c:strCache>
                <c:ptCount val="1"/>
                <c:pt idx="0">
                  <c:v>Mathematics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Historical_and_projected_ITT!$C$79:$R$79</c:f>
              <c:numCache>
                <c:formatCode>#,##0</c:formatCode>
                <c:ptCount val="16"/>
                <c:pt idx="7">
                  <c:v>3115.5258268618177</c:v>
                </c:pt>
                <c:pt idx="8">
                  <c:v>2969.7744735449037</c:v>
                </c:pt>
                <c:pt idx="9">
                  <c:v>2987.8469511758963</c:v>
                </c:pt>
                <c:pt idx="10">
                  <c:v>3008.5115103880644</c:v>
                </c:pt>
                <c:pt idx="11">
                  <c:v>3065.9559872281948</c:v>
                </c:pt>
                <c:pt idx="12">
                  <c:v>2979.3017398981988</c:v>
                </c:pt>
                <c:pt idx="13">
                  <c:v>2902.4238586511897</c:v>
                </c:pt>
                <c:pt idx="14">
                  <c:v>2830.3470351566089</c:v>
                </c:pt>
                <c:pt idx="15">
                  <c:v>2783.4255051212936</c:v>
                </c:pt>
              </c:numCache>
            </c:numRef>
          </c:val>
          <c:smooth val="0"/>
          <c:extLst>
            <c:ext xmlns:c16="http://schemas.microsoft.com/office/drawing/2014/chart" uri="{C3380CC4-5D6E-409C-BE32-E72D297353CC}">
              <c16:uniqueId val="{00000004-E0FE-4738-B955-28B344E8257B}"/>
            </c:ext>
          </c:extLst>
        </c:ser>
        <c:ser>
          <c:idx val="1"/>
          <c:order val="5"/>
          <c:tx>
            <c:strRef>
              <c:f>Historical_and_projected_ITT!$B$86</c:f>
              <c:strCache>
                <c:ptCount val="1"/>
                <c:pt idx="0">
                  <c:v>Science - Projected</c:v>
                </c:pt>
              </c:strCache>
            </c:strRef>
          </c:tx>
          <c:spPr>
            <a:ln>
              <a:solidFill>
                <a:srgbClr val="00B0F0"/>
              </a:solidFill>
              <a:prstDash val="sysDot"/>
            </a:ln>
          </c:spPr>
          <c:marker>
            <c:symbol val="none"/>
          </c:marker>
          <c:val>
            <c:numRef>
              <c:f>Historical_and_projected_ITT!$C$86:$R$86</c:f>
              <c:numCache>
                <c:formatCode>#,##0</c:formatCode>
                <c:ptCount val="16"/>
                <c:pt idx="7">
                  <c:v>3460.3113217367559</c:v>
                </c:pt>
                <c:pt idx="8">
                  <c:v>3333.6467553763541</c:v>
                </c:pt>
                <c:pt idx="9">
                  <c:v>3398.7735317111201</c:v>
                </c:pt>
                <c:pt idx="10">
                  <c:v>3474.8977742822581</c:v>
                </c:pt>
                <c:pt idx="11">
                  <c:v>3513.1607721862138</c:v>
                </c:pt>
                <c:pt idx="12">
                  <c:v>3449.6550724157314</c:v>
                </c:pt>
                <c:pt idx="13">
                  <c:v>3416.9800293465723</c:v>
                </c:pt>
                <c:pt idx="14">
                  <c:v>3362.7788315342536</c:v>
                </c:pt>
                <c:pt idx="15">
                  <c:v>3255.1777495623874</c:v>
                </c:pt>
              </c:numCache>
            </c:numRef>
          </c:val>
          <c:smooth val="0"/>
          <c:extLst>
            <c:ext xmlns:c16="http://schemas.microsoft.com/office/drawing/2014/chart" uri="{C3380CC4-5D6E-409C-BE32-E72D297353CC}">
              <c16:uniqueId val="{00000005-E0FE-4738-B955-28B344E8257B}"/>
            </c:ext>
          </c:extLst>
        </c:ser>
        <c:dLbls>
          <c:showLegendKey val="0"/>
          <c:showVal val="0"/>
          <c:showCatName val="0"/>
          <c:showSerName val="0"/>
          <c:showPercent val="0"/>
          <c:showBubbleSize val="0"/>
        </c:dLbls>
        <c:smooth val="0"/>
        <c:axId val="152360448"/>
        <c:axId val="152361984"/>
      </c:lineChart>
      <c:catAx>
        <c:axId val="152360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61984"/>
        <c:crosses val="autoZero"/>
        <c:auto val="1"/>
        <c:lblAlgn val="ctr"/>
        <c:lblOffset val="100"/>
        <c:noMultiLvlLbl val="0"/>
      </c:catAx>
      <c:valAx>
        <c:axId val="1523619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60448"/>
        <c:crosses val="autoZero"/>
        <c:crossBetween val="between"/>
      </c:valAx>
      <c:spPr>
        <a:ln>
          <a:solidFill>
            <a:schemeClr val="tx1">
              <a:lumMod val="95000"/>
              <a:lumOff val="5000"/>
            </a:schemeClr>
          </a:solidFill>
        </a:ln>
      </c:spPr>
    </c:plotArea>
    <c:legend>
      <c:legendPos val="r"/>
      <c:layout>
        <c:manualLayout>
          <c:xMode val="edge"/>
          <c:yMode val="edge"/>
          <c:x val="0.72963951159157259"/>
          <c:y val="0.11369906158990399"/>
          <c:w val="0.25272904150075326"/>
          <c:h val="0.7575364038399309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Science ITT places calculated by the TSM</a:t>
            </a:r>
          </a:p>
        </c:rich>
      </c:tx>
      <c:overlay val="0"/>
    </c:title>
    <c:autoTitleDeleted val="0"/>
    <c:plotArea>
      <c:layout>
        <c:manualLayout>
          <c:layoutTarget val="inner"/>
          <c:xMode val="edge"/>
          <c:yMode val="edge"/>
          <c:x val="0.11786777187039654"/>
          <c:y val="0.12271369945282264"/>
          <c:w val="0.6054524657313699"/>
          <c:h val="0.72974220383469013"/>
        </c:manualLayout>
      </c:layout>
      <c:lineChart>
        <c:grouping val="standard"/>
        <c:varyColors val="0"/>
        <c:ser>
          <c:idx val="2"/>
          <c:order val="0"/>
          <c:tx>
            <c:strRef>
              <c:f>Historical_and_projected_ITT!$B$45</c:f>
              <c:strCache>
                <c:ptCount val="1"/>
                <c:pt idx="0">
                  <c:v>Biology - Historical</c:v>
                </c:pt>
              </c:strCache>
            </c:strRef>
          </c:tx>
          <c:spPr>
            <a:ln>
              <a:solidFill>
                <a:sysClr val="windowText" lastClr="00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Historical_and_projected_ITT!$C$45:$R$45</c:f>
              <c:numCache>
                <c:formatCode>#,##0</c:formatCode>
                <c:ptCount val="16"/>
                <c:pt idx="3">
                  <c:v>891</c:v>
                </c:pt>
                <c:pt idx="4">
                  <c:v>1177.6613302701508</c:v>
                </c:pt>
                <c:pt idx="5">
                  <c:v>1177.6613302701508</c:v>
                </c:pt>
                <c:pt idx="6">
                  <c:v>1187.7114497941952</c:v>
                </c:pt>
              </c:numCache>
            </c:numRef>
          </c:val>
          <c:smooth val="0"/>
          <c:extLst>
            <c:ext xmlns:c16="http://schemas.microsoft.com/office/drawing/2014/chart" uri="{C3380CC4-5D6E-409C-BE32-E72D297353CC}">
              <c16:uniqueId val="{00000000-982C-4B58-A895-3FF77B688E6C}"/>
            </c:ext>
          </c:extLst>
        </c:ser>
        <c:ser>
          <c:idx val="4"/>
          <c:order val="1"/>
          <c:tx>
            <c:strRef>
              <c:f>Historical_and_projected_ITT!$B$47</c:f>
              <c:strCache>
                <c:ptCount val="1"/>
                <c:pt idx="0">
                  <c:v>Chemistry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Historical_and_projected_ITT!$C$47:$R$47</c:f>
              <c:numCache>
                <c:formatCode>#,##0</c:formatCode>
                <c:ptCount val="16"/>
                <c:pt idx="3">
                  <c:v>682</c:v>
                </c:pt>
                <c:pt idx="4">
                  <c:v>1053.4775422401942</c:v>
                </c:pt>
                <c:pt idx="5">
                  <c:v>1053.4775422401942</c:v>
                </c:pt>
                <c:pt idx="6">
                  <c:v>1053.4775422401942</c:v>
                </c:pt>
              </c:numCache>
            </c:numRef>
          </c:val>
          <c:smooth val="0"/>
          <c:extLst>
            <c:ext xmlns:c16="http://schemas.microsoft.com/office/drawing/2014/chart" uri="{C3380CC4-5D6E-409C-BE32-E72D297353CC}">
              <c16:uniqueId val="{00000001-982C-4B58-A895-3FF77B688E6C}"/>
            </c:ext>
          </c:extLst>
        </c:ser>
        <c:ser>
          <c:idx val="18"/>
          <c:order val="2"/>
          <c:tx>
            <c:strRef>
              <c:f>Historical_and_projected_ITT!$B$61</c:f>
              <c:strCache>
                <c:ptCount val="1"/>
                <c:pt idx="0">
                  <c:v>Physics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Historical_and_projected_ITT!$C$61:$R$61</c:f>
              <c:numCache>
                <c:formatCode>#,##0</c:formatCode>
                <c:ptCount val="16"/>
                <c:pt idx="3">
                  <c:v>947</c:v>
                </c:pt>
                <c:pt idx="4">
                  <c:v>1054.6086561613313</c:v>
                </c:pt>
                <c:pt idx="5">
                  <c:v>1054.6086561613313</c:v>
                </c:pt>
                <c:pt idx="6">
                  <c:v>1054.6086561613313</c:v>
                </c:pt>
              </c:numCache>
            </c:numRef>
          </c:val>
          <c:smooth val="0"/>
          <c:extLst>
            <c:ext xmlns:c16="http://schemas.microsoft.com/office/drawing/2014/chart" uri="{C3380CC4-5D6E-409C-BE32-E72D297353CC}">
              <c16:uniqueId val="{00000002-982C-4B58-A895-3FF77B688E6C}"/>
            </c:ext>
          </c:extLst>
        </c:ser>
        <c:ser>
          <c:idx val="25"/>
          <c:order val="3"/>
          <c:tx>
            <c:strRef>
              <c:f>Historical_and_projected_ITT!$B$68</c:f>
              <c:strCache>
                <c:ptCount val="1"/>
                <c:pt idx="0">
                  <c:v>Biology - Projected</c:v>
                </c:pt>
              </c:strCache>
            </c:strRef>
          </c:tx>
          <c:spPr>
            <a:ln>
              <a:solidFill>
                <a:sysClr val="windowText" lastClr="00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Historical_and_projected_ITT!$C$68:$R$68</c:f>
              <c:numCache>
                <c:formatCode>#,##0</c:formatCode>
                <c:ptCount val="16"/>
                <c:pt idx="7">
                  <c:v>1187.7114497941952</c:v>
                </c:pt>
                <c:pt idx="8">
                  <c:v>1159.2866474297896</c:v>
                </c:pt>
                <c:pt idx="9">
                  <c:v>1184.4109184193201</c:v>
                </c:pt>
                <c:pt idx="10">
                  <c:v>1213.1981650189189</c:v>
                </c:pt>
                <c:pt idx="11">
                  <c:v>1234.8529772601189</c:v>
                </c:pt>
                <c:pt idx="12">
                  <c:v>1216.061393151183</c:v>
                </c:pt>
                <c:pt idx="13">
                  <c:v>1201.9949635369492</c:v>
                </c:pt>
                <c:pt idx="14">
                  <c:v>1183.4625337688963</c:v>
                </c:pt>
                <c:pt idx="15">
                  <c:v>1154.2533556093586</c:v>
                </c:pt>
              </c:numCache>
            </c:numRef>
          </c:val>
          <c:smooth val="0"/>
          <c:extLst>
            <c:ext xmlns:c16="http://schemas.microsoft.com/office/drawing/2014/chart" uri="{C3380CC4-5D6E-409C-BE32-E72D297353CC}">
              <c16:uniqueId val="{00000003-982C-4B58-A895-3FF77B688E6C}"/>
            </c:ext>
          </c:extLst>
        </c:ser>
        <c:ser>
          <c:idx val="27"/>
          <c:order val="4"/>
          <c:tx>
            <c:strRef>
              <c:f>Historical_and_projected_ITT!$B$70</c:f>
              <c:strCache>
                <c:ptCount val="1"/>
                <c:pt idx="0">
                  <c:v>Chemistry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Historical_and_projected_ITT!$C$70:$R$70</c:f>
              <c:numCache>
                <c:formatCode>#,##0</c:formatCode>
                <c:ptCount val="16"/>
                <c:pt idx="7">
                  <c:v>1053.4775422401942</c:v>
                </c:pt>
                <c:pt idx="8">
                  <c:v>1024.9835412444813</c:v>
                </c:pt>
                <c:pt idx="9">
                  <c:v>1045.8590854442161</c:v>
                </c:pt>
                <c:pt idx="10">
                  <c:v>1070.6454879539829</c:v>
                </c:pt>
                <c:pt idx="11">
                  <c:v>1079.9577079460464</c:v>
                </c:pt>
                <c:pt idx="12">
                  <c:v>1061.290181845075</c:v>
                </c:pt>
                <c:pt idx="13">
                  <c:v>1052.89498798165</c:v>
                </c:pt>
                <c:pt idx="14">
                  <c:v>1036.7754610916377</c:v>
                </c:pt>
                <c:pt idx="15">
                  <c:v>1000.4739439123355</c:v>
                </c:pt>
              </c:numCache>
            </c:numRef>
          </c:val>
          <c:smooth val="0"/>
          <c:extLst>
            <c:ext xmlns:c16="http://schemas.microsoft.com/office/drawing/2014/chart" uri="{C3380CC4-5D6E-409C-BE32-E72D297353CC}">
              <c16:uniqueId val="{00000004-982C-4B58-A895-3FF77B688E6C}"/>
            </c:ext>
          </c:extLst>
        </c:ser>
        <c:ser>
          <c:idx val="41"/>
          <c:order val="5"/>
          <c:tx>
            <c:strRef>
              <c:f>Historical_and_projected_ITT!$B$84</c:f>
              <c:strCache>
                <c:ptCount val="1"/>
                <c:pt idx="0">
                  <c:v>Physics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Historical_and_projected_ITT!$C$84:$R$84</c:f>
              <c:numCache>
                <c:formatCode>#,##0</c:formatCode>
                <c:ptCount val="16"/>
                <c:pt idx="7">
                  <c:v>1219.1223297023664</c:v>
                </c:pt>
                <c:pt idx="8">
                  <c:v>1149.3765667020834</c:v>
                </c:pt>
                <c:pt idx="9">
                  <c:v>1168.5035278475837</c:v>
                </c:pt>
                <c:pt idx="10">
                  <c:v>1191.0541213093563</c:v>
                </c:pt>
                <c:pt idx="11">
                  <c:v>1198.3500869800487</c:v>
                </c:pt>
                <c:pt idx="12">
                  <c:v>1172.3034974194734</c:v>
                </c:pt>
                <c:pt idx="13">
                  <c:v>1162.0900778279729</c:v>
                </c:pt>
                <c:pt idx="14">
                  <c:v>1142.5408366737197</c:v>
                </c:pt>
                <c:pt idx="15">
                  <c:v>1100.4504500406931</c:v>
                </c:pt>
              </c:numCache>
            </c:numRef>
          </c:val>
          <c:smooth val="0"/>
          <c:extLst>
            <c:ext xmlns:c16="http://schemas.microsoft.com/office/drawing/2014/chart" uri="{C3380CC4-5D6E-409C-BE32-E72D297353CC}">
              <c16:uniqueId val="{00000005-982C-4B58-A895-3FF77B688E6C}"/>
            </c:ext>
          </c:extLst>
        </c:ser>
        <c:dLbls>
          <c:showLegendKey val="0"/>
          <c:showVal val="0"/>
          <c:showCatName val="0"/>
          <c:showSerName val="0"/>
          <c:showPercent val="0"/>
          <c:showBubbleSize val="0"/>
        </c:dLbls>
        <c:smooth val="0"/>
        <c:axId val="173025152"/>
        <c:axId val="173026688"/>
      </c:lineChart>
      <c:catAx>
        <c:axId val="17302515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026688"/>
        <c:crosses val="autoZero"/>
        <c:auto val="1"/>
        <c:lblAlgn val="ctr"/>
        <c:lblOffset val="100"/>
        <c:noMultiLvlLbl val="0"/>
      </c:catAx>
      <c:valAx>
        <c:axId val="173026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025152"/>
        <c:crosses val="autoZero"/>
        <c:crossBetween val="between"/>
      </c:valAx>
      <c:spPr>
        <a:ln>
          <a:solidFill>
            <a:schemeClr val="tx1">
              <a:lumMod val="95000"/>
              <a:lumOff val="5000"/>
            </a:schemeClr>
          </a:solidFill>
        </a:ln>
      </c:spPr>
    </c:plotArea>
    <c:legend>
      <c:legendPos val="r"/>
      <c:layout>
        <c:manualLayout>
          <c:xMode val="edge"/>
          <c:yMode val="edge"/>
          <c:x val="0.74077295707164115"/>
          <c:y val="7.6712616402401748E-2"/>
          <c:w val="0.24412795715971747"/>
          <c:h val="0.838358465465789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Humanities subjects ITT places calculated by the TSM</a:t>
            </a:r>
          </a:p>
        </c:rich>
      </c:tx>
      <c:overlay val="0"/>
    </c:title>
    <c:autoTitleDeleted val="0"/>
    <c:plotArea>
      <c:layout>
        <c:manualLayout>
          <c:layoutTarget val="inner"/>
          <c:xMode val="edge"/>
          <c:yMode val="edge"/>
          <c:x val="0.11786777187039654"/>
          <c:y val="0.12271369945282264"/>
          <c:w val="0.59568779864055454"/>
          <c:h val="0.72974220383469013"/>
        </c:manualLayout>
      </c:layout>
      <c:lineChart>
        <c:grouping val="standard"/>
        <c:varyColors val="0"/>
        <c:ser>
          <c:idx val="11"/>
          <c:order val="0"/>
          <c:tx>
            <c:strRef>
              <c:f>Historical_and_projected_ITT!$B$54</c:f>
              <c:strCache>
                <c:ptCount val="1"/>
                <c:pt idx="0">
                  <c:v>Geography - Historical</c:v>
                </c:pt>
              </c:strCache>
            </c:strRef>
          </c:tx>
          <c:spPr>
            <a:ln>
              <a:solidFill>
                <a:schemeClr val="tx1">
                  <a:lumMod val="95000"/>
                  <a:lumOff val="5000"/>
                </a:schemeClr>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Historical_and_projected_ITT!$C$54:$R$54</c:f>
              <c:numCache>
                <c:formatCode>#,##0</c:formatCode>
                <c:ptCount val="16"/>
                <c:pt idx="0">
                  <c:v>615</c:v>
                </c:pt>
                <c:pt idx="1">
                  <c:v>625</c:v>
                </c:pt>
                <c:pt idx="2">
                  <c:v>620</c:v>
                </c:pt>
                <c:pt idx="3">
                  <c:v>741</c:v>
                </c:pt>
                <c:pt idx="4">
                  <c:v>777.63869746363002</c:v>
                </c:pt>
                <c:pt idx="5">
                  <c:v>777.63869746363002</c:v>
                </c:pt>
                <c:pt idx="6">
                  <c:v>1531.1469289044046</c:v>
                </c:pt>
              </c:numCache>
            </c:numRef>
          </c:val>
          <c:smooth val="0"/>
          <c:extLst>
            <c:ext xmlns:c16="http://schemas.microsoft.com/office/drawing/2014/chart" uri="{C3380CC4-5D6E-409C-BE32-E72D297353CC}">
              <c16:uniqueId val="{00000000-46B8-4FC7-8E79-4514AE1D43C3}"/>
            </c:ext>
          </c:extLst>
        </c:ser>
        <c:ser>
          <c:idx val="12"/>
          <c:order val="1"/>
          <c:tx>
            <c:strRef>
              <c:f>Historical_and_projected_ITT!$B$55</c:f>
              <c:strCache>
                <c:ptCount val="1"/>
                <c:pt idx="0">
                  <c:v>History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Historical_and_projected_ITT!$C$55:$R$55</c:f>
              <c:numCache>
                <c:formatCode>#,##0</c:formatCode>
                <c:ptCount val="16"/>
                <c:pt idx="0">
                  <c:v>545</c:v>
                </c:pt>
                <c:pt idx="1">
                  <c:v>545</c:v>
                </c:pt>
                <c:pt idx="2">
                  <c:v>540</c:v>
                </c:pt>
                <c:pt idx="3">
                  <c:v>632</c:v>
                </c:pt>
                <c:pt idx="4">
                  <c:v>816.3930626788316</c:v>
                </c:pt>
                <c:pt idx="5">
                  <c:v>816.3930626788316</c:v>
                </c:pt>
                <c:pt idx="6">
                  <c:v>1159.7619052471459</c:v>
                </c:pt>
              </c:numCache>
            </c:numRef>
          </c:val>
          <c:smooth val="0"/>
          <c:extLst>
            <c:ext xmlns:c16="http://schemas.microsoft.com/office/drawing/2014/chart" uri="{C3380CC4-5D6E-409C-BE32-E72D297353CC}">
              <c16:uniqueId val="{00000001-46B8-4FC7-8E79-4514AE1D43C3}"/>
            </c:ext>
          </c:extLst>
        </c:ser>
        <c:ser>
          <c:idx val="0"/>
          <c:order val="2"/>
          <c:tx>
            <c:strRef>
              <c:f>Historical_and_projected_ITT!$B$62</c:f>
              <c:strCache>
                <c:ptCount val="1"/>
                <c:pt idx="0">
                  <c:v>Religious Education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Historical_and_projected_ITT!$C$62:$R$62</c:f>
              <c:numCache>
                <c:formatCode>#,##0</c:formatCode>
                <c:ptCount val="16"/>
                <c:pt idx="0">
                  <c:v>445.56485355648533</c:v>
                </c:pt>
                <c:pt idx="1">
                  <c:v>438.81987577639751</c:v>
                </c:pt>
                <c:pt idx="2">
                  <c:v>450</c:v>
                </c:pt>
                <c:pt idx="3">
                  <c:v>537</c:v>
                </c:pt>
                <c:pt idx="4">
                  <c:v>650.29476323685049</c:v>
                </c:pt>
                <c:pt idx="5">
                  <c:v>543.76114601060056</c:v>
                </c:pt>
                <c:pt idx="6">
                  <c:v>643.48147436594184</c:v>
                </c:pt>
              </c:numCache>
            </c:numRef>
          </c:val>
          <c:smooth val="0"/>
          <c:extLst>
            <c:ext xmlns:c16="http://schemas.microsoft.com/office/drawing/2014/chart" uri="{C3380CC4-5D6E-409C-BE32-E72D297353CC}">
              <c16:uniqueId val="{00000002-46B8-4FC7-8E79-4514AE1D43C3}"/>
            </c:ext>
          </c:extLst>
        </c:ser>
        <c:ser>
          <c:idx val="34"/>
          <c:order val="3"/>
          <c:tx>
            <c:strRef>
              <c:f>Historical_and_projected_ITT!$B$77</c:f>
              <c:strCache>
                <c:ptCount val="1"/>
                <c:pt idx="0">
                  <c:v>Geography - Projected</c:v>
                </c:pt>
              </c:strCache>
            </c:strRef>
          </c:tx>
          <c:spPr>
            <a:ln>
              <a:solidFill>
                <a:schemeClr val="tx1">
                  <a:lumMod val="95000"/>
                  <a:lumOff val="5000"/>
                </a:schemeClr>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Historical_and_projected_ITT!$C$77:$R$77</c:f>
              <c:numCache>
                <c:formatCode>#,##0</c:formatCode>
                <c:ptCount val="16"/>
                <c:pt idx="7">
                  <c:v>1531.1469289044046</c:v>
                </c:pt>
                <c:pt idx="8">
                  <c:v>1164.0685291196694</c:v>
                </c:pt>
                <c:pt idx="9">
                  <c:v>1174.7355492686549</c:v>
                </c:pt>
                <c:pt idx="10">
                  <c:v>1179.5419301794811</c:v>
                </c:pt>
                <c:pt idx="11">
                  <c:v>1263.7656340430863</c:v>
                </c:pt>
                <c:pt idx="12">
                  <c:v>1203.6520834452244</c:v>
                </c:pt>
                <c:pt idx="13">
                  <c:v>1126.5075185600297</c:v>
                </c:pt>
                <c:pt idx="14">
                  <c:v>1072.9256275689902</c:v>
                </c:pt>
                <c:pt idx="15">
                  <c:v>1096.8182348320113</c:v>
                </c:pt>
              </c:numCache>
            </c:numRef>
          </c:val>
          <c:smooth val="0"/>
          <c:extLst>
            <c:ext xmlns:c16="http://schemas.microsoft.com/office/drawing/2014/chart" uri="{C3380CC4-5D6E-409C-BE32-E72D297353CC}">
              <c16:uniqueId val="{00000003-46B8-4FC7-8E79-4514AE1D43C3}"/>
            </c:ext>
          </c:extLst>
        </c:ser>
        <c:ser>
          <c:idx val="35"/>
          <c:order val="4"/>
          <c:tx>
            <c:strRef>
              <c:f>Historical_and_projected_ITT!$B$78</c:f>
              <c:strCache>
                <c:ptCount val="1"/>
                <c:pt idx="0">
                  <c:v>History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Historical_and_projected_ITT!$C$78:$R$78</c:f>
              <c:numCache>
                <c:formatCode>#,##0</c:formatCode>
                <c:ptCount val="16"/>
                <c:pt idx="7">
                  <c:v>1179.8755448527156</c:v>
                </c:pt>
                <c:pt idx="8">
                  <c:v>1120.958285667233</c:v>
                </c:pt>
                <c:pt idx="9">
                  <c:v>1133.8550712417218</c:v>
                </c:pt>
                <c:pt idx="10">
                  <c:v>1142.6921537656369</c:v>
                </c:pt>
                <c:pt idx="11">
                  <c:v>1217.1338703088734</c:v>
                </c:pt>
                <c:pt idx="12">
                  <c:v>1166.3432967075139</c:v>
                </c:pt>
                <c:pt idx="13">
                  <c:v>1097.2546507356055</c:v>
                </c:pt>
                <c:pt idx="14">
                  <c:v>1049.1935664556136</c:v>
                </c:pt>
                <c:pt idx="15">
                  <c:v>1067.2236915580615</c:v>
                </c:pt>
              </c:numCache>
            </c:numRef>
          </c:val>
          <c:smooth val="0"/>
          <c:extLst>
            <c:ext xmlns:c16="http://schemas.microsoft.com/office/drawing/2014/chart" uri="{C3380CC4-5D6E-409C-BE32-E72D297353CC}">
              <c16:uniqueId val="{00000004-46B8-4FC7-8E79-4514AE1D43C3}"/>
            </c:ext>
          </c:extLst>
        </c:ser>
        <c:ser>
          <c:idx val="1"/>
          <c:order val="5"/>
          <c:tx>
            <c:strRef>
              <c:f>Historical_and_projected_ITT!$B$85</c:f>
              <c:strCache>
                <c:ptCount val="1"/>
                <c:pt idx="0">
                  <c:v>Religious Education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Historical_and_projected_ITT!$C$85:$R$85</c:f>
              <c:numCache>
                <c:formatCode>#,##0</c:formatCode>
                <c:ptCount val="16"/>
                <c:pt idx="7">
                  <c:v>643.48147436594184</c:v>
                </c:pt>
                <c:pt idx="8">
                  <c:v>524.05565504275637</c:v>
                </c:pt>
                <c:pt idx="9">
                  <c:v>510.63083732511461</c:v>
                </c:pt>
                <c:pt idx="10">
                  <c:v>495.55661073595201</c:v>
                </c:pt>
                <c:pt idx="11">
                  <c:v>520.223731904327</c:v>
                </c:pt>
                <c:pt idx="12">
                  <c:v>537.60672889592831</c:v>
                </c:pt>
                <c:pt idx="13">
                  <c:v>517.38047600490233</c:v>
                </c:pt>
                <c:pt idx="14">
                  <c:v>502.65111058304234</c:v>
                </c:pt>
                <c:pt idx="15">
                  <c:v>505.20981798445558</c:v>
                </c:pt>
              </c:numCache>
            </c:numRef>
          </c:val>
          <c:smooth val="0"/>
          <c:extLst>
            <c:ext xmlns:c16="http://schemas.microsoft.com/office/drawing/2014/chart" uri="{C3380CC4-5D6E-409C-BE32-E72D297353CC}">
              <c16:uniqueId val="{00000005-46B8-4FC7-8E79-4514AE1D43C3}"/>
            </c:ext>
          </c:extLst>
        </c:ser>
        <c:dLbls>
          <c:showLegendKey val="0"/>
          <c:showVal val="0"/>
          <c:showCatName val="0"/>
          <c:showSerName val="0"/>
          <c:showPercent val="0"/>
          <c:showBubbleSize val="0"/>
        </c:dLbls>
        <c:smooth val="0"/>
        <c:axId val="173218432"/>
        <c:axId val="173228416"/>
      </c:lineChart>
      <c:catAx>
        <c:axId val="173218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28416"/>
        <c:crosses val="autoZero"/>
        <c:auto val="1"/>
        <c:lblAlgn val="ctr"/>
        <c:lblOffset val="100"/>
        <c:noMultiLvlLbl val="0"/>
      </c:catAx>
      <c:valAx>
        <c:axId val="1732284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218432"/>
        <c:crosses val="autoZero"/>
        <c:crossBetween val="between"/>
      </c:valAx>
      <c:spPr>
        <a:ln>
          <a:solidFill>
            <a:schemeClr val="tx1">
              <a:lumMod val="95000"/>
              <a:lumOff val="5000"/>
            </a:schemeClr>
          </a:solidFill>
        </a:ln>
      </c:spPr>
    </c:plotArea>
    <c:legend>
      <c:legendPos val="r"/>
      <c:layout>
        <c:manualLayout>
          <c:xMode val="edge"/>
          <c:yMode val="edge"/>
          <c:x val="0.73439750584347563"/>
          <c:y val="9.5890698594182575E-2"/>
          <c:w val="0.24629178627177264"/>
          <c:h val="0.7972622874195520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Arts ITT places calculated by the TSM</a:t>
            </a:r>
          </a:p>
        </c:rich>
      </c:tx>
      <c:overlay val="0"/>
    </c:title>
    <c:autoTitleDeleted val="0"/>
    <c:plotArea>
      <c:layout>
        <c:manualLayout>
          <c:layoutTarget val="inner"/>
          <c:xMode val="edge"/>
          <c:yMode val="edge"/>
          <c:x val="0.11773876907270284"/>
          <c:y val="0.12105650329303574"/>
          <c:w val="0.60083759391279457"/>
          <c:h val="0.73339192007627252"/>
        </c:manualLayout>
      </c:layout>
      <c:lineChart>
        <c:grouping val="standard"/>
        <c:varyColors val="0"/>
        <c:ser>
          <c:idx val="1"/>
          <c:order val="0"/>
          <c:tx>
            <c:strRef>
              <c:f>Historical_and_projected_ITT!$B$44</c:f>
              <c:strCache>
                <c:ptCount val="1"/>
                <c:pt idx="0">
                  <c:v>Art &amp; Design - Historical</c:v>
                </c:pt>
              </c:strCache>
            </c:strRef>
          </c:tx>
          <c:spPr>
            <a:ln>
              <a:solidFill>
                <a:schemeClr val="tx1"/>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Historical_and_projected_ITT!$C$44:$R$44</c:f>
              <c:numCache>
                <c:formatCode>#,##0</c:formatCode>
                <c:ptCount val="16"/>
                <c:pt idx="0">
                  <c:v>320</c:v>
                </c:pt>
                <c:pt idx="1">
                  <c:v>320</c:v>
                </c:pt>
                <c:pt idx="2">
                  <c:v>340</c:v>
                </c:pt>
                <c:pt idx="3">
                  <c:v>403</c:v>
                </c:pt>
                <c:pt idx="4">
                  <c:v>793.58241370447331</c:v>
                </c:pt>
                <c:pt idx="5">
                  <c:v>633.36225106708196</c:v>
                </c:pt>
                <c:pt idx="6">
                  <c:v>577.09697709165653</c:v>
                </c:pt>
              </c:numCache>
            </c:numRef>
          </c:val>
          <c:smooth val="0"/>
          <c:extLst>
            <c:ext xmlns:c16="http://schemas.microsoft.com/office/drawing/2014/chart" uri="{C3380CC4-5D6E-409C-BE32-E72D297353CC}">
              <c16:uniqueId val="{00000000-1398-48F9-8474-CB2857ADD40E}"/>
            </c:ext>
          </c:extLst>
        </c:ser>
        <c:ser>
          <c:idx val="8"/>
          <c:order val="1"/>
          <c:tx>
            <c:strRef>
              <c:f>Historical_and_projected_ITT!$B$51</c:f>
              <c:strCache>
                <c:ptCount val="1"/>
                <c:pt idx="0">
                  <c:v>Drama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Historical_and_projected_ITT!$C$51:$R$51</c:f>
              <c:numCache>
                <c:formatCode>#,##0</c:formatCode>
                <c:ptCount val="16"/>
                <c:pt idx="4">
                  <c:v>434.87922730407433</c:v>
                </c:pt>
                <c:pt idx="5">
                  <c:v>346.85956318941584</c:v>
                </c:pt>
                <c:pt idx="6">
                  <c:v>345.11470491922063</c:v>
                </c:pt>
              </c:numCache>
            </c:numRef>
          </c:val>
          <c:smooth val="0"/>
          <c:extLst>
            <c:ext xmlns:c16="http://schemas.microsoft.com/office/drawing/2014/chart" uri="{C3380CC4-5D6E-409C-BE32-E72D297353CC}">
              <c16:uniqueId val="{00000001-1398-48F9-8474-CB2857ADD40E}"/>
            </c:ext>
          </c:extLst>
        </c:ser>
        <c:ser>
          <c:idx val="15"/>
          <c:order val="2"/>
          <c:tx>
            <c:strRef>
              <c:f>Historical_and_projected_ITT!$B$58</c:f>
              <c:strCache>
                <c:ptCount val="1"/>
                <c:pt idx="0">
                  <c:v>Music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Historical_and_projected_ITT!$C$58:$R$58</c:f>
              <c:numCache>
                <c:formatCode>#,##0</c:formatCode>
                <c:ptCount val="16"/>
                <c:pt idx="0">
                  <c:v>389.0176322418136</c:v>
                </c:pt>
                <c:pt idx="1">
                  <c:v>380</c:v>
                </c:pt>
                <c:pt idx="2">
                  <c:v>390</c:v>
                </c:pt>
                <c:pt idx="3">
                  <c:v>461</c:v>
                </c:pt>
                <c:pt idx="4">
                  <c:v>481.49267645590942</c:v>
                </c:pt>
                <c:pt idx="5">
                  <c:v>399.22124195848323</c:v>
                </c:pt>
                <c:pt idx="6">
                  <c:v>393.33766666889568</c:v>
                </c:pt>
              </c:numCache>
            </c:numRef>
          </c:val>
          <c:smooth val="0"/>
          <c:extLst>
            <c:ext xmlns:c16="http://schemas.microsoft.com/office/drawing/2014/chart" uri="{C3380CC4-5D6E-409C-BE32-E72D297353CC}">
              <c16:uniqueId val="{00000002-1398-48F9-8474-CB2857ADD40E}"/>
            </c:ext>
          </c:extLst>
        </c:ser>
        <c:ser>
          <c:idx val="24"/>
          <c:order val="3"/>
          <c:tx>
            <c:strRef>
              <c:f>Historical_and_projected_ITT!$B$67</c:f>
              <c:strCache>
                <c:ptCount val="1"/>
                <c:pt idx="0">
                  <c:v>Art &amp; Design - Projected</c:v>
                </c:pt>
              </c:strCache>
            </c:strRef>
          </c:tx>
          <c:spPr>
            <a:ln>
              <a:solidFill>
                <a:schemeClr val="tx1"/>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Historical_and_projected_ITT!$C$67:$R$67</c:f>
              <c:numCache>
                <c:formatCode>#,##0</c:formatCode>
                <c:ptCount val="16"/>
                <c:pt idx="7">
                  <c:v>645.55239319127406</c:v>
                </c:pt>
                <c:pt idx="8">
                  <c:v>640.24203022989059</c:v>
                </c:pt>
                <c:pt idx="9">
                  <c:v>629.13169970883223</c:v>
                </c:pt>
                <c:pt idx="10">
                  <c:v>614.66172845870847</c:v>
                </c:pt>
                <c:pt idx="11">
                  <c:v>648.73488032914759</c:v>
                </c:pt>
                <c:pt idx="12">
                  <c:v>670.88306364004097</c:v>
                </c:pt>
                <c:pt idx="13">
                  <c:v>638.91456491232611</c:v>
                </c:pt>
                <c:pt idx="14">
                  <c:v>618.82540105667863</c:v>
                </c:pt>
                <c:pt idx="15">
                  <c:v>631.14722580785747</c:v>
                </c:pt>
              </c:numCache>
            </c:numRef>
          </c:val>
          <c:smooth val="0"/>
          <c:extLst>
            <c:ext xmlns:c16="http://schemas.microsoft.com/office/drawing/2014/chart" uri="{C3380CC4-5D6E-409C-BE32-E72D297353CC}">
              <c16:uniqueId val="{00000003-1398-48F9-8474-CB2857ADD40E}"/>
            </c:ext>
          </c:extLst>
        </c:ser>
        <c:ser>
          <c:idx val="31"/>
          <c:order val="4"/>
          <c:tx>
            <c:strRef>
              <c:f>Historical_and_projected_ITT!$B$74</c:f>
              <c:strCache>
                <c:ptCount val="1"/>
                <c:pt idx="0">
                  <c:v>Drama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Historical_and_projected_ITT!$C$74:$R$74</c:f>
              <c:numCache>
                <c:formatCode>#,##0</c:formatCode>
                <c:ptCount val="16"/>
                <c:pt idx="7">
                  <c:v>357.1831760371598</c:v>
                </c:pt>
                <c:pt idx="8">
                  <c:v>336.34948734163299</c:v>
                </c:pt>
                <c:pt idx="9">
                  <c:v>328.77778203002669</c:v>
                </c:pt>
                <c:pt idx="10">
                  <c:v>318.91530227946163</c:v>
                </c:pt>
                <c:pt idx="11">
                  <c:v>341.41341520073036</c:v>
                </c:pt>
                <c:pt idx="12">
                  <c:v>354.57462459224314</c:v>
                </c:pt>
                <c:pt idx="13">
                  <c:v>335.55088382674148</c:v>
                </c:pt>
                <c:pt idx="14">
                  <c:v>324.91368267139796</c:v>
                </c:pt>
                <c:pt idx="15">
                  <c:v>338.09636411492386</c:v>
                </c:pt>
              </c:numCache>
            </c:numRef>
          </c:val>
          <c:smooth val="0"/>
          <c:extLst>
            <c:ext xmlns:c16="http://schemas.microsoft.com/office/drawing/2014/chart" uri="{C3380CC4-5D6E-409C-BE32-E72D297353CC}">
              <c16:uniqueId val="{00000004-1398-48F9-8474-CB2857ADD40E}"/>
            </c:ext>
          </c:extLst>
        </c:ser>
        <c:ser>
          <c:idx val="38"/>
          <c:order val="5"/>
          <c:tx>
            <c:strRef>
              <c:f>Historical_and_projected_ITT!$B$81</c:f>
              <c:strCache>
                <c:ptCount val="1"/>
                <c:pt idx="0">
                  <c:v>Music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Historical_and_projected_ITT!$C$81:$R$81</c:f>
              <c:numCache>
                <c:formatCode>#,##0</c:formatCode>
                <c:ptCount val="16"/>
                <c:pt idx="7">
                  <c:v>409.34458408314538</c:v>
                </c:pt>
                <c:pt idx="8">
                  <c:v>371.77684365948971</c:v>
                </c:pt>
                <c:pt idx="9">
                  <c:v>359.18314014095262</c:v>
                </c:pt>
                <c:pt idx="10">
                  <c:v>342.48827655625848</c:v>
                </c:pt>
                <c:pt idx="11">
                  <c:v>370.09028406218494</c:v>
                </c:pt>
                <c:pt idx="12">
                  <c:v>382.77226215120044</c:v>
                </c:pt>
                <c:pt idx="13">
                  <c:v>355.285593151206</c:v>
                </c:pt>
                <c:pt idx="14">
                  <c:v>340.58494195801404</c:v>
                </c:pt>
                <c:pt idx="15">
                  <c:v>362.97750556665869</c:v>
                </c:pt>
              </c:numCache>
            </c:numRef>
          </c:val>
          <c:smooth val="0"/>
          <c:extLst>
            <c:ext xmlns:c16="http://schemas.microsoft.com/office/drawing/2014/chart" uri="{C3380CC4-5D6E-409C-BE32-E72D297353CC}">
              <c16:uniqueId val="{00000005-1398-48F9-8474-CB2857ADD40E}"/>
            </c:ext>
          </c:extLst>
        </c:ser>
        <c:dLbls>
          <c:showLegendKey val="0"/>
          <c:showVal val="0"/>
          <c:showCatName val="0"/>
          <c:showSerName val="0"/>
          <c:showPercent val="0"/>
          <c:showBubbleSize val="0"/>
        </c:dLbls>
        <c:smooth val="0"/>
        <c:axId val="173558400"/>
        <c:axId val="173564288"/>
      </c:lineChart>
      <c:catAx>
        <c:axId val="17355840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564288"/>
        <c:crosses val="autoZero"/>
        <c:auto val="1"/>
        <c:lblAlgn val="ctr"/>
        <c:lblOffset val="100"/>
        <c:noMultiLvlLbl val="0"/>
      </c:catAx>
      <c:valAx>
        <c:axId val="173564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58400"/>
        <c:crosses val="autoZero"/>
        <c:crossBetween val="between"/>
      </c:valAx>
      <c:spPr>
        <a:ln>
          <a:solidFill>
            <a:schemeClr val="tx1">
              <a:lumMod val="95000"/>
              <a:lumOff val="5000"/>
            </a:schemeClr>
          </a:solidFill>
        </a:ln>
      </c:spPr>
    </c:plotArea>
    <c:legend>
      <c:legendPos val="r"/>
      <c:layout>
        <c:manualLayout>
          <c:xMode val="edge"/>
          <c:yMode val="edge"/>
          <c:x val="0.73299803354572823"/>
          <c:y val="9.6153846153846159E-2"/>
          <c:w val="0.24601199759244219"/>
          <c:h val="0.7884615384615384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Other subjects ITT places calculated by the TSM</a:t>
            </a:r>
          </a:p>
        </c:rich>
      </c:tx>
      <c:overlay val="0"/>
    </c:title>
    <c:autoTitleDeleted val="0"/>
    <c:plotArea>
      <c:layout>
        <c:manualLayout>
          <c:layoutTarget val="inner"/>
          <c:xMode val="edge"/>
          <c:yMode val="edge"/>
          <c:x val="0.11786777187039654"/>
          <c:y val="0.12105647008936396"/>
          <c:w val="0.6074718905500579"/>
          <c:h val="0.73339199320218429"/>
        </c:manualLayout>
      </c:layout>
      <c:lineChart>
        <c:grouping val="standard"/>
        <c:varyColors val="0"/>
        <c:ser>
          <c:idx val="3"/>
          <c:order val="0"/>
          <c:tx>
            <c:strRef>
              <c:f>Historical_and_projected_ITT!$B$46</c:f>
              <c:strCache>
                <c:ptCount val="1"/>
                <c:pt idx="0">
                  <c:v>Business Studies - Historical</c:v>
                </c:pt>
              </c:strCache>
            </c:strRef>
          </c:tx>
          <c:spPr>
            <a:ln>
              <a:solidFill>
                <a:sysClr val="windowText" lastClr="00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Historical_and_projected_ITT!$C$46:$R$46</c:f>
              <c:numCache>
                <c:formatCode>#,##0</c:formatCode>
                <c:ptCount val="16"/>
                <c:pt idx="1">
                  <c:v>225</c:v>
                </c:pt>
                <c:pt idx="2">
                  <c:v>230</c:v>
                </c:pt>
                <c:pt idx="3">
                  <c:v>264</c:v>
                </c:pt>
                <c:pt idx="4">
                  <c:v>312.53900645670046</c:v>
                </c:pt>
                <c:pt idx="5">
                  <c:v>252.10609160545758</c:v>
                </c:pt>
                <c:pt idx="6">
                  <c:v>217.57177227814842</c:v>
                </c:pt>
              </c:numCache>
            </c:numRef>
          </c:val>
          <c:smooth val="0"/>
          <c:extLst>
            <c:ext xmlns:c16="http://schemas.microsoft.com/office/drawing/2014/chart" uri="{C3380CC4-5D6E-409C-BE32-E72D297353CC}">
              <c16:uniqueId val="{00000000-EF93-4A3F-9CB1-3BC02DC0367D}"/>
            </c:ext>
          </c:extLst>
        </c:ser>
        <c:ser>
          <c:idx val="16"/>
          <c:order val="1"/>
          <c:tx>
            <c:strRef>
              <c:f>Historical_and_projected_ITT!$B$59</c:f>
              <c:strCache>
                <c:ptCount val="1"/>
                <c:pt idx="0">
                  <c:v>Others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Historical_and_projected_ITT!$C$59:$R$59</c:f>
              <c:numCache>
                <c:formatCode>#,##0</c:formatCode>
                <c:ptCount val="16"/>
                <c:pt idx="0">
                  <c:v>289.31442080378253</c:v>
                </c:pt>
                <c:pt idx="1">
                  <c:v>220</c:v>
                </c:pt>
                <c:pt idx="2">
                  <c:v>580</c:v>
                </c:pt>
                <c:pt idx="3">
                  <c:v>682</c:v>
                </c:pt>
                <c:pt idx="4">
                  <c:v>1341.831139968202</c:v>
                </c:pt>
                <c:pt idx="5">
                  <c:v>938.4604745574145</c:v>
                </c:pt>
                <c:pt idx="6">
                  <c:v>811.63141166826551</c:v>
                </c:pt>
              </c:numCache>
            </c:numRef>
          </c:val>
          <c:smooth val="0"/>
          <c:extLst>
            <c:ext xmlns:c16="http://schemas.microsoft.com/office/drawing/2014/chart" uri="{C3380CC4-5D6E-409C-BE32-E72D297353CC}">
              <c16:uniqueId val="{00000001-EF93-4A3F-9CB1-3BC02DC0367D}"/>
            </c:ext>
          </c:extLst>
        </c:ser>
        <c:ser>
          <c:idx val="17"/>
          <c:order val="2"/>
          <c:tx>
            <c:strRef>
              <c:f>Historical_and_projected_ITT!$B$60</c:f>
              <c:strCache>
                <c:ptCount val="1"/>
                <c:pt idx="0">
                  <c:v>Physical Education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Historical_and_projected_ITT!$C$60:$R$60</c:f>
              <c:numCache>
                <c:formatCode>#,##0</c:formatCode>
                <c:ptCount val="16"/>
                <c:pt idx="0">
                  <c:v>779.44593386952636</c:v>
                </c:pt>
                <c:pt idx="1">
                  <c:v>767.29729729729729</c:v>
                </c:pt>
                <c:pt idx="2">
                  <c:v>780</c:v>
                </c:pt>
                <c:pt idx="3">
                  <c:v>966</c:v>
                </c:pt>
                <c:pt idx="4">
                  <c:v>1227.4824684668752</c:v>
                </c:pt>
                <c:pt idx="5">
                  <c:v>999.20159210266934</c:v>
                </c:pt>
                <c:pt idx="6">
                  <c:v>999.20159210266934</c:v>
                </c:pt>
              </c:numCache>
            </c:numRef>
          </c:val>
          <c:smooth val="0"/>
          <c:extLst>
            <c:ext xmlns:c16="http://schemas.microsoft.com/office/drawing/2014/chart" uri="{C3380CC4-5D6E-409C-BE32-E72D297353CC}">
              <c16:uniqueId val="{00000002-EF93-4A3F-9CB1-3BC02DC0367D}"/>
            </c:ext>
          </c:extLst>
        </c:ser>
        <c:ser>
          <c:idx val="26"/>
          <c:order val="3"/>
          <c:tx>
            <c:strRef>
              <c:f>Historical_and_projected_ITT!$B$69</c:f>
              <c:strCache>
                <c:ptCount val="1"/>
                <c:pt idx="0">
                  <c:v>Business Studies - Projected</c:v>
                </c:pt>
              </c:strCache>
            </c:strRef>
          </c:tx>
          <c:spPr>
            <a:ln>
              <a:solidFill>
                <a:sysClr val="windowText" lastClr="00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Historical_and_projected_ITT!$C$69:$R$69</c:f>
              <c:numCache>
                <c:formatCode>#,##0</c:formatCode>
                <c:ptCount val="16"/>
                <c:pt idx="7">
                  <c:v>240.94666043336403</c:v>
                </c:pt>
                <c:pt idx="8">
                  <c:v>268.486742400732</c:v>
                </c:pt>
                <c:pt idx="9">
                  <c:v>282.98880787886901</c:v>
                </c:pt>
                <c:pt idx="10">
                  <c:v>301.5071547340977</c:v>
                </c:pt>
                <c:pt idx="11">
                  <c:v>307.93260119680809</c:v>
                </c:pt>
                <c:pt idx="12">
                  <c:v>326.13087926761028</c:v>
                </c:pt>
                <c:pt idx="13">
                  <c:v>329.42595422084173</c:v>
                </c:pt>
                <c:pt idx="14">
                  <c:v>329.20055521419323</c:v>
                </c:pt>
                <c:pt idx="15">
                  <c:v>310.58325210080005</c:v>
                </c:pt>
              </c:numCache>
            </c:numRef>
          </c:val>
          <c:smooth val="0"/>
          <c:extLst>
            <c:ext xmlns:c16="http://schemas.microsoft.com/office/drawing/2014/chart" uri="{C3380CC4-5D6E-409C-BE32-E72D297353CC}">
              <c16:uniqueId val="{00000003-EF93-4A3F-9CB1-3BC02DC0367D}"/>
            </c:ext>
          </c:extLst>
        </c:ser>
        <c:ser>
          <c:idx val="39"/>
          <c:order val="4"/>
          <c:tx>
            <c:strRef>
              <c:f>Historical_and_projected_ITT!$B$82</c:f>
              <c:strCache>
                <c:ptCount val="1"/>
                <c:pt idx="0">
                  <c:v>Others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Historical_and_projected_ITT!$C$82:$R$82</c:f>
              <c:numCache>
                <c:formatCode>#,##0</c:formatCode>
                <c:ptCount val="16"/>
                <c:pt idx="7">
                  <c:v>895.72352580467782</c:v>
                </c:pt>
                <c:pt idx="8">
                  <c:v>976.16907450934184</c:v>
                </c:pt>
                <c:pt idx="9">
                  <c:v>1001.3842818049653</c:v>
                </c:pt>
                <c:pt idx="10">
                  <c:v>1036.1485141819837</c:v>
                </c:pt>
                <c:pt idx="11">
                  <c:v>1081.0705074793475</c:v>
                </c:pt>
                <c:pt idx="12">
                  <c:v>1143.1393501626969</c:v>
                </c:pt>
                <c:pt idx="13">
                  <c:v>1112.2432901947843</c:v>
                </c:pt>
                <c:pt idx="14">
                  <c:v>1096.1298010879145</c:v>
                </c:pt>
                <c:pt idx="15">
                  <c:v>1088.6160232359102</c:v>
                </c:pt>
              </c:numCache>
            </c:numRef>
          </c:val>
          <c:smooth val="0"/>
          <c:extLst>
            <c:ext xmlns:c16="http://schemas.microsoft.com/office/drawing/2014/chart" uri="{C3380CC4-5D6E-409C-BE32-E72D297353CC}">
              <c16:uniqueId val="{00000004-EF93-4A3F-9CB1-3BC02DC0367D}"/>
            </c:ext>
          </c:extLst>
        </c:ser>
        <c:ser>
          <c:idx val="40"/>
          <c:order val="5"/>
          <c:tx>
            <c:strRef>
              <c:f>Historical_and_projected_ITT!$B$83</c:f>
              <c:strCache>
                <c:ptCount val="1"/>
                <c:pt idx="0">
                  <c:v>Physical Education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Historical_and_projected_ITT!$C$83:$R$83</c:f>
              <c:numCache>
                <c:formatCode>#,##0</c:formatCode>
                <c:ptCount val="16"/>
                <c:pt idx="7">
                  <c:v>1078.2671831731634</c:v>
                </c:pt>
                <c:pt idx="8">
                  <c:v>1043.7858136751074</c:v>
                </c:pt>
                <c:pt idx="9">
                  <c:v>1025.3048919356518</c:v>
                </c:pt>
                <c:pt idx="10">
                  <c:v>1001.6060633023624</c:v>
                </c:pt>
                <c:pt idx="11">
                  <c:v>1067.5881332635656</c:v>
                </c:pt>
                <c:pt idx="12">
                  <c:v>1115.4989817925887</c:v>
                </c:pt>
                <c:pt idx="13">
                  <c:v>1083.5130483954738</c:v>
                </c:pt>
                <c:pt idx="14">
                  <c:v>1059.5269487096907</c:v>
                </c:pt>
                <c:pt idx="15">
                  <c:v>1067.7592424995426</c:v>
                </c:pt>
              </c:numCache>
            </c:numRef>
          </c:val>
          <c:smooth val="0"/>
          <c:extLst>
            <c:ext xmlns:c16="http://schemas.microsoft.com/office/drawing/2014/chart" uri="{C3380CC4-5D6E-409C-BE32-E72D297353CC}">
              <c16:uniqueId val="{00000005-EF93-4A3F-9CB1-3BC02DC0367D}"/>
            </c:ext>
          </c:extLst>
        </c:ser>
        <c:dLbls>
          <c:showLegendKey val="0"/>
          <c:showVal val="0"/>
          <c:showCatName val="0"/>
          <c:showSerName val="0"/>
          <c:showPercent val="0"/>
          <c:showBubbleSize val="0"/>
        </c:dLbls>
        <c:smooth val="0"/>
        <c:axId val="173599744"/>
        <c:axId val="173286144"/>
      </c:lineChart>
      <c:catAx>
        <c:axId val="17359974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86144"/>
        <c:crosses val="autoZero"/>
        <c:auto val="1"/>
        <c:lblAlgn val="ctr"/>
        <c:lblOffset val="100"/>
        <c:noMultiLvlLbl val="0"/>
      </c:catAx>
      <c:valAx>
        <c:axId val="1732861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99744"/>
        <c:crosses val="autoZero"/>
        <c:crossBetween val="between"/>
      </c:valAx>
      <c:spPr>
        <a:ln>
          <a:solidFill>
            <a:schemeClr val="tx1">
              <a:lumMod val="95000"/>
              <a:lumOff val="5000"/>
            </a:schemeClr>
          </a:solidFill>
        </a:ln>
      </c:spPr>
    </c:plotArea>
    <c:legend>
      <c:legendPos val="r"/>
      <c:layout>
        <c:manualLayout>
          <c:xMode val="edge"/>
          <c:yMode val="edge"/>
          <c:x val="0.74077295707164126"/>
          <c:y val="9.1117360329958735E-2"/>
          <c:w val="0.24412795715971747"/>
          <c:h val="0.818681318681318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Language subjects ITT places calculated by the TSM</a:t>
            </a:r>
          </a:p>
        </c:rich>
      </c:tx>
      <c:overlay val="0"/>
    </c:title>
    <c:autoTitleDeleted val="0"/>
    <c:plotArea>
      <c:layout>
        <c:manualLayout>
          <c:layoutTarget val="inner"/>
          <c:xMode val="edge"/>
          <c:yMode val="edge"/>
          <c:x val="0.11786031204016759"/>
          <c:y val="0.12284383062933676"/>
          <c:w val="0.605009154526155"/>
          <c:h val="0.72851939588059966"/>
        </c:manualLayout>
      </c:layout>
      <c:lineChart>
        <c:grouping val="standard"/>
        <c:varyColors val="0"/>
        <c:ser>
          <c:idx val="5"/>
          <c:order val="0"/>
          <c:tx>
            <c:strRef>
              <c:f>Historical_and_projected_ITT!$B$48</c:f>
              <c:strCache>
                <c:ptCount val="1"/>
                <c:pt idx="0">
                  <c:v>Classics - Historical</c:v>
                </c:pt>
              </c:strCache>
            </c:strRef>
          </c:tx>
          <c:spPr>
            <a:ln>
              <a:solidFill>
                <a:schemeClr val="tx1">
                  <a:lumMod val="95000"/>
                  <a:lumOff val="5000"/>
                </a:schemeClr>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Historical_and_projected_ITT!$C$48:$R$48</c:f>
              <c:numCache>
                <c:formatCode>#,##0</c:formatCode>
                <c:ptCount val="16"/>
                <c:pt idx="4">
                  <c:v>68.619515583024508</c:v>
                </c:pt>
                <c:pt idx="5">
                  <c:v>68.619515583024508</c:v>
                </c:pt>
                <c:pt idx="6">
                  <c:v>68.619515583024508</c:v>
                </c:pt>
              </c:numCache>
            </c:numRef>
          </c:val>
          <c:smooth val="0"/>
          <c:extLst>
            <c:ext xmlns:c16="http://schemas.microsoft.com/office/drawing/2014/chart" uri="{C3380CC4-5D6E-409C-BE32-E72D297353CC}">
              <c16:uniqueId val="{00000000-BBEF-48FA-9625-A172F685C3BC}"/>
            </c:ext>
          </c:extLst>
        </c:ser>
        <c:ser>
          <c:idx val="14"/>
          <c:order val="1"/>
          <c:tx>
            <c:strRef>
              <c:f>Historical_and_projected_ITT!$B$57</c:f>
              <c:strCache>
                <c:ptCount val="1"/>
                <c:pt idx="0">
                  <c:v>Modern Foreign Languages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Historical_and_projected_ITT!$C$57:$R$57</c:f>
              <c:numCache>
                <c:formatCode>#,##0</c:formatCode>
                <c:ptCount val="16"/>
                <c:pt idx="0">
                  <c:v>1393.4917355371902</c:v>
                </c:pt>
                <c:pt idx="1">
                  <c:v>1569.2413162705668</c:v>
                </c:pt>
                <c:pt idx="2">
                  <c:v>1550</c:v>
                </c:pt>
                <c:pt idx="3">
                  <c:v>1375</c:v>
                </c:pt>
                <c:pt idx="4">
                  <c:v>1514.3142939148067</c:v>
                </c:pt>
                <c:pt idx="5">
                  <c:v>1514.3142939148067</c:v>
                </c:pt>
                <c:pt idx="6">
                  <c:v>1514.3142939148067</c:v>
                </c:pt>
              </c:numCache>
            </c:numRef>
          </c:val>
          <c:smooth val="0"/>
          <c:extLst>
            <c:ext xmlns:c16="http://schemas.microsoft.com/office/drawing/2014/chart" uri="{C3380CC4-5D6E-409C-BE32-E72D297353CC}">
              <c16:uniqueId val="{00000001-BBEF-48FA-9625-A172F685C3BC}"/>
            </c:ext>
          </c:extLst>
        </c:ser>
        <c:ser>
          <c:idx val="28"/>
          <c:order val="2"/>
          <c:tx>
            <c:strRef>
              <c:f>Historical_and_projected_ITT!$B$71</c:f>
              <c:strCache>
                <c:ptCount val="1"/>
                <c:pt idx="0">
                  <c:v>Classics - Projected</c:v>
                </c:pt>
              </c:strCache>
            </c:strRef>
          </c:tx>
          <c:spPr>
            <a:ln>
              <a:solidFill>
                <a:schemeClr val="tx1">
                  <a:lumMod val="95000"/>
                  <a:lumOff val="5000"/>
                </a:schemeClr>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Historical_and_projected_ITT!$C$71:$R$71</c:f>
              <c:numCache>
                <c:formatCode>#,##0</c:formatCode>
                <c:ptCount val="16"/>
                <c:pt idx="7">
                  <c:v>68.619515583024508</c:v>
                </c:pt>
                <c:pt idx="8">
                  <c:v>29.366578781126091</c:v>
                </c:pt>
                <c:pt idx="9">
                  <c:v>29.502644590052128</c:v>
                </c:pt>
                <c:pt idx="10">
                  <c:v>29.929636228842607</c:v>
                </c:pt>
                <c:pt idx="11">
                  <c:v>30.653473214781922</c:v>
                </c:pt>
                <c:pt idx="12">
                  <c:v>30.446168419779379</c:v>
                </c:pt>
                <c:pt idx="13">
                  <c:v>29.304404503102266</c:v>
                </c:pt>
                <c:pt idx="14">
                  <c:v>28.584561224401071</c:v>
                </c:pt>
                <c:pt idx="15">
                  <c:v>28.521396317586749</c:v>
                </c:pt>
              </c:numCache>
            </c:numRef>
          </c:val>
          <c:smooth val="0"/>
          <c:extLst>
            <c:ext xmlns:c16="http://schemas.microsoft.com/office/drawing/2014/chart" uri="{C3380CC4-5D6E-409C-BE32-E72D297353CC}">
              <c16:uniqueId val="{00000002-BBEF-48FA-9625-A172F685C3BC}"/>
            </c:ext>
          </c:extLst>
        </c:ser>
        <c:ser>
          <c:idx val="37"/>
          <c:order val="3"/>
          <c:tx>
            <c:strRef>
              <c:f>Historical_and_projected_ITT!$B$80</c:f>
              <c:strCache>
                <c:ptCount val="1"/>
                <c:pt idx="0">
                  <c:v>Modern Foreign Languages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Historical_and_projected_ITT!$C$80:$R$80</c:f>
              <c:numCache>
                <c:formatCode>#,##0</c:formatCode>
                <c:ptCount val="16"/>
                <c:pt idx="7">
                  <c:v>1600.3477250366259</c:v>
                </c:pt>
                <c:pt idx="8">
                  <c:v>1804.6573723483086</c:v>
                </c:pt>
                <c:pt idx="9">
                  <c:v>2110.6443888089575</c:v>
                </c:pt>
                <c:pt idx="10">
                  <c:v>2425.3254288724097</c:v>
                </c:pt>
                <c:pt idx="11">
                  <c:v>2472.4895890975522</c:v>
                </c:pt>
                <c:pt idx="12">
                  <c:v>1581.528294115679</c:v>
                </c:pt>
                <c:pt idx="13">
                  <c:v>1382.2276025333913</c:v>
                </c:pt>
                <c:pt idx="14">
                  <c:v>1232.8459894987611</c:v>
                </c:pt>
                <c:pt idx="15">
                  <c:v>1251.7974865300462</c:v>
                </c:pt>
              </c:numCache>
            </c:numRef>
          </c:val>
          <c:smooth val="0"/>
          <c:extLst>
            <c:ext xmlns:c16="http://schemas.microsoft.com/office/drawing/2014/chart" uri="{C3380CC4-5D6E-409C-BE32-E72D297353CC}">
              <c16:uniqueId val="{00000003-BBEF-48FA-9625-A172F685C3BC}"/>
            </c:ext>
          </c:extLst>
        </c:ser>
        <c:dLbls>
          <c:showLegendKey val="0"/>
          <c:showVal val="0"/>
          <c:showCatName val="0"/>
          <c:showSerName val="0"/>
          <c:showPercent val="0"/>
          <c:showBubbleSize val="0"/>
        </c:dLbls>
        <c:smooth val="0"/>
        <c:axId val="173327488"/>
        <c:axId val="173329024"/>
      </c:lineChart>
      <c:catAx>
        <c:axId val="17332748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329024"/>
        <c:crosses val="autoZero"/>
        <c:auto val="1"/>
        <c:lblAlgn val="ctr"/>
        <c:lblOffset val="100"/>
        <c:noMultiLvlLbl val="0"/>
      </c:catAx>
      <c:valAx>
        <c:axId val="17332902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327488"/>
        <c:crosses val="autoZero"/>
        <c:crossBetween val="between"/>
      </c:valAx>
      <c:spPr>
        <a:ln>
          <a:solidFill>
            <a:schemeClr val="tx1">
              <a:lumMod val="95000"/>
              <a:lumOff val="5000"/>
            </a:schemeClr>
          </a:solidFill>
        </a:ln>
      </c:spPr>
    </c:plotArea>
    <c:legend>
      <c:legendPos val="r"/>
      <c:layout>
        <c:manualLayout>
          <c:xMode val="edge"/>
          <c:yMode val="edge"/>
          <c:x val="0.74077295707164115"/>
          <c:y val="0.13049464970724814"/>
          <c:w val="0.24412795715971747"/>
          <c:h val="0.799450549450549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Technologies ITT places calculated by the TSM</a:t>
            </a:r>
          </a:p>
        </c:rich>
      </c:tx>
      <c:overlay val="0"/>
    </c:title>
    <c:autoTitleDeleted val="0"/>
    <c:plotArea>
      <c:layout>
        <c:manualLayout>
          <c:layoutTarget val="inner"/>
          <c:xMode val="edge"/>
          <c:yMode val="edge"/>
          <c:x val="0.10595380203809043"/>
          <c:y val="0.12105647008936396"/>
          <c:w val="0.6145596487494539"/>
          <c:h val="0.73339199320218429"/>
        </c:manualLayout>
      </c:layout>
      <c:lineChart>
        <c:grouping val="standard"/>
        <c:varyColors val="0"/>
        <c:ser>
          <c:idx val="0"/>
          <c:order val="0"/>
          <c:tx>
            <c:strRef>
              <c:f>Historical_and_projected_ITT!$B$49</c:f>
              <c:strCache>
                <c:ptCount val="1"/>
                <c:pt idx="0">
                  <c:v>Computing - Historical</c:v>
                </c:pt>
              </c:strCache>
            </c:strRef>
          </c:tx>
          <c:spPr>
            <a:ln>
              <a:solidFill>
                <a:sysClr val="windowText" lastClr="00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Historical_and_projected_ITT!$C$49:$R$49</c:f>
              <c:numCache>
                <c:formatCode>#,##0</c:formatCode>
                <c:ptCount val="16"/>
                <c:pt idx="1">
                  <c:v>708.83435582822085</c:v>
                </c:pt>
                <c:pt idx="2">
                  <c:v>570</c:v>
                </c:pt>
                <c:pt idx="3">
                  <c:v>610</c:v>
                </c:pt>
                <c:pt idx="4">
                  <c:v>722.77160624604142</c:v>
                </c:pt>
                <c:pt idx="5">
                  <c:v>722.77160624604142</c:v>
                </c:pt>
                <c:pt idx="6">
                  <c:v>722.77160624604142</c:v>
                </c:pt>
              </c:numCache>
            </c:numRef>
          </c:val>
          <c:smooth val="0"/>
          <c:extLst>
            <c:ext xmlns:c16="http://schemas.microsoft.com/office/drawing/2014/chart" uri="{C3380CC4-5D6E-409C-BE32-E72D297353CC}">
              <c16:uniqueId val="{00000000-63F3-4488-A11A-703E1BEEE5BD}"/>
            </c:ext>
          </c:extLst>
        </c:ser>
        <c:ser>
          <c:idx val="7"/>
          <c:order val="1"/>
          <c:tx>
            <c:strRef>
              <c:f>Historical_and_projected_ITT!$B$50</c:f>
              <c:strCache>
                <c:ptCount val="1"/>
                <c:pt idx="0">
                  <c:v>Design &amp; Technology - Historical</c:v>
                </c:pt>
              </c:strCache>
            </c:strRef>
          </c:tx>
          <c:spPr>
            <a:ln>
              <a:solidFill>
                <a:srgbClr val="FF000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Historical_and_projected_ITT!$C$50:$R$50</c:f>
              <c:numCache>
                <c:formatCode>#,##0</c:formatCode>
                <c:ptCount val="16"/>
                <c:pt idx="0">
                  <c:v>1728.1644640234949</c:v>
                </c:pt>
                <c:pt idx="1">
                  <c:v>760.05830903790093</c:v>
                </c:pt>
                <c:pt idx="2">
                  <c:v>800</c:v>
                </c:pt>
                <c:pt idx="3">
                  <c:v>981</c:v>
                </c:pt>
                <c:pt idx="4">
                  <c:v>1279.2983715792066</c:v>
                </c:pt>
                <c:pt idx="5">
                  <c:v>847.65292472434487</c:v>
                </c:pt>
                <c:pt idx="6">
                  <c:v>750.58903626833126</c:v>
                </c:pt>
              </c:numCache>
            </c:numRef>
          </c:val>
          <c:smooth val="0"/>
          <c:extLst>
            <c:ext xmlns:c16="http://schemas.microsoft.com/office/drawing/2014/chart" uri="{C3380CC4-5D6E-409C-BE32-E72D297353CC}">
              <c16:uniqueId val="{00000001-63F3-4488-A11A-703E1BEEE5BD}"/>
            </c:ext>
          </c:extLst>
        </c:ser>
        <c:ser>
          <c:idx val="1"/>
          <c:order val="2"/>
          <c:tx>
            <c:strRef>
              <c:f>Historical_and_projected_ITT!$B$53</c:f>
              <c:strCache>
                <c:ptCount val="1"/>
                <c:pt idx="0">
                  <c:v>Food - Historical</c:v>
                </c:pt>
              </c:strCache>
            </c:strRef>
          </c:tx>
          <c:spPr>
            <a:ln>
              <a:solidFill>
                <a:srgbClr val="00B0F0"/>
              </a:solidFill>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Historical_and_projected_ITT!$C$53:$R$53</c:f>
              <c:numCache>
                <c:formatCode>#,##0</c:formatCode>
                <c:ptCount val="16"/>
                <c:pt idx="5">
                  <c:v>185.96764681718406</c:v>
                </c:pt>
                <c:pt idx="6">
                  <c:v>166.33410185907249</c:v>
                </c:pt>
              </c:numCache>
            </c:numRef>
          </c:val>
          <c:smooth val="0"/>
          <c:extLst>
            <c:ext xmlns:c16="http://schemas.microsoft.com/office/drawing/2014/chart" uri="{C3380CC4-5D6E-409C-BE32-E72D297353CC}">
              <c16:uniqueId val="{00000002-63F3-4488-A11A-703E1BEEE5BD}"/>
            </c:ext>
          </c:extLst>
        </c:ser>
        <c:ser>
          <c:idx val="29"/>
          <c:order val="3"/>
          <c:tx>
            <c:strRef>
              <c:f>Historical_and_projected_ITT!$B$72</c:f>
              <c:strCache>
                <c:ptCount val="1"/>
                <c:pt idx="0">
                  <c:v>Computing - Projected</c:v>
                </c:pt>
              </c:strCache>
            </c:strRef>
          </c:tx>
          <c:spPr>
            <a:ln>
              <a:solidFill>
                <a:sysClr val="windowText" lastClr="00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Historical_and_projected_ITT!$C$72:$R$72</c:f>
              <c:numCache>
                <c:formatCode>#,##0</c:formatCode>
                <c:ptCount val="16"/>
                <c:pt idx="7">
                  <c:v>722.77160624604142</c:v>
                </c:pt>
                <c:pt idx="8">
                  <c:v>617.0648745356981</c:v>
                </c:pt>
                <c:pt idx="9">
                  <c:v>612.80998297936617</c:v>
                </c:pt>
                <c:pt idx="10">
                  <c:v>606.47736156965789</c:v>
                </c:pt>
                <c:pt idx="11">
                  <c:v>632.60364212887987</c:v>
                </c:pt>
                <c:pt idx="12">
                  <c:v>654.193818004886</c:v>
                </c:pt>
                <c:pt idx="13">
                  <c:v>636.32718310934331</c:v>
                </c:pt>
                <c:pt idx="14">
                  <c:v>623.09783045984091</c:v>
                </c:pt>
                <c:pt idx="15">
                  <c:v>623.73075399611514</c:v>
                </c:pt>
              </c:numCache>
            </c:numRef>
          </c:val>
          <c:smooth val="0"/>
          <c:extLst>
            <c:ext xmlns:c16="http://schemas.microsoft.com/office/drawing/2014/chart" uri="{C3380CC4-5D6E-409C-BE32-E72D297353CC}">
              <c16:uniqueId val="{00000003-63F3-4488-A11A-703E1BEEE5BD}"/>
            </c:ext>
          </c:extLst>
        </c:ser>
        <c:ser>
          <c:idx val="30"/>
          <c:order val="4"/>
          <c:tx>
            <c:strRef>
              <c:f>Historical_and_projected_ITT!$B$73</c:f>
              <c:strCache>
                <c:ptCount val="1"/>
                <c:pt idx="0">
                  <c:v>Design &amp; Technology - Projected</c:v>
                </c:pt>
              </c:strCache>
            </c:strRef>
          </c:tx>
          <c:spPr>
            <a:ln>
              <a:solidFill>
                <a:srgbClr val="FF000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Historical_and_projected_ITT!$C$73:$R$73</c:f>
              <c:numCache>
                <c:formatCode>#,##0</c:formatCode>
                <c:ptCount val="16"/>
                <c:pt idx="7">
                  <c:v>948.59576499118168</c:v>
                </c:pt>
                <c:pt idx="8">
                  <c:v>875.59673140986217</c:v>
                </c:pt>
                <c:pt idx="9">
                  <c:v>839.46648834134157</c:v>
                </c:pt>
                <c:pt idx="10">
                  <c:v>797.2436673641497</c:v>
                </c:pt>
                <c:pt idx="11">
                  <c:v>839.36485584284117</c:v>
                </c:pt>
                <c:pt idx="12">
                  <c:v>857.48236770235587</c:v>
                </c:pt>
                <c:pt idx="13">
                  <c:v>802.53335002002791</c:v>
                </c:pt>
                <c:pt idx="14">
                  <c:v>768.30126536522539</c:v>
                </c:pt>
                <c:pt idx="15">
                  <c:v>794.50818434134044</c:v>
                </c:pt>
              </c:numCache>
            </c:numRef>
          </c:val>
          <c:smooth val="0"/>
          <c:extLst>
            <c:ext xmlns:c16="http://schemas.microsoft.com/office/drawing/2014/chart" uri="{C3380CC4-5D6E-409C-BE32-E72D297353CC}">
              <c16:uniqueId val="{00000004-63F3-4488-A11A-703E1BEEE5BD}"/>
            </c:ext>
          </c:extLst>
        </c:ser>
        <c:ser>
          <c:idx val="33"/>
          <c:order val="5"/>
          <c:tx>
            <c:strRef>
              <c:f>Historical_and_projected_ITT!$B$76</c:f>
              <c:strCache>
                <c:ptCount val="1"/>
                <c:pt idx="0">
                  <c:v>Food - Projected</c:v>
                </c:pt>
              </c:strCache>
            </c:strRef>
          </c:tx>
          <c:spPr>
            <a:ln>
              <a:solidFill>
                <a:srgbClr val="00B0F0"/>
              </a:solidFill>
              <a:prstDash val="sysDot"/>
            </a:ln>
          </c:spPr>
          <c:marker>
            <c:symbol val="none"/>
          </c:marker>
          <c:cat>
            <c:strRef>
              <c:f>Historical_and_projected_ITT!$C$42:$R$42</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Historical_and_projected_ITT!$C$76:$R$76</c:f>
              <c:numCache>
                <c:formatCode>#,##0</c:formatCode>
                <c:ptCount val="16"/>
                <c:pt idx="7">
                  <c:v>218.0656961519251</c:v>
                </c:pt>
                <c:pt idx="8">
                  <c:v>208.42608296562443</c:v>
                </c:pt>
                <c:pt idx="9">
                  <c:v>202.05018424203951</c:v>
                </c:pt>
                <c:pt idx="10">
                  <c:v>196.14022829104408</c:v>
                </c:pt>
                <c:pt idx="11">
                  <c:v>198.19514411458877</c:v>
                </c:pt>
                <c:pt idx="12">
                  <c:v>201.62413543576582</c:v>
                </c:pt>
                <c:pt idx="13">
                  <c:v>199.24697336581372</c:v>
                </c:pt>
                <c:pt idx="14">
                  <c:v>194.64615454787221</c:v>
                </c:pt>
                <c:pt idx="15">
                  <c:v>185.16641365121512</c:v>
                </c:pt>
              </c:numCache>
            </c:numRef>
          </c:val>
          <c:smooth val="0"/>
          <c:extLst>
            <c:ext xmlns:c16="http://schemas.microsoft.com/office/drawing/2014/chart" uri="{C3380CC4-5D6E-409C-BE32-E72D297353CC}">
              <c16:uniqueId val="{00000005-63F3-4488-A11A-703E1BEEE5BD}"/>
            </c:ext>
          </c:extLst>
        </c:ser>
        <c:dLbls>
          <c:showLegendKey val="0"/>
          <c:showVal val="0"/>
          <c:showCatName val="0"/>
          <c:showSerName val="0"/>
          <c:showPercent val="0"/>
          <c:showBubbleSize val="0"/>
        </c:dLbls>
        <c:smooth val="0"/>
        <c:axId val="173454080"/>
        <c:axId val="173455616"/>
      </c:lineChart>
      <c:catAx>
        <c:axId val="17345408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455616"/>
        <c:crosses val="autoZero"/>
        <c:auto val="1"/>
        <c:lblAlgn val="ctr"/>
        <c:lblOffset val="100"/>
        <c:noMultiLvlLbl val="0"/>
      </c:catAx>
      <c:valAx>
        <c:axId val="1734556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454080"/>
        <c:crosses val="autoZero"/>
        <c:crossBetween val="between"/>
      </c:valAx>
      <c:spPr>
        <a:ln>
          <a:solidFill>
            <a:schemeClr val="tx1">
              <a:lumMod val="95000"/>
              <a:lumOff val="5000"/>
            </a:schemeClr>
          </a:solidFill>
        </a:ln>
      </c:spPr>
    </c:plotArea>
    <c:legend>
      <c:legendPos val="r"/>
      <c:layout>
        <c:manualLayout>
          <c:xMode val="edge"/>
          <c:yMode val="edge"/>
          <c:x val="0.7397150774540393"/>
          <c:y val="0.1002748694874679"/>
          <c:w val="0.24433273661536448"/>
          <c:h val="0.8324175824175824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7-9 teaching hours dedicated to each subject between 2015/16 and 2016/17 (EBacc in green and non-EBacc in red)</a:t>
            </a:r>
          </a:p>
        </c:rich>
      </c:tx>
      <c:layout>
        <c:manualLayout>
          <c:xMode val="edge"/>
          <c:yMode val="edge"/>
          <c:x val="0.12409196010398314"/>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0"/>
          <c:order val="0"/>
          <c:tx>
            <c:strRef>
              <c:f>Changes_in_subject_teaching_hrs!$S$16</c:f>
              <c:strCache>
                <c:ptCount val="1"/>
                <c:pt idx="0">
                  <c:v>Years 7-9</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70A1-42BD-B1D2-922EB620FB9D}"/>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70A1-42BD-B1D2-922EB620FB9D}"/>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70A1-42BD-B1D2-922EB620FB9D}"/>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70A1-42BD-B1D2-922EB620FB9D}"/>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70A1-42BD-B1D2-922EB620FB9D}"/>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70A1-42BD-B1D2-922EB620FB9D}"/>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70A1-42BD-B1D2-922EB620FB9D}"/>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70A1-42BD-B1D2-922EB620FB9D}"/>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70A1-42BD-B1D2-922EB620FB9D}"/>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Changes_in_subject_teaching_hrs!$S$17:$S$35</c:f>
              <c:numCache>
                <c:formatCode>0.0%</c:formatCode>
                <c:ptCount val="19"/>
                <c:pt idx="0">
                  <c:v>-4.6460664756795694E-4</c:v>
                </c:pt>
                <c:pt idx="1">
                  <c:v>3.508201456597082E-4</c:v>
                </c:pt>
                <c:pt idx="2">
                  <c:v>4.9270781976997391E-4</c:v>
                </c:pt>
                <c:pt idx="3">
                  <c:v>8.8447014574104255E-5</c:v>
                </c:pt>
                <c:pt idx="4">
                  <c:v>-5.3870776738541674E-5</c:v>
                </c:pt>
                <c:pt idx="5">
                  <c:v>-2.3081560987474048E-3</c:v>
                </c:pt>
                <c:pt idx="6">
                  <c:v>-4.1870097445326424E-3</c:v>
                </c:pt>
                <c:pt idx="7">
                  <c:v>-5.0544633220793098E-4</c:v>
                </c:pt>
                <c:pt idx="8">
                  <c:v>3.6564849449239878E-3</c:v>
                </c:pt>
                <c:pt idx="9">
                  <c:v>1.5881313222620118E-4</c:v>
                </c:pt>
                <c:pt idx="10">
                  <c:v>9.4495225859187598E-4</c:v>
                </c:pt>
                <c:pt idx="11">
                  <c:v>1.0703174172314381E-3</c:v>
                </c:pt>
                <c:pt idx="12">
                  <c:v>1.8914041745846655E-3</c:v>
                </c:pt>
                <c:pt idx="13">
                  <c:v>-1.1188460600331518E-3</c:v>
                </c:pt>
                <c:pt idx="14">
                  <c:v>-1.1150889168092259E-3</c:v>
                </c:pt>
                <c:pt idx="15">
                  <c:v>-3.8946440734476118E-4</c:v>
                </c:pt>
                <c:pt idx="16">
                  <c:v>-6.3592353121787182E-4</c:v>
                </c:pt>
                <c:pt idx="17">
                  <c:v>1.907320516434427E-3</c:v>
                </c:pt>
                <c:pt idx="18">
                  <c:v>2.171450912031303E-4</c:v>
                </c:pt>
              </c:numCache>
            </c:numRef>
          </c:val>
          <c:extLst>
            <c:ext xmlns:c16="http://schemas.microsoft.com/office/drawing/2014/chart" uri="{C3380CC4-5D6E-409C-BE32-E72D297353CC}">
              <c16:uniqueId val="{00000009-70A1-42BD-B1D2-922EB620FB9D}"/>
            </c:ext>
          </c:extLst>
        </c:ser>
        <c:dLbls>
          <c:showLegendKey val="0"/>
          <c:showVal val="0"/>
          <c:showCatName val="0"/>
          <c:showSerName val="0"/>
          <c:showPercent val="0"/>
          <c:showBubbleSize val="0"/>
        </c:dLbls>
        <c:gapWidth val="150"/>
        <c:axId val="172780544"/>
        <c:axId val="172786432"/>
      </c:barChart>
      <c:catAx>
        <c:axId val="17278054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786432"/>
        <c:crosses val="autoZero"/>
        <c:auto val="1"/>
        <c:lblAlgn val="ctr"/>
        <c:lblOffset val="100"/>
        <c:noMultiLvlLbl val="0"/>
      </c:catAx>
      <c:valAx>
        <c:axId val="17278643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78054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1423840769903762"/>
          <c:y val="0.12283573928258967"/>
          <c:w val="0.56716512999977564"/>
          <c:h val="0.69329177602799663"/>
        </c:manualLayout>
      </c:layout>
      <c:lineChart>
        <c:grouping val="standard"/>
        <c:varyColors val="0"/>
        <c:ser>
          <c:idx val="25"/>
          <c:order val="0"/>
          <c:tx>
            <c:strRef>
              <c:f>Entrant_need_figures!$B$114</c:f>
              <c:strCache>
                <c:ptCount val="1"/>
                <c:pt idx="0">
                  <c:v>CLASSICS All Central Scenario</c:v>
                </c:pt>
              </c:strCache>
            </c:strRef>
          </c:tx>
          <c:spPr>
            <a:ln>
              <a:solidFill>
                <a:srgbClr val="00206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Entrant_need_figures!$C$114:$N$114</c:f>
              <c:numCache>
                <c:formatCode>#,##0</c:formatCode>
                <c:ptCount val="12"/>
                <c:pt idx="0">
                  <c:v>35.315407536400862</c:v>
                </c:pt>
                <c:pt idx="1">
                  <c:v>36.270167729320221</c:v>
                </c:pt>
                <c:pt idx="2">
                  <c:v>36.744991908102591</c:v>
                </c:pt>
                <c:pt idx="3">
                  <c:v>37.390130719007274</c:v>
                </c:pt>
                <c:pt idx="4">
                  <c:v>37.56337249906106</c:v>
                </c:pt>
                <c:pt idx="5">
                  <c:v>38.10702701562191</c:v>
                </c:pt>
                <c:pt idx="6">
                  <c:v>39.028631119567365</c:v>
                </c:pt>
                <c:pt idx="7">
                  <c:v>38.764686400586214</c:v>
                </c:pt>
                <c:pt idx="8">
                  <c:v>37.31096915238431</c:v>
                </c:pt>
                <c:pt idx="9">
                  <c:v>36.394449918447023</c:v>
                </c:pt>
                <c:pt idx="10">
                  <c:v>36.314027062919877</c:v>
                </c:pt>
                <c:pt idx="11">
                  <c:v>36.034427511590891</c:v>
                </c:pt>
              </c:numCache>
            </c:numRef>
          </c:val>
          <c:smooth val="0"/>
          <c:extLst>
            <c:ext xmlns:c16="http://schemas.microsoft.com/office/drawing/2014/chart" uri="{C3380CC4-5D6E-409C-BE32-E72D297353CC}">
              <c16:uniqueId val="{00000000-FC88-488B-8481-6BACB9B31148}"/>
            </c:ext>
          </c:extLst>
        </c:ser>
        <c:ser>
          <c:idx val="5"/>
          <c:order val="1"/>
          <c:tx>
            <c:strRef>
              <c:f>Entrant_need_figures!$B$93</c:f>
              <c:strCache>
                <c:ptCount val="1"/>
                <c:pt idx="0">
                  <c:v>CLASSICS Scenario Selected</c:v>
                </c:pt>
              </c:strCache>
            </c:strRef>
          </c:tx>
          <c:spPr>
            <a:ln>
              <a:solidFill>
                <a:srgbClr val="00206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Entrant_need_figures!$C$93:$N$93</c:f>
              <c:numCache>
                <c:formatCode>#,##0</c:formatCode>
                <c:ptCount val="12"/>
                <c:pt idx="0">
                  <c:v>35.315407536400862</c:v>
                </c:pt>
                <c:pt idx="1">
                  <c:v>36.270167729320221</c:v>
                </c:pt>
                <c:pt idx="2">
                  <c:v>36.744991908102591</c:v>
                </c:pt>
                <c:pt idx="3">
                  <c:v>37.390130719007274</c:v>
                </c:pt>
                <c:pt idx="4">
                  <c:v>37.56337249906106</c:v>
                </c:pt>
                <c:pt idx="5">
                  <c:v>38.10702701562191</c:v>
                </c:pt>
                <c:pt idx="6">
                  <c:v>39.028631119567365</c:v>
                </c:pt>
                <c:pt idx="7">
                  <c:v>38.764686400586214</c:v>
                </c:pt>
                <c:pt idx="8">
                  <c:v>37.31096915238431</c:v>
                </c:pt>
                <c:pt idx="9">
                  <c:v>36.394449918447023</c:v>
                </c:pt>
                <c:pt idx="10">
                  <c:v>36.314027062919877</c:v>
                </c:pt>
                <c:pt idx="11">
                  <c:v>36.034427511590891</c:v>
                </c:pt>
              </c:numCache>
            </c:numRef>
          </c:val>
          <c:smooth val="0"/>
          <c:extLst>
            <c:ext xmlns:c16="http://schemas.microsoft.com/office/drawing/2014/chart" uri="{C3380CC4-5D6E-409C-BE32-E72D297353CC}">
              <c16:uniqueId val="{00000001-FC88-488B-8481-6BACB9B31148}"/>
            </c:ext>
          </c:extLst>
        </c:ser>
        <c:ser>
          <c:idx val="33"/>
          <c:order val="2"/>
          <c:tx>
            <c:strRef>
              <c:f>Entrant_need_figures!$B$123</c:f>
              <c:strCache>
                <c:ptCount val="1"/>
                <c:pt idx="0">
                  <c:v>MODERN FOREIGN LANGUAGES All Central Scenario</c:v>
                </c:pt>
              </c:strCache>
            </c:strRef>
          </c:tx>
          <c:spPr>
            <a:ln>
              <a:solidFill>
                <a:srgbClr val="FF0000"/>
              </a:solidFill>
              <a:prstDash val="solid"/>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Entrant_need_figures!$C$123:$N$123</c:f>
              <c:numCache>
                <c:formatCode>#,##0</c:formatCode>
                <c:ptCount val="12"/>
                <c:pt idx="0">
                  <c:v>1858.4175746536107</c:v>
                </c:pt>
                <c:pt idx="1">
                  <c:v>2277.0468819951711</c:v>
                </c:pt>
                <c:pt idx="2">
                  <c:v>2397.1091773555454</c:v>
                </c:pt>
                <c:pt idx="3">
                  <c:v>2539.1599817656106</c:v>
                </c:pt>
                <c:pt idx="4">
                  <c:v>2751.9042275669963</c:v>
                </c:pt>
                <c:pt idx="5">
                  <c:v>2970.6931857086374</c:v>
                </c:pt>
                <c:pt idx="6">
                  <c:v>3003.4851120198118</c:v>
                </c:pt>
                <c:pt idx="7">
                  <c:v>2384.0245514652083</c:v>
                </c:pt>
                <c:pt idx="8">
                  <c:v>2245.4563343924387</c:v>
                </c:pt>
                <c:pt idx="9">
                  <c:v>2141.5954615709479</c:v>
                </c:pt>
                <c:pt idx="10">
                  <c:v>2154.7719093476026</c:v>
                </c:pt>
                <c:pt idx="11">
                  <c:v>2221.8326440205547</c:v>
                </c:pt>
              </c:numCache>
            </c:numRef>
          </c:val>
          <c:smooth val="0"/>
          <c:extLst>
            <c:ext xmlns:c16="http://schemas.microsoft.com/office/drawing/2014/chart" uri="{C3380CC4-5D6E-409C-BE32-E72D297353CC}">
              <c16:uniqueId val="{00000002-FC88-488B-8481-6BACB9B31148}"/>
            </c:ext>
          </c:extLst>
        </c:ser>
        <c:ser>
          <c:idx val="13"/>
          <c:order val="3"/>
          <c:tx>
            <c:strRef>
              <c:f>Entrant_need_figures!$B$102</c:f>
              <c:strCache>
                <c:ptCount val="1"/>
                <c:pt idx="0">
                  <c:v>MODERN FOREIGN LANGUAGES Scenario Selected</c:v>
                </c:pt>
              </c:strCache>
            </c:strRef>
          </c:tx>
          <c:spPr>
            <a:ln>
              <a:solidFill>
                <a:srgbClr val="FF0000"/>
              </a:solidFill>
              <a:prstDash val="sysDot"/>
            </a:ln>
          </c:spPr>
          <c:marker>
            <c:symbol val="none"/>
          </c:marker>
          <c:cat>
            <c:strRef>
              <c:f>Entrant_need_figures!$C$87:$N$87</c:f>
              <c:strCache>
                <c:ptCount val="12"/>
                <c:pt idx="0">
                  <c:v>2017/18</c:v>
                </c:pt>
                <c:pt idx="1">
                  <c:v>2018/19</c:v>
                </c:pt>
                <c:pt idx="2">
                  <c:v>2019/20</c:v>
                </c:pt>
                <c:pt idx="3">
                  <c:v>2020/21</c:v>
                </c:pt>
                <c:pt idx="4">
                  <c:v>2021/22</c:v>
                </c:pt>
                <c:pt idx="5">
                  <c:v>2022/23</c:v>
                </c:pt>
                <c:pt idx="6">
                  <c:v>2023/24</c:v>
                </c:pt>
                <c:pt idx="7">
                  <c:v>2024/25</c:v>
                </c:pt>
                <c:pt idx="8">
                  <c:v>2025/26</c:v>
                </c:pt>
                <c:pt idx="9">
                  <c:v>2026/27</c:v>
                </c:pt>
                <c:pt idx="10">
                  <c:v>2027/28</c:v>
                </c:pt>
                <c:pt idx="11">
                  <c:v>2028/29</c:v>
                </c:pt>
              </c:strCache>
            </c:strRef>
          </c:cat>
          <c:val>
            <c:numRef>
              <c:f>Entrant_need_figures!$C$102:$N$102</c:f>
              <c:numCache>
                <c:formatCode>#,##0</c:formatCode>
                <c:ptCount val="12"/>
                <c:pt idx="0">
                  <c:v>1858.4175746536107</c:v>
                </c:pt>
                <c:pt idx="1">
                  <c:v>2277.0468819951711</c:v>
                </c:pt>
                <c:pt idx="2">
                  <c:v>2397.1091773555454</c:v>
                </c:pt>
                <c:pt idx="3">
                  <c:v>2539.1599817656106</c:v>
                </c:pt>
                <c:pt idx="4">
                  <c:v>2751.9042275669963</c:v>
                </c:pt>
                <c:pt idx="5">
                  <c:v>2970.6931857086374</c:v>
                </c:pt>
                <c:pt idx="6">
                  <c:v>3003.4851120198118</c:v>
                </c:pt>
                <c:pt idx="7">
                  <c:v>2384.0245514652083</c:v>
                </c:pt>
                <c:pt idx="8">
                  <c:v>2245.4563343924387</c:v>
                </c:pt>
                <c:pt idx="9">
                  <c:v>2141.5954615709479</c:v>
                </c:pt>
                <c:pt idx="10">
                  <c:v>2154.7719093476026</c:v>
                </c:pt>
                <c:pt idx="11">
                  <c:v>2221.8326440205547</c:v>
                </c:pt>
              </c:numCache>
            </c:numRef>
          </c:val>
          <c:smooth val="0"/>
          <c:extLst>
            <c:ext xmlns:c16="http://schemas.microsoft.com/office/drawing/2014/chart" uri="{C3380CC4-5D6E-409C-BE32-E72D297353CC}">
              <c16:uniqueId val="{00000003-FC88-488B-8481-6BACB9B31148}"/>
            </c:ext>
          </c:extLst>
        </c:ser>
        <c:dLbls>
          <c:showLegendKey val="0"/>
          <c:showVal val="0"/>
          <c:showCatName val="0"/>
          <c:showSerName val="0"/>
          <c:showPercent val="0"/>
          <c:showBubbleSize val="0"/>
        </c:dLbls>
        <c:smooth val="0"/>
        <c:axId val="148855424"/>
        <c:axId val="148861312"/>
      </c:lineChart>
      <c:catAx>
        <c:axId val="14885542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61312"/>
        <c:crosses val="autoZero"/>
        <c:auto val="1"/>
        <c:lblAlgn val="ctr"/>
        <c:lblOffset val="100"/>
        <c:noMultiLvlLbl val="0"/>
      </c:catAx>
      <c:valAx>
        <c:axId val="14886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55424"/>
        <c:crosses val="autoZero"/>
        <c:crossBetween val="between"/>
      </c:valAx>
      <c:spPr>
        <a:ln>
          <a:solidFill>
            <a:schemeClr val="tx1">
              <a:lumMod val="95000"/>
              <a:lumOff val="5000"/>
            </a:schemeClr>
          </a:solidFill>
        </a:ln>
      </c:spPr>
    </c:plotArea>
    <c:legend>
      <c:legendPos val="r"/>
      <c:layout>
        <c:manualLayout>
          <c:xMode val="edge"/>
          <c:yMode val="edge"/>
          <c:x val="0.69605429205001701"/>
          <c:y val="2.768166089965398E-2"/>
          <c:w val="0.28211602044943196"/>
          <c:h val="0.873702603783523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10-11 teaching hours dedicated to each subject between 2015/16 and 2016/17 (EBacc in green and non-EBacc in red)</a:t>
            </a:r>
          </a:p>
        </c:rich>
      </c:tx>
      <c:layout>
        <c:manualLayout>
          <c:xMode val="edge"/>
          <c:yMode val="edge"/>
          <c:x val="0.12409198054064897"/>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1"/>
          <c:order val="0"/>
          <c:tx>
            <c:strRef>
              <c:f>Changes_in_subject_teaching_hrs!$T$16</c:f>
              <c:strCache>
                <c:ptCount val="1"/>
                <c:pt idx="0">
                  <c:v>Years 10-11</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21EC-40AB-B2BD-904950A582F4}"/>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21EC-40AB-B2BD-904950A582F4}"/>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21EC-40AB-B2BD-904950A582F4}"/>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EC-40AB-B2BD-904950A582F4}"/>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21EC-40AB-B2BD-904950A582F4}"/>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21EC-40AB-B2BD-904950A582F4}"/>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21EC-40AB-B2BD-904950A582F4}"/>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21EC-40AB-B2BD-904950A582F4}"/>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21EC-40AB-B2BD-904950A582F4}"/>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Changes_in_subject_teaching_hrs!$T$17:$T$35</c:f>
              <c:numCache>
                <c:formatCode>0.0%</c:formatCode>
                <c:ptCount val="19"/>
                <c:pt idx="0">
                  <c:v>-4.4404053079672573E-4</c:v>
                </c:pt>
                <c:pt idx="1">
                  <c:v>-3.0191461073678094E-4</c:v>
                </c:pt>
                <c:pt idx="2">
                  <c:v>-2.643367156278803E-4</c:v>
                </c:pt>
                <c:pt idx="3">
                  <c:v>1.4404715277225866E-3</c:v>
                </c:pt>
                <c:pt idx="4">
                  <c:v>-9.2645334575580055E-6</c:v>
                </c:pt>
                <c:pt idx="5">
                  <c:v>-2.7952035061139108E-3</c:v>
                </c:pt>
                <c:pt idx="6">
                  <c:v>-2.2212317125635955E-3</c:v>
                </c:pt>
                <c:pt idx="7">
                  <c:v>-6.0730849579685234E-4</c:v>
                </c:pt>
                <c:pt idx="8">
                  <c:v>4.3678064446445175E-3</c:v>
                </c:pt>
                <c:pt idx="9">
                  <c:v>-1.0193402437663618E-3</c:v>
                </c:pt>
                <c:pt idx="10">
                  <c:v>1.8614464486999965E-3</c:v>
                </c:pt>
                <c:pt idx="11">
                  <c:v>1.5146878763569738E-3</c:v>
                </c:pt>
                <c:pt idx="12">
                  <c:v>4.8347487877458684E-3</c:v>
                </c:pt>
                <c:pt idx="13">
                  <c:v>-1.0512810528529593E-3</c:v>
                </c:pt>
                <c:pt idx="14">
                  <c:v>-1.5735938637429468E-4</c:v>
                </c:pt>
                <c:pt idx="15">
                  <c:v>-4.0534825568181027E-3</c:v>
                </c:pt>
                <c:pt idx="16">
                  <c:v>-2.1041161549178733E-3</c:v>
                </c:pt>
                <c:pt idx="17">
                  <c:v>1.3873189005173675E-3</c:v>
                </c:pt>
                <c:pt idx="18">
                  <c:v>-3.7760048586454181E-4</c:v>
                </c:pt>
              </c:numCache>
            </c:numRef>
          </c:val>
          <c:extLst>
            <c:ext xmlns:c16="http://schemas.microsoft.com/office/drawing/2014/chart" uri="{C3380CC4-5D6E-409C-BE32-E72D297353CC}">
              <c16:uniqueId val="{00000009-21EC-40AB-B2BD-904950A582F4}"/>
            </c:ext>
          </c:extLst>
        </c:ser>
        <c:dLbls>
          <c:showLegendKey val="0"/>
          <c:showVal val="0"/>
          <c:showCatName val="0"/>
          <c:showSerName val="0"/>
          <c:showPercent val="0"/>
          <c:showBubbleSize val="0"/>
        </c:dLbls>
        <c:gapWidth val="150"/>
        <c:axId val="172827392"/>
        <c:axId val="172828928"/>
      </c:barChart>
      <c:catAx>
        <c:axId val="172827392"/>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28928"/>
        <c:crosses val="autoZero"/>
        <c:auto val="1"/>
        <c:lblAlgn val="ctr"/>
        <c:lblOffset val="100"/>
        <c:noMultiLvlLbl val="0"/>
      </c:catAx>
      <c:valAx>
        <c:axId val="172828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2739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Years 12-13 teaching hours dedicated to each subject between 2015/16 and 2016/17 (EBacc in green and non-EBacc in red)</a:t>
            </a:r>
          </a:p>
        </c:rich>
      </c:tx>
      <c:layout>
        <c:manualLayout>
          <c:xMode val="edge"/>
          <c:yMode val="edge"/>
          <c:x val="0.12409196010398314"/>
          <c:y val="3.33448036219123E-3"/>
        </c:manualLayout>
      </c:layout>
      <c:overlay val="0"/>
    </c:title>
    <c:autoTitleDeleted val="0"/>
    <c:plotArea>
      <c:layout>
        <c:manualLayout>
          <c:layoutTarget val="inner"/>
          <c:xMode val="edge"/>
          <c:yMode val="edge"/>
          <c:x val="0.12223093556394882"/>
          <c:y val="0.1423420324711214"/>
          <c:w val="0.85244684861546782"/>
          <c:h val="0.55932169568202617"/>
        </c:manualLayout>
      </c:layout>
      <c:barChart>
        <c:barDir val="col"/>
        <c:grouping val="clustered"/>
        <c:varyColors val="0"/>
        <c:ser>
          <c:idx val="2"/>
          <c:order val="0"/>
          <c:tx>
            <c:strRef>
              <c:f>Changes_in_subject_teaching_hrs!$U$16</c:f>
              <c:strCache>
                <c:ptCount val="1"/>
                <c:pt idx="0">
                  <c:v>Years 12-13</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9F30-4039-9F79-A2639C40BE09}"/>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9F30-4039-9F79-A2639C40BE09}"/>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9F30-4039-9F79-A2639C40BE09}"/>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9F30-4039-9F79-A2639C40BE09}"/>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9F30-4039-9F79-A2639C40BE09}"/>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9F30-4039-9F79-A2639C40BE09}"/>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9F30-4039-9F79-A2639C40BE09}"/>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9F30-4039-9F79-A2639C40BE09}"/>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9F30-4039-9F79-A2639C40BE09}"/>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Changes_in_subject_teaching_hrs!$U$17:$U$35</c:f>
              <c:numCache>
                <c:formatCode>0.0%</c:formatCode>
                <c:ptCount val="19"/>
                <c:pt idx="0">
                  <c:v>-1.769041548318695E-3</c:v>
                </c:pt>
                <c:pt idx="1">
                  <c:v>7.4326806702550152E-4</c:v>
                </c:pt>
                <c:pt idx="2">
                  <c:v>-1.9631892731717532E-4</c:v>
                </c:pt>
                <c:pt idx="3">
                  <c:v>1.4650739794378129E-3</c:v>
                </c:pt>
                <c:pt idx="4">
                  <c:v>-2.0385388656513547E-4</c:v>
                </c:pt>
                <c:pt idx="5">
                  <c:v>-1.7547434993118172E-3</c:v>
                </c:pt>
                <c:pt idx="6">
                  <c:v>-1.5846678917426291E-3</c:v>
                </c:pt>
                <c:pt idx="7">
                  <c:v>-7.3444383596518378E-4</c:v>
                </c:pt>
                <c:pt idx="8">
                  <c:v>-1.3645467373197551E-3</c:v>
                </c:pt>
                <c:pt idx="9">
                  <c:v>-8.4664198884864487E-4</c:v>
                </c:pt>
                <c:pt idx="10">
                  <c:v>1.0117219519918466E-3</c:v>
                </c:pt>
                <c:pt idx="11">
                  <c:v>-2.3102033175031317E-4</c:v>
                </c:pt>
                <c:pt idx="12">
                  <c:v>4.4138769969726682E-3</c:v>
                </c:pt>
                <c:pt idx="13">
                  <c:v>-5.3776519696636937E-4</c:v>
                </c:pt>
                <c:pt idx="14">
                  <c:v>-1.2874157668707163E-3</c:v>
                </c:pt>
                <c:pt idx="15">
                  <c:v>4.127828595257732E-3</c:v>
                </c:pt>
                <c:pt idx="16">
                  <c:v>-2.49568577894866E-3</c:v>
                </c:pt>
                <c:pt idx="17">
                  <c:v>7.9360613387859796E-4</c:v>
                </c:pt>
                <c:pt idx="18">
                  <c:v>4.5076966536074931E-4</c:v>
                </c:pt>
              </c:numCache>
            </c:numRef>
          </c:val>
          <c:extLst>
            <c:ext xmlns:c16="http://schemas.microsoft.com/office/drawing/2014/chart" uri="{C3380CC4-5D6E-409C-BE32-E72D297353CC}">
              <c16:uniqueId val="{00000009-9F30-4039-9F79-A2639C40BE09}"/>
            </c:ext>
          </c:extLst>
        </c:ser>
        <c:dLbls>
          <c:showLegendKey val="0"/>
          <c:showVal val="0"/>
          <c:showCatName val="0"/>
          <c:showSerName val="0"/>
          <c:showPercent val="0"/>
          <c:showBubbleSize val="0"/>
        </c:dLbls>
        <c:gapWidth val="150"/>
        <c:axId val="172873984"/>
        <c:axId val="172875776"/>
      </c:barChart>
      <c:catAx>
        <c:axId val="17287398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75776"/>
        <c:crosses val="autoZero"/>
        <c:auto val="1"/>
        <c:lblAlgn val="ctr"/>
        <c:lblOffset val="100"/>
        <c:noMultiLvlLbl val="0"/>
      </c:catAx>
      <c:valAx>
        <c:axId val="17287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7398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secondary teaching hours dedicated to each subject between 2015/16 and 2016/17 (EBacc in green and non-EBacc in red)</a:t>
            </a:r>
          </a:p>
        </c:rich>
      </c:tx>
      <c:layout>
        <c:manualLayout>
          <c:xMode val="edge"/>
          <c:yMode val="edge"/>
          <c:x val="0.12621850498352777"/>
          <c:y val="3.33448036219123E-3"/>
        </c:manualLayout>
      </c:layout>
      <c:overlay val="0"/>
    </c:title>
    <c:autoTitleDeleted val="0"/>
    <c:plotArea>
      <c:layout>
        <c:manualLayout>
          <c:layoutTarget val="inner"/>
          <c:xMode val="edge"/>
          <c:yMode val="edge"/>
          <c:x val="0.12222077857356438"/>
          <c:y val="0.1423420324711214"/>
          <c:w val="0.85245707023963779"/>
          <c:h val="0.55932169568202617"/>
        </c:manualLayout>
      </c:layout>
      <c:barChart>
        <c:barDir val="col"/>
        <c:grouping val="clustered"/>
        <c:varyColors val="0"/>
        <c:ser>
          <c:idx val="3"/>
          <c:order val="0"/>
          <c:tx>
            <c:strRef>
              <c:f>Changes_in_subject_teaching_hrs!$V$16</c:f>
              <c:strCache>
                <c:ptCount val="1"/>
                <c:pt idx="0">
                  <c:v>Total</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6634-4C7F-9452-7DADCE3DC33B}"/>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6634-4C7F-9452-7DADCE3DC33B}"/>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6634-4C7F-9452-7DADCE3DC33B}"/>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634-4C7F-9452-7DADCE3DC33B}"/>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6634-4C7F-9452-7DADCE3DC33B}"/>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6634-4C7F-9452-7DADCE3DC33B}"/>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6634-4C7F-9452-7DADCE3DC33B}"/>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6634-4C7F-9452-7DADCE3DC33B}"/>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6634-4C7F-9452-7DADCE3DC33B}"/>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Changes_in_subject_teaching_hrs!$V$17:$V$35</c:f>
              <c:numCache>
                <c:formatCode>0.0%</c:formatCode>
                <c:ptCount val="19"/>
                <c:pt idx="0">
                  <c:v>-6.4573613724489692E-4</c:v>
                </c:pt>
                <c:pt idx="1">
                  <c:v>-2.4250545115830913E-5</c:v>
                </c:pt>
                <c:pt idx="2">
                  <c:v>-4.3477051831409749E-4</c:v>
                </c:pt>
                <c:pt idx="3">
                  <c:v>5.8976536372786631E-4</c:v>
                </c:pt>
                <c:pt idx="4">
                  <c:v>-8.034011556322428E-5</c:v>
                </c:pt>
                <c:pt idx="5">
                  <c:v>-2.4395647248697319E-3</c:v>
                </c:pt>
                <c:pt idx="6">
                  <c:v>-2.6788675499275147E-3</c:v>
                </c:pt>
                <c:pt idx="7">
                  <c:v>-4.8273321302422928E-4</c:v>
                </c:pt>
                <c:pt idx="8">
                  <c:v>3.4829402321271408E-3</c:v>
                </c:pt>
                <c:pt idx="9">
                  <c:v>-4.4560432326278508E-4</c:v>
                </c:pt>
                <c:pt idx="10">
                  <c:v>1.5150459901027286E-3</c:v>
                </c:pt>
                <c:pt idx="11">
                  <c:v>1.1648021401188882E-3</c:v>
                </c:pt>
                <c:pt idx="12">
                  <c:v>3.6126008204674931E-3</c:v>
                </c:pt>
                <c:pt idx="13">
                  <c:v>-4.7085741794020142E-4</c:v>
                </c:pt>
                <c:pt idx="14">
                  <c:v>-5.9023973647930397E-4</c:v>
                </c:pt>
                <c:pt idx="15">
                  <c:v>-2.3539994633621775E-3</c:v>
                </c:pt>
                <c:pt idx="16">
                  <c:v>-1.2220061806407084E-3</c:v>
                </c:pt>
                <c:pt idx="17">
                  <c:v>1.3781452587551535E-3</c:v>
                </c:pt>
                <c:pt idx="18">
                  <c:v>1.2567012044559928E-4</c:v>
                </c:pt>
              </c:numCache>
            </c:numRef>
          </c:val>
          <c:extLst>
            <c:ext xmlns:c16="http://schemas.microsoft.com/office/drawing/2014/chart" uri="{C3380CC4-5D6E-409C-BE32-E72D297353CC}">
              <c16:uniqueId val="{00000009-6634-4C7F-9452-7DADCE3DC33B}"/>
            </c:ext>
          </c:extLst>
        </c:ser>
        <c:dLbls>
          <c:showLegendKey val="0"/>
          <c:showVal val="0"/>
          <c:showCatName val="0"/>
          <c:showSerName val="0"/>
          <c:showPercent val="0"/>
          <c:showBubbleSize val="0"/>
        </c:dLbls>
        <c:gapWidth val="150"/>
        <c:axId val="173506560"/>
        <c:axId val="173508096"/>
      </c:barChart>
      <c:catAx>
        <c:axId val="173506560"/>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3508096"/>
        <c:crosses val="autoZero"/>
        <c:auto val="1"/>
        <c:lblAlgn val="ctr"/>
        <c:lblOffset val="100"/>
        <c:noMultiLvlLbl val="0"/>
      </c:catAx>
      <c:valAx>
        <c:axId val="173508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06560"/>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9" fmlaLink="Data_selected_by_user_testing!$B$16" fmlaRange="Data_selected_by_user_testing!$C$20:$L$24" noThreeD="1" sel="2" val="0"/>
</file>

<file path=xl/ctrlProps/ctrlProp10.xml><?xml version="1.0" encoding="utf-8"?>
<formControlPr xmlns="http://schemas.microsoft.com/office/spreadsheetml/2009/9/main" objectType="Drop" dropStyle="combo" dx="39" fmlaLink="Data_selected_by_user_testing!$B$97" fmlaRange="Data_selected_by_user_testing!$C$98:$C$103" noThreeD="1" sel="3" val="0"/>
</file>

<file path=xl/ctrlProps/ctrlProp11.xml><?xml version="1.0" encoding="utf-8"?>
<formControlPr xmlns="http://schemas.microsoft.com/office/spreadsheetml/2009/9/main" objectType="Drop" dropStyle="combo" dx="39" fmlaLink="Data_selected_by_user_testing!$B$109" fmlaRange="Data_selected_by_user_testing!$C$110:$C$115" noThreeD="1" sel="3" val="0"/>
</file>

<file path=xl/ctrlProps/ctrlProp12.xml><?xml version="1.0" encoding="utf-8"?>
<formControlPr xmlns="http://schemas.microsoft.com/office/spreadsheetml/2009/9/main" objectType="Drop" dropStyle="combo" dx="39" fmlaLink="Data_selected_by_user_testing!$B$119" fmlaRange="Data_selected_by_user_testing!$C$120:$C$125" noThreeD="1" sel="3" val="0"/>
</file>

<file path=xl/ctrlProps/ctrlProp13.xml><?xml version="1.0" encoding="utf-8"?>
<formControlPr xmlns="http://schemas.microsoft.com/office/spreadsheetml/2009/9/main" objectType="Drop" dropStyle="combo" dx="39" fmlaLink="Data_selected_by_user_testing!$B$147" fmlaRange="Data_selected_by_user_testing!$C$148:$G$149" noThreeD="1" sel="1" val="0"/>
</file>

<file path=xl/ctrlProps/ctrlProp14.xml><?xml version="1.0" encoding="utf-8"?>
<formControlPr xmlns="http://schemas.microsoft.com/office/spreadsheetml/2009/9/main" objectType="Drop" dropStyle="combo" dx="39" fmlaLink="Data_selected_by_user_testing!$B$153" fmlaRange="Data_selected_by_user_testing!$C$153:$D$154" noThreeD="1" sel="1" val="0"/>
</file>

<file path=xl/ctrlProps/ctrlProp15.xml><?xml version="1.0" encoding="utf-8"?>
<formControlPr xmlns="http://schemas.microsoft.com/office/spreadsheetml/2009/9/main" objectType="Drop" dropStyle="combo" dx="39" fmlaLink="Data_selected_by_user_testing!$B$220" fmlaRange="Data_selected_by_user_testing!$C$221:$D$222" noThreeD="1" sel="2" val="0"/>
</file>

<file path=xl/ctrlProps/ctrlProp16.xml><?xml version="1.0" encoding="utf-8"?>
<formControlPr xmlns="http://schemas.microsoft.com/office/spreadsheetml/2009/9/main" objectType="Drop" dropStyle="combo" dx="39" fmlaLink="Data_selected_by_user_testing!$B$226" fmlaRange="Data_selected_by_user_testing!$C$226:$D$227" noThreeD="1" sel="2" val="0"/>
</file>

<file path=xl/ctrlProps/ctrlProp17.xml><?xml version="1.0" encoding="utf-8"?>
<formControlPr xmlns="http://schemas.microsoft.com/office/spreadsheetml/2009/9/main" objectType="Drop" dropLines="2" dropStyle="combo" dx="39" fmlaLink="Increased_EBacc_scenario_data!$B$14" fmlaRange="Increased_EBacc_scenario_data!$C$14:$D$15" noThreeD="1" sel="2" val="0"/>
</file>

<file path=xl/ctrlProps/ctrlProp18.xml><?xml version="1.0" encoding="utf-8"?>
<formControlPr xmlns="http://schemas.microsoft.com/office/spreadsheetml/2009/9/main" objectType="Drop" dropLines="3" dropStyle="combo" dx="15" fmlaLink="$G$69" fmlaRange="$E$69:$E$71" noThreeD="1" sel="1" val="0"/>
</file>

<file path=xl/ctrlProps/ctrlProp19.xml><?xml version="1.0" encoding="utf-8"?>
<formControlPr xmlns="http://schemas.microsoft.com/office/spreadsheetml/2009/9/main" objectType="Drop" dropLines="21" dropStyle="combo" dx="15" fmlaLink="$C$69" fmlaRange="$B$22:$B$42" noThreeD="1" sel="15" val="0"/>
</file>

<file path=xl/ctrlProps/ctrlProp2.xml><?xml version="1.0" encoding="utf-8"?>
<formControlPr xmlns="http://schemas.microsoft.com/office/spreadsheetml/2009/9/main" objectType="Drop" dropStyle="combo" dx="39" fmlaLink="Data_selected_by_user_testing!$B$17" fmlaRange="Data_selected_by_user_testing!$C$26:$C$30" noThreeD="1" sel="2" val="0"/>
</file>

<file path=xl/ctrlProps/ctrlProp20.xml><?xml version="1.0" encoding="utf-8"?>
<formControlPr xmlns="http://schemas.microsoft.com/office/spreadsheetml/2009/9/main" objectType="Drop" dropLines="21" dropStyle="combo" dx="15" fmlaLink="$C$70" fmlaRange="$B$22:$B$42" noThreeD="1" sel="12" val="0"/>
</file>

<file path=xl/ctrlProps/ctrlProp21.xml><?xml version="1.0" encoding="utf-8"?>
<formControlPr xmlns="http://schemas.microsoft.com/office/spreadsheetml/2009/9/main" objectType="Drop" dropLines="21" dropStyle="combo" dx="15" fmlaLink="$C$71" fmlaRange="$B$22:$B$42" noThreeD="1" sel="13" val="0"/>
</file>

<file path=xl/ctrlProps/ctrlProp3.xml><?xml version="1.0" encoding="utf-8"?>
<formControlPr xmlns="http://schemas.microsoft.com/office/spreadsheetml/2009/9/main" objectType="Drop" dropStyle="combo" dx="39" fmlaLink="Data_selected_by_user_testing!$B$41" fmlaRange="Data_selected_by_user_testing!$C$41:$C$43" noThreeD="1" sel="2" val="0"/>
</file>

<file path=xl/ctrlProps/ctrlProp4.xml><?xml version="1.0" encoding="utf-8"?>
<formControlPr xmlns="http://schemas.microsoft.com/office/spreadsheetml/2009/9/main" objectType="Drop" dropStyle="combo" dx="39" fmlaLink="Data_selected_by_user_testing!$B$45" fmlaRange="Data_selected_by_user_testing!$C$45:$C$47" noThreeD="1" sel="2" val="0"/>
</file>

<file path=xl/ctrlProps/ctrlProp5.xml><?xml version="1.0" encoding="utf-8"?>
<formControlPr xmlns="http://schemas.microsoft.com/office/spreadsheetml/2009/9/main" objectType="Drop" dropStyle="combo" dx="39" fmlaLink="Data_selected_by_user_testing!$B$49" fmlaRange="Data_selected_by_user_testing!$C$49:$C$51" noThreeD="1" sel="2" val="0"/>
</file>

<file path=xl/ctrlProps/ctrlProp6.xml><?xml version="1.0" encoding="utf-8"?>
<formControlPr xmlns="http://schemas.microsoft.com/office/spreadsheetml/2009/9/main" objectType="Drop" dropStyle="combo" dx="39" fmlaLink="Data_selected_by_user_testing!$B$53" fmlaRange="Data_selected_by_user_testing!$C$53:$C$55" noThreeD="1" sel="2" val="0"/>
</file>

<file path=xl/ctrlProps/ctrlProp7.xml><?xml version="1.0" encoding="utf-8"?>
<formControlPr xmlns="http://schemas.microsoft.com/office/spreadsheetml/2009/9/main" objectType="Drop" dropStyle="combo" dx="39" fmlaLink="Data_selected_by_user_testing!$B$61" fmlaRange="Data_selected_by_user_testing!$C$62:$C$69" noThreeD="1" sel="4" val="0"/>
</file>

<file path=xl/ctrlProps/ctrlProp8.xml><?xml version="1.0" encoding="utf-8"?>
<formControlPr xmlns="http://schemas.microsoft.com/office/spreadsheetml/2009/9/main" objectType="Drop" dropStyle="combo" dx="39" fmlaLink="Data_selected_by_user_testing!$B$73" fmlaRange="Data_selected_by_user_testing!$C$74:$C$81" noThreeD="1" sel="4" val="0"/>
</file>

<file path=xl/ctrlProps/ctrlProp9.xml><?xml version="1.0" encoding="utf-8"?>
<formControlPr xmlns="http://schemas.microsoft.com/office/spreadsheetml/2009/9/main" objectType="Drop" dropStyle="combo" dx="39" fmlaLink="Data_selected_by_user_testing!$B$87" fmlaRange="Data_selected_by_user_testing!$C$88:$C$93" noThreeD="1" sel="3"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60.xml"/><Relationship Id="rId13" Type="http://schemas.openxmlformats.org/officeDocument/2006/relationships/chart" Target="../charts/chart65.xml"/><Relationship Id="rId18" Type="http://schemas.openxmlformats.org/officeDocument/2006/relationships/chart" Target="../charts/chart70.xml"/><Relationship Id="rId3" Type="http://schemas.openxmlformats.org/officeDocument/2006/relationships/chart" Target="../charts/chart55.xml"/><Relationship Id="rId21" Type="http://schemas.openxmlformats.org/officeDocument/2006/relationships/chart" Target="../charts/chart73.xml"/><Relationship Id="rId7" Type="http://schemas.openxmlformats.org/officeDocument/2006/relationships/chart" Target="../charts/chart59.xml"/><Relationship Id="rId12" Type="http://schemas.openxmlformats.org/officeDocument/2006/relationships/chart" Target="../charts/chart64.xml"/><Relationship Id="rId17" Type="http://schemas.openxmlformats.org/officeDocument/2006/relationships/chart" Target="../charts/chart69.xml"/><Relationship Id="rId25" Type="http://schemas.openxmlformats.org/officeDocument/2006/relationships/chart" Target="../charts/chart77.xml"/><Relationship Id="rId2" Type="http://schemas.openxmlformats.org/officeDocument/2006/relationships/chart" Target="../charts/chart54.xml"/><Relationship Id="rId16" Type="http://schemas.openxmlformats.org/officeDocument/2006/relationships/chart" Target="../charts/chart68.xml"/><Relationship Id="rId20" Type="http://schemas.openxmlformats.org/officeDocument/2006/relationships/chart" Target="../charts/chart72.xml"/><Relationship Id="rId1" Type="http://schemas.openxmlformats.org/officeDocument/2006/relationships/chart" Target="../charts/chart53.xml"/><Relationship Id="rId6" Type="http://schemas.openxmlformats.org/officeDocument/2006/relationships/chart" Target="../charts/chart58.xml"/><Relationship Id="rId11" Type="http://schemas.openxmlformats.org/officeDocument/2006/relationships/chart" Target="../charts/chart63.xml"/><Relationship Id="rId24" Type="http://schemas.openxmlformats.org/officeDocument/2006/relationships/chart" Target="../charts/chart76.xml"/><Relationship Id="rId5" Type="http://schemas.openxmlformats.org/officeDocument/2006/relationships/chart" Target="../charts/chart57.xml"/><Relationship Id="rId15" Type="http://schemas.openxmlformats.org/officeDocument/2006/relationships/chart" Target="../charts/chart67.xml"/><Relationship Id="rId23" Type="http://schemas.openxmlformats.org/officeDocument/2006/relationships/chart" Target="../charts/chart75.xml"/><Relationship Id="rId10" Type="http://schemas.openxmlformats.org/officeDocument/2006/relationships/chart" Target="../charts/chart62.xml"/><Relationship Id="rId19" Type="http://schemas.openxmlformats.org/officeDocument/2006/relationships/chart" Target="../charts/chart71.xml"/><Relationship Id="rId4" Type="http://schemas.openxmlformats.org/officeDocument/2006/relationships/chart" Target="../charts/chart56.xml"/><Relationship Id="rId9" Type="http://schemas.openxmlformats.org/officeDocument/2006/relationships/chart" Target="../charts/chart61.xml"/><Relationship Id="rId14" Type="http://schemas.openxmlformats.org/officeDocument/2006/relationships/chart" Target="../charts/chart66.xml"/><Relationship Id="rId22" Type="http://schemas.openxmlformats.org/officeDocument/2006/relationships/chart" Target="../charts/chart7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4" Type="http://schemas.openxmlformats.org/officeDocument/2006/relationships/chart" Target="../charts/chart9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6.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editAs="oneCell">
    <xdr:from>
      <xdr:col>0</xdr:col>
      <xdr:colOff>285750</xdr:colOff>
      <xdr:row>6</xdr:row>
      <xdr:rowOff>123825</xdr:rowOff>
    </xdr:from>
    <xdr:to>
      <xdr:col>3</xdr:col>
      <xdr:colOff>538480</xdr:colOff>
      <xdr:row>12</xdr:row>
      <xdr:rowOff>20955</xdr:rowOff>
    </xdr:to>
    <xdr:pic>
      <xdr:nvPicPr>
        <xdr:cNvPr id="5" name="Picture 4" descr="Department for Education" title="Logo"/>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62050"/>
          <a:ext cx="1471930" cy="8686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614363</xdr:colOff>
      <xdr:row>102</xdr:row>
      <xdr:rowOff>38100</xdr:rowOff>
    </xdr:from>
    <xdr:to>
      <xdr:col>13</xdr:col>
      <xdr:colOff>0</xdr:colOff>
      <xdr:row>133</xdr:row>
      <xdr:rowOff>123825</xdr:rowOff>
    </xdr:to>
    <xdr:graphicFrame macro="">
      <xdr:nvGraphicFramePr>
        <xdr:cNvPr id="128389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102</xdr:row>
      <xdr:rowOff>38100</xdr:rowOff>
    </xdr:from>
    <xdr:to>
      <xdr:col>22</xdr:col>
      <xdr:colOff>714375</xdr:colOff>
      <xdr:row>133</xdr:row>
      <xdr:rowOff>123825</xdr:rowOff>
    </xdr:to>
    <xdr:graphicFrame macro="">
      <xdr:nvGraphicFramePr>
        <xdr:cNvPr id="128389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585108</xdr:colOff>
      <xdr:row>39</xdr:row>
      <xdr:rowOff>160566</xdr:rowOff>
    </xdr:from>
    <xdr:to>
      <xdr:col>9</xdr:col>
      <xdr:colOff>153082</xdr:colOff>
      <xdr:row>68</xdr:row>
      <xdr:rowOff>2042</xdr:rowOff>
    </xdr:to>
    <xdr:graphicFrame macro="">
      <xdr:nvGraphicFramePr>
        <xdr:cNvPr id="12317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304800</xdr:colOff>
      <xdr:row>12</xdr:row>
      <xdr:rowOff>19050</xdr:rowOff>
    </xdr:from>
    <xdr:to>
      <xdr:col>22</xdr:col>
      <xdr:colOff>161925</xdr:colOff>
      <xdr:row>34</xdr:row>
      <xdr:rowOff>85725</xdr:rowOff>
    </xdr:to>
    <xdr:graphicFrame macro="">
      <xdr:nvGraphicFramePr>
        <xdr:cNvPr id="12324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171450</xdr:colOff>
      <xdr:row>12</xdr:row>
      <xdr:rowOff>19050</xdr:rowOff>
    </xdr:from>
    <xdr:to>
      <xdr:col>31</xdr:col>
      <xdr:colOff>528638</xdr:colOff>
      <xdr:row>34</xdr:row>
      <xdr:rowOff>85725</xdr:rowOff>
    </xdr:to>
    <xdr:graphicFrame macro="">
      <xdr:nvGraphicFramePr>
        <xdr:cNvPr id="123248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13</xdr:row>
      <xdr:rowOff>0</xdr:rowOff>
    </xdr:from>
    <xdr:to>
      <xdr:col>24</xdr:col>
      <xdr:colOff>352424</xdr:colOff>
      <xdr:row>36</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352425</xdr:colOff>
      <xdr:row>13</xdr:row>
      <xdr:rowOff>0</xdr:rowOff>
    </xdr:from>
    <xdr:to>
      <xdr:col>34</xdr:col>
      <xdr:colOff>57151</xdr:colOff>
      <xdr:row>36</xdr:row>
      <xdr:rowOff>71437</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633413</xdr:colOff>
      <xdr:row>36</xdr:row>
      <xdr:rowOff>19050</xdr:rowOff>
    </xdr:from>
    <xdr:to>
      <xdr:col>6</xdr:col>
      <xdr:colOff>438150</xdr:colOff>
      <xdr:row>55</xdr:row>
      <xdr:rowOff>0</xdr:rowOff>
    </xdr:to>
    <xdr:graphicFrame macro="">
      <xdr:nvGraphicFramePr>
        <xdr:cNvPr id="123299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36</xdr:row>
      <xdr:rowOff>19050</xdr:rowOff>
    </xdr:from>
    <xdr:to>
      <xdr:col>14</xdr:col>
      <xdr:colOff>304800</xdr:colOff>
      <xdr:row>55</xdr:row>
      <xdr:rowOff>9525</xdr:rowOff>
    </xdr:to>
    <xdr:graphicFrame macro="">
      <xdr:nvGraphicFramePr>
        <xdr:cNvPr id="123299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0</xdr:rowOff>
    </xdr:from>
    <xdr:to>
      <xdr:col>6</xdr:col>
      <xdr:colOff>438150</xdr:colOff>
      <xdr:row>74</xdr:row>
      <xdr:rowOff>0</xdr:rowOff>
    </xdr:to>
    <xdr:graphicFrame macro="">
      <xdr:nvGraphicFramePr>
        <xdr:cNvPr id="12329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438150</xdr:colOff>
      <xdr:row>55</xdr:row>
      <xdr:rowOff>0</xdr:rowOff>
    </xdr:from>
    <xdr:to>
      <xdr:col>14</xdr:col>
      <xdr:colOff>304800</xdr:colOff>
      <xdr:row>74</xdr:row>
      <xdr:rowOff>0</xdr:rowOff>
    </xdr:to>
    <xdr:graphicFrame macro="">
      <xdr:nvGraphicFramePr>
        <xdr:cNvPr id="123299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179785</xdr:colOff>
      <xdr:row>12</xdr:row>
      <xdr:rowOff>51196</xdr:rowOff>
    </xdr:from>
    <xdr:to>
      <xdr:col>25</xdr:col>
      <xdr:colOff>358378</xdr:colOff>
      <xdr:row>39</xdr:row>
      <xdr:rowOff>63103</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633413</xdr:colOff>
      <xdr:row>36</xdr:row>
      <xdr:rowOff>76200</xdr:rowOff>
    </xdr:from>
    <xdr:to>
      <xdr:col>7</xdr:col>
      <xdr:colOff>9525</xdr:colOff>
      <xdr:row>55</xdr:row>
      <xdr:rowOff>104775</xdr:rowOff>
    </xdr:to>
    <xdr:graphicFrame macro="">
      <xdr:nvGraphicFramePr>
        <xdr:cNvPr id="12337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36</xdr:row>
      <xdr:rowOff>76200</xdr:rowOff>
    </xdr:from>
    <xdr:to>
      <xdr:col>15</xdr:col>
      <xdr:colOff>123825</xdr:colOff>
      <xdr:row>55</xdr:row>
      <xdr:rowOff>114300</xdr:rowOff>
    </xdr:to>
    <xdr:graphicFrame macro="">
      <xdr:nvGraphicFramePr>
        <xdr:cNvPr id="12337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55</xdr:row>
      <xdr:rowOff>104775</xdr:rowOff>
    </xdr:from>
    <xdr:to>
      <xdr:col>7</xdr:col>
      <xdr:colOff>9525</xdr:colOff>
      <xdr:row>74</xdr:row>
      <xdr:rowOff>133350</xdr:rowOff>
    </xdr:to>
    <xdr:graphicFrame macro="">
      <xdr:nvGraphicFramePr>
        <xdr:cNvPr id="123371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55</xdr:row>
      <xdr:rowOff>104775</xdr:rowOff>
    </xdr:from>
    <xdr:to>
      <xdr:col>15</xdr:col>
      <xdr:colOff>123825</xdr:colOff>
      <xdr:row>74</xdr:row>
      <xdr:rowOff>133350</xdr:rowOff>
    </xdr:to>
    <xdr:graphicFrame macro="">
      <xdr:nvGraphicFramePr>
        <xdr:cNvPr id="123371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638175</xdr:colOff>
      <xdr:row>36</xdr:row>
      <xdr:rowOff>95250</xdr:rowOff>
    </xdr:from>
    <xdr:to>
      <xdr:col>6</xdr:col>
      <xdr:colOff>471488</xdr:colOff>
      <xdr:row>53</xdr:row>
      <xdr:rowOff>85725</xdr:rowOff>
    </xdr:to>
    <xdr:graphicFrame macro="">
      <xdr:nvGraphicFramePr>
        <xdr:cNvPr id="1340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471488</xdr:colOff>
      <xdr:row>36</xdr:row>
      <xdr:rowOff>95250</xdr:rowOff>
    </xdr:from>
    <xdr:to>
      <xdr:col>14</xdr:col>
      <xdr:colOff>414338</xdr:colOff>
      <xdr:row>53</xdr:row>
      <xdr:rowOff>95250</xdr:rowOff>
    </xdr:to>
    <xdr:graphicFrame macro="">
      <xdr:nvGraphicFramePr>
        <xdr:cNvPr id="13405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638175</xdr:colOff>
      <xdr:row>53</xdr:row>
      <xdr:rowOff>85725</xdr:rowOff>
    </xdr:from>
    <xdr:to>
      <xdr:col>6</xdr:col>
      <xdr:colOff>481013</xdr:colOff>
      <xdr:row>70</xdr:row>
      <xdr:rowOff>85725</xdr:rowOff>
    </xdr:to>
    <xdr:graphicFrame macro="">
      <xdr:nvGraphicFramePr>
        <xdr:cNvPr id="13405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471488</xdr:colOff>
      <xdr:row>53</xdr:row>
      <xdr:rowOff>85725</xdr:rowOff>
    </xdr:from>
    <xdr:to>
      <xdr:col>14</xdr:col>
      <xdr:colOff>414338</xdr:colOff>
      <xdr:row>70</xdr:row>
      <xdr:rowOff>85725</xdr:rowOff>
    </xdr:to>
    <xdr:graphicFrame macro="">
      <xdr:nvGraphicFramePr>
        <xdr:cNvPr id="13405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633413</xdr:colOff>
      <xdr:row>35</xdr:row>
      <xdr:rowOff>142875</xdr:rowOff>
    </xdr:from>
    <xdr:to>
      <xdr:col>6</xdr:col>
      <xdr:colOff>400050</xdr:colOff>
      <xdr:row>57</xdr:row>
      <xdr:rowOff>66675</xdr:rowOff>
    </xdr:to>
    <xdr:graphicFrame macro="">
      <xdr:nvGraphicFramePr>
        <xdr:cNvPr id="134062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35</xdr:row>
      <xdr:rowOff>142875</xdr:rowOff>
    </xdr:from>
    <xdr:to>
      <xdr:col>14</xdr:col>
      <xdr:colOff>223838</xdr:colOff>
      <xdr:row>57</xdr:row>
      <xdr:rowOff>76200</xdr:rowOff>
    </xdr:to>
    <xdr:graphicFrame macro="">
      <xdr:nvGraphicFramePr>
        <xdr:cNvPr id="134062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57</xdr:row>
      <xdr:rowOff>66675</xdr:rowOff>
    </xdr:from>
    <xdr:to>
      <xdr:col>6</xdr:col>
      <xdr:colOff>400050</xdr:colOff>
      <xdr:row>77</xdr:row>
      <xdr:rowOff>152400</xdr:rowOff>
    </xdr:to>
    <xdr:graphicFrame macro="">
      <xdr:nvGraphicFramePr>
        <xdr:cNvPr id="134062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400050</xdr:colOff>
      <xdr:row>57</xdr:row>
      <xdr:rowOff>66675</xdr:rowOff>
    </xdr:from>
    <xdr:to>
      <xdr:col>14</xdr:col>
      <xdr:colOff>223838</xdr:colOff>
      <xdr:row>77</xdr:row>
      <xdr:rowOff>152400</xdr:rowOff>
    </xdr:to>
    <xdr:graphicFrame macro="">
      <xdr:nvGraphicFramePr>
        <xdr:cNvPr id="13406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29</xdr:row>
      <xdr:rowOff>0</xdr:rowOff>
    </xdr:from>
    <xdr:to>
      <xdr:col>10</xdr:col>
      <xdr:colOff>0</xdr:colOff>
      <xdr:row>47</xdr:row>
      <xdr:rowOff>142875</xdr:rowOff>
    </xdr:to>
    <xdr:graphicFrame macro="">
      <xdr:nvGraphicFramePr>
        <xdr:cNvPr id="123709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9525</xdr:rowOff>
    </xdr:from>
    <xdr:to>
      <xdr:col>10</xdr:col>
      <xdr:colOff>0</xdr:colOff>
      <xdr:row>81</xdr:row>
      <xdr:rowOff>85725</xdr:rowOff>
    </xdr:to>
    <xdr:graphicFrame macro="">
      <xdr:nvGraphicFramePr>
        <xdr:cNvPr id="123709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61</xdr:row>
      <xdr:rowOff>9525</xdr:rowOff>
    </xdr:from>
    <xdr:to>
      <xdr:col>17</xdr:col>
      <xdr:colOff>676275</xdr:colOff>
      <xdr:row>81</xdr:row>
      <xdr:rowOff>85725</xdr:rowOff>
    </xdr:to>
    <xdr:graphicFrame macro="">
      <xdr:nvGraphicFramePr>
        <xdr:cNvPr id="123709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93</xdr:row>
      <xdr:rowOff>47625</xdr:rowOff>
    </xdr:from>
    <xdr:to>
      <xdr:col>10</xdr:col>
      <xdr:colOff>0</xdr:colOff>
      <xdr:row>112</xdr:row>
      <xdr:rowOff>142875</xdr:rowOff>
    </xdr:to>
    <xdr:graphicFrame macro="">
      <xdr:nvGraphicFramePr>
        <xdr:cNvPr id="123709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2428875</xdr:colOff>
      <xdr:row>124</xdr:row>
      <xdr:rowOff>28575</xdr:rowOff>
    </xdr:from>
    <xdr:to>
      <xdr:col>10</xdr:col>
      <xdr:colOff>0</xdr:colOff>
      <xdr:row>145</xdr:row>
      <xdr:rowOff>142875</xdr:rowOff>
    </xdr:to>
    <xdr:graphicFrame macro="">
      <xdr:nvGraphicFramePr>
        <xdr:cNvPr id="1237097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xdr:colOff>
      <xdr:row>155</xdr:row>
      <xdr:rowOff>28575</xdr:rowOff>
    </xdr:from>
    <xdr:to>
      <xdr:col>9</xdr:col>
      <xdr:colOff>685800</xdr:colOff>
      <xdr:row>175</xdr:row>
      <xdr:rowOff>19050</xdr:rowOff>
    </xdr:to>
    <xdr:graphicFrame macro="">
      <xdr:nvGraphicFramePr>
        <xdr:cNvPr id="1237097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184</xdr:row>
      <xdr:rowOff>0</xdr:rowOff>
    </xdr:from>
    <xdr:to>
      <xdr:col>9</xdr:col>
      <xdr:colOff>685800</xdr:colOff>
      <xdr:row>204</xdr:row>
      <xdr:rowOff>9525</xdr:rowOff>
    </xdr:to>
    <xdr:graphicFrame macro="">
      <xdr:nvGraphicFramePr>
        <xdr:cNvPr id="1237097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214</xdr:row>
      <xdr:rowOff>0</xdr:rowOff>
    </xdr:from>
    <xdr:to>
      <xdr:col>9</xdr:col>
      <xdr:colOff>685800</xdr:colOff>
      <xdr:row>234</xdr:row>
      <xdr:rowOff>0</xdr:rowOff>
    </xdr:to>
    <xdr:graphicFrame macro="">
      <xdr:nvGraphicFramePr>
        <xdr:cNvPr id="1237097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243</xdr:row>
      <xdr:rowOff>0</xdr:rowOff>
    </xdr:from>
    <xdr:to>
      <xdr:col>9</xdr:col>
      <xdr:colOff>685800</xdr:colOff>
      <xdr:row>263</xdr:row>
      <xdr:rowOff>9525</xdr:rowOff>
    </xdr:to>
    <xdr:graphicFrame macro="">
      <xdr:nvGraphicFramePr>
        <xdr:cNvPr id="1237097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331</xdr:row>
      <xdr:rowOff>0</xdr:rowOff>
    </xdr:from>
    <xdr:to>
      <xdr:col>9</xdr:col>
      <xdr:colOff>685800</xdr:colOff>
      <xdr:row>351</xdr:row>
      <xdr:rowOff>0</xdr:rowOff>
    </xdr:to>
    <xdr:graphicFrame macro="">
      <xdr:nvGraphicFramePr>
        <xdr:cNvPr id="1237097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360</xdr:row>
      <xdr:rowOff>0</xdr:rowOff>
    </xdr:from>
    <xdr:to>
      <xdr:col>9</xdr:col>
      <xdr:colOff>685800</xdr:colOff>
      <xdr:row>380</xdr:row>
      <xdr:rowOff>9525</xdr:rowOff>
    </xdr:to>
    <xdr:graphicFrame macro="">
      <xdr:nvGraphicFramePr>
        <xdr:cNvPr id="1237098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389</xdr:row>
      <xdr:rowOff>0</xdr:rowOff>
    </xdr:from>
    <xdr:to>
      <xdr:col>10</xdr:col>
      <xdr:colOff>0</xdr:colOff>
      <xdr:row>409</xdr:row>
      <xdr:rowOff>0</xdr:rowOff>
    </xdr:to>
    <xdr:graphicFrame macro="">
      <xdr:nvGraphicFramePr>
        <xdr:cNvPr id="1237098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418</xdr:row>
      <xdr:rowOff>0</xdr:rowOff>
    </xdr:from>
    <xdr:to>
      <xdr:col>10</xdr:col>
      <xdr:colOff>0</xdr:colOff>
      <xdr:row>438</xdr:row>
      <xdr:rowOff>0</xdr:rowOff>
    </xdr:to>
    <xdr:graphicFrame macro="">
      <xdr:nvGraphicFramePr>
        <xdr:cNvPr id="1237098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447</xdr:row>
      <xdr:rowOff>0</xdr:rowOff>
    </xdr:from>
    <xdr:to>
      <xdr:col>10</xdr:col>
      <xdr:colOff>9525</xdr:colOff>
      <xdr:row>467</xdr:row>
      <xdr:rowOff>0</xdr:rowOff>
    </xdr:to>
    <xdr:graphicFrame macro="">
      <xdr:nvGraphicFramePr>
        <xdr:cNvPr id="1237098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484</xdr:row>
      <xdr:rowOff>0</xdr:rowOff>
    </xdr:from>
    <xdr:to>
      <xdr:col>9</xdr:col>
      <xdr:colOff>685800</xdr:colOff>
      <xdr:row>504</xdr:row>
      <xdr:rowOff>19050</xdr:rowOff>
    </xdr:to>
    <xdr:graphicFrame macro="">
      <xdr:nvGraphicFramePr>
        <xdr:cNvPr id="1237098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2428875</xdr:colOff>
      <xdr:row>531</xdr:row>
      <xdr:rowOff>28575</xdr:rowOff>
    </xdr:from>
    <xdr:to>
      <xdr:col>10</xdr:col>
      <xdr:colOff>9525</xdr:colOff>
      <xdr:row>551</xdr:row>
      <xdr:rowOff>114300</xdr:rowOff>
    </xdr:to>
    <xdr:graphicFrame macro="">
      <xdr:nvGraphicFramePr>
        <xdr:cNvPr id="123709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531</xdr:row>
      <xdr:rowOff>28575</xdr:rowOff>
    </xdr:from>
    <xdr:to>
      <xdr:col>19</xdr:col>
      <xdr:colOff>19050</xdr:colOff>
      <xdr:row>551</xdr:row>
      <xdr:rowOff>114300</xdr:rowOff>
    </xdr:to>
    <xdr:graphicFrame macro="">
      <xdr:nvGraphicFramePr>
        <xdr:cNvPr id="1237098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11179</xdr:colOff>
      <xdr:row>589</xdr:row>
      <xdr:rowOff>1</xdr:rowOff>
    </xdr:from>
    <xdr:to>
      <xdr:col>10</xdr:col>
      <xdr:colOff>11179</xdr:colOff>
      <xdr:row>609</xdr:row>
      <xdr:rowOff>85726</xdr:rowOff>
    </xdr:to>
    <xdr:graphicFrame macro="">
      <xdr:nvGraphicFramePr>
        <xdr:cNvPr id="1237098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589</xdr:row>
      <xdr:rowOff>0</xdr:rowOff>
    </xdr:from>
    <xdr:to>
      <xdr:col>18</xdr:col>
      <xdr:colOff>0</xdr:colOff>
      <xdr:row>609</xdr:row>
      <xdr:rowOff>85725</xdr:rowOff>
    </xdr:to>
    <xdr:graphicFrame macro="">
      <xdr:nvGraphicFramePr>
        <xdr:cNvPr id="1237098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627</xdr:row>
      <xdr:rowOff>38100</xdr:rowOff>
    </xdr:from>
    <xdr:to>
      <xdr:col>9</xdr:col>
      <xdr:colOff>676275</xdr:colOff>
      <xdr:row>646</xdr:row>
      <xdr:rowOff>47625</xdr:rowOff>
    </xdr:to>
    <xdr:graphicFrame macro="">
      <xdr:nvGraphicFramePr>
        <xdr:cNvPr id="123709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273</xdr:row>
      <xdr:rowOff>0</xdr:rowOff>
    </xdr:from>
    <xdr:to>
      <xdr:col>9</xdr:col>
      <xdr:colOff>685800</xdr:colOff>
      <xdr:row>293</xdr:row>
      <xdr:rowOff>0</xdr:rowOff>
    </xdr:to>
    <xdr:graphicFrame macro="">
      <xdr:nvGraphicFramePr>
        <xdr:cNvPr id="1237099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302</xdr:row>
      <xdr:rowOff>0</xdr:rowOff>
    </xdr:from>
    <xdr:to>
      <xdr:col>9</xdr:col>
      <xdr:colOff>685800</xdr:colOff>
      <xdr:row>322</xdr:row>
      <xdr:rowOff>9525</xdr:rowOff>
    </xdr:to>
    <xdr:graphicFrame macro="">
      <xdr:nvGraphicFramePr>
        <xdr:cNvPr id="1237099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676275</xdr:colOff>
      <xdr:row>627</xdr:row>
      <xdr:rowOff>38100</xdr:rowOff>
    </xdr:from>
    <xdr:to>
      <xdr:col>17</xdr:col>
      <xdr:colOff>666750</xdr:colOff>
      <xdr:row>646</xdr:row>
      <xdr:rowOff>47625</xdr:rowOff>
    </xdr:to>
    <xdr:graphicFrame macro="">
      <xdr:nvGraphicFramePr>
        <xdr:cNvPr id="123709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685800</xdr:colOff>
      <xdr:row>484</xdr:row>
      <xdr:rowOff>0</xdr:rowOff>
    </xdr:from>
    <xdr:to>
      <xdr:col>17</xdr:col>
      <xdr:colOff>523875</xdr:colOff>
      <xdr:row>504</xdr:row>
      <xdr:rowOff>19050</xdr:rowOff>
    </xdr:to>
    <xdr:graphicFrame macro="">
      <xdr:nvGraphicFramePr>
        <xdr:cNvPr id="123709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523875</xdr:colOff>
      <xdr:row>484</xdr:row>
      <xdr:rowOff>0</xdr:rowOff>
    </xdr:from>
    <xdr:to>
      <xdr:col>26</xdr:col>
      <xdr:colOff>466725</xdr:colOff>
      <xdr:row>504</xdr:row>
      <xdr:rowOff>19050</xdr:rowOff>
    </xdr:to>
    <xdr:graphicFrame macro="">
      <xdr:nvGraphicFramePr>
        <xdr:cNvPr id="1237099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542925</xdr:colOff>
      <xdr:row>42</xdr:row>
      <xdr:rowOff>95250</xdr:rowOff>
    </xdr:from>
    <xdr:to>
      <xdr:col>10</xdr:col>
      <xdr:colOff>161925</xdr:colOff>
      <xdr:row>74</xdr:row>
      <xdr:rowOff>57150</xdr:rowOff>
    </xdr:to>
    <xdr:graphicFrame macro="">
      <xdr:nvGraphicFramePr>
        <xdr:cNvPr id="123985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94</xdr:row>
      <xdr:rowOff>57150</xdr:rowOff>
    </xdr:from>
    <xdr:to>
      <xdr:col>8</xdr:col>
      <xdr:colOff>338138</xdr:colOff>
      <xdr:row>119</xdr:row>
      <xdr:rowOff>114300</xdr:rowOff>
    </xdr:to>
    <xdr:graphicFrame macro="">
      <xdr:nvGraphicFramePr>
        <xdr:cNvPr id="12398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42</xdr:row>
      <xdr:rowOff>95250</xdr:rowOff>
    </xdr:from>
    <xdr:to>
      <xdr:col>19</xdr:col>
      <xdr:colOff>890588</xdr:colOff>
      <xdr:row>74</xdr:row>
      <xdr:rowOff>57150</xdr:rowOff>
    </xdr:to>
    <xdr:graphicFrame macro="">
      <xdr:nvGraphicFramePr>
        <xdr:cNvPr id="123985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xdr:colOff>
      <xdr:row>6</xdr:row>
      <xdr:rowOff>41593</xdr:rowOff>
    </xdr:from>
    <xdr:to>
      <xdr:col>2</xdr:col>
      <xdr:colOff>442785</xdr:colOff>
      <xdr:row>7</xdr:row>
      <xdr:rowOff>144228</xdr:rowOff>
    </xdr:to>
    <xdr:sp macro="" textlink="">
      <xdr:nvSpPr>
        <xdr:cNvPr id="2" name="TextBox 158"/>
        <xdr:cNvSpPr txBox="1"/>
      </xdr:nvSpPr>
      <xdr:spPr>
        <a:xfrm>
          <a:off x="612775" y="1013143"/>
          <a:ext cx="1049210" cy="264560"/>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Input data</a:t>
          </a:r>
        </a:p>
      </xdr:txBody>
    </xdr:sp>
    <xdr:clientData/>
  </xdr:twoCellAnchor>
  <xdr:twoCellAnchor>
    <xdr:from>
      <xdr:col>1</xdr:col>
      <xdr:colOff>4082</xdr:colOff>
      <xdr:row>8</xdr:row>
      <xdr:rowOff>26671</xdr:rowOff>
    </xdr:from>
    <xdr:to>
      <xdr:col>2</xdr:col>
      <xdr:colOff>442033</xdr:colOff>
      <xdr:row>10</xdr:row>
      <xdr:rowOff>139607</xdr:rowOff>
    </xdr:to>
    <xdr:sp macro="" textlink="">
      <xdr:nvSpPr>
        <xdr:cNvPr id="3" name="TextBox 159"/>
        <xdr:cNvSpPr txBox="1"/>
      </xdr:nvSpPr>
      <xdr:spPr>
        <a:xfrm>
          <a:off x="613682" y="1322071"/>
          <a:ext cx="1047551" cy="436786"/>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Calculation sheet</a:t>
          </a:r>
        </a:p>
      </xdr:txBody>
    </xdr:sp>
    <xdr:clientData/>
  </xdr:twoCellAnchor>
  <xdr:twoCellAnchor>
    <xdr:from>
      <xdr:col>2</xdr:col>
      <xdr:colOff>479108</xdr:colOff>
      <xdr:row>8</xdr:row>
      <xdr:rowOff>31751</xdr:rowOff>
    </xdr:from>
    <xdr:to>
      <xdr:col>4</xdr:col>
      <xdr:colOff>294884</xdr:colOff>
      <xdr:row>9</xdr:row>
      <xdr:rowOff>134386</xdr:rowOff>
    </xdr:to>
    <xdr:sp macro="" textlink="">
      <xdr:nvSpPr>
        <xdr:cNvPr id="4" name="TextBox 160"/>
        <xdr:cNvSpPr txBox="1"/>
      </xdr:nvSpPr>
      <xdr:spPr>
        <a:xfrm>
          <a:off x="1698308" y="1327151"/>
          <a:ext cx="1034976" cy="26456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Output sheet</a:t>
          </a:r>
        </a:p>
      </xdr:txBody>
    </xdr:sp>
    <xdr:clientData/>
  </xdr:twoCellAnchor>
  <xdr:twoCellAnchor>
    <xdr:from>
      <xdr:col>1</xdr:col>
      <xdr:colOff>6350</xdr:colOff>
      <xdr:row>4</xdr:row>
      <xdr:rowOff>0</xdr:rowOff>
    </xdr:from>
    <xdr:to>
      <xdr:col>2</xdr:col>
      <xdr:colOff>117676</xdr:colOff>
      <xdr:row>6</xdr:row>
      <xdr:rowOff>18936</xdr:rowOff>
    </xdr:to>
    <xdr:sp macro="" textlink="">
      <xdr:nvSpPr>
        <xdr:cNvPr id="5" name="TextBox 161"/>
        <xdr:cNvSpPr txBox="1"/>
      </xdr:nvSpPr>
      <xdr:spPr>
        <a:xfrm>
          <a:off x="615950" y="647700"/>
          <a:ext cx="720926" cy="34278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1" u="sng"/>
            <a:t>Key</a:t>
          </a:r>
        </a:p>
      </xdr:txBody>
    </xdr:sp>
    <xdr:clientData/>
  </xdr:twoCellAnchor>
  <xdr:twoCellAnchor>
    <xdr:from>
      <xdr:col>2</xdr:col>
      <xdr:colOff>495301</xdr:colOff>
      <xdr:row>6</xdr:row>
      <xdr:rowOff>42545</xdr:rowOff>
    </xdr:from>
    <xdr:to>
      <xdr:col>4</xdr:col>
      <xdr:colOff>296894</xdr:colOff>
      <xdr:row>7</xdr:row>
      <xdr:rowOff>145180</xdr:rowOff>
    </xdr:to>
    <xdr:sp macro="" textlink="">
      <xdr:nvSpPr>
        <xdr:cNvPr id="6" name="TextBox 158"/>
        <xdr:cNvSpPr txBox="1"/>
      </xdr:nvSpPr>
      <xdr:spPr>
        <a:xfrm>
          <a:off x="1714501" y="1014095"/>
          <a:ext cx="1020793" cy="264560"/>
        </a:xfrm>
        <a:prstGeom prst="rect">
          <a:avLst/>
        </a:prstGeom>
        <a:solidFill>
          <a:srgbClr val="0070C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Admin/control</a:t>
          </a:r>
        </a:p>
      </xdr:txBody>
    </xdr:sp>
    <xdr:clientData/>
  </xdr:twoCellAnchor>
  <xdr:twoCellAnchor>
    <xdr:from>
      <xdr:col>0</xdr:col>
      <xdr:colOff>361951</xdr:colOff>
      <xdr:row>20</xdr:row>
      <xdr:rowOff>152400</xdr:rowOff>
    </xdr:from>
    <xdr:to>
      <xdr:col>1</xdr:col>
      <xdr:colOff>361951</xdr:colOff>
      <xdr:row>22</xdr:row>
      <xdr:rowOff>151715</xdr:rowOff>
    </xdr:to>
    <xdr:sp macro="" textlink="">
      <xdr:nvSpPr>
        <xdr:cNvPr id="7" name="TextBox 158"/>
        <xdr:cNvSpPr txBox="1"/>
      </xdr:nvSpPr>
      <xdr:spPr>
        <a:xfrm>
          <a:off x="361951" y="3390900"/>
          <a:ext cx="609600" cy="323165"/>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RAW DATA INPUTS</a:t>
          </a:r>
        </a:p>
      </xdr:txBody>
    </xdr:sp>
    <xdr:clientData/>
  </xdr:twoCellAnchor>
  <xdr:twoCellAnchor>
    <xdr:from>
      <xdr:col>1</xdr:col>
      <xdr:colOff>57151</xdr:colOff>
      <xdr:row>8</xdr:row>
      <xdr:rowOff>136871</xdr:rowOff>
    </xdr:from>
    <xdr:to>
      <xdr:col>9</xdr:col>
      <xdr:colOff>352426</xdr:colOff>
      <xdr:row>20</xdr:row>
      <xdr:rowOff>152400</xdr:rowOff>
    </xdr:to>
    <xdr:cxnSp macro="">
      <xdr:nvCxnSpPr>
        <xdr:cNvPr id="8" name="Straight Arrow Connector 7"/>
        <xdr:cNvCxnSpPr>
          <a:stCxn id="7" idx="0"/>
          <a:endCxn id="14" idx="1"/>
        </xdr:cNvCxnSpPr>
      </xdr:nvCxnSpPr>
      <xdr:spPr>
        <a:xfrm flipV="1">
          <a:off x="666751" y="1432271"/>
          <a:ext cx="5172075" cy="195862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428541</xdr:colOff>
      <xdr:row>19</xdr:row>
      <xdr:rowOff>44700</xdr:rowOff>
    </xdr:from>
    <xdr:to>
      <xdr:col>5</xdr:col>
      <xdr:colOff>57151</xdr:colOff>
      <xdr:row>19</xdr:row>
      <xdr:rowOff>87627</xdr:rowOff>
    </xdr:to>
    <xdr:cxnSp macro="">
      <xdr:nvCxnSpPr>
        <xdr:cNvPr id="9" name="Straight Arrow Connector 8"/>
        <xdr:cNvCxnSpPr>
          <a:stCxn id="15" idx="3"/>
          <a:endCxn id="35" idx="1"/>
        </xdr:cNvCxnSpPr>
      </xdr:nvCxnSpPr>
      <xdr:spPr>
        <a:xfrm flipV="1">
          <a:off x="2866941" y="3121275"/>
          <a:ext cx="238210" cy="4292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25</xdr:row>
      <xdr:rowOff>152400</xdr:rowOff>
    </xdr:from>
    <xdr:to>
      <xdr:col>12</xdr:col>
      <xdr:colOff>104776</xdr:colOff>
      <xdr:row>27</xdr:row>
      <xdr:rowOff>114300</xdr:rowOff>
    </xdr:to>
    <xdr:cxnSp macro="">
      <xdr:nvCxnSpPr>
        <xdr:cNvPr id="10" name="Straight Arrow Connector 9"/>
        <xdr:cNvCxnSpPr/>
      </xdr:nvCxnSpPr>
      <xdr:spPr>
        <a:xfrm flipH="1">
          <a:off x="5857875" y="4200525"/>
          <a:ext cx="1562101" cy="2857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57151</xdr:colOff>
      <xdr:row>22</xdr:row>
      <xdr:rowOff>151715</xdr:rowOff>
    </xdr:from>
    <xdr:to>
      <xdr:col>4</xdr:col>
      <xdr:colOff>76200</xdr:colOff>
      <xdr:row>42</xdr:row>
      <xdr:rowOff>133350</xdr:rowOff>
    </xdr:to>
    <xdr:cxnSp macro="">
      <xdr:nvCxnSpPr>
        <xdr:cNvPr id="11" name="Straight Arrow Connector 10"/>
        <xdr:cNvCxnSpPr>
          <a:stCxn id="7" idx="2"/>
        </xdr:cNvCxnSpPr>
      </xdr:nvCxnSpPr>
      <xdr:spPr>
        <a:xfrm>
          <a:off x="666751" y="3714065"/>
          <a:ext cx="1847849" cy="322013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361951</xdr:colOff>
      <xdr:row>21</xdr:row>
      <xdr:rowOff>152058</xdr:rowOff>
    </xdr:from>
    <xdr:to>
      <xdr:col>3</xdr:col>
      <xdr:colOff>285749</xdr:colOff>
      <xdr:row>23</xdr:row>
      <xdr:rowOff>48970</xdr:rowOff>
    </xdr:to>
    <xdr:cxnSp macro="">
      <xdr:nvCxnSpPr>
        <xdr:cNvPr id="12" name="Straight Arrow Connector 11"/>
        <xdr:cNvCxnSpPr>
          <a:stCxn id="7" idx="3"/>
          <a:endCxn id="16" idx="1"/>
        </xdr:cNvCxnSpPr>
      </xdr:nvCxnSpPr>
      <xdr:spPr>
        <a:xfrm>
          <a:off x="971551" y="3552483"/>
          <a:ext cx="1142998" cy="22076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19</xdr:row>
      <xdr:rowOff>87627</xdr:rowOff>
    </xdr:from>
    <xdr:to>
      <xdr:col>3</xdr:col>
      <xdr:colOff>238125</xdr:colOff>
      <xdr:row>21</xdr:row>
      <xdr:rowOff>28575</xdr:rowOff>
    </xdr:to>
    <xdr:cxnSp macro="">
      <xdr:nvCxnSpPr>
        <xdr:cNvPr id="13" name="Straight Arrow Connector 12"/>
        <xdr:cNvCxnSpPr>
          <a:endCxn id="15" idx="1"/>
        </xdr:cNvCxnSpPr>
      </xdr:nvCxnSpPr>
      <xdr:spPr>
        <a:xfrm flipV="1">
          <a:off x="981075" y="3164202"/>
          <a:ext cx="1085850" cy="2647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352426</xdr:colOff>
      <xdr:row>7</xdr:row>
      <xdr:rowOff>83821</xdr:rowOff>
    </xdr:from>
    <xdr:to>
      <xdr:col>10</xdr:col>
      <xdr:colOff>362017</xdr:colOff>
      <xdr:row>10</xdr:row>
      <xdr:rowOff>27996</xdr:rowOff>
    </xdr:to>
    <xdr:sp macro="" textlink="">
      <xdr:nvSpPr>
        <xdr:cNvPr id="14" name="TextBox 158"/>
        <xdr:cNvSpPr txBox="1"/>
      </xdr:nvSpPr>
      <xdr:spPr>
        <a:xfrm>
          <a:off x="5838826" y="1217296"/>
          <a:ext cx="619191" cy="429950"/>
        </a:xfrm>
        <a:prstGeom prst="rect">
          <a:avLst/>
        </a:prstGeom>
        <a:solidFill>
          <a:srgbClr val="0070C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USER TESTING TAB</a:t>
          </a:r>
        </a:p>
      </xdr:txBody>
    </xdr:sp>
    <xdr:clientData/>
  </xdr:twoCellAnchor>
  <xdr:twoCellAnchor>
    <xdr:from>
      <xdr:col>3</xdr:col>
      <xdr:colOff>238125</xdr:colOff>
      <xdr:row>17</xdr:row>
      <xdr:rowOff>140890</xdr:rowOff>
    </xdr:from>
    <xdr:to>
      <xdr:col>4</xdr:col>
      <xdr:colOff>428541</xdr:colOff>
      <xdr:row>21</xdr:row>
      <xdr:rowOff>34364</xdr:rowOff>
    </xdr:to>
    <xdr:sp macro="" textlink="">
      <xdr:nvSpPr>
        <xdr:cNvPr id="15" name="TextBox 158"/>
        <xdr:cNvSpPr txBox="1"/>
      </xdr:nvSpPr>
      <xdr:spPr>
        <a:xfrm>
          <a:off x="2066925" y="2893615"/>
          <a:ext cx="800016" cy="541174"/>
        </a:xfrm>
        <a:prstGeom prst="rect">
          <a:avLst/>
        </a:prstGeom>
        <a:solidFill>
          <a:srgbClr val="FF00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Calculation of primary and secondary retirement rates</a:t>
          </a:r>
        </a:p>
      </xdr:txBody>
    </xdr:sp>
    <xdr:clientData/>
  </xdr:twoCellAnchor>
  <xdr:twoCellAnchor>
    <xdr:from>
      <xdr:col>3</xdr:col>
      <xdr:colOff>285749</xdr:colOff>
      <xdr:row>21</xdr:row>
      <xdr:rowOff>76200</xdr:rowOff>
    </xdr:from>
    <xdr:to>
      <xdr:col>4</xdr:col>
      <xdr:colOff>466724</xdr:colOff>
      <xdr:row>25</xdr:row>
      <xdr:rowOff>21739</xdr:rowOff>
    </xdr:to>
    <xdr:sp macro="" textlink="">
      <xdr:nvSpPr>
        <xdr:cNvPr id="16" name="TextBox 158"/>
        <xdr:cNvSpPr txBox="1"/>
      </xdr:nvSpPr>
      <xdr:spPr>
        <a:xfrm>
          <a:off x="2114549" y="3476625"/>
          <a:ext cx="790575" cy="593239"/>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and secondary deaths</a:t>
          </a:r>
          <a:r>
            <a:rPr lang="en-GB" sz="800" baseline="0"/>
            <a:t> rates</a:t>
          </a:r>
          <a:endParaRPr lang="en-GB" sz="800"/>
        </a:p>
      </xdr:txBody>
    </xdr:sp>
    <xdr:clientData/>
  </xdr:twoCellAnchor>
  <xdr:twoCellAnchor>
    <xdr:from>
      <xdr:col>4</xdr:col>
      <xdr:colOff>57150</xdr:colOff>
      <xdr:row>42</xdr:row>
      <xdr:rowOff>135255</xdr:rowOff>
    </xdr:from>
    <xdr:to>
      <xdr:col>5</xdr:col>
      <xdr:colOff>238071</xdr:colOff>
      <xdr:row>44</xdr:row>
      <xdr:rowOff>134570</xdr:rowOff>
    </xdr:to>
    <xdr:sp macro="" textlink="">
      <xdr:nvSpPr>
        <xdr:cNvPr id="17" name="TextBox 158"/>
        <xdr:cNvSpPr txBox="1"/>
      </xdr:nvSpPr>
      <xdr:spPr>
        <a:xfrm>
          <a:off x="2495550" y="6936105"/>
          <a:ext cx="79052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Entrant age breakdowns</a:t>
          </a:r>
        </a:p>
      </xdr:txBody>
    </xdr:sp>
    <xdr:clientData/>
  </xdr:twoCellAnchor>
  <xdr:twoCellAnchor>
    <xdr:from>
      <xdr:col>8</xdr:col>
      <xdr:colOff>438150</xdr:colOff>
      <xdr:row>17</xdr:row>
      <xdr:rowOff>19050</xdr:rowOff>
    </xdr:from>
    <xdr:to>
      <xdr:col>10</xdr:col>
      <xdr:colOff>9525</xdr:colOff>
      <xdr:row>19</xdr:row>
      <xdr:rowOff>112504</xdr:rowOff>
    </xdr:to>
    <xdr:sp macro="" textlink="">
      <xdr:nvSpPr>
        <xdr:cNvPr id="18" name="TextBox 158"/>
        <xdr:cNvSpPr txBox="1"/>
      </xdr:nvSpPr>
      <xdr:spPr>
        <a:xfrm>
          <a:off x="5314950" y="2771775"/>
          <a:ext cx="790575" cy="417304"/>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mn-lt"/>
            </a:rPr>
            <a:t>Calculation of secondary teacher need</a:t>
          </a:r>
        </a:p>
      </xdr:txBody>
    </xdr:sp>
    <xdr:clientData/>
  </xdr:twoCellAnchor>
  <xdr:twoCellAnchor>
    <xdr:from>
      <xdr:col>7</xdr:col>
      <xdr:colOff>266700</xdr:colOff>
      <xdr:row>20</xdr:row>
      <xdr:rowOff>104775</xdr:rowOff>
    </xdr:from>
    <xdr:to>
      <xdr:col>8</xdr:col>
      <xdr:colOff>438213</xdr:colOff>
      <xdr:row>23</xdr:row>
      <xdr:rowOff>87013</xdr:rowOff>
    </xdr:to>
    <xdr:sp macro="" textlink="">
      <xdr:nvSpPr>
        <xdr:cNvPr id="19" name="TextBox 158"/>
        <xdr:cNvSpPr txBox="1"/>
      </xdr:nvSpPr>
      <xdr:spPr>
        <a:xfrm>
          <a:off x="4533900" y="3343275"/>
          <a:ext cx="781113" cy="468013"/>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teacher need</a:t>
          </a:r>
        </a:p>
      </xdr:txBody>
    </xdr:sp>
    <xdr:clientData/>
  </xdr:twoCellAnchor>
  <xdr:twoCellAnchor>
    <xdr:from>
      <xdr:col>5</xdr:col>
      <xdr:colOff>238071</xdr:colOff>
      <xdr:row>30</xdr:row>
      <xdr:rowOff>142875</xdr:rowOff>
    </xdr:from>
    <xdr:to>
      <xdr:col>8</xdr:col>
      <xdr:colOff>323850</xdr:colOff>
      <xdr:row>43</xdr:row>
      <xdr:rowOff>134913</xdr:rowOff>
    </xdr:to>
    <xdr:cxnSp macro="">
      <xdr:nvCxnSpPr>
        <xdr:cNvPr id="20" name="Straight Arrow Connector 19"/>
        <xdr:cNvCxnSpPr>
          <a:stCxn id="17" idx="3"/>
        </xdr:cNvCxnSpPr>
      </xdr:nvCxnSpPr>
      <xdr:spPr>
        <a:xfrm flipV="1">
          <a:off x="3286071" y="5000625"/>
          <a:ext cx="1914579" cy="20970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466724</xdr:colOff>
      <xdr:row>23</xdr:row>
      <xdr:rowOff>48970</xdr:rowOff>
    </xdr:from>
    <xdr:to>
      <xdr:col>8</xdr:col>
      <xdr:colOff>228600</xdr:colOff>
      <xdr:row>29</xdr:row>
      <xdr:rowOff>152400</xdr:rowOff>
    </xdr:to>
    <xdr:cxnSp macro="">
      <xdr:nvCxnSpPr>
        <xdr:cNvPr id="21" name="Straight Arrow Connector 20"/>
        <xdr:cNvCxnSpPr>
          <a:stCxn id="16" idx="3"/>
        </xdr:cNvCxnSpPr>
      </xdr:nvCxnSpPr>
      <xdr:spPr>
        <a:xfrm>
          <a:off x="2905124" y="3773245"/>
          <a:ext cx="2200276" cy="107498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438150</xdr:colOff>
      <xdr:row>20</xdr:row>
      <xdr:rowOff>95250</xdr:rowOff>
    </xdr:from>
    <xdr:to>
      <xdr:col>8</xdr:col>
      <xdr:colOff>228600</xdr:colOff>
      <xdr:row>27</xdr:row>
      <xdr:rowOff>28575</xdr:rowOff>
    </xdr:to>
    <xdr:cxnSp macro="">
      <xdr:nvCxnSpPr>
        <xdr:cNvPr id="22" name="Straight Arrow Connector 21"/>
        <xdr:cNvCxnSpPr/>
      </xdr:nvCxnSpPr>
      <xdr:spPr>
        <a:xfrm>
          <a:off x="2876550" y="3333750"/>
          <a:ext cx="2228850" cy="10668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438213</xdr:colOff>
      <xdr:row>22</xdr:row>
      <xdr:rowOff>14932</xdr:rowOff>
    </xdr:from>
    <xdr:to>
      <xdr:col>12</xdr:col>
      <xdr:colOff>114300</xdr:colOff>
      <xdr:row>25</xdr:row>
      <xdr:rowOff>33082</xdr:rowOff>
    </xdr:to>
    <xdr:cxnSp macro="">
      <xdr:nvCxnSpPr>
        <xdr:cNvPr id="23" name="Straight Arrow Connector 22"/>
        <xdr:cNvCxnSpPr>
          <a:stCxn id="19" idx="3"/>
          <a:endCxn id="28" idx="1"/>
        </xdr:cNvCxnSpPr>
      </xdr:nvCxnSpPr>
      <xdr:spPr>
        <a:xfrm>
          <a:off x="5315013" y="3577282"/>
          <a:ext cx="2114487" cy="5039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509588</xdr:colOff>
      <xdr:row>21</xdr:row>
      <xdr:rowOff>47625</xdr:rowOff>
    </xdr:from>
    <xdr:to>
      <xdr:col>12</xdr:col>
      <xdr:colOff>542925</xdr:colOff>
      <xdr:row>23</xdr:row>
      <xdr:rowOff>121920</xdr:rowOff>
    </xdr:to>
    <xdr:cxnSp macro="">
      <xdr:nvCxnSpPr>
        <xdr:cNvPr id="24" name="Straight Arrow Connector 23"/>
        <xdr:cNvCxnSpPr>
          <a:stCxn id="27" idx="2"/>
          <a:endCxn id="28" idx="0"/>
        </xdr:cNvCxnSpPr>
      </xdr:nvCxnSpPr>
      <xdr:spPr>
        <a:xfrm flipH="1">
          <a:off x="7824788" y="3448050"/>
          <a:ext cx="33337" cy="3981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19</xdr:row>
      <xdr:rowOff>38100</xdr:rowOff>
    </xdr:from>
    <xdr:to>
      <xdr:col>12</xdr:col>
      <xdr:colOff>152400</xdr:colOff>
      <xdr:row>19</xdr:row>
      <xdr:rowOff>147638</xdr:rowOff>
    </xdr:to>
    <xdr:cxnSp macro="">
      <xdr:nvCxnSpPr>
        <xdr:cNvPr id="25" name="Straight Arrow Connector 24"/>
        <xdr:cNvCxnSpPr>
          <a:endCxn id="27" idx="1"/>
        </xdr:cNvCxnSpPr>
      </xdr:nvCxnSpPr>
      <xdr:spPr>
        <a:xfrm>
          <a:off x="6115050" y="3114675"/>
          <a:ext cx="1352550" cy="10953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7</xdr:row>
      <xdr:rowOff>95250</xdr:rowOff>
    </xdr:from>
    <xdr:to>
      <xdr:col>19</xdr:col>
      <xdr:colOff>342900</xdr:colOff>
      <xdr:row>18</xdr:row>
      <xdr:rowOff>65777</xdr:rowOff>
    </xdr:to>
    <xdr:cxnSp macro="">
      <xdr:nvCxnSpPr>
        <xdr:cNvPr id="26" name="Straight Arrow Connector 25"/>
        <xdr:cNvCxnSpPr>
          <a:endCxn id="18" idx="3"/>
        </xdr:cNvCxnSpPr>
      </xdr:nvCxnSpPr>
      <xdr:spPr>
        <a:xfrm flipH="1">
          <a:off x="6105525" y="1228725"/>
          <a:ext cx="5819775" cy="175170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18</xdr:row>
      <xdr:rowOff>85725</xdr:rowOff>
    </xdr:from>
    <xdr:to>
      <xdr:col>13</xdr:col>
      <xdr:colOff>323850</xdr:colOff>
      <xdr:row>21</xdr:row>
      <xdr:rowOff>47625</xdr:rowOff>
    </xdr:to>
    <xdr:sp macro="" textlink="">
      <xdr:nvSpPr>
        <xdr:cNvPr id="27" name="TextBox 158"/>
        <xdr:cNvSpPr txBox="1">
          <a:spLocks noChangeArrowheads="1"/>
        </xdr:cNvSpPr>
      </xdr:nvSpPr>
      <xdr:spPr bwMode="auto">
        <a:xfrm>
          <a:off x="7467600" y="3000375"/>
          <a:ext cx="781050" cy="447675"/>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en-GB" sz="800" b="0" i="0" u="none" strike="noStrike" baseline="0">
              <a:solidFill>
                <a:srgbClr val="000000"/>
              </a:solidFill>
              <a:latin typeface="Calibri"/>
            </a:rPr>
            <a:t>Calculation of secondary teacher need by subject</a:t>
          </a:r>
        </a:p>
      </xdr:txBody>
    </xdr:sp>
    <xdr:clientData/>
  </xdr:twoCellAnchor>
  <xdr:twoCellAnchor>
    <xdr:from>
      <xdr:col>12</xdr:col>
      <xdr:colOff>114300</xdr:colOff>
      <xdr:row>23</xdr:row>
      <xdr:rowOff>121920</xdr:rowOff>
    </xdr:from>
    <xdr:to>
      <xdr:col>13</xdr:col>
      <xdr:colOff>295275</xdr:colOff>
      <xdr:row>26</xdr:row>
      <xdr:rowOff>106169</xdr:rowOff>
    </xdr:to>
    <xdr:sp macro="" textlink="">
      <xdr:nvSpPr>
        <xdr:cNvPr id="28" name="TextBox 158"/>
        <xdr:cNvSpPr txBox="1"/>
      </xdr:nvSpPr>
      <xdr:spPr>
        <a:xfrm>
          <a:off x="7429500" y="3846195"/>
          <a:ext cx="790575" cy="47002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Stock calculations and forecasts</a:t>
          </a:r>
        </a:p>
      </xdr:txBody>
    </xdr:sp>
    <xdr:clientData/>
  </xdr:twoCellAnchor>
  <xdr:twoCellAnchor>
    <xdr:from>
      <xdr:col>1</xdr:col>
      <xdr:colOff>285750</xdr:colOff>
      <xdr:row>22</xdr:row>
      <xdr:rowOff>152400</xdr:rowOff>
    </xdr:from>
    <xdr:to>
      <xdr:col>2</xdr:col>
      <xdr:colOff>285750</xdr:colOff>
      <xdr:row>27</xdr:row>
      <xdr:rowOff>66675</xdr:rowOff>
    </xdr:to>
    <xdr:cxnSp macro="">
      <xdr:nvCxnSpPr>
        <xdr:cNvPr id="29" name="Straight Arrow Connector 28"/>
        <xdr:cNvCxnSpPr/>
      </xdr:nvCxnSpPr>
      <xdr:spPr>
        <a:xfrm>
          <a:off x="895350" y="3714750"/>
          <a:ext cx="609600" cy="7239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285749</xdr:colOff>
      <xdr:row>27</xdr:row>
      <xdr:rowOff>80010</xdr:rowOff>
    </xdr:from>
    <xdr:to>
      <xdr:col>3</xdr:col>
      <xdr:colOff>466724</xdr:colOff>
      <xdr:row>31</xdr:row>
      <xdr:rowOff>5412</xdr:rowOff>
    </xdr:to>
    <xdr:sp macro="" textlink="">
      <xdr:nvSpPr>
        <xdr:cNvPr id="30" name="TextBox 158"/>
        <xdr:cNvSpPr txBox="1"/>
      </xdr:nvSpPr>
      <xdr:spPr>
        <a:xfrm>
          <a:off x="1504949" y="4451985"/>
          <a:ext cx="790575" cy="573102"/>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primary and</a:t>
          </a:r>
          <a:r>
            <a:rPr lang="en-GB" sz="800" baseline="0"/>
            <a:t> secondary wastage rates</a:t>
          </a:r>
          <a:endParaRPr lang="en-GB" sz="800"/>
        </a:p>
      </xdr:txBody>
    </xdr:sp>
    <xdr:clientData/>
  </xdr:twoCellAnchor>
  <xdr:twoCellAnchor>
    <xdr:from>
      <xdr:col>6</xdr:col>
      <xdr:colOff>481012</xdr:colOff>
      <xdr:row>43</xdr:row>
      <xdr:rowOff>127635</xdr:rowOff>
    </xdr:from>
    <xdr:to>
      <xdr:col>8</xdr:col>
      <xdr:colOff>48403</xdr:colOff>
      <xdr:row>47</xdr:row>
      <xdr:rowOff>104445</xdr:rowOff>
    </xdr:to>
    <xdr:sp macro="" textlink="">
      <xdr:nvSpPr>
        <xdr:cNvPr id="31" name="TextBox 158"/>
        <xdr:cNvSpPr txBox="1"/>
      </xdr:nvSpPr>
      <xdr:spPr>
        <a:xfrm>
          <a:off x="4138612" y="7090410"/>
          <a:ext cx="786591" cy="62451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Calculation of  projected primary and</a:t>
          </a:r>
          <a:r>
            <a:rPr lang="en-GB" sz="800" baseline="0"/>
            <a:t> secondary wastage rates</a:t>
          </a:r>
          <a:endParaRPr lang="en-GB" sz="800"/>
        </a:p>
      </xdr:txBody>
    </xdr:sp>
    <xdr:clientData/>
  </xdr:twoCellAnchor>
  <xdr:twoCellAnchor>
    <xdr:from>
      <xdr:col>8</xdr:col>
      <xdr:colOff>66676</xdr:colOff>
      <xdr:row>6</xdr:row>
      <xdr:rowOff>48989</xdr:rowOff>
    </xdr:from>
    <xdr:to>
      <xdr:col>20</xdr:col>
      <xdr:colOff>429679</xdr:colOff>
      <xdr:row>46</xdr:row>
      <xdr:rowOff>112394</xdr:rowOff>
    </xdr:to>
    <xdr:cxnSp macro="">
      <xdr:nvCxnSpPr>
        <xdr:cNvPr id="32" name="Straight Arrow Connector 128"/>
        <xdr:cNvCxnSpPr>
          <a:stCxn id="71" idx="3"/>
        </xdr:cNvCxnSpPr>
      </xdr:nvCxnSpPr>
      <xdr:spPr>
        <a:xfrm flipH="1">
          <a:off x="4943476" y="1020539"/>
          <a:ext cx="7678203" cy="6540405"/>
        </a:xfrm>
        <a:prstGeom prst="curvedConnector3">
          <a:avLst>
            <a:gd name="adj1" fmla="val -6401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71437</xdr:colOff>
      <xdr:row>31</xdr:row>
      <xdr:rowOff>5412</xdr:rowOff>
    </xdr:from>
    <xdr:to>
      <xdr:col>6</xdr:col>
      <xdr:colOff>481012</xdr:colOff>
      <xdr:row>45</xdr:row>
      <xdr:rowOff>116040</xdr:rowOff>
    </xdr:to>
    <xdr:cxnSp macro="">
      <xdr:nvCxnSpPr>
        <xdr:cNvPr id="33" name="Straight Arrow Connector 32"/>
        <xdr:cNvCxnSpPr>
          <a:stCxn id="30" idx="2"/>
          <a:endCxn id="31" idx="1"/>
        </xdr:cNvCxnSpPr>
      </xdr:nvCxnSpPr>
      <xdr:spPr>
        <a:xfrm>
          <a:off x="1900237" y="5025087"/>
          <a:ext cx="2238375" cy="23775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30</xdr:row>
      <xdr:rowOff>152419</xdr:rowOff>
    </xdr:from>
    <xdr:to>
      <xdr:col>9</xdr:col>
      <xdr:colOff>2026</xdr:colOff>
      <xdr:row>43</xdr:row>
      <xdr:rowOff>104775</xdr:rowOff>
    </xdr:to>
    <xdr:cxnSp macro="">
      <xdr:nvCxnSpPr>
        <xdr:cNvPr id="34" name="Straight Arrow Connector 33"/>
        <xdr:cNvCxnSpPr>
          <a:endCxn id="48" idx="2"/>
        </xdr:cNvCxnSpPr>
      </xdr:nvCxnSpPr>
      <xdr:spPr>
        <a:xfrm flipV="1">
          <a:off x="4743450" y="5010169"/>
          <a:ext cx="744976" cy="205738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57151</xdr:colOff>
      <xdr:row>18</xdr:row>
      <xdr:rowOff>41910</xdr:rowOff>
    </xdr:from>
    <xdr:to>
      <xdr:col>6</xdr:col>
      <xdr:colOff>238126</xdr:colOff>
      <xdr:row>20</xdr:row>
      <xdr:rowOff>47490</xdr:rowOff>
    </xdr:to>
    <xdr:sp macro="" textlink="">
      <xdr:nvSpPr>
        <xdr:cNvPr id="35" name="TextBox 158"/>
        <xdr:cNvSpPr txBox="1"/>
      </xdr:nvSpPr>
      <xdr:spPr>
        <a:xfrm>
          <a:off x="3105151" y="2956560"/>
          <a:ext cx="790575" cy="32943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Assumptions data</a:t>
          </a:r>
        </a:p>
      </xdr:txBody>
    </xdr:sp>
    <xdr:clientData/>
  </xdr:twoCellAnchor>
  <xdr:twoCellAnchor>
    <xdr:from>
      <xdr:col>8</xdr:col>
      <xdr:colOff>438150</xdr:colOff>
      <xdr:row>23</xdr:row>
      <xdr:rowOff>19050</xdr:rowOff>
    </xdr:from>
    <xdr:to>
      <xdr:col>14</xdr:col>
      <xdr:colOff>9525</xdr:colOff>
      <xdr:row>41</xdr:row>
      <xdr:rowOff>112410</xdr:rowOff>
    </xdr:to>
    <xdr:cxnSp macro="">
      <xdr:nvCxnSpPr>
        <xdr:cNvPr id="36" name="Straight Arrow Connector 35"/>
        <xdr:cNvCxnSpPr/>
      </xdr:nvCxnSpPr>
      <xdr:spPr>
        <a:xfrm flipH="1" flipV="1">
          <a:off x="5314950" y="3743325"/>
          <a:ext cx="3228975" cy="300801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223838</xdr:colOff>
      <xdr:row>19</xdr:row>
      <xdr:rowOff>112504</xdr:rowOff>
    </xdr:from>
    <xdr:to>
      <xdr:col>13</xdr:col>
      <xdr:colOff>488951</xdr:colOff>
      <xdr:row>38</xdr:row>
      <xdr:rowOff>81607</xdr:rowOff>
    </xdr:to>
    <xdr:cxnSp macro="">
      <xdr:nvCxnSpPr>
        <xdr:cNvPr id="37" name="Straight Arrow Connector 36"/>
        <xdr:cNvCxnSpPr>
          <a:stCxn id="52" idx="1"/>
          <a:endCxn id="18" idx="2"/>
        </xdr:cNvCxnSpPr>
      </xdr:nvCxnSpPr>
      <xdr:spPr>
        <a:xfrm flipH="1" flipV="1">
          <a:off x="5710238" y="3189079"/>
          <a:ext cx="2703513" cy="30456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304800</xdr:colOff>
      <xdr:row>21</xdr:row>
      <xdr:rowOff>47625</xdr:rowOff>
    </xdr:from>
    <xdr:to>
      <xdr:col>14</xdr:col>
      <xdr:colOff>262994</xdr:colOff>
      <xdr:row>37</xdr:row>
      <xdr:rowOff>9525</xdr:rowOff>
    </xdr:to>
    <xdr:cxnSp macro="">
      <xdr:nvCxnSpPr>
        <xdr:cNvPr id="38" name="Straight Arrow Connector 37"/>
        <xdr:cNvCxnSpPr>
          <a:stCxn id="52" idx="0"/>
        </xdr:cNvCxnSpPr>
      </xdr:nvCxnSpPr>
      <xdr:spPr>
        <a:xfrm flipH="1" flipV="1">
          <a:off x="8229600" y="3448050"/>
          <a:ext cx="567794" cy="25527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7</xdr:row>
      <xdr:rowOff>9525</xdr:rowOff>
    </xdr:from>
    <xdr:to>
      <xdr:col>19</xdr:col>
      <xdr:colOff>161926</xdr:colOff>
      <xdr:row>18</xdr:row>
      <xdr:rowOff>66675</xdr:rowOff>
    </xdr:to>
    <xdr:cxnSp macro="">
      <xdr:nvCxnSpPr>
        <xdr:cNvPr id="39" name="Straight Arrow Connector 38"/>
        <xdr:cNvCxnSpPr/>
      </xdr:nvCxnSpPr>
      <xdr:spPr>
        <a:xfrm flipH="1">
          <a:off x="3886200" y="1143000"/>
          <a:ext cx="7858126" cy="18383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485775</xdr:colOff>
      <xdr:row>20</xdr:row>
      <xdr:rowOff>66675</xdr:rowOff>
    </xdr:from>
    <xdr:to>
      <xdr:col>5</xdr:col>
      <xdr:colOff>257175</xdr:colOff>
      <xdr:row>22</xdr:row>
      <xdr:rowOff>66676</xdr:rowOff>
    </xdr:to>
    <xdr:cxnSp macro="">
      <xdr:nvCxnSpPr>
        <xdr:cNvPr id="40" name="Straight Arrow Connector 39"/>
        <xdr:cNvCxnSpPr/>
      </xdr:nvCxnSpPr>
      <xdr:spPr>
        <a:xfrm flipV="1">
          <a:off x="2924175" y="3305175"/>
          <a:ext cx="381000" cy="3238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457225</xdr:colOff>
      <xdr:row>20</xdr:row>
      <xdr:rowOff>47490</xdr:rowOff>
    </xdr:from>
    <xdr:to>
      <xdr:col>5</xdr:col>
      <xdr:colOff>452438</xdr:colOff>
      <xdr:row>42</xdr:row>
      <xdr:rowOff>135280</xdr:rowOff>
    </xdr:to>
    <xdr:cxnSp macro="">
      <xdr:nvCxnSpPr>
        <xdr:cNvPr id="41" name="Straight Arrow Connector 40"/>
        <xdr:cNvCxnSpPr>
          <a:stCxn id="17" idx="0"/>
          <a:endCxn id="35" idx="2"/>
        </xdr:cNvCxnSpPr>
      </xdr:nvCxnSpPr>
      <xdr:spPr>
        <a:xfrm flipV="1">
          <a:off x="2895625" y="3285990"/>
          <a:ext cx="604813" cy="365014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66676</xdr:colOff>
      <xdr:row>20</xdr:row>
      <xdr:rowOff>38100</xdr:rowOff>
    </xdr:from>
    <xdr:to>
      <xdr:col>7</xdr:col>
      <xdr:colOff>85725</xdr:colOff>
      <xdr:row>43</xdr:row>
      <xdr:rowOff>114300</xdr:rowOff>
    </xdr:to>
    <xdr:cxnSp macro="">
      <xdr:nvCxnSpPr>
        <xdr:cNvPr id="42" name="Straight Arrow Connector 41"/>
        <xdr:cNvCxnSpPr/>
      </xdr:nvCxnSpPr>
      <xdr:spPr>
        <a:xfrm flipH="1" flipV="1">
          <a:off x="3724276" y="3276600"/>
          <a:ext cx="628649" cy="38004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379334</xdr:colOff>
      <xdr:row>28</xdr:row>
      <xdr:rowOff>84782</xdr:rowOff>
    </xdr:from>
    <xdr:to>
      <xdr:col>14</xdr:col>
      <xdr:colOff>447887</xdr:colOff>
      <xdr:row>33</xdr:row>
      <xdr:rowOff>49829</xdr:rowOff>
    </xdr:to>
    <xdr:cxnSp macro="">
      <xdr:nvCxnSpPr>
        <xdr:cNvPr id="43" name="Straight Arrow Connector 42"/>
        <xdr:cNvCxnSpPr>
          <a:stCxn id="48" idx="3"/>
          <a:endCxn id="44" idx="1"/>
        </xdr:cNvCxnSpPr>
      </xdr:nvCxnSpPr>
      <xdr:spPr>
        <a:xfrm>
          <a:off x="5865734" y="4618682"/>
          <a:ext cx="3116553" cy="77467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447887</xdr:colOff>
      <xdr:row>31</xdr:row>
      <xdr:rowOff>13324</xdr:rowOff>
    </xdr:from>
    <xdr:to>
      <xdr:col>16</xdr:col>
      <xdr:colOff>133644</xdr:colOff>
      <xdr:row>35</xdr:row>
      <xdr:rowOff>86334</xdr:rowOff>
    </xdr:to>
    <xdr:sp macro="" textlink="">
      <xdr:nvSpPr>
        <xdr:cNvPr id="44" name="TextBox 158"/>
        <xdr:cNvSpPr txBox="1"/>
      </xdr:nvSpPr>
      <xdr:spPr>
        <a:xfrm>
          <a:off x="8982287" y="5032999"/>
          <a:ext cx="800182" cy="720710"/>
        </a:xfrm>
        <a:prstGeom prst="rect">
          <a:avLst/>
        </a:prstGeom>
        <a:solidFill>
          <a:srgbClr val="FFFF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OUTPUT TABS including teacher need, entrant need,</a:t>
          </a:r>
          <a:r>
            <a:rPr lang="en-GB" sz="800" baseline="0"/>
            <a:t> and assumed outflows over time</a:t>
          </a:r>
          <a:endParaRPr lang="en-GB" sz="800"/>
        </a:p>
      </xdr:txBody>
    </xdr:sp>
    <xdr:clientData/>
  </xdr:twoCellAnchor>
  <xdr:twoCellAnchor>
    <xdr:from>
      <xdr:col>9</xdr:col>
      <xdr:colOff>554356</xdr:colOff>
      <xdr:row>40</xdr:row>
      <xdr:rowOff>9742</xdr:rowOff>
    </xdr:from>
    <xdr:to>
      <xdr:col>11</xdr:col>
      <xdr:colOff>135302</xdr:colOff>
      <xdr:row>44</xdr:row>
      <xdr:rowOff>146872</xdr:rowOff>
    </xdr:to>
    <xdr:sp macro="" textlink="">
      <xdr:nvSpPr>
        <xdr:cNvPr id="45" name="TextBox 158"/>
        <xdr:cNvSpPr txBox="1"/>
      </xdr:nvSpPr>
      <xdr:spPr>
        <a:xfrm>
          <a:off x="6040756" y="6486742"/>
          <a:ext cx="800146" cy="78483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projected </a:t>
          </a:r>
          <a:r>
            <a:rPr lang="en-GB" sz="800" baseline="0"/>
            <a:t> secondary wastage rates for Group 1, 2, and 3 subjects</a:t>
          </a:r>
          <a:endParaRPr lang="en-GB" sz="800"/>
        </a:p>
      </xdr:txBody>
    </xdr:sp>
    <xdr:clientData/>
  </xdr:twoCellAnchor>
  <xdr:twoCellAnchor>
    <xdr:from>
      <xdr:col>8</xdr:col>
      <xdr:colOff>47875</xdr:colOff>
      <xdr:row>42</xdr:row>
      <xdr:rowOff>78307</xdr:rowOff>
    </xdr:from>
    <xdr:to>
      <xdr:col>9</xdr:col>
      <xdr:colOff>554340</xdr:colOff>
      <xdr:row>46</xdr:row>
      <xdr:rowOff>344</xdr:rowOff>
    </xdr:to>
    <xdr:cxnSp macro="">
      <xdr:nvCxnSpPr>
        <xdr:cNvPr id="46" name="Straight Arrow Connector 45"/>
        <xdr:cNvCxnSpPr>
          <a:stCxn id="31" idx="3"/>
          <a:endCxn id="45" idx="1"/>
        </xdr:cNvCxnSpPr>
      </xdr:nvCxnSpPr>
      <xdr:spPr>
        <a:xfrm flipV="1">
          <a:off x="4924675" y="6879157"/>
          <a:ext cx="1116065" cy="56973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295275</xdr:colOff>
      <xdr:row>31</xdr:row>
      <xdr:rowOff>0</xdr:rowOff>
    </xdr:from>
    <xdr:to>
      <xdr:col>10</xdr:col>
      <xdr:colOff>344829</xdr:colOff>
      <xdr:row>40</xdr:row>
      <xdr:rowOff>9742</xdr:rowOff>
    </xdr:to>
    <xdr:cxnSp macro="">
      <xdr:nvCxnSpPr>
        <xdr:cNvPr id="47" name="Straight Arrow Connector 46"/>
        <xdr:cNvCxnSpPr>
          <a:stCxn id="45" idx="0"/>
        </xdr:cNvCxnSpPr>
      </xdr:nvCxnSpPr>
      <xdr:spPr>
        <a:xfrm flipH="1" flipV="1">
          <a:off x="5781675" y="5019675"/>
          <a:ext cx="659154" cy="14670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234317</xdr:colOff>
      <xdr:row>26</xdr:row>
      <xdr:rowOff>17145</xdr:rowOff>
    </xdr:from>
    <xdr:to>
      <xdr:col>9</xdr:col>
      <xdr:colOff>379334</xdr:colOff>
      <xdr:row>30</xdr:row>
      <xdr:rowOff>152419</xdr:rowOff>
    </xdr:to>
    <xdr:sp macro="" textlink="">
      <xdr:nvSpPr>
        <xdr:cNvPr id="48" name="TextBox 158"/>
        <xdr:cNvSpPr txBox="1"/>
      </xdr:nvSpPr>
      <xdr:spPr>
        <a:xfrm>
          <a:off x="5111117" y="4227195"/>
          <a:ext cx="754617" cy="78297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Entrant teacher need calculation tabs (ONE</a:t>
          </a:r>
          <a:r>
            <a:rPr lang="en-GB" sz="800" baseline="0"/>
            <a:t> FOR EACH SUBJECT WITH A '1' IN THE TAB NAME)</a:t>
          </a:r>
          <a:endParaRPr lang="en-GB" sz="800"/>
        </a:p>
      </xdr:txBody>
    </xdr:sp>
    <xdr:clientData/>
  </xdr:twoCellAnchor>
  <xdr:twoCellAnchor>
    <xdr:from>
      <xdr:col>14</xdr:col>
      <xdr:colOff>515334</xdr:colOff>
      <xdr:row>26</xdr:row>
      <xdr:rowOff>3870</xdr:rowOff>
    </xdr:from>
    <xdr:to>
      <xdr:col>15</xdr:col>
      <xdr:colOff>238378</xdr:colOff>
      <xdr:row>31</xdr:row>
      <xdr:rowOff>13324</xdr:rowOff>
    </xdr:to>
    <xdr:cxnSp macro="">
      <xdr:nvCxnSpPr>
        <xdr:cNvPr id="49" name="Straight Arrow Connector 48"/>
        <xdr:cNvCxnSpPr>
          <a:stCxn id="44" idx="0"/>
          <a:endCxn id="50" idx="2"/>
        </xdr:cNvCxnSpPr>
      </xdr:nvCxnSpPr>
      <xdr:spPr>
        <a:xfrm flipH="1" flipV="1">
          <a:off x="9049734" y="4213920"/>
          <a:ext cx="332644" cy="8190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154305</xdr:colOff>
      <xdr:row>23</xdr:row>
      <xdr:rowOff>89535</xdr:rowOff>
    </xdr:from>
    <xdr:to>
      <xdr:col>15</xdr:col>
      <xdr:colOff>266762</xdr:colOff>
      <xdr:row>26</xdr:row>
      <xdr:rowOff>3870</xdr:rowOff>
    </xdr:to>
    <xdr:sp macro="" textlink="">
      <xdr:nvSpPr>
        <xdr:cNvPr id="50" name="TextBox 158"/>
        <xdr:cNvSpPr txBox="1"/>
      </xdr:nvSpPr>
      <xdr:spPr>
        <a:xfrm>
          <a:off x="8688705" y="3813810"/>
          <a:ext cx="722057" cy="40011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OUTPUTS FOR SECTION 2 OF MODEL</a:t>
          </a:r>
        </a:p>
      </xdr:txBody>
    </xdr:sp>
    <xdr:clientData/>
  </xdr:twoCellAnchor>
  <xdr:twoCellAnchor>
    <xdr:from>
      <xdr:col>14</xdr:col>
      <xdr:colOff>2527</xdr:colOff>
      <xdr:row>41</xdr:row>
      <xdr:rowOff>76411</xdr:rowOff>
    </xdr:from>
    <xdr:to>
      <xdr:col>15</xdr:col>
      <xdr:colOff>293942</xdr:colOff>
      <xdr:row>44</xdr:row>
      <xdr:rowOff>58649</xdr:rowOff>
    </xdr:to>
    <xdr:sp macro="" textlink="">
      <xdr:nvSpPr>
        <xdr:cNvPr id="51" name="TextBox 158"/>
        <xdr:cNvSpPr txBox="1"/>
      </xdr:nvSpPr>
      <xdr:spPr>
        <a:xfrm>
          <a:off x="8536927" y="6715336"/>
          <a:ext cx="901015"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(primary)</a:t>
          </a:r>
        </a:p>
      </xdr:txBody>
    </xdr:sp>
    <xdr:clientData/>
  </xdr:twoCellAnchor>
  <xdr:twoCellAnchor>
    <xdr:from>
      <xdr:col>13</xdr:col>
      <xdr:colOff>488951</xdr:colOff>
      <xdr:row>37</xdr:row>
      <xdr:rowOff>9525</xdr:rowOff>
    </xdr:from>
    <xdr:to>
      <xdr:col>15</xdr:col>
      <xdr:colOff>37037</xdr:colOff>
      <xdr:row>39</xdr:row>
      <xdr:rowOff>153688</xdr:rowOff>
    </xdr:to>
    <xdr:sp macro="" textlink="">
      <xdr:nvSpPr>
        <xdr:cNvPr id="52" name="TextBox 158"/>
        <xdr:cNvSpPr txBox="1"/>
      </xdr:nvSpPr>
      <xdr:spPr>
        <a:xfrm>
          <a:off x="8413751" y="6000750"/>
          <a:ext cx="767286"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(secondary)</a:t>
          </a:r>
        </a:p>
      </xdr:txBody>
    </xdr:sp>
    <xdr:clientData/>
  </xdr:twoCellAnchor>
  <xdr:twoCellAnchor>
    <xdr:from>
      <xdr:col>15</xdr:col>
      <xdr:colOff>257175</xdr:colOff>
      <xdr:row>21</xdr:row>
      <xdr:rowOff>95250</xdr:rowOff>
    </xdr:from>
    <xdr:to>
      <xdr:col>16</xdr:col>
      <xdr:colOff>390525</xdr:colOff>
      <xdr:row>23</xdr:row>
      <xdr:rowOff>104775</xdr:rowOff>
    </xdr:to>
    <xdr:cxnSp macro="">
      <xdr:nvCxnSpPr>
        <xdr:cNvPr id="53" name="Straight Arrow Connector 52"/>
        <xdr:cNvCxnSpPr/>
      </xdr:nvCxnSpPr>
      <xdr:spPr>
        <a:xfrm flipV="1">
          <a:off x="9401175" y="3495675"/>
          <a:ext cx="638175" cy="333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26</xdr:row>
      <xdr:rowOff>0</xdr:rowOff>
    </xdr:from>
    <xdr:to>
      <xdr:col>16</xdr:col>
      <xdr:colOff>485775</xdr:colOff>
      <xdr:row>30</xdr:row>
      <xdr:rowOff>66675</xdr:rowOff>
    </xdr:to>
    <xdr:cxnSp macro="">
      <xdr:nvCxnSpPr>
        <xdr:cNvPr id="54" name="Straight Arrow Connector 53"/>
        <xdr:cNvCxnSpPr/>
      </xdr:nvCxnSpPr>
      <xdr:spPr>
        <a:xfrm>
          <a:off x="9239250" y="4210050"/>
          <a:ext cx="895350" cy="714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266762</xdr:colOff>
      <xdr:row>24</xdr:row>
      <xdr:rowOff>127665</xdr:rowOff>
    </xdr:from>
    <xdr:to>
      <xdr:col>16</xdr:col>
      <xdr:colOff>352426</xdr:colOff>
      <xdr:row>27</xdr:row>
      <xdr:rowOff>131103</xdr:rowOff>
    </xdr:to>
    <xdr:cxnSp macro="">
      <xdr:nvCxnSpPr>
        <xdr:cNvPr id="55" name="Straight Arrow Connector 54"/>
        <xdr:cNvCxnSpPr>
          <a:stCxn id="50" idx="3"/>
          <a:endCxn id="69" idx="1"/>
        </xdr:cNvCxnSpPr>
      </xdr:nvCxnSpPr>
      <xdr:spPr>
        <a:xfrm>
          <a:off x="9410762" y="4013865"/>
          <a:ext cx="590489" cy="48921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172493</xdr:colOff>
      <xdr:row>16</xdr:row>
      <xdr:rowOff>126950</xdr:rowOff>
    </xdr:from>
    <xdr:to>
      <xdr:col>18</xdr:col>
      <xdr:colOff>552450</xdr:colOff>
      <xdr:row>26</xdr:row>
      <xdr:rowOff>142875</xdr:rowOff>
    </xdr:to>
    <xdr:cxnSp macro="">
      <xdr:nvCxnSpPr>
        <xdr:cNvPr id="56" name="Straight Arrow Connector 55"/>
        <xdr:cNvCxnSpPr>
          <a:stCxn id="67" idx="2"/>
        </xdr:cNvCxnSpPr>
      </xdr:nvCxnSpPr>
      <xdr:spPr>
        <a:xfrm>
          <a:off x="10535693" y="2717750"/>
          <a:ext cx="989557" cy="16351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17559</xdr:colOff>
      <xdr:row>21</xdr:row>
      <xdr:rowOff>90231</xdr:rowOff>
    </xdr:from>
    <xdr:to>
      <xdr:col>18</xdr:col>
      <xdr:colOff>342900</xdr:colOff>
      <xdr:row>26</xdr:row>
      <xdr:rowOff>152400</xdr:rowOff>
    </xdr:to>
    <xdr:cxnSp macro="">
      <xdr:nvCxnSpPr>
        <xdr:cNvPr id="57" name="Straight Arrow Connector 56"/>
        <xdr:cNvCxnSpPr>
          <a:stCxn id="68" idx="2"/>
        </xdr:cNvCxnSpPr>
      </xdr:nvCxnSpPr>
      <xdr:spPr>
        <a:xfrm>
          <a:off x="10380759" y="3490656"/>
          <a:ext cx="934941" cy="871794"/>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522341</xdr:colOff>
      <xdr:row>27</xdr:row>
      <xdr:rowOff>131103</xdr:rowOff>
    </xdr:from>
    <xdr:to>
      <xdr:col>18</xdr:col>
      <xdr:colOff>285750</xdr:colOff>
      <xdr:row>27</xdr:row>
      <xdr:rowOff>133350</xdr:rowOff>
    </xdr:to>
    <xdr:cxnSp macro="">
      <xdr:nvCxnSpPr>
        <xdr:cNvPr id="58" name="Straight Arrow Connector 57"/>
        <xdr:cNvCxnSpPr>
          <a:stCxn id="69" idx="3"/>
        </xdr:cNvCxnSpPr>
      </xdr:nvCxnSpPr>
      <xdr:spPr>
        <a:xfrm>
          <a:off x="10885541" y="4503078"/>
          <a:ext cx="373009" cy="224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550759</xdr:colOff>
      <xdr:row>29</xdr:row>
      <xdr:rowOff>142875</xdr:rowOff>
    </xdr:from>
    <xdr:to>
      <xdr:col>18</xdr:col>
      <xdr:colOff>295809</xdr:colOff>
      <xdr:row>31</xdr:row>
      <xdr:rowOff>85670</xdr:rowOff>
    </xdr:to>
    <xdr:cxnSp macro="">
      <xdr:nvCxnSpPr>
        <xdr:cNvPr id="59" name="Straight Arrow Connector 58"/>
        <xdr:cNvCxnSpPr>
          <a:stCxn id="70" idx="3"/>
        </xdr:cNvCxnSpPr>
      </xdr:nvCxnSpPr>
      <xdr:spPr>
        <a:xfrm flipV="1">
          <a:off x="10913959" y="4838700"/>
          <a:ext cx="354650" cy="2666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403290</xdr:colOff>
      <xdr:row>7</xdr:row>
      <xdr:rowOff>90358</xdr:rowOff>
    </xdr:from>
    <xdr:to>
      <xdr:col>19</xdr:col>
      <xdr:colOff>595205</xdr:colOff>
      <xdr:row>26</xdr:row>
      <xdr:rowOff>143934</xdr:rowOff>
    </xdr:to>
    <xdr:cxnSp macro="">
      <xdr:nvCxnSpPr>
        <xdr:cNvPr id="60" name="Straight Arrow Connector 59"/>
        <xdr:cNvCxnSpPr>
          <a:stCxn id="71" idx="2"/>
          <a:endCxn id="66" idx="0"/>
        </xdr:cNvCxnSpPr>
      </xdr:nvCxnSpPr>
      <xdr:spPr>
        <a:xfrm flipH="1">
          <a:off x="11985690" y="1223833"/>
          <a:ext cx="191915" cy="3130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517518</xdr:colOff>
      <xdr:row>27</xdr:row>
      <xdr:rowOff>140642</xdr:rowOff>
    </xdr:from>
    <xdr:to>
      <xdr:col>22</xdr:col>
      <xdr:colOff>79346</xdr:colOff>
      <xdr:row>28</xdr:row>
      <xdr:rowOff>102134</xdr:rowOff>
    </xdr:to>
    <xdr:cxnSp macro="">
      <xdr:nvCxnSpPr>
        <xdr:cNvPr id="61" name="Straight Arrow Connector 60"/>
        <xdr:cNvCxnSpPr>
          <a:stCxn id="66" idx="3"/>
          <a:endCxn id="73" idx="1"/>
        </xdr:cNvCxnSpPr>
      </xdr:nvCxnSpPr>
      <xdr:spPr>
        <a:xfrm flipV="1">
          <a:off x="12709518" y="4512617"/>
          <a:ext cx="781028" cy="12341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362017</xdr:colOff>
      <xdr:row>8</xdr:row>
      <xdr:rowOff>136871</xdr:rowOff>
    </xdr:from>
    <xdr:to>
      <xdr:col>16</xdr:col>
      <xdr:colOff>455297</xdr:colOff>
      <xdr:row>15</xdr:row>
      <xdr:rowOff>127293</xdr:rowOff>
    </xdr:to>
    <xdr:cxnSp macro="">
      <xdr:nvCxnSpPr>
        <xdr:cNvPr id="62" name="Straight Arrow Connector 61"/>
        <xdr:cNvCxnSpPr>
          <a:stCxn id="67" idx="1"/>
          <a:endCxn id="14" idx="3"/>
        </xdr:cNvCxnSpPr>
      </xdr:nvCxnSpPr>
      <xdr:spPr>
        <a:xfrm flipH="1" flipV="1">
          <a:off x="6458017" y="1432271"/>
          <a:ext cx="3646105" cy="112389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361951</xdr:colOff>
      <xdr:row>10</xdr:row>
      <xdr:rowOff>28576</xdr:rowOff>
    </xdr:from>
    <xdr:to>
      <xdr:col>16</xdr:col>
      <xdr:colOff>381000</xdr:colOff>
      <xdr:row>19</xdr:row>
      <xdr:rowOff>76200</xdr:rowOff>
    </xdr:to>
    <xdr:cxnSp macro="">
      <xdr:nvCxnSpPr>
        <xdr:cNvPr id="63" name="Straight Arrow Connector 62"/>
        <xdr:cNvCxnSpPr/>
      </xdr:nvCxnSpPr>
      <xdr:spPr>
        <a:xfrm flipH="1" flipV="1">
          <a:off x="6457951" y="1647826"/>
          <a:ext cx="3571874" cy="150494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6</xdr:row>
      <xdr:rowOff>48989</xdr:rowOff>
    </xdr:from>
    <xdr:to>
      <xdr:col>19</xdr:col>
      <xdr:colOff>151130</xdr:colOff>
      <xdr:row>8</xdr:row>
      <xdr:rowOff>0</xdr:rowOff>
    </xdr:to>
    <xdr:cxnSp macro="">
      <xdr:nvCxnSpPr>
        <xdr:cNvPr id="64" name="Straight Arrow Connector 63"/>
        <xdr:cNvCxnSpPr>
          <a:endCxn id="71" idx="1"/>
        </xdr:cNvCxnSpPr>
      </xdr:nvCxnSpPr>
      <xdr:spPr>
        <a:xfrm flipV="1">
          <a:off x="6457950" y="1020539"/>
          <a:ext cx="5275580" cy="27486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118506</xdr:colOff>
      <xdr:row>23</xdr:row>
      <xdr:rowOff>2020</xdr:rowOff>
    </xdr:from>
    <xdr:to>
      <xdr:col>23</xdr:col>
      <xdr:colOff>186173</xdr:colOff>
      <xdr:row>25</xdr:row>
      <xdr:rowOff>45676</xdr:rowOff>
    </xdr:to>
    <xdr:sp macro="" textlink="">
      <xdr:nvSpPr>
        <xdr:cNvPr id="65" name="TextBox 160"/>
        <xdr:cNvSpPr txBox="1"/>
      </xdr:nvSpPr>
      <xdr:spPr>
        <a:xfrm>
          <a:off x="13529706" y="3726295"/>
          <a:ext cx="677267" cy="367506"/>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Re-entrants expected</a:t>
          </a:r>
        </a:p>
      </xdr:txBody>
    </xdr:sp>
    <xdr:clientData/>
  </xdr:twoCellAnchor>
  <xdr:twoCellAnchor>
    <xdr:from>
      <xdr:col>18</xdr:col>
      <xdr:colOff>289137</xdr:colOff>
      <xdr:row>26</xdr:row>
      <xdr:rowOff>143934</xdr:rowOff>
    </xdr:from>
    <xdr:to>
      <xdr:col>20</xdr:col>
      <xdr:colOff>517442</xdr:colOff>
      <xdr:row>30</xdr:row>
      <xdr:rowOff>114253</xdr:rowOff>
    </xdr:to>
    <xdr:sp macro="" textlink="">
      <xdr:nvSpPr>
        <xdr:cNvPr id="66" name="TextBox 159"/>
        <xdr:cNvSpPr txBox="1"/>
      </xdr:nvSpPr>
      <xdr:spPr>
        <a:xfrm>
          <a:off x="11261937" y="4353984"/>
          <a:ext cx="1447505" cy="618019"/>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900"/>
            <a:t>Individual</a:t>
          </a:r>
          <a:r>
            <a:rPr lang="en-GB" sz="900" baseline="0"/>
            <a:t> subject entrants calculations </a:t>
          </a:r>
          <a:r>
            <a:rPr lang="en-GB" sz="900"/>
            <a:t>sheets (ONE FOR EACH SUBJECT WITH A '2' IN THE TAB NAME)</a:t>
          </a:r>
          <a:r>
            <a:rPr lang="en-GB" sz="900" baseline="0"/>
            <a:t> </a:t>
          </a:r>
          <a:endParaRPr lang="en-GB" sz="900"/>
        </a:p>
      </xdr:txBody>
    </xdr:sp>
    <xdr:clientData/>
  </xdr:twoCellAnchor>
  <xdr:twoCellAnchor>
    <xdr:from>
      <xdr:col>16</xdr:col>
      <xdr:colOff>455297</xdr:colOff>
      <xdr:row>14</xdr:row>
      <xdr:rowOff>127635</xdr:rowOff>
    </xdr:from>
    <xdr:to>
      <xdr:col>17</xdr:col>
      <xdr:colOff>604063</xdr:colOff>
      <xdr:row>16</xdr:row>
      <xdr:rowOff>126950</xdr:rowOff>
    </xdr:to>
    <xdr:sp macro="" textlink="">
      <xdr:nvSpPr>
        <xdr:cNvPr id="67" name="TextBox 159"/>
        <xdr:cNvSpPr txBox="1"/>
      </xdr:nvSpPr>
      <xdr:spPr>
        <a:xfrm>
          <a:off x="10104122" y="2394585"/>
          <a:ext cx="86314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Primary entrant rates</a:t>
          </a:r>
        </a:p>
      </xdr:txBody>
    </xdr:sp>
    <xdr:clientData/>
  </xdr:twoCellAnchor>
  <xdr:twoCellAnchor>
    <xdr:from>
      <xdr:col>16</xdr:col>
      <xdr:colOff>369570</xdr:colOff>
      <xdr:row>19</xdr:row>
      <xdr:rowOff>70484</xdr:rowOff>
    </xdr:from>
    <xdr:to>
      <xdr:col>17</xdr:col>
      <xdr:colOff>379923</xdr:colOff>
      <xdr:row>21</xdr:row>
      <xdr:rowOff>90231</xdr:rowOff>
    </xdr:to>
    <xdr:sp macro="" textlink="">
      <xdr:nvSpPr>
        <xdr:cNvPr id="68" name="TextBox 159"/>
        <xdr:cNvSpPr txBox="1"/>
      </xdr:nvSpPr>
      <xdr:spPr>
        <a:xfrm>
          <a:off x="10018395" y="3147059"/>
          <a:ext cx="724728" cy="343597"/>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entrant rates</a:t>
          </a:r>
        </a:p>
      </xdr:txBody>
    </xdr:sp>
    <xdr:clientData/>
  </xdr:twoCellAnchor>
  <xdr:twoCellAnchor>
    <xdr:from>
      <xdr:col>16</xdr:col>
      <xdr:colOff>352426</xdr:colOff>
      <xdr:row>26</xdr:row>
      <xdr:rowOff>131445</xdr:rowOff>
    </xdr:from>
    <xdr:to>
      <xdr:col>17</xdr:col>
      <xdr:colOff>522341</xdr:colOff>
      <xdr:row>28</xdr:row>
      <xdr:rowOff>130760</xdr:rowOff>
    </xdr:to>
    <xdr:sp macro="" textlink="">
      <xdr:nvSpPr>
        <xdr:cNvPr id="69" name="TextBox 159"/>
        <xdr:cNvSpPr txBox="1"/>
      </xdr:nvSpPr>
      <xdr:spPr>
        <a:xfrm>
          <a:off x="10001251" y="4341495"/>
          <a:ext cx="884290"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Primary part-time entrant rates</a:t>
          </a:r>
        </a:p>
      </xdr:txBody>
    </xdr:sp>
    <xdr:clientData/>
  </xdr:twoCellAnchor>
  <xdr:twoCellAnchor>
    <xdr:from>
      <xdr:col>16</xdr:col>
      <xdr:colOff>213362</xdr:colOff>
      <xdr:row>30</xdr:row>
      <xdr:rowOff>83820</xdr:rowOff>
    </xdr:from>
    <xdr:to>
      <xdr:col>17</xdr:col>
      <xdr:colOff>550794</xdr:colOff>
      <xdr:row>32</xdr:row>
      <xdr:rowOff>104798</xdr:rowOff>
    </xdr:to>
    <xdr:sp macro="" textlink="">
      <xdr:nvSpPr>
        <xdr:cNvPr id="70" name="TextBox 159"/>
        <xdr:cNvSpPr txBox="1"/>
      </xdr:nvSpPr>
      <xdr:spPr>
        <a:xfrm>
          <a:off x="9862187" y="4941570"/>
          <a:ext cx="1051807" cy="344828"/>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part-time entrant rates</a:t>
          </a:r>
        </a:p>
      </xdr:txBody>
    </xdr:sp>
    <xdr:clientData/>
  </xdr:twoCellAnchor>
  <xdr:twoCellAnchor>
    <xdr:from>
      <xdr:col>19</xdr:col>
      <xdr:colOff>151130</xdr:colOff>
      <xdr:row>5</xdr:row>
      <xdr:rowOff>7620</xdr:rowOff>
    </xdr:from>
    <xdr:to>
      <xdr:col>20</xdr:col>
      <xdr:colOff>429679</xdr:colOff>
      <xdr:row>7</xdr:row>
      <xdr:rowOff>90358</xdr:rowOff>
    </xdr:to>
    <xdr:sp macro="" textlink="">
      <xdr:nvSpPr>
        <xdr:cNvPr id="71" name="TextBox 158"/>
        <xdr:cNvSpPr txBox="1"/>
      </xdr:nvSpPr>
      <xdr:spPr>
        <a:xfrm>
          <a:off x="11733530" y="817245"/>
          <a:ext cx="888149" cy="406588"/>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Data selected</a:t>
          </a:r>
          <a:r>
            <a:rPr lang="en-GB" sz="800" baseline="0"/>
            <a:t> by user testing tab</a:t>
          </a:r>
          <a:endParaRPr lang="en-GB" sz="800"/>
        </a:p>
      </xdr:txBody>
    </xdr:sp>
    <xdr:clientData/>
  </xdr:twoCellAnchor>
  <xdr:twoCellAnchor>
    <xdr:from>
      <xdr:col>20</xdr:col>
      <xdr:colOff>523875</xdr:colOff>
      <xdr:row>24</xdr:row>
      <xdr:rowOff>23848</xdr:rowOff>
    </xdr:from>
    <xdr:to>
      <xdr:col>22</xdr:col>
      <xdr:colOff>118506</xdr:colOff>
      <xdr:row>27</xdr:row>
      <xdr:rowOff>47625</xdr:rowOff>
    </xdr:to>
    <xdr:cxnSp macro="">
      <xdr:nvCxnSpPr>
        <xdr:cNvPr id="72" name="Straight Arrow Connector 71"/>
        <xdr:cNvCxnSpPr>
          <a:endCxn id="65" idx="1"/>
        </xdr:cNvCxnSpPr>
      </xdr:nvCxnSpPr>
      <xdr:spPr>
        <a:xfrm flipV="1">
          <a:off x="12715875" y="3910048"/>
          <a:ext cx="813831" cy="50955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79346</xdr:colOff>
      <xdr:row>26</xdr:row>
      <xdr:rowOff>46363</xdr:rowOff>
    </xdr:from>
    <xdr:to>
      <xdr:col>23</xdr:col>
      <xdr:colOff>234825</xdr:colOff>
      <xdr:row>29</xdr:row>
      <xdr:rowOff>72996</xdr:rowOff>
    </xdr:to>
    <xdr:sp macro="" textlink="">
      <xdr:nvSpPr>
        <xdr:cNvPr id="73" name="TextBox 160"/>
        <xdr:cNvSpPr txBox="1"/>
      </xdr:nvSpPr>
      <xdr:spPr>
        <a:xfrm>
          <a:off x="13490546" y="4256413"/>
          <a:ext cx="765079" cy="512408"/>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New to state-funded</a:t>
          </a:r>
          <a:r>
            <a:rPr lang="en-GB" sz="800" baseline="0"/>
            <a:t> sector</a:t>
          </a:r>
          <a:r>
            <a:rPr lang="en-GB" sz="800"/>
            <a:t> expected</a:t>
          </a:r>
        </a:p>
      </xdr:txBody>
    </xdr:sp>
    <xdr:clientData/>
  </xdr:twoCellAnchor>
  <xdr:twoCellAnchor>
    <xdr:from>
      <xdr:col>22</xdr:col>
      <xdr:colOff>95220</xdr:colOff>
      <xdr:row>30</xdr:row>
      <xdr:rowOff>26466</xdr:rowOff>
    </xdr:from>
    <xdr:to>
      <xdr:col>23</xdr:col>
      <xdr:colOff>371282</xdr:colOff>
      <xdr:row>33</xdr:row>
      <xdr:rowOff>66675</xdr:rowOff>
    </xdr:to>
    <xdr:sp macro="" textlink="">
      <xdr:nvSpPr>
        <xdr:cNvPr id="74" name="TextBox 160"/>
        <xdr:cNvSpPr txBox="1"/>
      </xdr:nvSpPr>
      <xdr:spPr>
        <a:xfrm>
          <a:off x="13506420" y="4884216"/>
          <a:ext cx="885662" cy="525984"/>
        </a:xfrm>
        <a:prstGeom prst="rect">
          <a:avLst/>
        </a:prstGeom>
        <a:solidFill>
          <a:srgbClr val="FFFF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800"/>
            </a:lnSpc>
          </a:pPr>
          <a:r>
            <a:rPr lang="en-GB" sz="800"/>
            <a:t>NQTs</a:t>
          </a:r>
          <a:r>
            <a:rPr lang="en-GB" sz="800" baseline="0"/>
            <a:t> </a:t>
          </a:r>
          <a:r>
            <a:rPr lang="en-GB" sz="800"/>
            <a:t>required including long term (UG) courses</a:t>
          </a:r>
        </a:p>
      </xdr:txBody>
    </xdr:sp>
    <xdr:clientData/>
  </xdr:twoCellAnchor>
  <xdr:twoCellAnchor>
    <xdr:from>
      <xdr:col>20</xdr:col>
      <xdr:colOff>533400</xdr:colOff>
      <xdr:row>30</xdr:row>
      <xdr:rowOff>0</xdr:rowOff>
    </xdr:from>
    <xdr:to>
      <xdr:col>22</xdr:col>
      <xdr:colOff>95220</xdr:colOff>
      <xdr:row>31</xdr:row>
      <xdr:rowOff>127533</xdr:rowOff>
    </xdr:to>
    <xdr:cxnSp macro="">
      <xdr:nvCxnSpPr>
        <xdr:cNvPr id="75" name="Straight Arrow Connector 74"/>
        <xdr:cNvCxnSpPr>
          <a:endCxn id="74" idx="1"/>
        </xdr:cNvCxnSpPr>
      </xdr:nvCxnSpPr>
      <xdr:spPr>
        <a:xfrm>
          <a:off x="12725400" y="4857750"/>
          <a:ext cx="781020" cy="28945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538051</xdr:colOff>
      <xdr:row>33</xdr:row>
      <xdr:rowOff>66675</xdr:rowOff>
    </xdr:from>
    <xdr:to>
      <xdr:col>22</xdr:col>
      <xdr:colOff>584873</xdr:colOff>
      <xdr:row>36</xdr:row>
      <xdr:rowOff>19051</xdr:rowOff>
    </xdr:to>
    <xdr:cxnSp macro="">
      <xdr:nvCxnSpPr>
        <xdr:cNvPr id="76" name="Straight Arrow Connector 75"/>
        <xdr:cNvCxnSpPr>
          <a:stCxn id="74" idx="2"/>
          <a:endCxn id="77" idx="0"/>
        </xdr:cNvCxnSpPr>
      </xdr:nvCxnSpPr>
      <xdr:spPr>
        <a:xfrm>
          <a:off x="13949251" y="5410200"/>
          <a:ext cx="46822" cy="438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36</xdr:row>
      <xdr:rowOff>19051</xdr:rowOff>
    </xdr:from>
    <xdr:to>
      <xdr:col>23</xdr:col>
      <xdr:colOff>541096</xdr:colOff>
      <xdr:row>38</xdr:row>
      <xdr:rowOff>90113</xdr:rowOff>
    </xdr:to>
    <xdr:sp macro="" textlink="">
      <xdr:nvSpPr>
        <xdr:cNvPr id="77" name="TextBox 160"/>
        <xdr:cNvSpPr txBox="1"/>
      </xdr:nvSpPr>
      <xdr:spPr>
        <a:xfrm>
          <a:off x="13430250" y="5848351"/>
          <a:ext cx="1131646" cy="394912"/>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long term NQT entrants</a:t>
          </a:r>
        </a:p>
      </xdr:txBody>
    </xdr:sp>
    <xdr:clientData/>
  </xdr:twoCellAnchor>
  <xdr:twoCellAnchor>
    <xdr:from>
      <xdr:col>24</xdr:col>
      <xdr:colOff>6351</xdr:colOff>
      <xdr:row>31</xdr:row>
      <xdr:rowOff>41275</xdr:rowOff>
    </xdr:from>
    <xdr:to>
      <xdr:col>25</xdr:col>
      <xdr:colOff>130246</xdr:colOff>
      <xdr:row>34</xdr:row>
      <xdr:rowOff>42401</xdr:rowOff>
    </xdr:to>
    <xdr:sp macro="" textlink="">
      <xdr:nvSpPr>
        <xdr:cNvPr id="78" name="TextBox 160"/>
        <xdr:cNvSpPr txBox="1"/>
      </xdr:nvSpPr>
      <xdr:spPr>
        <a:xfrm>
          <a:off x="14636751" y="5060950"/>
          <a:ext cx="733495" cy="486901"/>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Outputs for conversion</a:t>
          </a:r>
          <a:r>
            <a:rPr lang="en-GB" sz="800" baseline="0"/>
            <a:t> rates</a:t>
          </a:r>
          <a:endParaRPr lang="en-GB" sz="800"/>
        </a:p>
      </xdr:txBody>
    </xdr:sp>
    <xdr:clientData/>
  </xdr:twoCellAnchor>
  <xdr:twoCellAnchor>
    <xdr:from>
      <xdr:col>23</xdr:col>
      <xdr:colOff>540793</xdr:colOff>
      <xdr:row>34</xdr:row>
      <xdr:rowOff>42401</xdr:rowOff>
    </xdr:from>
    <xdr:to>
      <xdr:col>24</xdr:col>
      <xdr:colOff>382916</xdr:colOff>
      <xdr:row>37</xdr:row>
      <xdr:rowOff>63985</xdr:rowOff>
    </xdr:to>
    <xdr:cxnSp macro="">
      <xdr:nvCxnSpPr>
        <xdr:cNvPr id="79" name="Straight Arrow Connector 78"/>
        <xdr:cNvCxnSpPr>
          <a:stCxn id="77" idx="3"/>
          <a:endCxn id="78" idx="2"/>
        </xdr:cNvCxnSpPr>
      </xdr:nvCxnSpPr>
      <xdr:spPr>
        <a:xfrm flipV="1">
          <a:off x="14561593" y="5547851"/>
          <a:ext cx="451723" cy="50735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293942</xdr:colOff>
      <xdr:row>38</xdr:row>
      <xdr:rowOff>57150</xdr:rowOff>
    </xdr:from>
    <xdr:to>
      <xdr:col>22</xdr:col>
      <xdr:colOff>19050</xdr:colOff>
      <xdr:row>42</xdr:row>
      <xdr:rowOff>148493</xdr:rowOff>
    </xdr:to>
    <xdr:cxnSp macro="">
      <xdr:nvCxnSpPr>
        <xdr:cNvPr id="80" name="Straight Arrow Connector 79"/>
        <xdr:cNvCxnSpPr>
          <a:stCxn id="51" idx="3"/>
        </xdr:cNvCxnSpPr>
      </xdr:nvCxnSpPr>
      <xdr:spPr>
        <a:xfrm flipV="1">
          <a:off x="9437942" y="6210300"/>
          <a:ext cx="3992308" cy="73904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37037</xdr:colOff>
      <xdr:row>37</xdr:row>
      <xdr:rowOff>54582</xdr:rowOff>
    </xdr:from>
    <xdr:to>
      <xdr:col>22</xdr:col>
      <xdr:colOff>19050</xdr:colOff>
      <xdr:row>38</xdr:row>
      <xdr:rowOff>81607</xdr:rowOff>
    </xdr:to>
    <xdr:cxnSp macro="">
      <xdr:nvCxnSpPr>
        <xdr:cNvPr id="81" name="Straight Arrow Connector 80"/>
        <xdr:cNvCxnSpPr>
          <a:stCxn id="52" idx="3"/>
          <a:endCxn id="77" idx="1"/>
        </xdr:cNvCxnSpPr>
      </xdr:nvCxnSpPr>
      <xdr:spPr>
        <a:xfrm flipV="1">
          <a:off x="9181037" y="6045807"/>
          <a:ext cx="4249213" cy="1889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382624</xdr:colOff>
      <xdr:row>28</xdr:row>
      <xdr:rowOff>16852</xdr:rowOff>
    </xdr:from>
    <xdr:to>
      <xdr:col>24</xdr:col>
      <xdr:colOff>400975</xdr:colOff>
      <xdr:row>31</xdr:row>
      <xdr:rowOff>41275</xdr:rowOff>
    </xdr:to>
    <xdr:cxnSp macro="">
      <xdr:nvCxnSpPr>
        <xdr:cNvPr id="82" name="Straight Arrow Connector 81"/>
        <xdr:cNvCxnSpPr>
          <a:stCxn id="78" idx="0"/>
          <a:endCxn id="83" idx="2"/>
        </xdr:cNvCxnSpPr>
      </xdr:nvCxnSpPr>
      <xdr:spPr>
        <a:xfrm flipV="1">
          <a:off x="15013024" y="4550752"/>
          <a:ext cx="18351" cy="5101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58212</xdr:colOff>
      <xdr:row>25</xdr:row>
      <xdr:rowOff>90593</xdr:rowOff>
    </xdr:from>
    <xdr:to>
      <xdr:col>25</xdr:col>
      <xdr:colOff>152518</xdr:colOff>
      <xdr:row>28</xdr:row>
      <xdr:rowOff>17101</xdr:rowOff>
    </xdr:to>
    <xdr:sp macro="" textlink="">
      <xdr:nvSpPr>
        <xdr:cNvPr id="83" name="TextBox 160"/>
        <xdr:cNvSpPr txBox="1"/>
      </xdr:nvSpPr>
      <xdr:spPr>
        <a:xfrm>
          <a:off x="14688612" y="4138718"/>
          <a:ext cx="703906" cy="412283"/>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Conversion rates table</a:t>
          </a:r>
        </a:p>
      </xdr:txBody>
    </xdr:sp>
    <xdr:clientData/>
  </xdr:twoCellAnchor>
  <xdr:twoCellAnchor>
    <xdr:from>
      <xdr:col>26</xdr:col>
      <xdr:colOff>198120</xdr:colOff>
      <xdr:row>17</xdr:row>
      <xdr:rowOff>154305</xdr:rowOff>
    </xdr:from>
    <xdr:to>
      <xdr:col>27</xdr:col>
      <xdr:colOff>476246</xdr:colOff>
      <xdr:row>21</xdr:row>
      <xdr:rowOff>28719</xdr:rowOff>
    </xdr:to>
    <xdr:sp macro="" textlink="">
      <xdr:nvSpPr>
        <xdr:cNvPr id="84" name="TextBox 160"/>
        <xdr:cNvSpPr txBox="1"/>
      </xdr:nvSpPr>
      <xdr:spPr>
        <a:xfrm>
          <a:off x="16047720" y="2907030"/>
          <a:ext cx="887726" cy="522114"/>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Other output</a:t>
          </a:r>
          <a:r>
            <a:rPr lang="en-GB" sz="800" baseline="0"/>
            <a:t> tabs including  projections and historical data</a:t>
          </a:r>
          <a:endParaRPr lang="en-GB" sz="800"/>
        </a:p>
      </xdr:txBody>
    </xdr:sp>
    <xdr:clientData/>
  </xdr:twoCellAnchor>
  <xdr:twoCellAnchor>
    <xdr:from>
      <xdr:col>25</xdr:col>
      <xdr:colOff>152518</xdr:colOff>
      <xdr:row>21</xdr:row>
      <xdr:rowOff>28719</xdr:rowOff>
    </xdr:from>
    <xdr:to>
      <xdr:col>27</xdr:col>
      <xdr:colOff>32383</xdr:colOff>
      <xdr:row>26</xdr:row>
      <xdr:rowOff>134810</xdr:rowOff>
    </xdr:to>
    <xdr:cxnSp macro="">
      <xdr:nvCxnSpPr>
        <xdr:cNvPr id="85" name="Straight Arrow Connector 84"/>
        <xdr:cNvCxnSpPr>
          <a:stCxn id="83" idx="3"/>
          <a:endCxn id="84" idx="2"/>
        </xdr:cNvCxnSpPr>
      </xdr:nvCxnSpPr>
      <xdr:spPr>
        <a:xfrm flipV="1">
          <a:off x="15392518" y="3429144"/>
          <a:ext cx="1099065" cy="91571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11</xdr:row>
      <xdr:rowOff>28576</xdr:rowOff>
    </xdr:from>
    <xdr:to>
      <xdr:col>10</xdr:col>
      <xdr:colOff>438150</xdr:colOff>
      <xdr:row>13</xdr:row>
      <xdr:rowOff>152400</xdr:rowOff>
    </xdr:to>
    <xdr:sp macro="" textlink="">
      <xdr:nvSpPr>
        <xdr:cNvPr id="86" name="TextBox 158"/>
        <xdr:cNvSpPr txBox="1"/>
      </xdr:nvSpPr>
      <xdr:spPr>
        <a:xfrm>
          <a:off x="5743575" y="1809751"/>
          <a:ext cx="790575" cy="447674"/>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Increased EBacc entry scenario data</a:t>
          </a:r>
        </a:p>
      </xdr:txBody>
    </xdr:sp>
    <xdr:clientData/>
  </xdr:twoCellAnchor>
  <xdr:twoCellAnchor>
    <xdr:from>
      <xdr:col>10</xdr:col>
      <xdr:colOff>42863</xdr:colOff>
      <xdr:row>10</xdr:row>
      <xdr:rowOff>27996</xdr:rowOff>
    </xdr:from>
    <xdr:to>
      <xdr:col>10</xdr:col>
      <xdr:colOff>52422</xdr:colOff>
      <xdr:row>11</xdr:row>
      <xdr:rowOff>28576</xdr:rowOff>
    </xdr:to>
    <xdr:cxnSp macro="">
      <xdr:nvCxnSpPr>
        <xdr:cNvPr id="87" name="Straight Arrow Connector 86"/>
        <xdr:cNvCxnSpPr>
          <a:stCxn id="14" idx="2"/>
          <a:endCxn id="86" idx="0"/>
        </xdr:cNvCxnSpPr>
      </xdr:nvCxnSpPr>
      <xdr:spPr>
        <a:xfrm flipH="1">
          <a:off x="6138863" y="1647246"/>
          <a:ext cx="9559" cy="16250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42863</xdr:colOff>
      <xdr:row>13</xdr:row>
      <xdr:rowOff>152400</xdr:rowOff>
    </xdr:from>
    <xdr:to>
      <xdr:col>12</xdr:col>
      <xdr:colOff>133350</xdr:colOff>
      <xdr:row>18</xdr:row>
      <xdr:rowOff>123825</xdr:rowOff>
    </xdr:to>
    <xdr:cxnSp macro="">
      <xdr:nvCxnSpPr>
        <xdr:cNvPr id="88" name="Straight Arrow Connector 87"/>
        <xdr:cNvCxnSpPr>
          <a:stCxn id="86" idx="2"/>
        </xdr:cNvCxnSpPr>
      </xdr:nvCxnSpPr>
      <xdr:spPr>
        <a:xfrm>
          <a:off x="6138863" y="2257425"/>
          <a:ext cx="1309687" cy="7810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476250</xdr:colOff>
      <xdr:row>10</xdr:row>
      <xdr:rowOff>38100</xdr:rowOff>
    </xdr:from>
    <xdr:to>
      <xdr:col>4</xdr:col>
      <xdr:colOff>282571</xdr:colOff>
      <xdr:row>12</xdr:row>
      <xdr:rowOff>151036</xdr:rowOff>
    </xdr:to>
    <xdr:sp macro="" textlink="">
      <xdr:nvSpPr>
        <xdr:cNvPr id="89" name="TextBox 160"/>
        <xdr:cNvSpPr txBox="1"/>
      </xdr:nvSpPr>
      <xdr:spPr>
        <a:xfrm>
          <a:off x="1695450" y="1657350"/>
          <a:ext cx="1025521"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ITT outputs sheet</a:t>
          </a:r>
        </a:p>
      </xdr:txBody>
    </xdr:sp>
    <xdr:clientData/>
  </xdr:twoCellAnchor>
  <xdr:twoCellAnchor>
    <xdr:from>
      <xdr:col>22</xdr:col>
      <xdr:colOff>409575</xdr:colOff>
      <xdr:row>18</xdr:row>
      <xdr:rowOff>9525</xdr:rowOff>
    </xdr:from>
    <xdr:to>
      <xdr:col>24</xdr:col>
      <xdr:colOff>206380</xdr:colOff>
      <xdr:row>21</xdr:row>
      <xdr:rowOff>132763</xdr:rowOff>
    </xdr:to>
    <xdr:sp macro="" textlink="">
      <xdr:nvSpPr>
        <xdr:cNvPr id="90" name="TextBox 160"/>
        <xdr:cNvSpPr txBox="1"/>
      </xdr:nvSpPr>
      <xdr:spPr>
        <a:xfrm>
          <a:off x="13820775" y="2924175"/>
          <a:ext cx="1016005" cy="609013"/>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OUTPUTS OF ITT PLACES</a:t>
          </a:r>
        </a:p>
      </xdr:txBody>
    </xdr:sp>
    <xdr:clientData/>
  </xdr:twoCellAnchor>
  <xdr:twoCellAnchor>
    <xdr:from>
      <xdr:col>23</xdr:col>
      <xdr:colOff>307978</xdr:colOff>
      <xdr:row>21</xdr:row>
      <xdr:rowOff>132763</xdr:rowOff>
    </xdr:from>
    <xdr:to>
      <xdr:col>24</xdr:col>
      <xdr:colOff>410165</xdr:colOff>
      <xdr:row>25</xdr:row>
      <xdr:rowOff>90593</xdr:rowOff>
    </xdr:to>
    <xdr:cxnSp macro="">
      <xdr:nvCxnSpPr>
        <xdr:cNvPr id="91" name="Straight Arrow Connector 90"/>
        <xdr:cNvCxnSpPr>
          <a:stCxn id="83" idx="0"/>
          <a:endCxn id="90" idx="2"/>
        </xdr:cNvCxnSpPr>
      </xdr:nvCxnSpPr>
      <xdr:spPr>
        <a:xfrm flipH="1" flipV="1">
          <a:off x="14328778" y="3533188"/>
          <a:ext cx="711787" cy="60553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515334</xdr:colOff>
      <xdr:row>16</xdr:row>
      <xdr:rowOff>114304</xdr:rowOff>
    </xdr:from>
    <xdr:to>
      <xdr:col>16</xdr:col>
      <xdr:colOff>701131</xdr:colOff>
      <xdr:row>23</xdr:row>
      <xdr:rowOff>89535</xdr:rowOff>
    </xdr:to>
    <xdr:cxnSp macro="">
      <xdr:nvCxnSpPr>
        <xdr:cNvPr id="92" name="Straight Arrow Connector 91"/>
        <xdr:cNvCxnSpPr>
          <a:stCxn id="50" idx="0"/>
        </xdr:cNvCxnSpPr>
      </xdr:nvCxnSpPr>
      <xdr:spPr>
        <a:xfrm flipV="1">
          <a:off x="9049734" y="2705104"/>
          <a:ext cx="1300222" cy="110870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604838</xdr:colOff>
      <xdr:row>18</xdr:row>
      <xdr:rowOff>133350</xdr:rowOff>
    </xdr:from>
    <xdr:to>
      <xdr:col>21</xdr:col>
      <xdr:colOff>28610</xdr:colOff>
      <xdr:row>21</xdr:row>
      <xdr:rowOff>142875</xdr:rowOff>
    </xdr:to>
    <xdr:sp macro="" textlink="">
      <xdr:nvSpPr>
        <xdr:cNvPr id="93" name="TextBox 160"/>
        <xdr:cNvSpPr txBox="1"/>
      </xdr:nvSpPr>
      <xdr:spPr>
        <a:xfrm>
          <a:off x="13006388" y="3052763"/>
          <a:ext cx="728697" cy="49530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Check of all entrant numbers</a:t>
          </a:r>
        </a:p>
      </xdr:txBody>
    </xdr:sp>
    <xdr:clientData/>
  </xdr:twoCellAnchor>
  <xdr:twoCellAnchor>
    <xdr:from>
      <xdr:col>20</xdr:col>
      <xdr:colOff>228600</xdr:colOff>
      <xdr:row>21</xdr:row>
      <xdr:rowOff>142875</xdr:rowOff>
    </xdr:from>
    <xdr:to>
      <xdr:col>20</xdr:col>
      <xdr:colOff>316724</xdr:colOff>
      <xdr:row>26</xdr:row>
      <xdr:rowOff>123825</xdr:rowOff>
    </xdr:to>
    <xdr:cxnSp macro="">
      <xdr:nvCxnSpPr>
        <xdr:cNvPr id="94" name="Straight Arrow Connector 93"/>
        <xdr:cNvCxnSpPr>
          <a:endCxn id="93" idx="2"/>
        </xdr:cNvCxnSpPr>
      </xdr:nvCxnSpPr>
      <xdr:spPr>
        <a:xfrm flipV="1">
          <a:off x="13282613" y="3548063"/>
          <a:ext cx="88124" cy="7905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200026</xdr:colOff>
      <xdr:row>32</xdr:row>
      <xdr:rowOff>1904</xdr:rowOff>
    </xdr:from>
    <xdr:to>
      <xdr:col>1</xdr:col>
      <xdr:colOff>304832</xdr:colOff>
      <xdr:row>35</xdr:row>
      <xdr:rowOff>1904</xdr:rowOff>
    </xdr:to>
    <xdr:sp macro="" textlink="">
      <xdr:nvSpPr>
        <xdr:cNvPr id="95" name="TextBox 158"/>
        <xdr:cNvSpPr txBox="1"/>
      </xdr:nvSpPr>
      <xdr:spPr>
        <a:xfrm>
          <a:off x="200026" y="5183504"/>
          <a:ext cx="714406" cy="4857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Changes in teaching hours</a:t>
          </a:r>
        </a:p>
      </xdr:txBody>
    </xdr:sp>
    <xdr:clientData/>
  </xdr:twoCellAnchor>
  <xdr:twoCellAnchor>
    <xdr:from>
      <xdr:col>0</xdr:col>
      <xdr:colOff>514350</xdr:colOff>
      <xdr:row>22</xdr:row>
      <xdr:rowOff>142875</xdr:rowOff>
    </xdr:from>
    <xdr:to>
      <xdr:col>0</xdr:col>
      <xdr:colOff>557229</xdr:colOff>
      <xdr:row>32</xdr:row>
      <xdr:rowOff>1904</xdr:rowOff>
    </xdr:to>
    <xdr:cxnSp macro="">
      <xdr:nvCxnSpPr>
        <xdr:cNvPr id="96" name="Straight Arrow Connector 95"/>
        <xdr:cNvCxnSpPr>
          <a:endCxn id="95" idx="0"/>
        </xdr:cNvCxnSpPr>
      </xdr:nvCxnSpPr>
      <xdr:spPr>
        <a:xfrm>
          <a:off x="514350" y="3705225"/>
          <a:ext cx="42879" cy="14782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10</xdr:col>
      <xdr:colOff>190582</xdr:colOff>
      <xdr:row>6</xdr:row>
      <xdr:rowOff>161240</xdr:rowOff>
    </xdr:to>
    <xdr:sp macro="" textlink="">
      <xdr:nvSpPr>
        <xdr:cNvPr id="97" name="TextBox 158"/>
        <xdr:cNvSpPr txBox="1"/>
      </xdr:nvSpPr>
      <xdr:spPr>
        <a:xfrm>
          <a:off x="5486400" y="809625"/>
          <a:ext cx="800182"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Pupils data scenarios</a:t>
          </a:r>
        </a:p>
      </xdr:txBody>
    </xdr:sp>
    <xdr:clientData/>
  </xdr:twoCellAnchor>
  <xdr:twoCellAnchor>
    <xdr:from>
      <xdr:col>0</xdr:col>
      <xdr:colOff>495300</xdr:colOff>
      <xdr:row>5</xdr:row>
      <xdr:rowOff>161583</xdr:rowOff>
    </xdr:from>
    <xdr:to>
      <xdr:col>9</xdr:col>
      <xdr:colOff>0</xdr:colOff>
      <xdr:row>20</xdr:row>
      <xdr:rowOff>142875</xdr:rowOff>
    </xdr:to>
    <xdr:cxnSp macro="">
      <xdr:nvCxnSpPr>
        <xdr:cNvPr id="98" name="Straight Arrow Connector 97"/>
        <xdr:cNvCxnSpPr>
          <a:endCxn id="97" idx="1"/>
        </xdr:cNvCxnSpPr>
      </xdr:nvCxnSpPr>
      <xdr:spPr>
        <a:xfrm flipV="1">
          <a:off x="495300" y="971208"/>
          <a:ext cx="4991100" cy="24101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190582</xdr:colOff>
      <xdr:row>5</xdr:row>
      <xdr:rowOff>76200</xdr:rowOff>
    </xdr:from>
    <xdr:to>
      <xdr:col>19</xdr:col>
      <xdr:colOff>152400</xdr:colOff>
      <xdr:row>5</xdr:row>
      <xdr:rowOff>161583</xdr:rowOff>
    </xdr:to>
    <xdr:cxnSp macro="">
      <xdr:nvCxnSpPr>
        <xdr:cNvPr id="99" name="Straight Arrow Connector 98"/>
        <xdr:cNvCxnSpPr>
          <a:stCxn id="97" idx="3"/>
        </xdr:cNvCxnSpPr>
      </xdr:nvCxnSpPr>
      <xdr:spPr>
        <a:xfrm flipV="1">
          <a:off x="6286582" y="885825"/>
          <a:ext cx="5448218" cy="8538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352425</xdr:colOff>
      <xdr:row>14</xdr:row>
      <xdr:rowOff>0</xdr:rowOff>
    </xdr:from>
    <xdr:to>
      <xdr:col>26</xdr:col>
      <xdr:colOff>149230</xdr:colOff>
      <xdr:row>16</xdr:row>
      <xdr:rowOff>112936</xdr:rowOff>
    </xdr:to>
    <xdr:sp macro="" textlink="">
      <xdr:nvSpPr>
        <xdr:cNvPr id="100" name="TextBox 160"/>
        <xdr:cNvSpPr txBox="1"/>
      </xdr:nvSpPr>
      <xdr:spPr>
        <a:xfrm>
          <a:off x="14982825" y="2266950"/>
          <a:ext cx="1016005"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SUMMARY OUTPUTS</a:t>
          </a:r>
        </a:p>
      </xdr:txBody>
    </xdr:sp>
    <xdr:clientData/>
  </xdr:twoCellAnchor>
  <xdr:twoCellAnchor>
    <xdr:from>
      <xdr:col>23</xdr:col>
      <xdr:colOff>307978</xdr:colOff>
      <xdr:row>15</xdr:row>
      <xdr:rowOff>56468</xdr:rowOff>
    </xdr:from>
    <xdr:to>
      <xdr:col>24</xdr:col>
      <xdr:colOff>352425</xdr:colOff>
      <xdr:row>18</xdr:row>
      <xdr:rowOff>9525</xdr:rowOff>
    </xdr:to>
    <xdr:cxnSp macro="">
      <xdr:nvCxnSpPr>
        <xdr:cNvPr id="101" name="Straight Arrow Connector 100"/>
        <xdr:cNvCxnSpPr>
          <a:stCxn id="90" idx="0"/>
          <a:endCxn id="100" idx="1"/>
        </xdr:cNvCxnSpPr>
      </xdr:nvCxnSpPr>
      <xdr:spPr>
        <a:xfrm flipV="1">
          <a:off x="14328778" y="2485343"/>
          <a:ext cx="654047" cy="43883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149230</xdr:colOff>
      <xdr:row>15</xdr:row>
      <xdr:rowOff>56468</xdr:rowOff>
    </xdr:from>
    <xdr:to>
      <xdr:col>27</xdr:col>
      <xdr:colOff>32383</xdr:colOff>
      <xdr:row>17</xdr:row>
      <xdr:rowOff>154305</xdr:rowOff>
    </xdr:to>
    <xdr:cxnSp macro="">
      <xdr:nvCxnSpPr>
        <xdr:cNvPr id="102" name="Straight Arrow Connector 101"/>
        <xdr:cNvCxnSpPr>
          <a:stCxn id="84" idx="0"/>
          <a:endCxn id="100" idx="3"/>
        </xdr:cNvCxnSpPr>
      </xdr:nvCxnSpPr>
      <xdr:spPr>
        <a:xfrm flipH="1" flipV="1">
          <a:off x="15998830" y="2485343"/>
          <a:ext cx="492753" cy="42168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138113</xdr:colOff>
      <xdr:row>19</xdr:row>
      <xdr:rowOff>38099</xdr:rowOff>
    </xdr:from>
    <xdr:to>
      <xdr:col>22</xdr:col>
      <xdr:colOff>238125</xdr:colOff>
      <xdr:row>22</xdr:row>
      <xdr:rowOff>76199</xdr:rowOff>
    </xdr:to>
    <xdr:sp macro="" textlink="">
      <xdr:nvSpPr>
        <xdr:cNvPr id="106" name="TextBox 160"/>
        <xdr:cNvSpPr txBox="1"/>
      </xdr:nvSpPr>
      <xdr:spPr>
        <a:xfrm>
          <a:off x="13844588" y="3119437"/>
          <a:ext cx="752475" cy="5238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Entrants via other initiatives</a:t>
          </a:r>
        </a:p>
      </xdr:txBody>
    </xdr:sp>
    <xdr:clientData/>
  </xdr:twoCellAnchor>
  <xdr:twoCellAnchor>
    <xdr:from>
      <xdr:col>20</xdr:col>
      <xdr:colOff>400050</xdr:colOff>
      <xdr:row>22</xdr:row>
      <xdr:rowOff>76199</xdr:rowOff>
    </xdr:from>
    <xdr:to>
      <xdr:col>21</xdr:col>
      <xdr:colOff>514351</xdr:colOff>
      <xdr:row>26</xdr:row>
      <xdr:rowOff>133350</xdr:rowOff>
    </xdr:to>
    <xdr:cxnSp macro="">
      <xdr:nvCxnSpPr>
        <xdr:cNvPr id="108" name="Straight Arrow Connector 107"/>
        <xdr:cNvCxnSpPr>
          <a:endCxn id="106" idx="2"/>
        </xdr:cNvCxnSpPr>
      </xdr:nvCxnSpPr>
      <xdr:spPr>
        <a:xfrm flipV="1">
          <a:off x="13454063" y="3643312"/>
          <a:ext cx="766763" cy="7048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2571750</xdr:colOff>
      <xdr:row>89</xdr:row>
      <xdr:rowOff>38100</xdr:rowOff>
    </xdr:from>
    <xdr:to>
      <xdr:col>10</xdr:col>
      <xdr:colOff>495300</xdr:colOff>
      <xdr:row>110</xdr:row>
      <xdr:rowOff>104775</xdr:rowOff>
    </xdr:to>
    <xdr:graphicFrame macro="">
      <xdr:nvGraphicFramePr>
        <xdr:cNvPr id="12402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485775</xdr:colOff>
      <xdr:row>89</xdr:row>
      <xdr:rowOff>38100</xdr:rowOff>
    </xdr:from>
    <xdr:to>
      <xdr:col>19</xdr:col>
      <xdr:colOff>342900</xdr:colOff>
      <xdr:row>110</xdr:row>
      <xdr:rowOff>114300</xdr:rowOff>
    </xdr:to>
    <xdr:graphicFrame macro="">
      <xdr:nvGraphicFramePr>
        <xdr:cNvPr id="12402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2571750</xdr:colOff>
      <xdr:row>110</xdr:row>
      <xdr:rowOff>104775</xdr:rowOff>
    </xdr:from>
    <xdr:to>
      <xdr:col>10</xdr:col>
      <xdr:colOff>485775</xdr:colOff>
      <xdr:row>132</xdr:row>
      <xdr:rowOff>19050</xdr:rowOff>
    </xdr:to>
    <xdr:graphicFrame macro="">
      <xdr:nvGraphicFramePr>
        <xdr:cNvPr id="12402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110</xdr:row>
      <xdr:rowOff>104775</xdr:rowOff>
    </xdr:from>
    <xdr:to>
      <xdr:col>19</xdr:col>
      <xdr:colOff>342900</xdr:colOff>
      <xdr:row>132</xdr:row>
      <xdr:rowOff>19050</xdr:rowOff>
    </xdr:to>
    <xdr:graphicFrame macro="">
      <xdr:nvGraphicFramePr>
        <xdr:cNvPr id="12402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485775</xdr:colOff>
      <xdr:row>132</xdr:row>
      <xdr:rowOff>19050</xdr:rowOff>
    </xdr:from>
    <xdr:to>
      <xdr:col>19</xdr:col>
      <xdr:colOff>342900</xdr:colOff>
      <xdr:row>153</xdr:row>
      <xdr:rowOff>85725</xdr:rowOff>
    </xdr:to>
    <xdr:graphicFrame macro="">
      <xdr:nvGraphicFramePr>
        <xdr:cNvPr id="12402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2571750</xdr:colOff>
      <xdr:row>153</xdr:row>
      <xdr:rowOff>85725</xdr:rowOff>
    </xdr:from>
    <xdr:to>
      <xdr:col>10</xdr:col>
      <xdr:colOff>485775</xdr:colOff>
      <xdr:row>174</xdr:row>
      <xdr:rowOff>152400</xdr:rowOff>
    </xdr:to>
    <xdr:graphicFrame macro="">
      <xdr:nvGraphicFramePr>
        <xdr:cNvPr id="1240270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2571750</xdr:colOff>
      <xdr:row>132</xdr:row>
      <xdr:rowOff>19050</xdr:rowOff>
    </xdr:from>
    <xdr:to>
      <xdr:col>10</xdr:col>
      <xdr:colOff>485775</xdr:colOff>
      <xdr:row>153</xdr:row>
      <xdr:rowOff>85725</xdr:rowOff>
    </xdr:to>
    <xdr:graphicFrame macro="">
      <xdr:nvGraphicFramePr>
        <xdr:cNvPr id="124027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485775</xdr:colOff>
      <xdr:row>153</xdr:row>
      <xdr:rowOff>85725</xdr:rowOff>
    </xdr:from>
    <xdr:to>
      <xdr:col>19</xdr:col>
      <xdr:colOff>342900</xdr:colOff>
      <xdr:row>174</xdr:row>
      <xdr:rowOff>152400</xdr:rowOff>
    </xdr:to>
    <xdr:graphicFrame macro="">
      <xdr:nvGraphicFramePr>
        <xdr:cNvPr id="1240270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2090738</xdr:colOff>
      <xdr:row>38</xdr:row>
      <xdr:rowOff>85725</xdr:rowOff>
    </xdr:from>
    <xdr:to>
      <xdr:col>11</xdr:col>
      <xdr:colOff>19050</xdr:colOff>
      <xdr:row>61</xdr:row>
      <xdr:rowOff>76200</xdr:rowOff>
    </xdr:to>
    <xdr:graphicFrame macro="">
      <xdr:nvGraphicFramePr>
        <xdr:cNvPr id="124119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38</xdr:row>
      <xdr:rowOff>85725</xdr:rowOff>
    </xdr:from>
    <xdr:to>
      <xdr:col>20</xdr:col>
      <xdr:colOff>171450</xdr:colOff>
      <xdr:row>61</xdr:row>
      <xdr:rowOff>76200</xdr:rowOff>
    </xdr:to>
    <xdr:graphicFrame macro="">
      <xdr:nvGraphicFramePr>
        <xdr:cNvPr id="124119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2090738</xdr:colOff>
      <xdr:row>61</xdr:row>
      <xdr:rowOff>76200</xdr:rowOff>
    </xdr:from>
    <xdr:to>
      <xdr:col>11</xdr:col>
      <xdr:colOff>19050</xdr:colOff>
      <xdr:row>84</xdr:row>
      <xdr:rowOff>57150</xdr:rowOff>
    </xdr:to>
    <xdr:graphicFrame macro="">
      <xdr:nvGraphicFramePr>
        <xdr:cNvPr id="124119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xdr:colOff>
      <xdr:row>61</xdr:row>
      <xdr:rowOff>76200</xdr:rowOff>
    </xdr:from>
    <xdr:to>
      <xdr:col>20</xdr:col>
      <xdr:colOff>161925</xdr:colOff>
      <xdr:row>84</xdr:row>
      <xdr:rowOff>57150</xdr:rowOff>
    </xdr:to>
    <xdr:graphicFrame macro="">
      <xdr:nvGraphicFramePr>
        <xdr:cNvPr id="124119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151</xdr:row>
          <xdr:rowOff>9525</xdr:rowOff>
        </xdr:from>
        <xdr:to>
          <xdr:col>3</xdr:col>
          <xdr:colOff>0</xdr:colOff>
          <xdr:row>152</xdr:row>
          <xdr:rowOff>152400</xdr:rowOff>
        </xdr:to>
        <xdr:sp macro="" textlink="">
          <xdr:nvSpPr>
            <xdr:cNvPr id="12161025" name="Drop Down 238593" hidden="1">
              <a:extLst>
                <a:ext uri="{63B3BB69-23CF-44E3-9099-C40C66FF867C}">
                  <a14:compatExt spid="_x0000_s1216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151</xdr:row>
          <xdr:rowOff>9525</xdr:rowOff>
        </xdr:from>
        <xdr:to>
          <xdr:col>7</xdr:col>
          <xdr:colOff>390525</xdr:colOff>
          <xdr:row>153</xdr:row>
          <xdr:rowOff>0</xdr:rowOff>
        </xdr:to>
        <xdr:sp macro="" textlink="">
          <xdr:nvSpPr>
            <xdr:cNvPr id="12161027" name="Drop Down 238595" hidden="1">
              <a:extLst>
                <a:ext uri="{63B3BB69-23CF-44E3-9099-C40C66FF867C}">
                  <a14:compatExt spid="_x0000_s1216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178</xdr:row>
          <xdr:rowOff>0</xdr:rowOff>
        </xdr:from>
        <xdr:to>
          <xdr:col>3</xdr:col>
          <xdr:colOff>123825</xdr:colOff>
          <xdr:row>180</xdr:row>
          <xdr:rowOff>9525</xdr:rowOff>
        </xdr:to>
        <xdr:sp macro="" textlink="">
          <xdr:nvSpPr>
            <xdr:cNvPr id="12161028" name="Drop Down 238596" hidden="1">
              <a:extLst>
                <a:ext uri="{63B3BB69-23CF-44E3-9099-C40C66FF867C}">
                  <a14:compatExt spid="_x0000_s1216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178</xdr:row>
          <xdr:rowOff>9525</xdr:rowOff>
        </xdr:from>
        <xdr:to>
          <xdr:col>7</xdr:col>
          <xdr:colOff>390525</xdr:colOff>
          <xdr:row>179</xdr:row>
          <xdr:rowOff>152400</xdr:rowOff>
        </xdr:to>
        <xdr:sp macro="" textlink="">
          <xdr:nvSpPr>
            <xdr:cNvPr id="12161030" name="Drop Down 238598" hidden="1">
              <a:extLst>
                <a:ext uri="{63B3BB69-23CF-44E3-9099-C40C66FF867C}">
                  <a14:compatExt spid="_x0000_s1216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0</xdr:rowOff>
        </xdr:from>
        <xdr:to>
          <xdr:col>11</xdr:col>
          <xdr:colOff>400050</xdr:colOff>
          <xdr:row>180</xdr:row>
          <xdr:rowOff>0</xdr:rowOff>
        </xdr:to>
        <xdr:sp macro="" textlink="">
          <xdr:nvSpPr>
            <xdr:cNvPr id="12161031" name="Drop Down 238599" hidden="1">
              <a:extLst>
                <a:ext uri="{63B3BB69-23CF-44E3-9099-C40C66FF867C}">
                  <a14:compatExt spid="_x0000_s1216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178</xdr:row>
          <xdr:rowOff>0</xdr:rowOff>
        </xdr:from>
        <xdr:to>
          <xdr:col>15</xdr:col>
          <xdr:colOff>228600</xdr:colOff>
          <xdr:row>180</xdr:row>
          <xdr:rowOff>0</xdr:rowOff>
        </xdr:to>
        <xdr:sp macro="" textlink="">
          <xdr:nvSpPr>
            <xdr:cNvPr id="12161032" name="Drop Down 238600" hidden="1">
              <a:extLst>
                <a:ext uri="{63B3BB69-23CF-44E3-9099-C40C66FF867C}">
                  <a14:compatExt spid="_x0000_s1216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197</xdr:row>
          <xdr:rowOff>0</xdr:rowOff>
        </xdr:from>
        <xdr:to>
          <xdr:col>3</xdr:col>
          <xdr:colOff>485775</xdr:colOff>
          <xdr:row>199</xdr:row>
          <xdr:rowOff>0</xdr:rowOff>
        </xdr:to>
        <xdr:sp macro="" textlink="">
          <xdr:nvSpPr>
            <xdr:cNvPr id="12161033" name="Drop Down 238601" hidden="1">
              <a:extLst>
                <a:ext uri="{63B3BB69-23CF-44E3-9099-C40C66FF867C}">
                  <a14:compatExt spid="_x0000_s1216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197</xdr:row>
          <xdr:rowOff>9525</xdr:rowOff>
        </xdr:from>
        <xdr:to>
          <xdr:col>8</xdr:col>
          <xdr:colOff>152400</xdr:colOff>
          <xdr:row>198</xdr:row>
          <xdr:rowOff>152400</xdr:rowOff>
        </xdr:to>
        <xdr:sp macro="" textlink="">
          <xdr:nvSpPr>
            <xdr:cNvPr id="12161034" name="Drop Down 238602" hidden="1">
              <a:extLst>
                <a:ext uri="{63B3BB69-23CF-44E3-9099-C40C66FF867C}">
                  <a14:compatExt spid="_x0000_s1216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216</xdr:row>
          <xdr:rowOff>9525</xdr:rowOff>
        </xdr:from>
        <xdr:to>
          <xdr:col>3</xdr:col>
          <xdr:colOff>400050</xdr:colOff>
          <xdr:row>218</xdr:row>
          <xdr:rowOff>0</xdr:rowOff>
        </xdr:to>
        <xdr:sp macro="" textlink="">
          <xdr:nvSpPr>
            <xdr:cNvPr id="12161035" name="Drop Down 238603" hidden="1">
              <a:extLst>
                <a:ext uri="{63B3BB69-23CF-44E3-9099-C40C66FF867C}">
                  <a14:compatExt spid="_x0000_s1216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216</xdr:row>
          <xdr:rowOff>0</xdr:rowOff>
        </xdr:from>
        <xdr:to>
          <xdr:col>8</xdr:col>
          <xdr:colOff>95250</xdr:colOff>
          <xdr:row>218</xdr:row>
          <xdr:rowOff>0</xdr:rowOff>
        </xdr:to>
        <xdr:sp macro="" textlink="">
          <xdr:nvSpPr>
            <xdr:cNvPr id="12161036" name="Drop Down 238604" hidden="1">
              <a:extLst>
                <a:ext uri="{63B3BB69-23CF-44E3-9099-C40C66FF867C}">
                  <a14:compatExt spid="_x0000_s1216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237</xdr:row>
          <xdr:rowOff>9525</xdr:rowOff>
        </xdr:from>
        <xdr:to>
          <xdr:col>3</xdr:col>
          <xdr:colOff>495300</xdr:colOff>
          <xdr:row>239</xdr:row>
          <xdr:rowOff>0</xdr:rowOff>
        </xdr:to>
        <xdr:sp macro="" textlink="">
          <xdr:nvSpPr>
            <xdr:cNvPr id="12161157" name="Drop Down 238725" hidden="1">
              <a:extLst>
                <a:ext uri="{63B3BB69-23CF-44E3-9099-C40C66FF867C}">
                  <a14:compatExt spid="_x0000_s1216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237</xdr:row>
          <xdr:rowOff>0</xdr:rowOff>
        </xdr:from>
        <xdr:to>
          <xdr:col>8</xdr:col>
          <xdr:colOff>219075</xdr:colOff>
          <xdr:row>239</xdr:row>
          <xdr:rowOff>0</xdr:rowOff>
        </xdr:to>
        <xdr:sp macro="" textlink="">
          <xdr:nvSpPr>
            <xdr:cNvPr id="12161158" name="Drop Down 238726" hidden="1">
              <a:extLst>
                <a:ext uri="{63B3BB69-23CF-44E3-9099-C40C66FF867C}">
                  <a14:compatExt spid="_x0000_s1216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263</xdr:row>
          <xdr:rowOff>142875</xdr:rowOff>
        </xdr:from>
        <xdr:to>
          <xdr:col>3</xdr:col>
          <xdr:colOff>0</xdr:colOff>
          <xdr:row>266</xdr:row>
          <xdr:rowOff>38100</xdr:rowOff>
        </xdr:to>
        <xdr:sp macro="" textlink="">
          <xdr:nvSpPr>
            <xdr:cNvPr id="12161242" name="Drop Down 238810" hidden="1">
              <a:extLst>
                <a:ext uri="{63B3BB69-23CF-44E3-9099-C40C66FF867C}">
                  <a14:compatExt spid="_x0000_s1216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263</xdr:row>
          <xdr:rowOff>133350</xdr:rowOff>
        </xdr:from>
        <xdr:to>
          <xdr:col>7</xdr:col>
          <xdr:colOff>390525</xdr:colOff>
          <xdr:row>266</xdr:row>
          <xdr:rowOff>47625</xdr:rowOff>
        </xdr:to>
        <xdr:sp macro="" textlink="">
          <xdr:nvSpPr>
            <xdr:cNvPr id="12161243" name="Drop Down 238811" hidden="1">
              <a:extLst>
                <a:ext uri="{63B3BB69-23CF-44E3-9099-C40C66FF867C}">
                  <a14:compatExt spid="_x0000_s1216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304</xdr:row>
          <xdr:rowOff>9525</xdr:rowOff>
        </xdr:from>
        <xdr:to>
          <xdr:col>3</xdr:col>
          <xdr:colOff>0</xdr:colOff>
          <xdr:row>306</xdr:row>
          <xdr:rowOff>19050</xdr:rowOff>
        </xdr:to>
        <xdr:sp macro="" textlink="">
          <xdr:nvSpPr>
            <xdr:cNvPr id="12161244" name="Drop Down 238812" hidden="1">
              <a:extLst>
                <a:ext uri="{63B3BB69-23CF-44E3-9099-C40C66FF867C}">
                  <a14:compatExt spid="_x0000_s1216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304</xdr:row>
          <xdr:rowOff>19050</xdr:rowOff>
        </xdr:from>
        <xdr:to>
          <xdr:col>7</xdr:col>
          <xdr:colOff>400050</xdr:colOff>
          <xdr:row>306</xdr:row>
          <xdr:rowOff>19050</xdr:rowOff>
        </xdr:to>
        <xdr:sp macro="" textlink="">
          <xdr:nvSpPr>
            <xdr:cNvPr id="12161246" name="Drop Down 238814" hidden="1">
              <a:extLst>
                <a:ext uri="{63B3BB69-23CF-44E3-9099-C40C66FF867C}">
                  <a14:compatExt spid="_x0000_s1216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5</xdr:col>
          <xdr:colOff>9525</xdr:colOff>
          <xdr:row>350</xdr:row>
          <xdr:rowOff>28575</xdr:rowOff>
        </xdr:to>
        <xdr:sp macro="" textlink="">
          <xdr:nvSpPr>
            <xdr:cNvPr id="12161247" name="Drop Down 238815" hidden="1">
              <a:extLst>
                <a:ext uri="{63B3BB69-23CF-44E3-9099-C40C66FF867C}">
                  <a14:compatExt spid="_x0000_s1216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195263</xdr:colOff>
      <xdr:row>32</xdr:row>
      <xdr:rowOff>66675</xdr:rowOff>
    </xdr:from>
    <xdr:to>
      <xdr:col>21</xdr:col>
      <xdr:colOff>704850</xdr:colOff>
      <xdr:row>53</xdr:row>
      <xdr:rowOff>252413</xdr:rowOff>
    </xdr:to>
    <xdr:graphicFrame macro="">
      <xdr:nvGraphicFramePr>
        <xdr:cNvPr id="121617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376238</xdr:colOff>
      <xdr:row>173</xdr:row>
      <xdr:rowOff>14288</xdr:rowOff>
    </xdr:from>
    <xdr:to>
      <xdr:col>26</xdr:col>
      <xdr:colOff>123826</xdr:colOff>
      <xdr:row>193</xdr:row>
      <xdr:rowOff>147638</xdr:rowOff>
    </xdr:to>
    <xdr:graphicFrame macro="">
      <xdr:nvGraphicFramePr>
        <xdr:cNvPr id="121617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13</xdr:col>
      <xdr:colOff>190500</xdr:colOff>
      <xdr:row>176</xdr:row>
      <xdr:rowOff>157163</xdr:rowOff>
    </xdr:from>
    <xdr:ext cx="184731" cy="264560"/>
    <xdr:sp macro="" textlink="">
      <xdr:nvSpPr>
        <xdr:cNvPr id="4" name="TextBox 3"/>
        <xdr:cNvSpPr txBox="1"/>
      </xdr:nvSpPr>
      <xdr:spPr>
        <a:xfrm>
          <a:off x="10525125" y="330469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9</xdr:col>
      <xdr:colOff>159543</xdr:colOff>
      <xdr:row>319</xdr:row>
      <xdr:rowOff>45242</xdr:rowOff>
    </xdr:from>
    <xdr:to>
      <xdr:col>19</xdr:col>
      <xdr:colOff>171450</xdr:colOff>
      <xdr:row>342</xdr:row>
      <xdr:rowOff>169332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9525</xdr:colOff>
      <xdr:row>20</xdr:row>
      <xdr:rowOff>95250</xdr:rowOff>
    </xdr:from>
    <xdr:to>
      <xdr:col>23</xdr:col>
      <xdr:colOff>485775</xdr:colOff>
      <xdr:row>41</xdr:row>
      <xdr:rowOff>152400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161925</xdr:colOff>
          <xdr:row>14</xdr:row>
          <xdr:rowOff>28575</xdr:rowOff>
        </xdr:from>
        <xdr:to>
          <xdr:col>11</xdr:col>
          <xdr:colOff>552450</xdr:colOff>
          <xdr:row>16</xdr:row>
          <xdr:rowOff>66675</xdr:rowOff>
        </xdr:to>
        <xdr:sp macro="" textlink="">
          <xdr:nvSpPr>
            <xdr:cNvPr id="12179457" name="Drop Down 1" hidden="1">
              <a:extLst>
                <a:ext uri="{63B3BB69-23CF-44E3-9099-C40C66FF867C}">
                  <a14:compatExt spid="_x0000_s1217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18</xdr:row>
          <xdr:rowOff>66675</xdr:rowOff>
        </xdr:from>
        <xdr:to>
          <xdr:col>16</xdr:col>
          <xdr:colOff>219075</xdr:colOff>
          <xdr:row>20</xdr:row>
          <xdr:rowOff>0</xdr:rowOff>
        </xdr:to>
        <xdr:sp macro="" textlink="">
          <xdr:nvSpPr>
            <xdr:cNvPr id="12179458" name="Drop Down 2" hidden="1">
              <a:extLst>
                <a:ext uri="{63B3BB69-23CF-44E3-9099-C40C66FF867C}">
                  <a14:compatExt spid="_x0000_s1217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18</xdr:row>
          <xdr:rowOff>57150</xdr:rowOff>
        </xdr:from>
        <xdr:to>
          <xdr:col>19</xdr:col>
          <xdr:colOff>428625</xdr:colOff>
          <xdr:row>20</xdr:row>
          <xdr:rowOff>0</xdr:rowOff>
        </xdr:to>
        <xdr:sp macro="" textlink="">
          <xdr:nvSpPr>
            <xdr:cNvPr id="12179459" name="Drop Down 3" hidden="1">
              <a:extLst>
                <a:ext uri="{63B3BB69-23CF-44E3-9099-C40C66FF867C}">
                  <a14:compatExt spid="_x0000_s1217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504825</xdr:colOff>
          <xdr:row>18</xdr:row>
          <xdr:rowOff>57150</xdr:rowOff>
        </xdr:from>
        <xdr:to>
          <xdr:col>23</xdr:col>
          <xdr:colOff>66675</xdr:colOff>
          <xdr:row>20</xdr:row>
          <xdr:rowOff>0</xdr:rowOff>
        </xdr:to>
        <xdr:sp macro="" textlink="">
          <xdr:nvSpPr>
            <xdr:cNvPr id="12179460" name="Drop Down 4" hidden="1">
              <a:extLst>
                <a:ext uri="{63B3BB69-23CF-44E3-9099-C40C66FF867C}">
                  <a14:compatExt spid="_x0000_s12179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604838</xdr:colOff>
      <xdr:row>10</xdr:row>
      <xdr:rowOff>19050</xdr:rowOff>
    </xdr:from>
    <xdr:to>
      <xdr:col>8</xdr:col>
      <xdr:colOff>295275</xdr:colOff>
      <xdr:row>27</xdr:row>
      <xdr:rowOff>19050</xdr:rowOff>
    </xdr:to>
    <xdr:graphicFrame macro="">
      <xdr:nvGraphicFramePr>
        <xdr:cNvPr id="122030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10</xdr:row>
      <xdr:rowOff>19050</xdr:rowOff>
    </xdr:from>
    <xdr:to>
      <xdr:col>15</xdr:col>
      <xdr:colOff>595313</xdr:colOff>
      <xdr:row>27</xdr:row>
      <xdr:rowOff>19050</xdr:rowOff>
    </xdr:to>
    <xdr:graphicFrame macro="">
      <xdr:nvGraphicFramePr>
        <xdr:cNvPr id="122030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27</xdr:row>
      <xdr:rowOff>9525</xdr:rowOff>
    </xdr:from>
    <xdr:to>
      <xdr:col>8</xdr:col>
      <xdr:colOff>295275</xdr:colOff>
      <xdr:row>43</xdr:row>
      <xdr:rowOff>152400</xdr:rowOff>
    </xdr:to>
    <xdr:graphicFrame macro="">
      <xdr:nvGraphicFramePr>
        <xdr:cNvPr id="122030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285750</xdr:colOff>
      <xdr:row>27</xdr:row>
      <xdr:rowOff>9525</xdr:rowOff>
    </xdr:from>
    <xdr:to>
      <xdr:col>15</xdr:col>
      <xdr:colOff>595313</xdr:colOff>
      <xdr:row>43</xdr:row>
      <xdr:rowOff>142875</xdr:rowOff>
    </xdr:to>
    <xdr:graphicFrame macro="">
      <xdr:nvGraphicFramePr>
        <xdr:cNvPr id="122030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285750</xdr:colOff>
      <xdr:row>60</xdr:row>
      <xdr:rowOff>142875</xdr:rowOff>
    </xdr:to>
    <xdr:graphicFrame macro="">
      <xdr:nvGraphicFramePr>
        <xdr:cNvPr id="122030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285750</xdr:colOff>
      <xdr:row>43</xdr:row>
      <xdr:rowOff>142875</xdr:rowOff>
    </xdr:from>
    <xdr:to>
      <xdr:col>15</xdr:col>
      <xdr:colOff>595313</xdr:colOff>
      <xdr:row>60</xdr:row>
      <xdr:rowOff>142875</xdr:rowOff>
    </xdr:to>
    <xdr:graphicFrame macro="">
      <xdr:nvGraphicFramePr>
        <xdr:cNvPr id="1220302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133350</xdr:rowOff>
    </xdr:from>
    <xdr:to>
      <xdr:col>8</xdr:col>
      <xdr:colOff>295275</xdr:colOff>
      <xdr:row>77</xdr:row>
      <xdr:rowOff>114300</xdr:rowOff>
    </xdr:to>
    <xdr:graphicFrame macro="">
      <xdr:nvGraphicFramePr>
        <xdr:cNvPr id="1220302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285750</xdr:colOff>
      <xdr:row>60</xdr:row>
      <xdr:rowOff>133350</xdr:rowOff>
    </xdr:from>
    <xdr:to>
      <xdr:col>15</xdr:col>
      <xdr:colOff>595313</xdr:colOff>
      <xdr:row>77</xdr:row>
      <xdr:rowOff>114300</xdr:rowOff>
    </xdr:to>
    <xdr:graphicFrame macro="">
      <xdr:nvGraphicFramePr>
        <xdr:cNvPr id="1220302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604838</xdr:colOff>
      <xdr:row>10</xdr:row>
      <xdr:rowOff>9525</xdr:rowOff>
    </xdr:from>
    <xdr:to>
      <xdr:col>8</xdr:col>
      <xdr:colOff>319088</xdr:colOff>
      <xdr:row>27</xdr:row>
      <xdr:rowOff>0</xdr:rowOff>
    </xdr:to>
    <xdr:graphicFrame macro="">
      <xdr:nvGraphicFramePr>
        <xdr:cNvPr id="121722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319088</xdr:colOff>
      <xdr:row>10</xdr:row>
      <xdr:rowOff>9525</xdr:rowOff>
    </xdr:from>
    <xdr:to>
      <xdr:col>16</xdr:col>
      <xdr:colOff>0</xdr:colOff>
      <xdr:row>26</xdr:row>
      <xdr:rowOff>152400</xdr:rowOff>
    </xdr:to>
    <xdr:graphicFrame macro="">
      <xdr:nvGraphicFramePr>
        <xdr:cNvPr id="12172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26</xdr:row>
      <xdr:rowOff>152400</xdr:rowOff>
    </xdr:from>
    <xdr:to>
      <xdr:col>8</xdr:col>
      <xdr:colOff>319088</xdr:colOff>
      <xdr:row>43</xdr:row>
      <xdr:rowOff>142875</xdr:rowOff>
    </xdr:to>
    <xdr:graphicFrame macro="">
      <xdr:nvGraphicFramePr>
        <xdr:cNvPr id="121722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319088</xdr:colOff>
      <xdr:row>26</xdr:row>
      <xdr:rowOff>152400</xdr:rowOff>
    </xdr:from>
    <xdr:to>
      <xdr:col>16</xdr:col>
      <xdr:colOff>0</xdr:colOff>
      <xdr:row>43</xdr:row>
      <xdr:rowOff>142875</xdr:rowOff>
    </xdr:to>
    <xdr:graphicFrame macro="">
      <xdr:nvGraphicFramePr>
        <xdr:cNvPr id="1217229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319088</xdr:colOff>
      <xdr:row>60</xdr:row>
      <xdr:rowOff>142875</xdr:rowOff>
    </xdr:to>
    <xdr:graphicFrame macro="">
      <xdr:nvGraphicFramePr>
        <xdr:cNvPr id="1217230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319088</xdr:colOff>
      <xdr:row>43</xdr:row>
      <xdr:rowOff>142875</xdr:rowOff>
    </xdr:from>
    <xdr:to>
      <xdr:col>16</xdr:col>
      <xdr:colOff>0</xdr:colOff>
      <xdr:row>60</xdr:row>
      <xdr:rowOff>142875</xdr:rowOff>
    </xdr:to>
    <xdr:graphicFrame macro="">
      <xdr:nvGraphicFramePr>
        <xdr:cNvPr id="1217230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142875</xdr:rowOff>
    </xdr:from>
    <xdr:to>
      <xdr:col>8</xdr:col>
      <xdr:colOff>319088</xdr:colOff>
      <xdr:row>77</xdr:row>
      <xdr:rowOff>142875</xdr:rowOff>
    </xdr:to>
    <xdr:graphicFrame macro="">
      <xdr:nvGraphicFramePr>
        <xdr:cNvPr id="1217230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319088</xdr:colOff>
      <xdr:row>60</xdr:row>
      <xdr:rowOff>142875</xdr:rowOff>
    </xdr:from>
    <xdr:to>
      <xdr:col>16</xdr:col>
      <xdr:colOff>0</xdr:colOff>
      <xdr:row>77</xdr:row>
      <xdr:rowOff>142875</xdr:rowOff>
    </xdr:to>
    <xdr:graphicFrame macro="">
      <xdr:nvGraphicFramePr>
        <xdr:cNvPr id="1217230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10</xdr:row>
      <xdr:rowOff>38100</xdr:rowOff>
    </xdr:from>
    <xdr:to>
      <xdr:col>10</xdr:col>
      <xdr:colOff>133350</xdr:colOff>
      <xdr:row>35</xdr:row>
      <xdr:rowOff>9525</xdr:rowOff>
    </xdr:to>
    <xdr:graphicFrame macro="">
      <xdr:nvGraphicFramePr>
        <xdr:cNvPr id="2080051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538163</xdr:colOff>
      <xdr:row>82</xdr:row>
      <xdr:rowOff>95250</xdr:rowOff>
    </xdr:from>
    <xdr:to>
      <xdr:col>10</xdr:col>
      <xdr:colOff>161925</xdr:colOff>
      <xdr:row>114</xdr:row>
      <xdr:rowOff>57150</xdr:rowOff>
    </xdr:to>
    <xdr:graphicFrame macro="">
      <xdr:nvGraphicFramePr>
        <xdr:cNvPr id="20800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82</xdr:row>
      <xdr:rowOff>95250</xdr:rowOff>
    </xdr:from>
    <xdr:to>
      <xdr:col>19</xdr:col>
      <xdr:colOff>590550</xdr:colOff>
      <xdr:row>114</xdr:row>
      <xdr:rowOff>57150</xdr:rowOff>
    </xdr:to>
    <xdr:graphicFrame macro="">
      <xdr:nvGraphicFramePr>
        <xdr:cNvPr id="2080051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490538</xdr:colOff>
      <xdr:row>130</xdr:row>
      <xdr:rowOff>19050</xdr:rowOff>
    </xdr:from>
    <xdr:to>
      <xdr:col>8</xdr:col>
      <xdr:colOff>266700</xdr:colOff>
      <xdr:row>155</xdr:row>
      <xdr:rowOff>76200</xdr:rowOff>
    </xdr:to>
    <xdr:graphicFrame macro="">
      <xdr:nvGraphicFramePr>
        <xdr:cNvPr id="208005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919163</xdr:colOff>
      <xdr:row>191</xdr:row>
      <xdr:rowOff>128588</xdr:rowOff>
    </xdr:from>
    <xdr:to>
      <xdr:col>22</xdr:col>
      <xdr:colOff>1062038</xdr:colOff>
      <xdr:row>212</xdr:row>
      <xdr:rowOff>223838</xdr:rowOff>
    </xdr:to>
    <xdr:graphicFrame macro="">
      <xdr:nvGraphicFramePr>
        <xdr:cNvPr id="121897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1071563</xdr:colOff>
      <xdr:row>191</xdr:row>
      <xdr:rowOff>128588</xdr:rowOff>
    </xdr:from>
    <xdr:to>
      <xdr:col>29</xdr:col>
      <xdr:colOff>90488</xdr:colOff>
      <xdr:row>212</xdr:row>
      <xdr:rowOff>223838</xdr:rowOff>
    </xdr:to>
    <xdr:graphicFrame macro="">
      <xdr:nvGraphicFramePr>
        <xdr:cNvPr id="12189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161925</xdr:colOff>
      <xdr:row>111</xdr:row>
      <xdr:rowOff>28575</xdr:rowOff>
    </xdr:from>
    <xdr:to>
      <xdr:col>8</xdr:col>
      <xdr:colOff>581025</xdr:colOff>
      <xdr:row>133</xdr:row>
      <xdr:rowOff>0</xdr:rowOff>
    </xdr:to>
    <xdr:graphicFrame macro="">
      <xdr:nvGraphicFramePr>
        <xdr:cNvPr id="122357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111</xdr:row>
      <xdr:rowOff>28575</xdr:rowOff>
    </xdr:from>
    <xdr:to>
      <xdr:col>15</xdr:col>
      <xdr:colOff>90488</xdr:colOff>
      <xdr:row>133</xdr:row>
      <xdr:rowOff>0</xdr:rowOff>
    </xdr:to>
    <xdr:graphicFrame macro="">
      <xdr:nvGraphicFramePr>
        <xdr:cNvPr id="122357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swau\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statistics/teacher-supply-model-2017-to-2018" TargetMode="Externa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21.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2.bin"/><Relationship Id="rId1" Type="http://schemas.openxmlformats.org/officeDocument/2006/relationships/hyperlink" Target="https://www.gov.uk/government/statistics/initial-teacher-training-trainee-number-census-2016-to-2017"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M124"/>
  <sheetViews>
    <sheetView tabSelected="1" zoomScaleNormal="100" workbookViewId="0">
      <pane ySplit="4" topLeftCell="A5" activePane="bottomLeft" state="frozen"/>
      <selection pane="bottomLeft"/>
    </sheetView>
  </sheetViews>
  <sheetFormatPr defaultColWidth="9.140625" defaultRowHeight="12.75"/>
  <cols>
    <col min="1" max="2" width="4.5703125" style="16" customWidth="1"/>
    <col min="3" max="3" width="9.140625" style="16" customWidth="1"/>
    <col min="4" max="4" width="12.5703125" style="16" bestFit="1" customWidth="1"/>
    <col min="5" max="6" width="9.140625" style="16"/>
    <col min="7" max="7" width="21.140625" style="16" customWidth="1"/>
    <col min="8" max="8" width="40.7109375" style="16" customWidth="1"/>
    <col min="9" max="11" width="20.7109375" style="16" customWidth="1"/>
    <col min="12" max="12" width="9.140625" style="16"/>
    <col min="13" max="13" width="15.7109375" style="204" customWidth="1"/>
    <col min="14" max="16384" width="9.140625" style="16"/>
  </cols>
  <sheetData>
    <row r="1" spans="1:13" s="20" customFormat="1">
      <c r="M1" s="202"/>
    </row>
    <row r="2" spans="1:13" s="20" customFormat="1" ht="18">
      <c r="E2" s="27" t="str">
        <f>ModelName</f>
        <v>Teacher Supply Model 2018/19</v>
      </c>
      <c r="M2" s="202"/>
    </row>
    <row r="3" spans="1:13" s="20" customFormat="1">
      <c r="A3" s="26"/>
      <c r="D3" s="22"/>
      <c r="E3" s="199" t="str">
        <f>H9</f>
        <v>TSM_201819 Publication</v>
      </c>
      <c r="M3" s="202"/>
    </row>
    <row r="4" spans="1:13" s="20" customFormat="1">
      <c r="M4" s="202"/>
    </row>
    <row r="6" spans="1:13" s="22" customFormat="1">
      <c r="A6" s="16"/>
      <c r="B6" s="21">
        <v>1</v>
      </c>
      <c r="C6" s="21"/>
      <c r="D6" s="21" t="s">
        <v>9</v>
      </c>
      <c r="M6" s="203"/>
    </row>
    <row r="8" spans="1:13">
      <c r="E8" s="16" t="s">
        <v>15</v>
      </c>
      <c r="H8" s="36" t="str">
        <f>ModelName</f>
        <v>Teacher Supply Model 2018/19</v>
      </c>
    </row>
    <row r="9" spans="1:13">
      <c r="E9" s="16" t="s">
        <v>14</v>
      </c>
      <c r="H9" s="36" t="str">
        <f>CurrentVersion</f>
        <v>TSM_201819 Publication</v>
      </c>
    </row>
    <row r="10" spans="1:13">
      <c r="E10" s="16" t="s">
        <v>379</v>
      </c>
      <c r="H10" s="1125">
        <f>M17</f>
        <v>0</v>
      </c>
    </row>
    <row r="12" spans="1:13">
      <c r="G12" s="52"/>
      <c r="H12" s="51"/>
    </row>
    <row r="14" spans="1:13" s="20" customFormat="1">
      <c r="A14" s="16"/>
      <c r="B14" s="22">
        <v>2</v>
      </c>
      <c r="D14" s="21" t="s">
        <v>13</v>
      </c>
      <c r="M14" s="202"/>
    </row>
    <row r="15" spans="1:13">
      <c r="E15" s="17"/>
      <c r="F15" s="17"/>
      <c r="G15" s="17"/>
      <c r="H15" s="17"/>
      <c r="I15" s="17"/>
      <c r="J15" s="17"/>
      <c r="K15" s="17"/>
    </row>
    <row r="16" spans="1:13">
      <c r="C16" s="19">
        <f ca="1">MAX($B$6:OFFSET(C16,-1,))+0.01</f>
        <v>2.0099999999999998</v>
      </c>
      <c r="D16" s="18" t="s">
        <v>12</v>
      </c>
      <c r="E16" s="17"/>
      <c r="F16" s="17"/>
      <c r="G16" s="17"/>
      <c r="H16" s="106"/>
      <c r="I16" s="17"/>
      <c r="J16" s="17"/>
      <c r="K16" s="17"/>
      <c r="M16" s="205" t="s">
        <v>178</v>
      </c>
    </row>
    <row r="17" spans="3:13">
      <c r="E17" s="17"/>
      <c r="F17" s="17"/>
      <c r="G17" s="17"/>
      <c r="H17" s="17"/>
      <c r="I17" s="17"/>
      <c r="J17" s="17"/>
      <c r="K17" s="17"/>
      <c r="M17" s="1032">
        <f>SUM(M18:M187)</f>
        <v>0</v>
      </c>
    </row>
    <row r="18" spans="3:13" ht="12.75" customHeight="1">
      <c r="E18" s="279" t="s">
        <v>9</v>
      </c>
      <c r="F18" s="108"/>
      <c r="G18" s="17"/>
      <c r="H18" s="1141" t="s">
        <v>1341</v>
      </c>
      <c r="I18" s="1141"/>
      <c r="J18" s="1141"/>
      <c r="K18" s="1141"/>
      <c r="M18" s="933"/>
    </row>
    <row r="19" spans="3:13">
      <c r="E19" s="932" t="s">
        <v>28</v>
      </c>
      <c r="F19" s="108"/>
      <c r="G19" s="17"/>
      <c r="H19" s="1141" t="s">
        <v>232</v>
      </c>
      <c r="I19" s="1141"/>
      <c r="J19" s="1141"/>
      <c r="K19" s="1141"/>
      <c r="M19" s="934"/>
    </row>
    <row r="20" spans="3:13">
      <c r="E20" s="42" t="s">
        <v>29</v>
      </c>
      <c r="F20" s="108"/>
      <c r="G20" s="40"/>
      <c r="H20" s="1141" t="s">
        <v>38</v>
      </c>
      <c r="I20" s="1141"/>
      <c r="J20" s="1141"/>
      <c r="K20" s="1141"/>
      <c r="M20" s="934"/>
    </row>
    <row r="21" spans="3:13">
      <c r="E21" s="714" t="s">
        <v>1285</v>
      </c>
      <c r="F21" s="108"/>
      <c r="G21" s="40"/>
      <c r="H21" s="1138" t="s">
        <v>39</v>
      </c>
      <c r="I21" s="1139"/>
      <c r="J21" s="1139"/>
      <c r="K21" s="1140"/>
      <c r="M21" s="934"/>
    </row>
    <row r="22" spans="3:13">
      <c r="E22" s="280"/>
      <c r="M22" s="934"/>
    </row>
    <row r="23" spans="3:13">
      <c r="C23" s="19">
        <f ca="1">MAX($B$6:OFFSET(C23,-1,))+0.01</f>
        <v>2.0199999999999996</v>
      </c>
      <c r="D23" s="18" t="s">
        <v>31</v>
      </c>
      <c r="E23" s="17"/>
      <c r="F23" s="17"/>
      <c r="G23" s="17"/>
      <c r="H23" s="17"/>
      <c r="I23" s="17"/>
      <c r="J23" s="17"/>
      <c r="K23" s="17"/>
      <c r="M23" s="934"/>
    </row>
    <row r="24" spans="3:13">
      <c r="E24" s="17"/>
      <c r="F24" s="17"/>
      <c r="G24" s="17"/>
      <c r="H24" s="17"/>
      <c r="I24" s="17"/>
      <c r="J24" s="17"/>
      <c r="K24" s="17"/>
      <c r="M24" s="934"/>
    </row>
    <row r="25" spans="3:13">
      <c r="E25" s="714" t="s">
        <v>1344</v>
      </c>
      <c r="F25" s="17"/>
      <c r="G25" s="41"/>
      <c r="H25" s="1141" t="s">
        <v>231</v>
      </c>
      <c r="I25" s="1141"/>
      <c r="J25" s="1141"/>
      <c r="K25" s="1141"/>
      <c r="M25" s="937">
        <f>RAW_DATA_INPUTS!A9</f>
        <v>0</v>
      </c>
    </row>
    <row r="26" spans="3:13">
      <c r="E26" s="714" t="s">
        <v>1438</v>
      </c>
      <c r="F26" s="17"/>
      <c r="G26" s="41"/>
      <c r="H26" s="1141" t="s">
        <v>1342</v>
      </c>
      <c r="I26" s="1141"/>
      <c r="J26" s="1141"/>
      <c r="K26" s="1141"/>
      <c r="M26" s="938">
        <f>Policy_assumptions_PRIM!A10</f>
        <v>0</v>
      </c>
    </row>
    <row r="27" spans="3:13">
      <c r="E27" s="714" t="s">
        <v>1439</v>
      </c>
      <c r="F27" s="17"/>
      <c r="G27" s="41"/>
      <c r="H27" s="1141" t="s">
        <v>1343</v>
      </c>
      <c r="I27" s="1141"/>
      <c r="J27" s="1141"/>
      <c r="K27" s="1141"/>
      <c r="M27" s="938">
        <f>Policy_assumptions_SEC!A10</f>
        <v>0</v>
      </c>
    </row>
    <row r="28" spans="3:13">
      <c r="E28" s="714" t="s">
        <v>1339</v>
      </c>
      <c r="G28" s="40"/>
      <c r="H28" s="1141" t="s">
        <v>1340</v>
      </c>
      <c r="I28" s="1141"/>
      <c r="J28" s="1141"/>
      <c r="K28" s="1141"/>
      <c r="M28" s="938">
        <f>Data_selected_by_user_testing!B10</f>
        <v>0</v>
      </c>
    </row>
    <row r="29" spans="3:13" s="709" customFormat="1">
      <c r="E29" s="714" t="s">
        <v>1523</v>
      </c>
      <c r="G29" s="40"/>
      <c r="H29" s="1138" t="s">
        <v>1526</v>
      </c>
      <c r="I29" s="1139"/>
      <c r="J29" s="1139"/>
      <c r="K29" s="1140"/>
      <c r="M29" s="938">
        <f>Increased_EBacc_scenario_data!B10</f>
        <v>0</v>
      </c>
    </row>
    <row r="30" spans="3:13">
      <c r="M30" s="935"/>
    </row>
    <row r="31" spans="3:13">
      <c r="C31" s="19">
        <f ca="1">MAX($B$6:OFFSET(C31,-1,))+0.01</f>
        <v>2.0299999999999994</v>
      </c>
      <c r="D31" s="18" t="s">
        <v>11</v>
      </c>
      <c r="M31" s="935"/>
    </row>
    <row r="32" spans="3:13">
      <c r="E32" s="40"/>
      <c r="G32" s="40"/>
      <c r="M32" s="936"/>
    </row>
    <row r="33" spans="5:13">
      <c r="E33" s="714" t="s">
        <v>1365</v>
      </c>
      <c r="G33" s="40"/>
      <c r="H33" s="1141" t="s">
        <v>1345</v>
      </c>
      <c r="I33" s="1141"/>
      <c r="J33" s="1141"/>
      <c r="K33" s="1141"/>
      <c r="M33" s="938">
        <f>Calc_PRIM_retirement_rates!A10</f>
        <v>0</v>
      </c>
    </row>
    <row r="34" spans="5:13">
      <c r="E34" s="714" t="s">
        <v>1366</v>
      </c>
      <c r="G34" s="40"/>
      <c r="H34" s="1141" t="s">
        <v>1346</v>
      </c>
      <c r="I34" s="1141"/>
      <c r="J34" s="1141"/>
      <c r="K34" s="1141"/>
      <c r="M34" s="938">
        <f>Calc_SEC_retirement_rates!A10</f>
        <v>0</v>
      </c>
    </row>
    <row r="35" spans="5:13">
      <c r="E35" s="714" t="s">
        <v>1367</v>
      </c>
      <c r="G35" s="40"/>
      <c r="H35" s="1141" t="s">
        <v>1347</v>
      </c>
      <c r="I35" s="1141"/>
      <c r="J35" s="1141"/>
      <c r="K35" s="1141"/>
      <c r="M35" s="938">
        <f>Calc_PRIM_death_rates!A10</f>
        <v>0</v>
      </c>
    </row>
    <row r="36" spans="5:13" ht="13.15" customHeight="1">
      <c r="E36" s="714" t="s">
        <v>1368</v>
      </c>
      <c r="G36" s="40"/>
      <c r="H36" s="1141" t="s">
        <v>1348</v>
      </c>
      <c r="I36" s="1141"/>
      <c r="J36" s="1141"/>
      <c r="K36" s="1141"/>
      <c r="M36" s="938">
        <f>Calc_SEC_death_rates!A10</f>
        <v>0</v>
      </c>
    </row>
    <row r="37" spans="5:13">
      <c r="E37" s="714" t="s">
        <v>1369</v>
      </c>
      <c r="G37" s="40"/>
      <c r="H37" s="1141" t="s">
        <v>1349</v>
      </c>
      <c r="I37" s="1141"/>
      <c r="J37" s="1141"/>
      <c r="K37" s="1141"/>
      <c r="M37" s="938">
        <f>Calculation_PRIM_wastage_rates!A10</f>
        <v>0</v>
      </c>
    </row>
    <row r="38" spans="5:13">
      <c r="E38" s="714" t="s">
        <v>1370</v>
      </c>
      <c r="G38" s="40"/>
      <c r="H38" s="1141" t="s">
        <v>1350</v>
      </c>
      <c r="I38" s="1141"/>
      <c r="J38" s="1141"/>
      <c r="K38" s="1141"/>
      <c r="M38" s="938">
        <f>Calculation_SEC_wastage_rates!A10</f>
        <v>0</v>
      </c>
    </row>
    <row r="39" spans="5:13">
      <c r="E39" s="714" t="s">
        <v>1371</v>
      </c>
      <c r="G39" s="40"/>
      <c r="H39" s="1141" t="s">
        <v>1351</v>
      </c>
      <c r="I39" s="1141"/>
      <c r="J39" s="1141"/>
      <c r="K39" s="1141"/>
      <c r="M39" s="938">
        <f>Projected_PRIM_wastage_rates!A10</f>
        <v>0</v>
      </c>
    </row>
    <row r="40" spans="5:13">
      <c r="E40" s="714" t="s">
        <v>1372</v>
      </c>
      <c r="G40" s="40"/>
      <c r="H40" s="1141" t="s">
        <v>1352</v>
      </c>
      <c r="I40" s="1141"/>
      <c r="J40" s="1141"/>
      <c r="K40" s="1141"/>
      <c r="M40" s="938">
        <f>Projected_SEC_wastage_rates!A10</f>
        <v>0</v>
      </c>
    </row>
    <row r="41" spans="5:13">
      <c r="E41" s="714" t="s">
        <v>440</v>
      </c>
      <c r="G41" s="40"/>
      <c r="H41" s="1141" t="s">
        <v>1353</v>
      </c>
      <c r="I41" s="1141"/>
      <c r="J41" s="1141"/>
      <c r="K41" s="1141"/>
      <c r="M41" s="938">
        <f>Group_1_rates!A10</f>
        <v>0</v>
      </c>
    </row>
    <row r="42" spans="5:13">
      <c r="E42" s="714" t="s">
        <v>441</v>
      </c>
      <c r="G42" s="40"/>
      <c r="H42" s="1141" t="s">
        <v>1354</v>
      </c>
      <c r="I42" s="1141"/>
      <c r="J42" s="1141"/>
      <c r="K42" s="1141"/>
      <c r="M42" s="938">
        <f>Group_2_rates!A10</f>
        <v>0</v>
      </c>
    </row>
    <row r="43" spans="5:13">
      <c r="E43" s="714" t="s">
        <v>442</v>
      </c>
      <c r="G43" s="40"/>
      <c r="H43" s="1141" t="s">
        <v>1355</v>
      </c>
      <c r="I43" s="1141"/>
      <c r="J43" s="1141"/>
      <c r="K43" s="1141"/>
      <c r="M43" s="938">
        <f>Group_3_rates!A10</f>
        <v>0</v>
      </c>
    </row>
    <row r="44" spans="5:13">
      <c r="E44" s="714" t="s">
        <v>238</v>
      </c>
      <c r="G44" s="40"/>
      <c r="H44" s="1138" t="s">
        <v>333</v>
      </c>
      <c r="I44" s="1139"/>
      <c r="J44" s="1139"/>
      <c r="K44" s="1140"/>
      <c r="M44" s="938">
        <f>Stock_calculations!A10</f>
        <v>0</v>
      </c>
    </row>
    <row r="45" spans="5:13">
      <c r="E45" s="714" t="s">
        <v>233</v>
      </c>
      <c r="G45" s="40"/>
      <c r="H45" s="1138" t="s">
        <v>334</v>
      </c>
      <c r="I45" s="1139"/>
      <c r="J45" s="1139"/>
      <c r="K45" s="1140"/>
      <c r="M45" s="938">
        <f>Stock_ages_breakdowns!A10</f>
        <v>0</v>
      </c>
    </row>
    <row r="46" spans="5:13">
      <c r="E46" s="714" t="s">
        <v>236</v>
      </c>
      <c r="G46" s="40"/>
      <c r="H46" s="1138" t="s">
        <v>1597</v>
      </c>
      <c r="I46" s="1139"/>
      <c r="J46" s="1139"/>
      <c r="K46" s="1140"/>
      <c r="M46" s="938">
        <f>Pupils_data_scenarios!A11</f>
        <v>0</v>
      </c>
    </row>
    <row r="47" spans="5:13">
      <c r="E47" s="714" t="s">
        <v>1373</v>
      </c>
      <c r="G47" s="40"/>
      <c r="H47" s="198" t="s">
        <v>1356</v>
      </c>
      <c r="I47" s="200"/>
      <c r="J47" s="200"/>
      <c r="K47" s="201"/>
      <c r="M47" s="938">
        <f>Calc_Primary_teacher_need!A10</f>
        <v>0</v>
      </c>
    </row>
    <row r="48" spans="5:13">
      <c r="E48" s="714" t="s">
        <v>1374</v>
      </c>
      <c r="G48" s="40"/>
      <c r="H48" s="1142" t="s">
        <v>1357</v>
      </c>
      <c r="I48" s="1143"/>
      <c r="J48" s="1143"/>
      <c r="K48" s="1144"/>
      <c r="M48" s="938">
        <f>Calc_overall_Sec_teacher_need!A10</f>
        <v>0</v>
      </c>
    </row>
    <row r="49" spans="5:13">
      <c r="E49" s="714" t="s">
        <v>257</v>
      </c>
      <c r="G49" s="40"/>
      <c r="H49" s="1138" t="s">
        <v>1358</v>
      </c>
      <c r="I49" s="1139"/>
      <c r="J49" s="1139"/>
      <c r="K49" s="1140"/>
      <c r="M49" s="938">
        <f>Teacher_need_by_subject!A10</f>
        <v>0</v>
      </c>
    </row>
    <row r="50" spans="5:13">
      <c r="E50" s="714" t="s">
        <v>234</v>
      </c>
      <c r="G50" s="40"/>
      <c r="H50" s="1138" t="s">
        <v>335</v>
      </c>
      <c r="I50" s="1139"/>
      <c r="J50" s="1139"/>
      <c r="K50" s="1140"/>
      <c r="M50" s="938">
        <f>Forecast_stock_figures!A10</f>
        <v>0</v>
      </c>
    </row>
    <row r="51" spans="5:13">
      <c r="E51" s="714" t="s">
        <v>235</v>
      </c>
      <c r="G51" s="40"/>
      <c r="H51" s="1138" t="s">
        <v>336</v>
      </c>
      <c r="I51" s="1139"/>
      <c r="J51" s="1139"/>
      <c r="K51" s="1140"/>
      <c r="M51" s="938">
        <f>Entrant_age_breakdowns!A10</f>
        <v>0</v>
      </c>
    </row>
    <row r="52" spans="5:13" ht="28.15" customHeight="1">
      <c r="E52" s="42" t="s">
        <v>824</v>
      </c>
      <c r="G52" s="40"/>
      <c r="H52" s="1138" t="s">
        <v>1359</v>
      </c>
      <c r="I52" s="1139"/>
      <c r="J52" s="1139"/>
      <c r="K52" s="1140"/>
      <c r="M52" s="937">
        <f>Primary_1!A10</f>
        <v>0</v>
      </c>
    </row>
    <row r="53" spans="5:13" ht="28.15" customHeight="1">
      <c r="E53" s="714" t="s">
        <v>825</v>
      </c>
      <c r="G53" s="40"/>
      <c r="H53" s="1138" t="s">
        <v>582</v>
      </c>
      <c r="I53" s="1139"/>
      <c r="J53" s="1139"/>
      <c r="K53" s="1140"/>
      <c r="M53" s="938">
        <f>'Art_&amp;_Design_1'!A10</f>
        <v>0</v>
      </c>
    </row>
    <row r="54" spans="5:13" ht="26.45" customHeight="1">
      <c r="E54" s="714" t="s">
        <v>826</v>
      </c>
      <c r="G54" s="40"/>
      <c r="H54" s="1138" t="s">
        <v>471</v>
      </c>
      <c r="I54" s="1139"/>
      <c r="J54" s="1139"/>
      <c r="K54" s="1140"/>
      <c r="M54" s="937">
        <f>Biology_1!A10</f>
        <v>0</v>
      </c>
    </row>
    <row r="55" spans="5:13" ht="25.9" customHeight="1">
      <c r="E55" s="714" t="s">
        <v>827</v>
      </c>
      <c r="G55" s="40"/>
      <c r="H55" s="1138" t="s">
        <v>470</v>
      </c>
      <c r="I55" s="1139"/>
      <c r="J55" s="1139"/>
      <c r="K55" s="1140"/>
      <c r="M55" s="938">
        <f>Business_Studies_1!A10</f>
        <v>0</v>
      </c>
    </row>
    <row r="56" spans="5:13" ht="26.45" customHeight="1">
      <c r="E56" s="714" t="s">
        <v>828</v>
      </c>
      <c r="G56" s="40"/>
      <c r="H56" s="1138" t="s">
        <v>472</v>
      </c>
      <c r="I56" s="1139"/>
      <c r="J56" s="1139"/>
      <c r="K56" s="1140"/>
      <c r="M56" s="937">
        <f>Chemistry_1!A10</f>
        <v>0</v>
      </c>
    </row>
    <row r="57" spans="5:13" ht="26.45" customHeight="1">
      <c r="E57" s="714" t="s">
        <v>829</v>
      </c>
      <c r="G57" s="40"/>
      <c r="H57" s="1138" t="s">
        <v>473</v>
      </c>
      <c r="I57" s="1139"/>
      <c r="J57" s="1139"/>
      <c r="K57" s="1140"/>
      <c r="M57" s="937">
        <f>Classics_1!A10</f>
        <v>0</v>
      </c>
    </row>
    <row r="58" spans="5:13" ht="27" customHeight="1">
      <c r="E58" s="714" t="s">
        <v>830</v>
      </c>
      <c r="G58" s="40"/>
      <c r="H58" s="1138" t="s">
        <v>474</v>
      </c>
      <c r="I58" s="1139"/>
      <c r="J58" s="1139"/>
      <c r="K58" s="1140"/>
      <c r="M58" s="937">
        <f>Computing_1!A10</f>
        <v>0</v>
      </c>
    </row>
    <row r="59" spans="5:13" ht="28.15" customHeight="1">
      <c r="E59" s="714" t="s">
        <v>831</v>
      </c>
      <c r="G59" s="40"/>
      <c r="H59" s="1138" t="s">
        <v>581</v>
      </c>
      <c r="I59" s="1139"/>
      <c r="J59" s="1139"/>
      <c r="K59" s="1140"/>
      <c r="M59" s="938">
        <f>'Design_&amp;_Technology_1'!A10</f>
        <v>0</v>
      </c>
    </row>
    <row r="60" spans="5:13" ht="27.6" customHeight="1">
      <c r="E60" s="714" t="s">
        <v>832</v>
      </c>
      <c r="G60" s="40"/>
      <c r="H60" s="1138" t="s">
        <v>475</v>
      </c>
      <c r="I60" s="1139"/>
      <c r="J60" s="1139"/>
      <c r="K60" s="1140"/>
      <c r="M60" s="937">
        <f>Drama_1!A10</f>
        <v>0</v>
      </c>
    </row>
    <row r="61" spans="5:13" ht="27.75" customHeight="1">
      <c r="E61" s="714" t="s">
        <v>833</v>
      </c>
      <c r="G61" s="40"/>
      <c r="H61" s="1138" t="s">
        <v>476</v>
      </c>
      <c r="I61" s="1139"/>
      <c r="J61" s="1139"/>
      <c r="K61" s="1140"/>
      <c r="M61" s="937">
        <f>English_1!A10</f>
        <v>0</v>
      </c>
    </row>
    <row r="62" spans="5:13" ht="27.75" customHeight="1">
      <c r="E62" s="714" t="s">
        <v>834</v>
      </c>
      <c r="G62" s="40"/>
      <c r="H62" s="1138" t="s">
        <v>477</v>
      </c>
      <c r="I62" s="1139"/>
      <c r="J62" s="1139"/>
      <c r="K62" s="1140"/>
      <c r="M62" s="937">
        <f>Food_1!A10</f>
        <v>0</v>
      </c>
    </row>
    <row r="63" spans="5:13" ht="27" customHeight="1">
      <c r="E63" s="714" t="s">
        <v>835</v>
      </c>
      <c r="G63" s="40"/>
      <c r="H63" s="1138" t="s">
        <v>478</v>
      </c>
      <c r="I63" s="1139"/>
      <c r="J63" s="1139"/>
      <c r="K63" s="1140"/>
      <c r="M63" s="937">
        <f>Geography_1!A10</f>
        <v>0</v>
      </c>
    </row>
    <row r="64" spans="5:13" ht="26.45" customHeight="1">
      <c r="E64" s="714" t="s">
        <v>836</v>
      </c>
      <c r="G64" s="40"/>
      <c r="H64" s="1138" t="s">
        <v>479</v>
      </c>
      <c r="I64" s="1139"/>
      <c r="J64" s="1139"/>
      <c r="K64" s="1140"/>
      <c r="M64" s="937">
        <f>History_1!A10</f>
        <v>0</v>
      </c>
    </row>
    <row r="65" spans="5:13" ht="27.6" customHeight="1">
      <c r="E65" s="714" t="s">
        <v>837</v>
      </c>
      <c r="G65" s="40"/>
      <c r="H65" s="1138" t="s">
        <v>579</v>
      </c>
      <c r="I65" s="1139"/>
      <c r="J65" s="1139"/>
      <c r="K65" s="1140"/>
      <c r="M65" s="938">
        <f>Mathematics_1!A10</f>
        <v>0</v>
      </c>
    </row>
    <row r="66" spans="5:13" ht="27.6" customHeight="1">
      <c r="E66" s="714" t="s">
        <v>838</v>
      </c>
      <c r="G66" s="40"/>
      <c r="H66" s="1138" t="s">
        <v>580</v>
      </c>
      <c r="I66" s="1139"/>
      <c r="J66" s="1139"/>
      <c r="K66" s="1140"/>
      <c r="M66" s="937">
        <f>Modern_Foreign_Languages_1!A10</f>
        <v>0</v>
      </c>
    </row>
    <row r="67" spans="5:13" ht="27.6" customHeight="1">
      <c r="E67" s="714" t="s">
        <v>839</v>
      </c>
      <c r="G67" s="40"/>
      <c r="H67" s="1138" t="s">
        <v>480</v>
      </c>
      <c r="I67" s="1139"/>
      <c r="J67" s="1139"/>
      <c r="K67" s="1140"/>
      <c r="M67" s="937">
        <f>Music_1!A10</f>
        <v>0</v>
      </c>
    </row>
    <row r="68" spans="5:13" ht="27" customHeight="1">
      <c r="E68" s="714" t="s">
        <v>840</v>
      </c>
      <c r="G68" s="40"/>
      <c r="H68" s="1138" t="s">
        <v>481</v>
      </c>
      <c r="I68" s="1139"/>
      <c r="J68" s="1139"/>
      <c r="K68" s="1140"/>
      <c r="M68" s="937">
        <f>Others_1!A10</f>
        <v>0</v>
      </c>
    </row>
    <row r="69" spans="5:13" ht="26.25" customHeight="1">
      <c r="E69" s="714" t="s">
        <v>841</v>
      </c>
      <c r="G69" s="40"/>
      <c r="H69" s="1138" t="s">
        <v>578</v>
      </c>
      <c r="I69" s="1139"/>
      <c r="J69" s="1139"/>
      <c r="K69" s="1140"/>
      <c r="M69" s="937">
        <f>Physical_Education_1!A10</f>
        <v>0</v>
      </c>
    </row>
    <row r="70" spans="5:13" ht="26.45" customHeight="1">
      <c r="E70" s="714" t="s">
        <v>842</v>
      </c>
      <c r="G70" s="40"/>
      <c r="H70" s="1138" t="s">
        <v>482</v>
      </c>
      <c r="I70" s="1139"/>
      <c r="J70" s="1139"/>
      <c r="K70" s="1140"/>
      <c r="M70" s="937">
        <f>Physics_1!A10</f>
        <v>0</v>
      </c>
    </row>
    <row r="71" spans="5:13" ht="26.45" customHeight="1">
      <c r="E71" s="714" t="s">
        <v>843</v>
      </c>
      <c r="G71" s="40"/>
      <c r="H71" s="1138" t="s">
        <v>577</v>
      </c>
      <c r="I71" s="1139"/>
      <c r="J71" s="1139"/>
      <c r="K71" s="1140"/>
      <c r="M71" s="937">
        <f>Religious_Education_1!A10</f>
        <v>0</v>
      </c>
    </row>
    <row r="72" spans="5:13">
      <c r="E72" s="714" t="s">
        <v>1375</v>
      </c>
      <c r="G72" s="40"/>
      <c r="H72" s="1141" t="s">
        <v>1360</v>
      </c>
      <c r="I72" s="1141"/>
      <c r="J72" s="1141"/>
      <c r="K72" s="1141"/>
      <c r="M72" s="938">
        <f>Calc_PRIM_entrant_rates!A10</f>
        <v>0</v>
      </c>
    </row>
    <row r="73" spans="5:13">
      <c r="E73" s="714" t="s">
        <v>1376</v>
      </c>
      <c r="G73" s="40"/>
      <c r="H73" s="1141" t="s">
        <v>1361</v>
      </c>
      <c r="I73" s="1141"/>
      <c r="J73" s="1141"/>
      <c r="K73" s="1141"/>
      <c r="M73" s="938">
        <f>Calc_SEC_entrant_rates!A10</f>
        <v>0</v>
      </c>
    </row>
    <row r="74" spans="5:13">
      <c r="E74" s="714" t="s">
        <v>1377</v>
      </c>
      <c r="G74" s="40"/>
      <c r="H74" s="1141" t="s">
        <v>1362</v>
      </c>
      <c r="I74" s="1141"/>
      <c r="J74" s="1141"/>
      <c r="K74" s="1141"/>
      <c r="M74" s="938">
        <f>'Calc_PRIM_part-time_entrants'!A10</f>
        <v>0</v>
      </c>
    </row>
    <row r="75" spans="5:13">
      <c r="E75" s="714" t="s">
        <v>1378</v>
      </c>
      <c r="G75" s="40"/>
      <c r="H75" s="1141" t="s">
        <v>1363</v>
      </c>
      <c r="I75" s="1141"/>
      <c r="J75" s="1141"/>
      <c r="K75" s="1141"/>
      <c r="M75" s="938">
        <f>'Calc_SEC_part-time_entrants'!A10</f>
        <v>0</v>
      </c>
    </row>
    <row r="76" spans="5:13">
      <c r="E76" s="714" t="s">
        <v>872</v>
      </c>
      <c r="G76" s="40"/>
      <c r="H76" s="1141" t="s">
        <v>1364</v>
      </c>
      <c r="I76" s="1141"/>
      <c r="J76" s="1141"/>
      <c r="K76" s="1141"/>
      <c r="M76" s="938">
        <f>Primary_2!A10</f>
        <v>0</v>
      </c>
    </row>
    <row r="77" spans="5:13">
      <c r="E77" s="714" t="s">
        <v>873</v>
      </c>
      <c r="G77" s="40"/>
      <c r="H77" s="1141" t="s">
        <v>682</v>
      </c>
      <c r="I77" s="1141"/>
      <c r="J77" s="1141"/>
      <c r="K77" s="1141"/>
      <c r="M77" s="938">
        <f>'Art_&amp;_Design_2'!A10</f>
        <v>0</v>
      </c>
    </row>
    <row r="78" spans="5:13">
      <c r="E78" s="714" t="s">
        <v>881</v>
      </c>
      <c r="G78" s="40"/>
      <c r="H78" s="1141" t="s">
        <v>681</v>
      </c>
      <c r="I78" s="1141"/>
      <c r="J78" s="1141"/>
      <c r="K78" s="1141"/>
      <c r="M78" s="938">
        <f>Biology_2!A10</f>
        <v>0</v>
      </c>
    </row>
    <row r="79" spans="5:13">
      <c r="E79" s="714" t="s">
        <v>880</v>
      </c>
      <c r="G79" s="40"/>
      <c r="H79" s="1141" t="s">
        <v>680</v>
      </c>
      <c r="I79" s="1141"/>
      <c r="J79" s="1141"/>
      <c r="K79" s="1141"/>
      <c r="M79" s="938">
        <f>Business_Studies_2!A10</f>
        <v>0</v>
      </c>
    </row>
    <row r="80" spans="5:13">
      <c r="E80" s="714" t="s">
        <v>882</v>
      </c>
      <c r="G80" s="40"/>
      <c r="H80" s="1141" t="s">
        <v>679</v>
      </c>
      <c r="I80" s="1141"/>
      <c r="J80" s="1141"/>
      <c r="K80" s="1141"/>
      <c r="M80" s="938">
        <f>Chemistry_2!A10</f>
        <v>0</v>
      </c>
    </row>
    <row r="81" spans="5:13">
      <c r="E81" s="714" t="s">
        <v>883</v>
      </c>
      <c r="G81" s="40"/>
      <c r="H81" s="1141" t="s">
        <v>678</v>
      </c>
      <c r="I81" s="1141"/>
      <c r="J81" s="1141"/>
      <c r="K81" s="1141"/>
      <c r="M81" s="938">
        <f>Classics_2!A10</f>
        <v>0</v>
      </c>
    </row>
    <row r="82" spans="5:13">
      <c r="E82" s="714" t="s">
        <v>884</v>
      </c>
      <c r="G82" s="40"/>
      <c r="H82" s="1141" t="s">
        <v>677</v>
      </c>
      <c r="I82" s="1141"/>
      <c r="J82" s="1141"/>
      <c r="K82" s="1141"/>
      <c r="M82" s="938">
        <f>Computing_2!A10</f>
        <v>0</v>
      </c>
    </row>
    <row r="83" spans="5:13">
      <c r="E83" s="714" t="s">
        <v>885</v>
      </c>
      <c r="G83" s="40"/>
      <c r="H83" s="1141" t="s">
        <v>676</v>
      </c>
      <c r="I83" s="1141"/>
      <c r="J83" s="1141"/>
      <c r="K83" s="1141"/>
      <c r="M83" s="938">
        <f>'Design_&amp;_Technology_2'!A10</f>
        <v>0</v>
      </c>
    </row>
    <row r="84" spans="5:13">
      <c r="E84" s="714" t="s">
        <v>886</v>
      </c>
      <c r="G84" s="40"/>
      <c r="H84" s="1141" t="s">
        <v>675</v>
      </c>
      <c r="I84" s="1141"/>
      <c r="J84" s="1141"/>
      <c r="K84" s="1141"/>
      <c r="M84" s="938">
        <f>Drama_2!A10</f>
        <v>0</v>
      </c>
    </row>
    <row r="85" spans="5:13" s="709" customFormat="1" ht="12.75" customHeight="1">
      <c r="E85" s="714" t="s">
        <v>888</v>
      </c>
      <c r="G85" s="40"/>
      <c r="H85" s="1147" t="s">
        <v>674</v>
      </c>
      <c r="I85" s="1148"/>
      <c r="J85" s="1148"/>
      <c r="K85" s="1149"/>
      <c r="M85" s="938">
        <f>English_2!A10</f>
        <v>0</v>
      </c>
    </row>
    <row r="86" spans="5:13">
      <c r="E86" s="714" t="s">
        <v>887</v>
      </c>
      <c r="G86" s="40"/>
      <c r="H86" s="1141" t="s">
        <v>673</v>
      </c>
      <c r="I86" s="1141"/>
      <c r="J86" s="1141"/>
      <c r="K86" s="1141"/>
      <c r="M86" s="938">
        <f>Food_2!A10</f>
        <v>0</v>
      </c>
    </row>
    <row r="87" spans="5:13">
      <c r="E87" s="714" t="s">
        <v>889</v>
      </c>
      <c r="G87" s="40"/>
      <c r="H87" s="1141" t="s">
        <v>672</v>
      </c>
      <c r="I87" s="1141"/>
      <c r="J87" s="1141"/>
      <c r="K87" s="1141"/>
      <c r="M87" s="938">
        <f>Geography_2!A10</f>
        <v>0</v>
      </c>
    </row>
    <row r="88" spans="5:13">
      <c r="E88" s="714" t="s">
        <v>890</v>
      </c>
      <c r="G88" s="40"/>
      <c r="H88" s="1141" t="s">
        <v>671</v>
      </c>
      <c r="I88" s="1141"/>
      <c r="J88" s="1141"/>
      <c r="K88" s="1141"/>
      <c r="M88" s="937">
        <f>History_2!A10</f>
        <v>0</v>
      </c>
    </row>
    <row r="89" spans="5:13">
      <c r="E89" s="714" t="s">
        <v>891</v>
      </c>
      <c r="G89" s="40"/>
      <c r="H89" s="1141" t="s">
        <v>670</v>
      </c>
      <c r="I89" s="1141"/>
      <c r="J89" s="1141"/>
      <c r="K89" s="1141"/>
      <c r="M89" s="938">
        <f>Mathematics_2!A10</f>
        <v>0</v>
      </c>
    </row>
    <row r="90" spans="5:13">
      <c r="E90" s="714" t="s">
        <v>892</v>
      </c>
      <c r="G90" s="40"/>
      <c r="H90" s="1141" t="s">
        <v>669</v>
      </c>
      <c r="I90" s="1141"/>
      <c r="J90" s="1141"/>
      <c r="K90" s="1141"/>
      <c r="M90" s="937">
        <f>Modern_Foreign_Languages_2!A10</f>
        <v>0</v>
      </c>
    </row>
    <row r="91" spans="5:13">
      <c r="E91" s="714" t="s">
        <v>893</v>
      </c>
      <c r="G91" s="40"/>
      <c r="H91" s="1141" t="s">
        <v>668</v>
      </c>
      <c r="I91" s="1141"/>
      <c r="J91" s="1141"/>
      <c r="K91" s="1141"/>
      <c r="M91" s="938">
        <f>Music_2!A10</f>
        <v>0</v>
      </c>
    </row>
    <row r="92" spans="5:13">
      <c r="E92" s="714" t="s">
        <v>894</v>
      </c>
      <c r="G92" s="40"/>
      <c r="H92" s="1141" t="s">
        <v>667</v>
      </c>
      <c r="I92" s="1141"/>
      <c r="J92" s="1141"/>
      <c r="K92" s="1141"/>
      <c r="M92" s="937">
        <f>Others_2!A10</f>
        <v>0</v>
      </c>
    </row>
    <row r="93" spans="5:13">
      <c r="E93" s="718" t="s">
        <v>895</v>
      </c>
      <c r="G93" s="40"/>
      <c r="H93" s="1141" t="s">
        <v>666</v>
      </c>
      <c r="I93" s="1141"/>
      <c r="J93" s="1141"/>
      <c r="K93" s="1141"/>
      <c r="M93" s="937">
        <f>Physical_Education_2!A10</f>
        <v>0</v>
      </c>
    </row>
    <row r="94" spans="5:13">
      <c r="E94" s="714" t="s">
        <v>896</v>
      </c>
      <c r="G94" s="40"/>
      <c r="H94" s="1141" t="s">
        <v>665</v>
      </c>
      <c r="I94" s="1141"/>
      <c r="J94" s="1141"/>
      <c r="K94" s="1141"/>
      <c r="M94" s="937">
        <f>Physics_2!A10</f>
        <v>0</v>
      </c>
    </row>
    <row r="95" spans="5:13">
      <c r="E95" s="714" t="s">
        <v>897</v>
      </c>
      <c r="G95" s="40"/>
      <c r="H95" s="1141" t="s">
        <v>664</v>
      </c>
      <c r="I95" s="1141"/>
      <c r="J95" s="1141"/>
      <c r="K95" s="1141"/>
      <c r="M95" s="938">
        <f>Religious_Education_2!A10</f>
        <v>0</v>
      </c>
    </row>
    <row r="96" spans="5:13" ht="26.45" customHeight="1">
      <c r="E96" s="714" t="s">
        <v>1379</v>
      </c>
      <c r="G96" s="40"/>
      <c r="H96" s="1138" t="s">
        <v>1100</v>
      </c>
      <c r="I96" s="1139"/>
      <c r="J96" s="1139"/>
      <c r="K96" s="1140"/>
      <c r="M96" s="938">
        <f>Calc_long_term_NQT_entrants!A10</f>
        <v>0</v>
      </c>
    </row>
    <row r="97" spans="3:13" s="709" customFormat="1" ht="27.6" customHeight="1">
      <c r="E97" s="714" t="s">
        <v>653</v>
      </c>
      <c r="F97" s="556"/>
      <c r="G97" s="556"/>
      <c r="H97" s="1142" t="s">
        <v>652</v>
      </c>
      <c r="I97" s="1143"/>
      <c r="J97" s="1143"/>
      <c r="K97" s="1144"/>
      <c r="L97" s="556"/>
      <c r="M97" s="937">
        <f>Conversion_rates_table!A10</f>
        <v>0</v>
      </c>
    </row>
    <row r="98" spans="3:13">
      <c r="M98" s="935"/>
    </row>
    <row r="99" spans="3:13">
      <c r="C99" s="19">
        <f ca="1">MAX($B$6:OFFSET(C99,-1,))+0.01</f>
        <v>2.0399999999999991</v>
      </c>
      <c r="D99" s="18" t="s">
        <v>25</v>
      </c>
      <c r="M99" s="935"/>
    </row>
    <row r="100" spans="3:13">
      <c r="E100" s="40"/>
      <c r="G100" s="40"/>
      <c r="M100" s="936"/>
    </row>
    <row r="101" spans="3:13">
      <c r="E101" s="456" t="s">
        <v>1385</v>
      </c>
      <c r="G101" s="40"/>
      <c r="H101" s="1141" t="s">
        <v>1384</v>
      </c>
      <c r="I101" s="1141"/>
      <c r="J101" s="1141"/>
      <c r="K101" s="1141"/>
      <c r="M101" s="938">
        <f>OUTPUTS_FOR_SECTION_2_OF_MODEL!A10</f>
        <v>0</v>
      </c>
    </row>
    <row r="102" spans="3:13">
      <c r="E102" s="714" t="s">
        <v>663</v>
      </c>
      <c r="G102" s="40"/>
      <c r="H102" s="1141" t="s">
        <v>662</v>
      </c>
      <c r="I102" s="1141"/>
      <c r="J102" s="1141"/>
      <c r="K102" s="1141"/>
      <c r="M102" s="938">
        <f>'Re-entrants_expected'!A10</f>
        <v>0</v>
      </c>
    </row>
    <row r="103" spans="3:13">
      <c r="E103" s="714" t="s">
        <v>661</v>
      </c>
      <c r="G103" s="40"/>
      <c r="H103" s="1141" t="s">
        <v>660</v>
      </c>
      <c r="I103" s="1141"/>
      <c r="J103" s="1141"/>
      <c r="K103" s="1141"/>
      <c r="M103" s="938">
        <f>New_to_SF_sector_expected!A10</f>
        <v>0</v>
      </c>
    </row>
    <row r="104" spans="3:13" ht="25.9" customHeight="1">
      <c r="E104" s="714" t="s">
        <v>659</v>
      </c>
      <c r="G104" s="40"/>
      <c r="H104" s="1138" t="s">
        <v>658</v>
      </c>
      <c r="I104" s="1139"/>
      <c r="J104" s="1139"/>
      <c r="K104" s="1140"/>
      <c r="M104" s="938">
        <f>NQT_entrants_required_inc_UGs!A10</f>
        <v>0</v>
      </c>
    </row>
    <row r="105" spans="3:13" s="709" customFormat="1" ht="25.9" customHeight="1">
      <c r="E105" s="714" t="s">
        <v>1644</v>
      </c>
      <c r="G105" s="40"/>
      <c r="H105" s="1145" t="s">
        <v>1643</v>
      </c>
      <c r="I105" s="1139"/>
      <c r="J105" s="1139"/>
      <c r="K105" s="1140"/>
      <c r="M105" s="938"/>
    </row>
    <row r="106" spans="3:13">
      <c r="E106" s="714" t="s">
        <v>657</v>
      </c>
      <c r="G106" s="40"/>
      <c r="H106" s="1138" t="s">
        <v>656</v>
      </c>
      <c r="I106" s="1139"/>
      <c r="J106" s="1139"/>
      <c r="K106" s="1140"/>
      <c r="M106" s="938">
        <f>Check_of_all_entrant_numbers!A9</f>
        <v>0</v>
      </c>
    </row>
    <row r="107" spans="3:13">
      <c r="E107" s="718" t="s">
        <v>655</v>
      </c>
      <c r="G107" s="40"/>
      <c r="H107" s="1141" t="s">
        <v>654</v>
      </c>
      <c r="I107" s="1141"/>
      <c r="J107" s="1141"/>
      <c r="K107" s="1141"/>
      <c r="M107" s="938">
        <f>Outputs_for_conversion_rates!A10</f>
        <v>0</v>
      </c>
    </row>
    <row r="108" spans="3:13">
      <c r="E108" s="718" t="s">
        <v>1382</v>
      </c>
      <c r="H108" s="1146" t="s">
        <v>1683</v>
      </c>
      <c r="I108" s="1141"/>
      <c r="J108" s="1141"/>
      <c r="K108" s="1141"/>
      <c r="M108" s="937">
        <f>FINAL_OUTPUTS_OF_ITT_PLACES!A10</f>
        <v>0</v>
      </c>
    </row>
    <row r="109" spans="3:13" s="709" customFormat="1">
      <c r="E109" s="718" t="s">
        <v>1506</v>
      </c>
      <c r="H109" s="1141" t="s">
        <v>1509</v>
      </c>
      <c r="I109" s="1141"/>
      <c r="J109" s="1141"/>
      <c r="K109" s="1141"/>
      <c r="M109" s="937">
        <f>SUMMARY_OUTPUTS!A10</f>
        <v>0</v>
      </c>
    </row>
    <row r="110" spans="3:13">
      <c r="E110" s="714" t="s">
        <v>341</v>
      </c>
      <c r="G110" s="40"/>
      <c r="H110" s="1141" t="s">
        <v>339</v>
      </c>
      <c r="I110" s="1141"/>
      <c r="J110" s="1141"/>
      <c r="K110" s="1141"/>
      <c r="M110" s="937">
        <f>Assumptions_data!A10</f>
        <v>0</v>
      </c>
    </row>
    <row r="111" spans="3:13">
      <c r="E111" s="456" t="s">
        <v>461</v>
      </c>
      <c r="G111" s="40"/>
      <c r="H111" s="1141" t="s">
        <v>459</v>
      </c>
      <c r="I111" s="1141"/>
      <c r="J111" s="1141"/>
      <c r="K111" s="1141"/>
      <c r="M111" s="937">
        <f>Teacher_need_figures!A10</f>
        <v>0</v>
      </c>
    </row>
    <row r="112" spans="3:13">
      <c r="E112" s="456" t="s">
        <v>629</v>
      </c>
      <c r="G112" s="40"/>
      <c r="H112" s="1141" t="s">
        <v>460</v>
      </c>
      <c r="I112" s="1141"/>
      <c r="J112" s="1141"/>
      <c r="K112" s="1141"/>
      <c r="M112" s="937">
        <f>Entrant_need_figures!A10</f>
        <v>0</v>
      </c>
    </row>
    <row r="113" spans="4:13" ht="13.15" customHeight="1">
      <c r="E113" s="714" t="s">
        <v>564</v>
      </c>
      <c r="G113" s="40"/>
      <c r="H113" s="1141" t="s">
        <v>457</v>
      </c>
      <c r="I113" s="1141"/>
      <c r="J113" s="1141"/>
      <c r="K113" s="1141"/>
      <c r="M113" s="938">
        <f>Wastage_over_time!A10</f>
        <v>0</v>
      </c>
    </row>
    <row r="114" spans="4:13">
      <c r="D114" s="43"/>
      <c r="E114" s="714" t="s">
        <v>565</v>
      </c>
      <c r="G114" s="40"/>
      <c r="H114" s="1141" t="s">
        <v>458</v>
      </c>
      <c r="I114" s="1141"/>
      <c r="J114" s="1141"/>
      <c r="K114" s="1141"/>
      <c r="M114" s="938">
        <f>Retirements_over_time!A10</f>
        <v>0</v>
      </c>
    </row>
    <row r="115" spans="4:13">
      <c r="D115" s="43"/>
      <c r="E115" s="714" t="s">
        <v>489</v>
      </c>
      <c r="G115" s="40"/>
      <c r="H115" s="1141" t="s">
        <v>490</v>
      </c>
      <c r="I115" s="1141"/>
      <c r="J115" s="1141"/>
      <c r="K115" s="1141"/>
      <c r="M115" s="938">
        <f>Deaths_over_time!A10</f>
        <v>0</v>
      </c>
    </row>
    <row r="116" spans="4:13">
      <c r="D116" s="43"/>
      <c r="E116" s="714" t="s">
        <v>566</v>
      </c>
      <c r="G116" s="40"/>
      <c r="H116" s="1141" t="s">
        <v>491</v>
      </c>
      <c r="I116" s="1141"/>
      <c r="J116" s="1141"/>
      <c r="K116" s="1141"/>
      <c r="M116" s="938">
        <f>Leavers_over_time!A10</f>
        <v>0</v>
      </c>
    </row>
    <row r="117" spans="4:13">
      <c r="D117" s="43"/>
      <c r="E117" s="714" t="s">
        <v>340</v>
      </c>
      <c r="G117" s="40"/>
      <c r="H117" s="1138" t="s">
        <v>385</v>
      </c>
      <c r="I117" s="1139"/>
      <c r="J117" s="1139"/>
      <c r="K117" s="1140"/>
      <c r="M117" s="938">
        <f>Entrant_need_charts_over_time!A10</f>
        <v>0</v>
      </c>
    </row>
    <row r="118" spans="4:13">
      <c r="D118" s="43"/>
      <c r="E118" s="714" t="s">
        <v>258</v>
      </c>
      <c r="G118" s="40"/>
      <c r="H118" s="1138" t="s">
        <v>337</v>
      </c>
      <c r="I118" s="1139"/>
      <c r="J118" s="1139"/>
      <c r="K118" s="1140"/>
      <c r="M118" s="938">
        <f>Teacher_need_charts_over_time!A10</f>
        <v>0</v>
      </c>
    </row>
    <row r="119" spans="4:13">
      <c r="D119" s="43"/>
      <c r="E119" s="714" t="s">
        <v>1380</v>
      </c>
      <c r="G119" s="40"/>
      <c r="H119" s="1138" t="s">
        <v>338</v>
      </c>
      <c r="I119" s="1139"/>
      <c r="J119" s="1139"/>
      <c r="K119" s="1140"/>
      <c r="M119" s="938">
        <f>Pupil_Projections_scenarios!A10</f>
        <v>0</v>
      </c>
    </row>
    <row r="120" spans="4:13">
      <c r="D120" s="43"/>
      <c r="E120" s="718" t="s">
        <v>1102</v>
      </c>
      <c r="H120" s="1138" t="s">
        <v>1101</v>
      </c>
      <c r="I120" s="1139"/>
      <c r="J120" s="1139"/>
      <c r="K120" s="1140"/>
      <c r="M120" s="938">
        <f>Outputs_with_historical_data!A10</f>
        <v>0</v>
      </c>
    </row>
    <row r="121" spans="4:13" s="709" customFormat="1">
      <c r="D121" s="43"/>
      <c r="E121" s="718" t="s">
        <v>1383</v>
      </c>
      <c r="H121" s="1138" t="s">
        <v>1409</v>
      </c>
      <c r="I121" s="1139"/>
      <c r="J121" s="1139"/>
      <c r="K121" s="1140"/>
      <c r="M121" s="938">
        <f>Comparison_of_pupil_projns!A10</f>
        <v>0</v>
      </c>
    </row>
    <row r="122" spans="4:13">
      <c r="D122" s="43"/>
      <c r="E122" s="714" t="s">
        <v>1103</v>
      </c>
      <c r="G122" s="40"/>
      <c r="H122" s="1138" t="s">
        <v>1104</v>
      </c>
      <c r="I122" s="1139"/>
      <c r="J122" s="1139"/>
      <c r="K122" s="1140"/>
      <c r="M122" s="938">
        <f>OUTPUTS_FOR_SECTION_2_OF_MODEL!A10</f>
        <v>0</v>
      </c>
    </row>
    <row r="123" spans="4:13" s="827" customFormat="1" ht="27" customHeight="1">
      <c r="E123" s="828" t="s">
        <v>1381</v>
      </c>
      <c r="H123" s="1138" t="s">
        <v>1598</v>
      </c>
      <c r="I123" s="1139"/>
      <c r="J123" s="1139"/>
      <c r="K123" s="1140"/>
      <c r="M123" s="938">
        <f>Changes_in_subject_teaching_hrs!A9</f>
        <v>0</v>
      </c>
    </row>
    <row r="124" spans="4:13">
      <c r="M124" s="16"/>
    </row>
  </sheetData>
  <mergeCells count="96">
    <mergeCell ref="H18:K18"/>
    <mergeCell ref="H19:K19"/>
    <mergeCell ref="H35:K35"/>
    <mergeCell ref="H20:K20"/>
    <mergeCell ref="H40:K40"/>
    <mergeCell ref="H26:K26"/>
    <mergeCell ref="H33:K33"/>
    <mergeCell ref="H21:K21"/>
    <mergeCell ref="H25:K25"/>
    <mergeCell ref="H27:K27"/>
    <mergeCell ref="H38:K38"/>
    <mergeCell ref="H39:K39"/>
    <mergeCell ref="H37:K37"/>
    <mergeCell ref="H28:K28"/>
    <mergeCell ref="H29:K29"/>
    <mergeCell ref="H34:K34"/>
    <mergeCell ref="H36:K36"/>
    <mergeCell ref="H46:K46"/>
    <mergeCell ref="H41:K41"/>
    <mergeCell ref="H45:K45"/>
    <mergeCell ref="H44:K44"/>
    <mergeCell ref="H63:K63"/>
    <mergeCell ref="H59:K59"/>
    <mergeCell ref="H60:K60"/>
    <mergeCell ref="H64:K64"/>
    <mergeCell ref="H42:K42"/>
    <mergeCell ref="H43:K43"/>
    <mergeCell ref="H55:K55"/>
    <mergeCell ref="H53:K53"/>
    <mergeCell ref="H49:K49"/>
    <mergeCell ref="H54:K54"/>
    <mergeCell ref="H48:K48"/>
    <mergeCell ref="H50:K50"/>
    <mergeCell ref="H51:K51"/>
    <mergeCell ref="H86:K86"/>
    <mergeCell ref="H73:K73"/>
    <mergeCell ref="H82:K82"/>
    <mergeCell ref="H85:K85"/>
    <mergeCell ref="H52:K52"/>
    <mergeCell ref="H74:K74"/>
    <mergeCell ref="H56:K56"/>
    <mergeCell ref="H70:K70"/>
    <mergeCell ref="H65:K65"/>
    <mergeCell ref="H67:K67"/>
    <mergeCell ref="H57:K57"/>
    <mergeCell ref="H71:K71"/>
    <mergeCell ref="H69:K69"/>
    <mergeCell ref="H62:K62"/>
    <mergeCell ref="H61:K61"/>
    <mergeCell ref="H58:K58"/>
    <mergeCell ref="H72:K72"/>
    <mergeCell ref="H66:K66"/>
    <mergeCell ref="H76:K76"/>
    <mergeCell ref="H68:K68"/>
    <mergeCell ref="H78:K78"/>
    <mergeCell ref="H77:K77"/>
    <mergeCell ref="H75:K75"/>
    <mergeCell ref="H119:K119"/>
    <mergeCell ref="H116:K116"/>
    <mergeCell ref="H79:K79"/>
    <mergeCell ref="H112:K112"/>
    <mergeCell ref="H110:K110"/>
    <mergeCell ref="H118:K118"/>
    <mergeCell ref="H113:K113"/>
    <mergeCell ref="H104:K104"/>
    <mergeCell ref="H108:K108"/>
    <mergeCell ref="H80:K80"/>
    <mergeCell ref="H84:K84"/>
    <mergeCell ref="H102:K102"/>
    <mergeCell ref="H106:K106"/>
    <mergeCell ref="H81:K81"/>
    <mergeCell ref="H89:K89"/>
    <mergeCell ref="H101:K101"/>
    <mergeCell ref="H91:K91"/>
    <mergeCell ref="H92:K92"/>
    <mergeCell ref="H114:K114"/>
    <mergeCell ref="H115:K115"/>
    <mergeCell ref="H117:K117"/>
    <mergeCell ref="H111:K111"/>
    <mergeCell ref="H105:K105"/>
    <mergeCell ref="H121:K121"/>
    <mergeCell ref="H123:K123"/>
    <mergeCell ref="H83:K83"/>
    <mergeCell ref="H109:K109"/>
    <mergeCell ref="H122:K122"/>
    <mergeCell ref="H88:K88"/>
    <mergeCell ref="H87:K87"/>
    <mergeCell ref="H90:K90"/>
    <mergeCell ref="H96:K96"/>
    <mergeCell ref="H95:K95"/>
    <mergeCell ref="H120:K120"/>
    <mergeCell ref="H93:K93"/>
    <mergeCell ref="H94:K94"/>
    <mergeCell ref="H97:K97"/>
    <mergeCell ref="H103:K103"/>
    <mergeCell ref="H107:K107"/>
  </mergeCells>
  <hyperlinks>
    <hyperlink ref="E18" location="Details!A1" display="Details"/>
    <hyperlink ref="E20" location="Subject_groupings_defined!A1" display="Subject groupings defined"/>
    <hyperlink ref="E19" location="Map_of_sheets!A1" display="Map of Sheets"/>
    <hyperlink ref="E25" location="RAW_DATA_INPUTS!A1" display="RAW DATA INPUTS"/>
    <hyperlink ref="E33" location="Calc_PRIM_retirement_rates!A1" display="Calculation of primary retirement rates"/>
    <hyperlink ref="E34" location="Calc_SEC_retirement_rates!A1" display="Calculation of secondary retirement rates"/>
    <hyperlink ref="E37" location="Calculation_PRIM_wastage_rates!A1" display="Calculation of primary wastage rates"/>
    <hyperlink ref="E40" location="Projected_SEC_wastage_rates!A1" display="Projected secondary wastage rates"/>
    <hyperlink ref="E44" location="Stock_calculations!A1" display="Stock calculations"/>
    <hyperlink ref="E45" location="Stock_ages_breakdowns!A1" display="Stock ages breakdowns"/>
    <hyperlink ref="E49" location="Teacher_need_by_subject!A1" display="Teacher need by subject"/>
    <hyperlink ref="E50" location="Forecast_stock_figures!A1" display="Forecast stock figures"/>
    <hyperlink ref="E51" location="Entrant_age_breakdowns!A1" display="Entrant age breakdowns"/>
    <hyperlink ref="E46" location="Pupils_data_scenarios!A1" display="Pupils data scenarios"/>
    <hyperlink ref="E52" location="Primary_1!A1" display="Primary 1"/>
    <hyperlink ref="E26" location="Policy_assumptions_PRIM!A1" display="Policy assumptions Primary"/>
    <hyperlink ref="E27" location="Policy_assumptions_SEC!A1" display="Policy assumptions Secondary"/>
    <hyperlink ref="E28" location="Data_selected_by_user_testing!A1" display="Data selected by user testing"/>
    <hyperlink ref="E115" location="Deaths_over_time!A1" display="Deaths over time"/>
    <hyperlink ref="E117" location="Entrant_need_charts_over_time!A1" display="Entrant need charts over time"/>
    <hyperlink ref="E118" location="Teacher_need_charts_over_time!A1" display="Teacher need charts over time"/>
    <hyperlink ref="E119" location="Pupil_Projections_scenarios!A1" display="Pupil projections scenarios"/>
    <hyperlink ref="E110" location="Assumptions_data!A1" display="Assumptions data"/>
    <hyperlink ref="E38" location="Calculation_SEC_wastage_rates!A1" display="Calculation of secondary wastage rates"/>
    <hyperlink ref="E39" location="Projected_PRIM_wastage_rates!A1" display="Projected primary wastage rates"/>
    <hyperlink ref="E41" location="Group_1_rates!A1" display="Group 1 rates"/>
    <hyperlink ref="E42" location="Group_2_rates!A1" display="Group 2 rates"/>
    <hyperlink ref="E43" location="Group_3_rates!A1" display="Group 3 rates"/>
    <hyperlink ref="E111" location="Teacher_need_figures!A1" display="Teacher need figures"/>
    <hyperlink ref="E35" location="Calc_PRIM_death_rates!A1" display="Calculation of primary death rates"/>
    <hyperlink ref="E36" location="Calc_SEC_death_rates!A1" display="Calculation of secondary death rates"/>
    <hyperlink ref="E113" location="Wastage_over_time!A1" display="Wastage over time"/>
    <hyperlink ref="E114" location="Retirements_over_time!A1" display="Retirements over time"/>
    <hyperlink ref="E116" location="Leavers_over_time!A1" display="Leavers over time"/>
    <hyperlink ref="E112" location="Entrant_need_figures!A1" display="Entrant need figures"/>
    <hyperlink ref="E47" location="Calc_Primary_teacher_need!A1" display="Calculation of primary teacher need"/>
    <hyperlink ref="E48" location="Calc_overall_Sec_teacher_need!A1" display="Calculation of overall secondary teacher need"/>
    <hyperlink ref="E72" location="Calc_PRIM_entrant_rates!A1" display="Calculation of primary entrant rates"/>
    <hyperlink ref="E73" location="Calc_SEC_entrant_rates!A1" display="Calculation of secondary entrant rates"/>
    <hyperlink ref="E104" location="NQT_entrants_required_inc_UGs!A1" display="NQT entrants required inc UGs"/>
    <hyperlink ref="E96" location="Calc_long_term_NQT_entrants!A1" display="Calculation of long term NQT entrants"/>
    <hyperlink ref="E107" location="Outputs_for_conversion_rates!A1" display="Outputs for conversion rates"/>
    <hyperlink ref="E97" location="Conversion_rates_table!A1" display="Conversion rates table"/>
    <hyperlink ref="E108" location="FINAL_OUTPUTS_OF_ITT_PLACES!A1" display="FINAL OUTPUTS OF ITT PLACES"/>
    <hyperlink ref="E102" location="'Re-entrants_expected'!A1" display="Re-entrants expected"/>
    <hyperlink ref="E103" location="New_to_SF_sector_expected!A1" display="New to SF sector expected"/>
    <hyperlink ref="E106" location="Check_of_all_entrant_numbers!A1" display="Check of all entrant numbers"/>
    <hyperlink ref="E74" location="'Calc_PRIM_part-time_entrants'!A1" display="Calculation of primary part-time entrants"/>
    <hyperlink ref="E75" location="'Calc_SEC_part-time_entrants'!A1" display="Calculation of secondary part-time entrants"/>
    <hyperlink ref="E53" location="'Art_&amp;_Design_1'!A1" display="Art &amp; Design 1"/>
    <hyperlink ref="E54" location="Biology_1!A1" display="Biology 1"/>
    <hyperlink ref="E55" location="Business_Studies_1!A1" display="Business Studies 1"/>
    <hyperlink ref="E56" location="Chemistry_1!A1" display="Chemistry 1"/>
    <hyperlink ref="E57" location="Classics_1!A1" display="Classics 1"/>
    <hyperlink ref="E58" location="Computing_1!A1" display="Computing 1"/>
    <hyperlink ref="E59" location="'Design_&amp;_Technology_1'!A1" display="Design &amp; Technology 1"/>
    <hyperlink ref="E60" location="Drama_1!A1" display="Drama 1"/>
    <hyperlink ref="E61" location="English_1!A1" display="English 1"/>
    <hyperlink ref="E62" location="Food_1!A1" display="Food 1"/>
    <hyperlink ref="E63" location="Geography_1!A1" display="Geography 1"/>
    <hyperlink ref="E64" location="History_1!A1" display="History 1"/>
    <hyperlink ref="E65" location="Mathematics_1!A1" display="Mathematics 1"/>
    <hyperlink ref="E66" location="Modern_Foreign_Languages_1!A1" display="Modern Foreign Languages 1"/>
    <hyperlink ref="E67" location="Music_1!A1" display="Music 1"/>
    <hyperlink ref="E68" location="Others_1!A1" display="Others 1"/>
    <hyperlink ref="E69" location="Physical_Education_1!A1" display="Physical Education 1"/>
    <hyperlink ref="E70" location="Physics_1!A1" display="Physics 1"/>
    <hyperlink ref="E71" location="Religious_Education_1!A1" display="Religious Education 1"/>
    <hyperlink ref="E76" location="Primary_2!A1" display="Primary 2"/>
    <hyperlink ref="E77" location="'Art_&amp;_Design_2'!A1" display="Art &amp; Design 2"/>
    <hyperlink ref="E78" location="Biology_2!A1" display="Biology 2"/>
    <hyperlink ref="E79" location="Business_Studies_2!A1" display="Business Studies 2"/>
    <hyperlink ref="E80" location="Chemistry_2!A1" display="Chemistry 2"/>
    <hyperlink ref="E81" location="Classics_2!A1" display="Classics 2"/>
    <hyperlink ref="E82" location="Computing_2!A1" display="Computing 2"/>
    <hyperlink ref="E83" location="'Design_&amp;_Technology_2'!A1" display="Design &amp; Technology 2"/>
    <hyperlink ref="E84" location="Drama_2!A1" display="Drama 2"/>
    <hyperlink ref="E95" location="Religious_Education_2!A1" display="Religious Education 2"/>
    <hyperlink ref="E94" location="Physics_2!A1" display="Physics 2"/>
    <hyperlink ref="E92" location="Others_2!A1" display="Others 2"/>
    <hyperlink ref="E93" location="Physical_Education_2!A1" display="Physical Education 2"/>
    <hyperlink ref="E91" location="Music_2!A1" display="Music 2"/>
    <hyperlink ref="E90" location="Modern_Foreign_Languages_2!A1" display="Modern Foreign Languages 2"/>
    <hyperlink ref="E89" location="Mathematics_2!A1" display="Mathematics 2"/>
    <hyperlink ref="E88" location="History_2!A1" display="History 2"/>
    <hyperlink ref="E87" location="Geography_2!A1" display="Geography 2"/>
    <hyperlink ref="E85" location="English_2!A1" display="English 2"/>
    <hyperlink ref="E120" location="Outputs_with_historical_data!A1" display="Outputs with historical data"/>
    <hyperlink ref="E122" location="Historical_and_projected_ITT!A1" display="Historical and projected ITT"/>
    <hyperlink ref="E29" location="Increased_EBacc_scenario_data!A1" display="Increased EBacc take up scenario data"/>
    <hyperlink ref="E123" location="Changes_in_subject_teaching_hrs!A1" display="Changes in subject teaching hours"/>
    <hyperlink ref="E21" location="USER_TESTING_TAB!A1" display="USER TESTING TAB"/>
    <hyperlink ref="E101" location="OUTPUTS_FOR_SECTION_2_OF_MODEL!A1" display="OUTPUTS FOR SECTION 2 OF MODEL"/>
    <hyperlink ref="E86" location="Food_2!A1" display="Food 2"/>
    <hyperlink ref="E121" location="Comparison_of_pupil_projns!A1" display="Comparison of pupil projections"/>
    <hyperlink ref="E109" location="SUMMARY_OUTPUTS!A1" display="SUMMARY_OUTPUTS"/>
    <hyperlink ref="E105" location="Entrants_via_other_initiatives!A1" display="Entrants via other initiatives"/>
  </hyperlinks>
  <pageMargins left="0.7" right="0.7" top="0.75" bottom="0.75" header="0.3" footer="0.3"/>
  <pageSetup paperSize="9" orientation="portrait" r:id="rId1"/>
  <ignoredErrors>
    <ignoredError sqref="E3 C16 C23 C31 C99 M17 M25:M29 M122 M33:M40 M87:M97 M106:M108 M44:M84 M113:M116 M102:M104" unlocked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9"/>
  <sheetViews>
    <sheetView showGridLines="0" zoomScaleNormal="100" workbookViewId="0"/>
  </sheetViews>
  <sheetFormatPr defaultRowHeight="12.75"/>
  <cols>
    <col min="2" max="2" width="22.140625" customWidth="1"/>
    <col min="3" max="23" width="12.85546875" bestFit="1" customWidth="1"/>
    <col min="24" max="25" width="12.85546875" customWidth="1"/>
    <col min="26" max="26" width="12.85546875" bestFit="1" customWidth="1"/>
    <col min="27" max="40" width="12.85546875" customWidth="1"/>
  </cols>
  <sheetData>
    <row r="1" spans="1:25" s="65" customFormat="1" ht="15">
      <c r="A1" s="64" t="str">
        <f>ModelBanner</f>
        <v>TSM_201819 Publication</v>
      </c>
      <c r="Y1" s="712"/>
    </row>
    <row r="2" spans="1:25" s="65" customFormat="1" ht="15">
      <c r="A2" s="940" t="s">
        <v>13</v>
      </c>
      <c r="B2" s="940" t="s">
        <v>30</v>
      </c>
      <c r="Y2" s="712"/>
    </row>
    <row r="3" spans="1:25" s="65" customFormat="1" ht="15">
      <c r="A3" s="66"/>
      <c r="Y3" s="712"/>
    </row>
    <row r="4" spans="1:25" s="56" customFormat="1">
      <c r="A4" s="57" t="s">
        <v>26</v>
      </c>
      <c r="B4" s="57"/>
      <c r="C4" s="57"/>
      <c r="D4" s="57"/>
      <c r="E4" s="285"/>
      <c r="F4" s="57"/>
      <c r="G4" s="57"/>
      <c r="H4" s="57"/>
      <c r="I4" s="57"/>
      <c r="J4" s="57"/>
      <c r="K4" s="57"/>
      <c r="L4" s="57"/>
      <c r="M4" s="57"/>
      <c r="N4" s="57"/>
      <c r="O4" s="57"/>
      <c r="P4" s="57"/>
      <c r="Q4" s="57"/>
    </row>
    <row r="5" spans="1:25" s="46" customFormat="1" ht="13.15" customHeight="1">
      <c r="A5" s="59" t="s">
        <v>1310</v>
      </c>
      <c r="B5" s="59"/>
      <c r="C5" s="59"/>
      <c r="D5" s="59"/>
      <c r="E5" s="59"/>
      <c r="F5" s="59"/>
      <c r="G5" s="59"/>
      <c r="H5" s="59"/>
      <c r="I5" s="59"/>
      <c r="J5" s="59"/>
      <c r="K5" s="59"/>
      <c r="L5" s="59"/>
      <c r="M5" s="59"/>
      <c r="N5" s="59"/>
      <c r="O5" s="59"/>
      <c r="P5" s="59"/>
      <c r="Q5" s="59"/>
    </row>
    <row r="6" spans="1:25" s="45" customFormat="1">
      <c r="A6" s="55" t="s">
        <v>1392</v>
      </c>
      <c r="B6" s="60"/>
      <c r="C6" s="60"/>
      <c r="D6" s="60"/>
      <c r="E6" s="285"/>
      <c r="F6" s="60"/>
      <c r="G6" s="60"/>
      <c r="H6" s="60"/>
      <c r="I6" s="60"/>
      <c r="J6" s="60"/>
      <c r="K6" s="60"/>
      <c r="L6" s="60"/>
      <c r="M6" s="60"/>
      <c r="N6" s="60"/>
      <c r="O6" s="60"/>
      <c r="P6" s="60"/>
      <c r="Q6" s="60"/>
    </row>
    <row r="7" spans="1:25" s="45" customFormat="1">
      <c r="A7" s="53" t="s">
        <v>179</v>
      </c>
      <c r="B7" s="55"/>
      <c r="C7" s="60"/>
      <c r="D7" s="60"/>
      <c r="E7" s="285"/>
      <c r="F7" s="60"/>
      <c r="G7" s="60"/>
      <c r="H7" s="60"/>
      <c r="I7" s="60"/>
      <c r="J7" s="60"/>
      <c r="K7" s="60"/>
      <c r="L7" s="60"/>
      <c r="M7" s="60"/>
      <c r="N7" s="60"/>
      <c r="O7" s="60"/>
      <c r="P7" s="60"/>
      <c r="Q7" s="60"/>
    </row>
    <row r="8" spans="1:25" s="45" customFormat="1">
      <c r="A8" s="55" t="s">
        <v>24</v>
      </c>
      <c r="B8" s="60"/>
      <c r="C8" s="60"/>
      <c r="D8" s="60"/>
      <c r="E8" s="285"/>
      <c r="F8" s="60"/>
      <c r="G8" s="60"/>
      <c r="H8" s="60"/>
      <c r="I8" s="60"/>
      <c r="J8" s="60"/>
      <c r="K8" s="60"/>
      <c r="L8" s="60"/>
      <c r="M8" s="60"/>
      <c r="N8" s="60"/>
      <c r="O8" s="60"/>
      <c r="P8" s="60"/>
      <c r="Q8" s="60"/>
    </row>
    <row r="9" spans="1:25" s="49" customFormat="1" ht="13.5" customHeight="1">
      <c r="A9" s="54" t="s">
        <v>124</v>
      </c>
      <c r="B9" s="72"/>
      <c r="C9" s="70"/>
      <c r="D9" s="47"/>
      <c r="E9" s="47"/>
      <c r="F9" s="47"/>
      <c r="G9" s="71"/>
      <c r="H9" s="47"/>
      <c r="I9" s="47"/>
      <c r="J9" s="71"/>
      <c r="K9" s="48"/>
      <c r="L9" s="48"/>
      <c r="M9" s="48"/>
      <c r="N9" s="48"/>
      <c r="O9" s="48"/>
      <c r="P9" s="48"/>
      <c r="Q9" s="48"/>
    </row>
    <row r="37" spans="2:28">
      <c r="B37" s="146" t="s">
        <v>330</v>
      </c>
    </row>
    <row r="38" spans="2:28" s="5" customFormat="1">
      <c r="C38" s="298" t="str">
        <f>RAW_DATA_INPUTS!C355</f>
        <v>2004/05</v>
      </c>
      <c r="D38" s="298" t="str">
        <f>RAW_DATA_INPUTS!D355</f>
        <v>2005/06</v>
      </c>
      <c r="E38" s="298" t="str">
        <f>RAW_DATA_INPUTS!E355</f>
        <v>2006/07</v>
      </c>
      <c r="F38" s="298" t="str">
        <f>RAW_DATA_INPUTS!F355</f>
        <v>2007/08</v>
      </c>
      <c r="G38" s="298" t="str">
        <f>RAW_DATA_INPUTS!G355</f>
        <v>2008/09</v>
      </c>
      <c r="H38" s="298" t="str">
        <f>RAW_DATA_INPUTS!H355</f>
        <v>2009/10</v>
      </c>
      <c r="I38" s="298" t="str">
        <f>RAW_DATA_INPUTS!I355</f>
        <v>2010/11</v>
      </c>
      <c r="J38" s="298" t="str">
        <f>RAW_DATA_INPUTS!J355</f>
        <v>2011/12</v>
      </c>
      <c r="K38" s="298" t="str">
        <f>RAW_DATA_INPUTS!K355</f>
        <v>2012/13</v>
      </c>
      <c r="L38" s="298" t="str">
        <f>RAW_DATA_INPUTS!L355</f>
        <v>2013/14</v>
      </c>
      <c r="M38" s="298" t="str">
        <f>RAW_DATA_INPUTS!M355</f>
        <v>2014/15</v>
      </c>
      <c r="N38" s="298" t="str">
        <f>RAW_DATA_INPUTS!N355</f>
        <v>2015/16</v>
      </c>
      <c r="O38" s="298" t="str">
        <f>RAW_DATA_INPUTS!O355</f>
        <v>2016/17</v>
      </c>
      <c r="P38" s="298" t="str">
        <f>RAW_DATA_INPUTS!P355</f>
        <v>2017/18</v>
      </c>
      <c r="Q38" s="298" t="str">
        <f>RAW_DATA_INPUTS!Q355</f>
        <v>2018/19</v>
      </c>
      <c r="R38" s="298" t="str">
        <f>RAW_DATA_INPUTS!R355</f>
        <v>2019/20</v>
      </c>
      <c r="S38" s="298" t="str">
        <f>RAW_DATA_INPUTS!S355</f>
        <v>2020/21</v>
      </c>
      <c r="T38" s="298" t="str">
        <f>RAW_DATA_INPUTS!T355</f>
        <v>2021/22</v>
      </c>
      <c r="U38" s="298" t="str">
        <f>RAW_DATA_INPUTS!U355</f>
        <v>2022/23</v>
      </c>
      <c r="V38" s="298" t="str">
        <f>RAW_DATA_INPUTS!V355</f>
        <v>2023/24</v>
      </c>
      <c r="W38" s="298" t="str">
        <f>RAW_DATA_INPUTS!W355</f>
        <v>2024/25</v>
      </c>
      <c r="X38" s="298" t="str">
        <f>RAW_DATA_INPUTS!X355</f>
        <v>2025/26</v>
      </c>
      <c r="Y38" s="298" t="str">
        <f>RAW_DATA_INPUTS!Y355</f>
        <v>2026/27</v>
      </c>
      <c r="Z38" s="298" t="str">
        <f>RAW_DATA_INPUTS!Z355</f>
        <v>2027/28</v>
      </c>
      <c r="AA38" s="298" t="str">
        <f>RAW_DATA_INPUTS!AA355</f>
        <v>2028/29</v>
      </c>
      <c r="AB38" s="298"/>
    </row>
    <row r="39" spans="2:28">
      <c r="B39" s="12" t="s">
        <v>331</v>
      </c>
      <c r="C39" s="296">
        <f>RAW_DATA_INPUTS!C374</f>
        <v>4133670.5</v>
      </c>
      <c r="D39" s="296">
        <f>RAW_DATA_INPUTS!D374</f>
        <v>4085271.436729731</v>
      </c>
      <c r="E39" s="296">
        <f>RAW_DATA_INPUTS!E374</f>
        <v>4047195.5</v>
      </c>
      <c r="F39" s="296">
        <f>RAW_DATA_INPUTS!F374</f>
        <v>4028055.5</v>
      </c>
      <c r="G39" s="296">
        <f>RAW_DATA_INPUTS!G374</f>
        <v>4016161.5</v>
      </c>
      <c r="H39" s="296">
        <f>RAW_DATA_INPUTS!H374</f>
        <v>4036364.5</v>
      </c>
      <c r="I39" s="296">
        <f>RAW_DATA_INPUTS!I374</f>
        <v>4074368</v>
      </c>
      <c r="J39" s="296">
        <f>RAW_DATA_INPUTS!J374</f>
        <v>4150277.5</v>
      </c>
      <c r="K39" s="296">
        <f>RAW_DATA_INPUTS!K374</f>
        <v>4247394.5</v>
      </c>
      <c r="L39" s="296">
        <f>RAW_DATA_INPUTS!L374</f>
        <v>4359000</v>
      </c>
      <c r="M39" s="296">
        <f>RAW_DATA_INPUTS!M374</f>
        <v>4463434</v>
      </c>
      <c r="N39" s="296">
        <f>RAW_DATA_INPUTS!N374</f>
        <v>4574041.5</v>
      </c>
      <c r="O39" s="296">
        <f>RAW_DATA_INPUTS!O374</f>
        <v>4659421</v>
      </c>
      <c r="P39" s="296">
        <f>RAW_DATA_INPUTS!P374</f>
        <v>4715434.6972993147</v>
      </c>
      <c r="Q39" s="296">
        <f>RAW_DATA_INPUTS!Q374</f>
        <v>4737109.3348040003</v>
      </c>
      <c r="R39" s="296">
        <f>RAW_DATA_INPUTS!R374</f>
        <v>4726941.3615096211</v>
      </c>
      <c r="S39" s="296">
        <f>RAW_DATA_INPUTS!S374</f>
        <v>4710955.0448766593</v>
      </c>
      <c r="T39" s="296">
        <f>RAW_DATA_INPUTS!T374</f>
        <v>4676433.6780280955</v>
      </c>
      <c r="U39" s="296">
        <f>RAW_DATA_INPUTS!U374</f>
        <v>4623202.5849240804</v>
      </c>
      <c r="V39" s="296">
        <f>RAW_DATA_INPUTS!V374</f>
        <v>4552720.6004686635</v>
      </c>
      <c r="W39" s="296">
        <f>RAW_DATA_INPUTS!W374</f>
        <v>4499461.4137162212</v>
      </c>
      <c r="X39" s="296">
        <f>RAW_DATA_INPUTS!X374</f>
        <v>4457318.4588044519</v>
      </c>
      <c r="Y39" s="296">
        <f>RAW_DATA_INPUTS!Y374</f>
        <v>4414882.926841069</v>
      </c>
      <c r="Z39" s="296">
        <f>RAW_DATA_INPUTS!Z374</f>
        <v>4377244.0325927678</v>
      </c>
      <c r="AA39" s="296">
        <f>RAW_DATA_INPUTS!AA374</f>
        <v>4341994.1506143641</v>
      </c>
      <c r="AB39" s="295"/>
    </row>
    <row r="40" spans="2:28">
      <c r="B40" s="12" t="s">
        <v>370</v>
      </c>
      <c r="C40" s="296">
        <f>RAW_DATA_INPUTS!C356</f>
        <v>4133670.5</v>
      </c>
      <c r="D40" s="296">
        <f>RAW_DATA_INPUTS!D356</f>
        <v>4085271.436729731</v>
      </c>
      <c r="E40" s="296">
        <f>RAW_DATA_INPUTS!E356</f>
        <v>4047195.5</v>
      </c>
      <c r="F40" s="296">
        <f>RAW_DATA_INPUTS!F356</f>
        <v>4028055.5</v>
      </c>
      <c r="G40" s="296">
        <f>RAW_DATA_INPUTS!G356</f>
        <v>4016161.5</v>
      </c>
      <c r="H40" s="296">
        <f>RAW_DATA_INPUTS!H356</f>
        <v>4036364.5</v>
      </c>
      <c r="I40" s="296">
        <f>RAW_DATA_INPUTS!I356</f>
        <v>4074368</v>
      </c>
      <c r="J40" s="296">
        <f>RAW_DATA_INPUTS!J356</f>
        <v>4150277.5</v>
      </c>
      <c r="K40" s="296">
        <f>RAW_DATA_INPUTS!K356</f>
        <v>4247394.5</v>
      </c>
      <c r="L40" s="296">
        <f>RAW_DATA_INPUTS!L356</f>
        <v>4359000</v>
      </c>
      <c r="M40" s="296">
        <f>RAW_DATA_INPUTS!M356</f>
        <v>4463434</v>
      </c>
      <c r="N40" s="296">
        <f>RAW_DATA_INPUTS!N356</f>
        <v>4574041.5</v>
      </c>
      <c r="O40" s="296">
        <f>RAW_DATA_INPUTS!O356</f>
        <v>4659421</v>
      </c>
      <c r="P40" s="296">
        <f>RAW_DATA_INPUTS!P356</f>
        <v>4717394.1869075894</v>
      </c>
      <c r="Q40" s="296">
        <f>RAW_DATA_INPUTS!Q356</f>
        <v>4743197.9400571762</v>
      </c>
      <c r="R40" s="296">
        <f>RAW_DATA_INPUTS!R356</f>
        <v>4743394.7508921698</v>
      </c>
      <c r="S40" s="296">
        <f>RAW_DATA_INPUTS!S356</f>
        <v>4752324.1234839866</v>
      </c>
      <c r="T40" s="296">
        <f>RAW_DATA_INPUTS!T356</f>
        <v>4754699.5674540829</v>
      </c>
      <c r="U40" s="296">
        <f>RAW_DATA_INPUTS!U356</f>
        <v>4748628.8440450421</v>
      </c>
      <c r="V40" s="296">
        <f>RAW_DATA_INPUTS!V356</f>
        <v>4733277.2129678745</v>
      </c>
      <c r="W40" s="296">
        <f>RAW_DATA_INPUTS!W356</f>
        <v>4742429.7587460289</v>
      </c>
      <c r="X40" s="296">
        <f>RAW_DATA_INPUTS!X356</f>
        <v>4769065.3698165566</v>
      </c>
      <c r="Y40" s="296">
        <f>RAW_DATA_INPUTS!Y356</f>
        <v>4797832.532279524</v>
      </c>
      <c r="Z40" s="296">
        <f>RAW_DATA_INPUTS!Z356</f>
        <v>4819809.7676248243</v>
      </c>
      <c r="AA40" s="296">
        <f>RAW_DATA_INPUTS!AA356</f>
        <v>4834650.7574622277</v>
      </c>
      <c r="AB40" s="295"/>
    </row>
    <row r="41" spans="2:28">
      <c r="B41" s="12" t="s">
        <v>332</v>
      </c>
      <c r="C41" s="296">
        <f>RAW_DATA_INPUTS!C365</f>
        <v>4133670.5</v>
      </c>
      <c r="D41" s="296">
        <f>RAW_DATA_INPUTS!D365</f>
        <v>4085271.436729731</v>
      </c>
      <c r="E41" s="296">
        <f>RAW_DATA_INPUTS!E365</f>
        <v>4047195.5</v>
      </c>
      <c r="F41" s="296">
        <f>RAW_DATA_INPUTS!F365</f>
        <v>4028055.5</v>
      </c>
      <c r="G41" s="296">
        <f>RAW_DATA_INPUTS!G365</f>
        <v>4016161.5</v>
      </c>
      <c r="H41" s="296">
        <f>RAW_DATA_INPUTS!H365</f>
        <v>4036364.5</v>
      </c>
      <c r="I41" s="296">
        <f>RAW_DATA_INPUTS!I365</f>
        <v>4074368</v>
      </c>
      <c r="J41" s="296">
        <f>RAW_DATA_INPUTS!J365</f>
        <v>4150277.5</v>
      </c>
      <c r="K41" s="296">
        <f>RAW_DATA_INPUTS!K365</f>
        <v>4247394.5</v>
      </c>
      <c r="L41" s="296">
        <f>RAW_DATA_INPUTS!L365</f>
        <v>4359000</v>
      </c>
      <c r="M41" s="296">
        <f>RAW_DATA_INPUTS!M365</f>
        <v>4463434</v>
      </c>
      <c r="N41" s="296">
        <f>RAW_DATA_INPUTS!N365</f>
        <v>4574041.5</v>
      </c>
      <c r="O41" s="296">
        <f>RAW_DATA_INPUTS!O365</f>
        <v>4659421</v>
      </c>
      <c r="P41" s="296">
        <f>RAW_DATA_INPUTS!P365</f>
        <v>4719330.2069105301</v>
      </c>
      <c r="Q41" s="296">
        <f>RAW_DATA_INPUTS!Q365</f>
        <v>4749063.7710393434</v>
      </c>
      <c r="R41" s="296">
        <f>RAW_DATA_INPUTS!R365</f>
        <v>4758286.9584849039</v>
      </c>
      <c r="S41" s="296">
        <f>RAW_DATA_INPUTS!S365</f>
        <v>4787262.7565154526</v>
      </c>
      <c r="T41" s="296">
        <f>RAW_DATA_INPUTS!T365</f>
        <v>4814320.3376704473</v>
      </c>
      <c r="U41" s="296">
        <f>RAW_DATA_INPUTS!U365</f>
        <v>4838012.9005403118</v>
      </c>
      <c r="V41" s="296">
        <f>RAW_DATA_INPUTS!V365</f>
        <v>4857502.889516837</v>
      </c>
      <c r="W41" s="296">
        <f>RAW_DATA_INPUTS!W365</f>
        <v>4907761.5450602453</v>
      </c>
      <c r="X41" s="296">
        <f>RAW_DATA_INPUTS!X365</f>
        <v>4982274.3276422173</v>
      </c>
      <c r="Y41" s="296">
        <f>RAW_DATA_INPUTS!Y365</f>
        <v>5062860.2674279809</v>
      </c>
      <c r="Z41" s="296">
        <f>RAW_DATA_INPUTS!Z365</f>
        <v>5130284.1091827368</v>
      </c>
      <c r="AA41" s="296">
        <f>RAW_DATA_INPUTS!AA365</f>
        <v>5193851.3654598352</v>
      </c>
      <c r="AB41" s="295"/>
    </row>
    <row r="42" spans="2:28">
      <c r="B42" s="12"/>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5"/>
    </row>
    <row r="43" spans="2:28">
      <c r="B43" s="146" t="s">
        <v>1571</v>
      </c>
      <c r="C43" s="295"/>
      <c r="D43" s="295"/>
      <c r="E43" s="295"/>
      <c r="F43" s="295"/>
      <c r="G43" s="295"/>
      <c r="H43" s="295"/>
      <c r="I43" s="295"/>
      <c r="J43" s="295"/>
      <c r="K43" s="295"/>
      <c r="L43" s="295"/>
      <c r="M43" s="295"/>
      <c r="N43" s="295"/>
      <c r="O43" s="295"/>
      <c r="P43" s="295"/>
      <c r="Q43" s="295"/>
      <c r="R43" s="295"/>
      <c r="S43" s="295"/>
      <c r="T43" s="295"/>
      <c r="U43" s="295"/>
      <c r="V43" s="295"/>
      <c r="W43" s="295"/>
      <c r="X43" s="295"/>
      <c r="Y43" s="295"/>
      <c r="Z43" s="295"/>
      <c r="AA43" s="295"/>
      <c r="AB43" s="295"/>
    </row>
    <row r="44" spans="2:28" s="5" customFormat="1">
      <c r="C44" s="1118" t="str">
        <f>C38</f>
        <v>2004/05</v>
      </c>
      <c r="D44" s="1118" t="str">
        <f t="shared" ref="D44:AA44" si="0">D38</f>
        <v>2005/06</v>
      </c>
      <c r="E44" s="1118" t="str">
        <f t="shared" si="0"/>
        <v>2006/07</v>
      </c>
      <c r="F44" s="1118" t="str">
        <f t="shared" si="0"/>
        <v>2007/08</v>
      </c>
      <c r="G44" s="1118" t="str">
        <f t="shared" si="0"/>
        <v>2008/09</v>
      </c>
      <c r="H44" s="1118" t="str">
        <f t="shared" si="0"/>
        <v>2009/10</v>
      </c>
      <c r="I44" s="1118" t="str">
        <f t="shared" si="0"/>
        <v>2010/11</v>
      </c>
      <c r="J44" s="1118" t="str">
        <f t="shared" si="0"/>
        <v>2011/12</v>
      </c>
      <c r="K44" s="1118" t="str">
        <f t="shared" si="0"/>
        <v>2012/13</v>
      </c>
      <c r="L44" s="1118" t="str">
        <f t="shared" si="0"/>
        <v>2013/14</v>
      </c>
      <c r="M44" s="1118" t="str">
        <f t="shared" si="0"/>
        <v>2014/15</v>
      </c>
      <c r="N44" s="1118" t="str">
        <f t="shared" si="0"/>
        <v>2015/16</v>
      </c>
      <c r="O44" s="1118" t="str">
        <f t="shared" si="0"/>
        <v>2016/17</v>
      </c>
      <c r="P44" s="1118" t="str">
        <f t="shared" si="0"/>
        <v>2017/18</v>
      </c>
      <c r="Q44" s="1118" t="str">
        <f t="shared" si="0"/>
        <v>2018/19</v>
      </c>
      <c r="R44" s="1118" t="str">
        <f t="shared" si="0"/>
        <v>2019/20</v>
      </c>
      <c r="S44" s="1118" t="str">
        <f t="shared" si="0"/>
        <v>2020/21</v>
      </c>
      <c r="T44" s="1118" t="str">
        <f t="shared" si="0"/>
        <v>2021/22</v>
      </c>
      <c r="U44" s="1118" t="str">
        <f t="shared" si="0"/>
        <v>2022/23</v>
      </c>
      <c r="V44" s="1118" t="str">
        <f t="shared" si="0"/>
        <v>2023/24</v>
      </c>
      <c r="W44" s="1118" t="str">
        <f t="shared" si="0"/>
        <v>2024/25</v>
      </c>
      <c r="X44" s="1118" t="str">
        <f t="shared" si="0"/>
        <v>2025/26</v>
      </c>
      <c r="Y44" s="1118" t="str">
        <f t="shared" si="0"/>
        <v>2026/27</v>
      </c>
      <c r="Z44" s="1118" t="str">
        <f t="shared" si="0"/>
        <v>2027/28</v>
      </c>
      <c r="AA44" s="1118" t="str">
        <f t="shared" si="0"/>
        <v>2028/29</v>
      </c>
      <c r="AB44" s="298"/>
    </row>
    <row r="45" spans="2:28">
      <c r="B45" s="12" t="s">
        <v>1573</v>
      </c>
      <c r="C45" s="1119">
        <f>RAW_DATA_INPUTS!C375</f>
        <v>1783139.5</v>
      </c>
      <c r="D45" s="1119">
        <f>RAW_DATA_INPUTS!D375</f>
        <v>1758000.0007601124</v>
      </c>
      <c r="E45" s="1119">
        <f>RAW_DATA_INPUTS!E375</f>
        <v>1722930</v>
      </c>
      <c r="F45" s="1119">
        <f>RAW_DATA_INPUTS!F375</f>
        <v>1701531</v>
      </c>
      <c r="G45" s="1119">
        <f>RAW_DATA_INPUTS!G375</f>
        <v>1691158</v>
      </c>
      <c r="H45" s="1119">
        <f>RAW_DATA_INPUTS!H375</f>
        <v>1680949</v>
      </c>
      <c r="I45" s="1119">
        <f>RAW_DATA_INPUTS!I375</f>
        <v>1672689.5</v>
      </c>
      <c r="J45" s="1119">
        <f>RAW_DATA_INPUTS!J375</f>
        <v>1641887</v>
      </c>
      <c r="K45" s="1119">
        <f>RAW_DATA_INPUTS!K375</f>
        <v>1612821</v>
      </c>
      <c r="L45" s="1119">
        <f>RAW_DATA_INPUTS!L375</f>
        <v>1587472</v>
      </c>
      <c r="M45" s="1119">
        <f>RAW_DATA_INPUTS!M375</f>
        <v>1595949</v>
      </c>
      <c r="N45" s="1119">
        <f>RAW_DATA_INPUTS!N375</f>
        <v>1630717</v>
      </c>
      <c r="O45" s="1119">
        <f>RAW_DATA_INPUTS!O375</f>
        <v>1678899</v>
      </c>
      <c r="P45" s="1119">
        <f>RAW_DATA_INPUTS!P375</f>
        <v>1723828.2198890003</v>
      </c>
      <c r="Q45" s="1119">
        <f>RAW_DATA_INPUTS!Q375</f>
        <v>1772483.1887638846</v>
      </c>
      <c r="R45" s="1119">
        <f>RAW_DATA_INPUTS!R375</f>
        <v>1834391.2311419928</v>
      </c>
      <c r="S45" s="1119">
        <f>RAW_DATA_INPUTS!S375</f>
        <v>1878449.8518755834</v>
      </c>
      <c r="T45" s="1119">
        <f>RAW_DATA_INPUTS!T375</f>
        <v>1913358.5849072661</v>
      </c>
      <c r="U45" s="1119">
        <f>RAW_DATA_INPUTS!U375</f>
        <v>1935531.9331186812</v>
      </c>
      <c r="V45" s="1119">
        <f>RAW_DATA_INPUTS!V375</f>
        <v>1972636.6749603751</v>
      </c>
      <c r="W45" s="1119">
        <f>RAW_DATA_INPUTS!W375</f>
        <v>1974966.900440125</v>
      </c>
      <c r="X45" s="1119">
        <f>RAW_DATA_INPUTS!X375</f>
        <v>1948447.0806189801</v>
      </c>
      <c r="Y45" s="1119">
        <f>RAW_DATA_INPUTS!Y375</f>
        <v>1906109.6274286429</v>
      </c>
      <c r="Z45" s="1119">
        <f>RAW_DATA_INPUTS!Z375</f>
        <v>1877302.4033844979</v>
      </c>
      <c r="AA45" s="1119">
        <f>RAW_DATA_INPUTS!AA375</f>
        <v>1858226.5999291013</v>
      </c>
      <c r="AB45" s="295"/>
    </row>
    <row r="46" spans="2:28">
      <c r="B46" s="12" t="s">
        <v>1574</v>
      </c>
      <c r="C46" s="1119">
        <f>RAW_DATA_INPUTS!C357</f>
        <v>1783139.5</v>
      </c>
      <c r="D46" s="1119">
        <f>RAW_DATA_INPUTS!D357</f>
        <v>1758000.0007601124</v>
      </c>
      <c r="E46" s="1119">
        <f>RAW_DATA_INPUTS!E357</f>
        <v>1722930</v>
      </c>
      <c r="F46" s="1119">
        <f>RAW_DATA_INPUTS!F357</f>
        <v>1701531</v>
      </c>
      <c r="G46" s="1119">
        <f>RAW_DATA_INPUTS!G357</f>
        <v>1691158</v>
      </c>
      <c r="H46" s="1119">
        <f>RAW_DATA_INPUTS!H357</f>
        <v>1680949</v>
      </c>
      <c r="I46" s="1119">
        <f>RAW_DATA_INPUTS!I357</f>
        <v>1672689.5</v>
      </c>
      <c r="J46" s="1119">
        <f>RAW_DATA_INPUTS!J357</f>
        <v>1641887</v>
      </c>
      <c r="K46" s="1119">
        <f>RAW_DATA_INPUTS!K357</f>
        <v>1612821</v>
      </c>
      <c r="L46" s="1119">
        <f>RAW_DATA_INPUTS!L357</f>
        <v>1587472</v>
      </c>
      <c r="M46" s="1119">
        <f>RAW_DATA_INPUTS!M357</f>
        <v>1595949</v>
      </c>
      <c r="N46" s="1119">
        <f>RAW_DATA_INPUTS!N357</f>
        <v>1630717</v>
      </c>
      <c r="O46" s="1119">
        <f>RAW_DATA_INPUTS!O357</f>
        <v>1678899</v>
      </c>
      <c r="P46" s="1119">
        <f>RAW_DATA_INPUTS!P357</f>
        <v>1724020.9710333012</v>
      </c>
      <c r="Q46" s="1119">
        <f>RAW_DATA_INPUTS!Q357</f>
        <v>1772854.5848039868</v>
      </c>
      <c r="R46" s="1119">
        <f>RAW_DATA_INPUTS!R357</f>
        <v>1834934.1224812306</v>
      </c>
      <c r="S46" s="1119">
        <f>RAW_DATA_INPUTS!S357</f>
        <v>1879210.7299530376</v>
      </c>
      <c r="T46" s="1119">
        <f>RAW_DATA_INPUTS!T357</f>
        <v>1914351.168622531</v>
      </c>
      <c r="U46" s="1119">
        <f>RAW_DATA_INPUTS!U357</f>
        <v>1936762.2517991117</v>
      </c>
      <c r="V46" s="1119">
        <f>RAW_DATA_INPUTS!V357</f>
        <v>1974817.9779716961</v>
      </c>
      <c r="W46" s="1119">
        <f>RAW_DATA_INPUTS!W357</f>
        <v>1978504.8643901525</v>
      </c>
      <c r="X46" s="1119">
        <f>RAW_DATA_INPUTS!X357</f>
        <v>1953779.1387891811</v>
      </c>
      <c r="Y46" s="1119">
        <f>RAW_DATA_INPUTS!Y357</f>
        <v>1915886.5892006818</v>
      </c>
      <c r="Z46" s="1119">
        <f>RAW_DATA_INPUTS!Z357</f>
        <v>1907012.1075926665</v>
      </c>
      <c r="AA46" s="1119">
        <f>RAW_DATA_INPUTS!AA357</f>
        <v>1919851.9246029067</v>
      </c>
      <c r="AB46" s="295"/>
    </row>
    <row r="47" spans="2:28">
      <c r="B47" s="12" t="s">
        <v>1575</v>
      </c>
      <c r="C47" s="1119">
        <f>RAW_DATA_INPUTS!C366</f>
        <v>1783139.5</v>
      </c>
      <c r="D47" s="1119">
        <f>RAW_DATA_INPUTS!D366</f>
        <v>1758000.0007601124</v>
      </c>
      <c r="E47" s="1119">
        <f>RAW_DATA_INPUTS!E366</f>
        <v>1722930</v>
      </c>
      <c r="F47" s="1119">
        <f>RAW_DATA_INPUTS!F366</f>
        <v>1701531</v>
      </c>
      <c r="G47" s="1119">
        <f>RAW_DATA_INPUTS!G366</f>
        <v>1691158</v>
      </c>
      <c r="H47" s="1119">
        <f>RAW_DATA_INPUTS!H366</f>
        <v>1680949</v>
      </c>
      <c r="I47" s="1119">
        <f>RAW_DATA_INPUTS!I366</f>
        <v>1672689.5</v>
      </c>
      <c r="J47" s="1119">
        <f>RAW_DATA_INPUTS!J366</f>
        <v>1641887</v>
      </c>
      <c r="K47" s="1119">
        <f>RAW_DATA_INPUTS!K366</f>
        <v>1612821</v>
      </c>
      <c r="L47" s="1119">
        <f>RAW_DATA_INPUTS!L366</f>
        <v>1587472</v>
      </c>
      <c r="M47" s="1119">
        <f>RAW_DATA_INPUTS!M366</f>
        <v>1595949</v>
      </c>
      <c r="N47" s="1119">
        <f>RAW_DATA_INPUTS!N366</f>
        <v>1630717</v>
      </c>
      <c r="O47" s="1119">
        <f>RAW_DATA_INPUTS!O366</f>
        <v>1678899</v>
      </c>
      <c r="P47" s="1119">
        <f>RAW_DATA_INPUTS!P366</f>
        <v>1724207.7875767583</v>
      </c>
      <c r="Q47" s="1119">
        <f>RAW_DATA_INPUTS!Q366</f>
        <v>1773210.9395461665</v>
      </c>
      <c r="R47" s="1119">
        <f>RAW_DATA_INPUTS!R366</f>
        <v>1835463.9408992713</v>
      </c>
      <c r="S47" s="1119">
        <f>RAW_DATA_INPUTS!S366</f>
        <v>1879958.5975461819</v>
      </c>
      <c r="T47" s="1119">
        <f>RAW_DATA_INPUTS!T366</f>
        <v>1915323.879548701</v>
      </c>
      <c r="U47" s="1119">
        <f>RAW_DATA_INPUTS!U366</f>
        <v>1937949.6924893635</v>
      </c>
      <c r="V47" s="1119">
        <f>RAW_DATA_INPUTS!V366</f>
        <v>1976932.820831679</v>
      </c>
      <c r="W47" s="1119">
        <f>RAW_DATA_INPUTS!W366</f>
        <v>1981952.0645195374</v>
      </c>
      <c r="X47" s="1119">
        <f>RAW_DATA_INPUTS!X366</f>
        <v>1959018.2905100833</v>
      </c>
      <c r="Y47" s="1119">
        <f>RAW_DATA_INPUTS!Y366</f>
        <v>1925419.6121202079</v>
      </c>
      <c r="Z47" s="1119">
        <f>RAW_DATA_INPUTS!Z366</f>
        <v>1934125.3763884774</v>
      </c>
      <c r="AA47" s="1119">
        <f>RAW_DATA_INPUTS!AA366</f>
        <v>1968151.4338998005</v>
      </c>
      <c r="AB47" s="295"/>
    </row>
    <row r="48" spans="2:28">
      <c r="B48" s="12"/>
      <c r="C48" s="1119"/>
      <c r="D48" s="1119"/>
      <c r="E48" s="1119"/>
      <c r="F48" s="1119"/>
      <c r="G48" s="1119"/>
      <c r="H48" s="1119"/>
      <c r="I48" s="1119"/>
      <c r="J48" s="1119"/>
      <c r="K48" s="1119"/>
      <c r="L48" s="1119"/>
      <c r="M48" s="1119"/>
      <c r="N48" s="1119"/>
      <c r="O48" s="1119"/>
      <c r="P48" s="1119"/>
      <c r="Q48" s="1119"/>
      <c r="R48" s="1119"/>
      <c r="S48" s="1119"/>
      <c r="T48" s="1119"/>
      <c r="U48" s="1119"/>
      <c r="V48" s="1119"/>
      <c r="W48" s="1119"/>
      <c r="X48" s="1119"/>
      <c r="Y48" s="1119"/>
      <c r="Z48" s="1119"/>
      <c r="AA48" s="1119"/>
      <c r="AB48" s="295"/>
    </row>
    <row r="49" spans="2:28">
      <c r="B49" s="146" t="s">
        <v>1589</v>
      </c>
      <c r="C49" s="1120"/>
      <c r="D49" s="1120"/>
      <c r="E49" s="1120"/>
      <c r="F49" s="1120"/>
      <c r="G49" s="1120"/>
      <c r="H49" s="1120"/>
      <c r="I49" s="1120"/>
      <c r="J49" s="1120"/>
      <c r="K49" s="1120"/>
      <c r="L49" s="1120"/>
      <c r="M49" s="1120"/>
      <c r="N49" s="1120"/>
      <c r="O49" s="1120"/>
      <c r="P49" s="1120"/>
      <c r="Q49" s="1120"/>
      <c r="R49" s="1120"/>
      <c r="S49" s="1120"/>
      <c r="T49" s="1120"/>
      <c r="U49" s="1120"/>
      <c r="V49" s="1120"/>
      <c r="W49" s="1120"/>
      <c r="X49" s="1120"/>
      <c r="Y49" s="1120"/>
      <c r="Z49" s="1120"/>
      <c r="AA49" s="1120"/>
      <c r="AB49" s="295"/>
    </row>
    <row r="50" spans="2:28" s="5" customFormat="1">
      <c r="B50" s="75"/>
      <c r="C50" s="1118" t="str">
        <f>C44</f>
        <v>2004/05</v>
      </c>
      <c r="D50" s="1118" t="str">
        <f t="shared" ref="D50:AA50" si="1">D44</f>
        <v>2005/06</v>
      </c>
      <c r="E50" s="1118" t="str">
        <f t="shared" si="1"/>
        <v>2006/07</v>
      </c>
      <c r="F50" s="1118" t="str">
        <f t="shared" si="1"/>
        <v>2007/08</v>
      </c>
      <c r="G50" s="1118" t="str">
        <f t="shared" si="1"/>
        <v>2008/09</v>
      </c>
      <c r="H50" s="1118" t="str">
        <f t="shared" si="1"/>
        <v>2009/10</v>
      </c>
      <c r="I50" s="1118" t="str">
        <f t="shared" si="1"/>
        <v>2010/11</v>
      </c>
      <c r="J50" s="1118" t="str">
        <f t="shared" si="1"/>
        <v>2011/12</v>
      </c>
      <c r="K50" s="1118" t="str">
        <f t="shared" si="1"/>
        <v>2012/13</v>
      </c>
      <c r="L50" s="1118" t="str">
        <f t="shared" si="1"/>
        <v>2013/14</v>
      </c>
      <c r="M50" s="1118" t="str">
        <f t="shared" si="1"/>
        <v>2014/15</v>
      </c>
      <c r="N50" s="1118" t="str">
        <f t="shared" si="1"/>
        <v>2015/16</v>
      </c>
      <c r="O50" s="1118" t="str">
        <f t="shared" si="1"/>
        <v>2016/17</v>
      </c>
      <c r="P50" s="1118" t="str">
        <f t="shared" si="1"/>
        <v>2017/18</v>
      </c>
      <c r="Q50" s="1118" t="str">
        <f t="shared" si="1"/>
        <v>2018/19</v>
      </c>
      <c r="R50" s="1118" t="str">
        <f t="shared" si="1"/>
        <v>2019/20</v>
      </c>
      <c r="S50" s="1118" t="str">
        <f t="shared" si="1"/>
        <v>2020/21</v>
      </c>
      <c r="T50" s="1118" t="str">
        <f t="shared" si="1"/>
        <v>2021/22</v>
      </c>
      <c r="U50" s="1118" t="str">
        <f t="shared" si="1"/>
        <v>2022/23</v>
      </c>
      <c r="V50" s="1118" t="str">
        <f t="shared" si="1"/>
        <v>2023/24</v>
      </c>
      <c r="W50" s="1118" t="str">
        <f t="shared" si="1"/>
        <v>2024/25</v>
      </c>
      <c r="X50" s="1118" t="str">
        <f t="shared" si="1"/>
        <v>2025/26</v>
      </c>
      <c r="Y50" s="1118" t="str">
        <f t="shared" si="1"/>
        <v>2026/27</v>
      </c>
      <c r="Z50" s="1118" t="str">
        <f t="shared" si="1"/>
        <v>2027/28</v>
      </c>
      <c r="AA50" s="1118" t="str">
        <f t="shared" si="1"/>
        <v>2028/29</v>
      </c>
      <c r="AB50" s="298"/>
    </row>
    <row r="51" spans="2:28">
      <c r="B51" s="12" t="s">
        <v>1591</v>
      </c>
      <c r="C51" s="1119">
        <f>RAW_DATA_INPUTS!C376</f>
        <v>1170159</v>
      </c>
      <c r="D51" s="1119">
        <f>RAW_DATA_INPUTS!D376</f>
        <v>1185802.5625101563</v>
      </c>
      <c r="E51" s="1119">
        <f>RAW_DATA_INPUTS!E376</f>
        <v>1189358</v>
      </c>
      <c r="F51" s="1119">
        <f>RAW_DATA_INPUTS!F376</f>
        <v>1166918.5</v>
      </c>
      <c r="G51" s="1119">
        <f>RAW_DATA_INPUTS!G376</f>
        <v>1146150</v>
      </c>
      <c r="H51" s="1119">
        <f>RAW_DATA_INPUTS!H376</f>
        <v>1133977</v>
      </c>
      <c r="I51" s="1119">
        <f>RAW_DATA_INPUTS!I376</f>
        <v>1116342.5</v>
      </c>
      <c r="J51" s="1119">
        <f>RAW_DATA_INPUTS!J376</f>
        <v>1120567</v>
      </c>
      <c r="K51" s="1119">
        <f>RAW_DATA_INPUTS!K376</f>
        <v>1117099</v>
      </c>
      <c r="L51" s="1119">
        <f>RAW_DATA_INPUTS!L376</f>
        <v>1099417.5</v>
      </c>
      <c r="M51" s="1119">
        <f>RAW_DATA_INPUTS!M376</f>
        <v>1081078</v>
      </c>
      <c r="N51" s="1119">
        <f>RAW_DATA_INPUTS!N376</f>
        <v>1057483</v>
      </c>
      <c r="O51" s="1119">
        <f>RAW_DATA_INPUTS!O376</f>
        <v>1041875</v>
      </c>
      <c r="P51" s="1119">
        <f>RAW_DATA_INPUTS!P376</f>
        <v>1059042.5189143361</v>
      </c>
      <c r="Q51" s="1119">
        <f>RAW_DATA_INPUTS!Q376</f>
        <v>1098157.8591290903</v>
      </c>
      <c r="R51" s="1119">
        <f>RAW_DATA_INPUTS!R376</f>
        <v>1128078.6941527503</v>
      </c>
      <c r="S51" s="1119">
        <f>RAW_DATA_INPUTS!S376</f>
        <v>1153988.2521160692</v>
      </c>
      <c r="T51" s="1119">
        <f>RAW_DATA_INPUTS!T376</f>
        <v>1189176.4896819545</v>
      </c>
      <c r="U51" s="1119">
        <f>RAW_DATA_INPUTS!U376</f>
        <v>1235980.2991184634</v>
      </c>
      <c r="V51" s="1119">
        <f>RAW_DATA_INPUTS!V376</f>
        <v>1258119.7343137409</v>
      </c>
      <c r="W51" s="1119">
        <f>RAW_DATA_INPUTS!W376</f>
        <v>1267396.7177826473</v>
      </c>
      <c r="X51" s="1119">
        <f>RAW_DATA_INPUTS!X376</f>
        <v>1292491.4788541687</v>
      </c>
      <c r="Y51" s="1119">
        <f>RAW_DATA_INPUTS!Y376</f>
        <v>1316868.7049754027</v>
      </c>
      <c r="Z51" s="1119">
        <f>RAW_DATA_INPUTS!Z376</f>
        <v>1306195.865395145</v>
      </c>
      <c r="AA51" s="1119">
        <f>RAW_DATA_INPUTS!AA376</f>
        <v>1268352.7028780216</v>
      </c>
      <c r="AB51" s="295"/>
    </row>
    <row r="52" spans="2:28">
      <c r="B52" s="12" t="s">
        <v>1592</v>
      </c>
      <c r="C52" s="1119">
        <f>RAW_DATA_INPUTS!C358</f>
        <v>1170159</v>
      </c>
      <c r="D52" s="1119">
        <f>RAW_DATA_INPUTS!D358</f>
        <v>1185802.5625101563</v>
      </c>
      <c r="E52" s="1119">
        <f>RAW_DATA_INPUTS!E358</f>
        <v>1189358</v>
      </c>
      <c r="F52" s="1119">
        <f>RAW_DATA_INPUTS!F358</f>
        <v>1166918.5</v>
      </c>
      <c r="G52" s="1119">
        <f>RAW_DATA_INPUTS!G358</f>
        <v>1146150</v>
      </c>
      <c r="H52" s="1119">
        <f>RAW_DATA_INPUTS!H358</f>
        <v>1133977</v>
      </c>
      <c r="I52" s="1119">
        <f>RAW_DATA_INPUTS!I358</f>
        <v>1116342.5</v>
      </c>
      <c r="J52" s="1119">
        <f>RAW_DATA_INPUTS!J358</f>
        <v>1120567</v>
      </c>
      <c r="K52" s="1119">
        <f>RAW_DATA_INPUTS!K358</f>
        <v>1117099</v>
      </c>
      <c r="L52" s="1119">
        <f>RAW_DATA_INPUTS!L358</f>
        <v>1099417.5</v>
      </c>
      <c r="M52" s="1119">
        <f>RAW_DATA_INPUTS!M358</f>
        <v>1081078</v>
      </c>
      <c r="N52" s="1119">
        <f>RAW_DATA_INPUTS!N358</f>
        <v>1057483</v>
      </c>
      <c r="O52" s="1119">
        <f>RAW_DATA_INPUTS!O358</f>
        <v>1041875</v>
      </c>
      <c r="P52" s="1119">
        <f>RAW_DATA_INPUTS!P358</f>
        <v>1059242.1765030818</v>
      </c>
      <c r="Q52" s="1119">
        <f>RAW_DATA_INPUTS!Q358</f>
        <v>1098492.845827396</v>
      </c>
      <c r="R52" s="1119">
        <f>RAW_DATA_INPUTS!R358</f>
        <v>1128522.0334177609</v>
      </c>
      <c r="S52" s="1119">
        <f>RAW_DATA_INPUTS!S358</f>
        <v>1154504.7206683625</v>
      </c>
      <c r="T52" s="1119">
        <f>RAW_DATA_INPUTS!T358</f>
        <v>1189761.543386043</v>
      </c>
      <c r="U52" s="1119">
        <f>RAW_DATA_INPUTS!U358</f>
        <v>1236679.5493941545</v>
      </c>
      <c r="V52" s="1119">
        <f>RAW_DATA_INPUTS!V358</f>
        <v>1258969.8278058928</v>
      </c>
      <c r="W52" s="1119">
        <f>RAW_DATA_INPUTS!W358</f>
        <v>1268399.1996321685</v>
      </c>
      <c r="X52" s="1119">
        <f>RAW_DATA_INPUTS!X358</f>
        <v>1293612.6085987107</v>
      </c>
      <c r="Y52" s="1119">
        <f>RAW_DATA_INPUTS!Y358</f>
        <v>1318848.3464785134</v>
      </c>
      <c r="Z52" s="1119">
        <f>RAW_DATA_INPUTS!Z358</f>
        <v>1309459.1785579114</v>
      </c>
      <c r="AA52" s="1119">
        <f>RAW_DATA_INPUTS!AA358</f>
        <v>1272619.0523094554</v>
      </c>
      <c r="AB52" s="295"/>
    </row>
    <row r="53" spans="2:28">
      <c r="B53" s="12" t="s">
        <v>1593</v>
      </c>
      <c r="C53" s="1119">
        <f>RAW_DATA_INPUTS!C367</f>
        <v>1170159</v>
      </c>
      <c r="D53" s="1119">
        <f>RAW_DATA_INPUTS!D367</f>
        <v>1185802.5625101563</v>
      </c>
      <c r="E53" s="1119">
        <f>RAW_DATA_INPUTS!E367</f>
        <v>1189358</v>
      </c>
      <c r="F53" s="1119">
        <f>RAW_DATA_INPUTS!F367</f>
        <v>1166918.5</v>
      </c>
      <c r="G53" s="1119">
        <f>RAW_DATA_INPUTS!G367</f>
        <v>1146150</v>
      </c>
      <c r="H53" s="1119">
        <f>RAW_DATA_INPUTS!H367</f>
        <v>1133977</v>
      </c>
      <c r="I53" s="1119">
        <f>RAW_DATA_INPUTS!I367</f>
        <v>1116342.5</v>
      </c>
      <c r="J53" s="1119">
        <f>RAW_DATA_INPUTS!J367</f>
        <v>1120567</v>
      </c>
      <c r="K53" s="1119">
        <f>RAW_DATA_INPUTS!K367</f>
        <v>1117099</v>
      </c>
      <c r="L53" s="1119">
        <f>RAW_DATA_INPUTS!L367</f>
        <v>1099417.5</v>
      </c>
      <c r="M53" s="1119">
        <f>RAW_DATA_INPUTS!M367</f>
        <v>1081078</v>
      </c>
      <c r="N53" s="1119">
        <f>RAW_DATA_INPUTS!N367</f>
        <v>1057483</v>
      </c>
      <c r="O53" s="1119">
        <f>RAW_DATA_INPUTS!O367</f>
        <v>1041875</v>
      </c>
      <c r="P53" s="1119">
        <f>RAW_DATA_INPUTS!P367</f>
        <v>1059434.991245334</v>
      </c>
      <c r="Q53" s="1119">
        <f>RAW_DATA_INPUTS!Q367</f>
        <v>1098823.2633973816</v>
      </c>
      <c r="R53" s="1119">
        <f>RAW_DATA_INPUTS!R367</f>
        <v>1128954.0353809576</v>
      </c>
      <c r="S53" s="1119">
        <f>RAW_DATA_INPUTS!S367</f>
        <v>1155001.6879852104</v>
      </c>
      <c r="T53" s="1119">
        <f>RAW_DATA_INPUTS!T367</f>
        <v>1190324.1332968618</v>
      </c>
      <c r="U53" s="1119">
        <f>RAW_DATA_INPUTS!U367</f>
        <v>1237354.4229246336</v>
      </c>
      <c r="V53" s="1119">
        <f>RAW_DATA_INPUTS!V367</f>
        <v>1259786.2065370947</v>
      </c>
      <c r="W53" s="1119">
        <f>RAW_DATA_INPUTS!W367</f>
        <v>1269363.1834194576</v>
      </c>
      <c r="X53" s="1119">
        <f>RAW_DATA_INPUTS!X367</f>
        <v>1294673.2824939464</v>
      </c>
      <c r="Y53" s="1119">
        <f>RAW_DATA_INPUTS!Y367</f>
        <v>1320743.9612932696</v>
      </c>
      <c r="Z53" s="1119">
        <f>RAW_DATA_INPUTS!Z367</f>
        <v>1312640.2804217655</v>
      </c>
      <c r="AA53" s="1119">
        <f>RAW_DATA_INPUTS!AA367</f>
        <v>1276804.2128821535</v>
      </c>
      <c r="AB53" s="295"/>
    </row>
    <row r="54" spans="2:28">
      <c r="B54" s="12"/>
      <c r="C54" s="1119"/>
      <c r="D54" s="1119"/>
      <c r="E54" s="111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295"/>
    </row>
    <row r="55" spans="2:28">
      <c r="B55" s="146" t="s">
        <v>1594</v>
      </c>
      <c r="C55" s="1120"/>
      <c r="D55" s="1120"/>
      <c r="E55" s="1120"/>
      <c r="F55" s="1120"/>
      <c r="G55" s="1120"/>
      <c r="H55" s="1120"/>
      <c r="I55" s="1120"/>
      <c r="J55" s="1120"/>
      <c r="K55" s="1120"/>
      <c r="L55" s="1120"/>
      <c r="M55" s="1120"/>
      <c r="N55" s="1120"/>
      <c r="O55" s="1120"/>
      <c r="P55" s="1120"/>
      <c r="Q55" s="1120"/>
      <c r="R55" s="1120"/>
      <c r="S55" s="1120"/>
      <c r="T55" s="1120"/>
      <c r="U55" s="1120"/>
      <c r="V55" s="1120"/>
      <c r="W55" s="1120"/>
      <c r="X55" s="1120"/>
      <c r="Y55" s="1120"/>
      <c r="Z55" s="1120"/>
      <c r="AA55" s="1120"/>
      <c r="AB55" s="295"/>
    </row>
    <row r="56" spans="2:28" s="5" customFormat="1">
      <c r="B56" s="75"/>
      <c r="C56" s="1118" t="str">
        <f>C50</f>
        <v>2004/05</v>
      </c>
      <c r="D56" s="1118" t="str">
        <f t="shared" ref="D56:AA56" si="2">D50</f>
        <v>2005/06</v>
      </c>
      <c r="E56" s="1118" t="str">
        <f t="shared" si="2"/>
        <v>2006/07</v>
      </c>
      <c r="F56" s="1118" t="str">
        <f t="shared" si="2"/>
        <v>2007/08</v>
      </c>
      <c r="G56" s="1118" t="str">
        <f t="shared" si="2"/>
        <v>2008/09</v>
      </c>
      <c r="H56" s="1118" t="str">
        <f t="shared" si="2"/>
        <v>2009/10</v>
      </c>
      <c r="I56" s="1118" t="str">
        <f t="shared" si="2"/>
        <v>2010/11</v>
      </c>
      <c r="J56" s="1118" t="str">
        <f t="shared" si="2"/>
        <v>2011/12</v>
      </c>
      <c r="K56" s="1118" t="str">
        <f t="shared" si="2"/>
        <v>2012/13</v>
      </c>
      <c r="L56" s="1118" t="str">
        <f t="shared" si="2"/>
        <v>2013/14</v>
      </c>
      <c r="M56" s="1118" t="str">
        <f t="shared" si="2"/>
        <v>2014/15</v>
      </c>
      <c r="N56" s="1118" t="str">
        <f t="shared" si="2"/>
        <v>2015/16</v>
      </c>
      <c r="O56" s="1118" t="str">
        <f t="shared" si="2"/>
        <v>2016/17</v>
      </c>
      <c r="P56" s="1118" t="str">
        <f t="shared" si="2"/>
        <v>2017/18</v>
      </c>
      <c r="Q56" s="1118" t="str">
        <f t="shared" si="2"/>
        <v>2018/19</v>
      </c>
      <c r="R56" s="1118" t="str">
        <f t="shared" si="2"/>
        <v>2019/20</v>
      </c>
      <c r="S56" s="1118" t="str">
        <f t="shared" si="2"/>
        <v>2020/21</v>
      </c>
      <c r="T56" s="1118" t="str">
        <f t="shared" si="2"/>
        <v>2021/22</v>
      </c>
      <c r="U56" s="1118" t="str">
        <f t="shared" si="2"/>
        <v>2022/23</v>
      </c>
      <c r="V56" s="1118" t="str">
        <f t="shared" si="2"/>
        <v>2023/24</v>
      </c>
      <c r="W56" s="1118" t="str">
        <f t="shared" si="2"/>
        <v>2024/25</v>
      </c>
      <c r="X56" s="1118" t="str">
        <f t="shared" si="2"/>
        <v>2025/26</v>
      </c>
      <c r="Y56" s="1118" t="str">
        <f t="shared" si="2"/>
        <v>2026/27</v>
      </c>
      <c r="Z56" s="1118" t="str">
        <f t="shared" si="2"/>
        <v>2027/28</v>
      </c>
      <c r="AA56" s="1118" t="str">
        <f t="shared" si="2"/>
        <v>2028/29</v>
      </c>
      <c r="AB56" s="298"/>
    </row>
    <row r="57" spans="2:28">
      <c r="B57" s="12" t="s">
        <v>1599</v>
      </c>
      <c r="C57" s="1119">
        <f>Pupils_data_scenarios!C42</f>
        <v>355184.5</v>
      </c>
      <c r="D57" s="1119">
        <f>Pupils_data_scenarios!D42</f>
        <v>361355</v>
      </c>
      <c r="E57" s="1119">
        <f>Pupils_data_scenarios!E42</f>
        <v>370116</v>
      </c>
      <c r="F57" s="1119">
        <f>Pupils_data_scenarios!F42</f>
        <v>380453</v>
      </c>
      <c r="G57" s="1119">
        <f>Pupils_data_scenarios!G42</f>
        <v>394342</v>
      </c>
      <c r="H57" s="1119">
        <f>Pupils_data_scenarios!H42</f>
        <v>412859.5</v>
      </c>
      <c r="I57" s="1119">
        <f>Pupils_data_scenarios!I42</f>
        <v>423222</v>
      </c>
      <c r="J57" s="1119">
        <f>Pupils_data_scenarios!J42</f>
        <v>423232.5</v>
      </c>
      <c r="K57" s="1119">
        <f>Pupils_data_scenarios!K42</f>
        <v>428860</v>
      </c>
      <c r="L57" s="1119">
        <f>Pupils_data_scenarios!L42</f>
        <v>439034.5</v>
      </c>
      <c r="M57" s="1119">
        <f>Pupils_data_scenarios!M42</f>
        <v>442836.5</v>
      </c>
      <c r="N57" s="1119">
        <f>Pupils_data_scenarios!N42</f>
        <v>433870.5</v>
      </c>
      <c r="O57" s="1119">
        <f>Pupils_data_scenarios!O42</f>
        <v>424809</v>
      </c>
      <c r="P57" s="1119">
        <f>Pupils_data_scenarios!P42</f>
        <v>412613.48371451074</v>
      </c>
      <c r="Q57" s="1119">
        <f>Pupils_data_scenarios!Q42</f>
        <v>401382.39858263719</v>
      </c>
      <c r="R57" s="1119">
        <f>Pupils_data_scenarios!R42</f>
        <v>394545.34411210939</v>
      </c>
      <c r="S57" s="1119">
        <f>Pupils_data_scenarios!S42</f>
        <v>395942.48416329373</v>
      </c>
      <c r="T57" s="1119">
        <f>Pupils_data_scenarios!T42</f>
        <v>402316.64858440397</v>
      </c>
      <c r="U57" s="1119">
        <f>Pupils_data_scenarios!U42</f>
        <v>414302.11785791809</v>
      </c>
      <c r="V57" s="1119">
        <f>Pupils_data_scenarios!V42</f>
        <v>426467.33964547818</v>
      </c>
      <c r="W57" s="1119">
        <f>Pupils_data_scenarios!W42</f>
        <v>439328.6132689371</v>
      </c>
      <c r="X57" s="1119">
        <f>Pupils_data_scenarios!X42</f>
        <v>448509.71730341192</v>
      </c>
      <c r="Y57" s="1119">
        <f>Pupils_data_scenarios!Y42</f>
        <v>456020.66090008762</v>
      </c>
      <c r="Z57" s="1119">
        <f>Pupils_data_scenarios!Z42</f>
        <v>463217.05709970818</v>
      </c>
      <c r="AA57" s="1119">
        <f>Pupils_data_scenarios!AA42</f>
        <v>468765.08527533995</v>
      </c>
      <c r="AB57" s="295"/>
    </row>
    <row r="58" spans="2:28">
      <c r="B58" s="12" t="s">
        <v>1600</v>
      </c>
      <c r="C58" s="1119">
        <f>Pupils_data_scenarios!C20</f>
        <v>355184.5</v>
      </c>
      <c r="D58" s="1119">
        <f>Pupils_data_scenarios!D20</f>
        <v>361355</v>
      </c>
      <c r="E58" s="1119">
        <f>Pupils_data_scenarios!E20</f>
        <v>370116</v>
      </c>
      <c r="F58" s="1119">
        <f>Pupils_data_scenarios!F20</f>
        <v>380453</v>
      </c>
      <c r="G58" s="1119">
        <f>Pupils_data_scenarios!G20</f>
        <v>394342</v>
      </c>
      <c r="H58" s="1119">
        <f>Pupils_data_scenarios!H20</f>
        <v>412859.5</v>
      </c>
      <c r="I58" s="1119">
        <f>Pupils_data_scenarios!I20</f>
        <v>423222</v>
      </c>
      <c r="J58" s="1119">
        <f>Pupils_data_scenarios!J20</f>
        <v>423232.5</v>
      </c>
      <c r="K58" s="1119">
        <f>Pupils_data_scenarios!K20</f>
        <v>428860</v>
      </c>
      <c r="L58" s="1119">
        <f>Pupils_data_scenarios!L20</f>
        <v>439034.5</v>
      </c>
      <c r="M58" s="1119">
        <f>Pupils_data_scenarios!M20</f>
        <v>442836.5</v>
      </c>
      <c r="N58" s="1119">
        <f>Pupils_data_scenarios!N20</f>
        <v>433870.5</v>
      </c>
      <c r="O58" s="1119">
        <f>Pupils_data_scenarios!O20</f>
        <v>424809</v>
      </c>
      <c r="P58" s="1119">
        <f>Pupils_data_scenarios!P20</f>
        <v>413917.41249859042</v>
      </c>
      <c r="Q58" s="1119">
        <f>Pupils_data_scenarios!Q20</f>
        <v>402881.22419615899</v>
      </c>
      <c r="R58" s="1119">
        <f>Pupils_data_scenarios!R20</f>
        <v>396200.18966368359</v>
      </c>
      <c r="S58" s="1119">
        <f>Pupils_data_scenarios!S20</f>
        <v>397747.45923034835</v>
      </c>
      <c r="T58" s="1119">
        <f>Pupils_data_scenarios!T20</f>
        <v>404271.55224935681</v>
      </c>
      <c r="U58" s="1119">
        <f>Pupils_data_scenarios!U20</f>
        <v>416413.63672939758</v>
      </c>
      <c r="V58" s="1119">
        <f>Pupils_data_scenarios!V20</f>
        <v>428739.35339027015</v>
      </c>
      <c r="W58" s="1119">
        <f>Pupils_data_scenarios!W20</f>
        <v>441777.22358662885</v>
      </c>
      <c r="X58" s="1119">
        <f>Pupils_data_scenarios!X20</f>
        <v>451142.12596132985</v>
      </c>
      <c r="Y58" s="1119">
        <f>Pupils_data_scenarios!Y20</f>
        <v>458855.32419299771</v>
      </c>
      <c r="Z58" s="1119">
        <f>Pupils_data_scenarios!Z20</f>
        <v>466275.03084775753</v>
      </c>
      <c r="AA58" s="1119">
        <f>Pupils_data_scenarios!AA20</f>
        <v>472066.1229340306</v>
      </c>
      <c r="AB58" s="295"/>
    </row>
    <row r="59" spans="2:28">
      <c r="B59" s="12" t="s">
        <v>1601</v>
      </c>
      <c r="C59" s="1119">
        <f>Pupils_data_scenarios!C31</f>
        <v>355184.5</v>
      </c>
      <c r="D59" s="1119">
        <f>Pupils_data_scenarios!D31</f>
        <v>361355</v>
      </c>
      <c r="E59" s="1119">
        <f>Pupils_data_scenarios!E31</f>
        <v>370116</v>
      </c>
      <c r="F59" s="1119">
        <f>Pupils_data_scenarios!F31</f>
        <v>380453</v>
      </c>
      <c r="G59" s="1119">
        <f>Pupils_data_scenarios!G31</f>
        <v>394342</v>
      </c>
      <c r="H59" s="1119">
        <f>Pupils_data_scenarios!H31</f>
        <v>412859.5</v>
      </c>
      <c r="I59" s="1119">
        <f>Pupils_data_scenarios!I31</f>
        <v>423222</v>
      </c>
      <c r="J59" s="1119">
        <f>Pupils_data_scenarios!J31</f>
        <v>423232.5</v>
      </c>
      <c r="K59" s="1119">
        <f>Pupils_data_scenarios!K31</f>
        <v>428860</v>
      </c>
      <c r="L59" s="1119">
        <f>Pupils_data_scenarios!L31</f>
        <v>439034.5</v>
      </c>
      <c r="M59" s="1119">
        <f>Pupils_data_scenarios!M31</f>
        <v>442836.5</v>
      </c>
      <c r="N59" s="1119">
        <f>Pupils_data_scenarios!N31</f>
        <v>433870.5</v>
      </c>
      <c r="O59" s="1119">
        <f>Pupils_data_scenarios!O31</f>
        <v>424809</v>
      </c>
      <c r="P59" s="1119">
        <f>Pupils_data_scenarios!P31</f>
        <v>415221.45467684342</v>
      </c>
      <c r="Q59" s="1119">
        <f>Pupils_data_scenarios!Q31</f>
        <v>404381.21002994251</v>
      </c>
      <c r="R59" s="1119">
        <f>Pupils_data_scenarios!R31</f>
        <v>397857.8055972851</v>
      </c>
      <c r="S59" s="1119">
        <f>Pupils_data_scenarios!S31</f>
        <v>399554.1859642443</v>
      </c>
      <c r="T59" s="1119">
        <f>Pupils_data_scenarios!T31</f>
        <v>406225.46654276724</v>
      </c>
      <c r="U59" s="1119">
        <f>Pupils_data_scenarios!U31</f>
        <v>418521.62401892734</v>
      </c>
      <c r="V59" s="1119">
        <f>Pupils_data_scenarios!V31</f>
        <v>431007.45271220792</v>
      </c>
      <c r="W59" s="1119">
        <f>Pupils_data_scenarios!W31</f>
        <v>444219.33163429314</v>
      </c>
      <c r="X59" s="1119">
        <f>Pupils_data_scenarios!X31</f>
        <v>453767.80359584739</v>
      </c>
      <c r="Y59" s="1119">
        <f>Pupils_data_scenarios!Y31</f>
        <v>461686.82845112163</v>
      </c>
      <c r="Z59" s="1119">
        <f>Pupils_data_scenarios!Z31</f>
        <v>469327.61975766718</v>
      </c>
      <c r="AA59" s="1119">
        <f>Pupils_data_scenarios!AA31</f>
        <v>475360.0252080303</v>
      </c>
      <c r="AB59" s="295"/>
    </row>
    <row r="60" spans="2:28">
      <c r="B60" s="12"/>
      <c r="C60" s="1119"/>
      <c r="D60" s="1119"/>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295"/>
    </row>
    <row r="61" spans="2:28">
      <c r="B61" s="146" t="s">
        <v>462</v>
      </c>
      <c r="C61" s="1121"/>
      <c r="D61" s="1121"/>
      <c r="E61" s="1121"/>
      <c r="F61" s="1121"/>
      <c r="G61" s="1121"/>
      <c r="H61" s="1121"/>
      <c r="I61" s="1121"/>
      <c r="J61" s="1121"/>
      <c r="K61" s="1121"/>
      <c r="L61" s="1121"/>
      <c r="M61" s="1121"/>
      <c r="N61" s="1121"/>
      <c r="O61" s="1121"/>
      <c r="P61" s="1121"/>
      <c r="Q61" s="1121"/>
      <c r="R61" s="1121"/>
      <c r="S61" s="1121"/>
      <c r="T61" s="1121"/>
      <c r="U61" s="1121"/>
      <c r="V61" s="1121"/>
      <c r="W61" s="1121"/>
      <c r="X61" s="1121"/>
      <c r="Y61" s="1121"/>
      <c r="Z61" s="1121"/>
      <c r="AA61" s="1120"/>
      <c r="AB61" s="295"/>
    </row>
    <row r="62" spans="2:28">
      <c r="B62" s="146"/>
      <c r="C62" s="1122" t="str">
        <f>C56</f>
        <v>2004/05</v>
      </c>
      <c r="D62" s="1122" t="str">
        <f t="shared" ref="D62:AA62" si="3">D56</f>
        <v>2005/06</v>
      </c>
      <c r="E62" s="1122" t="str">
        <f t="shared" si="3"/>
        <v>2006/07</v>
      </c>
      <c r="F62" s="1122" t="str">
        <f t="shared" si="3"/>
        <v>2007/08</v>
      </c>
      <c r="G62" s="1122" t="str">
        <f t="shared" si="3"/>
        <v>2008/09</v>
      </c>
      <c r="H62" s="1122" t="str">
        <f t="shared" si="3"/>
        <v>2009/10</v>
      </c>
      <c r="I62" s="1122" t="str">
        <f t="shared" si="3"/>
        <v>2010/11</v>
      </c>
      <c r="J62" s="1122" t="str">
        <f t="shared" si="3"/>
        <v>2011/12</v>
      </c>
      <c r="K62" s="1122" t="str">
        <f t="shared" si="3"/>
        <v>2012/13</v>
      </c>
      <c r="L62" s="1122" t="str">
        <f t="shared" si="3"/>
        <v>2013/14</v>
      </c>
      <c r="M62" s="1122" t="str">
        <f t="shared" si="3"/>
        <v>2014/15</v>
      </c>
      <c r="N62" s="1122" t="str">
        <f t="shared" si="3"/>
        <v>2015/16</v>
      </c>
      <c r="O62" s="1122" t="str">
        <f t="shared" si="3"/>
        <v>2016/17</v>
      </c>
      <c r="P62" s="1122" t="str">
        <f t="shared" si="3"/>
        <v>2017/18</v>
      </c>
      <c r="Q62" s="1122" t="str">
        <f t="shared" si="3"/>
        <v>2018/19</v>
      </c>
      <c r="R62" s="1122" t="str">
        <f t="shared" si="3"/>
        <v>2019/20</v>
      </c>
      <c r="S62" s="1122" t="str">
        <f t="shared" si="3"/>
        <v>2020/21</v>
      </c>
      <c r="T62" s="1122" t="str">
        <f t="shared" si="3"/>
        <v>2021/22</v>
      </c>
      <c r="U62" s="1122" t="str">
        <f t="shared" si="3"/>
        <v>2022/23</v>
      </c>
      <c r="V62" s="1122" t="str">
        <f t="shared" si="3"/>
        <v>2023/24</v>
      </c>
      <c r="W62" s="1122" t="str">
        <f t="shared" si="3"/>
        <v>2024/25</v>
      </c>
      <c r="X62" s="1122" t="str">
        <f t="shared" si="3"/>
        <v>2025/26</v>
      </c>
      <c r="Y62" s="1118" t="str">
        <f t="shared" si="3"/>
        <v>2026/27</v>
      </c>
      <c r="Z62" s="1118" t="str">
        <f t="shared" si="3"/>
        <v>2027/28</v>
      </c>
      <c r="AA62" s="1118" t="str">
        <f t="shared" si="3"/>
        <v>2028/29</v>
      </c>
      <c r="AB62" s="295"/>
    </row>
    <row r="63" spans="2:28">
      <c r="B63" s="12" t="s">
        <v>463</v>
      </c>
      <c r="C63" s="1121">
        <f t="shared" ref="C63:AA63" si="4">C45+C51+C57</f>
        <v>3308483</v>
      </c>
      <c r="D63" s="1121">
        <f t="shared" si="4"/>
        <v>3305157.563270269</v>
      </c>
      <c r="E63" s="1121">
        <f t="shared" si="4"/>
        <v>3282404</v>
      </c>
      <c r="F63" s="1121">
        <f t="shared" si="4"/>
        <v>3248902.5</v>
      </c>
      <c r="G63" s="1121">
        <f t="shared" si="4"/>
        <v>3231650</v>
      </c>
      <c r="H63" s="1121">
        <f t="shared" si="4"/>
        <v>3227785.5</v>
      </c>
      <c r="I63" s="1121">
        <f t="shared" si="4"/>
        <v>3212254</v>
      </c>
      <c r="J63" s="1121">
        <f t="shared" si="4"/>
        <v>3185686.5</v>
      </c>
      <c r="K63" s="1121">
        <f t="shared" si="4"/>
        <v>3158780</v>
      </c>
      <c r="L63" s="1121">
        <f t="shared" si="4"/>
        <v>3125924</v>
      </c>
      <c r="M63" s="1121">
        <f t="shared" si="4"/>
        <v>3119863.5</v>
      </c>
      <c r="N63" s="1121">
        <f t="shared" si="4"/>
        <v>3122070.5</v>
      </c>
      <c r="O63" s="1121">
        <f t="shared" si="4"/>
        <v>3145583</v>
      </c>
      <c r="P63" s="1121">
        <f t="shared" si="4"/>
        <v>3195484.2225178471</v>
      </c>
      <c r="Q63" s="1121">
        <f t="shared" si="4"/>
        <v>3272023.446475612</v>
      </c>
      <c r="R63" s="1121">
        <f t="shared" si="4"/>
        <v>3357015.2694068523</v>
      </c>
      <c r="S63" s="1121">
        <f t="shared" si="4"/>
        <v>3428380.5881549465</v>
      </c>
      <c r="T63" s="1121">
        <f t="shared" si="4"/>
        <v>3504851.7231736248</v>
      </c>
      <c r="U63" s="1121">
        <f t="shared" si="4"/>
        <v>3585814.3500950625</v>
      </c>
      <c r="V63" s="1121">
        <f t="shared" si="4"/>
        <v>3657223.7489195941</v>
      </c>
      <c r="W63" s="1121">
        <f t="shared" si="4"/>
        <v>3681692.2314917091</v>
      </c>
      <c r="X63" s="1121">
        <f t="shared" si="4"/>
        <v>3689448.2767765606</v>
      </c>
      <c r="Y63" s="1121">
        <f t="shared" si="4"/>
        <v>3678998.9933041329</v>
      </c>
      <c r="Z63" s="1121">
        <f t="shared" si="4"/>
        <v>3646715.3258793512</v>
      </c>
      <c r="AA63" s="1121">
        <f t="shared" si="4"/>
        <v>3595344.3880824628</v>
      </c>
      <c r="AB63" s="295"/>
    </row>
    <row r="64" spans="2:28">
      <c r="B64" s="12" t="s">
        <v>464</v>
      </c>
      <c r="C64" s="1121">
        <f t="shared" ref="C64:AA64" si="5">C46+C52+C58</f>
        <v>3308483</v>
      </c>
      <c r="D64" s="1121">
        <f t="shared" si="5"/>
        <v>3305157.563270269</v>
      </c>
      <c r="E64" s="1121">
        <f t="shared" si="5"/>
        <v>3282404</v>
      </c>
      <c r="F64" s="1121">
        <f t="shared" si="5"/>
        <v>3248902.5</v>
      </c>
      <c r="G64" s="1121">
        <f t="shared" si="5"/>
        <v>3231650</v>
      </c>
      <c r="H64" s="1121">
        <f t="shared" si="5"/>
        <v>3227785.5</v>
      </c>
      <c r="I64" s="1121">
        <f t="shared" si="5"/>
        <v>3212254</v>
      </c>
      <c r="J64" s="1121">
        <f t="shared" si="5"/>
        <v>3185686.5</v>
      </c>
      <c r="K64" s="1121">
        <f t="shared" si="5"/>
        <v>3158780</v>
      </c>
      <c r="L64" s="1121">
        <f t="shared" si="5"/>
        <v>3125924</v>
      </c>
      <c r="M64" s="1121">
        <f t="shared" si="5"/>
        <v>3119863.5</v>
      </c>
      <c r="N64" s="1121">
        <f t="shared" si="5"/>
        <v>3122070.5</v>
      </c>
      <c r="O64" s="1121">
        <f t="shared" si="5"/>
        <v>3145583</v>
      </c>
      <c r="P64" s="1121">
        <f t="shared" si="5"/>
        <v>3197180.5600349735</v>
      </c>
      <c r="Q64" s="1121">
        <f t="shared" si="5"/>
        <v>3274228.6548275417</v>
      </c>
      <c r="R64" s="1121">
        <f t="shared" si="5"/>
        <v>3359656.345562675</v>
      </c>
      <c r="S64" s="1121">
        <f t="shared" si="5"/>
        <v>3431462.9098517485</v>
      </c>
      <c r="T64" s="1121">
        <f t="shared" si="5"/>
        <v>3508384.2642579307</v>
      </c>
      <c r="U64" s="1121">
        <f t="shared" si="5"/>
        <v>3589855.437922664</v>
      </c>
      <c r="V64" s="1121">
        <f t="shared" si="5"/>
        <v>3662527.1591678588</v>
      </c>
      <c r="W64" s="1121">
        <f t="shared" si="5"/>
        <v>3688681.2876089499</v>
      </c>
      <c r="X64" s="1121">
        <f t="shared" si="5"/>
        <v>3698533.8733492214</v>
      </c>
      <c r="Y64" s="1121">
        <f t="shared" si="5"/>
        <v>3693590.259872193</v>
      </c>
      <c r="Z64" s="1121">
        <f t="shared" si="5"/>
        <v>3682746.3169983355</v>
      </c>
      <c r="AA64" s="1121">
        <f t="shared" si="5"/>
        <v>3664537.0998463929</v>
      </c>
      <c r="AB64" s="295"/>
    </row>
    <row r="65" spans="2:28">
      <c r="B65" s="12" t="s">
        <v>465</v>
      </c>
      <c r="C65" s="1121">
        <f t="shared" ref="C65:AA65" si="6">C47+C53+C59</f>
        <v>3308483</v>
      </c>
      <c r="D65" s="1121">
        <f t="shared" si="6"/>
        <v>3305157.563270269</v>
      </c>
      <c r="E65" s="1121">
        <f t="shared" si="6"/>
        <v>3282404</v>
      </c>
      <c r="F65" s="1121">
        <f t="shared" si="6"/>
        <v>3248902.5</v>
      </c>
      <c r="G65" s="1121">
        <f t="shared" si="6"/>
        <v>3231650</v>
      </c>
      <c r="H65" s="1121">
        <f t="shared" si="6"/>
        <v>3227785.5</v>
      </c>
      <c r="I65" s="1121">
        <f t="shared" si="6"/>
        <v>3212254</v>
      </c>
      <c r="J65" s="1121">
        <f t="shared" si="6"/>
        <v>3185686.5</v>
      </c>
      <c r="K65" s="1121">
        <f t="shared" si="6"/>
        <v>3158780</v>
      </c>
      <c r="L65" s="1121">
        <f t="shared" si="6"/>
        <v>3125924</v>
      </c>
      <c r="M65" s="1121">
        <f t="shared" si="6"/>
        <v>3119863.5</v>
      </c>
      <c r="N65" s="1121">
        <f t="shared" si="6"/>
        <v>3122070.5</v>
      </c>
      <c r="O65" s="1121">
        <f t="shared" si="6"/>
        <v>3145583</v>
      </c>
      <c r="P65" s="1121">
        <f t="shared" si="6"/>
        <v>3198864.2334989356</v>
      </c>
      <c r="Q65" s="1121">
        <f t="shared" si="6"/>
        <v>3276415.4129734905</v>
      </c>
      <c r="R65" s="1121">
        <f t="shared" si="6"/>
        <v>3362275.7818775144</v>
      </c>
      <c r="S65" s="1121">
        <f t="shared" si="6"/>
        <v>3434514.4714956367</v>
      </c>
      <c r="T65" s="1121">
        <f t="shared" si="6"/>
        <v>3511873.4793883301</v>
      </c>
      <c r="U65" s="1121">
        <f t="shared" si="6"/>
        <v>3593825.7394329244</v>
      </c>
      <c r="V65" s="1121">
        <f t="shared" si="6"/>
        <v>3667726.4800809817</v>
      </c>
      <c r="W65" s="1121">
        <f t="shared" si="6"/>
        <v>3695534.5795732886</v>
      </c>
      <c r="X65" s="1121">
        <f t="shared" si="6"/>
        <v>3707459.3765998771</v>
      </c>
      <c r="Y65" s="1121">
        <f t="shared" si="6"/>
        <v>3707850.401864599</v>
      </c>
      <c r="Z65" s="1121">
        <f t="shared" si="6"/>
        <v>3716093.2765679099</v>
      </c>
      <c r="AA65" s="1121">
        <f t="shared" si="6"/>
        <v>3720315.6719899843</v>
      </c>
      <c r="AB65" s="295"/>
    </row>
    <row r="66" spans="2:28">
      <c r="C66" s="1121"/>
      <c r="D66" s="1121"/>
      <c r="E66" s="1121"/>
      <c r="F66" s="1121"/>
      <c r="G66" s="1121"/>
      <c r="H66" s="1121"/>
      <c r="I66" s="1121"/>
      <c r="J66" s="1121"/>
      <c r="K66" s="1121"/>
      <c r="L66" s="1121"/>
      <c r="M66" s="1121"/>
      <c r="N66" s="1121"/>
      <c r="O66" s="1121"/>
      <c r="P66" s="1121"/>
      <c r="Q66" s="1121"/>
      <c r="R66" s="1121"/>
      <c r="S66" s="1121"/>
      <c r="T66" s="1121"/>
      <c r="U66" s="1121"/>
      <c r="V66" s="1121"/>
      <c r="W66" s="1121"/>
      <c r="X66" s="1121"/>
      <c r="Y66" s="1121"/>
      <c r="Z66" s="1121"/>
      <c r="AA66" s="1120"/>
      <c r="AB66" s="295"/>
    </row>
    <row r="67" spans="2:28" s="5" customFormat="1">
      <c r="C67" s="1118" t="str">
        <f>C56</f>
        <v>2004/05</v>
      </c>
      <c r="D67" s="1118" t="str">
        <f t="shared" ref="D67:AA67" si="7">D56</f>
        <v>2005/06</v>
      </c>
      <c r="E67" s="1118" t="str">
        <f t="shared" si="7"/>
        <v>2006/07</v>
      </c>
      <c r="F67" s="1118" t="str">
        <f t="shared" si="7"/>
        <v>2007/08</v>
      </c>
      <c r="G67" s="1118" t="str">
        <f t="shared" si="7"/>
        <v>2008/09</v>
      </c>
      <c r="H67" s="1118" t="str">
        <f t="shared" si="7"/>
        <v>2009/10</v>
      </c>
      <c r="I67" s="1118" t="str">
        <f t="shared" si="7"/>
        <v>2010/11</v>
      </c>
      <c r="J67" s="1118" t="str">
        <f t="shared" si="7"/>
        <v>2011/12</v>
      </c>
      <c r="K67" s="1118" t="str">
        <f t="shared" si="7"/>
        <v>2012/13</v>
      </c>
      <c r="L67" s="1118" t="str">
        <f t="shared" si="7"/>
        <v>2013/14</v>
      </c>
      <c r="M67" s="1118" t="str">
        <f t="shared" si="7"/>
        <v>2014/15</v>
      </c>
      <c r="N67" s="1118" t="str">
        <f t="shared" si="7"/>
        <v>2015/16</v>
      </c>
      <c r="O67" s="1118" t="str">
        <f t="shared" si="7"/>
        <v>2016/17</v>
      </c>
      <c r="P67" s="1118" t="str">
        <f t="shared" si="7"/>
        <v>2017/18</v>
      </c>
      <c r="Q67" s="1118" t="str">
        <f t="shared" si="7"/>
        <v>2018/19</v>
      </c>
      <c r="R67" s="1118" t="str">
        <f t="shared" si="7"/>
        <v>2019/20</v>
      </c>
      <c r="S67" s="1118" t="str">
        <f t="shared" si="7"/>
        <v>2020/21</v>
      </c>
      <c r="T67" s="1118" t="str">
        <f t="shared" si="7"/>
        <v>2021/22</v>
      </c>
      <c r="U67" s="1118" t="str">
        <f t="shared" si="7"/>
        <v>2022/23</v>
      </c>
      <c r="V67" s="1118" t="str">
        <f t="shared" si="7"/>
        <v>2023/24</v>
      </c>
      <c r="W67" s="1118" t="str">
        <f t="shared" si="7"/>
        <v>2024/25</v>
      </c>
      <c r="X67" s="1118" t="str">
        <f t="shared" si="7"/>
        <v>2025/26</v>
      </c>
      <c r="Y67" s="1118" t="str">
        <f t="shared" si="7"/>
        <v>2026/27</v>
      </c>
      <c r="Z67" s="1118" t="str">
        <f t="shared" si="7"/>
        <v>2027/28</v>
      </c>
      <c r="AA67" s="1118" t="str">
        <f t="shared" si="7"/>
        <v>2028/29</v>
      </c>
      <c r="AB67" s="298"/>
    </row>
    <row r="68" spans="2:28">
      <c r="B68" s="12" t="s">
        <v>380</v>
      </c>
      <c r="C68" s="1119">
        <f>C40</f>
        <v>4133670.5</v>
      </c>
      <c r="D68" s="1119">
        <f t="shared" ref="D68:AA68" si="8">D40</f>
        <v>4085271.436729731</v>
      </c>
      <c r="E68" s="1119">
        <f t="shared" si="8"/>
        <v>4047195.5</v>
      </c>
      <c r="F68" s="1119">
        <f t="shared" si="8"/>
        <v>4028055.5</v>
      </c>
      <c r="G68" s="1119">
        <f t="shared" si="8"/>
        <v>4016161.5</v>
      </c>
      <c r="H68" s="1119">
        <f t="shared" si="8"/>
        <v>4036364.5</v>
      </c>
      <c r="I68" s="1119">
        <f t="shared" si="8"/>
        <v>4074368</v>
      </c>
      <c r="J68" s="1119">
        <f t="shared" si="8"/>
        <v>4150277.5</v>
      </c>
      <c r="K68" s="1119">
        <f t="shared" si="8"/>
        <v>4247394.5</v>
      </c>
      <c r="L68" s="1119">
        <f t="shared" si="8"/>
        <v>4359000</v>
      </c>
      <c r="M68" s="1119">
        <f t="shared" si="8"/>
        <v>4463434</v>
      </c>
      <c r="N68" s="1119">
        <f t="shared" si="8"/>
        <v>4574041.5</v>
      </c>
      <c r="O68" s="1119">
        <f t="shared" si="8"/>
        <v>4659421</v>
      </c>
      <c r="P68" s="1119">
        <f t="shared" si="8"/>
        <v>4717394.1869075894</v>
      </c>
      <c r="Q68" s="1119">
        <f t="shared" si="8"/>
        <v>4743197.9400571762</v>
      </c>
      <c r="R68" s="1119">
        <f t="shared" si="8"/>
        <v>4743394.7508921698</v>
      </c>
      <c r="S68" s="1119">
        <f t="shared" si="8"/>
        <v>4752324.1234839866</v>
      </c>
      <c r="T68" s="1119">
        <f t="shared" si="8"/>
        <v>4754699.5674540829</v>
      </c>
      <c r="U68" s="1119">
        <f t="shared" si="8"/>
        <v>4748628.8440450421</v>
      </c>
      <c r="V68" s="1119">
        <f t="shared" si="8"/>
        <v>4733277.2129678745</v>
      </c>
      <c r="W68" s="1119">
        <f t="shared" si="8"/>
        <v>4742429.7587460289</v>
      </c>
      <c r="X68" s="1119">
        <f t="shared" si="8"/>
        <v>4769065.3698165566</v>
      </c>
      <c r="Y68" s="1119">
        <f t="shared" si="8"/>
        <v>4797832.532279524</v>
      </c>
      <c r="Z68" s="1119">
        <f t="shared" si="8"/>
        <v>4819809.7676248243</v>
      </c>
      <c r="AA68" s="1119">
        <f t="shared" si="8"/>
        <v>4834650.7574622277</v>
      </c>
      <c r="AB68" s="458"/>
    </row>
    <row r="69" spans="2:28">
      <c r="B69" s="12" t="s">
        <v>42</v>
      </c>
      <c r="C69" s="1119">
        <f>C46+C52+C58</f>
        <v>3308483</v>
      </c>
      <c r="D69" s="1119">
        <f t="shared" ref="D69:AA69" si="9">D46+D52+D58</f>
        <v>3305157.563270269</v>
      </c>
      <c r="E69" s="1119">
        <f t="shared" si="9"/>
        <v>3282404</v>
      </c>
      <c r="F69" s="1119">
        <f t="shared" si="9"/>
        <v>3248902.5</v>
      </c>
      <c r="G69" s="1119">
        <f t="shared" si="9"/>
        <v>3231650</v>
      </c>
      <c r="H69" s="1119">
        <f t="shared" si="9"/>
        <v>3227785.5</v>
      </c>
      <c r="I69" s="1119">
        <f t="shared" si="9"/>
        <v>3212254</v>
      </c>
      <c r="J69" s="1119">
        <f t="shared" si="9"/>
        <v>3185686.5</v>
      </c>
      <c r="K69" s="1119">
        <f t="shared" si="9"/>
        <v>3158780</v>
      </c>
      <c r="L69" s="1119">
        <f t="shared" si="9"/>
        <v>3125924</v>
      </c>
      <c r="M69" s="1119">
        <f t="shared" si="9"/>
        <v>3119863.5</v>
      </c>
      <c r="N69" s="1119">
        <f t="shared" si="9"/>
        <v>3122070.5</v>
      </c>
      <c r="O69" s="1119">
        <f t="shared" si="9"/>
        <v>3145583</v>
      </c>
      <c r="P69" s="1119">
        <f t="shared" si="9"/>
        <v>3197180.5600349735</v>
      </c>
      <c r="Q69" s="1119">
        <f t="shared" si="9"/>
        <v>3274228.6548275417</v>
      </c>
      <c r="R69" s="1119">
        <f t="shared" si="9"/>
        <v>3359656.345562675</v>
      </c>
      <c r="S69" s="1119">
        <f t="shared" si="9"/>
        <v>3431462.9098517485</v>
      </c>
      <c r="T69" s="1119">
        <f t="shared" si="9"/>
        <v>3508384.2642579307</v>
      </c>
      <c r="U69" s="1119">
        <f t="shared" si="9"/>
        <v>3589855.437922664</v>
      </c>
      <c r="V69" s="1119">
        <f t="shared" si="9"/>
        <v>3662527.1591678588</v>
      </c>
      <c r="W69" s="1119">
        <f t="shared" si="9"/>
        <v>3688681.2876089499</v>
      </c>
      <c r="X69" s="1119">
        <f t="shared" si="9"/>
        <v>3698533.8733492214</v>
      </c>
      <c r="Y69" s="1119">
        <f t="shared" si="9"/>
        <v>3693590.259872193</v>
      </c>
      <c r="Z69" s="1119">
        <f t="shared" si="9"/>
        <v>3682746.3169983355</v>
      </c>
      <c r="AA69" s="1119">
        <f t="shared" si="9"/>
        <v>3664537.0998463929</v>
      </c>
      <c r="AB69" s="728"/>
    </row>
    <row r="70" spans="2:28">
      <c r="B70" s="12"/>
      <c r="C70" s="1121"/>
      <c r="D70" s="1121"/>
      <c r="E70" s="1121"/>
      <c r="F70" s="1121"/>
      <c r="G70" s="1121"/>
      <c r="H70" s="1121"/>
      <c r="I70" s="1121"/>
      <c r="J70" s="1121"/>
      <c r="K70" s="1121"/>
      <c r="L70" s="1121"/>
      <c r="M70" s="1121"/>
      <c r="N70" s="1121"/>
      <c r="O70" s="1121"/>
      <c r="P70" s="1121"/>
      <c r="Q70" s="1123"/>
      <c r="R70" s="1123"/>
      <c r="S70" s="1123"/>
      <c r="T70" s="1123"/>
      <c r="U70" s="1123"/>
      <c r="V70" s="1123"/>
      <c r="W70" s="1123"/>
      <c r="X70" s="1123"/>
      <c r="Y70" s="1123"/>
      <c r="Z70" s="1123"/>
      <c r="AA70" s="1120"/>
      <c r="AB70" s="295"/>
    </row>
    <row r="71" spans="2:28">
      <c r="B71" s="12"/>
      <c r="C71" s="1122" t="str">
        <f>C67</f>
        <v>2004/05</v>
      </c>
      <c r="D71" s="1122" t="str">
        <f t="shared" ref="D71:AA71" si="10">D67</f>
        <v>2005/06</v>
      </c>
      <c r="E71" s="1122" t="str">
        <f t="shared" si="10"/>
        <v>2006/07</v>
      </c>
      <c r="F71" s="1122" t="str">
        <f t="shared" si="10"/>
        <v>2007/08</v>
      </c>
      <c r="G71" s="1122" t="str">
        <f t="shared" si="10"/>
        <v>2008/09</v>
      </c>
      <c r="H71" s="1122" t="str">
        <f t="shared" si="10"/>
        <v>2009/10</v>
      </c>
      <c r="I71" s="1122" t="str">
        <f t="shared" si="10"/>
        <v>2010/11</v>
      </c>
      <c r="J71" s="1122" t="str">
        <f t="shared" si="10"/>
        <v>2011/12</v>
      </c>
      <c r="K71" s="1122" t="str">
        <f t="shared" si="10"/>
        <v>2012/13</v>
      </c>
      <c r="L71" s="1122" t="str">
        <f t="shared" si="10"/>
        <v>2013/14</v>
      </c>
      <c r="M71" s="1122" t="str">
        <f t="shared" si="10"/>
        <v>2014/15</v>
      </c>
      <c r="N71" s="1122" t="str">
        <f t="shared" si="10"/>
        <v>2015/16</v>
      </c>
      <c r="O71" s="1122" t="str">
        <f t="shared" si="10"/>
        <v>2016/17</v>
      </c>
      <c r="P71" s="1122" t="str">
        <f t="shared" si="10"/>
        <v>2017/18</v>
      </c>
      <c r="Q71" s="1122" t="str">
        <f t="shared" si="10"/>
        <v>2018/19</v>
      </c>
      <c r="R71" s="1122" t="str">
        <f t="shared" si="10"/>
        <v>2019/20</v>
      </c>
      <c r="S71" s="1122" t="str">
        <f t="shared" si="10"/>
        <v>2020/21</v>
      </c>
      <c r="T71" s="1122" t="str">
        <f t="shared" si="10"/>
        <v>2021/22</v>
      </c>
      <c r="U71" s="1122" t="str">
        <f t="shared" si="10"/>
        <v>2022/23</v>
      </c>
      <c r="V71" s="1122" t="str">
        <f t="shared" si="10"/>
        <v>2023/24</v>
      </c>
      <c r="W71" s="1122" t="str">
        <f t="shared" si="10"/>
        <v>2024/25</v>
      </c>
      <c r="X71" s="1122" t="str">
        <f t="shared" si="10"/>
        <v>2025/26</v>
      </c>
      <c r="Y71" s="1122" t="str">
        <f t="shared" si="10"/>
        <v>2026/27</v>
      </c>
      <c r="Z71" s="1122" t="str">
        <f t="shared" si="10"/>
        <v>2027/28</v>
      </c>
      <c r="AA71" s="1122" t="str">
        <f t="shared" si="10"/>
        <v>2028/29</v>
      </c>
      <c r="AB71" s="295"/>
    </row>
    <row r="72" spans="2:28">
      <c r="B72" s="12" t="s">
        <v>569</v>
      </c>
      <c r="C72" s="1121">
        <f>C68</f>
        <v>4133670.5</v>
      </c>
      <c r="D72" s="1121">
        <f t="shared" ref="D72:O72" si="11">D68</f>
        <v>4085271.436729731</v>
      </c>
      <c r="E72" s="1121">
        <f t="shared" si="11"/>
        <v>4047195.5</v>
      </c>
      <c r="F72" s="1121">
        <f t="shared" si="11"/>
        <v>4028055.5</v>
      </c>
      <c r="G72" s="1121">
        <f t="shared" si="11"/>
        <v>4016161.5</v>
      </c>
      <c r="H72" s="1121">
        <f t="shared" si="11"/>
        <v>4036364.5</v>
      </c>
      <c r="I72" s="1121">
        <f t="shared" si="11"/>
        <v>4074368</v>
      </c>
      <c r="J72" s="1121">
        <f t="shared" si="11"/>
        <v>4150277.5</v>
      </c>
      <c r="K72" s="1121">
        <f t="shared" si="11"/>
        <v>4247394.5</v>
      </c>
      <c r="L72" s="1121">
        <f t="shared" si="11"/>
        <v>4359000</v>
      </c>
      <c r="M72" s="1121">
        <f t="shared" si="11"/>
        <v>4463434</v>
      </c>
      <c r="N72" s="1121">
        <f t="shared" si="11"/>
        <v>4574041.5</v>
      </c>
      <c r="O72" s="1121">
        <f t="shared" si="11"/>
        <v>4659421</v>
      </c>
      <c r="P72" s="1121"/>
      <c r="Q72" s="1123"/>
      <c r="R72" s="1123"/>
      <c r="S72" s="1123"/>
      <c r="T72" s="1123"/>
      <c r="U72" s="1123"/>
      <c r="V72" s="1123"/>
      <c r="W72" s="1123"/>
      <c r="X72" s="1123"/>
      <c r="Y72" s="1123"/>
      <c r="Z72" s="1123"/>
      <c r="AA72" s="1120"/>
      <c r="AB72" s="295"/>
    </row>
    <row r="73" spans="2:28">
      <c r="B73" s="12" t="s">
        <v>570</v>
      </c>
      <c r="C73" s="1121"/>
      <c r="D73" s="1121"/>
      <c r="E73" s="1121"/>
      <c r="F73" s="1121"/>
      <c r="G73" s="1121"/>
      <c r="H73" s="1121"/>
      <c r="I73" s="1121"/>
      <c r="J73" s="1121"/>
      <c r="K73" s="1121"/>
      <c r="L73" s="1121"/>
      <c r="M73" s="1121"/>
      <c r="N73" s="1121"/>
      <c r="O73" s="1121">
        <f t="shared" ref="O73:AA73" si="12">O68</f>
        <v>4659421</v>
      </c>
      <c r="P73" s="1121">
        <f t="shared" si="12"/>
        <v>4717394.1869075894</v>
      </c>
      <c r="Q73" s="1121">
        <f t="shared" si="12"/>
        <v>4743197.9400571762</v>
      </c>
      <c r="R73" s="1121">
        <f t="shared" si="12"/>
        <v>4743394.7508921698</v>
      </c>
      <c r="S73" s="1121">
        <f t="shared" si="12"/>
        <v>4752324.1234839866</v>
      </c>
      <c r="T73" s="1121">
        <f t="shared" si="12"/>
        <v>4754699.5674540829</v>
      </c>
      <c r="U73" s="1121">
        <f t="shared" si="12"/>
        <v>4748628.8440450421</v>
      </c>
      <c r="V73" s="1121">
        <f t="shared" si="12"/>
        <v>4733277.2129678745</v>
      </c>
      <c r="W73" s="1121">
        <f t="shared" si="12"/>
        <v>4742429.7587460289</v>
      </c>
      <c r="X73" s="1121">
        <f t="shared" si="12"/>
        <v>4769065.3698165566</v>
      </c>
      <c r="Y73" s="1121">
        <f t="shared" si="12"/>
        <v>4797832.532279524</v>
      </c>
      <c r="Z73" s="1121">
        <f t="shared" si="12"/>
        <v>4819809.7676248243</v>
      </c>
      <c r="AA73" s="1121">
        <f t="shared" si="12"/>
        <v>4834650.7574622277</v>
      </c>
      <c r="AB73" s="458"/>
    </row>
    <row r="74" spans="2:28">
      <c r="B74" s="12" t="s">
        <v>1113</v>
      </c>
      <c r="C74" s="1121">
        <f t="shared" ref="C74:O74" si="13">C69</f>
        <v>3308483</v>
      </c>
      <c r="D74" s="1121">
        <f t="shared" si="13"/>
        <v>3305157.563270269</v>
      </c>
      <c r="E74" s="1121">
        <f t="shared" si="13"/>
        <v>3282404</v>
      </c>
      <c r="F74" s="1121">
        <f t="shared" si="13"/>
        <v>3248902.5</v>
      </c>
      <c r="G74" s="1121">
        <f t="shared" si="13"/>
        <v>3231650</v>
      </c>
      <c r="H74" s="1121">
        <f t="shared" si="13"/>
        <v>3227785.5</v>
      </c>
      <c r="I74" s="1121">
        <f t="shared" si="13"/>
        <v>3212254</v>
      </c>
      <c r="J74" s="1121">
        <f t="shared" si="13"/>
        <v>3185686.5</v>
      </c>
      <c r="K74" s="1121">
        <f t="shared" si="13"/>
        <v>3158780</v>
      </c>
      <c r="L74" s="1121">
        <f t="shared" si="13"/>
        <v>3125924</v>
      </c>
      <c r="M74" s="1121">
        <f t="shared" si="13"/>
        <v>3119863.5</v>
      </c>
      <c r="N74" s="1121">
        <f t="shared" si="13"/>
        <v>3122070.5</v>
      </c>
      <c r="O74" s="1121">
        <f t="shared" si="13"/>
        <v>3145583</v>
      </c>
      <c r="P74" s="1121"/>
      <c r="Q74" s="1121"/>
      <c r="R74" s="1121"/>
      <c r="S74" s="1121"/>
      <c r="T74" s="1121"/>
      <c r="U74" s="1121"/>
      <c r="V74" s="1121"/>
      <c r="W74" s="1121"/>
      <c r="X74" s="1121"/>
      <c r="Y74" s="1121"/>
      <c r="Z74" s="1121"/>
      <c r="AA74" s="1120"/>
      <c r="AB74" s="295"/>
    </row>
    <row r="75" spans="2:28">
      <c r="B75" s="12" t="s">
        <v>1114</v>
      </c>
      <c r="C75" s="1121"/>
      <c r="D75" s="1121"/>
      <c r="E75" s="1121"/>
      <c r="F75" s="1121"/>
      <c r="G75" s="1121"/>
      <c r="H75" s="1121"/>
      <c r="I75" s="1121"/>
      <c r="J75" s="1121"/>
      <c r="K75" s="1121"/>
      <c r="L75" s="1121"/>
      <c r="M75" s="1121"/>
      <c r="N75" s="1121"/>
      <c r="O75" s="1121">
        <f t="shared" ref="O75:AA75" si="14">O69</f>
        <v>3145583</v>
      </c>
      <c r="P75" s="1121">
        <f t="shared" si="14"/>
        <v>3197180.5600349735</v>
      </c>
      <c r="Q75" s="1121">
        <f t="shared" si="14"/>
        <v>3274228.6548275417</v>
      </c>
      <c r="R75" s="1121">
        <f t="shared" si="14"/>
        <v>3359656.345562675</v>
      </c>
      <c r="S75" s="1121">
        <f t="shared" si="14"/>
        <v>3431462.9098517485</v>
      </c>
      <c r="T75" s="1121">
        <f t="shared" si="14"/>
        <v>3508384.2642579307</v>
      </c>
      <c r="U75" s="1121">
        <f t="shared" si="14"/>
        <v>3589855.437922664</v>
      </c>
      <c r="V75" s="1121">
        <f t="shared" si="14"/>
        <v>3662527.1591678588</v>
      </c>
      <c r="W75" s="1121">
        <f t="shared" si="14"/>
        <v>3688681.2876089499</v>
      </c>
      <c r="X75" s="1121">
        <f t="shared" si="14"/>
        <v>3698533.8733492214</v>
      </c>
      <c r="Y75" s="1121">
        <f t="shared" si="14"/>
        <v>3693590.259872193</v>
      </c>
      <c r="Z75" s="1121">
        <f t="shared" si="14"/>
        <v>3682746.3169983355</v>
      </c>
      <c r="AA75" s="1121">
        <f t="shared" si="14"/>
        <v>3664537.0998463929</v>
      </c>
      <c r="AB75" s="295"/>
    </row>
    <row r="76" spans="2:28">
      <c r="B76" s="1004" t="s">
        <v>1579</v>
      </c>
      <c r="C76" s="1121">
        <f>C46</f>
        <v>1783139.5</v>
      </c>
      <c r="D76" s="1121">
        <f t="shared" ref="D76:K76" si="15">D46</f>
        <v>1758000.0007601124</v>
      </c>
      <c r="E76" s="1121">
        <f t="shared" si="15"/>
        <v>1722930</v>
      </c>
      <c r="F76" s="1121">
        <f t="shared" si="15"/>
        <v>1701531</v>
      </c>
      <c r="G76" s="1121">
        <f t="shared" si="15"/>
        <v>1691158</v>
      </c>
      <c r="H76" s="1121">
        <f t="shared" si="15"/>
        <v>1680949</v>
      </c>
      <c r="I76" s="1121">
        <f t="shared" si="15"/>
        <v>1672689.5</v>
      </c>
      <c r="J76" s="1121">
        <f t="shared" si="15"/>
        <v>1641887</v>
      </c>
      <c r="K76" s="1121">
        <f t="shared" si="15"/>
        <v>1612821</v>
      </c>
      <c r="L76" s="1121">
        <f>L46</f>
        <v>1587472</v>
      </c>
      <c r="M76" s="1121">
        <f>M46</f>
        <v>1595949</v>
      </c>
      <c r="N76" s="1121">
        <f>N46</f>
        <v>1630717</v>
      </c>
      <c r="O76" s="1121">
        <f>O46</f>
        <v>1678899</v>
      </c>
      <c r="P76" s="1121"/>
      <c r="Q76" s="1123"/>
      <c r="R76" s="1123"/>
      <c r="S76" s="1123"/>
      <c r="T76" s="1123"/>
      <c r="U76" s="1123"/>
      <c r="V76" s="1123"/>
      <c r="W76" s="1123"/>
      <c r="X76" s="1123"/>
      <c r="Y76" s="1123"/>
      <c r="Z76" s="1123"/>
      <c r="AA76" s="1120"/>
      <c r="AB76" s="295"/>
    </row>
    <row r="77" spans="2:28">
      <c r="B77" s="1004" t="s">
        <v>1580</v>
      </c>
      <c r="C77" s="1120"/>
      <c r="D77" s="1120"/>
      <c r="E77" s="1120"/>
      <c r="F77" s="1120"/>
      <c r="G77" s="1120"/>
      <c r="H77" s="1120"/>
      <c r="I77" s="1120"/>
      <c r="J77" s="1120"/>
      <c r="K77" s="1120"/>
      <c r="L77" s="1121"/>
      <c r="M77" s="1121"/>
      <c r="N77" s="1121"/>
      <c r="O77" s="1121">
        <f t="shared" ref="O77:AA77" si="16">O46</f>
        <v>1678899</v>
      </c>
      <c r="P77" s="1121">
        <f t="shared" si="16"/>
        <v>1724020.9710333012</v>
      </c>
      <c r="Q77" s="1121">
        <f t="shared" si="16"/>
        <v>1772854.5848039868</v>
      </c>
      <c r="R77" s="1121">
        <f t="shared" si="16"/>
        <v>1834934.1224812306</v>
      </c>
      <c r="S77" s="1121">
        <f t="shared" si="16"/>
        <v>1879210.7299530376</v>
      </c>
      <c r="T77" s="1121">
        <f t="shared" si="16"/>
        <v>1914351.168622531</v>
      </c>
      <c r="U77" s="1121">
        <f t="shared" si="16"/>
        <v>1936762.2517991117</v>
      </c>
      <c r="V77" s="1121">
        <f t="shared" si="16"/>
        <v>1974817.9779716961</v>
      </c>
      <c r="W77" s="1121">
        <f t="shared" si="16"/>
        <v>1978504.8643901525</v>
      </c>
      <c r="X77" s="1121">
        <f t="shared" si="16"/>
        <v>1953779.1387891811</v>
      </c>
      <c r="Y77" s="1121">
        <f t="shared" si="16"/>
        <v>1915886.5892006818</v>
      </c>
      <c r="Z77" s="1121">
        <f t="shared" si="16"/>
        <v>1907012.1075926665</v>
      </c>
      <c r="AA77" s="1121">
        <f t="shared" si="16"/>
        <v>1919851.9246029067</v>
      </c>
      <c r="AB77" s="295"/>
    </row>
    <row r="78" spans="2:28">
      <c r="B78" s="1004" t="s">
        <v>1581</v>
      </c>
      <c r="C78" s="1121">
        <f>C52</f>
        <v>1170159</v>
      </c>
      <c r="D78" s="1121">
        <f t="shared" ref="D78:K78" si="17">D52</f>
        <v>1185802.5625101563</v>
      </c>
      <c r="E78" s="1121">
        <f t="shared" si="17"/>
        <v>1189358</v>
      </c>
      <c r="F78" s="1121">
        <f t="shared" si="17"/>
        <v>1166918.5</v>
      </c>
      <c r="G78" s="1121">
        <f t="shared" si="17"/>
        <v>1146150</v>
      </c>
      <c r="H78" s="1121">
        <f t="shared" si="17"/>
        <v>1133977</v>
      </c>
      <c r="I78" s="1121">
        <f t="shared" si="17"/>
        <v>1116342.5</v>
      </c>
      <c r="J78" s="1121">
        <f t="shared" si="17"/>
        <v>1120567</v>
      </c>
      <c r="K78" s="1121">
        <f t="shared" si="17"/>
        <v>1117099</v>
      </c>
      <c r="L78" s="1121">
        <f>L52</f>
        <v>1099417.5</v>
      </c>
      <c r="M78" s="1121">
        <f>M52</f>
        <v>1081078</v>
      </c>
      <c r="N78" s="1121">
        <f>N52</f>
        <v>1057483</v>
      </c>
      <c r="O78" s="1121">
        <f>O52</f>
        <v>1041875</v>
      </c>
      <c r="P78" s="1120"/>
      <c r="Q78" s="1120"/>
      <c r="R78" s="1120"/>
      <c r="S78" s="1120"/>
      <c r="T78" s="1120"/>
      <c r="U78" s="1120"/>
      <c r="V78" s="1120"/>
      <c r="W78" s="1120"/>
      <c r="X78" s="1120"/>
      <c r="Y78" s="1120"/>
      <c r="Z78" s="1120"/>
      <c r="AA78" s="1120"/>
      <c r="AB78" s="295"/>
    </row>
    <row r="79" spans="2:28">
      <c r="B79" s="1004" t="s">
        <v>1582</v>
      </c>
      <c r="C79" s="1120"/>
      <c r="D79" s="1120"/>
      <c r="E79" s="1120"/>
      <c r="F79" s="1120"/>
      <c r="G79" s="1120"/>
      <c r="H79" s="1120"/>
      <c r="I79" s="1120"/>
      <c r="J79" s="1120"/>
      <c r="K79" s="1120"/>
      <c r="L79" s="1121"/>
      <c r="M79" s="1121"/>
      <c r="N79" s="1121"/>
      <c r="O79" s="1121">
        <f t="shared" ref="O79:AA79" si="18">O52</f>
        <v>1041875</v>
      </c>
      <c r="P79" s="1121">
        <f t="shared" si="18"/>
        <v>1059242.1765030818</v>
      </c>
      <c r="Q79" s="1121">
        <f t="shared" si="18"/>
        <v>1098492.845827396</v>
      </c>
      <c r="R79" s="1121">
        <f t="shared" si="18"/>
        <v>1128522.0334177609</v>
      </c>
      <c r="S79" s="1121">
        <f t="shared" si="18"/>
        <v>1154504.7206683625</v>
      </c>
      <c r="T79" s="1121">
        <f t="shared" si="18"/>
        <v>1189761.543386043</v>
      </c>
      <c r="U79" s="1121">
        <f t="shared" si="18"/>
        <v>1236679.5493941545</v>
      </c>
      <c r="V79" s="1121">
        <f t="shared" si="18"/>
        <v>1258969.8278058928</v>
      </c>
      <c r="W79" s="1121">
        <f t="shared" si="18"/>
        <v>1268399.1996321685</v>
      </c>
      <c r="X79" s="1121">
        <f t="shared" si="18"/>
        <v>1293612.6085987107</v>
      </c>
      <c r="Y79" s="1121">
        <f t="shared" si="18"/>
        <v>1318848.3464785134</v>
      </c>
      <c r="Z79" s="1121">
        <f t="shared" si="18"/>
        <v>1309459.1785579114</v>
      </c>
      <c r="AA79" s="1121">
        <f t="shared" si="18"/>
        <v>1272619.0523094554</v>
      </c>
      <c r="AB79" s="458"/>
    </row>
    <row r="80" spans="2:28">
      <c r="B80" s="1004" t="s">
        <v>1583</v>
      </c>
      <c r="C80" s="1121">
        <f>C58</f>
        <v>355184.5</v>
      </c>
      <c r="D80" s="1121">
        <f t="shared" ref="D80:K80" si="19">D58</f>
        <v>361355</v>
      </c>
      <c r="E80" s="1121">
        <f t="shared" si="19"/>
        <v>370116</v>
      </c>
      <c r="F80" s="1121">
        <f t="shared" si="19"/>
        <v>380453</v>
      </c>
      <c r="G80" s="1121">
        <f t="shared" si="19"/>
        <v>394342</v>
      </c>
      <c r="H80" s="1121">
        <f t="shared" si="19"/>
        <v>412859.5</v>
      </c>
      <c r="I80" s="1121">
        <f t="shared" si="19"/>
        <v>423222</v>
      </c>
      <c r="J80" s="1121">
        <f t="shared" si="19"/>
        <v>423232.5</v>
      </c>
      <c r="K80" s="1121">
        <f t="shared" si="19"/>
        <v>428860</v>
      </c>
      <c r="L80" s="1121">
        <f>L58</f>
        <v>439034.5</v>
      </c>
      <c r="M80" s="1121">
        <f>M58</f>
        <v>442836.5</v>
      </c>
      <c r="N80" s="1121">
        <f>N58</f>
        <v>433870.5</v>
      </c>
      <c r="O80" s="1121">
        <f>O58</f>
        <v>424809</v>
      </c>
      <c r="P80" s="1120"/>
      <c r="Q80" s="1120"/>
      <c r="R80" s="1120"/>
      <c r="S80" s="1120"/>
      <c r="T80" s="1120"/>
      <c r="U80" s="1120"/>
      <c r="V80" s="1120"/>
      <c r="W80" s="1120"/>
      <c r="X80" s="1120"/>
      <c r="Y80" s="1120"/>
      <c r="Z80" s="1120"/>
      <c r="AA80" s="1121"/>
      <c r="AB80" s="458"/>
    </row>
    <row r="81" spans="2:28">
      <c r="B81" s="1004" t="s">
        <v>1584</v>
      </c>
      <c r="C81" s="1120"/>
      <c r="D81" s="1120"/>
      <c r="E81" s="1120"/>
      <c r="F81" s="1120"/>
      <c r="G81" s="1120"/>
      <c r="H81" s="1120"/>
      <c r="I81" s="1120"/>
      <c r="J81" s="1120"/>
      <c r="K81" s="1120"/>
      <c r="L81" s="1121"/>
      <c r="M81" s="1121"/>
      <c r="N81" s="1121"/>
      <c r="O81" s="1121">
        <f t="shared" ref="O81:AA81" si="20">O58</f>
        <v>424809</v>
      </c>
      <c r="P81" s="1121">
        <f t="shared" si="20"/>
        <v>413917.41249859042</v>
      </c>
      <c r="Q81" s="1121">
        <f t="shared" si="20"/>
        <v>402881.22419615899</v>
      </c>
      <c r="R81" s="1121">
        <f t="shared" si="20"/>
        <v>396200.18966368359</v>
      </c>
      <c r="S81" s="1121">
        <f t="shared" si="20"/>
        <v>397747.45923034835</v>
      </c>
      <c r="T81" s="1121">
        <f t="shared" si="20"/>
        <v>404271.55224935681</v>
      </c>
      <c r="U81" s="1121">
        <f t="shared" si="20"/>
        <v>416413.63672939758</v>
      </c>
      <c r="V81" s="1121">
        <f t="shared" si="20"/>
        <v>428739.35339027015</v>
      </c>
      <c r="W81" s="1121">
        <f t="shared" si="20"/>
        <v>441777.22358662885</v>
      </c>
      <c r="X81" s="1121">
        <f t="shared" si="20"/>
        <v>451142.12596132985</v>
      </c>
      <c r="Y81" s="1121">
        <f t="shared" si="20"/>
        <v>458855.32419299771</v>
      </c>
      <c r="Z81" s="1121">
        <f t="shared" si="20"/>
        <v>466275.03084775753</v>
      </c>
      <c r="AA81" s="1121">
        <f t="shared" si="20"/>
        <v>472066.1229340306</v>
      </c>
      <c r="AB81" s="295"/>
    </row>
    <row r="82" spans="2:28">
      <c r="C82" s="295"/>
      <c r="D82" s="295"/>
      <c r="E82" s="295"/>
      <c r="F82" s="295"/>
      <c r="G82" s="295"/>
      <c r="H82" s="295"/>
      <c r="I82" s="295"/>
      <c r="J82" s="295"/>
      <c r="K82" s="295"/>
      <c r="L82" s="295"/>
      <c r="M82" s="295"/>
      <c r="N82" s="295"/>
      <c r="O82" s="295"/>
      <c r="P82" s="295"/>
      <c r="Q82" s="295"/>
      <c r="R82" s="295"/>
      <c r="S82" s="295"/>
      <c r="T82" s="295"/>
      <c r="U82" s="295"/>
      <c r="V82" s="295"/>
      <c r="W82" s="295"/>
      <c r="X82" s="295"/>
      <c r="Y82" s="295"/>
      <c r="Z82" s="295"/>
      <c r="AA82" s="295"/>
      <c r="AB82" s="295"/>
    </row>
    <row r="83" spans="2:28">
      <c r="W83" s="381"/>
      <c r="X83" s="6"/>
      <c r="Y83" s="6"/>
    </row>
    <row r="85" spans="2:28">
      <c r="W85" s="381"/>
      <c r="X85" s="6"/>
      <c r="Y85" s="6"/>
    </row>
    <row r="119" spans="2:26">
      <c r="B119" s="75" t="s">
        <v>1150</v>
      </c>
    </row>
    <row r="120" spans="2:26">
      <c r="B120" s="75"/>
    </row>
    <row r="121" spans="2:26">
      <c r="C121" s="866" t="str">
        <f>D71</f>
        <v>2005/06</v>
      </c>
      <c r="D121" s="866" t="str">
        <f t="shared" ref="D121:Z121" si="21">E71</f>
        <v>2006/07</v>
      </c>
      <c r="E121" s="866" t="str">
        <f t="shared" si="21"/>
        <v>2007/08</v>
      </c>
      <c r="F121" s="866" t="str">
        <f t="shared" si="21"/>
        <v>2008/09</v>
      </c>
      <c r="G121" s="866" t="str">
        <f t="shared" si="21"/>
        <v>2009/10</v>
      </c>
      <c r="H121" s="866" t="str">
        <f t="shared" si="21"/>
        <v>2010/11</v>
      </c>
      <c r="I121" s="866" t="str">
        <f t="shared" si="21"/>
        <v>2011/12</v>
      </c>
      <c r="J121" s="866" t="str">
        <f t="shared" si="21"/>
        <v>2012/13</v>
      </c>
      <c r="K121" s="866" t="str">
        <f t="shared" si="21"/>
        <v>2013/14</v>
      </c>
      <c r="L121" s="866" t="str">
        <f t="shared" si="21"/>
        <v>2014/15</v>
      </c>
      <c r="M121" s="866" t="str">
        <f t="shared" si="21"/>
        <v>2015/16</v>
      </c>
      <c r="N121" s="866" t="str">
        <f t="shared" si="21"/>
        <v>2016/17</v>
      </c>
      <c r="O121" s="866" t="str">
        <f t="shared" si="21"/>
        <v>2017/18</v>
      </c>
      <c r="P121" s="866" t="str">
        <f t="shared" si="21"/>
        <v>2018/19</v>
      </c>
      <c r="Q121" s="866" t="str">
        <f t="shared" si="21"/>
        <v>2019/20</v>
      </c>
      <c r="R121" s="866" t="str">
        <f t="shared" si="21"/>
        <v>2020/21</v>
      </c>
      <c r="S121" s="866" t="str">
        <f t="shared" si="21"/>
        <v>2021/22</v>
      </c>
      <c r="T121" s="866" t="str">
        <f>U71</f>
        <v>2022/23</v>
      </c>
      <c r="U121" s="866" t="str">
        <f t="shared" si="21"/>
        <v>2023/24</v>
      </c>
      <c r="V121" s="866" t="str">
        <f t="shared" si="21"/>
        <v>2024/25</v>
      </c>
      <c r="W121" s="866" t="str">
        <f t="shared" si="21"/>
        <v>2025/26</v>
      </c>
      <c r="X121" s="866" t="str">
        <f t="shared" si="21"/>
        <v>2026/27</v>
      </c>
      <c r="Y121" s="866" t="str">
        <f t="shared" si="21"/>
        <v>2027/28</v>
      </c>
      <c r="Z121" s="866" t="str">
        <f t="shared" si="21"/>
        <v>2028/29</v>
      </c>
    </row>
    <row r="122" spans="2:26">
      <c r="B122" s="12" t="s">
        <v>40</v>
      </c>
      <c r="C122" s="863">
        <f>D68-C68</f>
        <v>-48399.063270268962</v>
      </c>
      <c r="D122" s="863">
        <f t="shared" ref="D122:Z122" si="22">E68-D68</f>
        <v>-38075.936729731038</v>
      </c>
      <c r="E122" s="863">
        <f t="shared" si="22"/>
        <v>-19140</v>
      </c>
      <c r="F122" s="863">
        <f t="shared" si="22"/>
        <v>-11894</v>
      </c>
      <c r="G122" s="863">
        <f t="shared" si="22"/>
        <v>20203</v>
      </c>
      <c r="H122" s="863">
        <f t="shared" si="22"/>
        <v>38003.5</v>
      </c>
      <c r="I122" s="863">
        <f t="shared" si="22"/>
        <v>75909.5</v>
      </c>
      <c r="J122" s="863">
        <f t="shared" si="22"/>
        <v>97117</v>
      </c>
      <c r="K122" s="863">
        <f t="shared" si="22"/>
        <v>111605.5</v>
      </c>
      <c r="L122" s="863">
        <f t="shared" si="22"/>
        <v>104434</v>
      </c>
      <c r="M122" s="863">
        <f t="shared" si="22"/>
        <v>110607.5</v>
      </c>
      <c r="N122" s="863">
        <f t="shared" si="22"/>
        <v>85379.5</v>
      </c>
      <c r="O122" s="863">
        <f t="shared" si="22"/>
        <v>57973.186907589436</v>
      </c>
      <c r="P122" s="863">
        <f t="shared" si="22"/>
        <v>25803.75314958673</v>
      </c>
      <c r="Q122" s="863">
        <f t="shared" si="22"/>
        <v>196.8108349936083</v>
      </c>
      <c r="R122" s="863">
        <f t="shared" si="22"/>
        <v>8929.3725918168202</v>
      </c>
      <c r="S122" s="863">
        <f t="shared" si="22"/>
        <v>2375.4439700962976</v>
      </c>
      <c r="T122" s="863">
        <f t="shared" si="22"/>
        <v>-6070.723409040831</v>
      </c>
      <c r="U122" s="863">
        <f t="shared" si="22"/>
        <v>-15351.631077167578</v>
      </c>
      <c r="V122" s="863">
        <f t="shared" si="22"/>
        <v>9152.5457781543955</v>
      </c>
      <c r="W122" s="863">
        <f t="shared" si="22"/>
        <v>26635.611070527695</v>
      </c>
      <c r="X122" s="863">
        <f t="shared" si="22"/>
        <v>28767.162462967448</v>
      </c>
      <c r="Y122" s="863">
        <f t="shared" si="22"/>
        <v>21977.235345300287</v>
      </c>
      <c r="Z122" s="863">
        <f t="shared" si="22"/>
        <v>14840.989837403409</v>
      </c>
    </row>
    <row r="123" spans="2:26">
      <c r="B123" s="12" t="s">
        <v>249</v>
      </c>
      <c r="C123" s="863">
        <f>D69-C69</f>
        <v>-3325.4367297310382</v>
      </c>
      <c r="D123" s="863">
        <f t="shared" ref="D123:Z123" si="23">E69-D69</f>
        <v>-22753.563270268962</v>
      </c>
      <c r="E123" s="863">
        <f t="shared" si="23"/>
        <v>-33501.5</v>
      </c>
      <c r="F123" s="863">
        <f t="shared" si="23"/>
        <v>-17252.5</v>
      </c>
      <c r="G123" s="863">
        <f t="shared" si="23"/>
        <v>-3864.5</v>
      </c>
      <c r="H123" s="863">
        <f t="shared" si="23"/>
        <v>-15531.5</v>
      </c>
      <c r="I123" s="863">
        <f t="shared" si="23"/>
        <v>-26567.5</v>
      </c>
      <c r="J123" s="863">
        <f t="shared" si="23"/>
        <v>-26906.5</v>
      </c>
      <c r="K123" s="863">
        <f t="shared" si="23"/>
        <v>-32856</v>
      </c>
      <c r="L123" s="863">
        <f t="shared" si="23"/>
        <v>-6060.5</v>
      </c>
      <c r="M123" s="863">
        <f t="shared" si="23"/>
        <v>2207</v>
      </c>
      <c r="N123" s="863">
        <f t="shared" si="23"/>
        <v>23512.5</v>
      </c>
      <c r="O123" s="863">
        <f t="shared" si="23"/>
        <v>51597.560034973547</v>
      </c>
      <c r="P123" s="863">
        <f t="shared" si="23"/>
        <v>77048.094792568125</v>
      </c>
      <c r="Q123" s="863">
        <f t="shared" si="23"/>
        <v>85427.690735133365</v>
      </c>
      <c r="R123" s="863">
        <f t="shared" si="23"/>
        <v>71806.56428907346</v>
      </c>
      <c r="S123" s="863">
        <f t="shared" si="23"/>
        <v>76921.354406182189</v>
      </c>
      <c r="T123" s="863">
        <f t="shared" si="23"/>
        <v>81471.173664733302</v>
      </c>
      <c r="U123" s="863">
        <f t="shared" si="23"/>
        <v>72671.721245194785</v>
      </c>
      <c r="V123" s="863">
        <f t="shared" si="23"/>
        <v>26154.128441091161</v>
      </c>
      <c r="W123" s="863">
        <f t="shared" si="23"/>
        <v>9852.5857402714901</v>
      </c>
      <c r="X123" s="863">
        <f t="shared" si="23"/>
        <v>-4943.6134770284407</v>
      </c>
      <c r="Y123" s="863">
        <f t="shared" si="23"/>
        <v>-10843.94287385745</v>
      </c>
      <c r="Z123" s="863">
        <f t="shared" si="23"/>
        <v>-18209.217151942663</v>
      </c>
    </row>
    <row r="124" spans="2:26">
      <c r="B124" s="12" t="s">
        <v>40</v>
      </c>
      <c r="C124" s="864">
        <f>C122/C68</f>
        <v>-1.1708495698984465E-2</v>
      </c>
      <c r="D124" s="864">
        <f t="shared" ref="D124:Z124" si="24">D122/D68</f>
        <v>-9.3202954367729626E-3</v>
      </c>
      <c r="E124" s="864">
        <f t="shared" si="24"/>
        <v>-4.7292007514833419E-3</v>
      </c>
      <c r="F124" s="864">
        <f t="shared" si="24"/>
        <v>-2.9527895035209918E-3</v>
      </c>
      <c r="G124" s="864">
        <f t="shared" si="24"/>
        <v>5.0304251957995214E-3</v>
      </c>
      <c r="H124" s="864">
        <f t="shared" si="24"/>
        <v>9.4152795170010049E-3</v>
      </c>
      <c r="I124" s="864">
        <f t="shared" si="24"/>
        <v>1.8630987677107223E-2</v>
      </c>
      <c r="J124" s="864">
        <f t="shared" si="24"/>
        <v>2.3400122040032265E-2</v>
      </c>
      <c r="K124" s="864">
        <f t="shared" si="24"/>
        <v>2.6276226519575709E-2</v>
      </c>
      <c r="L124" s="864">
        <f t="shared" si="24"/>
        <v>2.395824730442762E-2</v>
      </c>
      <c r="M124" s="864">
        <f t="shared" si="24"/>
        <v>2.478080778163181E-2</v>
      </c>
      <c r="N124" s="864">
        <f t="shared" si="24"/>
        <v>1.8666096492565711E-2</v>
      </c>
      <c r="O124" s="864">
        <f t="shared" si="24"/>
        <v>1.2442143971877501E-2</v>
      </c>
      <c r="P124" s="864">
        <f t="shared" si="24"/>
        <v>5.4699166801029948E-3</v>
      </c>
      <c r="Q124" s="864">
        <f t="shared" si="24"/>
        <v>4.1493278897662002E-5</v>
      </c>
      <c r="R124" s="864">
        <f t="shared" si="24"/>
        <v>1.8824856586387468E-3</v>
      </c>
      <c r="S124" s="864">
        <f t="shared" si="24"/>
        <v>4.998488967446165E-4</v>
      </c>
      <c r="T124" s="864">
        <f t="shared" si="24"/>
        <v>-1.2767838057729096E-3</v>
      </c>
      <c r="U124" s="864">
        <f t="shared" si="24"/>
        <v>-3.2328555423781114E-3</v>
      </c>
      <c r="V124" s="864">
        <f t="shared" si="24"/>
        <v>1.93365935827273E-3</v>
      </c>
      <c r="W124" s="864">
        <f t="shared" si="24"/>
        <v>5.616448197552336E-3</v>
      </c>
      <c r="X124" s="864">
        <f t="shared" si="24"/>
        <v>6.0320335814717475E-3</v>
      </c>
      <c r="Y124" s="864">
        <f t="shared" si="24"/>
        <v>4.5806591200169642E-3</v>
      </c>
      <c r="Z124" s="864">
        <f t="shared" si="24"/>
        <v>3.0791650610552971E-3</v>
      </c>
    </row>
    <row r="125" spans="2:26">
      <c r="B125" s="12" t="s">
        <v>249</v>
      </c>
      <c r="C125" s="864">
        <f>C123/C69</f>
        <v>-1.0051243212466372E-3</v>
      </c>
      <c r="D125" s="864">
        <f t="shared" ref="D125:Z125" si="25">D123/D69</f>
        <v>-6.8842597772420808E-3</v>
      </c>
      <c r="E125" s="864">
        <f t="shared" si="25"/>
        <v>-1.0206391413122821E-2</v>
      </c>
      <c r="F125" s="864">
        <f t="shared" si="25"/>
        <v>-5.3102547706494734E-3</v>
      </c>
      <c r="G125" s="864">
        <f t="shared" si="25"/>
        <v>-1.195828756208129E-3</v>
      </c>
      <c r="H125" s="864">
        <f t="shared" si="25"/>
        <v>-4.8118129287091724E-3</v>
      </c>
      <c r="I125" s="864">
        <f t="shared" si="25"/>
        <v>-8.2706722444738177E-3</v>
      </c>
      <c r="J125" s="864">
        <f t="shared" si="25"/>
        <v>-8.4460602133951349E-3</v>
      </c>
      <c r="K125" s="864">
        <f t="shared" si="25"/>
        <v>-1.0401484117285788E-2</v>
      </c>
      <c r="L125" s="864">
        <f t="shared" si="25"/>
        <v>-1.9387867395368537E-3</v>
      </c>
      <c r="M125" s="864">
        <f t="shared" si="25"/>
        <v>7.0740274374183362E-4</v>
      </c>
      <c r="N125" s="864">
        <f t="shared" si="25"/>
        <v>7.5310599168084127E-3</v>
      </c>
      <c r="O125" s="864">
        <f t="shared" si="25"/>
        <v>1.6403178690555471E-2</v>
      </c>
      <c r="P125" s="864">
        <f t="shared" si="25"/>
        <v>2.4098762439530567E-2</v>
      </c>
      <c r="Q125" s="864">
        <f t="shared" si="25"/>
        <v>2.6090936138249931E-2</v>
      </c>
      <c r="R125" s="864">
        <f t="shared" si="25"/>
        <v>2.1373187285632127E-2</v>
      </c>
      <c r="S125" s="864">
        <f t="shared" si="25"/>
        <v>2.2416490117186046E-2</v>
      </c>
      <c r="T125" s="864">
        <f t="shared" si="25"/>
        <v>2.3221850153282889E-2</v>
      </c>
      <c r="U125" s="864">
        <f t="shared" si="25"/>
        <v>2.0243634458786901E-2</v>
      </c>
      <c r="V125" s="864">
        <f t="shared" si="25"/>
        <v>7.1410060060915666E-3</v>
      </c>
      <c r="W125" s="864">
        <f t="shared" si="25"/>
        <v>2.6710319954636312E-3</v>
      </c>
      <c r="X125" s="864">
        <f t="shared" si="25"/>
        <v>-1.3366413952974649E-3</v>
      </c>
      <c r="Y125" s="864">
        <f t="shared" si="25"/>
        <v>-2.935881381231679E-3</v>
      </c>
      <c r="Z125" s="864">
        <f t="shared" si="25"/>
        <v>-4.9444668691663489E-3</v>
      </c>
    </row>
    <row r="126" spans="2:26">
      <c r="B126" s="12" t="s">
        <v>948</v>
      </c>
      <c r="C126" s="865">
        <f>C124</f>
        <v>-1.1708495698984465E-2</v>
      </c>
      <c r="D126" s="865">
        <f t="shared" ref="D126:N126" si="26">D124</f>
        <v>-9.3202954367729626E-3</v>
      </c>
      <c r="E126" s="865">
        <f t="shared" si="26"/>
        <v>-4.7292007514833419E-3</v>
      </c>
      <c r="F126" s="865">
        <f t="shared" si="26"/>
        <v>-2.9527895035209918E-3</v>
      </c>
      <c r="G126" s="865">
        <f t="shared" si="26"/>
        <v>5.0304251957995214E-3</v>
      </c>
      <c r="H126" s="865">
        <f t="shared" si="26"/>
        <v>9.4152795170010049E-3</v>
      </c>
      <c r="I126" s="865">
        <f t="shared" si="26"/>
        <v>1.8630987677107223E-2</v>
      </c>
      <c r="J126" s="865">
        <f t="shared" si="26"/>
        <v>2.3400122040032265E-2</v>
      </c>
      <c r="K126" s="865">
        <f t="shared" si="26"/>
        <v>2.6276226519575709E-2</v>
      </c>
      <c r="L126" s="865">
        <f t="shared" si="26"/>
        <v>2.395824730442762E-2</v>
      </c>
      <c r="M126" s="865">
        <f t="shared" si="26"/>
        <v>2.478080778163181E-2</v>
      </c>
      <c r="N126" s="865">
        <f t="shared" si="26"/>
        <v>1.8666096492565711E-2</v>
      </c>
      <c r="O126" s="312"/>
      <c r="P126" s="312"/>
      <c r="Q126" s="312"/>
      <c r="R126" s="312"/>
      <c r="S126" s="312"/>
      <c r="T126" s="312"/>
      <c r="U126" s="312"/>
      <c r="V126" s="312"/>
      <c r="W126" s="312"/>
      <c r="X126" s="312"/>
      <c r="Y126" s="312"/>
      <c r="Z126" s="312"/>
    </row>
    <row r="127" spans="2:26">
      <c r="B127" s="12" t="s">
        <v>950</v>
      </c>
      <c r="C127" s="865">
        <f>C125</f>
        <v>-1.0051243212466372E-3</v>
      </c>
      <c r="D127" s="865">
        <f t="shared" ref="D127:N127" si="27">D125</f>
        <v>-6.8842597772420808E-3</v>
      </c>
      <c r="E127" s="865">
        <f t="shared" si="27"/>
        <v>-1.0206391413122821E-2</v>
      </c>
      <c r="F127" s="865">
        <f t="shared" si="27"/>
        <v>-5.3102547706494734E-3</v>
      </c>
      <c r="G127" s="865">
        <f t="shared" si="27"/>
        <v>-1.195828756208129E-3</v>
      </c>
      <c r="H127" s="865">
        <f t="shared" si="27"/>
        <v>-4.8118129287091724E-3</v>
      </c>
      <c r="I127" s="865">
        <f t="shared" si="27"/>
        <v>-8.2706722444738177E-3</v>
      </c>
      <c r="J127" s="865">
        <f t="shared" si="27"/>
        <v>-8.4460602133951349E-3</v>
      </c>
      <c r="K127" s="865">
        <f t="shared" si="27"/>
        <v>-1.0401484117285788E-2</v>
      </c>
      <c r="L127" s="865">
        <f t="shared" si="27"/>
        <v>-1.9387867395368537E-3</v>
      </c>
      <c r="M127" s="865">
        <f t="shared" si="27"/>
        <v>7.0740274374183362E-4</v>
      </c>
      <c r="N127" s="865">
        <f t="shared" si="27"/>
        <v>7.5310599168084127E-3</v>
      </c>
      <c r="O127" s="312"/>
      <c r="P127" s="312"/>
      <c r="Q127" s="312"/>
      <c r="R127" s="312"/>
      <c r="S127" s="312"/>
      <c r="T127" s="312"/>
      <c r="U127" s="312"/>
      <c r="V127" s="312"/>
      <c r="W127" s="312"/>
      <c r="X127" s="312"/>
      <c r="Y127" s="312"/>
      <c r="Z127" s="312"/>
    </row>
    <row r="128" spans="2:26">
      <c r="B128" s="12" t="s">
        <v>1151</v>
      </c>
      <c r="C128" s="312"/>
      <c r="D128" s="312"/>
      <c r="E128" s="312"/>
      <c r="F128" s="312"/>
      <c r="G128" s="312"/>
      <c r="H128" s="312"/>
      <c r="I128" s="312"/>
      <c r="J128" s="312"/>
      <c r="K128" s="312"/>
      <c r="L128" s="865"/>
      <c r="M128" s="865"/>
      <c r="N128" s="865">
        <f t="shared" ref="N128:Z128" si="28">N124</f>
        <v>1.8666096492565711E-2</v>
      </c>
      <c r="O128" s="865">
        <f t="shared" si="28"/>
        <v>1.2442143971877501E-2</v>
      </c>
      <c r="P128" s="865">
        <f t="shared" si="28"/>
        <v>5.4699166801029948E-3</v>
      </c>
      <c r="Q128" s="865">
        <f t="shared" si="28"/>
        <v>4.1493278897662002E-5</v>
      </c>
      <c r="R128" s="865">
        <f t="shared" si="28"/>
        <v>1.8824856586387468E-3</v>
      </c>
      <c r="S128" s="865">
        <f t="shared" si="28"/>
        <v>4.998488967446165E-4</v>
      </c>
      <c r="T128" s="865">
        <f t="shared" si="28"/>
        <v>-1.2767838057729096E-3</v>
      </c>
      <c r="U128" s="865">
        <f t="shared" si="28"/>
        <v>-3.2328555423781114E-3</v>
      </c>
      <c r="V128" s="865">
        <f t="shared" si="28"/>
        <v>1.93365935827273E-3</v>
      </c>
      <c r="W128" s="865">
        <f t="shared" si="28"/>
        <v>5.616448197552336E-3</v>
      </c>
      <c r="X128" s="865">
        <f t="shared" si="28"/>
        <v>6.0320335814717475E-3</v>
      </c>
      <c r="Y128" s="865">
        <f t="shared" si="28"/>
        <v>4.5806591200169642E-3</v>
      </c>
      <c r="Z128" s="865">
        <f t="shared" si="28"/>
        <v>3.0791650610552971E-3</v>
      </c>
    </row>
    <row r="129" spans="2:26">
      <c r="B129" s="12" t="s">
        <v>1152</v>
      </c>
      <c r="C129" s="312"/>
      <c r="D129" s="312"/>
      <c r="E129" s="312"/>
      <c r="F129" s="312"/>
      <c r="G129" s="312"/>
      <c r="H129" s="312"/>
      <c r="I129" s="312"/>
      <c r="J129" s="312"/>
      <c r="K129" s="312"/>
      <c r="L129" s="865"/>
      <c r="M129" s="865"/>
      <c r="N129" s="865">
        <f t="shared" ref="N129:Z129" si="29">N125</f>
        <v>7.5310599168084127E-3</v>
      </c>
      <c r="O129" s="865">
        <f t="shared" si="29"/>
        <v>1.6403178690555471E-2</v>
      </c>
      <c r="P129" s="865">
        <f t="shared" si="29"/>
        <v>2.4098762439530567E-2</v>
      </c>
      <c r="Q129" s="865">
        <f t="shared" si="29"/>
        <v>2.6090936138249931E-2</v>
      </c>
      <c r="R129" s="865">
        <f t="shared" si="29"/>
        <v>2.1373187285632127E-2</v>
      </c>
      <c r="S129" s="865">
        <f t="shared" si="29"/>
        <v>2.2416490117186046E-2</v>
      </c>
      <c r="T129" s="865">
        <f t="shared" si="29"/>
        <v>2.3221850153282889E-2</v>
      </c>
      <c r="U129" s="865">
        <f t="shared" si="29"/>
        <v>2.0243634458786901E-2</v>
      </c>
      <c r="V129" s="865">
        <f t="shared" si="29"/>
        <v>7.1410060060915666E-3</v>
      </c>
      <c r="W129" s="865">
        <f t="shared" si="29"/>
        <v>2.6710319954636312E-3</v>
      </c>
      <c r="X129" s="865">
        <f t="shared" si="29"/>
        <v>-1.3366413952974649E-3</v>
      </c>
      <c r="Y129" s="865">
        <f t="shared" si="29"/>
        <v>-2.935881381231679E-3</v>
      </c>
      <c r="Z129" s="865">
        <f t="shared" si="29"/>
        <v>-4.9444668691663489E-3</v>
      </c>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W623"/>
  <sheetViews>
    <sheetView showGridLines="0" zoomScaleNormal="100" workbookViewId="0"/>
  </sheetViews>
  <sheetFormatPr defaultRowHeight="12.75"/>
  <cols>
    <col min="1" max="1" width="9.5703125" style="170" customWidth="1"/>
    <col min="2" max="2" width="32.140625" customWidth="1"/>
    <col min="3" max="44" width="15.7109375" customWidth="1"/>
    <col min="47" max="47" width="10.7109375" customWidth="1"/>
    <col min="48" max="48" width="9.7109375" bestFit="1" customWidth="1"/>
  </cols>
  <sheetData>
    <row r="1" spans="1:15" s="67" customFormat="1" ht="15.75">
      <c r="A1" s="1128" t="str">
        <f>ModelBanner</f>
        <v>TSM_201819 Publication</v>
      </c>
    </row>
    <row r="2" spans="1:15" s="712" customFormat="1" ht="15">
      <c r="A2" s="940" t="s">
        <v>13</v>
      </c>
      <c r="B2" s="940" t="s">
        <v>30</v>
      </c>
    </row>
    <row r="3" spans="1:15" s="712" customFormat="1" ht="10.15" customHeight="1">
      <c r="A3" s="168"/>
    </row>
    <row r="4" spans="1:15" s="56" customFormat="1">
      <c r="A4" s="169" t="s">
        <v>26</v>
      </c>
      <c r="B4" s="57"/>
      <c r="C4" s="57"/>
      <c r="D4" s="57"/>
    </row>
    <row r="5" spans="1:15" s="68" customFormat="1" ht="12.75" customHeight="1">
      <c r="A5" s="288"/>
      <c r="B5" s="59" t="s">
        <v>1399</v>
      </c>
      <c r="C5" s="69"/>
      <c r="D5" s="69"/>
      <c r="E5" s="69"/>
      <c r="F5" s="69"/>
      <c r="G5" s="69"/>
      <c r="H5" s="69"/>
      <c r="I5" s="69"/>
      <c r="J5" s="69"/>
      <c r="K5" s="69"/>
      <c r="L5" s="69"/>
      <c r="M5" s="69"/>
      <c r="N5" s="69"/>
      <c r="O5" s="69"/>
    </row>
    <row r="6" spans="1:15" s="45" customFormat="1" ht="13.5" customHeight="1">
      <c r="A6" s="289" t="s">
        <v>1392</v>
      </c>
      <c r="B6" s="60"/>
      <c r="C6" s="60"/>
      <c r="D6" s="60"/>
      <c r="E6" s="44"/>
      <c r="F6" s="44"/>
      <c r="G6" s="44"/>
      <c r="H6" s="44"/>
      <c r="I6" s="44"/>
      <c r="J6" s="44"/>
      <c r="K6" s="44"/>
      <c r="L6" s="44"/>
      <c r="M6" s="44"/>
      <c r="N6" s="44"/>
      <c r="O6" s="44"/>
    </row>
    <row r="7" spans="1:15" s="45" customFormat="1" ht="12" customHeight="1">
      <c r="A7" s="290"/>
      <c r="B7" s="176" t="s">
        <v>516</v>
      </c>
      <c r="C7" s="60"/>
      <c r="D7" s="60"/>
      <c r="E7" s="44"/>
      <c r="F7" s="44"/>
      <c r="G7" s="44"/>
      <c r="H7" s="44"/>
      <c r="I7" s="44"/>
      <c r="J7" s="44"/>
      <c r="K7" s="44"/>
      <c r="L7" s="44"/>
      <c r="M7" s="44"/>
      <c r="N7" s="44"/>
      <c r="O7" s="44"/>
    </row>
    <row r="8" spans="1:15" s="45" customFormat="1" ht="15.75" customHeight="1">
      <c r="A8" s="289" t="s">
        <v>24</v>
      </c>
      <c r="B8" s="60"/>
      <c r="C8" s="60"/>
      <c r="D8" s="60"/>
      <c r="E8" s="44"/>
      <c r="F8" s="44"/>
      <c r="G8" s="44"/>
      <c r="H8" s="44"/>
      <c r="I8" s="44"/>
      <c r="J8" s="44"/>
      <c r="K8" s="44"/>
      <c r="L8" s="44"/>
      <c r="M8" s="44"/>
      <c r="N8" s="44"/>
      <c r="O8" s="44"/>
    </row>
    <row r="9" spans="1:15" s="49" customFormat="1" ht="13.5" customHeight="1">
      <c r="A9" s="291">
        <f>SUM(A10:A2010)</f>
        <v>0</v>
      </c>
      <c r="B9" s="177" t="s">
        <v>1397</v>
      </c>
      <c r="C9" s="287"/>
      <c r="D9" s="287"/>
      <c r="E9" s="48"/>
      <c r="F9" s="48"/>
      <c r="G9" s="48"/>
      <c r="H9" s="48"/>
      <c r="I9" s="48"/>
      <c r="J9" s="48"/>
      <c r="K9" s="48"/>
      <c r="L9" s="48"/>
      <c r="M9" s="48"/>
      <c r="N9" s="48"/>
      <c r="O9" s="48"/>
    </row>
    <row r="11" spans="1:15">
      <c r="B11" s="75" t="s">
        <v>1158</v>
      </c>
    </row>
    <row r="12" spans="1:15">
      <c r="B12" s="12"/>
    </row>
    <row r="13" spans="1:15" ht="12.75" customHeight="1">
      <c r="B13" s="1150" t="s">
        <v>1159</v>
      </c>
      <c r="C13" s="1150"/>
      <c r="D13" s="1150"/>
      <c r="E13" s="1150"/>
      <c r="F13" s="1150"/>
      <c r="G13" s="1150"/>
      <c r="H13" s="1150"/>
      <c r="I13" s="1150"/>
      <c r="J13" s="1150"/>
    </row>
    <row r="14" spans="1:15">
      <c r="B14" s="1150"/>
      <c r="C14" s="1150"/>
      <c r="D14" s="1150"/>
      <c r="E14" s="1150"/>
      <c r="F14" s="1150"/>
      <c r="G14" s="1150"/>
      <c r="H14" s="1150"/>
      <c r="I14" s="1150"/>
      <c r="J14" s="1150"/>
    </row>
    <row r="15" spans="1:15">
      <c r="B15" s="1041"/>
      <c r="C15" s="1041"/>
      <c r="D15" s="1041"/>
      <c r="E15" s="1041"/>
      <c r="F15" s="1041"/>
      <c r="G15" s="1041"/>
      <c r="H15" s="1041"/>
      <c r="I15" s="1041"/>
      <c r="J15" s="1041"/>
    </row>
    <row r="16" spans="1:15" ht="12.75" customHeight="1">
      <c r="B16" s="1150" t="s">
        <v>515</v>
      </c>
      <c r="C16" s="1150"/>
      <c r="D16" s="1150"/>
      <c r="E16" s="1150"/>
      <c r="F16" s="1150"/>
      <c r="G16" s="1150"/>
      <c r="H16" s="1150"/>
      <c r="I16" s="1150"/>
      <c r="J16" s="1150"/>
    </row>
    <row r="17" spans="2:42">
      <c r="B17" s="1041"/>
      <c r="C17" s="1041"/>
      <c r="D17" s="1041"/>
      <c r="E17" s="1041"/>
      <c r="F17" s="1041"/>
      <c r="G17" s="1041"/>
      <c r="H17" s="1041"/>
      <c r="I17" s="1041"/>
      <c r="J17" s="1041"/>
    </row>
    <row r="18" spans="2:42">
      <c r="B18" s="12" t="s">
        <v>1160</v>
      </c>
    </row>
    <row r="20" spans="2:42" ht="12.75" customHeight="1">
      <c r="B20" s="1239" t="s">
        <v>1680</v>
      </c>
      <c r="C20" s="1240"/>
      <c r="D20" s="1240"/>
      <c r="E20" s="1240"/>
      <c r="F20" s="1240"/>
      <c r="G20" s="1240"/>
      <c r="H20" s="1240"/>
      <c r="I20" s="1240"/>
      <c r="J20" s="1240"/>
      <c r="K20" s="299"/>
    </row>
    <row r="21" spans="2:42" ht="12.75" customHeight="1">
      <c r="B21" s="1240"/>
      <c r="C21" s="1240"/>
      <c r="D21" s="1240"/>
      <c r="E21" s="1240"/>
      <c r="F21" s="1240"/>
      <c r="G21" s="1240"/>
      <c r="H21" s="1240"/>
      <c r="I21" s="1240"/>
      <c r="J21" s="1240"/>
      <c r="K21" s="299"/>
    </row>
    <row r="22" spans="2:42" ht="12.75" customHeight="1">
      <c r="B22" s="1240"/>
      <c r="C22" s="1240"/>
      <c r="D22" s="1240"/>
      <c r="E22" s="1240"/>
      <c r="F22" s="1240"/>
      <c r="G22" s="1240"/>
      <c r="H22" s="1240"/>
      <c r="I22" s="1240"/>
      <c r="J22" s="1240"/>
      <c r="K22" s="299"/>
    </row>
    <row r="23" spans="2:42" ht="17.45" customHeight="1">
      <c r="B23" s="1240"/>
      <c r="C23" s="1240"/>
      <c r="D23" s="1240"/>
      <c r="E23" s="1240"/>
      <c r="F23" s="1240"/>
      <c r="G23" s="1240"/>
      <c r="H23" s="1240"/>
      <c r="I23" s="1240"/>
      <c r="J23" s="1240"/>
      <c r="K23" s="299"/>
    </row>
    <row r="24" spans="2:42" ht="12" customHeight="1">
      <c r="B24" s="1240"/>
      <c r="C24" s="1240"/>
      <c r="D24" s="1240"/>
      <c r="E24" s="1240"/>
      <c r="F24" s="1240"/>
      <c r="G24" s="1240"/>
      <c r="H24" s="1240"/>
      <c r="I24" s="1240"/>
      <c r="J24" s="1240"/>
      <c r="K24" s="299"/>
    </row>
    <row r="26" spans="2:42" ht="18">
      <c r="B26" s="38" t="s">
        <v>43</v>
      </c>
      <c r="F26" s="12"/>
      <c r="J26" s="12" t="s">
        <v>1400</v>
      </c>
      <c r="L26" s="880" t="s">
        <v>147</v>
      </c>
      <c r="M26" s="5" t="s">
        <v>64</v>
      </c>
    </row>
    <row r="28" spans="2:42">
      <c r="B28" s="12" t="s">
        <v>1398</v>
      </c>
      <c r="C28" s="114" t="s">
        <v>1544</v>
      </c>
    </row>
    <row r="30" spans="2:42">
      <c r="B30" s="12" t="s">
        <v>61</v>
      </c>
      <c r="C30" s="1018" t="s">
        <v>1700</v>
      </c>
    </row>
    <row r="31" spans="2:42">
      <c r="AP31" s="302"/>
    </row>
    <row r="32" spans="2:42" ht="12.75" customHeight="1">
      <c r="B32" s="12" t="s">
        <v>62</v>
      </c>
      <c r="C32" s="1236" t="s">
        <v>509</v>
      </c>
      <c r="D32" s="1236"/>
      <c r="E32" s="1236"/>
      <c r="F32" s="1236"/>
      <c r="G32" s="1236"/>
      <c r="H32" s="1236"/>
      <c r="I32" s="1236"/>
      <c r="J32" s="1236"/>
      <c r="K32" s="1236"/>
      <c r="L32" s="1236"/>
    </row>
    <row r="33" spans="1:49" ht="12.75" customHeight="1">
      <c r="C33" s="1236"/>
      <c r="D33" s="1236"/>
      <c r="E33" s="1236"/>
      <c r="F33" s="1236"/>
      <c r="G33" s="1236"/>
      <c r="H33" s="1236"/>
      <c r="I33" s="1236"/>
      <c r="J33" s="1236"/>
      <c r="K33" s="1236"/>
      <c r="L33" s="1236"/>
    </row>
    <row r="34" spans="1:49" ht="12.75" customHeight="1">
      <c r="C34" s="1236"/>
      <c r="D34" s="1236"/>
      <c r="E34" s="1236"/>
      <c r="F34" s="1236"/>
      <c r="G34" s="1236"/>
      <c r="H34" s="1236"/>
      <c r="I34" s="1236"/>
      <c r="J34" s="1236"/>
      <c r="K34" s="1236"/>
      <c r="L34" s="1236"/>
    </row>
    <row r="36" spans="1:49" s="12" customFormat="1">
      <c r="A36" s="171"/>
      <c r="B36" s="116" t="s">
        <v>44</v>
      </c>
      <c r="C36" s="271"/>
    </row>
    <row r="37" spans="1:49" s="12" customFormat="1">
      <c r="A37" s="171"/>
    </row>
    <row r="38" spans="1:49" s="258" customFormat="1" ht="45" customHeight="1">
      <c r="B38" s="1043"/>
      <c r="C38" s="1173" t="s">
        <v>571</v>
      </c>
      <c r="D38" s="1174"/>
      <c r="E38" s="1173" t="s">
        <v>7</v>
      </c>
      <c r="F38" s="1174"/>
      <c r="G38" s="1173" t="s">
        <v>429</v>
      </c>
      <c r="H38" s="1174"/>
      <c r="I38" s="1173" t="s">
        <v>3</v>
      </c>
      <c r="J38" s="1174"/>
      <c r="K38" s="1173" t="s">
        <v>80</v>
      </c>
      <c r="L38" s="1174"/>
      <c r="M38" s="1173" t="s">
        <v>108</v>
      </c>
      <c r="N38" s="1174"/>
      <c r="O38" s="1173" t="s">
        <v>572</v>
      </c>
      <c r="P38" s="1174"/>
      <c r="Q38" s="1173" t="s">
        <v>6</v>
      </c>
      <c r="R38" s="1174"/>
      <c r="S38" s="1173" t="s">
        <v>1</v>
      </c>
      <c r="T38" s="1174"/>
      <c r="U38" s="1173" t="s">
        <v>397</v>
      </c>
      <c r="V38" s="1174"/>
      <c r="W38" s="1173" t="s">
        <v>4</v>
      </c>
      <c r="X38" s="1174"/>
      <c r="Y38" s="1173" t="s">
        <v>0</v>
      </c>
      <c r="Z38" s="1174"/>
      <c r="AA38" s="1173" t="s">
        <v>573</v>
      </c>
      <c r="AB38" s="1174"/>
      <c r="AC38" s="1173" t="s">
        <v>574</v>
      </c>
      <c r="AD38" s="1174"/>
      <c r="AE38" s="1173" t="s">
        <v>5</v>
      </c>
      <c r="AF38" s="1174"/>
      <c r="AG38" s="1173" t="s">
        <v>41</v>
      </c>
      <c r="AH38" s="1174"/>
      <c r="AI38" s="1173" t="s">
        <v>575</v>
      </c>
      <c r="AJ38" s="1174"/>
      <c r="AK38" s="1173" t="s">
        <v>2</v>
      </c>
      <c r="AL38" s="1174"/>
      <c r="AM38" s="1173" t="s">
        <v>576</v>
      </c>
      <c r="AN38" s="1174"/>
      <c r="AO38" s="1173" t="s">
        <v>42</v>
      </c>
      <c r="AP38" s="1174"/>
      <c r="AQ38" s="1173" t="s">
        <v>40</v>
      </c>
      <c r="AR38" s="1174"/>
    </row>
    <row r="39" spans="1:49" s="187" customFormat="1" ht="12.75" customHeight="1">
      <c r="A39" s="234"/>
      <c r="B39" s="1046" t="s">
        <v>45</v>
      </c>
      <c r="C39" s="1048" t="s">
        <v>46</v>
      </c>
      <c r="D39" s="1048" t="s">
        <v>47</v>
      </c>
      <c r="E39" s="1048" t="s">
        <v>46</v>
      </c>
      <c r="F39" s="1048" t="s">
        <v>47</v>
      </c>
      <c r="G39" s="1048" t="s">
        <v>46</v>
      </c>
      <c r="H39" s="1048" t="s">
        <v>47</v>
      </c>
      <c r="I39" s="1048" t="s">
        <v>46</v>
      </c>
      <c r="J39" s="1048" t="s">
        <v>47</v>
      </c>
      <c r="K39" s="1048" t="s">
        <v>46</v>
      </c>
      <c r="L39" s="1048" t="s">
        <v>47</v>
      </c>
      <c r="M39" s="1048" t="s">
        <v>46</v>
      </c>
      <c r="N39" s="1048" t="s">
        <v>47</v>
      </c>
      <c r="O39" s="1048" t="s">
        <v>46</v>
      </c>
      <c r="P39" s="1048" t="s">
        <v>47</v>
      </c>
      <c r="Q39" s="1048" t="s">
        <v>46</v>
      </c>
      <c r="R39" s="1048" t="s">
        <v>47</v>
      </c>
      <c r="S39" s="1048" t="s">
        <v>46</v>
      </c>
      <c r="T39" s="1048" t="s">
        <v>47</v>
      </c>
      <c r="U39" s="1048" t="s">
        <v>46</v>
      </c>
      <c r="V39" s="1048" t="s">
        <v>47</v>
      </c>
      <c r="W39" s="1048" t="s">
        <v>46</v>
      </c>
      <c r="X39" s="1048" t="s">
        <v>47</v>
      </c>
      <c r="Y39" s="1048" t="s">
        <v>46</v>
      </c>
      <c r="Z39" s="1048" t="s">
        <v>47</v>
      </c>
      <c r="AA39" s="1048" t="s">
        <v>46</v>
      </c>
      <c r="AB39" s="1048" t="s">
        <v>47</v>
      </c>
      <c r="AC39" s="1048" t="s">
        <v>46</v>
      </c>
      <c r="AD39" s="1048" t="s">
        <v>47</v>
      </c>
      <c r="AE39" s="1048" t="s">
        <v>46</v>
      </c>
      <c r="AF39" s="1048" t="s">
        <v>47</v>
      </c>
      <c r="AG39" s="1048" t="s">
        <v>46</v>
      </c>
      <c r="AH39" s="1048" t="s">
        <v>47</v>
      </c>
      <c r="AI39" s="1048" t="s">
        <v>46</v>
      </c>
      <c r="AJ39" s="1048" t="s">
        <v>47</v>
      </c>
      <c r="AK39" s="1048" t="s">
        <v>46</v>
      </c>
      <c r="AL39" s="1048" t="s">
        <v>47</v>
      </c>
      <c r="AM39" s="1048" t="s">
        <v>46</v>
      </c>
      <c r="AN39" s="1048" t="s">
        <v>47</v>
      </c>
      <c r="AO39" s="1048" t="s">
        <v>46</v>
      </c>
      <c r="AP39" s="1048" t="s">
        <v>47</v>
      </c>
      <c r="AQ39" s="1048" t="s">
        <v>46</v>
      </c>
      <c r="AR39" s="1048" t="s">
        <v>47</v>
      </c>
    </row>
    <row r="40" spans="1:49" s="187" customFormat="1" ht="12.75" customHeight="1">
      <c r="A40" s="234"/>
      <c r="B40" s="1046" t="s">
        <v>48</v>
      </c>
      <c r="C40" s="300">
        <v>12.876218922468533</v>
      </c>
      <c r="D40" s="300">
        <v>147.11060099923219</v>
      </c>
      <c r="E40" s="300">
        <v>151.08241180297935</v>
      </c>
      <c r="F40" s="300">
        <v>416.40402224268672</v>
      </c>
      <c r="G40" s="300">
        <v>33.761467769180427</v>
      </c>
      <c r="H40" s="300">
        <v>55.889651038563471</v>
      </c>
      <c r="I40" s="300">
        <v>168.38817055919839</v>
      </c>
      <c r="J40" s="300">
        <v>351.25525971594135</v>
      </c>
      <c r="K40" s="300">
        <v>5.0307057490736229</v>
      </c>
      <c r="L40" s="300">
        <v>5.2405039152705442</v>
      </c>
      <c r="M40" s="300">
        <v>108.51949494053673</v>
      </c>
      <c r="N40" s="300">
        <v>78.119662251245785</v>
      </c>
      <c r="O40" s="300">
        <v>44.014232714016984</v>
      </c>
      <c r="P40" s="300">
        <v>152.44407213832213</v>
      </c>
      <c r="Q40" s="300">
        <v>33.019052557592673</v>
      </c>
      <c r="R40" s="300">
        <v>150.29847135557381</v>
      </c>
      <c r="S40" s="300">
        <v>287.95548097426826</v>
      </c>
      <c r="T40" s="300">
        <v>1307.2156166531688</v>
      </c>
      <c r="U40" s="300">
        <v>5.3841822637082801</v>
      </c>
      <c r="V40" s="300">
        <v>32.073284195807958</v>
      </c>
      <c r="W40" s="300">
        <v>202.70613310384064</v>
      </c>
      <c r="X40" s="300">
        <v>465.18886228739836</v>
      </c>
      <c r="Y40" s="300">
        <v>248.46633076271962</v>
      </c>
      <c r="Z40" s="300">
        <v>442.14496559668606</v>
      </c>
      <c r="AA40" s="300">
        <v>712.63790669584978</v>
      </c>
      <c r="AB40" s="300">
        <v>1175.8696482537703</v>
      </c>
      <c r="AC40" s="300">
        <v>84.301529484628063</v>
      </c>
      <c r="AD40" s="300">
        <v>326.36956958571091</v>
      </c>
      <c r="AE40" s="300">
        <v>80.95666232759298</v>
      </c>
      <c r="AF40" s="300">
        <v>123.68779464698812</v>
      </c>
      <c r="AG40" s="300">
        <v>111.89991357043156</v>
      </c>
      <c r="AH40" s="300">
        <v>364.64992612534934</v>
      </c>
      <c r="AI40" s="300">
        <v>368.35269213933157</v>
      </c>
      <c r="AJ40" s="300">
        <v>605.23482714830379</v>
      </c>
      <c r="AK40" s="300">
        <v>257.15877019016506</v>
      </c>
      <c r="AL40" s="300">
        <v>209.7520018952097</v>
      </c>
      <c r="AM40" s="300">
        <v>84.13304740290053</v>
      </c>
      <c r="AN40" s="300">
        <v>296.41350982058594</v>
      </c>
      <c r="AO40" s="300">
        <v>2993.6444039304824</v>
      </c>
      <c r="AP40" s="300">
        <v>6705.362249865816</v>
      </c>
      <c r="AQ40" s="300">
        <v>2077.39</v>
      </c>
      <c r="AR40" s="300">
        <v>15356.2</v>
      </c>
      <c r="AU40" s="411"/>
    </row>
    <row r="41" spans="1:49" s="187" customFormat="1">
      <c r="A41" s="234"/>
      <c r="B41" s="1046" t="s">
        <v>49</v>
      </c>
      <c r="C41" s="300">
        <v>125.46405945559843</v>
      </c>
      <c r="D41" s="300">
        <v>725.98692724102784</v>
      </c>
      <c r="E41" s="300">
        <v>513.51755639254691</v>
      </c>
      <c r="F41" s="300">
        <v>1401.7797042874154</v>
      </c>
      <c r="G41" s="300">
        <v>161.6697301570899</v>
      </c>
      <c r="H41" s="300">
        <v>271.17625160895625</v>
      </c>
      <c r="I41" s="300">
        <v>705.84001963376693</v>
      </c>
      <c r="J41" s="300">
        <v>1204.2423604741414</v>
      </c>
      <c r="K41" s="300">
        <v>19.125398048080552</v>
      </c>
      <c r="L41" s="300">
        <v>31.264074578835508</v>
      </c>
      <c r="M41" s="300">
        <v>436.00987561629023</v>
      </c>
      <c r="N41" s="300">
        <v>300.26165993771946</v>
      </c>
      <c r="O41" s="300">
        <v>316.11084905495659</v>
      </c>
      <c r="P41" s="300">
        <v>730.27843188857128</v>
      </c>
      <c r="Q41" s="300">
        <v>138.0508202481976</v>
      </c>
      <c r="R41" s="300">
        <v>647.84295375059355</v>
      </c>
      <c r="S41" s="300">
        <v>956.96172459085551</v>
      </c>
      <c r="T41" s="300">
        <v>4516.8184572356195</v>
      </c>
      <c r="U41" s="300">
        <v>15.050383662755035</v>
      </c>
      <c r="V41" s="300">
        <v>199.15350658912959</v>
      </c>
      <c r="W41" s="300">
        <v>637.79191854672547</v>
      </c>
      <c r="X41" s="300">
        <v>1185.1774804804156</v>
      </c>
      <c r="Y41" s="300">
        <v>787.51318537977943</v>
      </c>
      <c r="Z41" s="300">
        <v>1295.8398855962216</v>
      </c>
      <c r="AA41" s="300">
        <v>2170.4229126970768</v>
      </c>
      <c r="AB41" s="300">
        <v>3059.8446186500482</v>
      </c>
      <c r="AC41" s="300">
        <v>396.60664269755426</v>
      </c>
      <c r="AD41" s="300">
        <v>1640.2915340317595</v>
      </c>
      <c r="AE41" s="300">
        <v>369.78179039466823</v>
      </c>
      <c r="AF41" s="300">
        <v>504.65248997804804</v>
      </c>
      <c r="AG41" s="300">
        <v>520.53798564941474</v>
      </c>
      <c r="AH41" s="300">
        <v>1405.2807698178535</v>
      </c>
      <c r="AI41" s="300">
        <v>1575.9287974705626</v>
      </c>
      <c r="AJ41" s="300">
        <v>1751.2085077968386</v>
      </c>
      <c r="AK41" s="300">
        <v>1001.3281889868051</v>
      </c>
      <c r="AL41" s="300">
        <v>621.65216367535334</v>
      </c>
      <c r="AM41" s="300">
        <v>293.362404717625</v>
      </c>
      <c r="AN41" s="300">
        <v>927.01859435089614</v>
      </c>
      <c r="AO41" s="300">
        <v>11148.074243400348</v>
      </c>
      <c r="AP41" s="300">
        <v>22419.770371969444</v>
      </c>
      <c r="AQ41" s="300">
        <v>6637.76</v>
      </c>
      <c r="AR41" s="300">
        <v>36949.53</v>
      </c>
      <c r="AU41" s="411"/>
    </row>
    <row r="42" spans="1:49" s="187" customFormat="1">
      <c r="A42" s="234"/>
      <c r="B42" s="1046" t="s">
        <v>50</v>
      </c>
      <c r="C42" s="300">
        <v>256.2621806834166</v>
      </c>
      <c r="D42" s="300">
        <v>1131.5437815052085</v>
      </c>
      <c r="E42" s="300">
        <v>662.87037623243725</v>
      </c>
      <c r="F42" s="300">
        <v>1707.9094697473804</v>
      </c>
      <c r="G42" s="300">
        <v>337.20362167002759</v>
      </c>
      <c r="H42" s="300">
        <v>424.88227019851763</v>
      </c>
      <c r="I42" s="300">
        <v>610.50853581483204</v>
      </c>
      <c r="J42" s="300">
        <v>1051.1524620519406</v>
      </c>
      <c r="K42" s="300">
        <v>17.538992882393444</v>
      </c>
      <c r="L42" s="300">
        <v>23.497291878008181</v>
      </c>
      <c r="M42" s="300">
        <v>834.25969563369597</v>
      </c>
      <c r="N42" s="300">
        <v>504.67926389915948</v>
      </c>
      <c r="O42" s="300">
        <v>554.69727654679582</v>
      </c>
      <c r="P42" s="300">
        <v>963.79525137937742</v>
      </c>
      <c r="Q42" s="300">
        <v>197.24397456113488</v>
      </c>
      <c r="R42" s="300">
        <v>909.73767827743507</v>
      </c>
      <c r="S42" s="300">
        <v>1185.7888110371855</v>
      </c>
      <c r="T42" s="300">
        <v>4344.8091266721876</v>
      </c>
      <c r="U42" s="300">
        <v>35.87740604275362</v>
      </c>
      <c r="V42" s="300">
        <v>203.72642999413424</v>
      </c>
      <c r="W42" s="300">
        <v>765.84314201202017</v>
      </c>
      <c r="X42" s="300">
        <v>1137.0650256381166</v>
      </c>
      <c r="Y42" s="300">
        <v>940.81962056051793</v>
      </c>
      <c r="Z42" s="300">
        <v>1187.718157228684</v>
      </c>
      <c r="AA42" s="300">
        <v>2194.58702906806</v>
      </c>
      <c r="AB42" s="300">
        <v>2229.4955311090675</v>
      </c>
      <c r="AC42" s="300">
        <v>374.43031312672434</v>
      </c>
      <c r="AD42" s="300">
        <v>1603.099417432566</v>
      </c>
      <c r="AE42" s="300">
        <v>409.68941193237976</v>
      </c>
      <c r="AF42" s="300">
        <v>612.31736156146064</v>
      </c>
      <c r="AG42" s="300">
        <v>814.36493012552717</v>
      </c>
      <c r="AH42" s="300">
        <v>1824.0037642276413</v>
      </c>
      <c r="AI42" s="300">
        <v>2132.4704173501123</v>
      </c>
      <c r="AJ42" s="300">
        <v>1884.1784585026062</v>
      </c>
      <c r="AK42" s="300">
        <v>1053.7854796502093</v>
      </c>
      <c r="AL42" s="300">
        <v>677.43538365242455</v>
      </c>
      <c r="AM42" s="300">
        <v>387.42630388890353</v>
      </c>
      <c r="AN42" s="300">
        <v>928.21842216934488</v>
      </c>
      <c r="AO42" s="300">
        <v>13765.667518819128</v>
      </c>
      <c r="AP42" s="300">
        <v>23349.264547125262</v>
      </c>
      <c r="AQ42" s="300">
        <v>6187.76</v>
      </c>
      <c r="AR42" s="300">
        <v>33583.74</v>
      </c>
      <c r="AU42" s="411"/>
    </row>
    <row r="43" spans="1:49" s="187" customFormat="1" ht="13.5" customHeight="1">
      <c r="A43" s="234"/>
      <c r="B43" s="1046" t="s">
        <v>51</v>
      </c>
      <c r="C43" s="300">
        <v>297.68548944332315</v>
      </c>
      <c r="D43" s="300">
        <v>1224.2327389398718</v>
      </c>
      <c r="E43" s="300">
        <v>676.25243055252679</v>
      </c>
      <c r="F43" s="300">
        <v>1527.17462086094</v>
      </c>
      <c r="G43" s="300">
        <v>315.04051859296931</v>
      </c>
      <c r="H43" s="300">
        <v>449.27724784041698</v>
      </c>
      <c r="I43" s="300">
        <v>661.19326497113445</v>
      </c>
      <c r="J43" s="300">
        <v>987.13771223177628</v>
      </c>
      <c r="K43" s="300">
        <v>11.326766379247475</v>
      </c>
      <c r="L43" s="300">
        <v>31.822915038323536</v>
      </c>
      <c r="M43" s="300">
        <v>813.27410154969914</v>
      </c>
      <c r="N43" s="300">
        <v>565.03649509767331</v>
      </c>
      <c r="O43" s="300">
        <v>628.43848314857439</v>
      </c>
      <c r="P43" s="300">
        <v>878.1296710685441</v>
      </c>
      <c r="Q43" s="300">
        <v>226.29758682457015</v>
      </c>
      <c r="R43" s="300">
        <v>761.30465064443365</v>
      </c>
      <c r="S43" s="300">
        <v>1058.1227820215711</v>
      </c>
      <c r="T43" s="300">
        <v>3847.8102173869411</v>
      </c>
      <c r="U43" s="300">
        <v>32.931829126403038</v>
      </c>
      <c r="V43" s="300">
        <v>239.50711262426566</v>
      </c>
      <c r="W43" s="300">
        <v>903.63801372019543</v>
      </c>
      <c r="X43" s="300">
        <v>1148.6821057854706</v>
      </c>
      <c r="Y43" s="300">
        <v>843.60937867863549</v>
      </c>
      <c r="Z43" s="300">
        <v>1156.4103303290228</v>
      </c>
      <c r="AA43" s="300">
        <v>2063.1500780530114</v>
      </c>
      <c r="AB43" s="300">
        <v>2222.3966155839967</v>
      </c>
      <c r="AC43" s="300">
        <v>473.33461780610332</v>
      </c>
      <c r="AD43" s="300">
        <v>1951.1420837238798</v>
      </c>
      <c r="AE43" s="300">
        <v>384.38795184261187</v>
      </c>
      <c r="AF43" s="300">
        <v>546.57862135117591</v>
      </c>
      <c r="AG43" s="300">
        <v>803.48613065754887</v>
      </c>
      <c r="AH43" s="300">
        <v>1607.323991611167</v>
      </c>
      <c r="AI43" s="300">
        <v>2056.0274039835467</v>
      </c>
      <c r="AJ43" s="300">
        <v>1616.5757937611231</v>
      </c>
      <c r="AK43" s="300">
        <v>965.35624425263734</v>
      </c>
      <c r="AL43" s="300">
        <v>588.09424838277153</v>
      </c>
      <c r="AM43" s="300">
        <v>375.4940712724042</v>
      </c>
      <c r="AN43" s="300">
        <v>829.55334842823527</v>
      </c>
      <c r="AO43" s="300">
        <v>13589.047142876714</v>
      </c>
      <c r="AP43" s="300">
        <v>22178.190520690026</v>
      </c>
      <c r="AQ43" s="300">
        <v>5219.1499999999996</v>
      </c>
      <c r="AR43" s="300">
        <v>31089.49</v>
      </c>
      <c r="AU43" s="411"/>
    </row>
    <row r="44" spans="1:49" s="187" customFormat="1">
      <c r="A44" s="234"/>
      <c r="B44" s="1046" t="s">
        <v>52</v>
      </c>
      <c r="C44" s="300">
        <v>348.9641504661825</v>
      </c>
      <c r="D44" s="300">
        <v>1123.1788435749327</v>
      </c>
      <c r="E44" s="300">
        <v>572.26359308673977</v>
      </c>
      <c r="F44" s="300">
        <v>1269.7508461021355</v>
      </c>
      <c r="G44" s="300">
        <v>275.55719090900863</v>
      </c>
      <c r="H44" s="300">
        <v>390.10912571554695</v>
      </c>
      <c r="I44" s="300">
        <v>672.61313013409574</v>
      </c>
      <c r="J44" s="300">
        <v>923.82812731598233</v>
      </c>
      <c r="K44" s="300">
        <v>18.679667237090829</v>
      </c>
      <c r="L44" s="300">
        <v>20.044277661422058</v>
      </c>
      <c r="M44" s="300">
        <v>642.29931649340267</v>
      </c>
      <c r="N44" s="300">
        <v>446.21689220939857</v>
      </c>
      <c r="O44" s="300">
        <v>643.02160237867565</v>
      </c>
      <c r="P44" s="300">
        <v>814.01492240405867</v>
      </c>
      <c r="Q44" s="300">
        <v>156.67631265425638</v>
      </c>
      <c r="R44" s="300">
        <v>507.92668977982356</v>
      </c>
      <c r="S44" s="300">
        <v>898.13875357280153</v>
      </c>
      <c r="T44" s="300">
        <v>3061.8916470275958</v>
      </c>
      <c r="U44" s="300">
        <v>43.123684800749473</v>
      </c>
      <c r="V44" s="300">
        <v>242.61921335409983</v>
      </c>
      <c r="W44" s="300">
        <v>767.90682087632763</v>
      </c>
      <c r="X44" s="300">
        <v>859.33149937437042</v>
      </c>
      <c r="Y44" s="300">
        <v>752.37697749827146</v>
      </c>
      <c r="Z44" s="300">
        <v>868.99643017907079</v>
      </c>
      <c r="AA44" s="300">
        <v>1948.9773535515974</v>
      </c>
      <c r="AB44" s="300">
        <v>2123.5138629827347</v>
      </c>
      <c r="AC44" s="300">
        <v>452.6840261254643</v>
      </c>
      <c r="AD44" s="300">
        <v>2197.1166944938677</v>
      </c>
      <c r="AE44" s="300">
        <v>305.39172714286872</v>
      </c>
      <c r="AF44" s="300">
        <v>437.36582506262766</v>
      </c>
      <c r="AG44" s="300">
        <v>719.66005752621913</v>
      </c>
      <c r="AH44" s="300">
        <v>1245.6031641095824</v>
      </c>
      <c r="AI44" s="300">
        <v>1212.4050346402662</v>
      </c>
      <c r="AJ44" s="300">
        <v>930.01189463655146</v>
      </c>
      <c r="AK44" s="300">
        <v>877.62045359295553</v>
      </c>
      <c r="AL44" s="300">
        <v>577.8499050945469</v>
      </c>
      <c r="AM44" s="300">
        <v>364.24931297723447</v>
      </c>
      <c r="AN44" s="300">
        <v>755.63034542202581</v>
      </c>
      <c r="AO44" s="300">
        <v>11672.609165664204</v>
      </c>
      <c r="AP44" s="300">
        <v>18795.000206500372</v>
      </c>
      <c r="AQ44" s="300">
        <v>4636.84</v>
      </c>
      <c r="AR44" s="300">
        <v>28767.97</v>
      </c>
    </row>
    <row r="45" spans="1:49" s="187" customFormat="1">
      <c r="A45" s="234"/>
      <c r="B45" s="1046" t="s">
        <v>53</v>
      </c>
      <c r="C45" s="300">
        <v>286.79515503128511</v>
      </c>
      <c r="D45" s="300">
        <v>884.20506877062644</v>
      </c>
      <c r="E45" s="300">
        <v>407.50168121205701</v>
      </c>
      <c r="F45" s="300">
        <v>881.15449638239465</v>
      </c>
      <c r="G45" s="300">
        <v>264.6302842330411</v>
      </c>
      <c r="H45" s="300">
        <v>312.34670485802485</v>
      </c>
      <c r="I45" s="300">
        <v>580.45789334890787</v>
      </c>
      <c r="J45" s="300">
        <v>769.88582074943611</v>
      </c>
      <c r="K45" s="300">
        <v>15.251645885419197</v>
      </c>
      <c r="L45" s="300">
        <v>16.732223202953662</v>
      </c>
      <c r="M45" s="300">
        <v>603.38612927587928</v>
      </c>
      <c r="N45" s="300">
        <v>383.30515416126099</v>
      </c>
      <c r="O45" s="300">
        <v>683.99826831131645</v>
      </c>
      <c r="P45" s="300">
        <v>780.97051378533718</v>
      </c>
      <c r="Q45" s="300">
        <v>130.09798152082627</v>
      </c>
      <c r="R45" s="300">
        <v>312.76873842905593</v>
      </c>
      <c r="S45" s="300">
        <v>742.1811252510696</v>
      </c>
      <c r="T45" s="300">
        <v>2460.8810608860467</v>
      </c>
      <c r="U45" s="300">
        <v>30.094941405679467</v>
      </c>
      <c r="V45" s="300">
        <v>286.65030336604741</v>
      </c>
      <c r="W45" s="300">
        <v>593.20303766051484</v>
      </c>
      <c r="X45" s="300">
        <v>536.10892371446096</v>
      </c>
      <c r="Y45" s="300">
        <v>638.39654476207136</v>
      </c>
      <c r="Z45" s="300">
        <v>613.61418523680209</v>
      </c>
      <c r="AA45" s="300">
        <v>2014.3587855916728</v>
      </c>
      <c r="AB45" s="300">
        <v>2175.8676148833947</v>
      </c>
      <c r="AC45" s="300">
        <v>382.38580320330453</v>
      </c>
      <c r="AD45" s="300">
        <v>1855.5398688015891</v>
      </c>
      <c r="AE45" s="300">
        <v>253.11572663844157</v>
      </c>
      <c r="AF45" s="300">
        <v>269.89559089029837</v>
      </c>
      <c r="AG45" s="300">
        <v>675.82591777566665</v>
      </c>
      <c r="AH45" s="300">
        <v>1025.3633642309137</v>
      </c>
      <c r="AI45" s="300">
        <v>623.47009901392971</v>
      </c>
      <c r="AJ45" s="300">
        <v>485.43869272272684</v>
      </c>
      <c r="AK45" s="300">
        <v>964.13469925915729</v>
      </c>
      <c r="AL45" s="300">
        <v>462.65089696865334</v>
      </c>
      <c r="AM45" s="300">
        <v>280.56757695558531</v>
      </c>
      <c r="AN45" s="300">
        <v>465.90244832458916</v>
      </c>
      <c r="AO45" s="300">
        <v>10169.853296335827</v>
      </c>
      <c r="AP45" s="300">
        <v>14979.281670364611</v>
      </c>
      <c r="AQ45" s="300">
        <v>3753.7</v>
      </c>
      <c r="AR45" s="300">
        <v>24587.26</v>
      </c>
    </row>
    <row r="46" spans="1:49" s="187" customFormat="1">
      <c r="A46" s="234"/>
      <c r="B46" s="1046" t="s">
        <v>54</v>
      </c>
      <c r="C46" s="300">
        <v>264.60810056646568</v>
      </c>
      <c r="D46" s="300">
        <v>685.06109055858292</v>
      </c>
      <c r="E46" s="300">
        <v>306.32605962601349</v>
      </c>
      <c r="F46" s="300">
        <v>604.75929107535978</v>
      </c>
      <c r="G46" s="300">
        <v>198.25670922158992</v>
      </c>
      <c r="H46" s="300">
        <v>244.82576473724541</v>
      </c>
      <c r="I46" s="300">
        <v>483.40055849271459</v>
      </c>
      <c r="J46" s="300">
        <v>577.80951833874485</v>
      </c>
      <c r="K46" s="300">
        <v>18.586693779608918</v>
      </c>
      <c r="L46" s="300">
        <v>16.303345641020993</v>
      </c>
      <c r="M46" s="300">
        <v>416.48971963098029</v>
      </c>
      <c r="N46" s="300">
        <v>326.55646418253292</v>
      </c>
      <c r="O46" s="300">
        <v>660.20849306829803</v>
      </c>
      <c r="P46" s="300">
        <v>647.35555748365971</v>
      </c>
      <c r="Q46" s="300">
        <v>116.35617886037841</v>
      </c>
      <c r="R46" s="300">
        <v>230.87286452616024</v>
      </c>
      <c r="S46" s="300">
        <v>543.83350848231635</v>
      </c>
      <c r="T46" s="300">
        <v>1978.7950034347293</v>
      </c>
      <c r="U46" s="300">
        <v>20.419888756677949</v>
      </c>
      <c r="V46" s="300">
        <v>287.82594154626992</v>
      </c>
      <c r="W46" s="300">
        <v>411.28989596677161</v>
      </c>
      <c r="X46" s="300">
        <v>350.96659020247813</v>
      </c>
      <c r="Y46" s="300">
        <v>440.91255529630604</v>
      </c>
      <c r="Z46" s="300">
        <v>385.44608261397229</v>
      </c>
      <c r="AA46" s="300">
        <v>1533.6367883698415</v>
      </c>
      <c r="AB46" s="300">
        <v>1831.0201409765189</v>
      </c>
      <c r="AC46" s="300">
        <v>330.32425813814399</v>
      </c>
      <c r="AD46" s="300">
        <v>1321.7501426224617</v>
      </c>
      <c r="AE46" s="300">
        <v>196.03375033540405</v>
      </c>
      <c r="AF46" s="300">
        <v>200.00268534908983</v>
      </c>
      <c r="AG46" s="300">
        <v>545.35484329044994</v>
      </c>
      <c r="AH46" s="300">
        <v>827.79526462261936</v>
      </c>
      <c r="AI46" s="300">
        <v>396.11452545833646</v>
      </c>
      <c r="AJ46" s="300">
        <v>365.89011860004155</v>
      </c>
      <c r="AK46" s="300">
        <v>817.7146445238609</v>
      </c>
      <c r="AL46" s="300">
        <v>428.52579999739248</v>
      </c>
      <c r="AM46" s="300">
        <v>244.95800821538646</v>
      </c>
      <c r="AN46" s="300">
        <v>426.20305782125439</v>
      </c>
      <c r="AO46" s="300">
        <v>7946.8251800795442</v>
      </c>
      <c r="AP46" s="300">
        <v>11737.764724330133</v>
      </c>
      <c r="AQ46" s="300">
        <v>2853.97</v>
      </c>
      <c r="AR46" s="300">
        <v>19833.46</v>
      </c>
    </row>
    <row r="47" spans="1:49" s="187" customFormat="1">
      <c r="A47" s="234"/>
      <c r="B47" s="1046" t="s">
        <v>55</v>
      </c>
      <c r="C47" s="300">
        <v>171.82105004610565</v>
      </c>
      <c r="D47" s="300">
        <v>304.03751721710933</v>
      </c>
      <c r="E47" s="300">
        <v>230.18795921960134</v>
      </c>
      <c r="F47" s="300">
        <v>427.57576419303831</v>
      </c>
      <c r="G47" s="300">
        <v>117.72564646981925</v>
      </c>
      <c r="H47" s="300">
        <v>121.6815618250248</v>
      </c>
      <c r="I47" s="300">
        <v>324.92275947306007</v>
      </c>
      <c r="J47" s="300">
        <v>332.56838975013079</v>
      </c>
      <c r="K47" s="300">
        <v>11.539134781478248</v>
      </c>
      <c r="L47" s="300">
        <v>20.263215158072999</v>
      </c>
      <c r="M47" s="300">
        <v>252.93321445813257</v>
      </c>
      <c r="N47" s="300">
        <v>173.00577815891646</v>
      </c>
      <c r="O47" s="300">
        <v>511.87148309011889</v>
      </c>
      <c r="P47" s="300">
        <v>441.46870131551907</v>
      </c>
      <c r="Q47" s="300">
        <v>65.520092652897972</v>
      </c>
      <c r="R47" s="300">
        <v>132.21095335639919</v>
      </c>
      <c r="S47" s="300">
        <v>364.33631134649096</v>
      </c>
      <c r="T47" s="300">
        <v>1442.5791166107051</v>
      </c>
      <c r="U47" s="300">
        <v>5.5825978896848891</v>
      </c>
      <c r="V47" s="300">
        <v>237.67734497311355</v>
      </c>
      <c r="W47" s="300">
        <v>263.67027073283907</v>
      </c>
      <c r="X47" s="300">
        <v>277.57331829757004</v>
      </c>
      <c r="Y47" s="300">
        <v>276.46036554681825</v>
      </c>
      <c r="Z47" s="300">
        <v>300.19953130036043</v>
      </c>
      <c r="AA47" s="300">
        <v>990.98880474601822</v>
      </c>
      <c r="AB47" s="300">
        <v>1068.0997495048923</v>
      </c>
      <c r="AC47" s="300">
        <v>178.73989309909214</v>
      </c>
      <c r="AD47" s="300">
        <v>906.63515651715807</v>
      </c>
      <c r="AE47" s="300">
        <v>133.3768421059784</v>
      </c>
      <c r="AF47" s="300">
        <v>120.0562791841631</v>
      </c>
      <c r="AG47" s="300">
        <v>386.09156394788772</v>
      </c>
      <c r="AH47" s="300">
        <v>587.93904882502682</v>
      </c>
      <c r="AI47" s="300">
        <v>290.55561412010792</v>
      </c>
      <c r="AJ47" s="300">
        <v>269.04091994249291</v>
      </c>
      <c r="AK47" s="300">
        <v>476.21716121945889</v>
      </c>
      <c r="AL47" s="300">
        <v>166.7904949547065</v>
      </c>
      <c r="AM47" s="300">
        <v>160.65684482124374</v>
      </c>
      <c r="AN47" s="300">
        <v>328.66976494975745</v>
      </c>
      <c r="AO47" s="300">
        <v>5219.1976097668339</v>
      </c>
      <c r="AP47" s="300">
        <v>7658.0726060341576</v>
      </c>
      <c r="AQ47" s="300">
        <v>1491.8</v>
      </c>
      <c r="AR47" s="300">
        <v>12300.37</v>
      </c>
      <c r="AU47" s="274"/>
      <c r="AW47" s="274"/>
    </row>
    <row r="48" spans="1:49" s="187" customFormat="1">
      <c r="A48" s="234"/>
      <c r="B48" s="1046" t="s">
        <v>56</v>
      </c>
      <c r="C48" s="300">
        <v>53.994237976890552</v>
      </c>
      <c r="D48" s="300">
        <v>122.40015195235868</v>
      </c>
      <c r="E48" s="300">
        <v>56.874231610803641</v>
      </c>
      <c r="F48" s="300">
        <v>139.73540720437038</v>
      </c>
      <c r="G48" s="300">
        <v>27.766235645742817</v>
      </c>
      <c r="H48" s="300">
        <v>27.49685427224837</v>
      </c>
      <c r="I48" s="300">
        <v>99.345114176621578</v>
      </c>
      <c r="J48" s="300">
        <v>68.810672493636616</v>
      </c>
      <c r="K48" s="300">
        <v>5.9738655214041234</v>
      </c>
      <c r="L48" s="300">
        <v>5.8521873492924872</v>
      </c>
      <c r="M48" s="300">
        <v>59.56745615762317</v>
      </c>
      <c r="N48" s="300">
        <v>44.116237230323527</v>
      </c>
      <c r="O48" s="300">
        <v>128.36743224698023</v>
      </c>
      <c r="P48" s="300">
        <v>130.43445696033521</v>
      </c>
      <c r="Q48" s="300">
        <v>29.469818808278859</v>
      </c>
      <c r="R48" s="300">
        <v>55.899526878763169</v>
      </c>
      <c r="S48" s="300">
        <v>136.46042949140207</v>
      </c>
      <c r="T48" s="300">
        <v>439.43256636831768</v>
      </c>
      <c r="U48" s="300">
        <v>5.5059744204091645</v>
      </c>
      <c r="V48" s="300">
        <v>55.541176113990467</v>
      </c>
      <c r="W48" s="300">
        <v>83.974006771059464</v>
      </c>
      <c r="X48" s="300">
        <v>74.951294375971926</v>
      </c>
      <c r="Y48" s="300">
        <v>75.433321610667306</v>
      </c>
      <c r="Z48" s="300">
        <v>93.967531107771165</v>
      </c>
      <c r="AA48" s="300">
        <v>381.38918657798274</v>
      </c>
      <c r="AB48" s="300">
        <v>361.76665592119355</v>
      </c>
      <c r="AC48" s="300">
        <v>48.736398822214909</v>
      </c>
      <c r="AD48" s="300">
        <v>254.63382489316101</v>
      </c>
      <c r="AE48" s="300">
        <v>22.616608538465925</v>
      </c>
      <c r="AF48" s="300">
        <v>30.32319098052939</v>
      </c>
      <c r="AG48" s="300">
        <v>150.81082276441887</v>
      </c>
      <c r="AH48" s="300">
        <v>188.54432969613984</v>
      </c>
      <c r="AI48" s="300">
        <v>63.180997464292133</v>
      </c>
      <c r="AJ48" s="300">
        <v>51.454246220255342</v>
      </c>
      <c r="AK48" s="300">
        <v>126.35725546174221</v>
      </c>
      <c r="AL48" s="300">
        <v>42.971527818218384</v>
      </c>
      <c r="AM48" s="300">
        <v>54.63469508244021</v>
      </c>
      <c r="AN48" s="300">
        <v>79.642949470140309</v>
      </c>
      <c r="AO48" s="300">
        <v>1608.45808914944</v>
      </c>
      <c r="AP48" s="300">
        <v>2280.9747873070178</v>
      </c>
      <c r="AQ48" s="300">
        <v>569.73</v>
      </c>
      <c r="AR48" s="300">
        <v>4649.1899999999996</v>
      </c>
      <c r="AU48" s="274"/>
      <c r="AW48" s="274"/>
    </row>
    <row r="49" spans="1:49" s="187" customFormat="1">
      <c r="A49" s="234"/>
      <c r="B49" s="1046" t="s">
        <v>57</v>
      </c>
      <c r="C49" s="300">
        <v>12.586944414648771</v>
      </c>
      <c r="D49" s="300">
        <v>12.472836131287345</v>
      </c>
      <c r="E49" s="300">
        <v>8.4777046714232132</v>
      </c>
      <c r="F49" s="300">
        <v>18.244340933173852</v>
      </c>
      <c r="G49" s="300">
        <v>5.6899332334772303</v>
      </c>
      <c r="H49" s="300">
        <v>9.1579689900206027</v>
      </c>
      <c r="I49" s="300">
        <v>25.368908427534457</v>
      </c>
      <c r="J49" s="300">
        <v>12.179119420791704</v>
      </c>
      <c r="K49" s="300">
        <v>6.232220795077561</v>
      </c>
      <c r="L49" s="300">
        <v>5.7514999732075527</v>
      </c>
      <c r="M49" s="300">
        <v>10.584386923166369</v>
      </c>
      <c r="N49" s="300">
        <v>5.446400760376263</v>
      </c>
      <c r="O49" s="300">
        <v>27.585984073445097</v>
      </c>
      <c r="P49" s="300">
        <v>9.4945201896320519</v>
      </c>
      <c r="Q49" s="300">
        <v>7.8190936985726678</v>
      </c>
      <c r="R49" s="300">
        <v>5.4075973669768835</v>
      </c>
      <c r="S49" s="300">
        <v>25.331187115539237</v>
      </c>
      <c r="T49" s="300">
        <v>71.165674035145088</v>
      </c>
      <c r="U49" s="300">
        <v>5.8098246794774271</v>
      </c>
      <c r="V49" s="300">
        <v>13.68287286599959</v>
      </c>
      <c r="W49" s="300">
        <v>7.551803005632034</v>
      </c>
      <c r="X49" s="300">
        <v>0</v>
      </c>
      <c r="Y49" s="300">
        <v>8.1763565582481057</v>
      </c>
      <c r="Z49" s="300">
        <v>0</v>
      </c>
      <c r="AA49" s="300">
        <v>86.019093615144342</v>
      </c>
      <c r="AB49" s="300">
        <v>63.454183488820199</v>
      </c>
      <c r="AC49" s="300">
        <v>6.1721210183346811</v>
      </c>
      <c r="AD49" s="300">
        <v>41.207954961943109</v>
      </c>
      <c r="AE49" s="300">
        <v>5.7456573880420176</v>
      </c>
      <c r="AF49" s="300">
        <v>5.8487856187205329</v>
      </c>
      <c r="AG49" s="300">
        <v>43.842088457808352</v>
      </c>
      <c r="AH49" s="300">
        <v>31.396400072029149</v>
      </c>
      <c r="AI49" s="300">
        <v>12.785938396712694</v>
      </c>
      <c r="AJ49" s="300">
        <v>5.7081293053161168</v>
      </c>
      <c r="AK49" s="300">
        <v>48.019043923352612</v>
      </c>
      <c r="AL49" s="300">
        <v>9.6380801864564258</v>
      </c>
      <c r="AM49" s="300">
        <v>18.039446274541636</v>
      </c>
      <c r="AN49" s="300">
        <v>13.868568587056776</v>
      </c>
      <c r="AO49" s="300">
        <v>365.83773667017851</v>
      </c>
      <c r="AP49" s="300">
        <v>321.12493288695322</v>
      </c>
      <c r="AQ49" s="300">
        <v>138.63999999999999</v>
      </c>
      <c r="AR49" s="300">
        <v>823.76</v>
      </c>
      <c r="AT49" s="234" t="s">
        <v>507</v>
      </c>
      <c r="AU49" s="275"/>
      <c r="AW49" s="275"/>
    </row>
    <row r="50" spans="1:49" s="187" customFormat="1">
      <c r="A50" s="234"/>
      <c r="B50" s="1046" t="s">
        <v>8</v>
      </c>
      <c r="C50" s="300">
        <v>1831.0575870063851</v>
      </c>
      <c r="D50" s="300">
        <v>6360.2295568902382</v>
      </c>
      <c r="E50" s="300">
        <v>3585.3540044071283</v>
      </c>
      <c r="F50" s="300">
        <v>8394.4879630288942</v>
      </c>
      <c r="G50" s="300">
        <v>1737.3013379019462</v>
      </c>
      <c r="H50" s="300">
        <v>2306.8434010845654</v>
      </c>
      <c r="I50" s="300">
        <v>4332.0383550318666</v>
      </c>
      <c r="J50" s="300">
        <v>6278.8694425425228</v>
      </c>
      <c r="K50" s="300">
        <v>129.28509105887397</v>
      </c>
      <c r="L50" s="300">
        <v>176.77153439640753</v>
      </c>
      <c r="M50" s="300">
        <v>4177.3233906794067</v>
      </c>
      <c r="N50" s="300">
        <v>2826.7440078886066</v>
      </c>
      <c r="O50" s="300">
        <v>4198.3141046331775</v>
      </c>
      <c r="P50" s="300">
        <v>5548.3860986133568</v>
      </c>
      <c r="Q50" s="300">
        <v>1100.5509123867062</v>
      </c>
      <c r="R50" s="300">
        <v>3714.2701243652145</v>
      </c>
      <c r="S50" s="300">
        <v>6199.1101138835011</v>
      </c>
      <c r="T50" s="300">
        <v>23471.39848631046</v>
      </c>
      <c r="U50" s="300">
        <v>199.78071304829831</v>
      </c>
      <c r="V50" s="300">
        <v>1798.4571856228583</v>
      </c>
      <c r="W50" s="300">
        <v>4637.5750423959253</v>
      </c>
      <c r="X50" s="300">
        <v>6035.0451001562524</v>
      </c>
      <c r="Y50" s="300">
        <v>5012.1646366540344</v>
      </c>
      <c r="Z50" s="300">
        <v>6344.3370991885904</v>
      </c>
      <c r="AA50" s="300">
        <v>14096.167938966257</v>
      </c>
      <c r="AB50" s="300">
        <v>16311.328621354438</v>
      </c>
      <c r="AC50" s="300">
        <v>2727.7156035215648</v>
      </c>
      <c r="AD50" s="300">
        <v>12097.786247064096</v>
      </c>
      <c r="AE50" s="300">
        <v>2161.096128646454</v>
      </c>
      <c r="AF50" s="300">
        <v>2850.728624623102</v>
      </c>
      <c r="AG50" s="300">
        <v>4771.8742537653734</v>
      </c>
      <c r="AH50" s="300">
        <v>9107.9000233383231</v>
      </c>
      <c r="AI50" s="300">
        <v>8731.2915200372008</v>
      </c>
      <c r="AJ50" s="300">
        <v>7964.7415886362551</v>
      </c>
      <c r="AK50" s="300">
        <v>6587.6919410603441</v>
      </c>
      <c r="AL50" s="300">
        <v>3785.3605026257333</v>
      </c>
      <c r="AM50" s="300">
        <v>2263.5217116082654</v>
      </c>
      <c r="AN50" s="300">
        <v>5051.1210093438867</v>
      </c>
      <c r="AO50" s="300">
        <v>78479.214386692693</v>
      </c>
      <c r="AP50" s="300">
        <v>130424.80661707379</v>
      </c>
      <c r="AQ50" s="300">
        <v>33566.740000000005</v>
      </c>
      <c r="AR50" s="300">
        <v>207940.97</v>
      </c>
      <c r="AT50" s="234" t="s">
        <v>508</v>
      </c>
      <c r="AU50" s="234"/>
      <c r="AV50" s="234" t="s">
        <v>40</v>
      </c>
    </row>
    <row r="51" spans="1:49" s="12" customFormat="1">
      <c r="A51" s="171">
        <f>AP51</f>
        <v>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257">
        <f>SUM(C50:AN50)</f>
        <v>208904.02100376648</v>
      </c>
      <c r="AO51" s="257">
        <f>AO50+AP50</f>
        <v>208904.02100376648</v>
      </c>
      <c r="AP51" s="257">
        <f>AN51-AO51</f>
        <v>0</v>
      </c>
      <c r="AQ51" s="318"/>
      <c r="AT51" s="478">
        <f>(AO66+AP66)/(AO50+AP50+AO66+AP66)</f>
        <v>6.6373741170224237E-2</v>
      </c>
      <c r="AU51" s="117"/>
      <c r="AV51" s="478">
        <f>(AQ66+AR66)/(AQ50+AR50+AQ66+AR66)</f>
        <v>3.4853157296169286E-2</v>
      </c>
    </row>
    <row r="52" spans="1:49" s="12" customFormat="1">
      <c r="A52" s="410">
        <f>AP52</f>
        <v>0</v>
      </c>
      <c r="B52" s="118" t="s">
        <v>58</v>
      </c>
      <c r="K52" s="318"/>
      <c r="L52" s="318"/>
      <c r="N52" s="318"/>
      <c r="R52" s="318"/>
      <c r="U52" s="318"/>
      <c r="AE52" s="318"/>
      <c r="AF52" s="318"/>
      <c r="AJ52" s="318"/>
      <c r="AN52" s="257">
        <f>SUM(C40:AN49)</f>
        <v>208904.02100376628</v>
      </c>
      <c r="AO52" s="257">
        <f>SUM(AO40:AP49)</f>
        <v>208904.02100376651</v>
      </c>
      <c r="AP52" s="257">
        <f>((AN52+AO52)/2)-AO51</f>
        <v>0</v>
      </c>
      <c r="AQ52" s="318"/>
    </row>
    <row r="53" spans="1:49" s="12" customFormat="1">
      <c r="A53" s="410">
        <f>AP53</f>
        <v>0</v>
      </c>
      <c r="K53" s="318"/>
      <c r="L53" s="318"/>
      <c r="N53" s="318"/>
      <c r="R53" s="318"/>
      <c r="U53" s="318"/>
      <c r="AE53" s="318"/>
      <c r="AF53" s="318"/>
      <c r="AJ53" s="318"/>
      <c r="AN53" s="257">
        <f>((AN51+AN52)/2)-AO51</f>
        <v>0</v>
      </c>
      <c r="AO53" s="257">
        <f>AO51-AO52</f>
        <v>0</v>
      </c>
      <c r="AP53" s="257">
        <f>AN53+AO53</f>
        <v>0</v>
      </c>
    </row>
    <row r="54" spans="1:49" s="258" customFormat="1" ht="45" customHeight="1">
      <c r="B54" s="1043"/>
      <c r="C54" s="1173" t="str">
        <f>C38</f>
        <v>Art &amp; Design</v>
      </c>
      <c r="D54" s="1174"/>
      <c r="E54" s="1173" t="str">
        <f>E38</f>
        <v>Biology</v>
      </c>
      <c r="F54" s="1174"/>
      <c r="G54" s="1173" t="str">
        <f>G38</f>
        <v>Business Studies</v>
      </c>
      <c r="H54" s="1174"/>
      <c r="I54" s="1173" t="str">
        <f>I38</f>
        <v>Chemistry</v>
      </c>
      <c r="J54" s="1174"/>
      <c r="K54" s="1173" t="str">
        <f>K38</f>
        <v>Classics</v>
      </c>
      <c r="L54" s="1174"/>
      <c r="M54" s="1173" t="str">
        <f>M38</f>
        <v>Computing</v>
      </c>
      <c r="N54" s="1174"/>
      <c r="O54" s="1173" t="str">
        <f>O38</f>
        <v>Design &amp; Technology</v>
      </c>
      <c r="P54" s="1174"/>
      <c r="Q54" s="1173" t="str">
        <f>Q38</f>
        <v>Drama</v>
      </c>
      <c r="R54" s="1174"/>
      <c r="S54" s="1173" t="str">
        <f>S38</f>
        <v>English</v>
      </c>
      <c r="T54" s="1174"/>
      <c r="U54" s="1173" t="s">
        <v>397</v>
      </c>
      <c r="V54" s="1174"/>
      <c r="W54" s="1173" t="str">
        <f>W38</f>
        <v>Geography</v>
      </c>
      <c r="X54" s="1174"/>
      <c r="Y54" s="1173" t="str">
        <f>Y38</f>
        <v>History</v>
      </c>
      <c r="Z54" s="1174"/>
      <c r="AA54" s="1173" t="str">
        <f>AA38</f>
        <v>Mathematics</v>
      </c>
      <c r="AB54" s="1174"/>
      <c r="AC54" s="1173" t="str">
        <f>AC38</f>
        <v>Modern Foreign Languages</v>
      </c>
      <c r="AD54" s="1174"/>
      <c r="AE54" s="1173" t="str">
        <f>AE38</f>
        <v>Music</v>
      </c>
      <c r="AF54" s="1174"/>
      <c r="AG54" s="1173" t="str">
        <f>AG38</f>
        <v>Others</v>
      </c>
      <c r="AH54" s="1174"/>
      <c r="AI54" s="1173" t="str">
        <f>AI38</f>
        <v>Physical Education</v>
      </c>
      <c r="AJ54" s="1174"/>
      <c r="AK54" s="1173" t="str">
        <f>AK38</f>
        <v>Physics</v>
      </c>
      <c r="AL54" s="1174"/>
      <c r="AM54" s="1173" t="str">
        <f>AM38</f>
        <v>Religious Education</v>
      </c>
      <c r="AN54" s="1174"/>
      <c r="AO54" s="1173" t="str">
        <f>AO38</f>
        <v>Secondary total</v>
      </c>
      <c r="AP54" s="1174"/>
      <c r="AQ54" s="1173" t="str">
        <f>AQ38</f>
        <v>Primary</v>
      </c>
      <c r="AR54" s="1174"/>
    </row>
    <row r="55" spans="1:49" s="187" customFormat="1">
      <c r="A55" s="234"/>
      <c r="B55" s="1046" t="s">
        <v>45</v>
      </c>
      <c r="C55" s="1048" t="s">
        <v>46</v>
      </c>
      <c r="D55" s="1048" t="s">
        <v>47</v>
      </c>
      <c r="E55" s="1048" t="s">
        <v>46</v>
      </c>
      <c r="F55" s="1048" t="s">
        <v>47</v>
      </c>
      <c r="G55" s="1048" t="s">
        <v>46</v>
      </c>
      <c r="H55" s="1048" t="s">
        <v>47</v>
      </c>
      <c r="I55" s="1048" t="s">
        <v>46</v>
      </c>
      <c r="J55" s="1048" t="s">
        <v>47</v>
      </c>
      <c r="K55" s="1048" t="s">
        <v>46</v>
      </c>
      <c r="L55" s="1048" t="s">
        <v>47</v>
      </c>
      <c r="M55" s="1048" t="s">
        <v>46</v>
      </c>
      <c r="N55" s="1048" t="s">
        <v>47</v>
      </c>
      <c r="O55" s="1048" t="s">
        <v>46</v>
      </c>
      <c r="P55" s="1048" t="s">
        <v>47</v>
      </c>
      <c r="Q55" s="1048" t="s">
        <v>46</v>
      </c>
      <c r="R55" s="1048" t="s">
        <v>47</v>
      </c>
      <c r="S55" s="1048" t="s">
        <v>46</v>
      </c>
      <c r="T55" s="1048" t="s">
        <v>47</v>
      </c>
      <c r="U55" s="1048" t="s">
        <v>46</v>
      </c>
      <c r="V55" s="1048" t="s">
        <v>47</v>
      </c>
      <c r="W55" s="1048" t="s">
        <v>46</v>
      </c>
      <c r="X55" s="1048" t="s">
        <v>47</v>
      </c>
      <c r="Y55" s="1048" t="s">
        <v>46</v>
      </c>
      <c r="Z55" s="1048" t="s">
        <v>47</v>
      </c>
      <c r="AA55" s="1048" t="s">
        <v>46</v>
      </c>
      <c r="AB55" s="1048" t="s">
        <v>47</v>
      </c>
      <c r="AC55" s="1048" t="s">
        <v>46</v>
      </c>
      <c r="AD55" s="1048" t="s">
        <v>47</v>
      </c>
      <c r="AE55" s="1048" t="s">
        <v>46</v>
      </c>
      <c r="AF55" s="1048" t="s">
        <v>47</v>
      </c>
      <c r="AG55" s="1048" t="s">
        <v>46</v>
      </c>
      <c r="AH55" s="1048" t="s">
        <v>47</v>
      </c>
      <c r="AI55" s="1048" t="s">
        <v>46</v>
      </c>
      <c r="AJ55" s="1048" t="s">
        <v>47</v>
      </c>
      <c r="AK55" s="1048" t="s">
        <v>46</v>
      </c>
      <c r="AL55" s="1048" t="s">
        <v>47</v>
      </c>
      <c r="AM55" s="1048" t="s">
        <v>46</v>
      </c>
      <c r="AN55" s="1048" t="s">
        <v>47</v>
      </c>
      <c r="AO55" s="1048" t="s">
        <v>46</v>
      </c>
      <c r="AP55" s="1048" t="s">
        <v>47</v>
      </c>
      <c r="AQ55" s="1048" t="s">
        <v>46</v>
      </c>
      <c r="AR55" s="1048" t="s">
        <v>47</v>
      </c>
      <c r="AS55" s="186"/>
      <c r="AT55" s="437"/>
    </row>
    <row r="56" spans="1:49" s="187" customFormat="1" ht="12.75" customHeight="1">
      <c r="A56" s="234"/>
      <c r="B56" s="1049" t="s">
        <v>48</v>
      </c>
      <c r="C56" s="300">
        <v>5.5833493816840338</v>
      </c>
      <c r="D56" s="300">
        <v>30.425872713485383</v>
      </c>
      <c r="E56" s="300">
        <v>41.563286659035406</v>
      </c>
      <c r="F56" s="300">
        <v>123.55115351385659</v>
      </c>
      <c r="G56" s="300">
        <v>18.983405161033009</v>
      </c>
      <c r="H56" s="300">
        <v>28.166316870821618</v>
      </c>
      <c r="I56" s="300">
        <v>45.880793245280366</v>
      </c>
      <c r="J56" s="300">
        <v>55.579815644451848</v>
      </c>
      <c r="K56" s="300">
        <v>0</v>
      </c>
      <c r="L56" s="300">
        <v>6.0532718822898026</v>
      </c>
      <c r="M56" s="300">
        <v>15.958660933992945</v>
      </c>
      <c r="N56" s="300">
        <v>17.514187440386035</v>
      </c>
      <c r="O56" s="300">
        <v>38.088028881579007</v>
      </c>
      <c r="P56" s="300">
        <v>25.382023970472293</v>
      </c>
      <c r="Q56" s="300">
        <v>10.67664606760682</v>
      </c>
      <c r="R56" s="300">
        <v>55.507181243135278</v>
      </c>
      <c r="S56" s="300">
        <v>107.44220170425237</v>
      </c>
      <c r="T56" s="300">
        <v>472.2116954144355</v>
      </c>
      <c r="U56" s="300">
        <v>0</v>
      </c>
      <c r="V56" s="300">
        <v>7.156535385459776</v>
      </c>
      <c r="W56" s="300">
        <v>65.232678627806379</v>
      </c>
      <c r="X56" s="300">
        <v>114.27634227350475</v>
      </c>
      <c r="Y56" s="300">
        <v>80.909588339407009</v>
      </c>
      <c r="Z56" s="300">
        <v>87.682338690398609</v>
      </c>
      <c r="AA56" s="300">
        <v>213.95659331683348</v>
      </c>
      <c r="AB56" s="300">
        <v>247.46891529683833</v>
      </c>
      <c r="AC56" s="300">
        <v>16.037289597420536</v>
      </c>
      <c r="AD56" s="300">
        <v>48.76647249941972</v>
      </c>
      <c r="AE56" s="300">
        <v>18.458952046496293</v>
      </c>
      <c r="AF56" s="300">
        <v>18.524032968769145</v>
      </c>
      <c r="AG56" s="300">
        <v>45.829265271760008</v>
      </c>
      <c r="AH56" s="300">
        <v>111.29581181899025</v>
      </c>
      <c r="AI56" s="300">
        <v>63.959760036546257</v>
      </c>
      <c r="AJ56" s="300">
        <v>45.694420117937483</v>
      </c>
      <c r="AK56" s="300">
        <v>57.821466504337934</v>
      </c>
      <c r="AL56" s="300">
        <v>49.426977242334864</v>
      </c>
      <c r="AM56" s="300">
        <v>26.8225061265221</v>
      </c>
      <c r="AN56" s="300">
        <v>55.44225225465717</v>
      </c>
      <c r="AO56" s="300">
        <v>873.20447190159393</v>
      </c>
      <c r="AP56" s="300">
        <v>1600.1256172416445</v>
      </c>
      <c r="AQ56" s="300">
        <v>257.88</v>
      </c>
      <c r="AR56" s="300">
        <v>1041.03</v>
      </c>
      <c r="AS56" s="186"/>
      <c r="AT56" s="335"/>
      <c r="AU56" s="335"/>
    </row>
    <row r="57" spans="1:49" s="187" customFormat="1">
      <c r="A57" s="234"/>
      <c r="B57" s="1049" t="s">
        <v>49</v>
      </c>
      <c r="C57" s="300">
        <v>23.366122297081116</v>
      </c>
      <c r="D57" s="300">
        <v>98.728688853986611</v>
      </c>
      <c r="E57" s="300">
        <v>74.010912606990601</v>
      </c>
      <c r="F57" s="300">
        <v>107.84261272575581</v>
      </c>
      <c r="G57" s="300">
        <v>39.149095239069439</v>
      </c>
      <c r="H57" s="300">
        <v>40.979890870040983</v>
      </c>
      <c r="I57" s="300">
        <v>80.286630319445521</v>
      </c>
      <c r="J57" s="300">
        <v>129.91060715511151</v>
      </c>
      <c r="K57" s="300">
        <v>0</v>
      </c>
      <c r="L57" s="300">
        <v>0</v>
      </c>
      <c r="M57" s="300">
        <v>43.116311928169864</v>
      </c>
      <c r="N57" s="300">
        <v>27.951429964299003</v>
      </c>
      <c r="O57" s="300">
        <v>67.637086715676517</v>
      </c>
      <c r="P57" s="300">
        <v>70.29283365154896</v>
      </c>
      <c r="Q57" s="300">
        <v>40.472842670043612</v>
      </c>
      <c r="R57" s="300">
        <v>117.59980800876002</v>
      </c>
      <c r="S57" s="300">
        <v>213.97611780721465</v>
      </c>
      <c r="T57" s="300">
        <v>690.70329021092073</v>
      </c>
      <c r="U57" s="300">
        <v>8.022060356140992</v>
      </c>
      <c r="V57" s="300">
        <v>15.681158627802764</v>
      </c>
      <c r="W57" s="300">
        <v>76.591423429701095</v>
      </c>
      <c r="X57" s="300">
        <v>94.21730360845217</v>
      </c>
      <c r="Y57" s="300">
        <v>118.27835102988929</v>
      </c>
      <c r="Z57" s="300">
        <v>118.78092614832208</v>
      </c>
      <c r="AA57" s="300">
        <v>235.04631319245607</v>
      </c>
      <c r="AB57" s="300">
        <v>251.7154629608917</v>
      </c>
      <c r="AC57" s="300">
        <v>27.993581198147798</v>
      </c>
      <c r="AD57" s="300">
        <v>73.357718349796215</v>
      </c>
      <c r="AE57" s="300">
        <v>52.294022913671881</v>
      </c>
      <c r="AF57" s="300">
        <v>28.59755849164825</v>
      </c>
      <c r="AG57" s="300">
        <v>121.65397096171324</v>
      </c>
      <c r="AH57" s="300">
        <v>340.48287530247632</v>
      </c>
      <c r="AI57" s="300">
        <v>116.30222666897737</v>
      </c>
      <c r="AJ57" s="300">
        <v>105.27627164019032</v>
      </c>
      <c r="AK57" s="300">
        <v>50.567353126321919</v>
      </c>
      <c r="AL57" s="300">
        <v>44.443594754577767</v>
      </c>
      <c r="AM57" s="300">
        <v>33.291969718074313</v>
      </c>
      <c r="AN57" s="300">
        <v>87.790570902842276</v>
      </c>
      <c r="AO57" s="300">
        <v>1422.056392178785</v>
      </c>
      <c r="AP57" s="300">
        <v>2444.3526022274232</v>
      </c>
      <c r="AQ57" s="300">
        <v>625.22</v>
      </c>
      <c r="AR57" s="300">
        <v>1714.19</v>
      </c>
      <c r="AS57" s="186"/>
      <c r="AT57" s="335"/>
      <c r="AU57" s="335"/>
    </row>
    <row r="58" spans="1:49" s="187" customFormat="1">
      <c r="A58" s="234"/>
      <c r="B58" s="1049" t="s">
        <v>50</v>
      </c>
      <c r="C58" s="300">
        <v>26.383036252987065</v>
      </c>
      <c r="D58" s="300">
        <v>70.798184126641928</v>
      </c>
      <c r="E58" s="300">
        <v>24.562809778065649</v>
      </c>
      <c r="F58" s="300">
        <v>54.3093879411622</v>
      </c>
      <c r="G58" s="300">
        <v>21.031701308381553</v>
      </c>
      <c r="H58" s="300">
        <v>38.638268338220705</v>
      </c>
      <c r="I58" s="300">
        <v>9.9083682301563876</v>
      </c>
      <c r="J58" s="300">
        <v>41.908230730035697</v>
      </c>
      <c r="K58" s="300">
        <v>5</v>
      </c>
      <c r="L58" s="300">
        <v>0</v>
      </c>
      <c r="M58" s="300">
        <v>35.917247170139547</v>
      </c>
      <c r="N58" s="300">
        <v>31.209627376338585</v>
      </c>
      <c r="O58" s="300">
        <v>50.098362032291575</v>
      </c>
      <c r="P58" s="300">
        <v>47.0008235474332</v>
      </c>
      <c r="Q58" s="300">
        <v>20.608711601752418</v>
      </c>
      <c r="R58" s="300">
        <v>64.650749965706666</v>
      </c>
      <c r="S58" s="300">
        <v>147.10633523135797</v>
      </c>
      <c r="T58" s="300">
        <v>336.39505077229944</v>
      </c>
      <c r="U58" s="300">
        <v>0</v>
      </c>
      <c r="V58" s="300">
        <v>14.494551813159163</v>
      </c>
      <c r="W58" s="300">
        <v>28.594118063091223</v>
      </c>
      <c r="X58" s="300">
        <v>41.441795650636251</v>
      </c>
      <c r="Y58" s="300">
        <v>55.726770552438381</v>
      </c>
      <c r="Z58" s="300">
        <v>54.745647811274779</v>
      </c>
      <c r="AA58" s="300">
        <v>130.14878488426615</v>
      </c>
      <c r="AB58" s="300">
        <v>159.55657751587839</v>
      </c>
      <c r="AC58" s="300">
        <v>17.4286983960966</v>
      </c>
      <c r="AD58" s="300">
        <v>57.805617411280018</v>
      </c>
      <c r="AE58" s="300">
        <v>29.746987703482581</v>
      </c>
      <c r="AF58" s="300">
        <v>20.118014941974941</v>
      </c>
      <c r="AG58" s="300">
        <v>87.097959755500966</v>
      </c>
      <c r="AH58" s="300">
        <v>258.49394713564499</v>
      </c>
      <c r="AI58" s="300">
        <v>97.107783913200564</v>
      </c>
      <c r="AJ58" s="300">
        <v>53.884957750447953</v>
      </c>
      <c r="AK58" s="300">
        <v>60.697458408593491</v>
      </c>
      <c r="AL58" s="300">
        <v>32.044762757590313</v>
      </c>
      <c r="AM58" s="300">
        <v>30.414984748899894</v>
      </c>
      <c r="AN58" s="300">
        <v>48.053154163393202</v>
      </c>
      <c r="AO58" s="300">
        <v>877.58011803070201</v>
      </c>
      <c r="AP58" s="300">
        <v>1425.5493497491182</v>
      </c>
      <c r="AQ58" s="300">
        <v>377.38</v>
      </c>
      <c r="AR58" s="300">
        <v>937.04</v>
      </c>
      <c r="AS58" s="186"/>
      <c r="AT58" s="335"/>
      <c r="AU58" s="335"/>
    </row>
    <row r="59" spans="1:49" s="187" customFormat="1">
      <c r="A59" s="234"/>
      <c r="B59" s="1049" t="s">
        <v>51</v>
      </c>
      <c r="C59" s="300">
        <v>18.724768919668755</v>
      </c>
      <c r="D59" s="300">
        <v>36.825946080265837</v>
      </c>
      <c r="E59" s="300">
        <v>17.51224381388143</v>
      </c>
      <c r="F59" s="300">
        <v>39.605352502788229</v>
      </c>
      <c r="G59" s="300">
        <v>23.286523175409179</v>
      </c>
      <c r="H59" s="300">
        <v>27.412049025037156</v>
      </c>
      <c r="I59" s="300">
        <v>13.712652756858164</v>
      </c>
      <c r="J59" s="300">
        <v>34.30767491418181</v>
      </c>
      <c r="K59" s="300">
        <v>0</v>
      </c>
      <c r="L59" s="300">
        <v>0</v>
      </c>
      <c r="M59" s="300">
        <v>27.843323875051606</v>
      </c>
      <c r="N59" s="300">
        <v>20.551167762391593</v>
      </c>
      <c r="O59" s="300">
        <v>37.735195359425077</v>
      </c>
      <c r="P59" s="300">
        <v>37.982078872093687</v>
      </c>
      <c r="Q59" s="300">
        <v>16.79697828099048</v>
      </c>
      <c r="R59" s="300">
        <v>32.985117251778085</v>
      </c>
      <c r="S59" s="300">
        <v>86.303101979282687</v>
      </c>
      <c r="T59" s="300">
        <v>207.45043510256141</v>
      </c>
      <c r="U59" s="300">
        <v>0</v>
      </c>
      <c r="V59" s="300">
        <v>12.607946692734208</v>
      </c>
      <c r="W59" s="300">
        <v>13.534569242525617</v>
      </c>
      <c r="X59" s="300">
        <v>21.151456734416744</v>
      </c>
      <c r="Y59" s="300">
        <v>20.952977397768407</v>
      </c>
      <c r="Z59" s="300">
        <v>10.555078632742717</v>
      </c>
      <c r="AA59" s="300">
        <v>91.507801476737583</v>
      </c>
      <c r="AB59" s="300">
        <v>109.68414562334759</v>
      </c>
      <c r="AC59" s="300">
        <v>15.669388279614976</v>
      </c>
      <c r="AD59" s="300">
        <v>63.251960353071851</v>
      </c>
      <c r="AE59" s="300">
        <v>13.533828097878628</v>
      </c>
      <c r="AF59" s="300">
        <v>6.826488123942922</v>
      </c>
      <c r="AG59" s="300">
        <v>66.885390792391718</v>
      </c>
      <c r="AH59" s="300">
        <v>162.82529378157059</v>
      </c>
      <c r="AI59" s="300">
        <v>38.387883243120868</v>
      </c>
      <c r="AJ59" s="300">
        <v>29.54787566618225</v>
      </c>
      <c r="AK59" s="300">
        <v>23.43282044916792</v>
      </c>
      <c r="AL59" s="300">
        <v>24.955993861874695</v>
      </c>
      <c r="AM59" s="300">
        <v>18.017431085212298</v>
      </c>
      <c r="AN59" s="300">
        <v>26.120021448831515</v>
      </c>
      <c r="AO59" s="300">
        <v>543.83687822498541</v>
      </c>
      <c r="AP59" s="300">
        <v>904.64608242981285</v>
      </c>
      <c r="AQ59" s="300">
        <v>179.08</v>
      </c>
      <c r="AR59" s="300">
        <v>670.4</v>
      </c>
      <c r="AT59" s="335"/>
      <c r="AU59" s="335"/>
    </row>
    <row r="60" spans="1:49" s="187" customFormat="1">
      <c r="A60" s="234"/>
      <c r="B60" s="1049" t="s">
        <v>52</v>
      </c>
      <c r="C60" s="300">
        <v>8.5701326503556885</v>
      </c>
      <c r="D60" s="300">
        <v>41.241135886469877</v>
      </c>
      <c r="E60" s="300">
        <v>18.021006244251542</v>
      </c>
      <c r="F60" s="300">
        <v>37.692485884664393</v>
      </c>
      <c r="G60" s="300">
        <v>11.501586939422323</v>
      </c>
      <c r="H60" s="300">
        <v>28.165319162030897</v>
      </c>
      <c r="I60" s="300">
        <v>6.1701929132393198</v>
      </c>
      <c r="J60" s="300">
        <v>13.40714807527732</v>
      </c>
      <c r="K60" s="300">
        <v>0</v>
      </c>
      <c r="L60" s="300">
        <v>0</v>
      </c>
      <c r="M60" s="300">
        <v>18.469124562071372</v>
      </c>
      <c r="N60" s="300">
        <v>29.792236428428279</v>
      </c>
      <c r="O60" s="300">
        <v>30.878430594620799</v>
      </c>
      <c r="P60" s="300">
        <v>33.781061043161849</v>
      </c>
      <c r="Q60" s="300">
        <v>9.8612006308269038</v>
      </c>
      <c r="R60" s="300">
        <v>24.788742800325601</v>
      </c>
      <c r="S60" s="300">
        <v>30.668113610152428</v>
      </c>
      <c r="T60" s="300">
        <v>145.65407638533927</v>
      </c>
      <c r="U60" s="300">
        <v>8.6083837233766545</v>
      </c>
      <c r="V60" s="300">
        <v>15.811785092271935</v>
      </c>
      <c r="W60" s="300">
        <v>15.400992048478695</v>
      </c>
      <c r="X60" s="300">
        <v>19.872796904372713</v>
      </c>
      <c r="Y60" s="300">
        <v>11.946671092148236</v>
      </c>
      <c r="Z60" s="300">
        <v>14.212263707712758</v>
      </c>
      <c r="AA60" s="300">
        <v>43.162566542051714</v>
      </c>
      <c r="AB60" s="300">
        <v>131.2049210908701</v>
      </c>
      <c r="AC60" s="300">
        <v>14.219837038342936</v>
      </c>
      <c r="AD60" s="300">
        <v>55.515005664180009</v>
      </c>
      <c r="AE60" s="300">
        <v>16.957084609430527</v>
      </c>
      <c r="AF60" s="300">
        <v>10.890541408642882</v>
      </c>
      <c r="AG60" s="300">
        <v>80.255116396658451</v>
      </c>
      <c r="AH60" s="300">
        <v>200.15142946643147</v>
      </c>
      <c r="AI60" s="300">
        <v>32.851352420557497</v>
      </c>
      <c r="AJ60" s="300">
        <v>16.315927816891584</v>
      </c>
      <c r="AK60" s="300">
        <v>20.975701233406728</v>
      </c>
      <c r="AL60" s="300">
        <v>13.829813334714611</v>
      </c>
      <c r="AM60" s="300">
        <v>14.753178921926406</v>
      </c>
      <c r="AN60" s="300">
        <v>22.80873683561477</v>
      </c>
      <c r="AO60" s="300">
        <v>393.27067217131815</v>
      </c>
      <c r="AP60" s="300">
        <v>855.13542698740014</v>
      </c>
      <c r="AQ60" s="300">
        <v>133.75</v>
      </c>
      <c r="AR60" s="300">
        <v>730.16</v>
      </c>
      <c r="AT60" s="335"/>
      <c r="AU60" s="335"/>
    </row>
    <row r="61" spans="1:49" s="187" customFormat="1">
      <c r="A61" s="234"/>
      <c r="B61" s="1049" t="s">
        <v>53</v>
      </c>
      <c r="C61" s="300">
        <v>6.9916347305225983</v>
      </c>
      <c r="D61" s="300">
        <v>26.380033403424921</v>
      </c>
      <c r="E61" s="300">
        <v>7.5913764216642594</v>
      </c>
      <c r="F61" s="300">
        <v>39.139654608847088</v>
      </c>
      <c r="G61" s="300">
        <v>11.601357818494341</v>
      </c>
      <c r="H61" s="300">
        <v>44.867962027477553</v>
      </c>
      <c r="I61" s="300">
        <v>21.160957059268487</v>
      </c>
      <c r="J61" s="300">
        <v>38.434492252257463</v>
      </c>
      <c r="K61" s="300">
        <v>0</v>
      </c>
      <c r="L61" s="300">
        <v>5.299986933767034</v>
      </c>
      <c r="M61" s="300">
        <v>21.160765987869969</v>
      </c>
      <c r="N61" s="300">
        <v>29.941382792297372</v>
      </c>
      <c r="O61" s="300">
        <v>51.476711683992029</v>
      </c>
      <c r="P61" s="300">
        <v>50.624113966152663</v>
      </c>
      <c r="Q61" s="300">
        <v>11.659771838999989</v>
      </c>
      <c r="R61" s="300">
        <v>22.154764210775785</v>
      </c>
      <c r="S61" s="300">
        <v>40.433680998088747</v>
      </c>
      <c r="T61" s="300">
        <v>163.32771720077142</v>
      </c>
      <c r="U61" s="300">
        <v>6.5941435842337324</v>
      </c>
      <c r="V61" s="300">
        <v>45.363280519816307</v>
      </c>
      <c r="W61" s="300">
        <v>11.670149036149741</v>
      </c>
      <c r="X61" s="300">
        <v>22.743523398293028</v>
      </c>
      <c r="Y61" s="300">
        <v>13.56452246941393</v>
      </c>
      <c r="Z61" s="300">
        <v>18.419077746865266</v>
      </c>
      <c r="AA61" s="300">
        <v>48.401242157763356</v>
      </c>
      <c r="AB61" s="300">
        <v>147.92007679254795</v>
      </c>
      <c r="AC61" s="300">
        <v>10.926769384415792</v>
      </c>
      <c r="AD61" s="300">
        <v>54.760156366339174</v>
      </c>
      <c r="AE61" s="300">
        <v>11.939846124672831</v>
      </c>
      <c r="AF61" s="300">
        <v>7.5764205975177612</v>
      </c>
      <c r="AG61" s="300">
        <v>52.312429627277275</v>
      </c>
      <c r="AH61" s="300">
        <v>219.98345406966897</v>
      </c>
      <c r="AI61" s="300">
        <v>22.448808356946849</v>
      </c>
      <c r="AJ61" s="300">
        <v>8.2115852695984248</v>
      </c>
      <c r="AK61" s="300">
        <v>6.1017124407707612</v>
      </c>
      <c r="AL61" s="300">
        <v>6.4774953550898671</v>
      </c>
      <c r="AM61" s="300">
        <v>14.819224489914408</v>
      </c>
      <c r="AN61" s="300">
        <v>17.181854581121645</v>
      </c>
      <c r="AO61" s="300">
        <v>370.85510421045916</v>
      </c>
      <c r="AP61" s="300">
        <v>968.8070320926297</v>
      </c>
      <c r="AQ61" s="300">
        <v>96.62</v>
      </c>
      <c r="AR61" s="300">
        <v>757.62</v>
      </c>
      <c r="AT61" s="335"/>
      <c r="AU61" s="335"/>
    </row>
    <row r="62" spans="1:49" s="187" customFormat="1">
      <c r="A62" s="234"/>
      <c r="B62" s="1049" t="s">
        <v>54</v>
      </c>
      <c r="C62" s="300">
        <v>9.9914814431033019</v>
      </c>
      <c r="D62" s="300">
        <v>39.764734851749637</v>
      </c>
      <c r="E62" s="300">
        <v>10.071092519294957</v>
      </c>
      <c r="F62" s="300">
        <v>15.393068021237422</v>
      </c>
      <c r="G62" s="300">
        <v>15.009531047594503</v>
      </c>
      <c r="H62" s="300">
        <v>21.609374698208541</v>
      </c>
      <c r="I62" s="300">
        <v>10.049601541969171</v>
      </c>
      <c r="J62" s="300">
        <v>21.575642102463465</v>
      </c>
      <c r="K62" s="300">
        <v>0</v>
      </c>
      <c r="L62" s="300">
        <v>0</v>
      </c>
      <c r="M62" s="300">
        <v>19.023668760618197</v>
      </c>
      <c r="N62" s="300">
        <v>28.904365121368645</v>
      </c>
      <c r="O62" s="300">
        <v>56.350412120316477</v>
      </c>
      <c r="P62" s="300">
        <v>54.031506252336015</v>
      </c>
      <c r="Q62" s="300">
        <v>11.646796575012058</v>
      </c>
      <c r="R62" s="300">
        <v>15.697075133705942</v>
      </c>
      <c r="S62" s="300">
        <v>16.131551525329805</v>
      </c>
      <c r="T62" s="300">
        <v>104.82713766537327</v>
      </c>
      <c r="U62" s="300">
        <v>11.498120319038135</v>
      </c>
      <c r="V62" s="300">
        <v>39.2756884161195</v>
      </c>
      <c r="W62" s="300">
        <v>13.165089620531687</v>
      </c>
      <c r="X62" s="300">
        <v>25.889607334078743</v>
      </c>
      <c r="Y62" s="300">
        <v>7.1394586776352327</v>
      </c>
      <c r="Z62" s="300">
        <v>20.093282297957536</v>
      </c>
      <c r="AA62" s="300">
        <v>48.059198045397295</v>
      </c>
      <c r="AB62" s="300">
        <v>122.28277042883049</v>
      </c>
      <c r="AC62" s="300">
        <v>5.5375664293131042</v>
      </c>
      <c r="AD62" s="300">
        <v>82.187349977129642</v>
      </c>
      <c r="AE62" s="300">
        <v>15.472238336651507</v>
      </c>
      <c r="AF62" s="300">
        <v>6.394951547026027</v>
      </c>
      <c r="AG62" s="300">
        <v>72.28156943067745</v>
      </c>
      <c r="AH62" s="300">
        <v>185.6122503071542</v>
      </c>
      <c r="AI62" s="300">
        <v>23.837952404751487</v>
      </c>
      <c r="AJ62" s="300">
        <v>18.228255986596675</v>
      </c>
      <c r="AK62" s="300">
        <v>18.788143628183771</v>
      </c>
      <c r="AL62" s="300">
        <v>8.1039674042375385</v>
      </c>
      <c r="AM62" s="300">
        <v>11.24375760474565</v>
      </c>
      <c r="AN62" s="300">
        <v>31.288587489104856</v>
      </c>
      <c r="AO62" s="300">
        <v>375.2972300301638</v>
      </c>
      <c r="AP62" s="300">
        <v>841.15961503467827</v>
      </c>
      <c r="AQ62" s="300">
        <v>86.45</v>
      </c>
      <c r="AR62" s="300">
        <v>520.33000000000004</v>
      </c>
      <c r="AT62" s="335"/>
      <c r="AU62" s="335"/>
    </row>
    <row r="63" spans="1:49" s="187" customFormat="1">
      <c r="A63" s="234"/>
      <c r="B63" s="1049" t="s">
        <v>55</v>
      </c>
      <c r="C63" s="300">
        <v>9.6051147994409245</v>
      </c>
      <c r="D63" s="300">
        <v>19.358370177280893</v>
      </c>
      <c r="E63" s="300">
        <v>0</v>
      </c>
      <c r="F63" s="300">
        <v>19.27989280916341</v>
      </c>
      <c r="G63" s="300">
        <v>5.5532471291485637</v>
      </c>
      <c r="H63" s="300">
        <v>17.976716991196341</v>
      </c>
      <c r="I63" s="300">
        <v>0</v>
      </c>
      <c r="J63" s="300">
        <v>0</v>
      </c>
      <c r="K63" s="300">
        <v>0</v>
      </c>
      <c r="L63" s="300">
        <v>5.7248656373133873</v>
      </c>
      <c r="M63" s="300">
        <v>12.065803389855665</v>
      </c>
      <c r="N63" s="300">
        <v>14.914636386909295</v>
      </c>
      <c r="O63" s="300">
        <v>36.693686775616612</v>
      </c>
      <c r="P63" s="300">
        <v>37.252423146392942</v>
      </c>
      <c r="Q63" s="300">
        <v>0</v>
      </c>
      <c r="R63" s="300">
        <v>7.6136725178263891</v>
      </c>
      <c r="S63" s="300">
        <v>6.848074187308983</v>
      </c>
      <c r="T63" s="300">
        <v>57.010392279655228</v>
      </c>
      <c r="U63" s="300">
        <v>7.4387284346565323</v>
      </c>
      <c r="V63" s="300">
        <v>21.644107158532801</v>
      </c>
      <c r="W63" s="300">
        <v>6.1920378927112836</v>
      </c>
      <c r="X63" s="300">
        <v>11.052347066582655</v>
      </c>
      <c r="Y63" s="300">
        <v>5.8964588863354503</v>
      </c>
      <c r="Z63" s="300">
        <v>5.6081289379118608</v>
      </c>
      <c r="AA63" s="300">
        <v>29.824846417742762</v>
      </c>
      <c r="AB63" s="300">
        <v>64.690342912458917</v>
      </c>
      <c r="AC63" s="300">
        <v>7.5855838469609438</v>
      </c>
      <c r="AD63" s="300">
        <v>33.52713780383359</v>
      </c>
      <c r="AE63" s="300">
        <v>5.6793051151104779</v>
      </c>
      <c r="AF63" s="300">
        <v>9.146372691730507</v>
      </c>
      <c r="AG63" s="300">
        <v>36.164630837106145</v>
      </c>
      <c r="AH63" s="300">
        <v>116.47141383092733</v>
      </c>
      <c r="AI63" s="300">
        <v>6.6232536995686093</v>
      </c>
      <c r="AJ63" s="300">
        <v>15.660444261866886</v>
      </c>
      <c r="AK63" s="300">
        <v>21.297455004038465</v>
      </c>
      <c r="AL63" s="300">
        <v>5.4813783122140665</v>
      </c>
      <c r="AM63" s="300">
        <v>7.9845088935800579</v>
      </c>
      <c r="AN63" s="300">
        <v>0</v>
      </c>
      <c r="AO63" s="300">
        <v>205.45273530918143</v>
      </c>
      <c r="AP63" s="300">
        <v>462.41264292179642</v>
      </c>
      <c r="AQ63" s="300">
        <v>49.19</v>
      </c>
      <c r="AR63" s="300">
        <v>323.77999999999997</v>
      </c>
      <c r="AT63" s="335"/>
      <c r="AU63" s="335"/>
    </row>
    <row r="64" spans="1:49" s="187" customFormat="1">
      <c r="A64" s="234"/>
      <c r="B64" s="1049" t="s">
        <v>56</v>
      </c>
      <c r="C64" s="300">
        <v>0</v>
      </c>
      <c r="D64" s="300">
        <v>12.891233170279246</v>
      </c>
      <c r="E64" s="300">
        <v>0</v>
      </c>
      <c r="F64" s="300">
        <v>0</v>
      </c>
      <c r="G64" s="300">
        <v>5.0224660524854245</v>
      </c>
      <c r="H64" s="300">
        <v>8.7898144462448524</v>
      </c>
      <c r="I64" s="300">
        <v>0</v>
      </c>
      <c r="J64" s="300">
        <v>0</v>
      </c>
      <c r="K64" s="300">
        <v>0</v>
      </c>
      <c r="L64" s="300">
        <v>0</v>
      </c>
      <c r="M64" s="300">
        <v>5.8367651859747198</v>
      </c>
      <c r="N64" s="300">
        <v>10.113925238478625</v>
      </c>
      <c r="O64" s="300">
        <v>17.710643566700739</v>
      </c>
      <c r="P64" s="300">
        <v>8.8888622955944392</v>
      </c>
      <c r="Q64" s="300">
        <v>0</v>
      </c>
      <c r="R64" s="300">
        <v>5.4454316374103708</v>
      </c>
      <c r="S64" s="300">
        <v>5.9018601762947114</v>
      </c>
      <c r="T64" s="300">
        <v>21.09917508315473</v>
      </c>
      <c r="U64" s="300">
        <v>0</v>
      </c>
      <c r="V64" s="300">
        <v>8.0609491509066231</v>
      </c>
      <c r="W64" s="300">
        <v>0</v>
      </c>
      <c r="X64" s="300">
        <v>0</v>
      </c>
      <c r="Y64" s="300">
        <v>0</v>
      </c>
      <c r="Z64" s="300">
        <v>0</v>
      </c>
      <c r="AA64" s="300">
        <v>13.685765010576169</v>
      </c>
      <c r="AB64" s="300">
        <v>22.229866916842774</v>
      </c>
      <c r="AC64" s="300">
        <v>0</v>
      </c>
      <c r="AD64" s="300">
        <v>10.827425783760042</v>
      </c>
      <c r="AE64" s="300">
        <v>5.2292587027771935</v>
      </c>
      <c r="AF64" s="300">
        <v>0</v>
      </c>
      <c r="AG64" s="300">
        <v>18.286001041983116</v>
      </c>
      <c r="AH64" s="300">
        <v>38.231294723615861</v>
      </c>
      <c r="AI64" s="300">
        <v>5.0160896100672385</v>
      </c>
      <c r="AJ64" s="300">
        <v>6.7853572897816834</v>
      </c>
      <c r="AK64" s="300">
        <v>5.6506893476132536</v>
      </c>
      <c r="AL64" s="300">
        <v>5.2799586701390258</v>
      </c>
      <c r="AM64" s="300">
        <v>6.6125623221928835</v>
      </c>
      <c r="AN64" s="300">
        <v>9.4054892957462037</v>
      </c>
      <c r="AO64" s="300">
        <v>88.952101016665452</v>
      </c>
      <c r="AP64" s="300">
        <v>168.04878370195448</v>
      </c>
      <c r="AQ64" s="300">
        <v>30.17</v>
      </c>
      <c r="AR64" s="300">
        <v>141.72999999999999</v>
      </c>
      <c r="AT64" s="335"/>
      <c r="AU64" s="335"/>
    </row>
    <row r="65" spans="1:47" s="187" customFormat="1" ht="12.75" customHeight="1">
      <c r="A65" s="234"/>
      <c r="B65" s="1049" t="s">
        <v>57</v>
      </c>
      <c r="C65" s="300">
        <v>0</v>
      </c>
      <c r="D65" s="300">
        <v>0</v>
      </c>
      <c r="E65" s="300">
        <v>0</v>
      </c>
      <c r="F65" s="300">
        <v>0</v>
      </c>
      <c r="G65" s="300">
        <v>0</v>
      </c>
      <c r="H65" s="300">
        <v>0</v>
      </c>
      <c r="I65" s="300">
        <v>0</v>
      </c>
      <c r="J65" s="300">
        <v>0</v>
      </c>
      <c r="K65" s="300">
        <v>0</v>
      </c>
      <c r="L65" s="300">
        <v>0</v>
      </c>
      <c r="M65" s="300">
        <v>0</v>
      </c>
      <c r="N65" s="300">
        <v>0</v>
      </c>
      <c r="O65" s="300">
        <v>0</v>
      </c>
      <c r="P65" s="300">
        <v>5.8271942105591243</v>
      </c>
      <c r="Q65" s="300">
        <v>0</v>
      </c>
      <c r="R65" s="300">
        <v>0</v>
      </c>
      <c r="S65" s="300">
        <v>0</v>
      </c>
      <c r="T65" s="300">
        <v>0</v>
      </c>
      <c r="U65" s="300">
        <v>0</v>
      </c>
      <c r="V65" s="300">
        <v>0</v>
      </c>
      <c r="W65" s="300">
        <v>0</v>
      </c>
      <c r="X65" s="300">
        <v>0</v>
      </c>
      <c r="Y65" s="300">
        <v>0</v>
      </c>
      <c r="Z65" s="300">
        <v>0</v>
      </c>
      <c r="AA65" s="300">
        <v>0</v>
      </c>
      <c r="AB65" s="300">
        <v>0</v>
      </c>
      <c r="AC65" s="300">
        <v>0</v>
      </c>
      <c r="AD65" s="300">
        <v>5.8744920798868838</v>
      </c>
      <c r="AE65" s="300">
        <v>0</v>
      </c>
      <c r="AF65" s="300">
        <v>0</v>
      </c>
      <c r="AG65" s="300">
        <v>0</v>
      </c>
      <c r="AH65" s="300">
        <v>12.779534090523084</v>
      </c>
      <c r="AI65" s="300">
        <v>0</v>
      </c>
      <c r="AJ65" s="300">
        <v>0</v>
      </c>
      <c r="AK65" s="300">
        <v>0</v>
      </c>
      <c r="AL65" s="300">
        <v>0</v>
      </c>
      <c r="AM65" s="300">
        <v>6.2663234354678936</v>
      </c>
      <c r="AN65" s="300">
        <v>0</v>
      </c>
      <c r="AO65" s="300">
        <v>6.2663234354678936</v>
      </c>
      <c r="AP65" s="300">
        <v>24.481220380969091</v>
      </c>
      <c r="AQ65" s="300">
        <v>19.09</v>
      </c>
      <c r="AR65" s="300">
        <v>30.16</v>
      </c>
      <c r="AT65" s="335"/>
      <c r="AU65" s="335"/>
    </row>
    <row r="66" spans="1:47" s="187" customFormat="1">
      <c r="A66" s="234"/>
      <c r="B66" s="1049" t="s">
        <v>8</v>
      </c>
      <c r="C66" s="300">
        <v>109.21564047484347</v>
      </c>
      <c r="D66" s="300">
        <v>376.41419926358429</v>
      </c>
      <c r="E66" s="300">
        <v>193.33272804318383</v>
      </c>
      <c r="F66" s="300">
        <v>436.81360800747512</v>
      </c>
      <c r="G66" s="300">
        <v>151.13891387103831</v>
      </c>
      <c r="H66" s="300">
        <v>256.60571242927864</v>
      </c>
      <c r="I66" s="300">
        <v>187.16919606621744</v>
      </c>
      <c r="J66" s="300">
        <v>335.12361087377911</v>
      </c>
      <c r="K66" s="300">
        <v>5</v>
      </c>
      <c r="L66" s="300">
        <v>17.078124453370222</v>
      </c>
      <c r="M66" s="300">
        <v>199.39167179374388</v>
      </c>
      <c r="N66" s="300">
        <v>210.89295851089744</v>
      </c>
      <c r="O66" s="300">
        <v>386.66855773021882</v>
      </c>
      <c r="P66" s="300">
        <v>371.0629209557452</v>
      </c>
      <c r="Q66" s="300">
        <v>121.72294766523227</v>
      </c>
      <c r="R66" s="300">
        <v>346.44254276942416</v>
      </c>
      <c r="S66" s="300">
        <v>654.8110372192823</v>
      </c>
      <c r="T66" s="300">
        <v>2198.6789701145112</v>
      </c>
      <c r="U66" s="300">
        <v>42.161436417446048</v>
      </c>
      <c r="V66" s="300">
        <v>180.09600285680307</v>
      </c>
      <c r="W66" s="300">
        <v>230.38105796099572</v>
      </c>
      <c r="X66" s="300">
        <v>350.645172970337</v>
      </c>
      <c r="Y66" s="300">
        <v>314.4147984450359</v>
      </c>
      <c r="Z66" s="300">
        <v>330.0967439731856</v>
      </c>
      <c r="AA66" s="300">
        <v>853.79311104382452</v>
      </c>
      <c r="AB66" s="300">
        <v>1256.7530795385062</v>
      </c>
      <c r="AC66" s="300">
        <v>115.39871417031267</v>
      </c>
      <c r="AD66" s="300">
        <v>485.87333628869709</v>
      </c>
      <c r="AE66" s="300">
        <v>169.31152365017195</v>
      </c>
      <c r="AF66" s="300">
        <v>108.07438077125242</v>
      </c>
      <c r="AG66" s="300">
        <v>580.76633411506828</v>
      </c>
      <c r="AH66" s="300">
        <v>1646.3273045270034</v>
      </c>
      <c r="AI66" s="300">
        <v>406.53511035373674</v>
      </c>
      <c r="AJ66" s="300">
        <v>299.60509579949326</v>
      </c>
      <c r="AK66" s="300">
        <v>265.33280014243428</v>
      </c>
      <c r="AL66" s="300">
        <v>190.04394169277276</v>
      </c>
      <c r="AM66" s="300">
        <v>170.22644734653588</v>
      </c>
      <c r="AN66" s="300">
        <v>298.09066697131169</v>
      </c>
      <c r="AO66" s="300">
        <v>5156.7720265093221</v>
      </c>
      <c r="AP66" s="300">
        <v>9694.7183727674237</v>
      </c>
      <c r="AQ66" s="300">
        <v>1854.83</v>
      </c>
      <c r="AR66" s="300">
        <v>6866.4399999999987</v>
      </c>
      <c r="AT66" s="335"/>
      <c r="AU66" s="335"/>
    </row>
    <row r="67" spans="1:47">
      <c r="A67" s="170">
        <f>AP67</f>
        <v>0</v>
      </c>
      <c r="C67" s="1124"/>
      <c r="D67" s="1124"/>
      <c r="E67" s="1124"/>
      <c r="F67" s="1124"/>
      <c r="G67" s="1124"/>
      <c r="H67" s="1124"/>
      <c r="I67" s="1124"/>
      <c r="J67" s="1124"/>
      <c r="K67" s="1124"/>
      <c r="L67" s="1124"/>
      <c r="M67" s="1124"/>
      <c r="N67" s="1124"/>
      <c r="O67" s="1124"/>
      <c r="P67" s="1124"/>
      <c r="Q67" s="1124"/>
      <c r="R67" s="1124"/>
      <c r="S67" s="1124"/>
      <c r="T67" s="1124"/>
      <c r="U67" s="1124"/>
      <c r="V67" s="1124"/>
      <c r="W67" s="1124"/>
      <c r="X67" s="1124"/>
      <c r="Y67" s="1124"/>
      <c r="Z67" s="1124"/>
      <c r="AA67" s="1124"/>
      <c r="AB67" s="1124"/>
      <c r="AC67" s="1124"/>
      <c r="AD67" s="1124"/>
      <c r="AE67" s="1124"/>
      <c r="AF67" s="1124"/>
      <c r="AG67" s="1124"/>
      <c r="AH67" s="1124"/>
      <c r="AI67" s="1124"/>
      <c r="AJ67" s="1124"/>
      <c r="AK67" s="1124"/>
      <c r="AL67" s="1124"/>
      <c r="AM67" s="1124"/>
      <c r="AN67" s="257">
        <f>SUM(C66:AN66)</f>
        <v>14851.490399276752</v>
      </c>
      <c r="AO67" s="257">
        <f>AO66+AP66</f>
        <v>14851.490399276747</v>
      </c>
      <c r="AP67" s="257">
        <f>AN67-AO67</f>
        <v>0</v>
      </c>
      <c r="AQ67" s="378"/>
      <c r="AR67" s="378"/>
    </row>
    <row r="68" spans="1:47">
      <c r="A68" s="170">
        <f>AP68</f>
        <v>0</v>
      </c>
      <c r="B68" s="283"/>
      <c r="C68" s="283"/>
      <c r="D68" s="283"/>
      <c r="E68" s="283"/>
      <c r="F68" s="283"/>
      <c r="G68" s="283"/>
      <c r="H68" s="283"/>
      <c r="I68" s="283"/>
      <c r="J68" s="283"/>
      <c r="K68" s="283"/>
      <c r="L68" s="489"/>
      <c r="M68" s="489"/>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57">
        <f>SUM(C56:AN65)</f>
        <v>14851.490399276739</v>
      </c>
      <c r="AO68" s="257">
        <f>SUM(AO56:AP65)</f>
        <v>14851.490399276747</v>
      </c>
      <c r="AP68" s="257">
        <f>((AN68+AO68)/2)-AO67</f>
        <v>0</v>
      </c>
      <c r="AR68" s="302"/>
    </row>
    <row r="69" spans="1:47" s="39" customFormat="1" ht="18">
      <c r="A69" s="170">
        <f>AP69</f>
        <v>0</v>
      </c>
      <c r="B69" s="123" t="s">
        <v>60</v>
      </c>
      <c r="F69" s="12"/>
      <c r="J69" s="12" t="s">
        <v>1400</v>
      </c>
      <c r="K69"/>
      <c r="L69" s="880" t="s">
        <v>147</v>
      </c>
      <c r="M69" s="5" t="s">
        <v>64</v>
      </c>
      <c r="P69" s="1078"/>
      <c r="R69" s="1078"/>
      <c r="T69" s="282"/>
      <c r="U69" s="1079"/>
      <c r="V69" s="282"/>
      <c r="W69" s="282"/>
      <c r="Y69" s="1078"/>
      <c r="Z69" s="1078"/>
      <c r="AD69" s="1078"/>
      <c r="AI69" s="283"/>
      <c r="AL69" s="1080"/>
      <c r="AN69" s="1126">
        <f>((AN67+AN68)/2)-AO67</f>
        <v>0</v>
      </c>
      <c r="AO69" s="1126">
        <f>AO67-AO68</f>
        <v>0</v>
      </c>
      <c r="AP69" s="1126">
        <f>AN69+AO69</f>
        <v>0</v>
      </c>
    </row>
    <row r="70" spans="1:47">
      <c r="M70" s="489"/>
    </row>
    <row r="71" spans="1:47">
      <c r="B71" s="12" t="s">
        <v>1398</v>
      </c>
      <c r="C71" s="114" t="s">
        <v>1545</v>
      </c>
      <c r="M71" s="489"/>
    </row>
    <row r="72" spans="1:47">
      <c r="M72" s="489"/>
    </row>
    <row r="73" spans="1:47" ht="13.15" customHeight="1">
      <c r="B73" s="12" t="s">
        <v>61</v>
      </c>
      <c r="C73" s="1234" t="s">
        <v>1640</v>
      </c>
      <c r="D73" s="1234"/>
      <c r="E73" s="1234"/>
      <c r="F73" s="1234"/>
      <c r="G73" s="1234"/>
      <c r="H73" s="1234"/>
      <c r="I73" s="1234"/>
      <c r="J73" s="1234"/>
      <c r="K73" s="1234"/>
      <c r="M73" s="489"/>
      <c r="Q73" s="490"/>
    </row>
    <row r="74" spans="1:47" ht="26.45" customHeight="1">
      <c r="B74" s="12"/>
      <c r="C74" s="1234"/>
      <c r="D74" s="1234"/>
      <c r="E74" s="1234"/>
      <c r="F74" s="1234"/>
      <c r="G74" s="1234"/>
      <c r="H74" s="1234"/>
      <c r="I74" s="1234"/>
      <c r="J74" s="1234"/>
      <c r="K74" s="1234"/>
      <c r="M74" s="489"/>
      <c r="Q74" s="12"/>
    </row>
    <row r="75" spans="1:47">
      <c r="M75" s="489"/>
      <c r="Q75" s="491"/>
    </row>
    <row r="76" spans="1:47">
      <c r="B76" s="12" t="s">
        <v>62</v>
      </c>
      <c r="C76" s="393"/>
      <c r="M76" s="489"/>
    </row>
    <row r="77" spans="1:47">
      <c r="D77" s="1"/>
      <c r="E77" s="1"/>
      <c r="F77" s="1"/>
      <c r="M77" s="489"/>
    </row>
    <row r="78" spans="1:47" ht="15" customHeight="1">
      <c r="B78" s="1241" t="s">
        <v>59</v>
      </c>
      <c r="C78" s="1245" t="s">
        <v>1750</v>
      </c>
      <c r="D78" s="1246"/>
      <c r="E78" s="1247"/>
      <c r="F78" s="120"/>
    </row>
    <row r="79" spans="1:47" ht="15">
      <c r="B79" s="1242"/>
      <c r="C79" s="1044" t="s">
        <v>1558</v>
      </c>
      <c r="D79" s="1046" t="s">
        <v>1559</v>
      </c>
      <c r="E79" s="1046" t="s">
        <v>1560</v>
      </c>
      <c r="F79" s="121"/>
    </row>
    <row r="80" spans="1:47">
      <c r="B80" s="1044" t="s">
        <v>571</v>
      </c>
      <c r="C80" s="412">
        <v>71056.244999999995</v>
      </c>
      <c r="D80" s="412">
        <v>39806.052000000003</v>
      </c>
      <c r="E80" s="412">
        <v>26791.651000000002</v>
      </c>
      <c r="F80" s="1"/>
      <c r="G80" s="471"/>
      <c r="H80" s="471"/>
      <c r="I80" s="143"/>
      <c r="J80" s="143"/>
      <c r="K80" s="144"/>
      <c r="L80" s="144"/>
      <c r="M80" s="144"/>
    </row>
    <row r="81" spans="2:13">
      <c r="B81" s="1044" t="s">
        <v>7</v>
      </c>
      <c r="C81" s="412">
        <v>81696.452999999994</v>
      </c>
      <c r="D81" s="412">
        <v>80630.94</v>
      </c>
      <c r="E81" s="412">
        <v>37722.311000000002</v>
      </c>
      <c r="F81" s="1"/>
      <c r="G81" s="229"/>
      <c r="H81" s="471"/>
      <c r="I81" s="143"/>
      <c r="J81" s="143"/>
      <c r="K81" s="144"/>
      <c r="L81" s="144"/>
      <c r="M81" s="144"/>
    </row>
    <row r="82" spans="2:13">
      <c r="B82" s="1044" t="s">
        <v>429</v>
      </c>
      <c r="C82" s="412">
        <v>5634.2160000000003</v>
      </c>
      <c r="D82" s="412">
        <v>29206.165000000001</v>
      </c>
      <c r="E82" s="412">
        <v>35786.103999999999</v>
      </c>
      <c r="F82" s="1"/>
      <c r="G82" s="229"/>
      <c r="H82" s="471"/>
      <c r="I82" s="143"/>
      <c r="J82" s="143"/>
      <c r="K82" s="144"/>
      <c r="L82" s="144"/>
      <c r="M82" s="144"/>
    </row>
    <row r="83" spans="2:13">
      <c r="B83" s="1044" t="s">
        <v>3</v>
      </c>
      <c r="C83" s="412">
        <v>67966.682000000001</v>
      </c>
      <c r="D83" s="412">
        <v>76707.697</v>
      </c>
      <c r="E83" s="412">
        <v>31946.996999999999</v>
      </c>
      <c r="F83" s="1"/>
      <c r="G83" s="229"/>
      <c r="H83" s="471"/>
      <c r="I83" s="143"/>
      <c r="J83" s="143"/>
      <c r="K83" s="144"/>
      <c r="L83" s="144"/>
      <c r="M83" s="144"/>
    </row>
    <row r="84" spans="2:13">
      <c r="B84" s="1044" t="s">
        <v>80</v>
      </c>
      <c r="C84" s="412">
        <v>1807.587</v>
      </c>
      <c r="D84" s="412">
        <v>1478.6120000000001</v>
      </c>
      <c r="E84" s="412">
        <v>1918.1020000000001</v>
      </c>
      <c r="F84" s="1"/>
      <c r="G84" s="472"/>
      <c r="H84" s="471"/>
      <c r="I84" s="73"/>
      <c r="J84" s="143"/>
      <c r="K84" s="144"/>
      <c r="L84" s="144"/>
      <c r="M84" s="144"/>
    </row>
    <row r="85" spans="2:13">
      <c r="B85" s="1044" t="s">
        <v>108</v>
      </c>
      <c r="C85" s="412">
        <v>54082.472999999998</v>
      </c>
      <c r="D85" s="412">
        <v>40419.913</v>
      </c>
      <c r="E85" s="412">
        <v>23121.745999999999</v>
      </c>
      <c r="F85" s="1"/>
      <c r="G85" s="472"/>
      <c r="H85" s="471"/>
      <c r="I85" s="73"/>
      <c r="J85" s="143"/>
      <c r="K85" s="144"/>
      <c r="L85" s="144"/>
      <c r="M85" s="144"/>
    </row>
    <row r="86" spans="2:13">
      <c r="B86" s="1044" t="s">
        <v>572</v>
      </c>
      <c r="C86" s="412">
        <v>101865.11900000001</v>
      </c>
      <c r="D86" s="412">
        <v>45304.892</v>
      </c>
      <c r="E86" s="412">
        <v>19476.332999999999</v>
      </c>
      <c r="F86" s="1"/>
      <c r="G86" s="472"/>
      <c r="H86" s="471"/>
      <c r="I86" s="73"/>
      <c r="J86" s="143"/>
      <c r="K86" s="144"/>
      <c r="L86" s="144"/>
      <c r="M86" s="144"/>
    </row>
    <row r="87" spans="2:13">
      <c r="B87" s="1044" t="s">
        <v>6</v>
      </c>
      <c r="C87" s="412">
        <v>47822.478000000003</v>
      </c>
      <c r="D87" s="412">
        <v>22054.438999999998</v>
      </c>
      <c r="E87" s="412">
        <v>13934.413</v>
      </c>
      <c r="F87" s="1"/>
      <c r="G87" s="229"/>
      <c r="H87" s="471"/>
      <c r="I87" s="143"/>
      <c r="J87" s="143"/>
      <c r="K87" s="144"/>
      <c r="L87" s="144"/>
      <c r="M87" s="144"/>
    </row>
    <row r="88" spans="2:13">
      <c r="B88" s="1044" t="s">
        <v>1</v>
      </c>
      <c r="C88" s="412">
        <v>260067.88500000001</v>
      </c>
      <c r="D88" s="412">
        <v>207047.321</v>
      </c>
      <c r="E88" s="412">
        <v>48858.016000000003</v>
      </c>
      <c r="F88" s="1"/>
      <c r="G88" s="229"/>
      <c r="H88" s="471"/>
      <c r="I88" s="143"/>
      <c r="J88" s="143"/>
      <c r="K88" s="144"/>
      <c r="L88" s="144"/>
      <c r="M88" s="144"/>
    </row>
    <row r="89" spans="2:13">
      <c r="B89" s="1044" t="s">
        <v>397</v>
      </c>
      <c r="C89" s="412">
        <v>14664.427</v>
      </c>
      <c r="D89" s="412">
        <v>17897.319</v>
      </c>
      <c r="E89" s="412">
        <v>2665.0459999999998</v>
      </c>
      <c r="F89" s="1"/>
      <c r="G89" s="229"/>
      <c r="H89" s="471"/>
      <c r="I89" s="143"/>
      <c r="J89" s="143"/>
      <c r="K89" s="144"/>
      <c r="L89" s="144"/>
      <c r="M89" s="144"/>
    </row>
    <row r="90" spans="2:13">
      <c r="B90" s="1044" t="s">
        <v>4</v>
      </c>
      <c r="C90" s="412">
        <v>99315.312000000005</v>
      </c>
      <c r="D90" s="412">
        <v>56129.33</v>
      </c>
      <c r="E90" s="412">
        <v>23087.531999999999</v>
      </c>
      <c r="F90" s="1"/>
      <c r="G90" s="229"/>
      <c r="H90" s="471"/>
      <c r="I90" s="143"/>
      <c r="J90" s="143"/>
      <c r="K90" s="144"/>
      <c r="L90" s="144"/>
      <c r="M90" s="144"/>
    </row>
    <row r="91" spans="2:13">
      <c r="B91" s="1044" t="s">
        <v>0</v>
      </c>
      <c r="C91" s="412">
        <v>101874.588</v>
      </c>
      <c r="D91" s="412">
        <v>59802.315000000002</v>
      </c>
      <c r="E91" s="412">
        <v>28711.787</v>
      </c>
      <c r="F91" s="1"/>
      <c r="G91" s="229"/>
      <c r="H91" s="471"/>
      <c r="I91" s="143"/>
      <c r="J91" s="143"/>
      <c r="K91" s="144"/>
      <c r="L91" s="144"/>
      <c r="M91" s="144"/>
    </row>
    <row r="92" spans="2:13">
      <c r="B92" s="1044" t="s">
        <v>573</v>
      </c>
      <c r="C92" s="412">
        <v>251303.913</v>
      </c>
      <c r="D92" s="412">
        <v>199796.41800000001</v>
      </c>
      <c r="E92" s="412">
        <v>64778.404999999999</v>
      </c>
      <c r="F92" s="1"/>
      <c r="G92" s="229"/>
      <c r="H92" s="471"/>
      <c r="I92" s="143"/>
      <c r="J92" s="143"/>
      <c r="K92" s="144"/>
      <c r="L92" s="144"/>
      <c r="M92" s="144"/>
    </row>
    <row r="93" spans="2:13">
      <c r="B93" s="1044" t="s">
        <v>574</v>
      </c>
      <c r="C93" s="412">
        <v>148504.981</v>
      </c>
      <c r="D93" s="412">
        <v>71710.183999999994</v>
      </c>
      <c r="E93" s="412">
        <v>24521.109</v>
      </c>
      <c r="F93" s="1"/>
      <c r="G93" s="229"/>
      <c r="H93" s="471"/>
      <c r="I93" s="143"/>
      <c r="J93" s="143"/>
      <c r="K93" s="144"/>
      <c r="L93" s="144"/>
      <c r="M93" s="144"/>
    </row>
    <row r="94" spans="2:13">
      <c r="B94" s="1044" t="s">
        <v>5</v>
      </c>
      <c r="C94" s="412">
        <v>54903.881000000001</v>
      </c>
      <c r="D94" s="412">
        <v>17857.437000000002</v>
      </c>
      <c r="E94" s="412">
        <v>11148.754000000001</v>
      </c>
      <c r="F94" s="1"/>
      <c r="G94" s="229"/>
      <c r="H94" s="471"/>
      <c r="I94" s="143"/>
      <c r="J94" s="143"/>
      <c r="K94" s="144"/>
      <c r="L94" s="144"/>
      <c r="M94" s="144"/>
    </row>
    <row r="95" spans="2:13">
      <c r="B95" s="1044" t="s">
        <v>41</v>
      </c>
      <c r="C95" s="412">
        <v>59308.925000000003</v>
      </c>
      <c r="D95" s="412">
        <v>67392.100000000006</v>
      </c>
      <c r="E95" s="412">
        <v>128824.522</v>
      </c>
      <c r="F95" s="1"/>
      <c r="G95" s="229"/>
      <c r="H95" s="471"/>
      <c r="I95" s="143"/>
      <c r="J95" s="143"/>
      <c r="K95" s="144"/>
      <c r="L95" s="144"/>
      <c r="M95" s="144"/>
    </row>
    <row r="96" spans="2:13">
      <c r="B96" s="1044" t="s">
        <v>575</v>
      </c>
      <c r="C96" s="412">
        <v>142895.329</v>
      </c>
      <c r="D96" s="412">
        <v>104517.289</v>
      </c>
      <c r="E96" s="412">
        <v>28662.151999999998</v>
      </c>
      <c r="F96" s="1"/>
      <c r="G96" s="229"/>
      <c r="H96" s="471"/>
      <c r="I96" s="143"/>
      <c r="J96" s="143"/>
      <c r="K96" s="144"/>
      <c r="L96" s="144"/>
      <c r="M96" s="144"/>
    </row>
    <row r="97" spans="1:23">
      <c r="B97" s="1044" t="s">
        <v>2</v>
      </c>
      <c r="C97" s="412">
        <v>68986.042000000001</v>
      </c>
      <c r="D97" s="412">
        <v>76741.864000000001</v>
      </c>
      <c r="E97" s="412">
        <v>26058.458999999999</v>
      </c>
      <c r="F97" s="1"/>
      <c r="G97" s="229"/>
      <c r="H97" s="471"/>
      <c r="I97" s="143"/>
      <c r="J97" s="143"/>
      <c r="K97" s="144"/>
      <c r="L97" s="144"/>
      <c r="M97" s="144"/>
    </row>
    <row r="98" spans="1:23">
      <c r="B98" s="1044" t="s">
        <v>576</v>
      </c>
      <c r="C98" s="412">
        <v>63016.98</v>
      </c>
      <c r="D98" s="412">
        <v>44038.864999999998</v>
      </c>
      <c r="E98" s="412">
        <v>16416.023000000001</v>
      </c>
      <c r="F98" s="1"/>
      <c r="G98" s="229"/>
      <c r="H98" s="471"/>
      <c r="I98" s="143"/>
      <c r="J98" s="143"/>
      <c r="K98" s="144"/>
      <c r="L98" s="144"/>
      <c r="M98" s="144"/>
    </row>
    <row r="99" spans="1:23">
      <c r="B99" s="1044" t="s">
        <v>8</v>
      </c>
      <c r="C99" s="412">
        <v>1696773.5159999998</v>
      </c>
      <c r="D99" s="412">
        <v>1258539.152</v>
      </c>
      <c r="E99" s="412">
        <v>594429.46200000006</v>
      </c>
      <c r="F99" s="1"/>
      <c r="G99" s="229"/>
      <c r="H99" s="229"/>
      <c r="I99" s="73"/>
      <c r="J99" s="73"/>
      <c r="K99" s="2"/>
      <c r="L99" s="2"/>
      <c r="M99" s="2"/>
    </row>
    <row r="100" spans="1:23">
      <c r="A100" s="174">
        <f>F100</f>
        <v>0</v>
      </c>
      <c r="C100" s="10">
        <f>SUM(C80:C98)-C99</f>
        <v>0</v>
      </c>
      <c r="D100" s="10">
        <f>SUM(D80:D98)-D99</f>
        <v>0</v>
      </c>
      <c r="E100" s="10">
        <f>SUM(E80:E98)-E99</f>
        <v>0</v>
      </c>
      <c r="F100" s="10">
        <f>SUM(C100:E100)</f>
        <v>0</v>
      </c>
    </row>
    <row r="102" spans="1:23" s="39" customFormat="1" ht="18">
      <c r="A102" s="172"/>
      <c r="B102" s="38" t="s">
        <v>134</v>
      </c>
      <c r="F102" s="12"/>
      <c r="J102" s="12" t="s">
        <v>1400</v>
      </c>
      <c r="K102"/>
      <c r="L102" s="880" t="s">
        <v>147</v>
      </c>
      <c r="M102" s="5" t="s">
        <v>64</v>
      </c>
    </row>
    <row r="104" spans="1:23">
      <c r="B104" s="12" t="s">
        <v>1398</v>
      </c>
      <c r="C104" s="114" t="s">
        <v>1544</v>
      </c>
    </row>
    <row r="106" spans="1:23" ht="26.25" customHeight="1">
      <c r="B106" s="593" t="s">
        <v>61</v>
      </c>
      <c r="C106" s="1235" t="s">
        <v>395</v>
      </c>
      <c r="D106" s="1235"/>
      <c r="E106" s="1235"/>
      <c r="F106" s="1235"/>
      <c r="G106" s="1235"/>
      <c r="H106" s="1235"/>
      <c r="I106" s="1235"/>
      <c r="J106" s="1235"/>
      <c r="K106" s="1235"/>
      <c r="L106" s="1235"/>
      <c r="M106" s="1235"/>
    </row>
    <row r="108" spans="1:23">
      <c r="B108" s="12" t="s">
        <v>62</v>
      </c>
      <c r="C108" s="114"/>
    </row>
    <row r="109" spans="1:23">
      <c r="F109" s="147" t="s">
        <v>510</v>
      </c>
      <c r="G109" s="147"/>
    </row>
    <row r="110" spans="1:23" ht="25.5">
      <c r="B110" s="278"/>
      <c r="C110" s="455" t="s">
        <v>584</v>
      </c>
      <c r="D110" s="278" t="s">
        <v>585</v>
      </c>
      <c r="E110" s="277"/>
      <c r="H110" s="164"/>
      <c r="R110" s="74"/>
      <c r="S110" s="7"/>
      <c r="T110" s="7"/>
      <c r="U110" s="7"/>
      <c r="V110" s="7"/>
      <c r="W110" s="7"/>
    </row>
    <row r="111" spans="1:23">
      <c r="B111" s="278" t="s">
        <v>40</v>
      </c>
      <c r="C111" s="737">
        <f>G111</f>
        <v>3408.1512948616041</v>
      </c>
      <c r="D111" s="408">
        <v>7529</v>
      </c>
      <c r="F111" s="734" t="s">
        <v>40</v>
      </c>
      <c r="G111" s="736">
        <f>$C$113*(O356/(SUM($O$356:$O$359)))</f>
        <v>3408.1512948616041</v>
      </c>
      <c r="R111" s="74"/>
      <c r="S111" s="7"/>
      <c r="T111" s="7"/>
      <c r="U111" s="7"/>
      <c r="V111" s="7"/>
      <c r="W111" s="7"/>
    </row>
    <row r="112" spans="1:23">
      <c r="B112" s="278" t="s">
        <v>249</v>
      </c>
      <c r="C112" s="737">
        <f>G112</f>
        <v>2300.8487051383959</v>
      </c>
      <c r="D112" s="408">
        <v>4547</v>
      </c>
      <c r="F112" s="735" t="s">
        <v>249</v>
      </c>
      <c r="G112" s="736">
        <f>$C$113*((SUM(O357:O359)/(SUM($O$356:$O$359))))</f>
        <v>2300.8487051383959</v>
      </c>
      <c r="R112" s="74"/>
      <c r="S112" s="7"/>
      <c r="T112" s="7"/>
      <c r="U112" s="7"/>
      <c r="V112" s="7"/>
      <c r="W112" s="7"/>
    </row>
    <row r="113" spans="1:23" ht="25.5">
      <c r="A113" s="468">
        <f>D113</f>
        <v>0</v>
      </c>
      <c r="B113" s="448" t="s">
        <v>1118</v>
      </c>
      <c r="C113" s="405">
        <v>5709</v>
      </c>
      <c r="D113" s="240">
        <f>C113-C112-C111</f>
        <v>0</v>
      </c>
      <c r="R113" s="74"/>
      <c r="S113" s="7"/>
      <c r="T113" s="7"/>
      <c r="U113" s="7"/>
      <c r="V113" s="7"/>
      <c r="W113" s="7"/>
    </row>
    <row r="114" spans="1:23">
      <c r="A114" s="468"/>
      <c r="B114" s="74"/>
      <c r="C114" s="367"/>
      <c r="D114" s="240"/>
      <c r="R114" s="74"/>
      <c r="S114" s="7"/>
      <c r="T114" s="7"/>
      <c r="U114" s="7"/>
      <c r="V114" s="7"/>
      <c r="W114" s="7"/>
    </row>
    <row r="115" spans="1:23" s="38" customFormat="1" ht="18">
      <c r="A115" s="173"/>
      <c r="B115" s="38" t="s">
        <v>63</v>
      </c>
      <c r="D115" s="127"/>
      <c r="E115" s="128"/>
      <c r="F115" s="12"/>
      <c r="J115" s="12" t="s">
        <v>1400</v>
      </c>
      <c r="K115"/>
      <c r="L115" s="880" t="s">
        <v>146</v>
      </c>
      <c r="M115" s="5" t="s">
        <v>64</v>
      </c>
      <c r="O115" s="127"/>
      <c r="P115" s="127"/>
      <c r="Q115" s="127"/>
      <c r="R115" s="74"/>
      <c r="S115" s="127"/>
      <c r="T115" s="127"/>
      <c r="U115" s="127"/>
      <c r="V115" s="127"/>
      <c r="W115" s="127"/>
    </row>
    <row r="116" spans="1:23">
      <c r="D116" s="7"/>
      <c r="E116" s="125"/>
      <c r="F116" s="126"/>
      <c r="G116" s="124"/>
      <c r="H116" s="124"/>
      <c r="I116" s="124"/>
      <c r="J116" s="124"/>
      <c r="K116" s="124"/>
      <c r="L116" s="124"/>
      <c r="M116" s="124"/>
      <c r="N116" s="124"/>
      <c r="O116" s="7"/>
      <c r="P116" s="7"/>
      <c r="Q116" s="7"/>
      <c r="R116" s="238"/>
      <c r="S116" s="7"/>
      <c r="T116" s="7"/>
      <c r="U116" s="7"/>
      <c r="V116" s="7"/>
      <c r="W116" s="124"/>
    </row>
    <row r="117" spans="1:23">
      <c r="B117" s="12" t="s">
        <v>1398</v>
      </c>
      <c r="C117" s="114" t="s">
        <v>1546</v>
      </c>
      <c r="D117" s="416"/>
      <c r="E117" s="416"/>
      <c r="F117" s="416"/>
      <c r="G117" s="416"/>
      <c r="H117" s="416"/>
      <c r="I117" s="416"/>
      <c r="J117" s="416"/>
      <c r="K117" s="416"/>
      <c r="L117" s="416"/>
      <c r="R117" s="238"/>
      <c r="S117" s="7"/>
      <c r="T117" s="7"/>
      <c r="U117" s="7"/>
      <c r="V117" s="7"/>
      <c r="W117" s="124"/>
    </row>
    <row r="118" spans="1:23">
      <c r="C118" s="416"/>
      <c r="D118" s="416"/>
      <c r="E118" s="416"/>
      <c r="F118" s="424"/>
      <c r="G118" s="425"/>
      <c r="H118" s="425"/>
      <c r="I118" s="425"/>
      <c r="J118" s="425"/>
      <c r="K118" s="425"/>
      <c r="L118" s="425"/>
      <c r="M118" s="2"/>
      <c r="N118" s="2"/>
      <c r="O118" s="2"/>
      <c r="P118" s="2"/>
      <c r="R118" s="7"/>
      <c r="S118" s="7"/>
      <c r="T118" s="7"/>
      <c r="U118" s="7"/>
      <c r="V118" s="7"/>
      <c r="W118" s="124"/>
    </row>
    <row r="119" spans="1:23">
      <c r="B119" s="12" t="s">
        <v>61</v>
      </c>
      <c r="C119" s="114" t="s">
        <v>1401</v>
      </c>
      <c r="D119" s="416"/>
      <c r="E119" s="416"/>
      <c r="F119" s="416"/>
      <c r="G119" s="416"/>
      <c r="H119" s="416"/>
      <c r="I119" s="416"/>
      <c r="J119" s="416"/>
      <c r="K119" s="416"/>
      <c r="L119" s="416"/>
      <c r="R119" s="239"/>
      <c r="S119" s="1050"/>
      <c r="T119" s="1050"/>
      <c r="U119" s="1050"/>
      <c r="V119" s="1050"/>
      <c r="W119" s="1050"/>
    </row>
    <row r="120" spans="1:23">
      <c r="C120" s="416"/>
      <c r="D120" s="416"/>
      <c r="E120" s="416"/>
      <c r="F120" s="416"/>
      <c r="G120" s="416"/>
      <c r="H120" s="416"/>
      <c r="I120" s="416"/>
      <c r="J120" s="416"/>
      <c r="K120" s="416"/>
      <c r="L120" s="416"/>
      <c r="R120" s="74"/>
      <c r="S120" s="7"/>
      <c r="T120" s="145"/>
      <c r="U120" s="145"/>
      <c r="V120" s="145"/>
      <c r="W120" s="240"/>
    </row>
    <row r="121" spans="1:23">
      <c r="B121" s="12" t="s">
        <v>62</v>
      </c>
      <c r="C121" s="768" t="s">
        <v>1547</v>
      </c>
      <c r="D121" s="768"/>
      <c r="E121" s="768"/>
      <c r="F121" s="768"/>
      <c r="G121" s="768"/>
      <c r="H121" s="768"/>
      <c r="I121" s="768"/>
      <c r="J121" s="768"/>
      <c r="K121" s="768"/>
      <c r="L121" s="768"/>
      <c r="R121" s="74"/>
      <c r="S121" s="7"/>
      <c r="T121" s="145"/>
      <c r="U121" s="145"/>
      <c r="V121" s="145"/>
      <c r="W121" s="240"/>
    </row>
    <row r="122" spans="1:23">
      <c r="C122" s="768"/>
      <c r="D122" s="768"/>
      <c r="E122" s="768"/>
      <c r="F122" s="768"/>
      <c r="G122" s="768"/>
      <c r="H122" s="768"/>
      <c r="I122" s="768"/>
      <c r="J122" s="768"/>
      <c r="K122" s="768"/>
      <c r="L122" s="768"/>
      <c r="R122" s="74"/>
      <c r="S122" s="7"/>
      <c r="T122" s="145"/>
      <c r="U122" s="145"/>
      <c r="V122" s="145"/>
      <c r="W122" s="240"/>
    </row>
    <row r="123" spans="1:23" ht="26.25" customHeight="1">
      <c r="C123" s="1234" t="s">
        <v>1639</v>
      </c>
      <c r="D123" s="1234"/>
      <c r="E123" s="1234"/>
      <c r="F123" s="1234"/>
      <c r="G123" s="1234"/>
      <c r="H123" s="1234"/>
      <c r="I123" s="1234"/>
      <c r="J123" s="1234"/>
      <c r="K123" s="1234"/>
      <c r="L123" s="1234"/>
      <c r="R123" s="74"/>
      <c r="S123" s="7"/>
      <c r="T123" s="145"/>
      <c r="U123" s="145"/>
      <c r="V123" s="145"/>
      <c r="W123" s="240"/>
    </row>
    <row r="124" spans="1:23">
      <c r="C124" s="1042"/>
      <c r="D124" s="1042"/>
      <c r="E124" s="1042"/>
      <c r="F124" s="1042"/>
      <c r="G124" s="1042"/>
      <c r="H124" s="1042"/>
      <c r="I124" s="1042"/>
      <c r="J124" s="1042"/>
      <c r="K124" s="1042"/>
      <c r="L124" s="1042"/>
      <c r="R124" s="74"/>
      <c r="S124" s="240"/>
      <c r="T124" s="145"/>
      <c r="U124" s="145"/>
      <c r="V124" s="145"/>
      <c r="W124" s="240"/>
    </row>
    <row r="125" spans="1:23" ht="28.9" customHeight="1">
      <c r="C125" s="1234" t="s">
        <v>1694</v>
      </c>
      <c r="D125" s="1236"/>
      <c r="E125" s="1236"/>
      <c r="F125" s="1236"/>
      <c r="G125" s="1236"/>
      <c r="H125" s="1236"/>
      <c r="I125" s="1236"/>
      <c r="J125" s="1236"/>
      <c r="K125" s="1236"/>
      <c r="L125" s="1236"/>
      <c r="M125" s="1236"/>
      <c r="R125" s="74"/>
      <c r="S125" s="232"/>
      <c r="T125" s="232"/>
      <c r="U125" s="232"/>
      <c r="V125" s="232"/>
      <c r="W125" s="232"/>
    </row>
    <row r="126" spans="1:23" ht="28.9" customHeight="1">
      <c r="C126" s="1236"/>
      <c r="D126" s="1236"/>
      <c r="E126" s="1236"/>
      <c r="F126" s="1236"/>
      <c r="G126" s="1236"/>
      <c r="H126" s="1236"/>
      <c r="I126" s="1236"/>
      <c r="J126" s="1236"/>
      <c r="K126" s="1236"/>
      <c r="L126" s="1236"/>
      <c r="M126" s="1236"/>
      <c r="R126" s="74"/>
      <c r="S126" s="232"/>
      <c r="T126" s="232"/>
      <c r="U126" s="232"/>
      <c r="V126" s="232"/>
      <c r="W126" s="232"/>
    </row>
    <row r="127" spans="1:23">
      <c r="D127" s="7"/>
      <c r="E127" s="124"/>
      <c r="F127" s="111"/>
      <c r="G127" s="109"/>
      <c r="H127" s="109"/>
      <c r="I127" s="109"/>
      <c r="J127" s="112"/>
      <c r="K127" s="113"/>
      <c r="L127" s="113"/>
      <c r="M127" s="113"/>
      <c r="N127" s="113"/>
      <c r="O127" s="7"/>
      <c r="P127" s="7"/>
      <c r="Q127" s="7"/>
      <c r="R127" s="7"/>
      <c r="S127" s="7"/>
      <c r="T127" s="7"/>
      <c r="U127" s="7"/>
      <c r="V127" s="7"/>
      <c r="W127" s="7"/>
    </row>
    <row r="128" spans="1:23">
      <c r="B128" s="153" t="s">
        <v>322</v>
      </c>
      <c r="C128" s="318"/>
      <c r="D128" s="318"/>
      <c r="E128" s="318"/>
      <c r="F128" s="318"/>
      <c r="G128" s="109"/>
      <c r="H128" s="153" t="s">
        <v>325</v>
      </c>
      <c r="I128" s="12"/>
      <c r="J128" s="7"/>
      <c r="K128" s="124"/>
      <c r="L128" s="111"/>
      <c r="M128" s="113"/>
      <c r="N128" s="113"/>
      <c r="O128" s="7"/>
      <c r="P128" s="7"/>
      <c r="Q128" s="7"/>
      <c r="R128" s="7"/>
      <c r="S128" s="7"/>
      <c r="T128" s="7"/>
      <c r="U128" s="7"/>
      <c r="V128" s="7"/>
      <c r="W128" s="7"/>
    </row>
    <row r="129" spans="1:23">
      <c r="B129" s="153"/>
      <c r="C129" s="12"/>
      <c r="D129" s="7"/>
      <c r="E129" s="124"/>
      <c r="F129" s="111"/>
      <c r="G129" s="109"/>
      <c r="H129" s="153"/>
      <c r="I129" s="12"/>
      <c r="J129" s="7"/>
      <c r="K129" s="124"/>
      <c r="L129" s="111"/>
      <c r="M129" s="113"/>
      <c r="N129" s="113"/>
      <c r="O129" s="7"/>
      <c r="P129" s="7"/>
      <c r="Q129" s="7"/>
      <c r="R129" s="7"/>
      <c r="S129" s="7"/>
      <c r="T129" s="7"/>
      <c r="U129" s="7"/>
      <c r="V129" s="7"/>
      <c r="W129" s="7"/>
    </row>
    <row r="130" spans="1:23">
      <c r="C130" s="1231" t="s">
        <v>71</v>
      </c>
      <c r="D130" s="1232"/>
      <c r="E130" s="1232"/>
      <c r="F130" s="1233"/>
      <c r="G130" s="155"/>
      <c r="I130" s="1231" t="s">
        <v>71</v>
      </c>
      <c r="J130" s="1232"/>
      <c r="K130" s="1232"/>
      <c r="L130" s="1233"/>
      <c r="M130" s="113"/>
      <c r="N130" s="113"/>
      <c r="O130" s="7"/>
      <c r="P130" s="7"/>
      <c r="Q130" s="7"/>
    </row>
    <row r="131" spans="1:23">
      <c r="B131" s="1046" t="s">
        <v>45</v>
      </c>
      <c r="C131" s="14" t="s">
        <v>143</v>
      </c>
      <c r="D131" s="14" t="s">
        <v>144</v>
      </c>
      <c r="E131" s="14" t="s">
        <v>145</v>
      </c>
      <c r="F131" s="14" t="s">
        <v>146</v>
      </c>
      <c r="G131" s="7"/>
      <c r="H131" s="1046" t="s">
        <v>45</v>
      </c>
      <c r="I131" s="1046" t="str">
        <f>C131</f>
        <v>2012/13</v>
      </c>
      <c r="J131" s="1046" t="str">
        <f>D131</f>
        <v>2013/14</v>
      </c>
      <c r="K131" s="1046" t="str">
        <f>E131</f>
        <v>2014/15</v>
      </c>
      <c r="L131" s="1046" t="str">
        <f>F131</f>
        <v>2015/16</v>
      </c>
      <c r="M131" s="113"/>
      <c r="N131" s="113"/>
      <c r="O131" s="145"/>
      <c r="P131" s="145"/>
      <c r="Q131" s="145"/>
      <c r="R131" s="145"/>
      <c r="S131" s="145"/>
    </row>
    <row r="132" spans="1:23">
      <c r="B132" s="1046" t="s">
        <v>48</v>
      </c>
      <c r="C132" s="427">
        <v>2633.8539999999998</v>
      </c>
      <c r="D132" s="427">
        <v>2650.72</v>
      </c>
      <c r="E132" s="427">
        <v>2783.1889999999999</v>
      </c>
      <c r="F132" s="428">
        <v>2805.4769999999999</v>
      </c>
      <c r="G132" s="7"/>
      <c r="H132" s="1046" t="s">
        <v>48</v>
      </c>
      <c r="I132" s="417">
        <v>1520.6320000000001</v>
      </c>
      <c r="J132" s="417">
        <v>1750.7570000000001</v>
      </c>
      <c r="K132" s="417">
        <v>1985.549</v>
      </c>
      <c r="L132" s="429">
        <v>2202.6010000000001</v>
      </c>
      <c r="M132" s="113"/>
      <c r="N132" s="113"/>
      <c r="O132" s="145"/>
      <c r="P132" s="729"/>
      <c r="Q132" s="729"/>
      <c r="R132" s="729"/>
      <c r="S132" s="729"/>
    </row>
    <row r="133" spans="1:23">
      <c r="B133" s="1046" t="s">
        <v>49</v>
      </c>
      <c r="C133" s="427">
        <v>12001.398999999999</v>
      </c>
      <c r="D133" s="427">
        <v>11672.939</v>
      </c>
      <c r="E133" s="427">
        <v>11212.300999999999</v>
      </c>
      <c r="F133" s="428">
        <v>10814.566999999999</v>
      </c>
      <c r="G133" s="7"/>
      <c r="H133" s="1046" t="s">
        <v>49</v>
      </c>
      <c r="I133" s="417">
        <v>4838.1310000000003</v>
      </c>
      <c r="J133" s="417">
        <v>5392.6440000000002</v>
      </c>
      <c r="K133" s="417">
        <v>6027.674</v>
      </c>
      <c r="L133" s="429">
        <v>6371.741</v>
      </c>
      <c r="M133" s="113"/>
      <c r="N133" s="113"/>
      <c r="O133" s="145"/>
      <c r="P133" s="729"/>
      <c r="Q133" s="729"/>
      <c r="R133" s="729"/>
      <c r="S133" s="729"/>
    </row>
    <row r="134" spans="1:23">
      <c r="B134" s="1046" t="s">
        <v>50</v>
      </c>
      <c r="C134" s="427">
        <v>14167.946</v>
      </c>
      <c r="D134" s="427">
        <v>14191.83</v>
      </c>
      <c r="E134" s="427">
        <v>14024.355</v>
      </c>
      <c r="F134" s="428">
        <v>13561.727999999999</v>
      </c>
      <c r="G134" s="7"/>
      <c r="H134" s="1046" t="s">
        <v>50</v>
      </c>
      <c r="I134" s="417">
        <v>5134.1400000000003</v>
      </c>
      <c r="J134" s="417">
        <v>5449.6239999999998</v>
      </c>
      <c r="K134" s="417">
        <v>5632.1589999999997</v>
      </c>
      <c r="L134" s="429">
        <v>5887.6530000000002</v>
      </c>
      <c r="M134" s="113"/>
      <c r="N134" s="113"/>
      <c r="O134" s="145"/>
      <c r="P134" s="729"/>
      <c r="Q134" s="729"/>
      <c r="R134" s="729"/>
      <c r="S134" s="729"/>
    </row>
    <row r="135" spans="1:23">
      <c r="B135" s="1046" t="s">
        <v>51</v>
      </c>
      <c r="C135" s="427">
        <v>12193.583000000001</v>
      </c>
      <c r="D135" s="427">
        <v>12139.743</v>
      </c>
      <c r="E135" s="427">
        <v>12319.539000000001</v>
      </c>
      <c r="F135" s="428">
        <v>12607.425999999999</v>
      </c>
      <c r="G135" s="7"/>
      <c r="H135" s="1046" t="s">
        <v>51</v>
      </c>
      <c r="I135" s="417">
        <v>4655.9409999999998</v>
      </c>
      <c r="J135" s="417">
        <v>4700.1790000000001</v>
      </c>
      <c r="K135" s="417">
        <v>4915.2269999999999</v>
      </c>
      <c r="L135" s="429">
        <v>5058.2569999999996</v>
      </c>
      <c r="M135" s="113"/>
      <c r="N135" s="113"/>
      <c r="O135" s="145"/>
      <c r="P135" s="729"/>
      <c r="Q135" s="729"/>
      <c r="R135" s="729"/>
      <c r="S135" s="729"/>
    </row>
    <row r="136" spans="1:23">
      <c r="B136" s="1046" t="s">
        <v>52</v>
      </c>
      <c r="C136" s="427">
        <v>11826.986000000001</v>
      </c>
      <c r="D136" s="427">
        <v>11933.493</v>
      </c>
      <c r="E136" s="427">
        <v>11794.384</v>
      </c>
      <c r="F136" s="428">
        <v>11599.289000000001</v>
      </c>
      <c r="G136" s="7"/>
      <c r="H136" s="1046" t="s">
        <v>52</v>
      </c>
      <c r="I136" s="417">
        <v>4193.6480000000001</v>
      </c>
      <c r="J136" s="417">
        <v>4411.1869999999999</v>
      </c>
      <c r="K136" s="417">
        <v>4576.1760000000004</v>
      </c>
      <c r="L136" s="429">
        <v>4720.2209999999995</v>
      </c>
      <c r="M136" s="113"/>
      <c r="N136" s="113"/>
      <c r="O136" s="145"/>
      <c r="P136" s="729"/>
      <c r="Q136" s="729"/>
      <c r="R136" s="729"/>
      <c r="S136" s="729"/>
    </row>
    <row r="137" spans="1:23">
      <c r="B137" s="1046" t="s">
        <v>53</v>
      </c>
      <c r="C137" s="427">
        <v>9361.0020000000004</v>
      </c>
      <c r="D137" s="427">
        <v>9383.5460000000003</v>
      </c>
      <c r="E137" s="427">
        <v>9401.2170000000006</v>
      </c>
      <c r="F137" s="428">
        <v>9538.1810000000005</v>
      </c>
      <c r="G137" s="7"/>
      <c r="H137" s="1046" t="s">
        <v>53</v>
      </c>
      <c r="I137" s="417">
        <v>3456.4459999999999</v>
      </c>
      <c r="J137" s="417">
        <v>3513.2620000000002</v>
      </c>
      <c r="K137" s="417">
        <v>3580.056</v>
      </c>
      <c r="L137" s="429">
        <v>3574.6309999999999</v>
      </c>
      <c r="M137" s="113"/>
      <c r="N137" s="113"/>
      <c r="O137" s="145"/>
      <c r="P137" s="145"/>
      <c r="Q137" s="145"/>
      <c r="R137" s="115"/>
      <c r="S137" s="115"/>
    </row>
    <row r="138" spans="1:23">
      <c r="B138" s="1046" t="s">
        <v>54</v>
      </c>
      <c r="C138" s="427">
        <v>8958.0879999999997</v>
      </c>
      <c r="D138" s="427">
        <v>8621.6749999999993</v>
      </c>
      <c r="E138" s="427">
        <v>8231.7270000000008</v>
      </c>
      <c r="F138" s="428">
        <v>7962.6310000000003</v>
      </c>
      <c r="G138" s="7"/>
      <c r="H138" s="1046" t="s">
        <v>54</v>
      </c>
      <c r="I138" s="417">
        <v>2466.4589999999998</v>
      </c>
      <c r="J138" s="417">
        <v>2520.5309999999999</v>
      </c>
      <c r="K138" s="417">
        <v>2616.971</v>
      </c>
      <c r="L138" s="429">
        <v>2819.6610000000001</v>
      </c>
      <c r="M138" s="113"/>
      <c r="N138" s="113"/>
      <c r="O138" s="145"/>
      <c r="P138" s="145"/>
      <c r="Q138" s="145"/>
      <c r="R138" s="145"/>
      <c r="S138" s="145"/>
    </row>
    <row r="139" spans="1:23">
      <c r="B139" s="1046" t="s">
        <v>55</v>
      </c>
      <c r="C139" s="427">
        <v>7418.8530000000001</v>
      </c>
      <c r="D139" s="427">
        <v>6587.049</v>
      </c>
      <c r="E139" s="427">
        <v>6061.3850000000002</v>
      </c>
      <c r="F139" s="428">
        <v>5591.9889999999996</v>
      </c>
      <c r="G139" s="7"/>
      <c r="H139" s="1046" t="s">
        <v>55</v>
      </c>
      <c r="I139" s="417">
        <v>2190.3180000000002</v>
      </c>
      <c r="J139" s="417">
        <v>1979.7349999999999</v>
      </c>
      <c r="K139" s="417">
        <v>1702.2940000000001</v>
      </c>
      <c r="L139" s="429">
        <v>1554.8320000000001</v>
      </c>
      <c r="M139" s="113"/>
      <c r="N139" s="113"/>
      <c r="O139" s="145"/>
      <c r="P139" s="729"/>
      <c r="Q139" s="729"/>
      <c r="R139" s="729"/>
      <c r="S139" s="729"/>
    </row>
    <row r="140" spans="1:23">
      <c r="B140" s="1046" t="s">
        <v>56</v>
      </c>
      <c r="C140" s="427">
        <v>2462.7930000000001</v>
      </c>
      <c r="D140" s="427">
        <v>2334.4059999999999</v>
      </c>
      <c r="E140" s="427">
        <v>2120.0450000000001</v>
      </c>
      <c r="F140" s="428">
        <v>1932.6489999999999</v>
      </c>
      <c r="G140" s="7"/>
      <c r="H140" s="1046" t="s">
        <v>56</v>
      </c>
      <c r="I140" s="417">
        <v>752.19299999999998</v>
      </c>
      <c r="J140" s="417">
        <v>707.94399999999996</v>
      </c>
      <c r="K140" s="417">
        <v>640.995</v>
      </c>
      <c r="L140" s="429">
        <v>577.15200000000004</v>
      </c>
      <c r="M140" s="113"/>
      <c r="N140" s="113"/>
      <c r="O140" s="145"/>
      <c r="P140" s="729"/>
      <c r="Q140" s="729"/>
      <c r="R140" s="729"/>
      <c r="S140" s="729"/>
    </row>
    <row r="141" spans="1:23">
      <c r="B141" s="1046" t="s">
        <v>57</v>
      </c>
      <c r="C141" s="427">
        <v>433.43599999999998</v>
      </c>
      <c r="D141" s="427">
        <v>480.58800000000002</v>
      </c>
      <c r="E141" s="427">
        <v>485.28500000000003</v>
      </c>
      <c r="F141" s="428">
        <v>481.36</v>
      </c>
      <c r="G141" s="7"/>
      <c r="H141" s="1046" t="s">
        <v>57</v>
      </c>
      <c r="I141" s="417">
        <v>144.245</v>
      </c>
      <c r="J141" s="417">
        <v>147.08699999999999</v>
      </c>
      <c r="K141" s="417">
        <v>147.786</v>
      </c>
      <c r="L141" s="429">
        <v>155.78200000000001</v>
      </c>
      <c r="M141" s="113"/>
      <c r="N141" s="113"/>
      <c r="O141" s="145"/>
      <c r="P141" s="729"/>
      <c r="Q141" s="729"/>
      <c r="R141" s="729"/>
      <c r="S141" s="729"/>
    </row>
    <row r="142" spans="1:23">
      <c r="B142" s="1046" t="s">
        <v>8</v>
      </c>
      <c r="C142" s="418">
        <v>81457.94</v>
      </c>
      <c r="D142" s="418">
        <v>79995.989000000016</v>
      </c>
      <c r="E142" s="418">
        <v>78433.426999999996</v>
      </c>
      <c r="F142" s="418">
        <v>76895.296999999991</v>
      </c>
      <c r="G142" s="7"/>
      <c r="H142" s="1046" t="s">
        <v>8</v>
      </c>
      <c r="I142" s="418">
        <v>29352.152999999998</v>
      </c>
      <c r="J142" s="418">
        <v>30572.949999999993</v>
      </c>
      <c r="K142" s="418">
        <v>31824.887000000002</v>
      </c>
      <c r="L142" s="418">
        <v>32922.530999999995</v>
      </c>
      <c r="M142" s="113"/>
      <c r="N142" s="113"/>
      <c r="O142" s="145"/>
      <c r="P142" s="729"/>
      <c r="Q142" s="729"/>
      <c r="R142" s="729"/>
      <c r="S142" s="729"/>
    </row>
    <row r="143" spans="1:23">
      <c r="A143" s="174">
        <f>G143+M143</f>
        <v>0</v>
      </c>
      <c r="C143">
        <f>SUM(C132:C141)-C142</f>
        <v>0</v>
      </c>
      <c r="D143">
        <f t="shared" ref="D143:L143" si="0">SUM(D132:D141)-D142</f>
        <v>0</v>
      </c>
      <c r="E143">
        <f t="shared" si="0"/>
        <v>0</v>
      </c>
      <c r="F143">
        <f t="shared" si="0"/>
        <v>0</v>
      </c>
      <c r="G143">
        <f>SUM(C143:F143)</f>
        <v>0</v>
      </c>
      <c r="I143">
        <f t="shared" si="0"/>
        <v>0</v>
      </c>
      <c r="J143">
        <f t="shared" si="0"/>
        <v>0</v>
      </c>
      <c r="K143">
        <f t="shared" si="0"/>
        <v>0</v>
      </c>
      <c r="L143">
        <f t="shared" si="0"/>
        <v>0</v>
      </c>
      <c r="M143" s="113">
        <f>SUM(I143:L143)</f>
        <v>0</v>
      </c>
      <c r="N143" s="113"/>
      <c r="O143" s="145"/>
      <c r="P143" s="729"/>
      <c r="Q143" s="729"/>
      <c r="R143" s="729"/>
      <c r="S143" s="729"/>
    </row>
    <row r="144" spans="1:23">
      <c r="A144" s="174"/>
      <c r="M144" s="113"/>
      <c r="N144" s="113"/>
      <c r="O144" s="145"/>
      <c r="P144" s="145"/>
      <c r="Q144" s="145"/>
      <c r="R144" s="115"/>
      <c r="S144" s="115"/>
    </row>
    <row r="145" spans="1:19">
      <c r="B145" s="153" t="s">
        <v>125</v>
      </c>
      <c r="D145" s="7"/>
      <c r="E145" s="124"/>
      <c r="F145" s="111"/>
      <c r="G145" s="109"/>
      <c r="H145" s="153" t="s">
        <v>131</v>
      </c>
      <c r="J145" s="7"/>
      <c r="K145" s="124"/>
      <c r="L145" s="111"/>
      <c r="M145" s="113"/>
      <c r="N145" s="113"/>
      <c r="O145" s="145"/>
      <c r="P145" s="145"/>
      <c r="Q145" s="145"/>
      <c r="R145" s="145"/>
      <c r="S145" s="145"/>
    </row>
    <row r="146" spans="1:19">
      <c r="D146" s="7"/>
      <c r="E146" s="124"/>
      <c r="F146" s="111"/>
      <c r="G146" s="109"/>
      <c r="J146" s="7"/>
      <c r="K146" s="124"/>
      <c r="L146" s="111"/>
      <c r="M146" s="113"/>
      <c r="N146" s="113"/>
      <c r="O146" s="145"/>
      <c r="P146" s="1056"/>
      <c r="Q146" s="1056"/>
      <c r="R146" s="1056"/>
      <c r="S146" s="1056"/>
    </row>
    <row r="147" spans="1:19">
      <c r="C147" s="1231" t="s">
        <v>71</v>
      </c>
      <c r="D147" s="1232"/>
      <c r="E147" s="1232"/>
      <c r="F147" s="1233"/>
      <c r="G147" s="155"/>
      <c r="I147" s="1231" t="s">
        <v>71</v>
      </c>
      <c r="J147" s="1232"/>
      <c r="K147" s="1232"/>
      <c r="L147" s="1233"/>
      <c r="M147" s="113"/>
      <c r="N147" s="113"/>
      <c r="O147" s="145"/>
      <c r="P147" s="1057"/>
      <c r="Q147" s="1057"/>
      <c r="R147" s="1057"/>
      <c r="S147" s="1057"/>
    </row>
    <row r="148" spans="1:19">
      <c r="B148" s="1046" t="s">
        <v>45</v>
      </c>
      <c r="C148" s="1046" t="str">
        <f>C131</f>
        <v>2012/13</v>
      </c>
      <c r="D148" s="1046" t="str">
        <f>D131</f>
        <v>2013/14</v>
      </c>
      <c r="E148" s="1046" t="str">
        <f>E131</f>
        <v>2014/15</v>
      </c>
      <c r="F148" s="1046" t="str">
        <f>F131</f>
        <v>2015/16</v>
      </c>
      <c r="G148" s="7"/>
      <c r="H148" s="1046" t="s">
        <v>45</v>
      </c>
      <c r="I148" s="1046" t="str">
        <f>C148</f>
        <v>2012/13</v>
      </c>
      <c r="J148" s="1046" t="str">
        <f>D148</f>
        <v>2013/14</v>
      </c>
      <c r="K148" s="1046" t="str">
        <f>E148</f>
        <v>2014/15</v>
      </c>
      <c r="L148" s="1046" t="str">
        <f>F148</f>
        <v>2015/16</v>
      </c>
      <c r="M148" s="113"/>
      <c r="N148" s="113"/>
      <c r="O148" s="145"/>
      <c r="P148" s="1057"/>
      <c r="Q148" s="1057"/>
      <c r="R148" s="1057"/>
      <c r="S148" s="1057"/>
    </row>
    <row r="149" spans="1:19">
      <c r="B149" s="1046" t="s">
        <v>48</v>
      </c>
      <c r="C149" s="417">
        <v>306.83300000000003</v>
      </c>
      <c r="D149" s="417">
        <v>385.41300000000001</v>
      </c>
      <c r="E149" s="431">
        <v>416.62900000000002</v>
      </c>
      <c r="F149" s="432">
        <v>435.005</v>
      </c>
      <c r="G149" s="7"/>
      <c r="H149" s="1046" t="s">
        <v>48</v>
      </c>
      <c r="I149" s="417">
        <v>147.88300000000001</v>
      </c>
      <c r="J149" s="417">
        <v>207.41900000000001</v>
      </c>
      <c r="K149" s="431">
        <v>232.51</v>
      </c>
      <c r="L149" s="432">
        <v>291.69499999999999</v>
      </c>
      <c r="M149" s="113"/>
      <c r="N149" s="113"/>
      <c r="O149" s="145"/>
      <c r="P149" s="1057"/>
      <c r="Q149" s="1057"/>
      <c r="R149" s="1057"/>
      <c r="S149" s="1057"/>
    </row>
    <row r="150" spans="1:19">
      <c r="B150" s="1046" t="s">
        <v>49</v>
      </c>
      <c r="C150" s="417">
        <v>1098.6389999999999</v>
      </c>
      <c r="D150" s="417">
        <v>1190.2929999999999</v>
      </c>
      <c r="E150" s="431">
        <v>1371.136</v>
      </c>
      <c r="F150" s="432">
        <v>1272.221</v>
      </c>
      <c r="G150" s="7"/>
      <c r="H150" s="1046" t="s">
        <v>49</v>
      </c>
      <c r="I150" s="417">
        <v>506.47199999999998</v>
      </c>
      <c r="J150" s="417">
        <v>559.17600000000004</v>
      </c>
      <c r="K150" s="431">
        <v>656.00900000000001</v>
      </c>
      <c r="L150" s="432">
        <v>719.02300000000002</v>
      </c>
      <c r="M150" s="113"/>
      <c r="N150" s="113"/>
      <c r="O150" s="145"/>
      <c r="P150" s="1057"/>
      <c r="Q150" s="1057"/>
      <c r="R150" s="1057"/>
      <c r="S150" s="1057"/>
    </row>
    <row r="151" spans="1:19">
      <c r="B151" s="1046" t="s">
        <v>50</v>
      </c>
      <c r="C151" s="417">
        <v>963.04700000000003</v>
      </c>
      <c r="D151" s="417">
        <v>1022.341</v>
      </c>
      <c r="E151" s="431">
        <v>1115.6600000000001</v>
      </c>
      <c r="F151" s="432">
        <v>1134.4639999999999</v>
      </c>
      <c r="G151" s="7"/>
      <c r="H151" s="1046" t="s">
        <v>50</v>
      </c>
      <c r="I151" s="417">
        <v>400.84899999999999</v>
      </c>
      <c r="J151" s="417">
        <v>460.54</v>
      </c>
      <c r="K151" s="431">
        <v>556.71900000000005</v>
      </c>
      <c r="L151" s="432">
        <v>498.26900000000001</v>
      </c>
      <c r="M151" s="113"/>
      <c r="N151" s="113"/>
      <c r="O151" s="145"/>
      <c r="P151" s="145"/>
      <c r="Q151" s="145"/>
      <c r="R151" s="115"/>
      <c r="S151" s="115"/>
    </row>
    <row r="152" spans="1:19">
      <c r="B152" s="1046" t="s">
        <v>51</v>
      </c>
      <c r="C152" s="417">
        <v>747.83199999999999</v>
      </c>
      <c r="D152" s="417">
        <v>897.19600000000003</v>
      </c>
      <c r="E152" s="431">
        <v>946.89</v>
      </c>
      <c r="F152" s="432">
        <v>979.87199999999996</v>
      </c>
      <c r="G152" s="7"/>
      <c r="H152" s="1046" t="s">
        <v>51</v>
      </c>
      <c r="I152" s="417">
        <v>310.92700000000002</v>
      </c>
      <c r="J152" s="417">
        <v>369.88600000000002</v>
      </c>
      <c r="K152" s="431">
        <v>366.61700000000002</v>
      </c>
      <c r="L152" s="432">
        <v>377.77600000000001</v>
      </c>
      <c r="M152" s="113"/>
      <c r="N152" s="113"/>
      <c r="O152" s="7"/>
      <c r="P152" s="7"/>
      <c r="Q152" s="7"/>
    </row>
    <row r="153" spans="1:19">
      <c r="B153" s="1046" t="s">
        <v>52</v>
      </c>
      <c r="C153" s="417">
        <v>747.71900000000005</v>
      </c>
      <c r="D153" s="417">
        <v>887.55499999999995</v>
      </c>
      <c r="E153" s="431">
        <v>946.26099999999997</v>
      </c>
      <c r="F153" s="432">
        <v>853.53599999999994</v>
      </c>
      <c r="G153" s="7"/>
      <c r="H153" s="1046" t="s">
        <v>52</v>
      </c>
      <c r="I153" s="417">
        <v>290.24099999999999</v>
      </c>
      <c r="J153" s="417">
        <v>348.86700000000002</v>
      </c>
      <c r="K153" s="431">
        <v>374.82600000000002</v>
      </c>
      <c r="L153" s="432">
        <v>416.74599999999998</v>
      </c>
      <c r="M153" s="113"/>
      <c r="N153" s="113"/>
      <c r="O153" s="7"/>
      <c r="P153" s="7"/>
      <c r="Q153" s="7"/>
    </row>
    <row r="154" spans="1:19">
      <c r="B154" s="1046" t="s">
        <v>53</v>
      </c>
      <c r="C154" s="417">
        <v>672.13300000000004</v>
      </c>
      <c r="D154" s="417">
        <v>837.90599999999995</v>
      </c>
      <c r="E154" s="431">
        <v>842.52300000000002</v>
      </c>
      <c r="F154" s="432">
        <v>865.73599999999999</v>
      </c>
      <c r="G154" s="7"/>
      <c r="H154" s="1046" t="s">
        <v>53</v>
      </c>
      <c r="I154" s="417">
        <v>264.66199999999998</v>
      </c>
      <c r="J154" s="417">
        <v>317.72300000000001</v>
      </c>
      <c r="K154" s="431">
        <v>313.25700000000001</v>
      </c>
      <c r="L154" s="432">
        <v>318.39400000000001</v>
      </c>
      <c r="M154" s="113"/>
      <c r="N154" s="113"/>
      <c r="O154" s="7"/>
      <c r="P154" s="7"/>
      <c r="Q154" s="7"/>
    </row>
    <row r="155" spans="1:19">
      <c r="B155" s="1046" t="s">
        <v>54</v>
      </c>
      <c r="C155" s="417">
        <v>539.80999999999995</v>
      </c>
      <c r="D155" s="417">
        <v>623.22699999999998</v>
      </c>
      <c r="E155" s="431">
        <v>705.80399999999997</v>
      </c>
      <c r="F155" s="432">
        <v>766.35</v>
      </c>
      <c r="G155" s="7"/>
      <c r="H155" s="1046" t="s">
        <v>54</v>
      </c>
      <c r="I155" s="417">
        <v>156.05500000000001</v>
      </c>
      <c r="J155" s="417">
        <v>194.52199999999999</v>
      </c>
      <c r="K155" s="431">
        <v>222.24</v>
      </c>
      <c r="L155" s="432">
        <v>268.97300000000001</v>
      </c>
      <c r="M155" s="113"/>
      <c r="N155" s="113"/>
      <c r="O155" s="7"/>
      <c r="P155" s="7"/>
      <c r="Q155" s="7"/>
    </row>
    <row r="156" spans="1:19">
      <c r="B156" s="1046" t="s">
        <v>55</v>
      </c>
      <c r="C156" s="417">
        <v>210.18799999999999</v>
      </c>
      <c r="D156" s="417">
        <v>268.87200000000001</v>
      </c>
      <c r="E156" s="431">
        <v>345.41399999999999</v>
      </c>
      <c r="F156" s="432">
        <v>421.74400000000003</v>
      </c>
      <c r="G156" s="7"/>
      <c r="H156" s="1046" t="s">
        <v>55</v>
      </c>
      <c r="I156" s="417">
        <v>62.81</v>
      </c>
      <c r="J156" s="417">
        <v>90.108000000000004</v>
      </c>
      <c r="K156" s="431">
        <v>85.004999999999995</v>
      </c>
      <c r="L156" s="432">
        <v>120.486</v>
      </c>
      <c r="M156" s="113"/>
      <c r="N156" s="113"/>
      <c r="O156" s="7"/>
      <c r="P156" s="7"/>
      <c r="Q156" s="7"/>
    </row>
    <row r="157" spans="1:19">
      <c r="B157" s="1046" t="s">
        <v>56</v>
      </c>
      <c r="C157" s="417">
        <v>140.93100000000001</v>
      </c>
      <c r="D157" s="417">
        <v>116.892</v>
      </c>
      <c r="E157" s="431">
        <v>126.139</v>
      </c>
      <c r="F157" s="432">
        <v>117.209</v>
      </c>
      <c r="G157" s="7"/>
      <c r="H157" s="1046" t="s">
        <v>56</v>
      </c>
      <c r="I157" s="417">
        <v>38.286000000000001</v>
      </c>
      <c r="J157" s="417">
        <v>37.652999999999999</v>
      </c>
      <c r="K157" s="431">
        <v>37.963999999999999</v>
      </c>
      <c r="L157" s="432">
        <v>34.091000000000001</v>
      </c>
      <c r="M157" s="113"/>
      <c r="N157" s="113"/>
      <c r="O157" s="7"/>
      <c r="P157" s="7"/>
      <c r="Q157" s="7"/>
    </row>
    <row r="158" spans="1:19">
      <c r="B158" s="1046" t="s">
        <v>57</v>
      </c>
      <c r="C158" s="417">
        <v>32.116</v>
      </c>
      <c r="D158" s="417">
        <v>45.816000000000003</v>
      </c>
      <c r="E158" s="431">
        <v>56.072000000000003</v>
      </c>
      <c r="F158" s="432">
        <v>54.985999999999997</v>
      </c>
      <c r="G158" s="7"/>
      <c r="H158" s="1046" t="s">
        <v>57</v>
      </c>
      <c r="I158" s="417">
        <v>11.183999999999999</v>
      </c>
      <c r="J158" s="417">
        <v>15.725</v>
      </c>
      <c r="K158" s="431">
        <v>7.6159999999999997</v>
      </c>
      <c r="L158" s="432">
        <v>7.9880000000000004</v>
      </c>
      <c r="M158" s="113"/>
      <c r="N158" s="113"/>
      <c r="O158" s="7"/>
      <c r="P158" s="7"/>
      <c r="Q158" s="7"/>
    </row>
    <row r="159" spans="1:19">
      <c r="B159" s="1046" t="s">
        <v>8</v>
      </c>
      <c r="C159" s="417">
        <v>5459.2480000000005</v>
      </c>
      <c r="D159" s="417">
        <v>6275.5109999999995</v>
      </c>
      <c r="E159" s="431">
        <v>6872.5280000000002</v>
      </c>
      <c r="F159" s="431">
        <v>6901.1229999999996</v>
      </c>
      <c r="G159" s="7"/>
      <c r="H159" s="1046" t="s">
        <v>8</v>
      </c>
      <c r="I159" s="417">
        <v>2189.3690000000001</v>
      </c>
      <c r="J159" s="417">
        <v>2601.6189999999997</v>
      </c>
      <c r="K159" s="431">
        <v>2852.7629999999999</v>
      </c>
      <c r="L159" s="431">
        <v>3053.4409999999998</v>
      </c>
      <c r="M159" s="113"/>
      <c r="N159" s="113"/>
      <c r="O159" s="232"/>
      <c r="P159" s="232"/>
      <c r="Q159" s="232"/>
      <c r="R159" s="232"/>
    </row>
    <row r="160" spans="1:19">
      <c r="A160" s="174">
        <f>G160+M160</f>
        <v>0</v>
      </c>
      <c r="C160">
        <f>SUM(C149:C158)-C159</f>
        <v>0</v>
      </c>
      <c r="D160">
        <f>SUM(D149:D158)-D159</f>
        <v>0</v>
      </c>
      <c r="E160">
        <f>SUM(E149:E158)-E159</f>
        <v>0</v>
      </c>
      <c r="F160">
        <f>SUM(F149:F158)-F159</f>
        <v>0</v>
      </c>
      <c r="G160">
        <f>SUM(C160:F160)</f>
        <v>0</v>
      </c>
      <c r="I160">
        <f>SUM(I149:I158)-I159</f>
        <v>0</v>
      </c>
      <c r="J160">
        <f>SUM(J149:J158)-J159</f>
        <v>0</v>
      </c>
      <c r="K160">
        <f>SUM(K149:K158)-K159</f>
        <v>0</v>
      </c>
      <c r="L160">
        <f>SUM(L149:L158)-L159</f>
        <v>0</v>
      </c>
      <c r="M160" s="113">
        <f>SUM(I160:L160)</f>
        <v>0</v>
      </c>
      <c r="N160" s="113"/>
      <c r="O160" s="7"/>
      <c r="P160" s="7"/>
      <c r="Q160" s="7"/>
    </row>
    <row r="161" spans="1:17">
      <c r="D161" s="7"/>
      <c r="E161" s="124"/>
      <c r="F161" s="111"/>
      <c r="G161" s="109"/>
      <c r="J161" s="7"/>
      <c r="K161" s="124"/>
      <c r="L161" s="111"/>
      <c r="M161" s="113"/>
      <c r="N161" s="113"/>
      <c r="O161" s="7"/>
      <c r="P161" s="7"/>
      <c r="Q161" s="7"/>
    </row>
    <row r="162" spans="1:17">
      <c r="A162" s="171"/>
      <c r="B162" s="153" t="s">
        <v>323</v>
      </c>
      <c r="C162" s="302"/>
      <c r="D162" s="7"/>
      <c r="E162" s="124"/>
      <c r="F162" s="111"/>
      <c r="G162" s="109"/>
      <c r="H162" s="153" t="s">
        <v>324</v>
      </c>
      <c r="J162" s="7"/>
      <c r="K162" s="124"/>
      <c r="L162" s="111"/>
      <c r="M162" s="113"/>
      <c r="N162" s="113"/>
      <c r="O162" s="7"/>
      <c r="P162" s="7"/>
      <c r="Q162" s="7"/>
    </row>
    <row r="163" spans="1:17">
      <c r="B163" s="153"/>
      <c r="D163" s="7"/>
      <c r="E163" s="124"/>
      <c r="F163" s="111"/>
      <c r="G163" s="109"/>
      <c r="H163" s="153"/>
      <c r="J163" s="7"/>
      <c r="K163" s="124"/>
      <c r="L163" s="111"/>
      <c r="M163" s="113"/>
      <c r="N163" s="113"/>
      <c r="O163" s="452"/>
      <c r="P163" s="452"/>
      <c r="Q163" s="452"/>
    </row>
    <row r="164" spans="1:17">
      <c r="C164" s="1231" t="s">
        <v>71</v>
      </c>
      <c r="D164" s="1232"/>
      <c r="E164" s="1232"/>
      <c r="F164" s="1233"/>
      <c r="G164" s="155"/>
      <c r="I164" s="1231" t="s">
        <v>71</v>
      </c>
      <c r="J164" s="1232"/>
      <c r="K164" s="1232"/>
      <c r="L164" s="1233"/>
      <c r="M164" s="113"/>
      <c r="N164" s="113"/>
      <c r="O164" s="113"/>
      <c r="P164" s="113"/>
      <c r="Q164" s="113"/>
    </row>
    <row r="165" spans="1:17">
      <c r="B165" s="1046" t="s">
        <v>45</v>
      </c>
      <c r="C165" s="1046" t="str">
        <f>C148</f>
        <v>2012/13</v>
      </c>
      <c r="D165" s="1046" t="str">
        <f>D148</f>
        <v>2013/14</v>
      </c>
      <c r="E165" s="1046" t="str">
        <f>E148</f>
        <v>2014/15</v>
      </c>
      <c r="F165" s="1046" t="str">
        <f>F148</f>
        <v>2015/16</v>
      </c>
      <c r="G165" s="7"/>
      <c r="H165" s="1046" t="s">
        <v>45</v>
      </c>
      <c r="I165" s="1046" t="str">
        <f>C165</f>
        <v>2012/13</v>
      </c>
      <c r="J165" s="1046" t="str">
        <f>D165</f>
        <v>2013/14</v>
      </c>
      <c r="K165" s="1046" t="str">
        <f>E165</f>
        <v>2014/15</v>
      </c>
      <c r="L165" s="1046" t="str">
        <f>F165</f>
        <v>2015/16</v>
      </c>
      <c r="M165" s="113"/>
      <c r="N165" s="113"/>
      <c r="O165" s="7"/>
      <c r="P165" s="7"/>
      <c r="Q165" s="7"/>
    </row>
    <row r="166" spans="1:17">
      <c r="B166" s="1046" t="s">
        <v>48</v>
      </c>
      <c r="C166" s="417">
        <v>6919.8140000000003</v>
      </c>
      <c r="D166" s="417">
        <v>6525.3670000000002</v>
      </c>
      <c r="E166" s="417">
        <v>6817.1369999999997</v>
      </c>
      <c r="F166" s="430">
        <v>6882.7950000000001</v>
      </c>
      <c r="G166" s="7"/>
      <c r="H166" s="1046" t="s">
        <v>48</v>
      </c>
      <c r="I166" s="417">
        <v>12592.982</v>
      </c>
      <c r="J166" s="417">
        <v>13760.672</v>
      </c>
      <c r="K166" s="430">
        <v>14963.962</v>
      </c>
      <c r="L166" s="430">
        <v>15880.837</v>
      </c>
      <c r="M166" s="113"/>
      <c r="N166" s="113"/>
      <c r="O166" s="7"/>
      <c r="P166" s="7"/>
      <c r="Q166" s="7"/>
    </row>
    <row r="167" spans="1:17">
      <c r="B167" s="1046" t="s">
        <v>49</v>
      </c>
      <c r="C167" s="417">
        <v>25439.167000000001</v>
      </c>
      <c r="D167" s="417">
        <v>25050.094000000001</v>
      </c>
      <c r="E167" s="417">
        <v>24320.43</v>
      </c>
      <c r="F167" s="430">
        <v>23257.309000000001</v>
      </c>
      <c r="G167" s="7"/>
      <c r="H167" s="1046" t="s">
        <v>49</v>
      </c>
      <c r="I167" s="417">
        <v>32280.429</v>
      </c>
      <c r="J167" s="417">
        <v>33866.099000000002</v>
      </c>
      <c r="K167" s="430">
        <v>35002.156000000003</v>
      </c>
      <c r="L167" s="430">
        <v>36084.021999999997</v>
      </c>
      <c r="M167" s="113"/>
      <c r="N167" s="113"/>
      <c r="O167" s="7"/>
      <c r="P167" s="7"/>
      <c r="Q167" s="7"/>
    </row>
    <row r="168" spans="1:17">
      <c r="B168" s="1046" t="s">
        <v>50</v>
      </c>
      <c r="C168" s="417">
        <v>26808.471000000001</v>
      </c>
      <c r="D168" s="417">
        <v>27056.716</v>
      </c>
      <c r="E168" s="417">
        <v>26620.544000000002</v>
      </c>
      <c r="F168" s="430">
        <v>25761.623</v>
      </c>
      <c r="G168" s="7"/>
      <c r="H168" s="1046" t="s">
        <v>50</v>
      </c>
      <c r="I168" s="417">
        <v>32550.100999999999</v>
      </c>
      <c r="J168" s="417">
        <v>33001.625</v>
      </c>
      <c r="K168" s="430">
        <v>33276.052000000003</v>
      </c>
      <c r="L168" s="430">
        <v>33305.402999999998</v>
      </c>
      <c r="M168" s="113"/>
      <c r="N168" s="113"/>
      <c r="O168" s="7"/>
      <c r="P168" s="7"/>
      <c r="Q168" s="7"/>
    </row>
    <row r="169" spans="1:17">
      <c r="B169" s="1046" t="s">
        <v>51</v>
      </c>
      <c r="C169" s="417">
        <v>20511.047999999999</v>
      </c>
      <c r="D169" s="417">
        <v>21040.829000000002</v>
      </c>
      <c r="E169" s="417">
        <v>21945.52</v>
      </c>
      <c r="F169" s="430">
        <v>22789.451000000001</v>
      </c>
      <c r="G169" s="7"/>
      <c r="H169" s="1046" t="s">
        <v>51</v>
      </c>
      <c r="I169" s="417">
        <v>28328.204000000002</v>
      </c>
      <c r="J169" s="417">
        <v>28840.702000000001</v>
      </c>
      <c r="K169" s="430">
        <v>29761.575000000001</v>
      </c>
      <c r="L169" s="430">
        <v>30394.802</v>
      </c>
      <c r="M169" s="113"/>
      <c r="N169" s="113"/>
      <c r="O169" s="7"/>
      <c r="P169" s="7"/>
      <c r="Q169" s="7"/>
    </row>
    <row r="170" spans="1:17">
      <c r="B170" s="1046" t="s">
        <v>52</v>
      </c>
      <c r="C170" s="417">
        <v>16716.901000000002</v>
      </c>
      <c r="D170" s="417">
        <v>17689.817999999999</v>
      </c>
      <c r="E170" s="417">
        <v>18324.307000000001</v>
      </c>
      <c r="F170" s="430">
        <v>18565.616999999998</v>
      </c>
      <c r="G170" s="7"/>
      <c r="H170" s="1046" t="s">
        <v>52</v>
      </c>
      <c r="I170" s="417">
        <v>25380.601999999999</v>
      </c>
      <c r="J170" s="417">
        <v>26799.722000000002</v>
      </c>
      <c r="K170" s="430">
        <v>28073.974999999999</v>
      </c>
      <c r="L170" s="430">
        <v>28763.323</v>
      </c>
      <c r="M170" s="113"/>
      <c r="N170" s="113"/>
      <c r="O170" s="7"/>
      <c r="P170" s="7"/>
      <c r="Q170" s="7"/>
    </row>
    <row r="171" spans="1:17">
      <c r="B171" s="1046" t="s">
        <v>53</v>
      </c>
      <c r="C171" s="417">
        <v>13903.48</v>
      </c>
      <c r="D171" s="417">
        <v>13798.432000000001</v>
      </c>
      <c r="E171" s="417">
        <v>13971.267</v>
      </c>
      <c r="F171" s="430">
        <v>14034.052</v>
      </c>
      <c r="G171" s="7"/>
      <c r="H171" s="1046" t="s">
        <v>53</v>
      </c>
      <c r="I171" s="417">
        <v>23192.953000000001</v>
      </c>
      <c r="J171" s="417">
        <v>23727.492999999999</v>
      </c>
      <c r="K171" s="430">
        <v>24125.978999999999</v>
      </c>
      <c r="L171" s="430">
        <v>24098.191999999999</v>
      </c>
      <c r="M171" s="113"/>
      <c r="N171" s="113"/>
      <c r="O171" s="7"/>
      <c r="P171" s="7"/>
      <c r="Q171" s="7"/>
    </row>
    <row r="172" spans="1:17">
      <c r="B172" s="1046" t="s">
        <v>54</v>
      </c>
      <c r="C172" s="417">
        <v>13397.111000000001</v>
      </c>
      <c r="D172" s="417">
        <v>12645.290999999999</v>
      </c>
      <c r="E172" s="417">
        <v>12291.172</v>
      </c>
      <c r="F172" s="430">
        <v>11839.351000000001</v>
      </c>
      <c r="G172" s="7"/>
      <c r="H172" s="1046" t="s">
        <v>54</v>
      </c>
      <c r="I172" s="417">
        <v>18361.562999999998</v>
      </c>
      <c r="J172" s="417">
        <v>18123.674999999999</v>
      </c>
      <c r="K172" s="430">
        <v>18577.827000000001</v>
      </c>
      <c r="L172" s="430">
        <v>19247.541000000001</v>
      </c>
      <c r="M172" s="113"/>
      <c r="N172" s="113"/>
      <c r="O172" s="7"/>
      <c r="P172" s="7"/>
      <c r="Q172" s="7"/>
    </row>
    <row r="173" spans="1:17">
      <c r="B173" s="1046" t="s">
        <v>55</v>
      </c>
      <c r="C173" s="417">
        <v>11220.15</v>
      </c>
      <c r="D173" s="417">
        <v>10550.712</v>
      </c>
      <c r="E173" s="417">
        <v>9581.7749999999996</v>
      </c>
      <c r="F173" s="430">
        <v>8801.4560000000001</v>
      </c>
      <c r="G173" s="7"/>
      <c r="H173" s="1046" t="s">
        <v>55</v>
      </c>
      <c r="I173" s="417">
        <v>17576.541000000001</v>
      </c>
      <c r="J173" s="417">
        <v>16142.142</v>
      </c>
      <c r="K173" s="430">
        <v>14393.888000000001</v>
      </c>
      <c r="L173" s="430">
        <v>13074.165999999999</v>
      </c>
      <c r="M173" s="113"/>
      <c r="N173" s="113"/>
      <c r="O173" s="7"/>
      <c r="P173" s="7"/>
      <c r="Q173" s="7"/>
    </row>
    <row r="174" spans="1:17">
      <c r="B174" s="1046" t="s">
        <v>56</v>
      </c>
      <c r="C174" s="417">
        <v>2915.5929999999998</v>
      </c>
      <c r="D174" s="417">
        <v>2861.0729999999999</v>
      </c>
      <c r="E174" s="417">
        <v>2878.433</v>
      </c>
      <c r="F174" s="430">
        <v>2709.2310000000002</v>
      </c>
      <c r="G174" s="7"/>
      <c r="H174" s="1046" t="s">
        <v>56</v>
      </c>
      <c r="I174" s="417">
        <v>4905.2269999999999</v>
      </c>
      <c r="J174" s="417">
        <v>4923.1350000000002</v>
      </c>
      <c r="K174" s="430">
        <v>4881.8760000000002</v>
      </c>
      <c r="L174" s="430">
        <v>4727.3320000000003</v>
      </c>
      <c r="M174" s="113"/>
      <c r="N174" s="113"/>
      <c r="O174" s="7"/>
      <c r="P174" s="7"/>
      <c r="Q174" s="7"/>
    </row>
    <row r="175" spans="1:17">
      <c r="B175" s="1046" t="s">
        <v>57</v>
      </c>
      <c r="C175" s="417">
        <v>413.91800000000001</v>
      </c>
      <c r="D175" s="417">
        <v>471.73599999999999</v>
      </c>
      <c r="E175" s="417">
        <v>446.00900000000001</v>
      </c>
      <c r="F175" s="430">
        <v>477.56400000000002</v>
      </c>
      <c r="G175" s="7"/>
      <c r="H175" s="1046" t="s">
        <v>57</v>
      </c>
      <c r="I175" s="417">
        <v>722.08799999999997</v>
      </c>
      <c r="J175" s="417">
        <v>748.69500000000005</v>
      </c>
      <c r="K175" s="430">
        <v>787.31799999999998</v>
      </c>
      <c r="L175" s="430">
        <v>836.12</v>
      </c>
      <c r="M175" s="113"/>
      <c r="N175" s="113"/>
      <c r="O175" s="7"/>
      <c r="P175" s="7"/>
      <c r="Q175" s="7"/>
    </row>
    <row r="176" spans="1:17">
      <c r="B176" s="1046" t="s">
        <v>8</v>
      </c>
      <c r="C176" s="417">
        <v>138245.65299999999</v>
      </c>
      <c r="D176" s="417">
        <v>137690.06800000003</v>
      </c>
      <c r="E176" s="417">
        <v>137196.59400000001</v>
      </c>
      <c r="F176" s="417">
        <v>135118.44899999999</v>
      </c>
      <c r="G176" s="7"/>
      <c r="H176" s="1046" t="s">
        <v>8</v>
      </c>
      <c r="I176" s="417">
        <v>195890.69</v>
      </c>
      <c r="J176" s="417">
        <v>199933.96</v>
      </c>
      <c r="K176" s="417">
        <v>203844.60799999998</v>
      </c>
      <c r="L176" s="417">
        <v>206411.73799999998</v>
      </c>
      <c r="M176" s="113"/>
      <c r="N176" s="113"/>
      <c r="O176" s="7"/>
      <c r="P176" s="7"/>
      <c r="Q176" s="7"/>
    </row>
    <row r="177" spans="1:22">
      <c r="A177" s="174">
        <f>G177+M177</f>
        <v>0</v>
      </c>
      <c r="C177">
        <f>SUM(C166:C175)-C176</f>
        <v>0</v>
      </c>
      <c r="D177">
        <f>SUM(D166:D175)-D176</f>
        <v>0</v>
      </c>
      <c r="E177">
        <f>SUM(E166:E175)-E176</f>
        <v>0</v>
      </c>
      <c r="F177">
        <f>SUM(F166:F175)-F176</f>
        <v>0</v>
      </c>
      <c r="G177">
        <f>SUM(C177:F177)</f>
        <v>0</v>
      </c>
      <c r="I177">
        <f>SUM(I166:I175)-I176</f>
        <v>0</v>
      </c>
      <c r="J177">
        <f>SUM(J166:J175)-J176</f>
        <v>0</v>
      </c>
      <c r="K177">
        <f>SUM(K166:K175)-K176</f>
        <v>0</v>
      </c>
      <c r="L177">
        <f>SUM(L166:L175)-L176</f>
        <v>0</v>
      </c>
      <c r="M177" s="113">
        <f>SUM(I177:L177)</f>
        <v>0</v>
      </c>
      <c r="N177" s="113"/>
      <c r="O177" s="7"/>
      <c r="P177" s="7"/>
      <c r="Q177" s="7"/>
    </row>
    <row r="178" spans="1:22">
      <c r="A178" s="174"/>
      <c r="M178" s="113"/>
      <c r="N178" s="113"/>
      <c r="O178" s="7"/>
      <c r="P178" s="7"/>
      <c r="Q178" s="7"/>
    </row>
    <row r="179" spans="1:22">
      <c r="B179" s="153" t="s">
        <v>126</v>
      </c>
      <c r="C179" s="115"/>
      <c r="D179" s="145"/>
      <c r="E179" s="154"/>
      <c r="F179" s="154"/>
      <c r="G179" s="109"/>
      <c r="H179" s="153" t="s">
        <v>130</v>
      </c>
      <c r="I179" s="115"/>
      <c r="J179" s="145"/>
      <c r="K179" s="154"/>
      <c r="L179" s="154"/>
      <c r="M179" s="113"/>
      <c r="N179" s="113"/>
      <c r="O179" s="7"/>
      <c r="P179" s="7"/>
      <c r="Q179" s="7"/>
    </row>
    <row r="180" spans="1:22">
      <c r="C180" s="115"/>
      <c r="D180" s="145"/>
      <c r="E180" s="154"/>
      <c r="F180" s="154"/>
      <c r="G180" s="109"/>
      <c r="I180" s="115"/>
      <c r="J180" s="145"/>
      <c r="K180" s="154"/>
      <c r="L180" s="154"/>
      <c r="M180" s="113"/>
      <c r="N180" s="113"/>
      <c r="O180" s="7"/>
      <c r="P180" s="7"/>
      <c r="Q180" s="7"/>
    </row>
    <row r="181" spans="1:22">
      <c r="C181" s="1231" t="s">
        <v>71</v>
      </c>
      <c r="D181" s="1232"/>
      <c r="E181" s="1232"/>
      <c r="F181" s="1233"/>
      <c r="G181" s="155"/>
      <c r="I181" s="1231" t="s">
        <v>71</v>
      </c>
      <c r="J181" s="1232"/>
      <c r="K181" s="1232"/>
      <c r="L181" s="1233"/>
      <c r="M181" s="113"/>
      <c r="N181" s="113"/>
      <c r="O181" s="7"/>
      <c r="P181" s="7"/>
      <c r="Q181" s="7"/>
    </row>
    <row r="182" spans="1:22">
      <c r="B182" s="1046" t="s">
        <v>45</v>
      </c>
      <c r="C182" s="1046" t="str">
        <f>C148</f>
        <v>2012/13</v>
      </c>
      <c r="D182" s="1046" t="str">
        <f>D148</f>
        <v>2013/14</v>
      </c>
      <c r="E182" s="1046" t="str">
        <f>E148</f>
        <v>2014/15</v>
      </c>
      <c r="F182" s="1046" t="str">
        <f>F148</f>
        <v>2015/16</v>
      </c>
      <c r="G182" s="7"/>
      <c r="H182" s="1046" t="s">
        <v>45</v>
      </c>
      <c r="I182" s="1046" t="str">
        <f>C182</f>
        <v>2012/13</v>
      </c>
      <c r="J182" s="1046" t="str">
        <f>D182</f>
        <v>2013/14</v>
      </c>
      <c r="K182" s="1046" t="str">
        <f>E182</f>
        <v>2014/15</v>
      </c>
      <c r="L182" s="1046" t="str">
        <f>F182</f>
        <v>2015/16</v>
      </c>
      <c r="M182" s="113"/>
      <c r="N182" s="113"/>
      <c r="O182" s="7"/>
      <c r="P182" s="7"/>
      <c r="Q182" s="7"/>
    </row>
    <row r="183" spans="1:22">
      <c r="B183" s="1046" t="s">
        <v>48</v>
      </c>
      <c r="C183" s="417">
        <v>724.58799999999997</v>
      </c>
      <c r="D183" s="417">
        <v>746.19500000000005</v>
      </c>
      <c r="E183" s="431">
        <v>927.33500000000004</v>
      </c>
      <c r="F183" s="431">
        <v>901.11599999999999</v>
      </c>
      <c r="G183" s="7"/>
      <c r="H183" s="1046" t="s">
        <v>48</v>
      </c>
      <c r="I183" s="417">
        <v>1014.803</v>
      </c>
      <c r="J183" s="417">
        <v>1301.182</v>
      </c>
      <c r="K183" s="431">
        <v>1541.5730000000001</v>
      </c>
      <c r="L183" s="431">
        <v>1633.624</v>
      </c>
      <c r="M183" s="113"/>
      <c r="N183" s="113"/>
      <c r="O183" s="7"/>
      <c r="P183" s="7"/>
      <c r="Q183" s="7"/>
    </row>
    <row r="184" spans="1:22">
      <c r="B184" s="1046" t="s">
        <v>49</v>
      </c>
      <c r="C184" s="417">
        <v>2372.8560000000002</v>
      </c>
      <c r="D184" s="417">
        <v>2448.9560000000001</v>
      </c>
      <c r="E184" s="431">
        <v>2603.9059999999999</v>
      </c>
      <c r="F184" s="431">
        <v>2532.4639999999999</v>
      </c>
      <c r="G184" s="7"/>
      <c r="H184" s="1046" t="s">
        <v>49</v>
      </c>
      <c r="I184" s="417">
        <v>2556.4029999999998</v>
      </c>
      <c r="J184" s="417">
        <v>2991.4110000000001</v>
      </c>
      <c r="K184" s="431">
        <v>3329.7330000000002</v>
      </c>
      <c r="L184" s="431">
        <v>3301.8490000000002</v>
      </c>
      <c r="M184" s="113"/>
      <c r="N184" s="113"/>
      <c r="O184" s="7"/>
      <c r="P184" s="7"/>
      <c r="Q184" s="7"/>
    </row>
    <row r="185" spans="1:22">
      <c r="B185" s="1046" t="s">
        <v>50</v>
      </c>
      <c r="C185" s="417">
        <v>2164.2669999999998</v>
      </c>
      <c r="D185" s="417">
        <v>2215.326</v>
      </c>
      <c r="E185" s="431">
        <v>2479.7449999999999</v>
      </c>
      <c r="F185" s="431">
        <v>2246.1880000000001</v>
      </c>
      <c r="G185" s="7"/>
      <c r="H185" s="1046" t="s">
        <v>50</v>
      </c>
      <c r="I185" s="417">
        <v>2381.8910000000001</v>
      </c>
      <c r="J185" s="417">
        <v>2666.605</v>
      </c>
      <c r="K185" s="431">
        <v>2800.451</v>
      </c>
      <c r="L185" s="431">
        <v>2782.297</v>
      </c>
      <c r="M185" s="113"/>
      <c r="N185" s="113"/>
      <c r="O185" s="7"/>
      <c r="P185" s="7"/>
      <c r="Q185" s="7"/>
    </row>
    <row r="186" spans="1:22">
      <c r="B186" s="1046" t="s">
        <v>51</v>
      </c>
      <c r="C186" s="417">
        <v>1467.1590000000001</v>
      </c>
      <c r="D186" s="417">
        <v>1663.9559999999999</v>
      </c>
      <c r="E186" s="431">
        <v>1848.1030000000001</v>
      </c>
      <c r="F186" s="431">
        <v>1922.64</v>
      </c>
      <c r="G186" s="7"/>
      <c r="H186" s="1046" t="s">
        <v>51</v>
      </c>
      <c r="I186" s="417">
        <v>1994.4</v>
      </c>
      <c r="J186" s="417">
        <v>2092.6790000000001</v>
      </c>
      <c r="K186" s="431">
        <v>2486.1860000000001</v>
      </c>
      <c r="L186" s="431">
        <v>2382.835</v>
      </c>
      <c r="M186" s="113"/>
      <c r="N186" s="113"/>
      <c r="O186" s="7"/>
      <c r="P186" s="7"/>
      <c r="Q186" s="7"/>
    </row>
    <row r="187" spans="1:22">
      <c r="B187" s="1046" t="s">
        <v>52</v>
      </c>
      <c r="C187" s="417">
        <v>1205.376</v>
      </c>
      <c r="D187" s="417">
        <v>1332.09</v>
      </c>
      <c r="E187" s="431">
        <v>1572.6859999999999</v>
      </c>
      <c r="F187" s="431">
        <v>1523.4939999999999</v>
      </c>
      <c r="G187" s="7"/>
      <c r="H187" s="1046" t="s">
        <v>52</v>
      </c>
      <c r="I187" s="417">
        <v>1690.1969999999999</v>
      </c>
      <c r="J187" s="417">
        <v>1951.5989999999999</v>
      </c>
      <c r="K187" s="431">
        <v>2061.6819999999998</v>
      </c>
      <c r="L187" s="431">
        <v>2096.2199999999998</v>
      </c>
      <c r="M187" s="113"/>
      <c r="N187" s="113"/>
      <c r="O187" s="7"/>
      <c r="P187" s="7"/>
      <c r="Q187" s="7"/>
    </row>
    <row r="188" spans="1:22">
      <c r="B188" s="1046" t="s">
        <v>53</v>
      </c>
      <c r="C188" s="417">
        <v>1048.8130000000001</v>
      </c>
      <c r="D188" s="417">
        <v>1123.3679999999999</v>
      </c>
      <c r="E188" s="431">
        <v>1289.7940000000001</v>
      </c>
      <c r="F188" s="431">
        <v>1289.3009999999999</v>
      </c>
      <c r="G188" s="7"/>
      <c r="H188" s="1046" t="s">
        <v>53</v>
      </c>
      <c r="I188" s="417">
        <v>1531.7819999999999</v>
      </c>
      <c r="J188" s="417">
        <v>1795.9380000000001</v>
      </c>
      <c r="K188" s="431">
        <v>1936.547</v>
      </c>
      <c r="L188" s="431">
        <v>1853.357</v>
      </c>
      <c r="M188" s="113"/>
      <c r="N188" s="113"/>
      <c r="O188" s="7"/>
      <c r="P188" s="7"/>
      <c r="Q188" s="7"/>
    </row>
    <row r="189" spans="1:22" ht="15">
      <c r="B189" s="1046" t="s">
        <v>54</v>
      </c>
      <c r="C189" s="417">
        <v>858.81600000000003</v>
      </c>
      <c r="D189" s="417">
        <v>859.649</v>
      </c>
      <c r="E189" s="431">
        <v>1142.32</v>
      </c>
      <c r="F189" s="431">
        <v>1173.5340000000001</v>
      </c>
      <c r="G189" s="7"/>
      <c r="H189" s="1046" t="s">
        <v>54</v>
      </c>
      <c r="I189" s="417">
        <v>1130.0450000000001</v>
      </c>
      <c r="J189" s="417">
        <v>1415.385</v>
      </c>
      <c r="K189" s="431">
        <v>1558.1130000000001</v>
      </c>
      <c r="L189" s="431">
        <v>1749.6379999999999</v>
      </c>
      <c r="M189" s="113"/>
      <c r="N189" s="246"/>
      <c r="O189" s="1"/>
      <c r="P189" s="1"/>
      <c r="Q189" s="1"/>
      <c r="R189" s="1"/>
      <c r="S189" s="1"/>
      <c r="T189" s="1"/>
      <c r="U189" s="1"/>
      <c r="V189" s="1"/>
    </row>
    <row r="190" spans="1:22" ht="15">
      <c r="B190" s="1046" t="s">
        <v>55</v>
      </c>
      <c r="C190" s="417">
        <v>295.77</v>
      </c>
      <c r="D190" s="417">
        <v>411.54300000000001</v>
      </c>
      <c r="E190" s="431">
        <v>556.71900000000005</v>
      </c>
      <c r="F190" s="431">
        <v>647.55700000000002</v>
      </c>
      <c r="G190" s="7"/>
      <c r="H190" s="1046" t="s">
        <v>55</v>
      </c>
      <c r="I190" s="417">
        <v>418.64100000000002</v>
      </c>
      <c r="J190" s="417">
        <v>611.21199999999999</v>
      </c>
      <c r="K190" s="431">
        <v>758.43700000000001</v>
      </c>
      <c r="L190" s="431">
        <v>891.53200000000004</v>
      </c>
      <c r="M190" s="113"/>
      <c r="N190" s="246"/>
      <c r="O190" s="1"/>
      <c r="P190" s="1"/>
      <c r="Q190" s="1"/>
      <c r="R190" s="1"/>
      <c r="S190" s="1"/>
      <c r="T190" s="1"/>
      <c r="U190" s="1"/>
      <c r="V190" s="1"/>
    </row>
    <row r="191" spans="1:22">
      <c r="B191" s="1046" t="s">
        <v>56</v>
      </c>
      <c r="C191" s="417">
        <v>128.21</v>
      </c>
      <c r="D191" s="417">
        <v>131.48099999999999</v>
      </c>
      <c r="E191" s="431">
        <v>142.827</v>
      </c>
      <c r="F191" s="431">
        <v>160.30099999999999</v>
      </c>
      <c r="G191" s="7"/>
      <c r="H191" s="1046" t="s">
        <v>56</v>
      </c>
      <c r="I191" s="417">
        <v>214.54300000000001</v>
      </c>
      <c r="J191" s="417">
        <v>216.43600000000001</v>
      </c>
      <c r="K191" s="431">
        <v>190.626</v>
      </c>
      <c r="L191" s="431">
        <v>204.84399999999999</v>
      </c>
      <c r="M191" s="113"/>
      <c r="N191" s="247"/>
      <c r="O191" s="247"/>
      <c r="P191" s="247"/>
      <c r="Q191" s="247"/>
      <c r="R191" s="247"/>
      <c r="S191" s="247"/>
      <c r="T191" s="247"/>
      <c r="U191" s="247"/>
      <c r="V191" s="247"/>
    </row>
    <row r="192" spans="1:22">
      <c r="B192" s="1046" t="s">
        <v>57</v>
      </c>
      <c r="C192" s="417">
        <v>22.446999999999999</v>
      </c>
      <c r="D192" s="417">
        <v>47.499000000000002</v>
      </c>
      <c r="E192" s="431">
        <v>36.417999999999999</v>
      </c>
      <c r="F192" s="431">
        <v>32.216000000000001</v>
      </c>
      <c r="G192" s="7"/>
      <c r="H192" s="1046" t="s">
        <v>57</v>
      </c>
      <c r="I192" s="417">
        <v>45.73</v>
      </c>
      <c r="J192" s="417">
        <v>61.237000000000002</v>
      </c>
      <c r="K192" s="431">
        <v>60.03</v>
      </c>
      <c r="L192" s="431">
        <v>57.462000000000003</v>
      </c>
      <c r="M192" s="113"/>
      <c r="N192" s="248"/>
      <c r="O192" s="249"/>
      <c r="P192" s="247"/>
      <c r="Q192" s="249"/>
      <c r="R192" s="1"/>
      <c r="S192" s="249"/>
      <c r="T192" s="247"/>
      <c r="U192" s="247"/>
      <c r="V192" s="247"/>
    </row>
    <row r="193" spans="1:22">
      <c r="B193" s="1046" t="s">
        <v>8</v>
      </c>
      <c r="C193" s="417">
        <v>10288.302000000001</v>
      </c>
      <c r="D193" s="417">
        <v>10980.063</v>
      </c>
      <c r="E193" s="431">
        <v>12599.852999999999</v>
      </c>
      <c r="F193" s="431">
        <v>12428.811</v>
      </c>
      <c r="G193" s="7"/>
      <c r="H193" s="1046" t="s">
        <v>8</v>
      </c>
      <c r="I193" s="417">
        <v>12978.434999999998</v>
      </c>
      <c r="J193" s="417">
        <v>15103.683999999999</v>
      </c>
      <c r="K193" s="431">
        <v>16723.378000000001</v>
      </c>
      <c r="L193" s="431">
        <v>16953.657999999999</v>
      </c>
      <c r="M193" s="113"/>
      <c r="N193" s="248"/>
      <c r="O193" s="249"/>
      <c r="P193" s="1"/>
      <c r="Q193" s="249"/>
      <c r="R193" s="1"/>
      <c r="S193" s="249"/>
      <c r="T193" s="1"/>
      <c r="U193" s="1"/>
      <c r="V193" s="1"/>
    </row>
    <row r="194" spans="1:22">
      <c r="A194" s="174">
        <f>G194+M194</f>
        <v>0</v>
      </c>
      <c r="C194">
        <f>SUM(C183:C192)-C193</f>
        <v>0</v>
      </c>
      <c r="D194">
        <f>SUM(D183:D192)-D193</f>
        <v>0</v>
      </c>
      <c r="E194">
        <f>SUM(E183:E192)-E193</f>
        <v>0</v>
      </c>
      <c r="F194">
        <f>SUM(F183:F192)-F193</f>
        <v>0</v>
      </c>
      <c r="G194">
        <f>SUM(C194:F194)</f>
        <v>0</v>
      </c>
      <c r="I194">
        <f>SUM(I183:I192)-I193</f>
        <v>0</v>
      </c>
      <c r="J194">
        <f>SUM(J183:J192)-J193</f>
        <v>0</v>
      </c>
      <c r="K194">
        <f>SUM(K183:K192)-K193</f>
        <v>0</v>
      </c>
      <c r="L194">
        <f>SUM(L183:L192)-L193</f>
        <v>0</v>
      </c>
      <c r="M194" s="113">
        <f>SUM(I194:L194)</f>
        <v>0</v>
      </c>
      <c r="N194" s="248"/>
      <c r="O194" s="249"/>
      <c r="P194" s="1"/>
      <c r="Q194" s="249"/>
      <c r="R194" s="1"/>
      <c r="S194" s="249"/>
      <c r="T194" s="1"/>
      <c r="U194" s="1"/>
      <c r="V194" s="1"/>
    </row>
    <row r="195" spans="1:22">
      <c r="C195" s="302"/>
      <c r="D195" s="302"/>
      <c r="E195" s="302"/>
      <c r="F195" s="302"/>
      <c r="G195" s="109"/>
      <c r="H195" s="109"/>
      <c r="I195" s="109"/>
      <c r="J195" s="112"/>
      <c r="K195" s="113"/>
      <c r="L195" s="113"/>
      <c r="M195" s="113"/>
      <c r="N195" s="248"/>
      <c r="O195" s="249"/>
      <c r="P195" s="1"/>
      <c r="Q195" s="249"/>
      <c r="R195" s="1"/>
      <c r="S195" s="249"/>
      <c r="T195" s="1"/>
      <c r="U195" s="1"/>
      <c r="V195" s="1"/>
    </row>
    <row r="196" spans="1:22" ht="18">
      <c r="B196" s="38" t="s">
        <v>645</v>
      </c>
      <c r="C196" s="38"/>
      <c r="D196" s="127"/>
      <c r="E196" s="128"/>
      <c r="F196" s="12"/>
      <c r="H196" s="12"/>
      <c r="J196" s="12" t="s">
        <v>1400</v>
      </c>
      <c r="L196" s="880" t="s">
        <v>147</v>
      </c>
      <c r="M196" s="5" t="s">
        <v>64</v>
      </c>
      <c r="N196" s="2"/>
      <c r="O196" s="249"/>
      <c r="P196" s="1"/>
      <c r="Q196" s="249"/>
      <c r="R196" s="1"/>
      <c r="S196" s="249"/>
      <c r="T196" s="1"/>
      <c r="U196" s="1"/>
      <c r="V196" s="1"/>
    </row>
    <row r="197" spans="1:22">
      <c r="D197" s="7"/>
      <c r="E197" s="125"/>
      <c r="F197" s="126"/>
      <c r="G197" s="124"/>
      <c r="H197" s="124"/>
      <c r="I197" s="124"/>
      <c r="J197" s="124"/>
      <c r="K197" s="124"/>
      <c r="L197" s="124"/>
      <c r="M197" s="113"/>
      <c r="N197" s="248"/>
      <c r="O197" s="249"/>
      <c r="P197" s="1"/>
      <c r="Q197" s="249"/>
      <c r="R197" s="1"/>
      <c r="S197" s="249"/>
      <c r="T197" s="1"/>
      <c r="U197" s="1"/>
      <c r="V197" s="1"/>
    </row>
    <row r="198" spans="1:22">
      <c r="B198" s="12" t="s">
        <v>1398</v>
      </c>
      <c r="C198" s="1018" t="s">
        <v>1638</v>
      </c>
      <c r="F198" s="12"/>
      <c r="G198" s="7"/>
      <c r="H198" s="7"/>
      <c r="I198" s="267"/>
      <c r="J198" s="269"/>
      <c r="M198" s="113"/>
      <c r="N198" s="248"/>
      <c r="O198" s="249"/>
      <c r="P198" s="1"/>
      <c r="Q198" s="249"/>
      <c r="R198" s="1"/>
      <c r="S198" s="249"/>
      <c r="T198" s="1"/>
      <c r="U198" s="1"/>
      <c r="V198" s="1"/>
    </row>
    <row r="199" spans="1:22" ht="15">
      <c r="G199" s="7"/>
      <c r="H199" s="7"/>
      <c r="I199" s="267"/>
      <c r="M199" s="113"/>
      <c r="N199" s="250"/>
      <c r="O199" s="1"/>
      <c r="P199" s="1"/>
      <c r="Q199" s="1"/>
      <c r="R199" s="1"/>
      <c r="S199" s="1"/>
      <c r="T199" s="1"/>
      <c r="U199" s="1"/>
      <c r="V199" s="1"/>
    </row>
    <row r="200" spans="1:22" ht="15">
      <c r="B200" s="12" t="s">
        <v>61</v>
      </c>
      <c r="C200" s="114" t="s">
        <v>1402</v>
      </c>
      <c r="G200" s="7"/>
      <c r="H200" s="7"/>
      <c r="M200" s="113"/>
      <c r="N200" s="251"/>
      <c r="O200" s="1"/>
      <c r="P200" s="1"/>
      <c r="Q200" s="1"/>
      <c r="R200" s="1"/>
      <c r="S200" s="1"/>
      <c r="T200" s="1"/>
      <c r="U200" s="1"/>
      <c r="V200" s="1"/>
    </row>
    <row r="201" spans="1:22">
      <c r="G201" s="7"/>
      <c r="H201" s="7"/>
      <c r="M201" s="113"/>
      <c r="N201" s="248"/>
      <c r="O201" s="248"/>
      <c r="P201" s="248"/>
      <c r="Q201" s="248"/>
      <c r="R201" s="248"/>
      <c r="S201" s="248"/>
      <c r="T201" s="248"/>
      <c r="U201" s="248"/>
      <c r="V201" s="248"/>
    </row>
    <row r="202" spans="1:22" ht="13.15" customHeight="1">
      <c r="B202" s="12" t="s">
        <v>62</v>
      </c>
      <c r="C202" s="1249" t="s">
        <v>1637</v>
      </c>
      <c r="D202" s="1249"/>
      <c r="E202" s="1249"/>
      <c r="F202" s="1249"/>
      <c r="G202" s="1249"/>
      <c r="H202" s="1249"/>
      <c r="I202" s="1249"/>
      <c r="J202" s="1249"/>
      <c r="K202" s="1249"/>
      <c r="L202" s="1249"/>
      <c r="M202" s="1249"/>
      <c r="N202" s="248"/>
      <c r="O202" s="249"/>
      <c r="P202" s="1"/>
      <c r="Q202" s="249"/>
      <c r="R202" s="247"/>
      <c r="S202" s="249"/>
      <c r="T202" s="247"/>
      <c r="U202" s="247"/>
      <c r="V202" s="247"/>
    </row>
    <row r="203" spans="1:22">
      <c r="B203" s="12"/>
      <c r="C203" s="1249"/>
      <c r="D203" s="1249"/>
      <c r="E203" s="1249"/>
      <c r="F203" s="1249"/>
      <c r="G203" s="1249"/>
      <c r="H203" s="1249"/>
      <c r="I203" s="1249"/>
      <c r="J203" s="1249"/>
      <c r="K203" s="1249"/>
      <c r="L203" s="1249"/>
      <c r="M203" s="1249"/>
      <c r="N203" s="248"/>
      <c r="O203" s="249"/>
      <c r="P203" s="1"/>
      <c r="Q203" s="249"/>
      <c r="R203" s="247"/>
      <c r="S203" s="249"/>
      <c r="T203" s="247"/>
      <c r="U203" s="247"/>
      <c r="V203" s="247"/>
    </row>
    <row r="204" spans="1:22">
      <c r="G204" s="7"/>
      <c r="H204" s="7"/>
      <c r="M204" s="113"/>
      <c r="N204" s="248"/>
      <c r="O204" s="249"/>
      <c r="P204" s="1"/>
      <c r="Q204" s="249"/>
      <c r="R204" s="1"/>
      <c r="S204" s="249"/>
      <c r="T204" s="1"/>
      <c r="U204" s="1"/>
      <c r="V204" s="1"/>
    </row>
    <row r="205" spans="1:22">
      <c r="B205" s="158"/>
      <c r="C205" s="1048" t="s">
        <v>146</v>
      </c>
      <c r="D205" s="463" t="s">
        <v>147</v>
      </c>
      <c r="E205" s="463" t="s">
        <v>148</v>
      </c>
      <c r="F205" s="463" t="s">
        <v>149</v>
      </c>
      <c r="G205" s="463" t="s">
        <v>150</v>
      </c>
      <c r="H205" s="463" t="s">
        <v>151</v>
      </c>
      <c r="I205" s="463" t="s">
        <v>152</v>
      </c>
      <c r="J205" s="244"/>
      <c r="K205" s="244"/>
      <c r="L205" s="113"/>
      <c r="M205" s="113"/>
      <c r="N205" s="248"/>
      <c r="O205" s="249"/>
      <c r="P205" s="1"/>
      <c r="Q205" s="249"/>
      <c r="R205" s="1"/>
      <c r="S205" s="249"/>
      <c r="T205" s="1"/>
      <c r="U205" s="1"/>
      <c r="V205" s="1"/>
    </row>
    <row r="206" spans="1:22">
      <c r="B206" s="1049" t="s">
        <v>239</v>
      </c>
      <c r="C206" s="467">
        <v>1</v>
      </c>
      <c r="D206" s="467">
        <v>1.04995184684276</v>
      </c>
      <c r="E206" s="467">
        <v>1.04558216311712</v>
      </c>
      <c r="F206" s="467">
        <v>0.99172144784396399</v>
      </c>
      <c r="G206" s="467">
        <v>1.03584537350521</v>
      </c>
      <c r="H206" s="467">
        <v>1.0285652488977699</v>
      </c>
      <c r="I206" s="467">
        <v>1.0285652488977699</v>
      </c>
      <c r="J206" s="245"/>
      <c r="K206" s="245"/>
      <c r="L206" s="113"/>
      <c r="M206" s="113"/>
      <c r="N206" s="248"/>
      <c r="O206" s="249"/>
      <c r="P206" s="1"/>
      <c r="Q206" s="249"/>
      <c r="R206" s="1"/>
      <c r="S206" s="249"/>
      <c r="T206" s="1"/>
      <c r="U206" s="1"/>
      <c r="V206" s="1"/>
    </row>
    <row r="207" spans="1:22">
      <c r="B207" s="1049" t="s">
        <v>254</v>
      </c>
      <c r="C207" s="467">
        <v>1</v>
      </c>
      <c r="D207" s="467">
        <v>1.04995184684276</v>
      </c>
      <c r="E207" s="467">
        <v>1.04558216311712</v>
      </c>
      <c r="F207" s="467">
        <v>1.0079887616902601</v>
      </c>
      <c r="G207" s="467">
        <v>1.04581566263681</v>
      </c>
      <c r="H207" s="467">
        <v>1.0261777775287699</v>
      </c>
      <c r="I207" s="467">
        <v>1.0261777775287699</v>
      </c>
      <c r="J207" s="245"/>
      <c r="K207" s="245"/>
      <c r="L207" s="113"/>
      <c r="M207" s="113"/>
      <c r="N207" s="248"/>
      <c r="O207" s="249"/>
      <c r="P207" s="1"/>
      <c r="Q207" s="249"/>
      <c r="R207" s="1"/>
      <c r="S207" s="249"/>
      <c r="T207" s="1"/>
      <c r="U207" s="1"/>
      <c r="V207" s="1"/>
    </row>
    <row r="208" spans="1:22">
      <c r="B208" s="1049" t="s">
        <v>240</v>
      </c>
      <c r="C208" s="467">
        <v>1</v>
      </c>
      <c r="D208" s="467">
        <v>1.04995184684276</v>
      </c>
      <c r="E208" s="467">
        <v>1.0670969975589999</v>
      </c>
      <c r="F208" s="467">
        <v>1.0074640096306999</v>
      </c>
      <c r="G208" s="467">
        <v>1.0519850838847999</v>
      </c>
      <c r="H208" s="467">
        <v>1.05476067880828</v>
      </c>
      <c r="I208" s="467">
        <v>1.05476067880828</v>
      </c>
      <c r="J208" s="245"/>
      <c r="K208" s="245"/>
      <c r="L208" s="113"/>
      <c r="M208" s="113"/>
      <c r="N208" s="113"/>
      <c r="O208" s="7"/>
      <c r="P208" s="7"/>
      <c r="Q208" s="7"/>
    </row>
    <row r="209" spans="1:17">
      <c r="B209" s="1049" t="s">
        <v>241</v>
      </c>
      <c r="C209" s="467">
        <v>1</v>
      </c>
      <c r="D209" s="467">
        <v>0.99076950608168002</v>
      </c>
      <c r="E209" s="467">
        <v>1.0070122869873499</v>
      </c>
      <c r="F209" s="467">
        <v>1.00402546954414</v>
      </c>
      <c r="G209" s="467">
        <v>1.01841344939324</v>
      </c>
      <c r="H209" s="467">
        <v>1.0380121047112301</v>
      </c>
      <c r="I209" s="467">
        <v>1.0380121047112301</v>
      </c>
      <c r="J209" s="245"/>
      <c r="K209" s="245"/>
      <c r="L209" s="113"/>
      <c r="M209" s="113"/>
      <c r="N209" s="113"/>
      <c r="O209" s="7"/>
      <c r="P209" s="7"/>
      <c r="Q209" s="7"/>
    </row>
    <row r="210" spans="1:17">
      <c r="B210" s="1049" t="s">
        <v>255</v>
      </c>
      <c r="C210" s="467">
        <v>1</v>
      </c>
      <c r="D210" s="467">
        <v>0.99076950608168002</v>
      </c>
      <c r="E210" s="467">
        <v>1.0070122869873499</v>
      </c>
      <c r="F210" s="467">
        <v>1.0119890708727699</v>
      </c>
      <c r="G210" s="467">
        <v>1.02883528649933</v>
      </c>
      <c r="H210" s="467">
        <v>1.04206143174539</v>
      </c>
      <c r="I210" s="467">
        <v>1.04206143174539</v>
      </c>
      <c r="J210" s="245"/>
      <c r="K210" s="245"/>
      <c r="L210" s="113"/>
      <c r="M210" s="113"/>
      <c r="N210" s="113"/>
      <c r="O210" s="7"/>
      <c r="P210" s="7"/>
      <c r="Q210" s="7"/>
    </row>
    <row r="211" spans="1:17">
      <c r="B211" s="1049" t="s">
        <v>242</v>
      </c>
      <c r="C211" s="467">
        <v>1</v>
      </c>
      <c r="D211" s="467">
        <v>0.99076950608168002</v>
      </c>
      <c r="E211" s="467">
        <v>1.0149600055999799</v>
      </c>
      <c r="F211" s="467">
        <v>1.01851036062211</v>
      </c>
      <c r="G211" s="467">
        <v>1.03469544505981</v>
      </c>
      <c r="H211" s="467">
        <v>1.0590941376984799</v>
      </c>
      <c r="I211" s="467">
        <v>1.0590941376984799</v>
      </c>
      <c r="J211" s="245"/>
      <c r="K211" s="245"/>
      <c r="L211" s="113"/>
      <c r="M211" s="113"/>
      <c r="N211" s="113"/>
      <c r="O211" s="7"/>
      <c r="P211" s="7"/>
      <c r="Q211" s="7"/>
    </row>
    <row r="212" spans="1:17">
      <c r="D212" s="7"/>
      <c r="E212" s="124"/>
      <c r="F212" s="111"/>
      <c r="G212" s="109"/>
      <c r="H212" s="109"/>
      <c r="I212" s="109"/>
      <c r="J212" s="112"/>
      <c r="K212" s="113"/>
      <c r="L212" s="113"/>
      <c r="M212" s="113"/>
      <c r="N212" s="113"/>
      <c r="O212" s="7"/>
      <c r="P212" s="7"/>
      <c r="Q212" s="7"/>
    </row>
    <row r="213" spans="1:17" s="38" customFormat="1" ht="18">
      <c r="A213" s="173"/>
      <c r="B213" s="38" t="s">
        <v>155</v>
      </c>
      <c r="D213" s="127"/>
      <c r="E213" s="128"/>
      <c r="J213" s="12" t="s">
        <v>1400</v>
      </c>
      <c r="K213"/>
      <c r="L213" s="880" t="s">
        <v>146</v>
      </c>
      <c r="M213" s="5" t="s">
        <v>64</v>
      </c>
      <c r="O213" s="127"/>
      <c r="P213" s="127"/>
      <c r="Q213" s="127"/>
    </row>
    <row r="214" spans="1:17">
      <c r="D214" s="7"/>
      <c r="E214" s="125"/>
      <c r="F214" s="126"/>
      <c r="G214" s="124"/>
      <c r="H214" s="124"/>
      <c r="I214" s="124"/>
      <c r="J214" s="124"/>
      <c r="K214" s="124"/>
      <c r="L214" s="124"/>
      <c r="M214" s="124"/>
      <c r="N214" s="124"/>
      <c r="O214" s="7"/>
      <c r="P214" s="7"/>
      <c r="Q214" s="7"/>
    </row>
    <row r="215" spans="1:17">
      <c r="B215" s="12" t="s">
        <v>1398</v>
      </c>
      <c r="C215" s="114" t="s">
        <v>1546</v>
      </c>
      <c r="F215" s="12"/>
      <c r="G215" s="7"/>
      <c r="H215" s="7"/>
    </row>
    <row r="216" spans="1:17">
      <c r="C216" s="416"/>
      <c r="G216" s="7"/>
      <c r="H216" s="7"/>
    </row>
    <row r="217" spans="1:17">
      <c r="B217" s="12" t="s">
        <v>61</v>
      </c>
      <c r="C217" s="114" t="s">
        <v>1403</v>
      </c>
      <c r="G217" s="7"/>
      <c r="H217" s="7"/>
    </row>
    <row r="218" spans="1:17">
      <c r="C218" s="416"/>
      <c r="G218" s="7"/>
      <c r="H218" s="7"/>
    </row>
    <row r="219" spans="1:17" ht="13.15" customHeight="1">
      <c r="B219" s="12" t="s">
        <v>62</v>
      </c>
      <c r="C219" s="768" t="s">
        <v>1548</v>
      </c>
      <c r="D219" s="768"/>
      <c r="E219" s="768"/>
      <c r="F219" s="768"/>
      <c r="G219" s="768"/>
      <c r="H219" s="768"/>
      <c r="I219" s="768"/>
      <c r="J219" s="768"/>
      <c r="K219" s="768"/>
      <c r="L219" s="768"/>
    </row>
    <row r="220" spans="1:17">
      <c r="C220" s="768"/>
      <c r="D220" s="768"/>
      <c r="E220" s="768"/>
      <c r="F220" s="768"/>
      <c r="G220" s="768"/>
      <c r="H220" s="768"/>
      <c r="I220" s="768"/>
      <c r="J220" s="768"/>
      <c r="K220" s="768"/>
      <c r="L220" s="768"/>
    </row>
    <row r="221" spans="1:17">
      <c r="B221" s="153" t="s">
        <v>127</v>
      </c>
      <c r="C221" s="302"/>
      <c r="D221" s="302"/>
      <c r="E221" s="302"/>
      <c r="F221" s="302"/>
      <c r="G221" s="109"/>
      <c r="H221" s="153" t="s">
        <v>129</v>
      </c>
      <c r="J221" s="7"/>
      <c r="K221" s="124"/>
      <c r="L221" s="111"/>
      <c r="M221" s="113"/>
      <c r="N221" s="113"/>
      <c r="O221" s="7"/>
      <c r="P221" s="7"/>
      <c r="Q221" s="7"/>
    </row>
    <row r="222" spans="1:17">
      <c r="C222" s="302"/>
      <c r="D222" s="302"/>
      <c r="E222" s="302"/>
      <c r="F222" s="302"/>
      <c r="G222" s="109"/>
      <c r="I222" s="302"/>
      <c r="J222" s="302"/>
      <c r="K222" s="302"/>
      <c r="L222" s="302"/>
      <c r="M222" s="113"/>
      <c r="N222" s="113"/>
      <c r="O222" s="7"/>
      <c r="P222" s="7"/>
      <c r="Q222" s="7"/>
    </row>
    <row r="223" spans="1:17">
      <c r="C223" s="1231" t="s">
        <v>71</v>
      </c>
      <c r="D223" s="1232"/>
      <c r="E223" s="1232"/>
      <c r="F223" s="1233"/>
      <c r="G223" s="155"/>
      <c r="I223" s="1231" t="s">
        <v>71</v>
      </c>
      <c r="J223" s="1232"/>
      <c r="K223" s="1232"/>
      <c r="L223" s="1233"/>
      <c r="M223" s="113"/>
      <c r="N223" s="113"/>
      <c r="O223" s="7"/>
      <c r="P223" s="7"/>
      <c r="Q223" s="7"/>
    </row>
    <row r="224" spans="1:17">
      <c r="B224" s="1046" t="s">
        <v>45</v>
      </c>
      <c r="C224" s="1046" t="str">
        <f>C182</f>
        <v>2012/13</v>
      </c>
      <c r="D224" s="1046" t="str">
        <f>D182</f>
        <v>2013/14</v>
      </c>
      <c r="E224" s="1046" t="str">
        <f>E182</f>
        <v>2014/15</v>
      </c>
      <c r="F224" s="1046" t="str">
        <f>F182</f>
        <v>2015/16</v>
      </c>
      <c r="G224" s="7"/>
      <c r="H224" s="1046" t="s">
        <v>45</v>
      </c>
      <c r="I224" s="1046" t="str">
        <f>C224</f>
        <v>2012/13</v>
      </c>
      <c r="J224" s="1046" t="str">
        <f>D224</f>
        <v>2013/14</v>
      </c>
      <c r="K224" s="1046" t="str">
        <f>E224</f>
        <v>2014/15</v>
      </c>
      <c r="L224" s="1046" t="str">
        <f>F224</f>
        <v>2015/16</v>
      </c>
      <c r="M224" s="113"/>
      <c r="N224" s="113"/>
      <c r="O224" s="7"/>
      <c r="P224" s="7"/>
      <c r="Q224" s="7"/>
    </row>
    <row r="225" spans="1:17">
      <c r="B225" s="1046" t="s">
        <v>48</v>
      </c>
      <c r="C225" s="417">
        <v>0</v>
      </c>
      <c r="D225" s="417">
        <v>0</v>
      </c>
      <c r="E225" s="433">
        <v>0</v>
      </c>
      <c r="F225" s="433">
        <v>0</v>
      </c>
      <c r="G225" s="7"/>
      <c r="H225" s="1046" t="s">
        <v>48</v>
      </c>
      <c r="I225" s="423">
        <v>0</v>
      </c>
      <c r="J225" s="423">
        <v>0</v>
      </c>
      <c r="K225" s="434">
        <v>0</v>
      </c>
      <c r="L225" s="435">
        <v>0</v>
      </c>
      <c r="M225" s="113"/>
      <c r="N225" s="113"/>
      <c r="O225" s="7"/>
      <c r="P225" s="7"/>
      <c r="Q225" s="7"/>
    </row>
    <row r="226" spans="1:17">
      <c r="B226" s="1046" t="s">
        <v>49</v>
      </c>
      <c r="C226" s="417">
        <v>0</v>
      </c>
      <c r="D226" s="417">
        <v>0</v>
      </c>
      <c r="E226" s="433">
        <v>0</v>
      </c>
      <c r="F226" s="433">
        <v>0</v>
      </c>
      <c r="G226" s="7"/>
      <c r="H226" s="1046" t="s">
        <v>49</v>
      </c>
      <c r="I226" s="423">
        <v>0</v>
      </c>
      <c r="J226" s="423">
        <v>0</v>
      </c>
      <c r="K226" s="434">
        <v>0</v>
      </c>
      <c r="L226" s="435">
        <v>0</v>
      </c>
      <c r="M226" s="113"/>
      <c r="N226" s="113"/>
      <c r="O226" s="7"/>
      <c r="P226" s="7"/>
      <c r="Q226" s="7"/>
    </row>
    <row r="227" spans="1:17">
      <c r="B227" s="1046" t="s">
        <v>50</v>
      </c>
      <c r="C227" s="417">
        <v>0</v>
      </c>
      <c r="D227" s="417">
        <v>0</v>
      </c>
      <c r="E227" s="433">
        <v>6.3929999999999998</v>
      </c>
      <c r="F227" s="433">
        <v>0</v>
      </c>
      <c r="G227" s="7"/>
      <c r="H227" s="1046" t="s">
        <v>50</v>
      </c>
      <c r="I227" s="423">
        <v>0</v>
      </c>
      <c r="J227" s="423">
        <v>0</v>
      </c>
      <c r="K227" s="434">
        <v>0</v>
      </c>
      <c r="L227" s="435">
        <v>0</v>
      </c>
      <c r="M227" s="113"/>
      <c r="N227" s="113"/>
      <c r="O227" s="7"/>
      <c r="P227" s="7"/>
      <c r="Q227" s="7"/>
    </row>
    <row r="228" spans="1:17">
      <c r="B228" s="1046" t="s">
        <v>51</v>
      </c>
      <c r="C228" s="417">
        <v>9.4220000000000006</v>
      </c>
      <c r="D228" s="417">
        <v>5.2789999999999999</v>
      </c>
      <c r="E228" s="433">
        <v>5.3410000000000002</v>
      </c>
      <c r="F228" s="433">
        <v>0</v>
      </c>
      <c r="G228" s="7"/>
      <c r="H228" s="1046" t="s">
        <v>51</v>
      </c>
      <c r="I228" s="423">
        <v>0</v>
      </c>
      <c r="J228" s="423">
        <v>0</v>
      </c>
      <c r="K228" s="434">
        <v>0</v>
      </c>
      <c r="L228" s="435">
        <v>0</v>
      </c>
      <c r="M228" s="113"/>
      <c r="N228" s="113"/>
      <c r="O228" s="7"/>
      <c r="P228" s="7"/>
      <c r="Q228" s="7"/>
    </row>
    <row r="229" spans="1:17">
      <c r="B229" s="1046" t="s">
        <v>52</v>
      </c>
      <c r="C229" s="417">
        <v>7.2779999999999996</v>
      </c>
      <c r="D229" s="417">
        <v>5.2430000000000003</v>
      </c>
      <c r="E229" s="433">
        <v>8.3610000000000007</v>
      </c>
      <c r="F229" s="433">
        <v>6.516</v>
      </c>
      <c r="G229" s="7"/>
      <c r="H229" s="1046" t="s">
        <v>52</v>
      </c>
      <c r="I229" s="423">
        <v>0</v>
      </c>
      <c r="J229" s="423">
        <v>0</v>
      </c>
      <c r="K229" s="434">
        <v>0</v>
      </c>
      <c r="L229" s="435">
        <v>0</v>
      </c>
      <c r="M229" s="113"/>
      <c r="N229" s="113"/>
      <c r="O229" s="7"/>
      <c r="P229" s="7"/>
      <c r="Q229" s="7"/>
    </row>
    <row r="230" spans="1:17">
      <c r="B230" s="1046" t="s">
        <v>53</v>
      </c>
      <c r="C230" s="417">
        <v>14.497</v>
      </c>
      <c r="D230" s="417">
        <v>15.704000000000001</v>
      </c>
      <c r="E230" s="433">
        <v>13.659000000000001</v>
      </c>
      <c r="F230" s="433">
        <v>8.4179999999999993</v>
      </c>
      <c r="G230" s="7"/>
      <c r="H230" s="1046" t="s">
        <v>53</v>
      </c>
      <c r="I230" s="423">
        <v>11.350999999999999</v>
      </c>
      <c r="J230" s="423">
        <v>10.387</v>
      </c>
      <c r="K230" s="434">
        <v>0</v>
      </c>
      <c r="L230" s="435">
        <v>7.84</v>
      </c>
      <c r="M230" s="113"/>
      <c r="N230" s="113"/>
      <c r="O230" s="7"/>
      <c r="P230" s="7"/>
      <c r="Q230" s="7"/>
    </row>
    <row r="231" spans="1:17">
      <c r="B231" s="1046" t="s">
        <v>54</v>
      </c>
      <c r="C231" s="417">
        <v>377.654</v>
      </c>
      <c r="D231" s="417">
        <v>345.08</v>
      </c>
      <c r="E231" s="433">
        <v>248.76</v>
      </c>
      <c r="F231" s="433">
        <v>143.928</v>
      </c>
      <c r="G231" s="7"/>
      <c r="H231" s="1046" t="s">
        <v>54</v>
      </c>
      <c r="I231" s="423">
        <v>84.900999999999996</v>
      </c>
      <c r="J231" s="423">
        <v>80.081000000000003</v>
      </c>
      <c r="K231" s="434">
        <v>68.275000000000006</v>
      </c>
      <c r="L231" s="435">
        <v>49.398000000000003</v>
      </c>
      <c r="M231" s="113"/>
      <c r="N231" s="113"/>
      <c r="O231" s="7"/>
      <c r="P231" s="7"/>
      <c r="Q231" s="7"/>
    </row>
    <row r="232" spans="1:17">
      <c r="B232" s="1046" t="s">
        <v>55</v>
      </c>
      <c r="C232" s="417">
        <v>1608.299</v>
      </c>
      <c r="D232" s="417">
        <v>1382.15</v>
      </c>
      <c r="E232" s="433">
        <v>1190.059</v>
      </c>
      <c r="F232" s="433">
        <v>1012.7190000000001</v>
      </c>
      <c r="G232" s="7"/>
      <c r="H232" s="1046" t="s">
        <v>55</v>
      </c>
      <c r="I232" s="423">
        <v>460.73399999999998</v>
      </c>
      <c r="J232" s="423">
        <v>455.06700000000001</v>
      </c>
      <c r="K232" s="434">
        <v>319.91800000000001</v>
      </c>
      <c r="L232" s="435">
        <v>273.83199999999999</v>
      </c>
      <c r="M232" s="113"/>
      <c r="N232" s="113"/>
      <c r="O232" s="7"/>
      <c r="P232" s="7"/>
      <c r="Q232" s="7"/>
    </row>
    <row r="233" spans="1:17">
      <c r="B233" s="1046" t="s">
        <v>56</v>
      </c>
      <c r="C233" s="417">
        <v>713.99800000000005</v>
      </c>
      <c r="D233" s="417">
        <v>727.85599999999999</v>
      </c>
      <c r="E233" s="433">
        <v>637.51700000000005</v>
      </c>
      <c r="F233" s="433">
        <v>589.00800000000004</v>
      </c>
      <c r="G233" s="7"/>
      <c r="H233" s="1046" t="s">
        <v>56</v>
      </c>
      <c r="I233" s="423">
        <v>231.95699999999999</v>
      </c>
      <c r="J233" s="423">
        <v>231.488</v>
      </c>
      <c r="K233" s="434">
        <v>202.89</v>
      </c>
      <c r="L233" s="435">
        <v>161.62200000000001</v>
      </c>
      <c r="M233" s="113"/>
      <c r="N233" s="113"/>
      <c r="O233" s="7"/>
      <c r="P233" s="7"/>
      <c r="Q233" s="7"/>
    </row>
    <row r="234" spans="1:17">
      <c r="B234" s="1046" t="s">
        <v>57</v>
      </c>
      <c r="C234" s="417">
        <v>131.91499999999999</v>
      </c>
      <c r="D234" s="417">
        <v>141.81899999999999</v>
      </c>
      <c r="E234" s="433">
        <v>137.39500000000001</v>
      </c>
      <c r="F234" s="433">
        <v>155.48599999999999</v>
      </c>
      <c r="G234" s="7"/>
      <c r="H234" s="1046" t="s">
        <v>57</v>
      </c>
      <c r="I234" s="423">
        <v>50.319000000000003</v>
      </c>
      <c r="J234" s="423">
        <v>40.398000000000003</v>
      </c>
      <c r="K234" s="434">
        <v>39.960999999999999</v>
      </c>
      <c r="L234" s="435">
        <v>42.707999999999998</v>
      </c>
      <c r="M234" s="113"/>
      <c r="N234" s="113"/>
      <c r="O234" s="7"/>
      <c r="P234" s="7"/>
      <c r="Q234" s="7"/>
    </row>
    <row r="235" spans="1:17">
      <c r="B235" s="1046" t="s">
        <v>8</v>
      </c>
      <c r="C235" s="417">
        <v>2863.0630000000001</v>
      </c>
      <c r="D235" s="417">
        <v>2623.1309999999999</v>
      </c>
      <c r="E235" s="431">
        <v>2247.4850000000001</v>
      </c>
      <c r="F235" s="431">
        <v>1916.0750000000003</v>
      </c>
      <c r="G235" s="7"/>
      <c r="H235" s="1046" t="s">
        <v>8</v>
      </c>
      <c r="I235" s="423">
        <v>839.26199999999994</v>
      </c>
      <c r="J235" s="423">
        <v>817.42099999999994</v>
      </c>
      <c r="K235" s="434">
        <v>631.04399999999998</v>
      </c>
      <c r="L235" s="434">
        <v>535.4</v>
      </c>
      <c r="M235" s="113"/>
      <c r="N235" s="113"/>
      <c r="O235" s="7"/>
      <c r="P235" s="7"/>
      <c r="Q235" s="7"/>
    </row>
    <row r="236" spans="1:17">
      <c r="A236" s="1127">
        <f>G236+M236</f>
        <v>0</v>
      </c>
      <c r="C236">
        <f>SUM(C225:C234)-C235</f>
        <v>0</v>
      </c>
      <c r="D236">
        <f t="shared" ref="D236:L236" si="1">SUM(D225:D234)-D235</f>
        <v>0</v>
      </c>
      <c r="E236">
        <f t="shared" si="1"/>
        <v>0</v>
      </c>
      <c r="F236">
        <f t="shared" si="1"/>
        <v>0</v>
      </c>
      <c r="G236">
        <f>SUM(C236:F236)</f>
        <v>0</v>
      </c>
      <c r="I236">
        <f t="shared" si="1"/>
        <v>0</v>
      </c>
      <c r="J236">
        <f t="shared" si="1"/>
        <v>0</v>
      </c>
      <c r="K236">
        <f t="shared" si="1"/>
        <v>0</v>
      </c>
      <c r="L236">
        <f t="shared" si="1"/>
        <v>0</v>
      </c>
      <c r="M236">
        <f>SUM(I236:L236)</f>
        <v>0</v>
      </c>
      <c r="N236" s="113"/>
      <c r="O236" s="7"/>
      <c r="P236" s="7"/>
      <c r="Q236" s="7"/>
    </row>
    <row r="237" spans="1:17">
      <c r="N237" s="113"/>
      <c r="O237" s="7"/>
      <c r="P237" s="7"/>
      <c r="Q237" s="7"/>
    </row>
    <row r="238" spans="1:17">
      <c r="B238" s="153" t="s">
        <v>128</v>
      </c>
      <c r="D238" s="7"/>
      <c r="E238" s="124"/>
      <c r="F238" s="111"/>
      <c r="G238" s="109"/>
      <c r="H238" s="153" t="s">
        <v>132</v>
      </c>
      <c r="J238" s="7"/>
      <c r="K238" s="124"/>
      <c r="L238" s="111"/>
      <c r="M238" s="113"/>
      <c r="N238" s="113"/>
      <c r="O238" s="7"/>
      <c r="P238" s="7"/>
      <c r="Q238" s="7"/>
    </row>
    <row r="239" spans="1:17">
      <c r="C239" s="302"/>
      <c r="D239" s="302"/>
      <c r="E239" s="302"/>
      <c r="F239" s="302"/>
      <c r="G239" s="109"/>
      <c r="I239" s="302"/>
      <c r="J239" s="302"/>
      <c r="K239" s="302"/>
      <c r="L239" s="302"/>
      <c r="M239" s="113"/>
      <c r="N239" s="113"/>
      <c r="O239" s="7"/>
      <c r="P239" s="7"/>
      <c r="Q239" s="7"/>
    </row>
    <row r="240" spans="1:17">
      <c r="C240" s="1231" t="s">
        <v>71</v>
      </c>
      <c r="D240" s="1232"/>
      <c r="E240" s="1232"/>
      <c r="F240" s="1233"/>
      <c r="G240" s="155"/>
      <c r="I240" s="1231" t="s">
        <v>71</v>
      </c>
      <c r="J240" s="1232"/>
      <c r="K240" s="1232"/>
      <c r="L240" s="1233"/>
      <c r="M240" s="113"/>
      <c r="N240" s="113"/>
      <c r="O240" s="7"/>
      <c r="P240" s="7"/>
      <c r="Q240" s="7"/>
    </row>
    <row r="241" spans="1:17">
      <c r="B241" s="1046" t="s">
        <v>45</v>
      </c>
      <c r="C241" s="1046" t="str">
        <f>C224</f>
        <v>2012/13</v>
      </c>
      <c r="D241" s="1046" t="str">
        <f>D224</f>
        <v>2013/14</v>
      </c>
      <c r="E241" s="1046" t="str">
        <f>E224</f>
        <v>2014/15</v>
      </c>
      <c r="F241" s="1046" t="str">
        <f>F224</f>
        <v>2015/16</v>
      </c>
      <c r="G241" s="7"/>
      <c r="H241" s="1046" t="s">
        <v>45</v>
      </c>
      <c r="I241" s="1046" t="str">
        <f>C241</f>
        <v>2012/13</v>
      </c>
      <c r="J241" s="1046" t="str">
        <f>D241</f>
        <v>2013/14</v>
      </c>
      <c r="K241" s="1046" t="str">
        <f>E241</f>
        <v>2014/15</v>
      </c>
      <c r="L241" s="1046" t="str">
        <f>F241</f>
        <v>2015/16</v>
      </c>
      <c r="M241" s="113"/>
      <c r="N241" s="113"/>
      <c r="O241" s="7"/>
      <c r="P241" s="7"/>
      <c r="Q241" s="7"/>
    </row>
    <row r="242" spans="1:17">
      <c r="B242" s="1046" t="s">
        <v>48</v>
      </c>
      <c r="C242" s="417">
        <v>0</v>
      </c>
      <c r="D242" s="417">
        <v>0</v>
      </c>
      <c r="E242" s="433">
        <v>0</v>
      </c>
      <c r="F242" s="433">
        <v>0</v>
      </c>
      <c r="G242" s="7"/>
      <c r="H242" s="1046" t="s">
        <v>48</v>
      </c>
      <c r="I242" s="417">
        <v>0</v>
      </c>
      <c r="J242" s="417">
        <v>0</v>
      </c>
      <c r="K242" s="431">
        <v>0</v>
      </c>
      <c r="L242" s="432">
        <v>0</v>
      </c>
      <c r="M242" s="113"/>
      <c r="N242" s="113"/>
      <c r="O242" s="7"/>
      <c r="P242" s="7"/>
      <c r="Q242" s="7"/>
    </row>
    <row r="243" spans="1:17">
      <c r="B243" s="1046" t="s">
        <v>49</v>
      </c>
      <c r="C243" s="417">
        <v>0</v>
      </c>
      <c r="D243" s="417">
        <v>0</v>
      </c>
      <c r="E243" s="433">
        <v>0</v>
      </c>
      <c r="F243" s="433">
        <v>0</v>
      </c>
      <c r="G243" s="7"/>
      <c r="H243" s="1046" t="s">
        <v>49</v>
      </c>
      <c r="I243" s="417">
        <v>0</v>
      </c>
      <c r="J243" s="417">
        <v>0</v>
      </c>
      <c r="K243" s="431">
        <v>0</v>
      </c>
      <c r="L243" s="432">
        <v>0</v>
      </c>
      <c r="M243" s="113"/>
      <c r="N243" s="113"/>
      <c r="O243" s="7"/>
      <c r="P243" s="7"/>
      <c r="Q243" s="7"/>
    </row>
    <row r="244" spans="1:17">
      <c r="B244" s="1046" t="s">
        <v>50</v>
      </c>
      <c r="C244" s="417">
        <v>6.2919999999999998</v>
      </c>
      <c r="D244" s="417">
        <v>0</v>
      </c>
      <c r="E244" s="433">
        <v>5.3170000000000002</v>
      </c>
      <c r="F244" s="433">
        <v>0</v>
      </c>
      <c r="G244" s="7"/>
      <c r="H244" s="1046" t="s">
        <v>50</v>
      </c>
      <c r="I244" s="417">
        <v>0</v>
      </c>
      <c r="J244" s="417">
        <v>9.202</v>
      </c>
      <c r="K244" s="431">
        <v>5.7869999999999999</v>
      </c>
      <c r="L244" s="432">
        <v>0</v>
      </c>
      <c r="M244" s="113"/>
      <c r="N244" s="113"/>
      <c r="O244" s="7"/>
      <c r="P244" s="7"/>
      <c r="Q244" s="7"/>
    </row>
    <row r="245" spans="1:17">
      <c r="B245" s="1046" t="s">
        <v>51</v>
      </c>
      <c r="C245" s="417">
        <v>8.2789999999999999</v>
      </c>
      <c r="D245" s="417">
        <v>17.869</v>
      </c>
      <c r="E245" s="433">
        <v>7.3570000000000002</v>
      </c>
      <c r="F245" s="433">
        <v>0</v>
      </c>
      <c r="G245" s="7"/>
      <c r="H245" s="1046" t="s">
        <v>51</v>
      </c>
      <c r="I245" s="417">
        <v>10.297000000000001</v>
      </c>
      <c r="J245" s="417">
        <v>6.8170000000000002</v>
      </c>
      <c r="K245" s="431">
        <v>7.9690000000000003</v>
      </c>
      <c r="L245" s="432">
        <v>5.6660000000000004</v>
      </c>
      <c r="M245" s="113"/>
      <c r="N245" s="113"/>
      <c r="O245" s="7"/>
      <c r="P245" s="7"/>
      <c r="Q245" s="7"/>
    </row>
    <row r="246" spans="1:17">
      <c r="B246" s="1046" t="s">
        <v>52</v>
      </c>
      <c r="C246" s="417">
        <v>15.532</v>
      </c>
      <c r="D246" s="417">
        <v>12.509</v>
      </c>
      <c r="E246" s="433">
        <v>10.486000000000001</v>
      </c>
      <c r="F246" s="433">
        <v>14.864000000000001</v>
      </c>
      <c r="G246" s="7"/>
      <c r="H246" s="1046" t="s">
        <v>52</v>
      </c>
      <c r="I246" s="417">
        <v>17.074999999999999</v>
      </c>
      <c r="J246" s="417">
        <v>22.896000000000001</v>
      </c>
      <c r="K246" s="431">
        <v>16.013999999999999</v>
      </c>
      <c r="L246" s="432">
        <v>5.3580000000000005</v>
      </c>
      <c r="M246" s="113"/>
      <c r="N246" s="113"/>
      <c r="O246" s="7"/>
      <c r="P246" s="7"/>
      <c r="Q246" s="7"/>
    </row>
    <row r="247" spans="1:17">
      <c r="B247" s="1046" t="s">
        <v>53</v>
      </c>
      <c r="C247" s="417">
        <v>20.672999999999998</v>
      </c>
      <c r="D247" s="417">
        <v>25.170999999999999</v>
      </c>
      <c r="E247" s="433">
        <v>13.65</v>
      </c>
      <c r="F247" s="433">
        <v>10.582000000000001</v>
      </c>
      <c r="G247" s="7"/>
      <c r="H247" s="1046" t="s">
        <v>53</v>
      </c>
      <c r="I247" s="417">
        <v>27.663</v>
      </c>
      <c r="J247" s="417">
        <v>34.384999999999998</v>
      </c>
      <c r="K247" s="431">
        <v>21.617000000000001</v>
      </c>
      <c r="L247" s="432">
        <v>19.363</v>
      </c>
      <c r="M247" s="113"/>
      <c r="N247" s="113"/>
      <c r="O247" s="7"/>
      <c r="P247" s="7"/>
      <c r="Q247" s="7"/>
    </row>
    <row r="248" spans="1:17">
      <c r="B248" s="1046" t="s">
        <v>54</v>
      </c>
      <c r="C248" s="417">
        <v>454.53</v>
      </c>
      <c r="D248" s="417">
        <v>394.94499999999999</v>
      </c>
      <c r="E248" s="433">
        <v>337.947</v>
      </c>
      <c r="F248" s="433">
        <v>222.58699999999999</v>
      </c>
      <c r="G248" s="7"/>
      <c r="H248" s="1046" t="s">
        <v>54</v>
      </c>
      <c r="I248" s="417">
        <v>512.66600000000005</v>
      </c>
      <c r="J248" s="417">
        <v>459.67200000000003</v>
      </c>
      <c r="K248" s="431">
        <v>324.38400000000001</v>
      </c>
      <c r="L248" s="432">
        <v>218.32499999999999</v>
      </c>
      <c r="M248" s="113"/>
      <c r="N248" s="113"/>
      <c r="O248" s="7"/>
      <c r="P248" s="7"/>
      <c r="Q248" s="7"/>
    </row>
    <row r="249" spans="1:17">
      <c r="B249" s="1046" t="s">
        <v>55</v>
      </c>
      <c r="C249" s="417">
        <v>2100.614</v>
      </c>
      <c r="D249" s="417">
        <v>2054.6610000000001</v>
      </c>
      <c r="E249" s="433">
        <v>1801.4570000000001</v>
      </c>
      <c r="F249" s="433">
        <v>1449.914</v>
      </c>
      <c r="G249" s="7"/>
      <c r="H249" s="1046" t="s">
        <v>55</v>
      </c>
      <c r="I249" s="417">
        <v>3159.797</v>
      </c>
      <c r="J249" s="417">
        <v>2994.63</v>
      </c>
      <c r="K249" s="431">
        <v>2410.953</v>
      </c>
      <c r="L249" s="432">
        <v>1854.549</v>
      </c>
      <c r="M249" s="113"/>
      <c r="N249" s="113"/>
      <c r="O249" s="7"/>
      <c r="P249" s="7"/>
      <c r="Q249" s="7"/>
    </row>
    <row r="250" spans="1:17">
      <c r="B250" s="1046" t="s">
        <v>56</v>
      </c>
      <c r="C250" s="417">
        <v>940.30399999999997</v>
      </c>
      <c r="D250" s="417">
        <v>853.899</v>
      </c>
      <c r="E250" s="433">
        <v>898.88499999999999</v>
      </c>
      <c r="F250" s="433">
        <v>833.42700000000002</v>
      </c>
      <c r="G250" s="7"/>
      <c r="H250" s="1046" t="s">
        <v>56</v>
      </c>
      <c r="I250" s="417">
        <v>1517.1379999999999</v>
      </c>
      <c r="J250" s="417">
        <v>1583.2619999999999</v>
      </c>
      <c r="K250" s="431">
        <v>1457.952</v>
      </c>
      <c r="L250" s="432">
        <v>1409.2470000000001</v>
      </c>
      <c r="M250" s="113"/>
      <c r="N250" s="113"/>
      <c r="O250" s="7"/>
      <c r="P250" s="7"/>
      <c r="Q250" s="7"/>
    </row>
    <row r="251" spans="1:17">
      <c r="B251" s="1046" t="s">
        <v>57</v>
      </c>
      <c r="C251" s="417">
        <v>102.929</v>
      </c>
      <c r="D251" s="417">
        <v>147.59100000000001</v>
      </c>
      <c r="E251" s="433">
        <v>119.517</v>
      </c>
      <c r="F251" s="433">
        <v>132.31800000000001</v>
      </c>
      <c r="G251" s="7"/>
      <c r="H251" s="1046" t="s">
        <v>57</v>
      </c>
      <c r="I251" s="417">
        <v>202.53299999999999</v>
      </c>
      <c r="J251" s="417">
        <v>221.24700000000001</v>
      </c>
      <c r="K251" s="431">
        <v>223.63200000000001</v>
      </c>
      <c r="L251" s="432">
        <v>249.91900000000001</v>
      </c>
      <c r="M251" s="113"/>
      <c r="N251" s="113"/>
      <c r="O251" s="7"/>
      <c r="P251" s="7"/>
      <c r="Q251" s="7"/>
    </row>
    <row r="252" spans="1:17">
      <c r="B252" s="1046" t="s">
        <v>8</v>
      </c>
      <c r="C252" s="417">
        <v>3649.1530000000002</v>
      </c>
      <c r="D252" s="417">
        <v>3506.645</v>
      </c>
      <c r="E252" s="431">
        <v>3194.616</v>
      </c>
      <c r="F252" s="431">
        <v>2663.692</v>
      </c>
      <c r="G252" s="7"/>
      <c r="H252" s="1046" t="s">
        <v>8</v>
      </c>
      <c r="I252" s="417">
        <v>5447.1690000000008</v>
      </c>
      <c r="J252" s="417">
        <v>5332.1109999999999</v>
      </c>
      <c r="K252" s="431">
        <v>4468.308</v>
      </c>
      <c r="L252" s="431">
        <v>3762.4269999999997</v>
      </c>
      <c r="M252" s="113"/>
      <c r="N252" s="113"/>
      <c r="O252" s="7"/>
      <c r="P252" s="7"/>
      <c r="Q252" s="7"/>
    </row>
    <row r="253" spans="1:17">
      <c r="A253" s="174">
        <f>G253+M253</f>
        <v>0</v>
      </c>
      <c r="C253">
        <f>SUM(C242:C251)-C252</f>
        <v>0</v>
      </c>
      <c r="D253">
        <f>SUM(D242:D251)-D252</f>
        <v>0</v>
      </c>
      <c r="E253">
        <f>SUM(E242:E251)-E252</f>
        <v>0</v>
      </c>
      <c r="F253">
        <f>SUM(F242:F251)-F252</f>
        <v>0</v>
      </c>
      <c r="G253">
        <f>SUM(C253:F253)</f>
        <v>0</v>
      </c>
      <c r="I253">
        <f>SUM(I242:I251)-I252</f>
        <v>0</v>
      </c>
      <c r="J253">
        <f>SUM(J242:J251)-J252</f>
        <v>0</v>
      </c>
      <c r="K253">
        <f>SUM(K242:K251)-K252</f>
        <v>0</v>
      </c>
      <c r="L253">
        <f>SUM(L242:L251)-L252</f>
        <v>0</v>
      </c>
      <c r="M253">
        <f>SUM(I253:L253)</f>
        <v>0</v>
      </c>
      <c r="N253" s="113"/>
      <c r="O253" s="7"/>
      <c r="P253" s="7"/>
      <c r="Q253" s="7"/>
    </row>
    <row r="254" spans="1:17">
      <c r="D254" s="7"/>
      <c r="E254" s="124"/>
      <c r="F254" s="111"/>
      <c r="G254" s="109"/>
      <c r="H254" s="109"/>
      <c r="I254" s="109"/>
      <c r="J254" s="112"/>
      <c r="K254" s="113"/>
      <c r="L254" s="113"/>
      <c r="M254" s="113"/>
      <c r="N254" s="113"/>
      <c r="O254" s="7"/>
      <c r="P254" s="7"/>
      <c r="Q254" s="7"/>
    </row>
    <row r="255" spans="1:17" s="38" customFormat="1" ht="18">
      <c r="A255" s="173"/>
      <c r="B255" s="38" t="s">
        <v>511</v>
      </c>
      <c r="D255" s="127"/>
      <c r="E255" s="128"/>
      <c r="F255" s="12"/>
      <c r="J255" s="12" t="s">
        <v>1400</v>
      </c>
      <c r="K255"/>
      <c r="L255" s="880" t="s">
        <v>146</v>
      </c>
      <c r="M255" s="5" t="s">
        <v>64</v>
      </c>
      <c r="O255" s="127"/>
      <c r="P255" s="127"/>
      <c r="Q255" s="127"/>
    </row>
    <row r="256" spans="1:17">
      <c r="D256" s="7"/>
      <c r="E256" s="125"/>
      <c r="F256" s="126"/>
      <c r="G256" s="124"/>
      <c r="H256" s="124"/>
      <c r="I256" s="124"/>
      <c r="J256" s="124"/>
      <c r="K256" s="124"/>
      <c r="L256" s="124"/>
      <c r="M256" s="124"/>
      <c r="N256" s="124"/>
      <c r="O256" s="7"/>
      <c r="P256" s="7"/>
      <c r="Q256" s="7"/>
    </row>
    <row r="257" spans="2:17">
      <c r="B257" s="12" t="s">
        <v>1398</v>
      </c>
      <c r="C257" s="114" t="s">
        <v>1546</v>
      </c>
      <c r="F257" s="12"/>
      <c r="G257" s="7"/>
      <c r="H257" s="7"/>
    </row>
    <row r="258" spans="2:17">
      <c r="C258" s="416"/>
      <c r="G258" s="7"/>
      <c r="H258" s="7"/>
    </row>
    <row r="259" spans="2:17">
      <c r="B259" s="12" t="s">
        <v>61</v>
      </c>
      <c r="C259" s="1018" t="s">
        <v>1695</v>
      </c>
      <c r="G259" s="7"/>
      <c r="H259" s="7"/>
    </row>
    <row r="260" spans="2:17">
      <c r="C260" s="400"/>
      <c r="G260" s="7"/>
      <c r="H260" s="7"/>
    </row>
    <row r="261" spans="2:17" ht="12.75" customHeight="1">
      <c r="B261" s="12" t="s">
        <v>62</v>
      </c>
      <c r="C261" s="1234" t="s">
        <v>1641</v>
      </c>
      <c r="D261" s="1234"/>
      <c r="E261" s="1234"/>
      <c r="F261" s="1234"/>
      <c r="G261" s="1234"/>
      <c r="H261" s="1234"/>
      <c r="I261" s="1234"/>
      <c r="J261" s="1234"/>
      <c r="K261" s="1234"/>
      <c r="L261" s="1234"/>
      <c r="M261" s="1234"/>
    </row>
    <row r="262" spans="2:17" ht="12.75" customHeight="1">
      <c r="C262" s="1234"/>
      <c r="D262" s="1234"/>
      <c r="E262" s="1234"/>
      <c r="F262" s="1234"/>
      <c r="G262" s="1234"/>
      <c r="H262" s="1234"/>
      <c r="I262" s="1234"/>
      <c r="J262" s="1234"/>
      <c r="K262" s="1234"/>
      <c r="L262" s="1234"/>
      <c r="M262" s="1234"/>
    </row>
    <row r="263" spans="2:17">
      <c r="C263" s="768"/>
      <c r="D263" s="768"/>
      <c r="E263" s="768"/>
      <c r="F263" s="768"/>
      <c r="G263" s="768"/>
      <c r="H263" s="768"/>
      <c r="I263" s="768"/>
      <c r="J263" s="768"/>
      <c r="K263" s="768"/>
      <c r="L263" s="768"/>
    </row>
    <row r="264" spans="2:17">
      <c r="B264" s="153" t="s">
        <v>512</v>
      </c>
      <c r="D264" s="7"/>
      <c r="E264" s="124"/>
      <c r="F264" s="111"/>
      <c r="G264" s="109"/>
      <c r="H264" s="153" t="s">
        <v>513</v>
      </c>
      <c r="J264" s="7"/>
      <c r="K264" s="124"/>
      <c r="L264" s="111"/>
      <c r="M264" s="113"/>
      <c r="N264" s="113"/>
      <c r="O264" s="7"/>
      <c r="P264" s="7"/>
      <c r="Q264" s="7"/>
    </row>
    <row r="265" spans="2:17">
      <c r="C265" s="302"/>
      <c r="D265" s="365"/>
      <c r="E265" s="110"/>
      <c r="F265" s="1081"/>
      <c r="G265" s="109"/>
      <c r="J265" s="365"/>
      <c r="K265" s="110"/>
      <c r="L265" s="1081"/>
      <c r="M265" s="113"/>
      <c r="N265" s="113"/>
      <c r="O265" s="7"/>
      <c r="P265" s="7"/>
      <c r="Q265" s="7"/>
    </row>
    <row r="266" spans="2:17">
      <c r="C266" s="1231" t="s">
        <v>71</v>
      </c>
      <c r="D266" s="1232"/>
      <c r="E266" s="1232"/>
      <c r="F266" s="1233"/>
      <c r="G266" s="155"/>
      <c r="I266" s="1231" t="s">
        <v>71</v>
      </c>
      <c r="J266" s="1232"/>
      <c r="K266" s="1232"/>
      <c r="L266" s="1233"/>
      <c r="M266" s="113"/>
      <c r="N266" s="113"/>
      <c r="O266" s="7"/>
      <c r="P266" s="7"/>
      <c r="Q266" s="7"/>
    </row>
    <row r="267" spans="2:17">
      <c r="B267" s="1046" t="s">
        <v>45</v>
      </c>
      <c r="C267" s="1046" t="str">
        <f>C241</f>
        <v>2012/13</v>
      </c>
      <c r="D267" s="1046" t="str">
        <f>D241</f>
        <v>2013/14</v>
      </c>
      <c r="E267" s="1046" t="str">
        <f>E241</f>
        <v>2014/15</v>
      </c>
      <c r="F267" s="1046" t="str">
        <f>F241</f>
        <v>2015/16</v>
      </c>
      <c r="G267" s="7"/>
      <c r="H267" s="1046" t="s">
        <v>45</v>
      </c>
      <c r="I267" s="1046" t="str">
        <f>I241</f>
        <v>2012/13</v>
      </c>
      <c r="J267" s="1046" t="str">
        <f>J241</f>
        <v>2013/14</v>
      </c>
      <c r="K267" s="1046" t="str">
        <f>K241</f>
        <v>2014/15</v>
      </c>
      <c r="L267" s="1046" t="str">
        <f>L241</f>
        <v>2015/16</v>
      </c>
      <c r="M267" s="113"/>
      <c r="N267" s="113"/>
      <c r="O267" s="7"/>
      <c r="P267" s="7"/>
      <c r="Q267" s="7"/>
    </row>
    <row r="268" spans="2:17">
      <c r="B268" s="1046" t="s">
        <v>48</v>
      </c>
      <c r="C268" s="417">
        <v>0</v>
      </c>
      <c r="D268" s="417">
        <v>0</v>
      </c>
      <c r="E268" s="431">
        <v>0</v>
      </c>
      <c r="F268" s="431">
        <v>0</v>
      </c>
      <c r="G268" s="365"/>
      <c r="H268" s="319" t="s">
        <v>48</v>
      </c>
      <c r="I268" s="417">
        <v>0</v>
      </c>
      <c r="J268" s="417">
        <v>0</v>
      </c>
      <c r="K268" s="431">
        <v>0</v>
      </c>
      <c r="L268" s="431">
        <v>0</v>
      </c>
      <c r="M268" s="113"/>
      <c r="N268" s="113"/>
      <c r="O268" s="7"/>
      <c r="P268" s="7"/>
      <c r="Q268" s="7"/>
    </row>
    <row r="269" spans="2:17">
      <c r="B269" s="1046" t="s">
        <v>49</v>
      </c>
      <c r="C269" s="417">
        <v>0</v>
      </c>
      <c r="D269" s="417">
        <v>5.2930000000000001</v>
      </c>
      <c r="E269" s="431">
        <v>0</v>
      </c>
      <c r="F269" s="431">
        <v>0</v>
      </c>
      <c r="G269" s="365"/>
      <c r="H269" s="319" t="s">
        <v>49</v>
      </c>
      <c r="I269" s="417">
        <v>0</v>
      </c>
      <c r="J269" s="417">
        <v>0</v>
      </c>
      <c r="K269" s="431">
        <v>0</v>
      </c>
      <c r="L269" s="431">
        <v>0</v>
      </c>
      <c r="M269" s="113"/>
      <c r="N269" s="113"/>
      <c r="O269" s="7"/>
      <c r="P269" s="7"/>
      <c r="Q269" s="7"/>
    </row>
    <row r="270" spans="2:17">
      <c r="B270" s="1046" t="s">
        <v>50</v>
      </c>
      <c r="C270" s="417">
        <v>5.266</v>
      </c>
      <c r="D270" s="417">
        <v>7.4009999999999998</v>
      </c>
      <c r="E270" s="431">
        <v>6.2290000000000001</v>
      </c>
      <c r="F270" s="431">
        <v>0</v>
      </c>
      <c r="G270" s="365"/>
      <c r="H270" s="319" t="s">
        <v>50</v>
      </c>
      <c r="I270" s="417">
        <v>0</v>
      </c>
      <c r="J270" s="417">
        <v>0</v>
      </c>
      <c r="K270" s="431">
        <v>0</v>
      </c>
      <c r="L270" s="431">
        <v>0</v>
      </c>
      <c r="M270" s="113"/>
      <c r="N270" s="113"/>
      <c r="O270" s="7"/>
      <c r="P270" s="7"/>
      <c r="Q270" s="7"/>
    </row>
    <row r="271" spans="2:17">
      <c r="B271" s="1046" t="s">
        <v>51</v>
      </c>
      <c r="C271" s="417">
        <v>5.1669999999999998</v>
      </c>
      <c r="D271" s="417">
        <v>0</v>
      </c>
      <c r="E271" s="431">
        <v>10.523</v>
      </c>
      <c r="F271" s="431">
        <v>7.6159999999999997</v>
      </c>
      <c r="G271" s="365"/>
      <c r="H271" s="319" t="s">
        <v>51</v>
      </c>
      <c r="I271" s="417">
        <v>0</v>
      </c>
      <c r="J271" s="417">
        <v>0</v>
      </c>
      <c r="K271" s="431">
        <v>0</v>
      </c>
      <c r="L271" s="431">
        <v>6.9420000000000002</v>
      </c>
      <c r="M271" s="113"/>
      <c r="N271" s="113"/>
      <c r="O271" s="7"/>
      <c r="P271" s="7"/>
      <c r="Q271" s="7"/>
    </row>
    <row r="272" spans="2:17">
      <c r="B272" s="1046" t="s">
        <v>52</v>
      </c>
      <c r="C272" s="417">
        <v>12.579000000000001</v>
      </c>
      <c r="D272" s="417">
        <v>12.586</v>
      </c>
      <c r="E272" s="431">
        <v>10.506</v>
      </c>
      <c r="F272" s="431">
        <v>6.45</v>
      </c>
      <c r="G272" s="365"/>
      <c r="H272" s="319" t="s">
        <v>52</v>
      </c>
      <c r="I272" s="417">
        <v>0</v>
      </c>
      <c r="J272" s="417">
        <v>8.3419999999999987</v>
      </c>
      <c r="K272" s="431">
        <v>0</v>
      </c>
      <c r="L272" s="431">
        <v>0</v>
      </c>
      <c r="M272" s="113"/>
      <c r="N272" s="113"/>
      <c r="O272" s="7"/>
      <c r="P272" s="7"/>
      <c r="Q272" s="7"/>
    </row>
    <row r="273" spans="1:17">
      <c r="B273" s="1046" t="s">
        <v>53</v>
      </c>
      <c r="C273" s="417">
        <v>17.562999999999999</v>
      </c>
      <c r="D273" s="417">
        <v>9.43</v>
      </c>
      <c r="E273" s="431">
        <v>17.762</v>
      </c>
      <c r="F273" s="431">
        <v>6.4480000000000004</v>
      </c>
      <c r="G273" s="365"/>
      <c r="H273" s="319" t="s">
        <v>53</v>
      </c>
      <c r="I273" s="417">
        <v>11.382</v>
      </c>
      <c r="J273" s="417">
        <v>5.8470000000000004</v>
      </c>
      <c r="K273" s="431">
        <v>11.471</v>
      </c>
      <c r="L273" s="431">
        <v>0</v>
      </c>
      <c r="M273" s="113"/>
      <c r="N273" s="113"/>
      <c r="O273" s="7"/>
      <c r="P273" s="7"/>
      <c r="Q273" s="7"/>
    </row>
    <row r="274" spans="1:17">
      <c r="B274" s="1046" t="s">
        <v>54</v>
      </c>
      <c r="C274" s="417">
        <v>13.444000000000001</v>
      </c>
      <c r="D274" s="417">
        <v>19.867999999999999</v>
      </c>
      <c r="E274" s="431">
        <v>14.714</v>
      </c>
      <c r="F274" s="431">
        <v>5.3789999999999996</v>
      </c>
      <c r="G274" s="365"/>
      <c r="H274" s="319" t="s">
        <v>54</v>
      </c>
      <c r="I274" s="417">
        <v>0</v>
      </c>
      <c r="J274" s="417">
        <v>0</v>
      </c>
      <c r="K274" s="431">
        <v>6.7750000000000004</v>
      </c>
      <c r="L274" s="431">
        <v>6.7230000000000008</v>
      </c>
      <c r="M274" s="113"/>
      <c r="N274" s="113"/>
      <c r="O274" s="7"/>
      <c r="P274" s="7"/>
      <c r="Q274" s="7"/>
    </row>
    <row r="275" spans="1:17">
      <c r="B275" s="1046" t="s">
        <v>55</v>
      </c>
      <c r="C275" s="417">
        <v>20.707000000000001</v>
      </c>
      <c r="D275" s="417">
        <v>10.461</v>
      </c>
      <c r="E275" s="431">
        <v>15.698</v>
      </c>
      <c r="F275" s="431">
        <v>8.4580000000000002</v>
      </c>
      <c r="G275" s="365"/>
      <c r="H275" s="319" t="s">
        <v>55</v>
      </c>
      <c r="I275" s="417">
        <v>0</v>
      </c>
      <c r="J275" s="417">
        <v>5.798</v>
      </c>
      <c r="K275" s="431">
        <v>5.5880000000000001</v>
      </c>
      <c r="L275" s="431">
        <v>6.83</v>
      </c>
      <c r="M275" s="113"/>
      <c r="N275" s="113"/>
      <c r="O275" s="7"/>
      <c r="P275" s="7"/>
      <c r="Q275" s="7"/>
    </row>
    <row r="276" spans="1:17">
      <c r="B276" s="1046" t="s">
        <v>56</v>
      </c>
      <c r="C276" s="417">
        <v>7.2679999999999998</v>
      </c>
      <c r="D276" s="417">
        <v>7.3780000000000001</v>
      </c>
      <c r="E276" s="431">
        <v>7.2519999999999998</v>
      </c>
      <c r="F276" s="431">
        <v>6.3579999999999997</v>
      </c>
      <c r="G276" s="365"/>
      <c r="H276" s="319" t="s">
        <v>56</v>
      </c>
      <c r="I276" s="417">
        <v>6.9619999999999997</v>
      </c>
      <c r="J276" s="417">
        <v>5.6230000000000002</v>
      </c>
      <c r="K276" s="431">
        <v>0</v>
      </c>
      <c r="L276" s="431">
        <v>0</v>
      </c>
      <c r="M276" s="113"/>
      <c r="N276" s="113"/>
      <c r="O276" s="7"/>
      <c r="P276" s="7"/>
      <c r="Q276" s="7"/>
    </row>
    <row r="277" spans="1:17">
      <c r="B277" s="1046" t="s">
        <v>57</v>
      </c>
      <c r="C277" s="417">
        <v>5.2549999999999999</v>
      </c>
      <c r="D277" s="417">
        <v>5.2469999999999999</v>
      </c>
      <c r="E277" s="431">
        <v>0</v>
      </c>
      <c r="F277" s="431">
        <v>0</v>
      </c>
      <c r="G277" s="365"/>
      <c r="H277" s="319" t="s">
        <v>57</v>
      </c>
      <c r="I277" s="417">
        <v>0</v>
      </c>
      <c r="J277" s="417">
        <v>5.4980000000000002</v>
      </c>
      <c r="K277" s="431">
        <v>0</v>
      </c>
      <c r="L277" s="431">
        <v>0</v>
      </c>
      <c r="M277" s="113"/>
      <c r="N277" s="113"/>
      <c r="O277" s="7"/>
      <c r="P277" s="7"/>
      <c r="Q277" s="7"/>
    </row>
    <row r="278" spans="1:17">
      <c r="B278" s="1046" t="s">
        <v>8</v>
      </c>
      <c r="C278" s="417">
        <v>87.248999999999995</v>
      </c>
      <c r="D278" s="417">
        <v>77.664000000000001</v>
      </c>
      <c r="E278" s="431">
        <v>82.683999999999983</v>
      </c>
      <c r="F278" s="431">
        <v>40.708999999999996</v>
      </c>
      <c r="G278" s="7"/>
      <c r="H278" s="1046" t="s">
        <v>8</v>
      </c>
      <c r="I278" s="417">
        <v>18.344000000000001</v>
      </c>
      <c r="J278" s="417">
        <v>31.108000000000004</v>
      </c>
      <c r="K278" s="431">
        <v>23.834000000000003</v>
      </c>
      <c r="L278" s="431">
        <v>20.494999999999997</v>
      </c>
      <c r="M278" s="113"/>
      <c r="N278" s="113"/>
      <c r="O278" s="7"/>
      <c r="P278" s="7"/>
      <c r="Q278" s="7"/>
    </row>
    <row r="279" spans="1:17">
      <c r="A279" s="174">
        <f>G279+M279</f>
        <v>0</v>
      </c>
      <c r="C279">
        <f>SUM(C268:C277)-C278</f>
        <v>0</v>
      </c>
      <c r="D279">
        <f>SUM(D268:D277)-D278</f>
        <v>0</v>
      </c>
      <c r="E279">
        <f>SUM(E268:E277)-E278</f>
        <v>0</v>
      </c>
      <c r="F279">
        <f>SUM(F268:F277)-F278</f>
        <v>0</v>
      </c>
      <c r="G279">
        <f>SUM(C279:F279)</f>
        <v>0</v>
      </c>
      <c r="I279">
        <f>SUM(I268:I277)-I278</f>
        <v>0</v>
      </c>
      <c r="J279">
        <f>SUM(J268:J277)-J278</f>
        <v>0</v>
      </c>
      <c r="K279">
        <f>SUM(K268:K277)-K278</f>
        <v>0</v>
      </c>
      <c r="L279">
        <f>SUM(L268:L277)-L278</f>
        <v>0</v>
      </c>
      <c r="M279">
        <f>SUM(I279:L279)</f>
        <v>0</v>
      </c>
      <c r="N279" s="113"/>
      <c r="O279" s="7"/>
      <c r="P279" s="7"/>
      <c r="Q279" s="7"/>
    </row>
    <row r="280" spans="1:17">
      <c r="F280" s="302"/>
      <c r="I280" s="302"/>
      <c r="J280" s="302"/>
      <c r="N280" s="113"/>
      <c r="O280" s="7"/>
      <c r="P280" s="7"/>
      <c r="Q280" s="7"/>
    </row>
    <row r="281" spans="1:17">
      <c r="B281" s="153" t="s">
        <v>630</v>
      </c>
      <c r="D281" s="7"/>
      <c r="E281" s="124"/>
      <c r="F281" s="111"/>
      <c r="G281" s="109"/>
      <c r="H281" s="153" t="s">
        <v>631</v>
      </c>
      <c r="J281" s="452"/>
      <c r="K281" s="124"/>
      <c r="L281" s="111"/>
      <c r="M281" s="113"/>
      <c r="N281" s="113"/>
      <c r="O281" s="7"/>
      <c r="P281" s="7"/>
      <c r="Q281" s="7"/>
    </row>
    <row r="282" spans="1:17">
      <c r="C282" s="10"/>
      <c r="D282" s="452"/>
      <c r="E282" s="124"/>
      <c r="F282" s="1085"/>
      <c r="G282" s="109"/>
      <c r="I282" s="10"/>
      <c r="J282" s="452"/>
      <c r="K282" s="113"/>
      <c r="L282" s="1085"/>
      <c r="M282" s="113"/>
      <c r="N282" s="113"/>
      <c r="O282" s="7"/>
      <c r="P282" s="7"/>
      <c r="Q282" s="7"/>
    </row>
    <row r="283" spans="1:17">
      <c r="C283" s="1231" t="s">
        <v>71</v>
      </c>
      <c r="D283" s="1232"/>
      <c r="E283" s="1232"/>
      <c r="F283" s="1233"/>
      <c r="G283" s="155"/>
      <c r="I283" s="1231" t="s">
        <v>71</v>
      </c>
      <c r="J283" s="1232"/>
      <c r="K283" s="1232"/>
      <c r="L283" s="1233"/>
      <c r="M283" s="113"/>
      <c r="N283" s="113"/>
      <c r="O283" s="7"/>
      <c r="P283" s="7"/>
      <c r="Q283" s="7"/>
    </row>
    <row r="284" spans="1:17">
      <c r="B284" s="1046" t="s">
        <v>45</v>
      </c>
      <c r="C284" s="1046" t="str">
        <f>C267</f>
        <v>2012/13</v>
      </c>
      <c r="D284" s="1046" t="str">
        <f>D267</f>
        <v>2013/14</v>
      </c>
      <c r="E284" s="1046" t="str">
        <f>E267</f>
        <v>2014/15</v>
      </c>
      <c r="F284" s="1046" t="str">
        <f>F267</f>
        <v>2015/16</v>
      </c>
      <c r="G284" s="7"/>
      <c r="H284" s="1046" t="s">
        <v>45</v>
      </c>
      <c r="I284" s="1046" t="str">
        <f>I267</f>
        <v>2012/13</v>
      </c>
      <c r="J284" s="1046" t="str">
        <f>J267</f>
        <v>2013/14</v>
      </c>
      <c r="K284" s="1046" t="str">
        <f>K267</f>
        <v>2014/15</v>
      </c>
      <c r="L284" s="1046" t="str">
        <f>L267</f>
        <v>2015/16</v>
      </c>
      <c r="M284" s="113"/>
      <c r="N284" s="113"/>
      <c r="O284" s="7"/>
      <c r="P284" s="7"/>
      <c r="Q284" s="7"/>
    </row>
    <row r="285" spans="1:17">
      <c r="B285" s="1046" t="s">
        <v>48</v>
      </c>
      <c r="C285" s="426">
        <v>0</v>
      </c>
      <c r="D285" s="426">
        <v>0</v>
      </c>
      <c r="E285" s="436">
        <v>0</v>
      </c>
      <c r="F285" s="436">
        <v>0</v>
      </c>
      <c r="G285" s="7"/>
      <c r="H285" s="1046" t="s">
        <v>48</v>
      </c>
      <c r="I285" s="426">
        <v>0</v>
      </c>
      <c r="J285" s="426">
        <v>0</v>
      </c>
      <c r="K285" s="436">
        <v>0</v>
      </c>
      <c r="L285" s="436">
        <v>0</v>
      </c>
      <c r="M285" s="113"/>
      <c r="N285" s="113"/>
      <c r="O285" s="7"/>
      <c r="P285" s="7"/>
      <c r="Q285" s="7"/>
    </row>
    <row r="286" spans="1:17">
      <c r="B286" s="1046" t="s">
        <v>49</v>
      </c>
      <c r="C286" s="426">
        <v>0</v>
      </c>
      <c r="D286" s="426">
        <v>0</v>
      </c>
      <c r="E286" s="436">
        <v>9.4830000000000005</v>
      </c>
      <c r="F286" s="436">
        <v>0</v>
      </c>
      <c r="G286" s="7"/>
      <c r="H286" s="1046" t="s">
        <v>49</v>
      </c>
      <c r="I286" s="426">
        <v>5.5529999999999999</v>
      </c>
      <c r="J286" s="426">
        <v>5.0470000000000006</v>
      </c>
      <c r="K286" s="436">
        <v>0</v>
      </c>
      <c r="L286" s="436">
        <v>0</v>
      </c>
      <c r="M286" s="113"/>
      <c r="N286" s="113"/>
      <c r="O286" s="7"/>
      <c r="P286" s="7"/>
      <c r="Q286" s="7"/>
    </row>
    <row r="287" spans="1:17">
      <c r="B287" s="1046" t="s">
        <v>50</v>
      </c>
      <c r="C287" s="426">
        <v>5.2279999999999998</v>
      </c>
      <c r="D287" s="426">
        <v>0</v>
      </c>
      <c r="E287" s="436">
        <v>6.359</v>
      </c>
      <c r="F287" s="436">
        <v>0</v>
      </c>
      <c r="G287" s="7"/>
      <c r="H287" s="1046" t="s">
        <v>50</v>
      </c>
      <c r="I287" s="426">
        <v>12.63</v>
      </c>
      <c r="J287" s="426">
        <v>5.2169999999999996</v>
      </c>
      <c r="K287" s="436">
        <v>9.2169999999999987</v>
      </c>
      <c r="L287" s="436">
        <v>7.8100000000000005</v>
      </c>
      <c r="M287" s="113"/>
      <c r="N287" s="113"/>
      <c r="O287" s="7"/>
      <c r="P287" s="7"/>
      <c r="Q287" s="7"/>
    </row>
    <row r="288" spans="1:17">
      <c r="B288" s="1046" t="s">
        <v>51</v>
      </c>
      <c r="C288" s="426">
        <v>9.343</v>
      </c>
      <c r="D288" s="426">
        <v>7.3729999999999993</v>
      </c>
      <c r="E288" s="436">
        <v>14.83</v>
      </c>
      <c r="F288" s="436">
        <v>7.3029999999999999</v>
      </c>
      <c r="G288" s="7"/>
      <c r="H288" s="1046" t="s">
        <v>51</v>
      </c>
      <c r="I288" s="426">
        <v>10.366</v>
      </c>
      <c r="J288" s="426">
        <v>8.0229999999999997</v>
      </c>
      <c r="K288" s="436">
        <v>14.741</v>
      </c>
      <c r="L288" s="436">
        <v>10.063000000000001</v>
      </c>
      <c r="M288" s="113"/>
      <c r="N288" s="113"/>
      <c r="O288" s="7"/>
      <c r="P288" s="7"/>
      <c r="Q288" s="7"/>
    </row>
    <row r="289" spans="1:17">
      <c r="B289" s="1046" t="s">
        <v>52</v>
      </c>
      <c r="C289" s="426">
        <v>6.2560000000000002</v>
      </c>
      <c r="D289" s="426">
        <v>0</v>
      </c>
      <c r="E289" s="436">
        <v>14.680999999999999</v>
      </c>
      <c r="F289" s="436">
        <v>5.2839999999999998</v>
      </c>
      <c r="G289" s="7"/>
      <c r="H289" s="1046" t="s">
        <v>52</v>
      </c>
      <c r="I289" s="426">
        <v>19.411000000000001</v>
      </c>
      <c r="J289" s="426">
        <v>11.420999999999999</v>
      </c>
      <c r="K289" s="436">
        <v>13.689</v>
      </c>
      <c r="L289" s="436">
        <v>9.0830000000000002</v>
      </c>
      <c r="M289" s="113"/>
      <c r="N289" s="113"/>
      <c r="O289" s="7"/>
      <c r="P289" s="7"/>
      <c r="Q289" s="7"/>
    </row>
    <row r="290" spans="1:17">
      <c r="B290" s="1046" t="s">
        <v>53</v>
      </c>
      <c r="C290" s="426">
        <v>12.363</v>
      </c>
      <c r="D290" s="426">
        <v>10.428000000000001</v>
      </c>
      <c r="E290" s="436">
        <v>15.79</v>
      </c>
      <c r="F290" s="436">
        <v>6.4420000000000002</v>
      </c>
      <c r="G290" s="7"/>
      <c r="H290" s="1046" t="s">
        <v>53</v>
      </c>
      <c r="I290" s="426">
        <v>26.097000000000001</v>
      </c>
      <c r="J290" s="426">
        <v>19.478999999999999</v>
      </c>
      <c r="K290" s="436">
        <v>30.922999999999998</v>
      </c>
      <c r="L290" s="436">
        <v>11.611000000000001</v>
      </c>
      <c r="M290" s="113"/>
      <c r="N290" s="113"/>
      <c r="O290" s="7"/>
      <c r="P290" s="7"/>
      <c r="Q290" s="7"/>
    </row>
    <row r="291" spans="1:17">
      <c r="B291" s="1046" t="s">
        <v>54</v>
      </c>
      <c r="C291" s="426">
        <v>21.736999999999998</v>
      </c>
      <c r="D291" s="426">
        <v>7.367</v>
      </c>
      <c r="E291" s="436">
        <v>19.957999999999998</v>
      </c>
      <c r="F291" s="436">
        <v>14.826000000000001</v>
      </c>
      <c r="G291" s="7"/>
      <c r="H291" s="1046" t="s">
        <v>54</v>
      </c>
      <c r="I291" s="426">
        <v>24.971</v>
      </c>
      <c r="J291" s="426">
        <v>14.888999999999999</v>
      </c>
      <c r="K291" s="436">
        <v>32.912999999999997</v>
      </c>
      <c r="L291" s="436">
        <v>16.928000000000001</v>
      </c>
      <c r="M291" s="113"/>
      <c r="N291" s="113"/>
      <c r="O291" s="7"/>
      <c r="P291" s="7"/>
      <c r="Q291" s="7"/>
    </row>
    <row r="292" spans="1:17">
      <c r="B292" s="1046" t="s">
        <v>55</v>
      </c>
      <c r="C292" s="426">
        <v>15.586</v>
      </c>
      <c r="D292" s="426">
        <v>22.096</v>
      </c>
      <c r="E292" s="436">
        <v>21.939</v>
      </c>
      <c r="F292" s="436">
        <v>12.643000000000001</v>
      </c>
      <c r="G292" s="7"/>
      <c r="H292" s="1046" t="s">
        <v>55</v>
      </c>
      <c r="I292" s="426">
        <v>23.058</v>
      </c>
      <c r="J292" s="426">
        <v>17.614000000000001</v>
      </c>
      <c r="K292" s="436">
        <v>32.338000000000001</v>
      </c>
      <c r="L292" s="436">
        <v>15.861000000000001</v>
      </c>
      <c r="M292" s="113"/>
      <c r="N292" s="113"/>
      <c r="O292" s="7"/>
      <c r="P292" s="7"/>
      <c r="Q292" s="7"/>
    </row>
    <row r="293" spans="1:17">
      <c r="B293" s="1046" t="s">
        <v>56</v>
      </c>
      <c r="C293" s="426">
        <v>16.626000000000001</v>
      </c>
      <c r="D293" s="426">
        <v>6.3630000000000004</v>
      </c>
      <c r="E293" s="436">
        <v>7.4540000000000006</v>
      </c>
      <c r="F293" s="436">
        <v>0</v>
      </c>
      <c r="G293" s="7"/>
      <c r="H293" s="1046" t="s">
        <v>56</v>
      </c>
      <c r="I293" s="426">
        <v>6.766</v>
      </c>
      <c r="J293" s="426">
        <v>6.8580000000000005</v>
      </c>
      <c r="K293" s="436">
        <v>0</v>
      </c>
      <c r="L293" s="436">
        <v>0</v>
      </c>
      <c r="M293" s="113"/>
      <c r="N293" s="113"/>
      <c r="O293" s="7"/>
      <c r="P293" s="7"/>
      <c r="Q293" s="7"/>
    </row>
    <row r="294" spans="1:17">
      <c r="B294" s="1046" t="s">
        <v>57</v>
      </c>
      <c r="C294" s="426">
        <v>5.0350000000000001</v>
      </c>
      <c r="D294" s="426">
        <v>5.1360000000000001</v>
      </c>
      <c r="E294" s="436">
        <v>5.1340000000000003</v>
      </c>
      <c r="F294" s="436">
        <v>0</v>
      </c>
      <c r="G294" s="7"/>
      <c r="H294" s="1046" t="s">
        <v>57</v>
      </c>
      <c r="I294" s="426">
        <v>0</v>
      </c>
      <c r="J294" s="426">
        <v>0</v>
      </c>
      <c r="K294" s="436">
        <v>5.7249999999999996</v>
      </c>
      <c r="L294" s="436">
        <v>6.7130000000000001</v>
      </c>
      <c r="M294" s="113"/>
      <c r="N294" s="113"/>
      <c r="O294" s="7"/>
      <c r="P294" s="7"/>
      <c r="Q294" s="7"/>
    </row>
    <row r="295" spans="1:17">
      <c r="B295" s="1046" t="s">
        <v>8</v>
      </c>
      <c r="C295" s="426">
        <v>92.173999999999992</v>
      </c>
      <c r="D295" s="426">
        <v>58.763000000000005</v>
      </c>
      <c r="E295" s="436">
        <v>115.628</v>
      </c>
      <c r="F295" s="436">
        <v>46.498000000000005</v>
      </c>
      <c r="G295" s="7"/>
      <c r="H295" s="1046" t="s">
        <v>8</v>
      </c>
      <c r="I295" s="426">
        <v>128.852</v>
      </c>
      <c r="J295" s="426">
        <v>88.547999999999988</v>
      </c>
      <c r="K295" s="436">
        <v>139.54600000000002</v>
      </c>
      <c r="L295" s="436">
        <v>78.069000000000003</v>
      </c>
      <c r="M295" s="113"/>
      <c r="N295" s="113"/>
      <c r="O295" s="7"/>
      <c r="P295" s="7"/>
      <c r="Q295" s="7"/>
    </row>
    <row r="296" spans="1:17">
      <c r="A296" s="174">
        <f>G296+M296</f>
        <v>0</v>
      </c>
      <c r="C296">
        <f>SUM(C285:C294)-C295</f>
        <v>0</v>
      </c>
      <c r="D296">
        <f>SUM(D285:D294)-D295</f>
        <v>0</v>
      </c>
      <c r="E296">
        <f>SUM(E285:E294)-E295</f>
        <v>0</v>
      </c>
      <c r="F296">
        <f>SUM(F285:F294)-F295</f>
        <v>0</v>
      </c>
      <c r="G296">
        <f>SUM(C296:F296)</f>
        <v>0</v>
      </c>
      <c r="I296">
        <f>SUM(I285:I294)-I295</f>
        <v>0</v>
      </c>
      <c r="J296">
        <f>SUM(J285:J294)-J295</f>
        <v>0</v>
      </c>
      <c r="K296">
        <f>SUM(K285:K294)-K295</f>
        <v>0</v>
      </c>
      <c r="L296">
        <f>SUM(L285:L294)-L295</f>
        <v>0</v>
      </c>
      <c r="M296">
        <f>SUM(I296:L296)</f>
        <v>0</v>
      </c>
      <c r="N296" s="113"/>
      <c r="O296" s="7"/>
      <c r="P296" s="7"/>
      <c r="Q296" s="7"/>
    </row>
    <row r="297" spans="1:17">
      <c r="C297" s="10"/>
      <c r="D297" s="452"/>
      <c r="E297" s="113"/>
      <c r="F297" s="1085"/>
      <c r="G297" s="109"/>
      <c r="H297" s="109"/>
      <c r="I297" s="109"/>
      <c r="J297" s="112"/>
      <c r="K297" s="113"/>
      <c r="L297" s="113"/>
      <c r="M297" s="113"/>
      <c r="N297" s="113"/>
      <c r="O297" s="7"/>
      <c r="P297" s="7"/>
      <c r="Q297" s="7"/>
    </row>
    <row r="298" spans="1:17" ht="18">
      <c r="B298" s="38" t="s">
        <v>159</v>
      </c>
      <c r="C298" s="1082"/>
      <c r="D298" s="1083"/>
      <c r="E298" s="1084"/>
      <c r="F298" s="12"/>
      <c r="J298" s="12" t="s">
        <v>1400</v>
      </c>
      <c r="L298" s="880" t="s">
        <v>146</v>
      </c>
      <c r="M298" s="5" t="s">
        <v>64</v>
      </c>
      <c r="N298" s="124"/>
      <c r="O298" s="7"/>
      <c r="P298" s="7"/>
      <c r="Q298" s="7"/>
    </row>
    <row r="299" spans="1:17">
      <c r="D299" s="7"/>
      <c r="E299" s="125"/>
      <c r="F299" s="126"/>
      <c r="G299" s="124"/>
      <c r="H299" s="124"/>
      <c r="I299" s="124"/>
      <c r="J299" s="124"/>
      <c r="K299" s="124"/>
      <c r="L299" s="124"/>
      <c r="M299" s="124"/>
      <c r="N299" s="124"/>
      <c r="O299" s="7"/>
      <c r="P299" s="7"/>
      <c r="Q299" s="7"/>
    </row>
    <row r="300" spans="1:17">
      <c r="B300" s="12" t="s">
        <v>1398</v>
      </c>
      <c r="C300" s="114" t="s">
        <v>1544</v>
      </c>
      <c r="D300" s="416"/>
      <c r="E300" s="416"/>
      <c r="F300" s="416"/>
      <c r="G300" s="419"/>
      <c r="H300" s="419"/>
      <c r="I300" s="416"/>
      <c r="J300" s="416"/>
      <c r="K300" s="416"/>
      <c r="L300" s="416"/>
      <c r="M300" s="124"/>
      <c r="N300" s="124"/>
      <c r="O300" s="7"/>
      <c r="P300" s="7"/>
      <c r="Q300" s="7"/>
    </row>
    <row r="301" spans="1:17">
      <c r="C301" s="416"/>
      <c r="D301" s="416"/>
      <c r="E301" s="416"/>
      <c r="F301" s="416"/>
      <c r="G301" s="419"/>
      <c r="H301" s="419"/>
      <c r="I301" s="416"/>
      <c r="J301" s="416"/>
      <c r="K301" s="416"/>
      <c r="L301" s="416"/>
      <c r="M301" s="124"/>
      <c r="N301" s="124"/>
      <c r="O301" s="7"/>
      <c r="P301" s="7"/>
      <c r="Q301" s="7"/>
    </row>
    <row r="302" spans="1:17" ht="13.15" customHeight="1">
      <c r="B302" s="12" t="s">
        <v>61</v>
      </c>
      <c r="C302" s="768" t="s">
        <v>1404</v>
      </c>
      <c r="D302" s="768"/>
      <c r="E302" s="768"/>
      <c r="F302" s="768"/>
      <c r="G302" s="768"/>
      <c r="H302" s="768"/>
      <c r="I302" s="768"/>
      <c r="J302" s="768"/>
      <c r="K302" s="768"/>
      <c r="L302" s="768"/>
      <c r="M302" s="124"/>
      <c r="N302" s="124"/>
      <c r="O302" s="7"/>
      <c r="P302" s="7"/>
      <c r="Q302" s="7"/>
    </row>
    <row r="303" spans="1:17">
      <c r="C303" s="1045"/>
      <c r="D303" s="1045"/>
      <c r="E303" s="1045"/>
      <c r="F303" s="1045"/>
      <c r="G303" s="1045"/>
      <c r="H303" s="1045"/>
      <c r="I303" s="1045"/>
      <c r="J303" s="1045"/>
      <c r="K303" s="1045"/>
      <c r="L303" s="1045"/>
      <c r="M303" s="124"/>
      <c r="N303" s="124"/>
      <c r="O303" s="7"/>
      <c r="P303" s="7"/>
      <c r="Q303" s="7"/>
    </row>
    <row r="304" spans="1:17" ht="13.15" customHeight="1">
      <c r="B304" s="12" t="s">
        <v>62</v>
      </c>
      <c r="C304" s="768" t="s">
        <v>1549</v>
      </c>
      <c r="D304" s="768"/>
      <c r="E304" s="768"/>
      <c r="F304" s="768"/>
      <c r="G304" s="768"/>
      <c r="H304" s="768"/>
      <c r="I304" s="768"/>
      <c r="J304" s="768"/>
      <c r="K304" s="768"/>
      <c r="L304" s="768"/>
      <c r="M304" s="124"/>
      <c r="N304" s="124"/>
      <c r="O304" s="7"/>
      <c r="P304" s="7"/>
      <c r="Q304" s="7"/>
    </row>
    <row r="305" spans="2:17" ht="13.15" customHeight="1">
      <c r="B305" s="12"/>
      <c r="C305" s="768"/>
      <c r="D305" s="768"/>
      <c r="E305" s="768"/>
      <c r="F305" s="768"/>
      <c r="G305" s="768"/>
      <c r="H305" s="768"/>
      <c r="I305" s="768"/>
      <c r="J305" s="768"/>
      <c r="K305" s="768"/>
      <c r="L305" s="768"/>
      <c r="M305" s="124"/>
      <c r="N305" s="124"/>
      <c r="O305" s="7"/>
      <c r="P305" s="7"/>
      <c r="Q305" s="7"/>
    </row>
    <row r="306" spans="2:17" ht="12.75" customHeight="1">
      <c r="C306" s="1236" t="s">
        <v>1387</v>
      </c>
      <c r="D306" s="1236"/>
      <c r="E306" s="1236"/>
      <c r="F306" s="1236"/>
      <c r="G306" s="1236"/>
      <c r="H306" s="1236"/>
      <c r="I306" s="1236"/>
      <c r="J306" s="1236"/>
      <c r="K306" s="1236"/>
      <c r="L306" s="1236"/>
      <c r="M306" s="1236"/>
      <c r="N306" s="124"/>
      <c r="O306" s="7"/>
      <c r="P306" s="7"/>
      <c r="Q306" s="7"/>
    </row>
    <row r="307" spans="2:17" ht="12.75" customHeight="1">
      <c r="C307" s="1236"/>
      <c r="D307" s="1236"/>
      <c r="E307" s="1236"/>
      <c r="F307" s="1236"/>
      <c r="G307" s="1236"/>
      <c r="H307" s="1236"/>
      <c r="I307" s="1236"/>
      <c r="J307" s="1236"/>
      <c r="K307" s="1236"/>
      <c r="L307" s="1236"/>
      <c r="M307" s="1236"/>
      <c r="N307" s="124"/>
      <c r="O307" s="7"/>
      <c r="P307" s="7"/>
      <c r="Q307" s="7"/>
    </row>
    <row r="308" spans="2:17" ht="12.75" customHeight="1">
      <c r="C308" s="1236"/>
      <c r="D308" s="1236"/>
      <c r="E308" s="1236"/>
      <c r="F308" s="1236"/>
      <c r="G308" s="1236"/>
      <c r="H308" s="1236"/>
      <c r="I308" s="1236"/>
      <c r="J308" s="1236"/>
      <c r="K308" s="1236"/>
      <c r="L308" s="1236"/>
      <c r="M308" s="1236"/>
      <c r="N308" s="124"/>
      <c r="O308" s="7"/>
      <c r="P308" s="7"/>
      <c r="Q308" s="7"/>
    </row>
    <row r="309" spans="2:17" ht="12.75" customHeight="1">
      <c r="C309" s="1236"/>
      <c r="D309" s="1236"/>
      <c r="E309" s="1236"/>
      <c r="F309" s="1236"/>
      <c r="G309" s="1236"/>
      <c r="H309" s="1236"/>
      <c r="I309" s="1236"/>
      <c r="J309" s="1236"/>
      <c r="K309" s="1236"/>
      <c r="L309" s="1236"/>
      <c r="M309" s="1236"/>
      <c r="N309" s="124"/>
      <c r="O309" s="7"/>
      <c r="P309" s="7"/>
      <c r="Q309" s="7"/>
    </row>
    <row r="310" spans="2:17">
      <c r="C310" s="768"/>
      <c r="D310" s="768"/>
      <c r="E310" s="768"/>
      <c r="F310" s="768"/>
      <c r="G310" s="768"/>
      <c r="H310" s="768"/>
      <c r="I310" s="768"/>
      <c r="J310" s="768"/>
      <c r="K310" s="768"/>
      <c r="L310" s="768"/>
      <c r="M310" s="124"/>
      <c r="N310" s="124"/>
      <c r="O310" s="7"/>
      <c r="P310" s="7"/>
      <c r="Q310" s="7"/>
    </row>
    <row r="311" spans="2:17">
      <c r="B311" s="153" t="s">
        <v>160</v>
      </c>
      <c r="D311" s="7"/>
      <c r="E311" s="124"/>
      <c r="F311" s="111"/>
      <c r="G311" s="109"/>
      <c r="H311" s="153"/>
      <c r="I311" s="7"/>
      <c r="J311" s="7"/>
      <c r="K311" s="124"/>
      <c r="L311" s="111"/>
      <c r="M311" s="124"/>
      <c r="N311" s="124"/>
      <c r="O311" s="7"/>
      <c r="P311" s="7"/>
      <c r="Q311" s="7"/>
    </row>
    <row r="312" spans="2:17">
      <c r="D312" s="7"/>
      <c r="E312" s="124"/>
      <c r="F312" s="111"/>
      <c r="G312" s="109"/>
      <c r="H312" s="7"/>
      <c r="I312" s="7"/>
      <c r="J312" s="7"/>
      <c r="K312" s="124"/>
      <c r="L312" s="111"/>
      <c r="M312" s="124"/>
      <c r="N312" s="124"/>
      <c r="O312" s="7"/>
      <c r="P312" s="7"/>
      <c r="Q312" s="7"/>
    </row>
    <row r="313" spans="2:17">
      <c r="C313" s="1231" t="s">
        <v>71</v>
      </c>
      <c r="D313" s="1232"/>
      <c r="E313" s="1232"/>
      <c r="F313" s="1233"/>
      <c r="G313" s="155"/>
      <c r="H313" s="7"/>
      <c r="I313" s="1238"/>
      <c r="J313" s="1238"/>
      <c r="K313" s="1238"/>
      <c r="L313" s="1238"/>
      <c r="M313" s="124"/>
      <c r="N313" s="124"/>
      <c r="O313" s="7"/>
      <c r="P313" s="7"/>
      <c r="Q313" s="7"/>
    </row>
    <row r="314" spans="2:17">
      <c r="B314" s="1046" t="s">
        <v>45</v>
      </c>
      <c r="C314" s="1046" t="str">
        <f>C267</f>
        <v>2012/13</v>
      </c>
      <c r="D314" s="1046" t="str">
        <f>D267</f>
        <v>2013/14</v>
      </c>
      <c r="E314" s="1046" t="str">
        <f>E267</f>
        <v>2014/15</v>
      </c>
      <c r="F314" s="1046" t="str">
        <f>F267</f>
        <v>2015/16</v>
      </c>
      <c r="G314" s="7"/>
      <c r="H314" s="122"/>
      <c r="I314" s="1050"/>
      <c r="J314" s="1050"/>
      <c r="K314" s="1050"/>
      <c r="L314" s="1050"/>
      <c r="M314" s="1050"/>
      <c r="N314" s="124"/>
      <c r="O314" s="7"/>
      <c r="P314" s="7"/>
      <c r="Q314" s="7"/>
    </row>
    <row r="315" spans="2:17">
      <c r="B315" s="1046" t="s">
        <v>48</v>
      </c>
      <c r="C315" s="417">
        <v>7805.9049999999997</v>
      </c>
      <c r="D315" s="417">
        <v>8371.7860000000001</v>
      </c>
      <c r="E315" s="431">
        <v>9002.3809999999994</v>
      </c>
      <c r="F315" s="432">
        <v>7671.3919999999998</v>
      </c>
      <c r="G315" s="7"/>
      <c r="H315" s="122"/>
      <c r="I315" s="122"/>
      <c r="J315" s="729"/>
      <c r="K315" s="729"/>
      <c r="L315" s="729"/>
      <c r="M315" s="729"/>
      <c r="N315" s="124"/>
      <c r="O315" s="7"/>
      <c r="P315" s="7"/>
      <c r="Q315" s="7"/>
    </row>
    <row r="316" spans="2:17">
      <c r="B316" s="1046" t="s">
        <v>49</v>
      </c>
      <c r="C316" s="417">
        <v>6246.7449999999999</v>
      </c>
      <c r="D316" s="417">
        <v>6329.4530000000004</v>
      </c>
      <c r="E316" s="431">
        <v>6298.4939999999997</v>
      </c>
      <c r="F316" s="432">
        <v>6246.2359999999999</v>
      </c>
      <c r="G316" s="7"/>
      <c r="H316" s="122"/>
      <c r="I316" s="122"/>
      <c r="J316" s="729"/>
      <c r="K316" s="729"/>
      <c r="L316" s="729"/>
      <c r="M316" s="729"/>
      <c r="N316" s="124"/>
      <c r="O316" s="7"/>
      <c r="P316" s="7"/>
      <c r="Q316" s="7"/>
    </row>
    <row r="317" spans="2:17">
      <c r="B317" s="1046" t="s">
        <v>50</v>
      </c>
      <c r="C317" s="417">
        <v>2923.1590000000001</v>
      </c>
      <c r="D317" s="417">
        <v>2986.8820000000001</v>
      </c>
      <c r="E317" s="431">
        <v>2855.6170000000002</v>
      </c>
      <c r="F317" s="432">
        <v>2933.306</v>
      </c>
      <c r="G317" s="7"/>
      <c r="H317" s="122"/>
      <c r="I317" s="122"/>
      <c r="J317" s="729"/>
      <c r="K317" s="729"/>
      <c r="L317" s="729"/>
      <c r="M317" s="729"/>
      <c r="N317" s="124"/>
      <c r="O317" s="7"/>
      <c r="P317" s="7"/>
      <c r="Q317" s="7"/>
    </row>
    <row r="318" spans="2:17">
      <c r="B318" s="1046" t="s">
        <v>51</v>
      </c>
      <c r="C318" s="417">
        <v>2278.9189999999999</v>
      </c>
      <c r="D318" s="417">
        <v>2443.933</v>
      </c>
      <c r="E318" s="431">
        <v>2378.0929999999998</v>
      </c>
      <c r="F318" s="432">
        <v>2463.3209999999999</v>
      </c>
      <c r="G318" s="7"/>
      <c r="H318" s="122"/>
      <c r="I318" s="122"/>
      <c r="J318" s="729"/>
      <c r="K318" s="729"/>
      <c r="L318" s="729"/>
      <c r="M318" s="729"/>
      <c r="N318" s="124"/>
      <c r="O318" s="7"/>
      <c r="P318" s="7"/>
      <c r="Q318" s="7"/>
    </row>
    <row r="319" spans="2:17">
      <c r="B319" s="1046" t="s">
        <v>52</v>
      </c>
      <c r="C319" s="417">
        <v>2325.431</v>
      </c>
      <c r="D319" s="417">
        <v>2423.105</v>
      </c>
      <c r="E319" s="431">
        <v>2288.395</v>
      </c>
      <c r="F319" s="432">
        <v>2235.558</v>
      </c>
      <c r="G319" s="7"/>
      <c r="H319" s="122"/>
      <c r="I319" s="122"/>
      <c r="J319" s="729"/>
      <c r="K319" s="729"/>
      <c r="L319" s="729"/>
      <c r="M319" s="729"/>
      <c r="N319" s="124"/>
      <c r="O319" s="7"/>
      <c r="P319" s="7"/>
      <c r="Q319" s="7"/>
    </row>
    <row r="320" spans="2:17">
      <c r="B320" s="1046" t="s">
        <v>53</v>
      </c>
      <c r="C320" s="417">
        <v>1654.432</v>
      </c>
      <c r="D320" s="417">
        <v>1798.8140000000001</v>
      </c>
      <c r="E320" s="431">
        <v>1698.954</v>
      </c>
      <c r="F320" s="432">
        <v>1711.1610000000001</v>
      </c>
      <c r="G320" s="7"/>
      <c r="H320" s="122"/>
      <c r="I320" s="145"/>
      <c r="J320" s="730"/>
      <c r="K320" s="730"/>
      <c r="L320" s="730"/>
      <c r="M320" s="730"/>
      <c r="N320" s="124"/>
      <c r="O320" s="7"/>
      <c r="P320" s="7"/>
      <c r="Q320" s="7"/>
    </row>
    <row r="321" spans="1:17">
      <c r="B321" s="1046" t="s">
        <v>54</v>
      </c>
      <c r="C321" s="417">
        <v>958.61900000000003</v>
      </c>
      <c r="D321" s="417">
        <v>1080.1659999999999</v>
      </c>
      <c r="E321" s="431">
        <v>1103.308</v>
      </c>
      <c r="F321" s="432">
        <v>1143.46</v>
      </c>
      <c r="G321" s="7"/>
      <c r="H321" s="122"/>
      <c r="I321" s="145"/>
      <c r="J321" s="145"/>
      <c r="K321" s="145"/>
      <c r="L321" s="145"/>
      <c r="M321" s="124"/>
      <c r="N321" s="124"/>
      <c r="O321" s="7"/>
      <c r="P321" s="7"/>
      <c r="Q321" s="7"/>
    </row>
    <row r="322" spans="1:17">
      <c r="B322" s="1046" t="s">
        <v>55</v>
      </c>
      <c r="C322" s="417">
        <v>721.596</v>
      </c>
      <c r="D322" s="417">
        <v>694.83399999999995</v>
      </c>
      <c r="E322" s="431">
        <v>664.46400000000006</v>
      </c>
      <c r="F322" s="432">
        <v>606.54399999999998</v>
      </c>
      <c r="G322" s="7"/>
      <c r="H322" s="122"/>
      <c r="I322" s="145"/>
      <c r="J322" s="145"/>
      <c r="K322" s="145"/>
      <c r="L322" s="145"/>
      <c r="M322" s="124"/>
      <c r="N322" s="124"/>
      <c r="O322" s="7"/>
      <c r="P322" s="7"/>
      <c r="Q322" s="7"/>
    </row>
    <row r="323" spans="1:17">
      <c r="B323" s="1046" t="s">
        <v>56</v>
      </c>
      <c r="C323" s="417">
        <v>273.24299999999999</v>
      </c>
      <c r="D323" s="417">
        <v>366.36099999999999</v>
      </c>
      <c r="E323" s="431">
        <v>309.40600000000001</v>
      </c>
      <c r="F323" s="432">
        <v>319.38400000000001</v>
      </c>
      <c r="G323" s="7"/>
      <c r="H323" s="122"/>
      <c r="I323" s="145"/>
      <c r="J323" s="145"/>
      <c r="K323" s="145"/>
      <c r="L323" s="145"/>
      <c r="M323" s="124"/>
      <c r="N323" s="124"/>
      <c r="O323" s="7"/>
      <c r="P323" s="7"/>
      <c r="Q323" s="7"/>
    </row>
    <row r="324" spans="1:17">
      <c r="B324" s="1046" t="s">
        <v>57</v>
      </c>
      <c r="C324" s="417">
        <v>89.367000000000004</v>
      </c>
      <c r="D324" s="417">
        <v>102.95099999999999</v>
      </c>
      <c r="E324" s="431">
        <v>94.555000000000007</v>
      </c>
      <c r="F324" s="432">
        <v>75.89</v>
      </c>
      <c r="G324" s="7"/>
      <c r="H324" s="122"/>
      <c r="I324" s="145"/>
      <c r="J324" s="145"/>
      <c r="K324" s="145"/>
      <c r="L324" s="145"/>
      <c r="M324" s="124"/>
      <c r="N324" s="124"/>
      <c r="O324" s="7"/>
      <c r="P324" s="7"/>
      <c r="Q324" s="7"/>
    </row>
    <row r="325" spans="1:17">
      <c r="B325" s="1046" t="s">
        <v>8</v>
      </c>
      <c r="C325" s="417">
        <v>25277.416000000001</v>
      </c>
      <c r="D325" s="417">
        <v>26598.285000000003</v>
      </c>
      <c r="E325" s="431">
        <v>26693.667000000001</v>
      </c>
      <c r="F325" s="431">
        <v>25406.252</v>
      </c>
      <c r="G325" s="7"/>
      <c r="H325" s="122"/>
      <c r="I325" s="145"/>
      <c r="J325" s="145"/>
      <c r="K325" s="145"/>
      <c r="L325" s="145"/>
      <c r="M325" s="124"/>
      <c r="N325" s="124"/>
      <c r="O325" s="7"/>
      <c r="P325" s="7"/>
      <c r="Q325" s="7"/>
    </row>
    <row r="326" spans="1:17">
      <c r="A326" s="170">
        <f>G326</f>
        <v>0</v>
      </c>
      <c r="C326">
        <f>SUM(C315:C324)-C325</f>
        <v>0</v>
      </c>
      <c r="D326">
        <f>SUM(D315:D324)-D325</f>
        <v>0</v>
      </c>
      <c r="E326">
        <f>SUM(E315:E324)-E325</f>
        <v>0</v>
      </c>
      <c r="F326">
        <f>SUM(F315:F324)-F325</f>
        <v>0</v>
      </c>
      <c r="G326">
        <f>SUM(C326:F326)</f>
        <v>0</v>
      </c>
      <c r="H326" s="7"/>
      <c r="I326" s="7"/>
      <c r="J326" s="7"/>
      <c r="K326" s="124"/>
      <c r="L326" s="111"/>
      <c r="M326" s="124"/>
      <c r="N326" s="124"/>
      <c r="O326" s="7"/>
      <c r="P326" s="7"/>
      <c r="Q326" s="7"/>
    </row>
    <row r="327" spans="1:17">
      <c r="B327" s="153" t="s">
        <v>161</v>
      </c>
      <c r="C327" s="302"/>
      <c r="D327" s="7"/>
      <c r="E327" s="124"/>
      <c r="F327" s="111"/>
      <c r="G327" s="109"/>
      <c r="H327" s="153"/>
      <c r="I327" s="7"/>
      <c r="J327" s="7"/>
      <c r="K327" s="124"/>
      <c r="L327" s="111"/>
      <c r="M327" s="124"/>
      <c r="N327" s="124"/>
      <c r="O327" s="7"/>
      <c r="P327" s="7"/>
      <c r="Q327" s="7"/>
    </row>
    <row r="328" spans="1:17">
      <c r="D328" s="7"/>
      <c r="E328" s="124"/>
      <c r="F328" s="111"/>
      <c r="G328" s="109"/>
      <c r="H328" s="7"/>
      <c r="I328" s="7"/>
      <c r="J328" s="7"/>
      <c r="K328" s="124"/>
      <c r="L328" s="111"/>
      <c r="M328" s="124"/>
      <c r="N328" s="124"/>
      <c r="O328" s="7"/>
      <c r="P328" s="7"/>
      <c r="Q328" s="7"/>
    </row>
    <row r="329" spans="1:17">
      <c r="C329" s="1231" t="s">
        <v>71</v>
      </c>
      <c r="D329" s="1232"/>
      <c r="E329" s="1232"/>
      <c r="F329" s="1233"/>
      <c r="G329" s="155"/>
      <c r="H329" s="7"/>
      <c r="I329" s="1238"/>
      <c r="J329" s="1238"/>
      <c r="K329" s="1238"/>
      <c r="L329" s="1238"/>
      <c r="M329" s="124"/>
      <c r="N329" s="124"/>
      <c r="O329" s="7"/>
      <c r="P329" s="7"/>
      <c r="Q329" s="7"/>
    </row>
    <row r="330" spans="1:17">
      <c r="B330" s="1046" t="s">
        <v>45</v>
      </c>
      <c r="C330" s="1046" t="str">
        <f>C314</f>
        <v>2012/13</v>
      </c>
      <c r="D330" s="1046" t="str">
        <f>D314</f>
        <v>2013/14</v>
      </c>
      <c r="E330" s="1046" t="str">
        <f>E314</f>
        <v>2014/15</v>
      </c>
      <c r="F330" s="1046" t="str">
        <f>F314</f>
        <v>2015/16</v>
      </c>
      <c r="G330" s="7"/>
      <c r="H330" s="122"/>
      <c r="I330" s="1050"/>
      <c r="J330" s="1050"/>
      <c r="K330" s="1050"/>
      <c r="L330" s="1050"/>
      <c r="M330" s="124"/>
      <c r="N330" s="124"/>
      <c r="O330" s="7"/>
      <c r="P330" s="7"/>
      <c r="Q330" s="7"/>
    </row>
    <row r="331" spans="1:17">
      <c r="B331" s="1046" t="s">
        <v>48</v>
      </c>
      <c r="C331" s="417">
        <v>5187.049</v>
      </c>
      <c r="D331" s="417">
        <v>5468.2479999999996</v>
      </c>
      <c r="E331" s="431">
        <v>5489.415</v>
      </c>
      <c r="F331" s="431">
        <v>5288.9740000000002</v>
      </c>
      <c r="G331" s="7"/>
      <c r="H331" s="122"/>
      <c r="I331" s="145"/>
      <c r="J331" s="145"/>
      <c r="K331" s="145"/>
      <c r="L331" s="145"/>
      <c r="M331" s="124"/>
      <c r="N331" s="124"/>
      <c r="O331" s="7"/>
      <c r="P331" s="7"/>
      <c r="Q331" s="7"/>
    </row>
    <row r="332" spans="1:17">
      <c r="B332" s="1046" t="s">
        <v>49</v>
      </c>
      <c r="C332" s="417">
        <v>5671.1139999999996</v>
      </c>
      <c r="D332" s="417">
        <v>5543.1809999999996</v>
      </c>
      <c r="E332" s="431">
        <v>5286.2619999999997</v>
      </c>
      <c r="F332" s="431">
        <v>5568.0209999999997</v>
      </c>
      <c r="G332" s="7"/>
      <c r="H332" s="122"/>
      <c r="I332" s="145"/>
      <c r="J332" s="145"/>
      <c r="K332" s="145"/>
      <c r="L332" s="145"/>
      <c r="M332" s="124"/>
      <c r="N332" s="124"/>
      <c r="O332" s="7"/>
      <c r="P332" s="7"/>
      <c r="Q332" s="7"/>
    </row>
    <row r="333" spans="1:17">
      <c r="B333" s="1046" t="s">
        <v>50</v>
      </c>
      <c r="C333" s="417">
        <v>2838.741</v>
      </c>
      <c r="D333" s="417">
        <v>2705.0929999999998</v>
      </c>
      <c r="E333" s="431">
        <v>2606.721</v>
      </c>
      <c r="F333" s="431">
        <v>2798.3879999999999</v>
      </c>
      <c r="G333" s="7"/>
      <c r="H333" s="122"/>
      <c r="I333" s="145"/>
      <c r="J333" s="145"/>
      <c r="K333" s="145"/>
      <c r="L333" s="145"/>
      <c r="M333" s="124"/>
      <c r="N333" s="124"/>
      <c r="O333" s="7"/>
      <c r="P333" s="7"/>
      <c r="Q333" s="7"/>
    </row>
    <row r="334" spans="1:17">
      <c r="B334" s="1046" t="s">
        <v>51</v>
      </c>
      <c r="C334" s="417">
        <v>1918.5360000000001</v>
      </c>
      <c r="D334" s="417">
        <v>2032.2750000000001</v>
      </c>
      <c r="E334" s="431">
        <v>1938.444</v>
      </c>
      <c r="F334" s="431">
        <v>2131.8150000000001</v>
      </c>
      <c r="G334" s="7"/>
      <c r="H334" s="122"/>
      <c r="I334" s="145"/>
      <c r="J334" s="145"/>
      <c r="K334" s="145"/>
      <c r="L334" s="145"/>
      <c r="M334" s="124"/>
      <c r="N334" s="124"/>
      <c r="O334" s="7"/>
      <c r="P334" s="7"/>
      <c r="Q334" s="7"/>
    </row>
    <row r="335" spans="1:17">
      <c r="B335" s="1046" t="s">
        <v>52</v>
      </c>
      <c r="C335" s="417">
        <v>1750.5940000000001</v>
      </c>
      <c r="D335" s="417">
        <v>1810.991</v>
      </c>
      <c r="E335" s="431">
        <v>1637.8150000000001</v>
      </c>
      <c r="F335" s="431">
        <v>1794.403</v>
      </c>
      <c r="G335" s="7"/>
      <c r="H335" s="122"/>
      <c r="I335" s="145"/>
      <c r="J335" s="145"/>
      <c r="K335" s="145"/>
      <c r="L335" s="145"/>
      <c r="M335" s="124"/>
      <c r="N335" s="124"/>
      <c r="O335" s="7"/>
      <c r="P335" s="7"/>
      <c r="Q335" s="7"/>
    </row>
    <row r="336" spans="1:17">
      <c r="B336" s="1046" t="s">
        <v>53</v>
      </c>
      <c r="C336" s="417">
        <v>1329.816</v>
      </c>
      <c r="D336" s="417">
        <v>1365.598</v>
      </c>
      <c r="E336" s="431">
        <v>1384.152</v>
      </c>
      <c r="F336" s="431">
        <v>1465.0940000000001</v>
      </c>
      <c r="G336" s="7"/>
      <c r="H336" s="122"/>
      <c r="I336" s="145"/>
      <c r="J336" s="145"/>
      <c r="K336" s="145"/>
      <c r="L336" s="145"/>
      <c r="M336" s="124"/>
      <c r="N336" s="124"/>
      <c r="O336" s="7"/>
      <c r="P336" s="7"/>
      <c r="Q336" s="7"/>
    </row>
    <row r="337" spans="1:17">
      <c r="B337" s="1046" t="s">
        <v>54</v>
      </c>
      <c r="C337" s="417">
        <v>889.68899999999996</v>
      </c>
      <c r="D337" s="417">
        <v>1031.08</v>
      </c>
      <c r="E337" s="431">
        <v>1028.6310000000001</v>
      </c>
      <c r="F337" s="431">
        <v>1098.2909999999999</v>
      </c>
      <c r="G337" s="7"/>
      <c r="H337" s="122"/>
      <c r="I337" s="145"/>
      <c r="J337" s="145"/>
      <c r="K337" s="145"/>
      <c r="L337" s="145"/>
      <c r="M337" s="124"/>
      <c r="N337" s="124"/>
      <c r="O337" s="7"/>
      <c r="P337" s="7"/>
      <c r="Q337" s="7"/>
    </row>
    <row r="338" spans="1:17">
      <c r="B338" s="1046" t="s">
        <v>55</v>
      </c>
      <c r="C338" s="417">
        <v>671.64800000000002</v>
      </c>
      <c r="D338" s="417">
        <v>670.28300000000002</v>
      </c>
      <c r="E338" s="431">
        <v>688.10900000000004</v>
      </c>
      <c r="F338" s="431">
        <v>669.61900000000003</v>
      </c>
      <c r="G338" s="7"/>
      <c r="H338" s="122"/>
      <c r="I338" s="145"/>
      <c r="J338" s="145"/>
      <c r="K338" s="145"/>
      <c r="L338" s="145"/>
      <c r="M338" s="124"/>
      <c r="N338" s="124"/>
      <c r="O338" s="7"/>
      <c r="P338" s="7"/>
      <c r="Q338" s="7"/>
    </row>
    <row r="339" spans="1:17">
      <c r="B339" s="1046" t="s">
        <v>56</v>
      </c>
      <c r="C339" s="417">
        <v>305.32299999999998</v>
      </c>
      <c r="D339" s="417">
        <v>335.85500000000002</v>
      </c>
      <c r="E339" s="431">
        <v>362.947</v>
      </c>
      <c r="F339" s="431">
        <v>344.721</v>
      </c>
      <c r="G339" s="7"/>
      <c r="H339" s="122"/>
      <c r="I339" s="145"/>
      <c r="J339" s="145"/>
      <c r="K339" s="145"/>
      <c r="L339" s="145"/>
      <c r="M339" s="124"/>
      <c r="N339" s="124"/>
      <c r="O339" s="7"/>
      <c r="P339" s="7"/>
      <c r="Q339" s="7"/>
    </row>
    <row r="340" spans="1:17">
      <c r="B340" s="1046" t="s">
        <v>57</v>
      </c>
      <c r="C340" s="417">
        <v>96.197000000000003</v>
      </c>
      <c r="D340" s="417">
        <v>112.536</v>
      </c>
      <c r="E340" s="431">
        <v>104.408</v>
      </c>
      <c r="F340" s="431">
        <v>100.729</v>
      </c>
      <c r="G340" s="7"/>
      <c r="H340" s="122"/>
      <c r="I340" s="145"/>
      <c r="J340" s="145"/>
      <c r="K340" s="145"/>
      <c r="L340" s="145"/>
      <c r="M340" s="124"/>
      <c r="N340" s="124"/>
      <c r="O340" s="7"/>
      <c r="P340" s="7"/>
      <c r="Q340" s="7"/>
    </row>
    <row r="341" spans="1:17">
      <c r="B341" s="1046" t="s">
        <v>8</v>
      </c>
      <c r="C341" s="417">
        <v>20658.706999999999</v>
      </c>
      <c r="D341" s="417">
        <v>21075.14</v>
      </c>
      <c r="E341" s="431">
        <v>20526.904000000002</v>
      </c>
      <c r="F341" s="431">
        <v>21260.055</v>
      </c>
      <c r="G341" s="7"/>
      <c r="H341" s="122"/>
      <c r="I341" s="145"/>
      <c r="J341" s="145"/>
      <c r="K341" s="145"/>
      <c r="L341" s="145"/>
      <c r="M341" s="124"/>
      <c r="N341" s="124"/>
      <c r="O341" s="7"/>
      <c r="P341" s="7"/>
      <c r="Q341" s="7"/>
    </row>
    <row r="342" spans="1:17">
      <c r="A342" s="170">
        <f>G342</f>
        <v>0</v>
      </c>
      <c r="B342" s="119"/>
      <c r="C342">
        <f>SUM(C331:C340)-C341</f>
        <v>0</v>
      </c>
      <c r="D342">
        <f>SUM(D331:D340)-D341</f>
        <v>0</v>
      </c>
      <c r="E342">
        <f>SUM(E331:E340)-E341</f>
        <v>0</v>
      </c>
      <c r="F342">
        <f>SUM(F331:F340)-F341</f>
        <v>0</v>
      </c>
      <c r="G342">
        <f>SUM(C342:F342)</f>
        <v>0</v>
      </c>
      <c r="H342" s="109"/>
      <c r="I342" s="109"/>
      <c r="J342" s="109"/>
      <c r="K342" s="109"/>
      <c r="L342" s="109"/>
      <c r="M342" s="124"/>
      <c r="N342" s="124"/>
      <c r="O342" s="7"/>
      <c r="P342" s="7"/>
      <c r="Q342" s="7"/>
    </row>
    <row r="343" spans="1:17">
      <c r="B343" s="119"/>
      <c r="H343" s="109"/>
      <c r="I343" s="109"/>
      <c r="J343" s="109"/>
      <c r="K343" s="109"/>
      <c r="L343" s="109"/>
      <c r="M343" s="124"/>
      <c r="N343" s="124"/>
      <c r="O343" s="7"/>
      <c r="P343" s="7"/>
      <c r="Q343" s="7"/>
    </row>
    <row r="344" spans="1:17" ht="18">
      <c r="B344" s="38" t="s">
        <v>386</v>
      </c>
      <c r="D344" s="7"/>
      <c r="E344" s="124"/>
      <c r="F344" s="111"/>
      <c r="G344" s="109"/>
      <c r="H344" s="109"/>
      <c r="I344" s="109"/>
      <c r="J344" s="109"/>
      <c r="K344" s="109"/>
      <c r="L344" s="109"/>
      <c r="M344" s="124"/>
      <c r="N344" s="124"/>
      <c r="O344" s="7"/>
      <c r="P344" s="7"/>
      <c r="Q344" s="7"/>
    </row>
    <row r="345" spans="1:17">
      <c r="D345" s="7"/>
      <c r="E345" s="124"/>
      <c r="F345" s="111"/>
      <c r="G345" s="109"/>
      <c r="H345" s="109"/>
      <c r="I345" s="109"/>
      <c r="J345" s="109"/>
      <c r="K345" s="109"/>
      <c r="L345" s="109"/>
      <c r="M345" s="124"/>
      <c r="N345" s="124"/>
      <c r="O345" s="7"/>
      <c r="P345" s="7"/>
      <c r="Q345" s="7"/>
    </row>
    <row r="346" spans="1:17" ht="18">
      <c r="B346" s="12" t="s">
        <v>1398</v>
      </c>
      <c r="C346" s="114" t="s">
        <v>514</v>
      </c>
      <c r="J346" s="5" t="s">
        <v>65</v>
      </c>
      <c r="L346" s="880" t="s">
        <v>147</v>
      </c>
      <c r="M346" s="5" t="s">
        <v>64</v>
      </c>
    </row>
    <row r="348" spans="1:17">
      <c r="B348" s="12" t="s">
        <v>61</v>
      </c>
      <c r="C348" s="1018" t="s">
        <v>1671</v>
      </c>
    </row>
    <row r="350" spans="1:17">
      <c r="B350" s="12" t="s">
        <v>62</v>
      </c>
      <c r="C350" s="114" t="s">
        <v>1735</v>
      </c>
    </row>
    <row r="351" spans="1:17">
      <c r="C351" s="114" t="s">
        <v>1410</v>
      </c>
    </row>
    <row r="352" spans="1:17">
      <c r="B352" s="129"/>
      <c r="C352" s="129"/>
      <c r="D352" s="129"/>
      <c r="E352" s="129"/>
      <c r="F352" s="129"/>
      <c r="G352" s="129"/>
      <c r="H352" s="129"/>
      <c r="I352" s="129"/>
      <c r="J352" s="129"/>
      <c r="K352" s="129"/>
      <c r="L352" s="129"/>
      <c r="M352" s="124"/>
      <c r="N352" s="124"/>
      <c r="O352" s="7"/>
      <c r="P352" s="7"/>
      <c r="Q352" s="7"/>
    </row>
    <row r="353" spans="1:27">
      <c r="B353" s="241" t="s">
        <v>358</v>
      </c>
      <c r="C353" s="129"/>
      <c r="D353" s="129"/>
      <c r="E353" s="129"/>
      <c r="F353" s="129"/>
      <c r="G353" s="129"/>
      <c r="H353" s="129"/>
      <c r="I353" s="129"/>
      <c r="J353" s="129"/>
      <c r="K353" s="129"/>
      <c r="L353" s="129"/>
      <c r="M353" s="124"/>
      <c r="N353" s="124"/>
      <c r="O353" s="7"/>
      <c r="P353" s="7"/>
      <c r="Q353" s="7"/>
    </row>
    <row r="354" spans="1:27">
      <c r="B354" s="129"/>
      <c r="C354" s="129"/>
      <c r="D354" s="129"/>
      <c r="E354" s="129"/>
      <c r="F354" s="129"/>
      <c r="G354" s="129"/>
      <c r="H354" s="129"/>
      <c r="I354" s="129"/>
      <c r="J354" s="129"/>
      <c r="K354" s="129"/>
      <c r="L354" s="129"/>
      <c r="M354" s="124"/>
      <c r="N354" s="124"/>
      <c r="O354" s="7"/>
      <c r="P354" s="7"/>
      <c r="Q354" s="7"/>
    </row>
    <row r="355" spans="1:27">
      <c r="B355" s="1046" t="s">
        <v>86</v>
      </c>
      <c r="C355" s="1048" t="str">
        <f>Pupils_data_scenarios!C16</f>
        <v>2004/05</v>
      </c>
      <c r="D355" s="1048" t="str">
        <f>Pupils_data_scenarios!D16</f>
        <v>2005/06</v>
      </c>
      <c r="E355" s="1048" t="str">
        <f>Pupils_data_scenarios!E16</f>
        <v>2006/07</v>
      </c>
      <c r="F355" s="1048" t="str">
        <f>Pupils_data_scenarios!F16</f>
        <v>2007/08</v>
      </c>
      <c r="G355" s="1048" t="str">
        <f>Pupils_data_scenarios!G16</f>
        <v>2008/09</v>
      </c>
      <c r="H355" s="1048" t="str">
        <f>Pupils_data_scenarios!H16</f>
        <v>2009/10</v>
      </c>
      <c r="I355" s="1048" t="str">
        <f>Pupils_data_scenarios!I16</f>
        <v>2010/11</v>
      </c>
      <c r="J355" s="1048" t="str">
        <f>Pupils_data_scenarios!J16</f>
        <v>2011/12</v>
      </c>
      <c r="K355" s="1048" t="str">
        <f>Pupils_data_scenarios!K16</f>
        <v>2012/13</v>
      </c>
      <c r="L355" s="1048" t="str">
        <f>Pupils_data_scenarios!L16</f>
        <v>2013/14</v>
      </c>
      <c r="M355" s="1048" t="str">
        <f>Pupils_data_scenarios!M16</f>
        <v>2014/15</v>
      </c>
      <c r="N355" s="1048" t="str">
        <f>Pupils_data_scenarios!N16</f>
        <v>2015/16</v>
      </c>
      <c r="O355" s="1048" t="str">
        <f>Pupils_data_scenarios!O16</f>
        <v>2016/17</v>
      </c>
      <c r="P355" s="1048" t="str">
        <f>Pupils_data_scenarios!P16</f>
        <v>2017/18</v>
      </c>
      <c r="Q355" s="1048" t="str">
        <f>Pupils_data_scenarios!Q16</f>
        <v>2018/19</v>
      </c>
      <c r="R355" s="1048" t="str">
        <f>Pupils_data_scenarios!R16</f>
        <v>2019/20</v>
      </c>
      <c r="S355" s="1048" t="str">
        <f>Pupils_data_scenarios!S16</f>
        <v>2020/21</v>
      </c>
      <c r="T355" s="1048" t="str">
        <f>Pupils_data_scenarios!T16</f>
        <v>2021/22</v>
      </c>
      <c r="U355" s="1048" t="str">
        <f>Pupils_data_scenarios!U16</f>
        <v>2022/23</v>
      </c>
      <c r="V355" s="1048" t="str">
        <f>Pupils_data_scenarios!V16</f>
        <v>2023/24</v>
      </c>
      <c r="W355" s="1048" t="str">
        <f>Pupils_data_scenarios!W16</f>
        <v>2024/25</v>
      </c>
      <c r="X355" s="1048" t="str">
        <f>Pupils_data_scenarios!X16</f>
        <v>2025/26</v>
      </c>
      <c r="Y355" s="1046" t="str">
        <f>Pupils_data_scenarios!Y16</f>
        <v>2026/27</v>
      </c>
      <c r="Z355" s="1046" t="str">
        <f>Pupils_data_scenarios!Z16</f>
        <v>2027/28</v>
      </c>
      <c r="AA355" s="1046" t="str">
        <f>Pupils_data_scenarios!AA16</f>
        <v>2028/29</v>
      </c>
    </row>
    <row r="356" spans="1:27">
      <c r="B356" s="1046" t="s">
        <v>256</v>
      </c>
      <c r="C356" s="422">
        <v>4133670.5</v>
      </c>
      <c r="D356" s="422">
        <v>4085271.436729731</v>
      </c>
      <c r="E356" s="422">
        <v>4047195.5</v>
      </c>
      <c r="F356" s="422">
        <v>4028055.5</v>
      </c>
      <c r="G356" s="422">
        <v>4016161.5</v>
      </c>
      <c r="H356" s="422">
        <v>4036364.5</v>
      </c>
      <c r="I356" s="422">
        <v>4074368</v>
      </c>
      <c r="J356" s="422">
        <v>4150277.5</v>
      </c>
      <c r="K356" s="422">
        <v>4247394.5</v>
      </c>
      <c r="L356" s="422">
        <v>4359000</v>
      </c>
      <c r="M356" s="422">
        <v>4463434</v>
      </c>
      <c r="N356" s="422">
        <v>4574041.5</v>
      </c>
      <c r="O356" s="422">
        <v>4659421</v>
      </c>
      <c r="P356" s="422">
        <v>4717394.1869075894</v>
      </c>
      <c r="Q356" s="422">
        <v>4743197.9400571762</v>
      </c>
      <c r="R356" s="422">
        <v>4743394.7508921698</v>
      </c>
      <c r="S356" s="422">
        <v>4752324.1234839866</v>
      </c>
      <c r="T356" s="422">
        <v>4754699.5674540829</v>
      </c>
      <c r="U356" s="422">
        <v>4748628.8440450421</v>
      </c>
      <c r="V356" s="422">
        <v>4733277.2129678745</v>
      </c>
      <c r="W356" s="422">
        <v>4742429.7587460289</v>
      </c>
      <c r="X356" s="422">
        <v>4769065.3698165566</v>
      </c>
      <c r="Y356" s="422">
        <v>4797832.532279524</v>
      </c>
      <c r="Z356" s="422">
        <v>4819809.7676248243</v>
      </c>
      <c r="AA356" s="422">
        <v>4834650.7574622277</v>
      </c>
    </row>
    <row r="357" spans="1:27">
      <c r="B357" s="1046" t="s">
        <v>1576</v>
      </c>
      <c r="C357" s="422">
        <v>1783139.5</v>
      </c>
      <c r="D357" s="422">
        <v>1758000.0007601124</v>
      </c>
      <c r="E357" s="422">
        <v>1722930</v>
      </c>
      <c r="F357" s="422">
        <v>1701531</v>
      </c>
      <c r="G357" s="422">
        <v>1691158</v>
      </c>
      <c r="H357" s="422">
        <v>1680949</v>
      </c>
      <c r="I357" s="422">
        <v>1672689.5</v>
      </c>
      <c r="J357" s="422">
        <v>1641887</v>
      </c>
      <c r="K357" s="422">
        <v>1612821</v>
      </c>
      <c r="L357" s="422">
        <v>1587472</v>
      </c>
      <c r="M357" s="422">
        <v>1595949</v>
      </c>
      <c r="N357" s="422">
        <v>1630717</v>
      </c>
      <c r="O357" s="422">
        <v>1678899</v>
      </c>
      <c r="P357" s="422">
        <v>1724020.9710333012</v>
      </c>
      <c r="Q357" s="422">
        <v>1772854.5848039868</v>
      </c>
      <c r="R357" s="422">
        <v>1834934.1224812306</v>
      </c>
      <c r="S357" s="422">
        <v>1879210.7299530376</v>
      </c>
      <c r="T357" s="422">
        <v>1914351.168622531</v>
      </c>
      <c r="U357" s="422">
        <v>1936762.2517991117</v>
      </c>
      <c r="V357" s="422">
        <v>1974817.9779716961</v>
      </c>
      <c r="W357" s="422">
        <v>1978504.8643901525</v>
      </c>
      <c r="X357" s="422">
        <v>1953779.1387891811</v>
      </c>
      <c r="Y357" s="422">
        <v>1915886.5892006818</v>
      </c>
      <c r="Z357" s="422">
        <v>1907012.1075926665</v>
      </c>
      <c r="AA357" s="422">
        <v>1919851.9246029067</v>
      </c>
    </row>
    <row r="358" spans="1:27">
      <c r="B358" s="1046" t="s">
        <v>1585</v>
      </c>
      <c r="C358" s="422">
        <v>1170159</v>
      </c>
      <c r="D358" s="422">
        <v>1185802.5625101563</v>
      </c>
      <c r="E358" s="422">
        <v>1189358</v>
      </c>
      <c r="F358" s="422">
        <v>1166918.5</v>
      </c>
      <c r="G358" s="422">
        <v>1146150</v>
      </c>
      <c r="H358" s="422">
        <v>1133977</v>
      </c>
      <c r="I358" s="422">
        <v>1116342.5</v>
      </c>
      <c r="J358" s="422">
        <v>1120567</v>
      </c>
      <c r="K358" s="422">
        <v>1117099</v>
      </c>
      <c r="L358" s="422">
        <v>1099417.5</v>
      </c>
      <c r="M358" s="422">
        <v>1081078</v>
      </c>
      <c r="N358" s="422">
        <v>1057483</v>
      </c>
      <c r="O358" s="422">
        <v>1041875</v>
      </c>
      <c r="P358" s="422">
        <v>1059242.1765030818</v>
      </c>
      <c r="Q358" s="422">
        <v>1098492.845827396</v>
      </c>
      <c r="R358" s="422">
        <v>1128522.0334177609</v>
      </c>
      <c r="S358" s="422">
        <v>1154504.7206683625</v>
      </c>
      <c r="T358" s="422">
        <v>1189761.543386043</v>
      </c>
      <c r="U358" s="422">
        <v>1236679.5493941545</v>
      </c>
      <c r="V358" s="422">
        <v>1258969.8278058928</v>
      </c>
      <c r="W358" s="422">
        <v>1268399.1996321685</v>
      </c>
      <c r="X358" s="422">
        <v>1293612.6085987107</v>
      </c>
      <c r="Y358" s="422">
        <v>1318848.3464785134</v>
      </c>
      <c r="Z358" s="422">
        <v>1309459.1785579114</v>
      </c>
      <c r="AA358" s="422">
        <v>1272619.0523094554</v>
      </c>
    </row>
    <row r="359" spans="1:27">
      <c r="B359" s="1046" t="s">
        <v>1603</v>
      </c>
      <c r="C359" s="422">
        <v>355184.5</v>
      </c>
      <c r="D359" s="422">
        <v>361355</v>
      </c>
      <c r="E359" s="422">
        <v>370116</v>
      </c>
      <c r="F359" s="422">
        <v>380453</v>
      </c>
      <c r="G359" s="422">
        <v>394342</v>
      </c>
      <c r="H359" s="422">
        <v>412859.5</v>
      </c>
      <c r="I359" s="422">
        <v>423222</v>
      </c>
      <c r="J359" s="422">
        <v>423232.5</v>
      </c>
      <c r="K359" s="422">
        <v>428860</v>
      </c>
      <c r="L359" s="422">
        <v>439034.5</v>
      </c>
      <c r="M359" s="422">
        <v>442836.5</v>
      </c>
      <c r="N359" s="422">
        <v>433870.5</v>
      </c>
      <c r="O359" s="422">
        <v>424809</v>
      </c>
      <c r="P359" s="422"/>
      <c r="Q359" s="422"/>
      <c r="R359" s="422"/>
      <c r="S359" s="422"/>
      <c r="T359" s="422"/>
      <c r="U359" s="422"/>
      <c r="V359" s="422"/>
      <c r="W359" s="422"/>
      <c r="X359" s="422"/>
      <c r="Y359" s="422"/>
      <c r="Z359" s="422"/>
      <c r="AA359" s="422"/>
    </row>
    <row r="360" spans="1:27">
      <c r="B360" s="1046" t="s">
        <v>387</v>
      </c>
      <c r="C360" s="422">
        <v>2591851.2639240595</v>
      </c>
      <c r="D360" s="422">
        <v>2608521.9199660681</v>
      </c>
      <c r="E360" s="422">
        <v>2644318.2228521295</v>
      </c>
      <c r="F360" s="422">
        <v>2688798.0261939741</v>
      </c>
      <c r="G360" s="422">
        <v>2705903.2746035685</v>
      </c>
      <c r="H360" s="422">
        <v>2717958.6116225235</v>
      </c>
      <c r="I360" s="422">
        <v>2717385.3601785055</v>
      </c>
      <c r="J360" s="422">
        <v>2680455.9336874634</v>
      </c>
      <c r="K360" s="422">
        <v>2641996.0006059059</v>
      </c>
      <c r="L360" s="422">
        <v>2633177.9290057975</v>
      </c>
      <c r="M360" s="422">
        <v>2618430.7324961186</v>
      </c>
      <c r="N360" s="422">
        <v>2604355.7410658421</v>
      </c>
      <c r="O360" s="422">
        <v>2566894.2328166375</v>
      </c>
      <c r="P360" s="422">
        <v>2516192.0716285761</v>
      </c>
      <c r="Q360" s="422">
        <v>2468379.6286457297</v>
      </c>
      <c r="R360" s="422">
        <v>2444772.4252375104</v>
      </c>
      <c r="S360" s="422">
        <v>2454319.9269037819</v>
      </c>
      <c r="T360" s="422">
        <v>2494577.1582950531</v>
      </c>
      <c r="U360" s="422">
        <v>2569500.4776072069</v>
      </c>
      <c r="V360" s="422">
        <v>2645556.908169168</v>
      </c>
      <c r="W360" s="422">
        <v>2726007.7165520228</v>
      </c>
      <c r="X360" s="422">
        <v>2783794.2994159656</v>
      </c>
      <c r="Y360" s="422">
        <v>2831388.9620111026</v>
      </c>
      <c r="Z360" s="422">
        <v>2877172.6206416194</v>
      </c>
      <c r="AA360" s="422">
        <v>2912906.8343393705</v>
      </c>
    </row>
    <row r="361" spans="1:27">
      <c r="B361" s="136"/>
      <c r="C361" s="421"/>
      <c r="D361" s="421"/>
      <c r="E361" s="421"/>
      <c r="F361" s="421"/>
      <c r="G361" s="421"/>
      <c r="H361" s="421"/>
      <c r="I361" s="421"/>
      <c r="J361" s="421"/>
      <c r="K361" s="421"/>
      <c r="L361" s="421"/>
      <c r="M361" s="421"/>
      <c r="N361" s="421"/>
      <c r="O361" s="421"/>
      <c r="P361" s="421"/>
      <c r="Q361" s="421"/>
      <c r="R361" s="421"/>
      <c r="S361" s="421"/>
      <c r="T361" s="421"/>
      <c r="U361" s="421"/>
      <c r="V361" s="421"/>
      <c r="W361" s="421"/>
      <c r="X361" s="421"/>
      <c r="Y361" s="421"/>
      <c r="Z361" s="421"/>
    </row>
    <row r="362" spans="1:27">
      <c r="B362" s="241" t="s">
        <v>181</v>
      </c>
      <c r="C362" s="421"/>
      <c r="D362" s="129"/>
      <c r="E362" s="129"/>
      <c r="F362" s="129"/>
      <c r="G362" s="129"/>
      <c r="H362" s="129"/>
      <c r="I362" s="129"/>
      <c r="J362" s="129"/>
      <c r="K362" s="129"/>
      <c r="L362" s="129"/>
      <c r="M362" s="129"/>
      <c r="N362" s="129"/>
      <c r="O362" s="129"/>
      <c r="P362" s="129"/>
      <c r="Q362" s="129"/>
      <c r="R362" s="129"/>
      <c r="S362" s="129"/>
      <c r="T362" s="129"/>
      <c r="U362" s="129"/>
      <c r="Y362" s="7"/>
    </row>
    <row r="363" spans="1:27">
      <c r="B363" s="129"/>
      <c r="C363" s="129"/>
      <c r="D363" s="129"/>
      <c r="E363" s="129"/>
      <c r="F363" s="129"/>
      <c r="G363" s="129"/>
      <c r="H363" s="129"/>
      <c r="I363" s="129"/>
      <c r="J363" s="129"/>
      <c r="K363" s="129"/>
      <c r="L363" s="129"/>
      <c r="M363" s="129"/>
      <c r="N363" s="129"/>
      <c r="O363" s="129"/>
      <c r="P363" s="129"/>
      <c r="Q363" s="129"/>
      <c r="R363" s="129"/>
      <c r="S363" s="129"/>
      <c r="T363" s="129"/>
      <c r="U363" s="129"/>
      <c r="Y363" s="7"/>
    </row>
    <row r="364" spans="1:27" s="5" customFormat="1">
      <c r="A364" s="234"/>
      <c r="B364" s="1046" t="s">
        <v>86</v>
      </c>
      <c r="C364" s="1048" t="str">
        <f t="shared" ref="C364:AA364" si="2">C355</f>
        <v>2004/05</v>
      </c>
      <c r="D364" s="1048" t="str">
        <f t="shared" si="2"/>
        <v>2005/06</v>
      </c>
      <c r="E364" s="1048" t="str">
        <f t="shared" si="2"/>
        <v>2006/07</v>
      </c>
      <c r="F364" s="1048" t="str">
        <f t="shared" si="2"/>
        <v>2007/08</v>
      </c>
      <c r="G364" s="1048" t="str">
        <f t="shared" si="2"/>
        <v>2008/09</v>
      </c>
      <c r="H364" s="1048" t="str">
        <f t="shared" si="2"/>
        <v>2009/10</v>
      </c>
      <c r="I364" s="1048" t="str">
        <f t="shared" si="2"/>
        <v>2010/11</v>
      </c>
      <c r="J364" s="1048" t="str">
        <f t="shared" si="2"/>
        <v>2011/12</v>
      </c>
      <c r="K364" s="1048" t="str">
        <f t="shared" si="2"/>
        <v>2012/13</v>
      </c>
      <c r="L364" s="1048" t="str">
        <f t="shared" si="2"/>
        <v>2013/14</v>
      </c>
      <c r="M364" s="1048" t="str">
        <f t="shared" si="2"/>
        <v>2014/15</v>
      </c>
      <c r="N364" s="1048" t="str">
        <f t="shared" si="2"/>
        <v>2015/16</v>
      </c>
      <c r="O364" s="1048" t="str">
        <f t="shared" si="2"/>
        <v>2016/17</v>
      </c>
      <c r="P364" s="1048" t="str">
        <f t="shared" si="2"/>
        <v>2017/18</v>
      </c>
      <c r="Q364" s="1048" t="str">
        <f t="shared" si="2"/>
        <v>2018/19</v>
      </c>
      <c r="R364" s="1048" t="str">
        <f t="shared" si="2"/>
        <v>2019/20</v>
      </c>
      <c r="S364" s="1048" t="str">
        <f t="shared" si="2"/>
        <v>2020/21</v>
      </c>
      <c r="T364" s="1048" t="str">
        <f t="shared" si="2"/>
        <v>2021/22</v>
      </c>
      <c r="U364" s="1048" t="str">
        <f t="shared" si="2"/>
        <v>2022/23</v>
      </c>
      <c r="V364" s="1048" t="str">
        <f t="shared" si="2"/>
        <v>2023/24</v>
      </c>
      <c r="W364" s="1048" t="str">
        <f t="shared" si="2"/>
        <v>2024/25</v>
      </c>
      <c r="X364" s="1046" t="str">
        <f t="shared" si="2"/>
        <v>2025/26</v>
      </c>
      <c r="Y364" s="1046" t="str">
        <f t="shared" si="2"/>
        <v>2026/27</v>
      </c>
      <c r="Z364" s="1046" t="str">
        <f t="shared" si="2"/>
        <v>2027/28</v>
      </c>
      <c r="AA364" s="1046" t="str">
        <f t="shared" si="2"/>
        <v>2028/29</v>
      </c>
    </row>
    <row r="365" spans="1:27">
      <c r="B365" s="1046" t="s">
        <v>247</v>
      </c>
      <c r="C365" s="422">
        <v>4133670.5</v>
      </c>
      <c r="D365" s="422">
        <v>4085271.436729731</v>
      </c>
      <c r="E365" s="422">
        <v>4047195.5</v>
      </c>
      <c r="F365" s="422">
        <v>4028055.5</v>
      </c>
      <c r="G365" s="422">
        <v>4016161.5</v>
      </c>
      <c r="H365" s="422">
        <v>4036364.5</v>
      </c>
      <c r="I365" s="422">
        <v>4074368</v>
      </c>
      <c r="J365" s="422">
        <v>4150277.5</v>
      </c>
      <c r="K365" s="422">
        <v>4247394.5</v>
      </c>
      <c r="L365" s="422">
        <v>4359000</v>
      </c>
      <c r="M365" s="422">
        <v>4463434</v>
      </c>
      <c r="N365" s="422">
        <v>4574041.5</v>
      </c>
      <c r="O365" s="422">
        <v>4659421</v>
      </c>
      <c r="P365" s="422">
        <v>4719330.2069105301</v>
      </c>
      <c r="Q365" s="422">
        <v>4749063.7710393434</v>
      </c>
      <c r="R365" s="422">
        <v>4758286.9584849039</v>
      </c>
      <c r="S365" s="422">
        <v>4787262.7565154526</v>
      </c>
      <c r="T365" s="422">
        <v>4814320.3376704473</v>
      </c>
      <c r="U365" s="422">
        <v>4838012.9005403118</v>
      </c>
      <c r="V365" s="422">
        <v>4857502.889516837</v>
      </c>
      <c r="W365" s="422">
        <v>4907761.5450602453</v>
      </c>
      <c r="X365" s="422">
        <v>4982274.3276422173</v>
      </c>
      <c r="Y365" s="422">
        <v>5062860.2674279809</v>
      </c>
      <c r="Z365" s="422">
        <v>5130284.1091827368</v>
      </c>
      <c r="AA365" s="422">
        <v>5193851.3654598352</v>
      </c>
    </row>
    <row r="366" spans="1:27">
      <c r="B366" s="1046" t="s">
        <v>1577</v>
      </c>
      <c r="C366" s="422">
        <v>1783139.5</v>
      </c>
      <c r="D366" s="422">
        <v>1758000.0007601124</v>
      </c>
      <c r="E366" s="422">
        <v>1722930</v>
      </c>
      <c r="F366" s="422">
        <v>1701531</v>
      </c>
      <c r="G366" s="422">
        <v>1691158</v>
      </c>
      <c r="H366" s="422">
        <v>1680949</v>
      </c>
      <c r="I366" s="422">
        <v>1672689.5</v>
      </c>
      <c r="J366" s="422">
        <v>1641887</v>
      </c>
      <c r="K366" s="422">
        <v>1612821</v>
      </c>
      <c r="L366" s="422">
        <v>1587472</v>
      </c>
      <c r="M366" s="422">
        <v>1595949</v>
      </c>
      <c r="N366" s="422">
        <v>1630717</v>
      </c>
      <c r="O366" s="422">
        <v>1678899</v>
      </c>
      <c r="P366" s="422">
        <v>1724207.7875767583</v>
      </c>
      <c r="Q366" s="422">
        <v>1773210.9395461665</v>
      </c>
      <c r="R366" s="422">
        <v>1835463.9408992713</v>
      </c>
      <c r="S366" s="422">
        <v>1879958.5975461819</v>
      </c>
      <c r="T366" s="422">
        <v>1915323.879548701</v>
      </c>
      <c r="U366" s="422">
        <v>1937949.6924893635</v>
      </c>
      <c r="V366" s="422">
        <v>1976932.820831679</v>
      </c>
      <c r="W366" s="422">
        <v>1981952.0645195374</v>
      </c>
      <c r="X366" s="422">
        <v>1959018.2905100833</v>
      </c>
      <c r="Y366" s="470">
        <v>1925419.6121202079</v>
      </c>
      <c r="Z366" s="470">
        <v>1934125.3763884774</v>
      </c>
      <c r="AA366" s="422">
        <v>1968151.4338998005</v>
      </c>
    </row>
    <row r="367" spans="1:27">
      <c r="B367" s="1046" t="s">
        <v>1586</v>
      </c>
      <c r="C367" s="422">
        <v>1170159</v>
      </c>
      <c r="D367" s="422">
        <v>1185802.5625101563</v>
      </c>
      <c r="E367" s="422">
        <v>1189358</v>
      </c>
      <c r="F367" s="422">
        <v>1166918.5</v>
      </c>
      <c r="G367" s="422">
        <v>1146150</v>
      </c>
      <c r="H367" s="422">
        <v>1133977</v>
      </c>
      <c r="I367" s="422">
        <v>1116342.5</v>
      </c>
      <c r="J367" s="422">
        <v>1120567</v>
      </c>
      <c r="K367" s="422">
        <v>1117099</v>
      </c>
      <c r="L367" s="422">
        <v>1099417.5</v>
      </c>
      <c r="M367" s="422">
        <v>1081078</v>
      </c>
      <c r="N367" s="422">
        <v>1057483</v>
      </c>
      <c r="O367" s="422">
        <v>1041875</v>
      </c>
      <c r="P367" s="422">
        <v>1059434.991245334</v>
      </c>
      <c r="Q367" s="422">
        <v>1098823.2633973816</v>
      </c>
      <c r="R367" s="422">
        <v>1128954.0353809576</v>
      </c>
      <c r="S367" s="422">
        <v>1155001.6879852104</v>
      </c>
      <c r="T367" s="422">
        <v>1190324.1332968618</v>
      </c>
      <c r="U367" s="422">
        <v>1237354.4229246336</v>
      </c>
      <c r="V367" s="422">
        <v>1259786.2065370947</v>
      </c>
      <c r="W367" s="422">
        <v>1269363.1834194576</v>
      </c>
      <c r="X367" s="422">
        <v>1294673.2824939464</v>
      </c>
      <c r="Y367" s="470">
        <v>1320743.9612932696</v>
      </c>
      <c r="Z367" s="470">
        <v>1312640.2804217655</v>
      </c>
      <c r="AA367" s="422">
        <v>1276804.2128821535</v>
      </c>
    </row>
    <row r="368" spans="1:27">
      <c r="B368" s="1046" t="s">
        <v>1604</v>
      </c>
      <c r="C368" s="422">
        <v>355184.5</v>
      </c>
      <c r="D368" s="422">
        <v>361355</v>
      </c>
      <c r="E368" s="422">
        <v>370116</v>
      </c>
      <c r="F368" s="422">
        <v>380453</v>
      </c>
      <c r="G368" s="422">
        <v>394342</v>
      </c>
      <c r="H368" s="422">
        <v>412859.5</v>
      </c>
      <c r="I368" s="422">
        <v>423222</v>
      </c>
      <c r="J368" s="422">
        <v>423232.5</v>
      </c>
      <c r="K368" s="422">
        <v>428860</v>
      </c>
      <c r="L368" s="422">
        <v>439034.5</v>
      </c>
      <c r="M368" s="422">
        <v>442836.5</v>
      </c>
      <c r="N368" s="422">
        <v>433870.5</v>
      </c>
      <c r="O368" s="422">
        <v>424809</v>
      </c>
      <c r="P368" s="422"/>
      <c r="Q368" s="422"/>
      <c r="R368" s="422"/>
      <c r="S368" s="422"/>
      <c r="T368" s="422"/>
      <c r="U368" s="422"/>
      <c r="V368" s="422"/>
      <c r="W368" s="422"/>
      <c r="X368" s="422"/>
      <c r="Y368" s="470"/>
      <c r="Z368" s="470"/>
      <c r="AA368" s="422"/>
    </row>
    <row r="369" spans="1:27">
      <c r="B369" s="1046" t="s">
        <v>387</v>
      </c>
      <c r="C369" s="422">
        <v>2591851.2639240595</v>
      </c>
      <c r="D369" s="422">
        <v>2608521.9199660681</v>
      </c>
      <c r="E369" s="422">
        <v>2644318.2228521295</v>
      </c>
      <c r="F369" s="422">
        <v>2688798.0261939741</v>
      </c>
      <c r="G369" s="422">
        <v>2705903.2746035685</v>
      </c>
      <c r="H369" s="422">
        <v>2717958.6116225235</v>
      </c>
      <c r="I369" s="422">
        <v>2717385.3601785055</v>
      </c>
      <c r="J369" s="422">
        <v>2680455.9336874634</v>
      </c>
      <c r="K369" s="422">
        <v>2641996.0006059059</v>
      </c>
      <c r="L369" s="422">
        <v>2633177.9290057975</v>
      </c>
      <c r="M369" s="422">
        <v>2618430.7324961186</v>
      </c>
      <c r="N369" s="422">
        <v>2607352.9276557756</v>
      </c>
      <c r="O369" s="422">
        <v>2573127.2060470534</v>
      </c>
      <c r="P369" s="422">
        <v>2524119.3066056762</v>
      </c>
      <c r="Q369" s="422">
        <v>2477569.7677065805</v>
      </c>
      <c r="R369" s="422">
        <v>2455000.8244958329</v>
      </c>
      <c r="S369" s="422">
        <v>2465468.4215643164</v>
      </c>
      <c r="T369" s="422">
        <v>2506633.8809075844</v>
      </c>
      <c r="U369" s="422">
        <v>2582507.9150911923</v>
      </c>
      <c r="V369" s="422">
        <v>2659552.3246899936</v>
      </c>
      <c r="W369" s="422">
        <v>2741076.8623276679</v>
      </c>
      <c r="X369" s="422">
        <v>2799996.1702022473</v>
      </c>
      <c r="Y369" s="470">
        <v>2848860.8959293575</v>
      </c>
      <c r="Z369" s="470">
        <v>2896008.7680924013</v>
      </c>
      <c r="AA369" s="422">
        <v>2933232.0175699419</v>
      </c>
    </row>
    <row r="370" spans="1:27">
      <c r="B370" s="129"/>
      <c r="C370" s="129"/>
      <c r="D370" s="129"/>
      <c r="E370" s="129"/>
      <c r="F370" s="129"/>
      <c r="G370" s="129"/>
      <c r="H370" s="129"/>
      <c r="I370" s="129"/>
      <c r="J370" s="129"/>
      <c r="K370" s="129"/>
      <c r="L370" s="129"/>
      <c r="M370" s="129"/>
      <c r="N370" s="129"/>
      <c r="O370" s="129"/>
      <c r="P370" s="129"/>
      <c r="Q370" s="129"/>
      <c r="R370" s="129"/>
      <c r="S370" s="129"/>
      <c r="T370" s="129"/>
      <c r="U370" s="129"/>
    </row>
    <row r="371" spans="1:27">
      <c r="B371" s="241" t="s">
        <v>182</v>
      </c>
      <c r="C371" s="129"/>
      <c r="D371" s="129"/>
      <c r="E371" s="129"/>
      <c r="F371" s="129"/>
      <c r="G371" s="129"/>
      <c r="H371" s="129"/>
      <c r="I371" s="129"/>
      <c r="J371" s="129"/>
      <c r="K371" s="129"/>
      <c r="L371" s="129"/>
      <c r="M371" s="129"/>
      <c r="N371" s="129"/>
      <c r="O371" s="129"/>
      <c r="P371" s="129"/>
      <c r="Q371" s="129"/>
      <c r="R371" s="129"/>
      <c r="S371" s="129"/>
      <c r="T371" s="129"/>
      <c r="U371" s="129"/>
    </row>
    <row r="372" spans="1:27">
      <c r="B372" s="129"/>
      <c r="C372" s="129"/>
      <c r="D372" s="129"/>
      <c r="E372" s="129"/>
      <c r="F372" s="129"/>
      <c r="G372" s="129"/>
      <c r="H372" s="129"/>
      <c r="I372" s="129"/>
      <c r="J372" s="129"/>
      <c r="K372" s="129"/>
      <c r="L372" s="129"/>
      <c r="M372" s="129"/>
      <c r="N372" s="129"/>
      <c r="O372" s="129"/>
      <c r="P372" s="129"/>
      <c r="Q372" s="129"/>
      <c r="R372" s="129"/>
      <c r="S372" s="129"/>
      <c r="T372" s="129"/>
      <c r="U372" s="129"/>
    </row>
    <row r="373" spans="1:27" s="5" customFormat="1">
      <c r="A373" s="234"/>
      <c r="B373" s="1046" t="s">
        <v>86</v>
      </c>
      <c r="C373" s="1048" t="str">
        <f t="shared" ref="C373:AA373" si="3">C364</f>
        <v>2004/05</v>
      </c>
      <c r="D373" s="1048" t="str">
        <f t="shared" si="3"/>
        <v>2005/06</v>
      </c>
      <c r="E373" s="1048" t="str">
        <f t="shared" si="3"/>
        <v>2006/07</v>
      </c>
      <c r="F373" s="1048" t="str">
        <f t="shared" si="3"/>
        <v>2007/08</v>
      </c>
      <c r="G373" s="1048" t="str">
        <f t="shared" si="3"/>
        <v>2008/09</v>
      </c>
      <c r="H373" s="1048" t="str">
        <f t="shared" si="3"/>
        <v>2009/10</v>
      </c>
      <c r="I373" s="1048" t="str">
        <f t="shared" si="3"/>
        <v>2010/11</v>
      </c>
      <c r="J373" s="1048" t="str">
        <f t="shared" si="3"/>
        <v>2011/12</v>
      </c>
      <c r="K373" s="1048" t="str">
        <f t="shared" si="3"/>
        <v>2012/13</v>
      </c>
      <c r="L373" s="1048" t="str">
        <f t="shared" si="3"/>
        <v>2013/14</v>
      </c>
      <c r="M373" s="1048" t="str">
        <f t="shared" si="3"/>
        <v>2014/15</v>
      </c>
      <c r="N373" s="1048" t="str">
        <f t="shared" si="3"/>
        <v>2015/16</v>
      </c>
      <c r="O373" s="1048" t="str">
        <f t="shared" si="3"/>
        <v>2016/17</v>
      </c>
      <c r="P373" s="1048" t="str">
        <f t="shared" si="3"/>
        <v>2017/18</v>
      </c>
      <c r="Q373" s="1048" t="str">
        <f t="shared" si="3"/>
        <v>2018/19</v>
      </c>
      <c r="R373" s="1048" t="str">
        <f t="shared" si="3"/>
        <v>2019/20</v>
      </c>
      <c r="S373" s="1048" t="str">
        <f t="shared" si="3"/>
        <v>2020/21</v>
      </c>
      <c r="T373" s="1048" t="str">
        <f t="shared" si="3"/>
        <v>2021/22</v>
      </c>
      <c r="U373" s="1048" t="str">
        <f t="shared" si="3"/>
        <v>2022/23</v>
      </c>
      <c r="V373" s="1048" t="str">
        <f t="shared" si="3"/>
        <v>2023/24</v>
      </c>
      <c r="W373" s="1048" t="str">
        <f t="shared" si="3"/>
        <v>2024/25</v>
      </c>
      <c r="X373" s="1048" t="str">
        <f t="shared" si="3"/>
        <v>2025/26</v>
      </c>
      <c r="Y373" s="1048" t="str">
        <f t="shared" si="3"/>
        <v>2026/27</v>
      </c>
      <c r="Z373" s="1048" t="str">
        <f t="shared" si="3"/>
        <v>2027/28</v>
      </c>
      <c r="AA373" s="1048" t="str">
        <f t="shared" si="3"/>
        <v>2028/29</v>
      </c>
    </row>
    <row r="374" spans="1:27">
      <c r="B374" s="1046" t="s">
        <v>248</v>
      </c>
      <c r="C374" s="422">
        <v>4133670.5</v>
      </c>
      <c r="D374" s="422">
        <v>4085271.436729731</v>
      </c>
      <c r="E374" s="422">
        <v>4047195.5</v>
      </c>
      <c r="F374" s="422">
        <v>4028055.5</v>
      </c>
      <c r="G374" s="422">
        <v>4016161.5</v>
      </c>
      <c r="H374" s="422">
        <v>4036364.5</v>
      </c>
      <c r="I374" s="422">
        <v>4074368</v>
      </c>
      <c r="J374" s="422">
        <v>4150277.5</v>
      </c>
      <c r="K374" s="422">
        <v>4247394.5</v>
      </c>
      <c r="L374" s="422">
        <v>4359000</v>
      </c>
      <c r="M374" s="422">
        <v>4463434</v>
      </c>
      <c r="N374" s="422">
        <v>4574041.5</v>
      </c>
      <c r="O374" s="422">
        <v>4659421</v>
      </c>
      <c r="P374" s="422">
        <v>4715434.6972993147</v>
      </c>
      <c r="Q374" s="422">
        <v>4737109.3348040003</v>
      </c>
      <c r="R374" s="422">
        <v>4726941.3615096211</v>
      </c>
      <c r="S374" s="422">
        <v>4710955.0448766593</v>
      </c>
      <c r="T374" s="422">
        <v>4676433.6780280955</v>
      </c>
      <c r="U374" s="422">
        <v>4623202.5849240804</v>
      </c>
      <c r="V374" s="422">
        <v>4552720.6004686635</v>
      </c>
      <c r="W374" s="422">
        <v>4499461.4137162212</v>
      </c>
      <c r="X374" s="422">
        <v>4457318.4588044519</v>
      </c>
      <c r="Y374" s="422">
        <v>4414882.926841069</v>
      </c>
      <c r="Z374" s="422">
        <v>4377244.0325927678</v>
      </c>
      <c r="AA374" s="422">
        <v>4341994.1506143641</v>
      </c>
    </row>
    <row r="375" spans="1:27">
      <c r="B375" s="1046" t="s">
        <v>1578</v>
      </c>
      <c r="C375" s="422">
        <v>1783139.5</v>
      </c>
      <c r="D375" s="422">
        <v>1758000.0007601124</v>
      </c>
      <c r="E375" s="422">
        <v>1722930</v>
      </c>
      <c r="F375" s="422">
        <v>1701531</v>
      </c>
      <c r="G375" s="422">
        <v>1691158</v>
      </c>
      <c r="H375" s="422">
        <v>1680949</v>
      </c>
      <c r="I375" s="422">
        <v>1672689.5</v>
      </c>
      <c r="J375" s="422">
        <v>1641887</v>
      </c>
      <c r="K375" s="422">
        <v>1612821</v>
      </c>
      <c r="L375" s="422">
        <v>1587472</v>
      </c>
      <c r="M375" s="422">
        <v>1595949</v>
      </c>
      <c r="N375" s="422">
        <v>1630717</v>
      </c>
      <c r="O375" s="422">
        <v>1678899</v>
      </c>
      <c r="P375" s="422">
        <v>1723828.2198890003</v>
      </c>
      <c r="Q375" s="422">
        <v>1772483.1887638846</v>
      </c>
      <c r="R375" s="422">
        <v>1834391.2311419928</v>
      </c>
      <c r="S375" s="422">
        <v>1878449.8518755834</v>
      </c>
      <c r="T375" s="422">
        <v>1913358.5849072661</v>
      </c>
      <c r="U375" s="422">
        <v>1935531.9331186812</v>
      </c>
      <c r="V375" s="422">
        <v>1972636.6749603751</v>
      </c>
      <c r="W375" s="422">
        <v>1974966.900440125</v>
      </c>
      <c r="X375" s="422">
        <v>1948447.0806189801</v>
      </c>
      <c r="Y375" s="470">
        <v>1906109.6274286429</v>
      </c>
      <c r="Z375" s="470">
        <v>1877302.4033844979</v>
      </c>
      <c r="AA375" s="422">
        <v>1858226.5999291013</v>
      </c>
    </row>
    <row r="376" spans="1:27">
      <c r="B376" s="1046" t="s">
        <v>1587</v>
      </c>
      <c r="C376" s="422">
        <v>1170159</v>
      </c>
      <c r="D376" s="422">
        <v>1185802.5625101563</v>
      </c>
      <c r="E376" s="422">
        <v>1189358</v>
      </c>
      <c r="F376" s="422">
        <v>1166918.5</v>
      </c>
      <c r="G376" s="422">
        <v>1146150</v>
      </c>
      <c r="H376" s="422">
        <v>1133977</v>
      </c>
      <c r="I376" s="422">
        <v>1116342.5</v>
      </c>
      <c r="J376" s="422">
        <v>1120567</v>
      </c>
      <c r="K376" s="422">
        <v>1117099</v>
      </c>
      <c r="L376" s="422">
        <v>1099417.5</v>
      </c>
      <c r="M376" s="422">
        <v>1081078</v>
      </c>
      <c r="N376" s="422">
        <v>1057483</v>
      </c>
      <c r="O376" s="422">
        <v>1041875</v>
      </c>
      <c r="P376" s="422">
        <v>1059042.5189143361</v>
      </c>
      <c r="Q376" s="422">
        <v>1098157.8591290903</v>
      </c>
      <c r="R376" s="422">
        <v>1128078.6941527503</v>
      </c>
      <c r="S376" s="422">
        <v>1153988.2521160692</v>
      </c>
      <c r="T376" s="422">
        <v>1189176.4896819545</v>
      </c>
      <c r="U376" s="422">
        <v>1235980.2991184634</v>
      </c>
      <c r="V376" s="422">
        <v>1258119.7343137409</v>
      </c>
      <c r="W376" s="422">
        <v>1267396.7177826473</v>
      </c>
      <c r="X376" s="422">
        <v>1292491.4788541687</v>
      </c>
      <c r="Y376" s="470">
        <v>1316868.7049754027</v>
      </c>
      <c r="Z376" s="470">
        <v>1306195.865395145</v>
      </c>
      <c r="AA376" s="422">
        <v>1268352.7028780216</v>
      </c>
    </row>
    <row r="377" spans="1:27">
      <c r="B377" s="1046" t="s">
        <v>1602</v>
      </c>
      <c r="C377" s="422">
        <v>355184.5</v>
      </c>
      <c r="D377" s="422">
        <v>361355</v>
      </c>
      <c r="E377" s="422">
        <v>370116</v>
      </c>
      <c r="F377" s="422">
        <v>380453</v>
      </c>
      <c r="G377" s="422">
        <v>394342</v>
      </c>
      <c r="H377" s="422">
        <v>412859.5</v>
      </c>
      <c r="I377" s="422">
        <v>423222</v>
      </c>
      <c r="J377" s="422">
        <v>423232.5</v>
      </c>
      <c r="K377" s="422">
        <v>428860</v>
      </c>
      <c r="L377" s="422">
        <v>439034.5</v>
      </c>
      <c r="M377" s="422">
        <v>442836.5</v>
      </c>
      <c r="N377" s="422">
        <v>433870.5</v>
      </c>
      <c r="O377" s="422">
        <v>424809</v>
      </c>
      <c r="P377" s="422"/>
      <c r="Q377" s="422"/>
      <c r="R377" s="422"/>
      <c r="S377" s="422"/>
      <c r="T377" s="422"/>
      <c r="U377" s="422"/>
      <c r="V377" s="422"/>
      <c r="W377" s="422"/>
      <c r="X377" s="422"/>
      <c r="Y377" s="470"/>
      <c r="Z377" s="470"/>
      <c r="AA377" s="422"/>
    </row>
    <row r="378" spans="1:27">
      <c r="B378" s="1046" t="s">
        <v>387</v>
      </c>
      <c r="C378" s="422">
        <v>2591851.2639240595</v>
      </c>
      <c r="D378" s="422">
        <v>2608521.9199660681</v>
      </c>
      <c r="E378" s="422">
        <v>2644318.2228521295</v>
      </c>
      <c r="F378" s="422">
        <v>2688798.0261939741</v>
      </c>
      <c r="G378" s="422">
        <v>2705903.2746035685</v>
      </c>
      <c r="H378" s="422">
        <v>2717958.6116225235</v>
      </c>
      <c r="I378" s="422">
        <v>2717385.3601785055</v>
      </c>
      <c r="J378" s="422">
        <v>2680455.9336874634</v>
      </c>
      <c r="K378" s="422">
        <v>2641996.0006059059</v>
      </c>
      <c r="L378" s="422">
        <v>2633177.9290057975</v>
      </c>
      <c r="M378" s="422">
        <v>2618430.7324961186</v>
      </c>
      <c r="N378" s="422">
        <v>2601371.6175603648</v>
      </c>
      <c r="O378" s="422">
        <v>2560673.0671404558</v>
      </c>
      <c r="P378" s="422">
        <v>2508265.5259714019</v>
      </c>
      <c r="Q378" s="422">
        <v>2459196.5980423768</v>
      </c>
      <c r="R378" s="422">
        <v>2434561.1207554257</v>
      </c>
      <c r="S378" s="422">
        <v>2443182.2409881791</v>
      </c>
      <c r="T378" s="422">
        <v>2482514.3307175869</v>
      </c>
      <c r="U378" s="422">
        <v>2556471.2483260608</v>
      </c>
      <c r="V378" s="422">
        <v>2631537.3375128717</v>
      </c>
      <c r="W378" s="422">
        <v>2710898.4482048107</v>
      </c>
      <c r="X378" s="422">
        <v>2767550.8945243699</v>
      </c>
      <c r="Y378" s="470">
        <v>2813897.5351159712</v>
      </c>
      <c r="Z378" s="470">
        <v>2858303.2457867577</v>
      </c>
      <c r="AA378" s="422">
        <v>2892537.6218725918</v>
      </c>
    </row>
    <row r="379" spans="1:27">
      <c r="B379" s="129"/>
      <c r="C379" s="129"/>
      <c r="D379" s="129"/>
      <c r="E379" s="129"/>
      <c r="F379" s="129"/>
      <c r="G379" s="129"/>
      <c r="H379" s="129"/>
      <c r="I379" s="129"/>
      <c r="J379" s="129"/>
      <c r="K379" s="129"/>
      <c r="L379" s="129"/>
      <c r="M379" s="129"/>
      <c r="N379" s="129"/>
      <c r="O379" s="129"/>
      <c r="P379" s="129"/>
      <c r="Q379" s="129"/>
      <c r="R379" s="129"/>
      <c r="S379" s="129"/>
      <c r="T379" s="129"/>
      <c r="U379" s="129"/>
      <c r="V379" s="129"/>
      <c r="W379" s="129"/>
    </row>
    <row r="380" spans="1:27" ht="18">
      <c r="B380" s="38" t="s">
        <v>388</v>
      </c>
      <c r="D380" s="129"/>
      <c r="E380" s="129"/>
      <c r="F380" s="12"/>
      <c r="J380" s="12" t="s">
        <v>1400</v>
      </c>
      <c r="L380" s="880" t="s">
        <v>147</v>
      </c>
      <c r="M380" s="5" t="s">
        <v>64</v>
      </c>
      <c r="O380" s="7"/>
      <c r="P380" s="7"/>
      <c r="Q380" s="7"/>
    </row>
    <row r="381" spans="1:27">
      <c r="D381" s="129"/>
      <c r="E381" s="129"/>
      <c r="F381" s="129"/>
      <c r="G381" s="129"/>
      <c r="H381" s="129"/>
      <c r="I381" s="129"/>
      <c r="J381" s="129"/>
      <c r="K381" s="129"/>
      <c r="L381" s="129"/>
      <c r="M381" s="124"/>
      <c r="N381" s="124"/>
      <c r="O381" s="7"/>
      <c r="P381" s="7"/>
      <c r="Q381" s="7"/>
    </row>
    <row r="382" spans="1:27">
      <c r="B382" s="12" t="s">
        <v>1398</v>
      </c>
      <c r="C382" s="114" t="s">
        <v>1544</v>
      </c>
      <c r="D382" s="129"/>
      <c r="E382" s="129"/>
      <c r="F382" s="129"/>
      <c r="G382" s="129"/>
      <c r="H382" s="129"/>
      <c r="I382" s="129"/>
      <c r="J382" s="129"/>
      <c r="K382" s="129"/>
      <c r="L382" s="129"/>
      <c r="M382" s="124"/>
      <c r="N382" s="124"/>
      <c r="O382" s="7"/>
      <c r="P382" s="7"/>
      <c r="Q382" s="7"/>
    </row>
    <row r="383" spans="1:27">
      <c r="D383" s="129"/>
      <c r="E383" s="129"/>
      <c r="F383" s="129"/>
      <c r="G383" s="129"/>
      <c r="H383" s="129"/>
      <c r="I383" s="129"/>
      <c r="J383" s="129"/>
      <c r="K383" s="129"/>
      <c r="L383" s="129"/>
      <c r="M383" s="124"/>
      <c r="N383" s="124"/>
      <c r="O383" s="7"/>
      <c r="P383" s="7"/>
      <c r="Q383" s="7"/>
    </row>
    <row r="384" spans="1:27">
      <c r="B384" s="12" t="s">
        <v>61</v>
      </c>
      <c r="C384" s="1018" t="s">
        <v>1696</v>
      </c>
      <c r="D384" s="129"/>
      <c r="E384" s="129"/>
      <c r="F384" s="129"/>
      <c r="G384" s="129"/>
      <c r="H384" s="129"/>
      <c r="I384" s="270"/>
      <c r="J384" s="129"/>
      <c r="K384" s="129"/>
      <c r="L384" s="129"/>
      <c r="M384" s="124"/>
      <c r="N384" s="124"/>
      <c r="O384" s="7"/>
      <c r="P384" s="7"/>
      <c r="Q384" s="7"/>
    </row>
    <row r="385" spans="1:46">
      <c r="D385" s="129"/>
      <c r="E385" s="129"/>
      <c r="F385" s="129"/>
      <c r="G385" s="129"/>
      <c r="H385" s="129"/>
      <c r="I385" s="129"/>
      <c r="J385" s="129"/>
      <c r="K385" s="129"/>
      <c r="L385" s="129"/>
      <c r="M385" s="124"/>
      <c r="N385" s="124"/>
      <c r="O385" s="7"/>
      <c r="P385" s="7"/>
      <c r="Q385" s="7"/>
    </row>
    <row r="386" spans="1:46">
      <c r="B386" s="12" t="s">
        <v>62</v>
      </c>
      <c r="C386" s="114"/>
      <c r="D386" s="7"/>
      <c r="E386" s="110"/>
      <c r="F386" s="109"/>
      <c r="G386" s="109"/>
      <c r="H386" s="109"/>
      <c r="I386" s="272"/>
      <c r="J386" s="109"/>
      <c r="K386" s="124"/>
      <c r="L386" s="124"/>
      <c r="M386" s="124"/>
      <c r="N386" s="124"/>
      <c r="O386" s="7"/>
      <c r="P386" s="7"/>
      <c r="Q386" s="7"/>
    </row>
    <row r="387" spans="1:46">
      <c r="D387" s="7"/>
      <c r="E387" s="124"/>
      <c r="F387" s="109"/>
      <c r="G387" s="109"/>
      <c r="H387" s="109"/>
      <c r="I387" s="124"/>
      <c r="J387" s="124"/>
      <c r="K387" s="7"/>
      <c r="L387" s="7"/>
      <c r="M387" s="7"/>
      <c r="N387" s="7"/>
      <c r="O387" s="7"/>
      <c r="P387" s="7"/>
      <c r="Q387" s="7"/>
      <c r="AA387" s="1"/>
      <c r="AB387" s="1"/>
      <c r="AC387" s="1"/>
      <c r="AD387" s="1"/>
      <c r="AE387" s="1"/>
      <c r="AF387" s="1"/>
      <c r="AG387" s="1"/>
      <c r="AH387" s="1"/>
      <c r="AI387" s="1"/>
      <c r="AJ387" s="1"/>
      <c r="AK387" s="1"/>
      <c r="AL387" s="1"/>
      <c r="AM387" s="1"/>
      <c r="AN387" s="1"/>
      <c r="AO387" s="1"/>
      <c r="AP387" s="1"/>
      <c r="AQ387" s="1"/>
      <c r="AR387" s="1"/>
      <c r="AS387" s="1"/>
      <c r="AT387" s="1"/>
    </row>
    <row r="388" spans="1:46">
      <c r="B388" s="1243" t="s">
        <v>396</v>
      </c>
      <c r="C388" s="1043" t="s">
        <v>40</v>
      </c>
      <c r="D388" s="1043" t="s">
        <v>249</v>
      </c>
      <c r="E388" s="304"/>
      <c r="F388" s="304"/>
      <c r="G388" s="304"/>
      <c r="H388" s="304"/>
      <c r="I388" s="304"/>
      <c r="J388" s="304"/>
      <c r="K388" s="304"/>
      <c r="L388" s="304"/>
      <c r="M388" s="304"/>
      <c r="N388" s="304"/>
      <c r="O388" s="304"/>
      <c r="P388" s="304"/>
      <c r="Q388" s="304"/>
      <c r="R388" s="304"/>
      <c r="S388" s="304"/>
      <c r="T388" s="304"/>
      <c r="U388" s="304"/>
      <c r="V388" s="304"/>
      <c r="W388" s="304"/>
      <c r="X388" s="304"/>
      <c r="AA388" s="230"/>
      <c r="AB388" s="231"/>
      <c r="AC388" s="231"/>
      <c r="AD388" s="231"/>
      <c r="AE388" s="231"/>
      <c r="AF388" s="231"/>
      <c r="AG388" s="231"/>
      <c r="AH388" s="231"/>
      <c r="AI388" s="231"/>
      <c r="AJ388" s="231"/>
      <c r="AK388" s="231"/>
      <c r="AL388" s="231"/>
      <c r="AM388" s="231"/>
      <c r="AN388" s="231"/>
      <c r="AO388" s="231"/>
      <c r="AP388" s="231"/>
      <c r="AQ388" s="231"/>
      <c r="AR388" s="231"/>
      <c r="AS388" s="230"/>
      <c r="AT388" s="230"/>
    </row>
    <row r="389" spans="1:46" s="5" customFormat="1">
      <c r="A389" s="234"/>
      <c r="B389" s="1244"/>
      <c r="C389" s="454">
        <v>0.89</v>
      </c>
      <c r="D389" s="454">
        <v>0.93100000000000005</v>
      </c>
      <c r="E389" s="305"/>
      <c r="F389" s="305"/>
      <c r="G389" s="305"/>
      <c r="H389" s="305"/>
      <c r="I389" s="305"/>
      <c r="J389" s="305"/>
      <c r="K389" s="305"/>
      <c r="L389" s="305"/>
      <c r="M389" s="305"/>
      <c r="N389" s="305"/>
      <c r="O389" s="305"/>
      <c r="P389" s="305"/>
      <c r="Q389" s="305"/>
      <c r="R389" s="305"/>
      <c r="S389" s="305"/>
      <c r="T389" s="305"/>
      <c r="U389" s="305"/>
      <c r="V389" s="305"/>
      <c r="W389" s="305"/>
      <c r="X389" s="239"/>
      <c r="AA389" s="235"/>
      <c r="AB389" s="236"/>
      <c r="AC389" s="236"/>
      <c r="AD389" s="236"/>
      <c r="AE389" s="236"/>
      <c r="AF389" s="236"/>
      <c r="AG389" s="236"/>
      <c r="AH389" s="236"/>
      <c r="AI389" s="236"/>
      <c r="AJ389" s="236"/>
      <c r="AK389" s="236"/>
      <c r="AL389" s="236"/>
      <c r="AM389" s="236"/>
      <c r="AN389" s="236"/>
      <c r="AO389" s="236"/>
      <c r="AP389" s="236"/>
      <c r="AQ389" s="236"/>
      <c r="AR389" s="236"/>
      <c r="AS389" s="236"/>
      <c r="AT389" s="236"/>
    </row>
    <row r="390" spans="1:46">
      <c r="D390" s="7"/>
      <c r="E390" s="109"/>
      <c r="F390" s="1237"/>
      <c r="G390" s="1237"/>
      <c r="H390" s="109"/>
      <c r="I390" s="1237"/>
      <c r="J390" s="1237"/>
      <c r="K390" s="7"/>
      <c r="L390" s="7"/>
      <c r="M390" s="7"/>
      <c r="N390" s="7"/>
      <c r="O390" s="7"/>
      <c r="P390" s="7"/>
      <c r="Q390" s="7"/>
      <c r="W390" s="7"/>
    </row>
    <row r="391" spans="1:46" ht="18">
      <c r="B391" s="38" t="s">
        <v>844</v>
      </c>
      <c r="D391" s="7"/>
      <c r="E391" s="109"/>
      <c r="F391" s="12"/>
      <c r="J391" s="12" t="s">
        <v>1400</v>
      </c>
      <c r="L391" s="880" t="s">
        <v>146</v>
      </c>
      <c r="M391" s="5" t="s">
        <v>64</v>
      </c>
    </row>
    <row r="392" spans="1:46">
      <c r="D392" s="7"/>
      <c r="E392" s="109"/>
      <c r="F392" s="1237"/>
      <c r="G392" s="1237"/>
      <c r="H392" s="109"/>
      <c r="I392" s="1237"/>
      <c r="J392" s="1237"/>
    </row>
    <row r="393" spans="1:46">
      <c r="B393" s="12" t="s">
        <v>1398</v>
      </c>
      <c r="C393" s="114" t="s">
        <v>1550</v>
      </c>
      <c r="D393" s="7"/>
      <c r="E393" s="109"/>
      <c r="F393" s="1051"/>
      <c r="G393" s="1051"/>
      <c r="H393" s="109"/>
      <c r="I393" s="1051"/>
      <c r="J393" s="1051"/>
    </row>
    <row r="394" spans="1:46">
      <c r="D394" s="7"/>
      <c r="E394" s="109"/>
      <c r="F394" s="1051"/>
      <c r="G394" s="1051"/>
      <c r="H394" s="109"/>
      <c r="I394" s="1051"/>
      <c r="J394" s="1051"/>
    </row>
    <row r="395" spans="1:46">
      <c r="B395" s="12" t="s">
        <v>61</v>
      </c>
      <c r="C395" s="114" t="s">
        <v>428</v>
      </c>
      <c r="D395" s="7"/>
      <c r="E395" s="109"/>
      <c r="F395" s="1051"/>
      <c r="G395" s="1051"/>
      <c r="H395" s="109"/>
      <c r="I395" s="1051"/>
      <c r="J395" s="1051"/>
    </row>
    <row r="396" spans="1:46">
      <c r="D396" s="7"/>
      <c r="E396" s="109"/>
      <c r="F396" s="1051"/>
      <c r="G396" s="1051"/>
      <c r="H396" s="109"/>
      <c r="I396" s="1051"/>
      <c r="J396" s="1051"/>
    </row>
    <row r="397" spans="1:46" ht="12.75" customHeight="1">
      <c r="B397" s="12" t="s">
        <v>62</v>
      </c>
      <c r="C397" s="1248" t="s">
        <v>1697</v>
      </c>
      <c r="D397" s="1235"/>
      <c r="E397" s="1235"/>
      <c r="F397" s="1235"/>
      <c r="G397" s="1235"/>
      <c r="H397" s="1235"/>
      <c r="I397" s="1235"/>
      <c r="J397" s="1235"/>
      <c r="K397" s="1235"/>
    </row>
    <row r="398" spans="1:46" ht="12.75" customHeight="1">
      <c r="C398" s="1235"/>
      <c r="D398" s="1235"/>
      <c r="E398" s="1235"/>
      <c r="F398" s="1235"/>
      <c r="G398" s="1235"/>
      <c r="H398" s="1235"/>
      <c r="I398" s="1235"/>
      <c r="J398" s="1235"/>
      <c r="K398" s="1235"/>
    </row>
    <row r="399" spans="1:46">
      <c r="C399" s="1045"/>
      <c r="D399" s="1045"/>
      <c r="E399" s="1045"/>
      <c r="F399" s="1045"/>
      <c r="G399" s="1045"/>
      <c r="H399" s="1045"/>
      <c r="I399" s="1045"/>
      <c r="J399" s="1045"/>
      <c r="K399" s="1045"/>
    </row>
    <row r="400" spans="1:46">
      <c r="B400" s="1229"/>
      <c r="C400" s="1231" t="s">
        <v>424</v>
      </c>
      <c r="D400" s="1232"/>
      <c r="E400" s="1232"/>
      <c r="F400" s="1232"/>
      <c r="G400" s="1232"/>
      <c r="H400" s="1233"/>
    </row>
    <row r="401" spans="1:13">
      <c r="B401" s="1230"/>
      <c r="C401" s="1231" t="s">
        <v>46</v>
      </c>
      <c r="D401" s="1232"/>
      <c r="E401" s="1233"/>
      <c r="F401" s="1231" t="s">
        <v>47</v>
      </c>
      <c r="G401" s="1232"/>
      <c r="H401" s="1233"/>
    </row>
    <row r="402" spans="1:13">
      <c r="B402" s="1046" t="s">
        <v>45</v>
      </c>
      <c r="C402" s="1046" t="s">
        <v>425</v>
      </c>
      <c r="D402" s="1046" t="s">
        <v>426</v>
      </c>
      <c r="E402" s="1046" t="s">
        <v>427</v>
      </c>
      <c r="F402" s="1046" t="s">
        <v>425</v>
      </c>
      <c r="G402" s="1046" t="s">
        <v>426</v>
      </c>
      <c r="H402" s="1046" t="s">
        <v>427</v>
      </c>
    </row>
    <row r="403" spans="1:13">
      <c r="B403" s="1046" t="s">
        <v>48</v>
      </c>
      <c r="C403" s="255">
        <v>1.194</v>
      </c>
      <c r="D403" s="255">
        <v>0.90100000000000002</v>
      </c>
      <c r="E403" s="255">
        <v>0.79300000000000004</v>
      </c>
      <c r="F403" s="255">
        <v>1.141</v>
      </c>
      <c r="G403" s="255">
        <v>0.94099999999999995</v>
      </c>
      <c r="H403" s="255">
        <v>0.91600000000000004</v>
      </c>
    </row>
    <row r="404" spans="1:13">
      <c r="B404" s="1046" t="s">
        <v>49</v>
      </c>
      <c r="C404" s="255">
        <v>1.1179999999999999</v>
      </c>
      <c r="D404" s="255">
        <v>1.0980000000000001</v>
      </c>
      <c r="E404" s="255">
        <v>0.81200000000000006</v>
      </c>
      <c r="F404" s="255">
        <v>1.101</v>
      </c>
      <c r="G404" s="255">
        <v>1.0469999999999999</v>
      </c>
      <c r="H404" s="255">
        <v>0.88400000000000001</v>
      </c>
    </row>
    <row r="405" spans="1:13">
      <c r="B405" s="1046" t="s">
        <v>50</v>
      </c>
      <c r="C405" s="255">
        <v>1.141</v>
      </c>
      <c r="D405" s="255">
        <v>1.028</v>
      </c>
      <c r="E405" s="255">
        <v>0.86499999999999999</v>
      </c>
      <c r="F405" s="255">
        <v>1.0620000000000001</v>
      </c>
      <c r="G405" s="255">
        <v>1.0589999999999999</v>
      </c>
      <c r="H405" s="255">
        <v>0.91200000000000003</v>
      </c>
    </row>
    <row r="406" spans="1:13">
      <c r="B406" s="1046" t="s">
        <v>51</v>
      </c>
      <c r="C406" s="255">
        <v>1.1539999999999999</v>
      </c>
      <c r="D406" s="255">
        <v>0.93600000000000005</v>
      </c>
      <c r="E406" s="255">
        <v>0.90300000000000002</v>
      </c>
      <c r="F406" s="255">
        <v>1.0449999999999999</v>
      </c>
      <c r="G406" s="255">
        <v>1.028</v>
      </c>
      <c r="H406" s="255">
        <v>0.94399999999999995</v>
      </c>
    </row>
    <row r="407" spans="1:13">
      <c r="B407" s="1046" t="s">
        <v>52</v>
      </c>
      <c r="C407" s="255">
        <v>1.0289999999999999</v>
      </c>
      <c r="D407" s="255">
        <v>0.94699999999999995</v>
      </c>
      <c r="E407" s="255">
        <v>1.0029999999999999</v>
      </c>
      <c r="F407" s="255">
        <v>1.0489999999999999</v>
      </c>
      <c r="G407" s="255">
        <v>0.996</v>
      </c>
      <c r="H407" s="255">
        <v>0.96599999999999997</v>
      </c>
    </row>
    <row r="408" spans="1:13">
      <c r="B408" s="1046" t="s">
        <v>53</v>
      </c>
      <c r="C408" s="255">
        <v>1.091</v>
      </c>
      <c r="D408" s="255">
        <v>0.96199999999999997</v>
      </c>
      <c r="E408" s="255">
        <v>0.91700000000000004</v>
      </c>
      <c r="F408" s="255">
        <v>1.052</v>
      </c>
      <c r="G408" s="255">
        <v>0.96799999999999997</v>
      </c>
      <c r="H408" s="255">
        <v>0.99</v>
      </c>
    </row>
    <row r="409" spans="1:13">
      <c r="B409" s="1046" t="s">
        <v>54</v>
      </c>
      <c r="C409" s="255">
        <v>1.163</v>
      </c>
      <c r="D409" s="255">
        <v>0.753</v>
      </c>
      <c r="E409" s="255">
        <v>0.96199999999999997</v>
      </c>
      <c r="F409" s="255">
        <v>1.073</v>
      </c>
      <c r="G409" s="255">
        <v>0.95399999999999996</v>
      </c>
      <c r="H409" s="255">
        <v>0.98599999999999999</v>
      </c>
    </row>
    <row r="410" spans="1:13">
      <c r="B410" s="1046" t="s">
        <v>55</v>
      </c>
      <c r="C410" s="255">
        <v>1.204</v>
      </c>
      <c r="D410" s="255">
        <v>0.93799999999999994</v>
      </c>
      <c r="E410" s="255">
        <v>0.83299999999999996</v>
      </c>
      <c r="F410" s="255">
        <v>1.1200000000000001</v>
      </c>
      <c r="G410" s="255">
        <v>0.90400000000000003</v>
      </c>
      <c r="H410" s="255">
        <v>1.0189999999999999</v>
      </c>
    </row>
    <row r="411" spans="1:13">
      <c r="B411" s="1046" t="s">
        <v>56</v>
      </c>
      <c r="C411" s="255">
        <v>1.294</v>
      </c>
      <c r="D411" s="255">
        <v>0.64300000000000002</v>
      </c>
      <c r="E411" s="255">
        <v>0.89300000000000002</v>
      </c>
      <c r="F411" s="255">
        <v>1.0740000000000001</v>
      </c>
      <c r="G411" s="255">
        <v>1.012</v>
      </c>
      <c r="H411" s="255">
        <v>0.94</v>
      </c>
    </row>
    <row r="412" spans="1:13">
      <c r="B412" s="1046" t="s">
        <v>57</v>
      </c>
      <c r="C412" s="255">
        <v>1.079</v>
      </c>
      <c r="D412" s="255">
        <v>1.117</v>
      </c>
      <c r="E412" s="255">
        <v>0.82799999999999996</v>
      </c>
      <c r="F412" s="255">
        <v>0.85499999999999998</v>
      </c>
      <c r="G412" s="255">
        <v>1.1200000000000001</v>
      </c>
      <c r="H412" s="255">
        <v>0.98499999999999999</v>
      </c>
    </row>
    <row r="413" spans="1:13">
      <c r="B413" s="1046" t="s">
        <v>8</v>
      </c>
      <c r="C413" s="255">
        <v>1.1360000000000001</v>
      </c>
      <c r="D413" s="255">
        <v>0.96899999999999997</v>
      </c>
      <c r="E413" s="255">
        <v>0.88</v>
      </c>
      <c r="F413" s="255">
        <v>1.0840000000000001</v>
      </c>
      <c r="G413" s="255">
        <v>1.0069999999999999</v>
      </c>
      <c r="H413" s="255">
        <v>0.93300000000000005</v>
      </c>
    </row>
    <row r="414" spans="1:13">
      <c r="C414" s="453"/>
    </row>
    <row r="415" spans="1:13" s="39" customFormat="1" ht="18">
      <c r="A415" s="172"/>
      <c r="B415" s="38" t="s">
        <v>845</v>
      </c>
      <c r="F415"/>
      <c r="H415" s="12"/>
      <c r="I415"/>
      <c r="J415" s="12" t="s">
        <v>1400</v>
      </c>
      <c r="K415"/>
      <c r="L415" s="880" t="s">
        <v>147</v>
      </c>
      <c r="M415" s="5" t="s">
        <v>64</v>
      </c>
    </row>
    <row r="417" spans="1:17" s="476" customFormat="1">
      <c r="A417" s="770"/>
      <c r="B417" s="207" t="s">
        <v>1398</v>
      </c>
      <c r="C417" s="1017" t="s">
        <v>1544</v>
      </c>
      <c r="D417" s="771"/>
      <c r="E417" s="771"/>
      <c r="F417" s="771"/>
      <c r="G417" s="771"/>
      <c r="H417" s="771"/>
      <c r="I417" s="771"/>
      <c r="J417" s="771"/>
      <c r="K417" s="771"/>
    </row>
    <row r="418" spans="1:17">
      <c r="C418" s="416"/>
      <c r="D418" s="416"/>
      <c r="E418" s="416"/>
      <c r="F418" s="416"/>
      <c r="G418" s="416"/>
      <c r="H418" s="416"/>
      <c r="I418" s="416"/>
    </row>
    <row r="419" spans="1:17" ht="13.15" customHeight="1">
      <c r="B419" s="12" t="s">
        <v>61</v>
      </c>
      <c r="C419" s="1235" t="s">
        <v>1443</v>
      </c>
      <c r="D419" s="1235"/>
      <c r="E419" s="1235"/>
      <c r="F419" s="1235"/>
      <c r="G419" s="1235"/>
      <c r="H419" s="1235"/>
      <c r="I419" s="1235"/>
      <c r="J419" s="1235"/>
      <c r="K419" s="1235"/>
      <c r="L419" s="627"/>
      <c r="M419" s="627"/>
    </row>
    <row r="420" spans="1:17">
      <c r="C420" s="416"/>
      <c r="D420" s="416"/>
      <c r="E420" s="416"/>
      <c r="F420" s="416"/>
      <c r="G420" s="416"/>
      <c r="H420" s="416"/>
      <c r="I420" s="416"/>
    </row>
    <row r="421" spans="1:17" ht="13.15" customHeight="1">
      <c r="B421" s="12" t="s">
        <v>62</v>
      </c>
      <c r="C421" s="1236" t="s">
        <v>725</v>
      </c>
      <c r="D421" s="1236"/>
      <c r="E421" s="1236"/>
      <c r="F421" s="1236"/>
      <c r="G421" s="1236"/>
      <c r="H421" s="1236"/>
      <c r="I421" s="1236"/>
      <c r="J421" s="1236"/>
      <c r="K421" s="1236"/>
      <c r="L421" s="1236"/>
      <c r="M421" s="1236"/>
    </row>
    <row r="423" spans="1:17" ht="25.5">
      <c r="B423" s="1044" t="s">
        <v>353</v>
      </c>
      <c r="C423" s="1043" t="s">
        <v>724</v>
      </c>
      <c r="D423" s="1050"/>
      <c r="E423" s="1050"/>
      <c r="G423" s="626"/>
    </row>
    <row r="424" spans="1:17">
      <c r="B424" s="1044" t="s">
        <v>302</v>
      </c>
      <c r="C424" s="592">
        <v>0.57799999999999996</v>
      </c>
      <c r="D424" s="145"/>
      <c r="E424" s="145"/>
    </row>
    <row r="425" spans="1:17">
      <c r="B425" s="1044" t="s">
        <v>249</v>
      </c>
      <c r="C425" s="592">
        <v>0.625</v>
      </c>
      <c r="D425" s="145"/>
      <c r="E425" s="145"/>
    </row>
    <row r="426" spans="1:17">
      <c r="D426" s="7"/>
      <c r="E426" s="124"/>
      <c r="F426" s="111"/>
      <c r="G426" s="625"/>
      <c r="H426" s="625"/>
      <c r="I426" s="625"/>
      <c r="J426" s="625"/>
      <c r="K426" s="625"/>
      <c r="L426" s="624"/>
      <c r="M426" s="124"/>
      <c r="N426" s="124"/>
      <c r="O426" s="7"/>
      <c r="P426" s="7"/>
      <c r="Q426" s="7"/>
    </row>
    <row r="427" spans="1:17" s="38" customFormat="1" ht="18">
      <c r="A427" s="173"/>
      <c r="B427" s="38" t="s">
        <v>846</v>
      </c>
      <c r="D427" s="127"/>
      <c r="E427" s="128"/>
      <c r="F427"/>
      <c r="J427" s="12" t="s">
        <v>1400</v>
      </c>
      <c r="K427"/>
      <c r="L427" s="880" t="s">
        <v>146</v>
      </c>
      <c r="M427" s="5" t="s">
        <v>64</v>
      </c>
      <c r="N427" s="2"/>
      <c r="O427" s="127"/>
      <c r="P427" s="127"/>
      <c r="Q427" s="127"/>
    </row>
    <row r="428" spans="1:17">
      <c r="D428" s="7"/>
      <c r="E428" s="125"/>
      <c r="F428" s="126"/>
      <c r="G428" s="124"/>
      <c r="H428" s="124"/>
      <c r="I428" s="124"/>
      <c r="J428" s="124"/>
      <c r="K428" s="124"/>
      <c r="L428" s="124"/>
      <c r="M428" s="124"/>
      <c r="N428" s="124"/>
      <c r="O428" s="7"/>
      <c r="P428" s="7"/>
      <c r="Q428" s="7"/>
    </row>
    <row r="429" spans="1:17">
      <c r="B429" s="12" t="s">
        <v>1398</v>
      </c>
      <c r="C429" s="114" t="s">
        <v>1544</v>
      </c>
      <c r="D429" s="416"/>
      <c r="E429" s="416"/>
      <c r="F429" s="416"/>
      <c r="G429" s="416"/>
      <c r="H429" s="416"/>
      <c r="I429" s="416"/>
    </row>
    <row r="430" spans="1:17">
      <c r="C430" s="416"/>
      <c r="D430" s="416"/>
      <c r="E430" s="416"/>
      <c r="F430" s="424"/>
      <c r="G430" s="425"/>
      <c r="H430" s="425"/>
      <c r="I430" s="425"/>
      <c r="J430" s="2"/>
      <c r="K430" s="2"/>
      <c r="L430" s="2"/>
      <c r="M430" s="2"/>
      <c r="N430" s="2"/>
      <c r="O430" s="2"/>
      <c r="P430" s="2"/>
    </row>
    <row r="431" spans="1:17">
      <c r="B431" s="12" t="s">
        <v>61</v>
      </c>
      <c r="C431" s="114" t="s">
        <v>723</v>
      </c>
      <c r="D431" s="416"/>
      <c r="E431" s="416"/>
      <c r="F431" s="416"/>
      <c r="G431" s="416"/>
      <c r="H431" s="416"/>
      <c r="I431" s="416"/>
    </row>
    <row r="432" spans="1:17">
      <c r="C432" s="416"/>
      <c r="D432" s="416"/>
      <c r="E432" s="416"/>
      <c r="F432" s="416"/>
      <c r="G432" s="416"/>
      <c r="H432" s="416"/>
      <c r="I432" s="416"/>
    </row>
    <row r="433" spans="1:17" ht="13.15" customHeight="1">
      <c r="B433" s="12" t="s">
        <v>62</v>
      </c>
      <c r="C433" s="1020" t="s">
        <v>1549</v>
      </c>
      <c r="D433" s="768"/>
      <c r="E433" s="768"/>
      <c r="F433" s="768"/>
      <c r="G433" s="768"/>
      <c r="H433" s="768"/>
      <c r="I433" s="768"/>
      <c r="J433" s="768"/>
      <c r="K433" s="768"/>
      <c r="L433" s="768"/>
    </row>
    <row r="434" spans="1:17">
      <c r="C434" s="768"/>
      <c r="D434" s="768"/>
      <c r="E434" s="768"/>
      <c r="F434" s="768"/>
      <c r="G434" s="768"/>
      <c r="H434" s="768"/>
      <c r="I434" s="768"/>
      <c r="J434" s="768"/>
      <c r="K434" s="768"/>
      <c r="L434" s="768"/>
      <c r="M434" s="113"/>
      <c r="N434" s="113"/>
      <c r="O434" s="7"/>
      <c r="P434" s="7"/>
      <c r="Q434" s="7"/>
    </row>
    <row r="435" spans="1:17">
      <c r="B435" s="153" t="s">
        <v>722</v>
      </c>
      <c r="C435" s="12"/>
      <c r="D435" s="7"/>
      <c r="E435" s="124"/>
      <c r="F435" s="111"/>
      <c r="G435" s="109"/>
      <c r="H435" s="153"/>
      <c r="I435" s="74"/>
      <c r="J435" s="7"/>
      <c r="K435" s="124"/>
      <c r="L435" s="111"/>
      <c r="M435" s="113"/>
      <c r="N435" s="113"/>
      <c r="O435" s="7"/>
      <c r="P435" s="7"/>
      <c r="Q435" s="7"/>
    </row>
    <row r="436" spans="1:17">
      <c r="B436" s="153"/>
      <c r="C436" s="12"/>
      <c r="D436" s="7"/>
      <c r="E436" s="124"/>
      <c r="F436" s="111"/>
      <c r="G436" s="109"/>
      <c r="H436" s="153"/>
      <c r="I436" s="74"/>
      <c r="J436" s="7"/>
      <c r="K436" s="124"/>
      <c r="L436" s="111"/>
      <c r="M436" s="113"/>
      <c r="N436" s="113"/>
      <c r="O436" s="7"/>
      <c r="P436" s="7"/>
      <c r="Q436" s="7"/>
    </row>
    <row r="437" spans="1:17">
      <c r="C437" s="1231" t="s">
        <v>71</v>
      </c>
      <c r="D437" s="1232"/>
      <c r="E437" s="1232"/>
      <c r="F437" s="1233"/>
      <c r="G437" s="155"/>
      <c r="H437" s="7"/>
      <c r="I437" s="1238"/>
      <c r="J437" s="1238"/>
      <c r="K437" s="1238"/>
      <c r="L437" s="1238"/>
      <c r="M437" s="113"/>
      <c r="N437" s="113"/>
      <c r="O437" s="7"/>
      <c r="P437" s="7"/>
      <c r="Q437" s="7"/>
    </row>
    <row r="438" spans="1:17">
      <c r="B438" s="1046" t="s">
        <v>718</v>
      </c>
      <c r="C438" s="1046" t="str">
        <f>C330</f>
        <v>2012/13</v>
      </c>
      <c r="D438" s="1046" t="str">
        <f>D330</f>
        <v>2013/14</v>
      </c>
      <c r="E438" s="1046" t="str">
        <f>E330</f>
        <v>2014/15</v>
      </c>
      <c r="F438" s="1046" t="str">
        <f>F330</f>
        <v>2015/16</v>
      </c>
      <c r="G438" s="7"/>
      <c r="H438" s="623"/>
      <c r="I438" s="623"/>
      <c r="J438" s="623"/>
      <c r="K438" s="623"/>
      <c r="L438" s="1050"/>
      <c r="M438" s="113"/>
      <c r="N438" s="113"/>
      <c r="O438" s="7"/>
      <c r="P438" s="7"/>
      <c r="Q438" s="7"/>
    </row>
    <row r="439" spans="1:17">
      <c r="B439" s="1046" t="s">
        <v>717</v>
      </c>
      <c r="C439" s="417">
        <v>4181.63</v>
      </c>
      <c r="D439" s="417">
        <v>4003.9</v>
      </c>
      <c r="E439" s="622">
        <v>3360.92</v>
      </c>
      <c r="F439" s="432">
        <v>3317.7269999999999</v>
      </c>
      <c r="G439" s="7"/>
      <c r="H439" s="122"/>
      <c r="I439" s="619"/>
      <c r="J439" s="619"/>
      <c r="K439" s="619"/>
      <c r="L439" s="729"/>
      <c r="M439" s="113"/>
      <c r="N439" s="113"/>
      <c r="O439" s="7"/>
      <c r="P439" s="7"/>
      <c r="Q439" s="7"/>
    </row>
    <row r="440" spans="1:17">
      <c r="B440" s="1046" t="s">
        <v>716</v>
      </c>
      <c r="C440" s="417">
        <v>8215.0490000000009</v>
      </c>
      <c r="D440" s="417">
        <v>8915.7649999999994</v>
      </c>
      <c r="E440" s="622">
        <v>8755.4369999999999</v>
      </c>
      <c r="F440" s="432">
        <v>9192.4950000000008</v>
      </c>
      <c r="G440" s="7"/>
      <c r="H440" s="122"/>
      <c r="I440" s="619"/>
      <c r="J440" s="619"/>
      <c r="K440" s="619"/>
      <c r="L440" s="729"/>
      <c r="M440" s="113"/>
      <c r="N440" s="113"/>
      <c r="O440" s="7"/>
      <c r="P440" s="7"/>
      <c r="Q440" s="7"/>
    </row>
    <row r="441" spans="1:17">
      <c r="B441" s="1046" t="s">
        <v>715</v>
      </c>
      <c r="C441" s="417">
        <v>12880.737999999999</v>
      </c>
      <c r="D441" s="417">
        <v>13678.62</v>
      </c>
      <c r="E441" s="622">
        <v>14577.31</v>
      </c>
      <c r="F441" s="432">
        <v>12896.03</v>
      </c>
      <c r="G441" s="7"/>
      <c r="H441" s="122"/>
      <c r="I441" s="619"/>
      <c r="J441" s="619"/>
      <c r="K441" s="619"/>
      <c r="L441" s="729"/>
      <c r="M441" s="113"/>
      <c r="N441" s="113"/>
      <c r="O441" s="7"/>
      <c r="P441" s="7"/>
      <c r="Q441" s="7"/>
    </row>
    <row r="442" spans="1:17" s="7" customFormat="1">
      <c r="A442" s="620"/>
      <c r="B442" s="1050"/>
      <c r="C442" s="621"/>
      <c r="D442" s="621"/>
      <c r="E442" s="621"/>
      <c r="F442" s="621"/>
      <c r="H442" s="122"/>
      <c r="I442" s="619"/>
      <c r="J442" s="619"/>
      <c r="K442" s="619"/>
      <c r="L442" s="145"/>
      <c r="M442" s="113"/>
      <c r="N442" s="113"/>
    </row>
    <row r="443" spans="1:17" s="7" customFormat="1">
      <c r="A443" s="620"/>
      <c r="B443" s="153" t="s">
        <v>721</v>
      </c>
      <c r="C443" s="12"/>
      <c r="E443" s="124"/>
      <c r="F443" s="111"/>
      <c r="H443" s="122"/>
      <c r="I443" s="619"/>
      <c r="J443" s="619"/>
      <c r="K443" s="619"/>
      <c r="L443" s="145"/>
      <c r="M443" s="113"/>
      <c r="N443" s="113"/>
    </row>
    <row r="444" spans="1:17" s="7" customFormat="1">
      <c r="A444" s="620"/>
      <c r="B444" s="153"/>
      <c r="C444" s="12"/>
      <c r="E444" s="124"/>
      <c r="F444" s="111"/>
      <c r="H444" s="122"/>
      <c r="I444" s="619"/>
      <c r="J444" s="619"/>
      <c r="K444" s="619"/>
      <c r="L444" s="145"/>
      <c r="M444" s="113"/>
      <c r="N444" s="113"/>
    </row>
    <row r="445" spans="1:17" s="7" customFormat="1">
      <c r="A445" s="620"/>
      <c r="B445" s="5"/>
      <c r="C445" s="1231" t="s">
        <v>71</v>
      </c>
      <c r="D445" s="1232"/>
      <c r="E445" s="1232"/>
      <c r="F445" s="1233"/>
      <c r="H445" s="122"/>
      <c r="I445" s="619"/>
      <c r="J445" s="619"/>
      <c r="K445" s="619"/>
      <c r="L445" s="145"/>
      <c r="M445" s="113"/>
      <c r="N445" s="113"/>
    </row>
    <row r="446" spans="1:17" s="7" customFormat="1">
      <c r="A446" s="620"/>
      <c r="B446" s="1046" t="s">
        <v>718</v>
      </c>
      <c r="C446" s="1046" t="str">
        <f>C438</f>
        <v>2012/13</v>
      </c>
      <c r="D446" s="1046" t="str">
        <f>D438</f>
        <v>2013/14</v>
      </c>
      <c r="E446" s="1046" t="str">
        <f>E438</f>
        <v>2014/15</v>
      </c>
      <c r="F446" s="1046" t="str">
        <f>F438</f>
        <v>2015/16</v>
      </c>
      <c r="H446" s="122"/>
      <c r="I446" s="619"/>
      <c r="J446" s="619"/>
      <c r="K446" s="619"/>
      <c r="L446" s="145"/>
      <c r="M446" s="113"/>
      <c r="N446" s="113"/>
    </row>
    <row r="447" spans="1:17" s="7" customFormat="1">
      <c r="A447" s="620"/>
      <c r="B447" s="1046" t="s">
        <v>717</v>
      </c>
      <c r="C447" s="417">
        <v>3105.078</v>
      </c>
      <c r="D447" s="417">
        <v>3004.37</v>
      </c>
      <c r="E447" s="431">
        <v>2574.4479999999999</v>
      </c>
      <c r="F447" s="431">
        <v>2427.8589999999999</v>
      </c>
      <c r="H447" s="122"/>
      <c r="I447" s="619"/>
      <c r="J447" s="619"/>
      <c r="K447" s="619"/>
      <c r="L447" s="145"/>
      <c r="M447" s="113"/>
      <c r="N447" s="113"/>
    </row>
    <row r="448" spans="1:17" s="7" customFormat="1">
      <c r="A448" s="620"/>
      <c r="B448" s="1046" t="s">
        <v>716</v>
      </c>
      <c r="C448" s="417">
        <v>7050.9430000000002</v>
      </c>
      <c r="D448" s="417">
        <v>7598.009</v>
      </c>
      <c r="E448" s="431">
        <v>7261.6940000000004</v>
      </c>
      <c r="F448" s="431">
        <v>7797.71</v>
      </c>
      <c r="H448" s="122"/>
      <c r="I448" s="619"/>
      <c r="J448" s="619"/>
      <c r="K448" s="619"/>
      <c r="L448" s="145"/>
      <c r="M448" s="113"/>
      <c r="N448" s="113"/>
    </row>
    <row r="449" spans="1:14" s="7" customFormat="1">
      <c r="A449" s="620"/>
      <c r="B449" s="1046" t="s">
        <v>715</v>
      </c>
      <c r="C449" s="417">
        <v>10502.683999999999</v>
      </c>
      <c r="D449" s="417">
        <v>10472.761</v>
      </c>
      <c r="E449" s="431">
        <v>10690.763000000001</v>
      </c>
      <c r="F449" s="431">
        <v>11034.485000000001</v>
      </c>
      <c r="H449" s="122"/>
      <c r="I449" s="619"/>
      <c r="J449" s="619"/>
      <c r="K449" s="619"/>
      <c r="L449" s="145"/>
      <c r="M449" s="113"/>
      <c r="N449" s="113"/>
    </row>
    <row r="450" spans="1:14" s="7" customFormat="1">
      <c r="A450" s="620"/>
      <c r="B450" s="122"/>
      <c r="C450" s="621"/>
      <c r="D450" s="621"/>
      <c r="E450" s="621"/>
      <c r="F450" s="621"/>
      <c r="H450" s="122"/>
      <c r="I450" s="619"/>
      <c r="J450" s="619"/>
      <c r="K450" s="619"/>
      <c r="L450" s="145"/>
      <c r="M450" s="113"/>
      <c r="N450" s="113"/>
    </row>
    <row r="451" spans="1:14" s="7" customFormat="1">
      <c r="A451" s="620"/>
      <c r="B451" s="153" t="s">
        <v>720</v>
      </c>
      <c r="C451" s="12"/>
      <c r="E451" s="124"/>
      <c r="F451" s="111"/>
      <c r="H451" s="122"/>
      <c r="I451" s="619"/>
      <c r="J451" s="619"/>
      <c r="K451" s="619"/>
      <c r="L451" s="145"/>
      <c r="M451" s="113"/>
      <c r="N451" s="113"/>
    </row>
    <row r="452" spans="1:14" s="7" customFormat="1">
      <c r="A452" s="620"/>
      <c r="B452" s="153"/>
      <c r="C452" s="12"/>
      <c r="E452" s="124"/>
      <c r="F452" s="111"/>
      <c r="H452" s="122"/>
      <c r="I452" s="619"/>
      <c r="J452" s="619"/>
      <c r="K452" s="619"/>
      <c r="L452" s="145"/>
      <c r="M452" s="113"/>
      <c r="N452" s="113"/>
    </row>
    <row r="453" spans="1:14" s="7" customFormat="1">
      <c r="A453" s="620"/>
      <c r="B453"/>
      <c r="C453" s="1231" t="s">
        <v>71</v>
      </c>
      <c r="D453" s="1232"/>
      <c r="E453" s="1232"/>
      <c r="F453" s="1233"/>
      <c r="H453" s="122"/>
      <c r="I453" s="619"/>
      <c r="J453" s="619"/>
      <c r="K453" s="619"/>
      <c r="L453" s="145"/>
      <c r="M453" s="113"/>
      <c r="N453" s="113"/>
    </row>
    <row r="454" spans="1:14" s="7" customFormat="1">
      <c r="A454" s="620"/>
      <c r="B454" s="1046" t="s">
        <v>718</v>
      </c>
      <c r="C454" s="1046" t="str">
        <f>C446</f>
        <v>2012/13</v>
      </c>
      <c r="D454" s="1046" t="str">
        <f>D446</f>
        <v>2013/14</v>
      </c>
      <c r="E454" s="1046" t="str">
        <f>E446</f>
        <v>2014/15</v>
      </c>
      <c r="F454" s="1046" t="str">
        <f>F446</f>
        <v>2015/16</v>
      </c>
      <c r="H454" s="122"/>
      <c r="I454" s="619"/>
      <c r="J454" s="619"/>
      <c r="K454" s="619"/>
      <c r="L454" s="145"/>
      <c r="M454" s="113"/>
      <c r="N454" s="113"/>
    </row>
    <row r="455" spans="1:14" s="7" customFormat="1">
      <c r="A455" s="620"/>
      <c r="B455" s="1046" t="s">
        <v>717</v>
      </c>
      <c r="C455" s="417">
        <v>579.75800000000004</v>
      </c>
      <c r="D455" s="417">
        <v>570.505</v>
      </c>
      <c r="E455" s="431">
        <v>460.42899999999997</v>
      </c>
      <c r="F455" s="432">
        <v>470.91899999999998</v>
      </c>
      <c r="H455" s="122"/>
      <c r="I455" s="619"/>
      <c r="J455" s="619"/>
      <c r="K455" s="619"/>
      <c r="L455" s="145"/>
      <c r="M455" s="113"/>
      <c r="N455" s="113"/>
    </row>
    <row r="456" spans="1:14" s="7" customFormat="1">
      <c r="A456" s="620"/>
      <c r="B456" s="1046" t="s">
        <v>716</v>
      </c>
      <c r="C456" s="417">
        <v>3524.8919999999998</v>
      </c>
      <c r="D456" s="417">
        <v>3878.4749999999999</v>
      </c>
      <c r="E456" s="431">
        <v>3811.4119999999998</v>
      </c>
      <c r="F456" s="432">
        <v>3852.884</v>
      </c>
      <c r="H456" s="122"/>
      <c r="I456" s="619"/>
      <c r="J456" s="619"/>
      <c r="K456" s="619"/>
      <c r="L456" s="145"/>
      <c r="M456" s="113"/>
      <c r="N456" s="113"/>
    </row>
    <row r="457" spans="1:14" s="7" customFormat="1">
      <c r="A457" s="620"/>
      <c r="B457" s="1046" t="s">
        <v>715</v>
      </c>
      <c r="C457" s="417">
        <v>434.91899999999998</v>
      </c>
      <c r="D457" s="417">
        <v>380.73500000000001</v>
      </c>
      <c r="E457" s="431">
        <v>488.5</v>
      </c>
      <c r="F457" s="432">
        <v>405.04300000000001</v>
      </c>
      <c r="H457" s="122"/>
      <c r="I457" s="619"/>
      <c r="J457" s="619"/>
      <c r="K457" s="619"/>
      <c r="L457" s="145"/>
      <c r="M457" s="113"/>
      <c r="N457" s="113"/>
    </row>
    <row r="458" spans="1:14" s="7" customFormat="1">
      <c r="A458" s="620"/>
      <c r="B458" s="122"/>
      <c r="C458" s="619"/>
      <c r="D458" s="619"/>
      <c r="E458" s="619"/>
      <c r="F458" s="619"/>
      <c r="H458" s="122"/>
      <c r="I458" s="619"/>
      <c r="J458" s="619"/>
      <c r="K458" s="619"/>
      <c r="L458" s="145"/>
      <c r="M458" s="113"/>
      <c r="N458" s="113"/>
    </row>
    <row r="459" spans="1:14" s="7" customFormat="1">
      <c r="A459" s="620"/>
      <c r="B459" s="153" t="s">
        <v>719</v>
      </c>
      <c r="C459" s="12"/>
      <c r="E459" s="124"/>
      <c r="F459" s="111"/>
      <c r="H459" s="122"/>
      <c r="I459" s="619"/>
      <c r="J459" s="619"/>
      <c r="K459" s="619"/>
      <c r="L459" s="145"/>
      <c r="M459" s="113"/>
      <c r="N459" s="113"/>
    </row>
    <row r="460" spans="1:14" s="7" customFormat="1">
      <c r="A460" s="620"/>
      <c r="B460" s="153"/>
      <c r="C460" s="12"/>
      <c r="E460" s="124"/>
      <c r="F460" s="111"/>
      <c r="H460" s="122"/>
      <c r="I460" s="619"/>
      <c r="J460" s="619"/>
      <c r="K460" s="619"/>
      <c r="L460" s="145"/>
      <c r="M460" s="113"/>
      <c r="N460" s="113"/>
    </row>
    <row r="461" spans="1:14" s="7" customFormat="1">
      <c r="A461" s="620"/>
      <c r="B461"/>
      <c r="C461" s="1231" t="s">
        <v>71</v>
      </c>
      <c r="D461" s="1232"/>
      <c r="E461" s="1232"/>
      <c r="F461" s="1233"/>
      <c r="H461" s="122"/>
      <c r="I461" s="619"/>
      <c r="J461" s="619"/>
      <c r="K461" s="619"/>
      <c r="L461" s="145"/>
      <c r="M461" s="113"/>
      <c r="N461" s="113"/>
    </row>
    <row r="462" spans="1:14" s="7" customFormat="1">
      <c r="A462" s="620"/>
      <c r="B462" s="1046" t="s">
        <v>718</v>
      </c>
      <c r="C462" s="1046" t="str">
        <f>C454</f>
        <v>2012/13</v>
      </c>
      <c r="D462" s="1046" t="str">
        <f>D454</f>
        <v>2013/14</v>
      </c>
      <c r="E462" s="1046" t="str">
        <f>E454</f>
        <v>2014/15</v>
      </c>
      <c r="F462" s="1046" t="str">
        <f>F454</f>
        <v>2015/16</v>
      </c>
      <c r="H462" s="122"/>
      <c r="I462" s="619"/>
      <c r="J462" s="619"/>
      <c r="K462" s="619"/>
      <c r="L462" s="145"/>
      <c r="M462" s="113"/>
      <c r="N462" s="113"/>
    </row>
    <row r="463" spans="1:14" s="7" customFormat="1">
      <c r="A463" s="620"/>
      <c r="B463" s="1046" t="s">
        <v>717</v>
      </c>
      <c r="C463" s="417">
        <v>466.166</v>
      </c>
      <c r="D463" s="417">
        <v>429.48</v>
      </c>
      <c r="E463" s="431">
        <v>394.00900000000001</v>
      </c>
      <c r="F463" s="431">
        <v>371.55700000000002</v>
      </c>
      <c r="H463" s="122"/>
      <c r="I463" s="619"/>
      <c r="J463" s="619"/>
      <c r="K463" s="619"/>
      <c r="L463" s="145"/>
      <c r="M463" s="113"/>
      <c r="N463" s="113"/>
    </row>
    <row r="464" spans="1:14" s="7" customFormat="1">
      <c r="A464" s="620"/>
      <c r="B464" s="1046" t="s">
        <v>716</v>
      </c>
      <c r="C464" s="417">
        <v>2122.65</v>
      </c>
      <c r="D464" s="417">
        <v>2180.268</v>
      </c>
      <c r="E464" s="431">
        <v>2180.011</v>
      </c>
      <c r="F464" s="431">
        <v>2210.9009999999998</v>
      </c>
      <c r="H464" s="122"/>
      <c r="I464" s="619"/>
      <c r="J464" s="619"/>
      <c r="K464" s="619"/>
      <c r="L464" s="145"/>
      <c r="M464" s="113"/>
      <c r="N464" s="113"/>
    </row>
    <row r="465" spans="1:14" s="7" customFormat="1">
      <c r="A465" s="620"/>
      <c r="B465" s="1046" t="s">
        <v>715</v>
      </c>
      <c r="C465" s="417">
        <v>450.44799999999998</v>
      </c>
      <c r="D465" s="417">
        <v>382.322</v>
      </c>
      <c r="E465" s="431">
        <v>392.03699999999998</v>
      </c>
      <c r="F465" s="431">
        <v>402.952</v>
      </c>
      <c r="H465" s="122"/>
      <c r="I465" s="619"/>
      <c r="J465" s="619"/>
      <c r="K465" s="619"/>
      <c r="L465" s="145"/>
      <c r="M465" s="113"/>
      <c r="N465" s="113"/>
    </row>
    <row r="466" spans="1:14">
      <c r="C466" s="618"/>
      <c r="D466" s="618"/>
      <c r="E466" s="618"/>
    </row>
    <row r="467" spans="1:14" ht="18">
      <c r="B467" s="38" t="s">
        <v>847</v>
      </c>
      <c r="J467" s="12" t="s">
        <v>1400</v>
      </c>
      <c r="L467" s="880" t="s">
        <v>145</v>
      </c>
      <c r="M467" s="5" t="s">
        <v>64</v>
      </c>
    </row>
    <row r="469" spans="1:14">
      <c r="B469" s="12" t="s">
        <v>1398</v>
      </c>
      <c r="C469" s="114" t="s">
        <v>714</v>
      </c>
    </row>
    <row r="471" spans="1:14" ht="13.15" customHeight="1">
      <c r="B471" s="12" t="s">
        <v>61</v>
      </c>
      <c r="C471" s="1235" t="s">
        <v>713</v>
      </c>
      <c r="D471" s="1235"/>
      <c r="E471" s="1235"/>
      <c r="F471" s="1235"/>
      <c r="G471" s="1235"/>
      <c r="H471" s="1235"/>
      <c r="I471" s="1235"/>
      <c r="J471" s="1235"/>
      <c r="K471" s="1235"/>
    </row>
    <row r="472" spans="1:14" ht="12.75" customHeight="1">
      <c r="C472" s="1235"/>
      <c r="D472" s="1235"/>
      <c r="E472" s="1235"/>
      <c r="F472" s="1235"/>
      <c r="G472" s="1235"/>
      <c r="H472" s="1235"/>
      <c r="I472" s="1235"/>
      <c r="J472" s="1235"/>
      <c r="K472" s="1235"/>
    </row>
    <row r="473" spans="1:14">
      <c r="C473" s="1045"/>
      <c r="D473" s="1045"/>
      <c r="E473" s="1045"/>
      <c r="F473" s="1045"/>
      <c r="G473" s="1045"/>
      <c r="H473" s="1045"/>
      <c r="I473" s="1045"/>
    </row>
    <row r="474" spans="1:14" ht="13.15" customHeight="1">
      <c r="B474" s="12" t="s">
        <v>62</v>
      </c>
      <c r="C474" s="1236" t="s">
        <v>1263</v>
      </c>
      <c r="D474" s="1236"/>
      <c r="E474" s="1236"/>
      <c r="F474" s="1236"/>
      <c r="G474" s="1236"/>
      <c r="H474" s="1236"/>
      <c r="I474" s="1236"/>
      <c r="J474" s="1236"/>
      <c r="K474" s="1236"/>
    </row>
    <row r="475" spans="1:14" ht="12.75" customHeight="1">
      <c r="C475" s="1236"/>
      <c r="D475" s="1236"/>
      <c r="E475" s="1236"/>
      <c r="F475" s="1236"/>
      <c r="G475" s="1236"/>
      <c r="H475" s="1236"/>
      <c r="I475" s="1236"/>
      <c r="J475" s="1236"/>
      <c r="K475" s="1236"/>
    </row>
    <row r="477" spans="1:14" ht="76.5">
      <c r="B477" s="588" t="s">
        <v>59</v>
      </c>
      <c r="C477" s="617" t="s">
        <v>712</v>
      </c>
      <c r="D477" s="616"/>
      <c r="E477" s="615"/>
      <c r="F477" s="615"/>
      <c r="G477" s="615"/>
      <c r="H477" s="615"/>
      <c r="I477" s="615"/>
      <c r="J477" s="614"/>
    </row>
    <row r="478" spans="1:14" ht="15">
      <c r="B478" s="588" t="s">
        <v>571</v>
      </c>
      <c r="C478" s="589">
        <v>0.8356640040850567</v>
      </c>
      <c r="D478" s="609"/>
      <c r="E478" s="608"/>
      <c r="F478" s="599"/>
      <c r="G478" s="599"/>
      <c r="H478" s="607"/>
      <c r="I478" s="606"/>
      <c r="J478" s="614"/>
    </row>
    <row r="479" spans="1:14" ht="15">
      <c r="B479" s="588" t="s">
        <v>7</v>
      </c>
      <c r="C479" s="572">
        <v>0.80718406160507539</v>
      </c>
      <c r="D479" s="610"/>
      <c r="E479" s="608"/>
      <c r="F479" s="599"/>
      <c r="G479" s="599"/>
      <c r="H479" s="607"/>
      <c r="I479" s="606"/>
      <c r="J479" s="614"/>
    </row>
    <row r="480" spans="1:14" ht="15">
      <c r="B480" s="588" t="s">
        <v>429</v>
      </c>
      <c r="C480" s="611">
        <v>0.71816580359993998</v>
      </c>
      <c r="D480" s="609"/>
      <c r="E480" s="608"/>
      <c r="F480" s="599"/>
      <c r="G480" s="599"/>
      <c r="H480" s="607"/>
      <c r="I480" s="606"/>
      <c r="J480" s="614"/>
    </row>
    <row r="481" spans="2:10" ht="15">
      <c r="B481" s="588" t="s">
        <v>3</v>
      </c>
      <c r="C481" s="613">
        <v>0.78667464266615916</v>
      </c>
      <c r="D481" s="610"/>
      <c r="E481" s="608"/>
      <c r="F481" s="599"/>
      <c r="G481" s="599"/>
      <c r="H481" s="607"/>
      <c r="I481" s="606"/>
      <c r="J481" s="614"/>
    </row>
    <row r="482" spans="2:10" ht="15">
      <c r="B482" s="588" t="s">
        <v>80</v>
      </c>
      <c r="C482" s="611">
        <v>0.71816580359993998</v>
      </c>
      <c r="D482" s="609"/>
      <c r="E482" s="602"/>
      <c r="F482" s="599"/>
      <c r="G482" s="599"/>
      <c r="H482" s="607"/>
      <c r="I482" s="606"/>
      <c r="J482" s="614"/>
    </row>
    <row r="483" spans="2:10" ht="15">
      <c r="B483" s="588" t="s">
        <v>108</v>
      </c>
      <c r="C483" s="613">
        <v>0.74559534501907387</v>
      </c>
      <c r="D483" s="610"/>
      <c r="E483" s="608"/>
      <c r="F483" s="599"/>
      <c r="G483" s="599"/>
      <c r="H483" s="607"/>
      <c r="I483" s="606"/>
      <c r="J483" s="614"/>
    </row>
    <row r="484" spans="2:10" ht="15">
      <c r="B484" s="588" t="s">
        <v>572</v>
      </c>
      <c r="C484" s="612">
        <v>0.76073012587244093</v>
      </c>
      <c r="D484" s="609"/>
      <c r="E484" s="608"/>
      <c r="F484" s="599"/>
      <c r="G484" s="599"/>
      <c r="H484" s="607"/>
      <c r="I484" s="606"/>
      <c r="J484" s="614"/>
    </row>
    <row r="485" spans="2:10" ht="15">
      <c r="B485" s="588" t="s">
        <v>6</v>
      </c>
      <c r="C485" s="613">
        <v>0.71816580359993998</v>
      </c>
      <c r="D485" s="610"/>
      <c r="E485" s="608"/>
      <c r="F485" s="599"/>
      <c r="G485" s="599"/>
      <c r="H485" s="607"/>
      <c r="I485" s="606"/>
      <c r="J485" s="605"/>
    </row>
    <row r="486" spans="2:10" ht="15">
      <c r="B486" s="588" t="s">
        <v>1</v>
      </c>
      <c r="C486" s="612">
        <v>0.86426335010355448</v>
      </c>
      <c r="D486" s="609"/>
      <c r="E486" s="608"/>
      <c r="F486" s="599"/>
      <c r="G486" s="599"/>
      <c r="H486" s="607"/>
      <c r="I486" s="606"/>
      <c r="J486" s="605"/>
    </row>
    <row r="487" spans="2:10" ht="15">
      <c r="B487" s="588" t="s">
        <v>397</v>
      </c>
      <c r="C487" s="611">
        <v>0.71816580359993998</v>
      </c>
      <c r="D487" s="609"/>
      <c r="E487" s="608"/>
      <c r="F487" s="599"/>
      <c r="G487" s="599"/>
      <c r="H487" s="607"/>
      <c r="I487" s="606"/>
      <c r="J487" s="605"/>
    </row>
    <row r="488" spans="2:10" ht="15">
      <c r="B488" s="588" t="s">
        <v>4</v>
      </c>
      <c r="C488" s="572">
        <v>0.82241629985327469</v>
      </c>
      <c r="D488" s="610"/>
      <c r="E488" s="608"/>
      <c r="F488" s="599"/>
      <c r="G488" s="599"/>
      <c r="H488" s="607"/>
      <c r="I488" s="606"/>
      <c r="J488" s="605"/>
    </row>
    <row r="489" spans="2:10" ht="15">
      <c r="B489" s="588" t="s">
        <v>0</v>
      </c>
      <c r="C489" s="589">
        <v>0.91680469289164945</v>
      </c>
      <c r="D489" s="609"/>
      <c r="E489" s="608"/>
      <c r="F489" s="599"/>
      <c r="G489" s="599"/>
      <c r="H489" s="607"/>
      <c r="I489" s="606"/>
      <c r="J489" s="605"/>
    </row>
    <row r="490" spans="2:10" ht="15">
      <c r="B490" s="588" t="s">
        <v>573</v>
      </c>
      <c r="C490" s="572">
        <v>0.83162473667079739</v>
      </c>
      <c r="D490" s="610"/>
      <c r="E490" s="608"/>
      <c r="F490" s="599"/>
      <c r="G490" s="599"/>
      <c r="H490" s="607"/>
      <c r="I490" s="606"/>
      <c r="J490" s="605"/>
    </row>
    <row r="491" spans="2:10" ht="15">
      <c r="B491" s="588" t="s">
        <v>574</v>
      </c>
      <c r="C491" s="589">
        <v>0.86415064366192196</v>
      </c>
      <c r="D491" s="609"/>
      <c r="E491" s="608"/>
      <c r="F491" s="599"/>
      <c r="G491" s="599"/>
      <c r="H491" s="607"/>
      <c r="I491" s="606"/>
      <c r="J491" s="605"/>
    </row>
    <row r="492" spans="2:10" ht="15">
      <c r="B492" s="588" t="s">
        <v>5</v>
      </c>
      <c r="C492" s="572">
        <v>0.91816580359993993</v>
      </c>
      <c r="D492" s="610"/>
      <c r="E492" s="608"/>
      <c r="F492" s="599"/>
      <c r="G492" s="599"/>
      <c r="H492" s="607"/>
      <c r="I492" s="606"/>
      <c r="J492" s="605"/>
    </row>
    <row r="493" spans="2:10" ht="15">
      <c r="B493" s="588" t="s">
        <v>41</v>
      </c>
      <c r="C493" s="589">
        <v>0.71816580359993998</v>
      </c>
      <c r="D493" s="609"/>
      <c r="E493" s="608"/>
      <c r="F493" s="599"/>
      <c r="G493" s="599"/>
      <c r="H493" s="607"/>
      <c r="I493" s="606"/>
      <c r="J493" s="605"/>
    </row>
    <row r="494" spans="2:10" ht="15">
      <c r="B494" s="588" t="s">
        <v>575</v>
      </c>
      <c r="C494" s="572">
        <v>0.80146993443075787</v>
      </c>
      <c r="D494" s="610"/>
      <c r="E494" s="608"/>
      <c r="F494" s="599"/>
      <c r="G494" s="599"/>
      <c r="H494" s="607"/>
      <c r="I494" s="606"/>
      <c r="J494" s="605"/>
    </row>
    <row r="495" spans="2:10" ht="15">
      <c r="B495" s="588" t="s">
        <v>2</v>
      </c>
      <c r="C495" s="589">
        <v>0.71816580359993998</v>
      </c>
      <c r="D495" s="609"/>
      <c r="E495" s="602"/>
      <c r="F495" s="599"/>
      <c r="G495" s="599"/>
      <c r="H495" s="607"/>
      <c r="I495" s="606"/>
      <c r="J495" s="605"/>
    </row>
    <row r="496" spans="2:10" ht="15">
      <c r="B496" s="588" t="s">
        <v>40</v>
      </c>
      <c r="C496" s="572">
        <v>0.81859377286715618</v>
      </c>
      <c r="D496" s="610"/>
      <c r="E496" s="608"/>
      <c r="F496" s="599"/>
      <c r="G496" s="599"/>
      <c r="H496" s="607"/>
      <c r="I496" s="606"/>
      <c r="J496" s="605"/>
    </row>
    <row r="497" spans="2:13" ht="15">
      <c r="B497" s="588" t="s">
        <v>576</v>
      </c>
      <c r="C497" s="589">
        <v>0.86469108669108663</v>
      </c>
      <c r="D497" s="609"/>
      <c r="E497" s="608"/>
      <c r="F497" s="599"/>
      <c r="G497" s="599"/>
      <c r="H497" s="607"/>
      <c r="I497" s="606"/>
      <c r="J497" s="605"/>
    </row>
    <row r="498" spans="2:13">
      <c r="B498" s="5"/>
      <c r="C498" s="302"/>
      <c r="D498" s="302"/>
      <c r="E498" s="302"/>
      <c r="F498" s="302"/>
      <c r="G498" s="302"/>
      <c r="H498" s="302"/>
      <c r="I498" s="302"/>
      <c r="J498" s="302"/>
    </row>
    <row r="499" spans="2:13" ht="18">
      <c r="B499" s="38" t="s">
        <v>848</v>
      </c>
      <c r="J499" s="12" t="s">
        <v>1400</v>
      </c>
      <c r="L499" s="880" t="s">
        <v>145</v>
      </c>
      <c r="M499" s="5" t="s">
        <v>64</v>
      </c>
    </row>
    <row r="501" spans="2:13">
      <c r="B501" s="12" t="s">
        <v>1398</v>
      </c>
      <c r="C501" s="114" t="s">
        <v>710</v>
      </c>
    </row>
    <row r="503" spans="2:13" ht="13.15" customHeight="1">
      <c r="B503" s="12" t="s">
        <v>61</v>
      </c>
      <c r="C503" s="769" t="s">
        <v>709</v>
      </c>
      <c r="D503" s="769"/>
      <c r="E503" s="769"/>
      <c r="F503" s="769"/>
      <c r="G503" s="769"/>
      <c r="H503" s="769"/>
      <c r="I503" s="769"/>
    </row>
    <row r="504" spans="2:13">
      <c r="C504" s="769"/>
      <c r="D504" s="769"/>
      <c r="E504" s="769"/>
      <c r="F504" s="769"/>
      <c r="G504" s="769"/>
      <c r="H504" s="769"/>
      <c r="I504" s="769"/>
    </row>
    <row r="505" spans="2:13" ht="13.15" customHeight="1">
      <c r="B505" s="12" t="s">
        <v>62</v>
      </c>
      <c r="C505" s="1236" t="s">
        <v>1263</v>
      </c>
      <c r="D505" s="1236"/>
      <c r="E505" s="1236"/>
      <c r="F505" s="1236"/>
      <c r="G505" s="1236"/>
      <c r="H505" s="1236"/>
      <c r="I505" s="1236"/>
      <c r="J505" s="1236"/>
      <c r="K505" s="1236"/>
    </row>
    <row r="506" spans="2:13" ht="12.75" customHeight="1">
      <c r="C506" s="1236"/>
      <c r="D506" s="1236"/>
      <c r="E506" s="1236"/>
      <c r="F506" s="1236"/>
      <c r="G506" s="1236"/>
      <c r="H506" s="1236"/>
      <c r="I506" s="1236"/>
      <c r="J506" s="1236"/>
      <c r="K506" s="1236"/>
    </row>
    <row r="507" spans="2:13">
      <c r="C507" s="1042"/>
      <c r="D507" s="1042"/>
      <c r="E507" s="1042"/>
      <c r="F507" s="1042"/>
      <c r="G507" s="1042"/>
      <c r="H507" s="1042"/>
      <c r="I507" s="1042"/>
      <c r="J507" s="1042"/>
      <c r="K507" s="1042"/>
    </row>
    <row r="508" spans="2:13" ht="38.25">
      <c r="B508" s="588" t="s">
        <v>59</v>
      </c>
      <c r="C508" s="604" t="s">
        <v>708</v>
      </c>
      <c r="D508" s="603"/>
      <c r="E508" s="302"/>
      <c r="F508" s="302"/>
      <c r="G508" s="302"/>
      <c r="H508" s="302"/>
      <c r="I508" s="302"/>
      <c r="J508" s="302"/>
    </row>
    <row r="509" spans="2:13" ht="15">
      <c r="B509" s="588" t="str">
        <f t="shared" ref="B509:B528" si="4">B478</f>
        <v>Art &amp; Design</v>
      </c>
      <c r="C509" s="881">
        <v>0.87353445960274267</v>
      </c>
      <c r="D509" s="600"/>
      <c r="E509" s="302"/>
      <c r="F509" s="599"/>
      <c r="G509" s="599"/>
      <c r="H509" s="302"/>
      <c r="I509" s="302"/>
      <c r="J509" s="302"/>
    </row>
    <row r="510" spans="2:13" ht="15">
      <c r="B510" s="588" t="str">
        <f t="shared" si="4"/>
        <v>Biology</v>
      </c>
      <c r="C510" s="882">
        <v>0.79247145981751177</v>
      </c>
      <c r="D510" s="601"/>
      <c r="E510" s="302"/>
      <c r="F510" s="599"/>
      <c r="G510" s="599"/>
      <c r="H510" s="302"/>
      <c r="I510" s="302"/>
      <c r="J510" s="302"/>
    </row>
    <row r="511" spans="2:13" ht="15">
      <c r="B511" s="588" t="str">
        <f t="shared" si="4"/>
        <v>Business Studies</v>
      </c>
      <c r="C511" s="881">
        <v>0.76197345289973084</v>
      </c>
      <c r="D511" s="600"/>
      <c r="E511" s="302"/>
      <c r="F511" s="599"/>
      <c r="G511" s="599"/>
      <c r="H511" s="302"/>
      <c r="I511" s="302"/>
      <c r="J511" s="302"/>
    </row>
    <row r="512" spans="2:13" ht="15">
      <c r="B512" s="588" t="str">
        <f t="shared" si="4"/>
        <v>Chemistry</v>
      </c>
      <c r="C512" s="882">
        <v>0.8062879868928704</v>
      </c>
      <c r="D512" s="601"/>
      <c r="E512" s="302"/>
      <c r="F512" s="599"/>
      <c r="G512" s="599"/>
      <c r="H512" s="302"/>
      <c r="I512" s="302"/>
      <c r="J512" s="302"/>
    </row>
    <row r="513" spans="2:10" ht="15">
      <c r="B513" s="588" t="str">
        <f t="shared" si="4"/>
        <v>Classics</v>
      </c>
      <c r="C513" s="881">
        <v>0.76197345289973084</v>
      </c>
      <c r="D513" s="600"/>
      <c r="E513" s="302"/>
      <c r="F513" s="599"/>
      <c r="G513" s="599"/>
      <c r="H513" s="302"/>
      <c r="I513" s="302"/>
      <c r="J513" s="302"/>
    </row>
    <row r="514" spans="2:10" ht="15">
      <c r="B514" s="588" t="str">
        <f t="shared" si="4"/>
        <v>Computing</v>
      </c>
      <c r="C514" s="882">
        <v>0.84182925089482463</v>
      </c>
      <c r="D514" s="601"/>
      <c r="E514" s="302"/>
      <c r="F514" s="599"/>
      <c r="G514" s="599"/>
      <c r="H514" s="302"/>
      <c r="I514" s="302"/>
      <c r="J514" s="302"/>
    </row>
    <row r="515" spans="2:10" ht="15">
      <c r="B515" s="588" t="str">
        <f t="shared" si="4"/>
        <v>Design &amp; Technology</v>
      </c>
      <c r="C515" s="881">
        <v>0.76197345289973084</v>
      </c>
      <c r="D515" s="600"/>
      <c r="E515" s="302"/>
      <c r="F515" s="599"/>
      <c r="G515" s="599"/>
      <c r="H515" s="302"/>
      <c r="I515" s="302"/>
      <c r="J515" s="302"/>
    </row>
    <row r="516" spans="2:10" ht="15">
      <c r="B516" s="588" t="str">
        <f t="shared" si="4"/>
        <v>Drama</v>
      </c>
      <c r="C516" s="882">
        <v>0.76197345289973084</v>
      </c>
      <c r="D516" s="601"/>
      <c r="E516" s="302"/>
      <c r="F516" s="599"/>
      <c r="G516" s="599"/>
      <c r="H516" s="302"/>
      <c r="I516" s="302"/>
      <c r="J516" s="302"/>
    </row>
    <row r="517" spans="2:10" ht="15">
      <c r="B517" s="588" t="str">
        <f t="shared" si="4"/>
        <v>English</v>
      </c>
      <c r="C517" s="881">
        <v>0.86821719957494592</v>
      </c>
      <c r="D517" s="600"/>
      <c r="E517" s="302"/>
      <c r="F517" s="599"/>
      <c r="G517" s="599"/>
      <c r="H517" s="302"/>
      <c r="I517" s="302"/>
      <c r="J517" s="302"/>
    </row>
    <row r="518" spans="2:10" ht="15">
      <c r="B518" s="588" t="str">
        <f t="shared" si="4"/>
        <v>Food</v>
      </c>
      <c r="C518" s="881">
        <v>0.76197345289973084</v>
      </c>
      <c r="D518" s="600"/>
      <c r="E518" s="302"/>
      <c r="F518" s="599"/>
      <c r="G518" s="599"/>
      <c r="H518" s="302"/>
      <c r="I518" s="302"/>
      <c r="J518" s="302"/>
    </row>
    <row r="519" spans="2:10" ht="15">
      <c r="B519" s="588" t="str">
        <f t="shared" si="4"/>
        <v>Geography</v>
      </c>
      <c r="C519" s="882">
        <v>0.83368028279654371</v>
      </c>
      <c r="D519" s="601"/>
      <c r="E519" s="302"/>
      <c r="F519" s="599"/>
      <c r="G519" s="599"/>
      <c r="H519" s="302"/>
      <c r="I519" s="302"/>
      <c r="J519" s="302"/>
    </row>
    <row r="520" spans="2:10" ht="15">
      <c r="B520" s="588" t="str">
        <f t="shared" si="4"/>
        <v>History</v>
      </c>
      <c r="C520" s="881">
        <v>0.90788935921763247</v>
      </c>
      <c r="D520" s="600"/>
      <c r="E520" s="302"/>
      <c r="F520" s="599"/>
      <c r="G520" s="599"/>
      <c r="H520" s="302"/>
      <c r="I520" s="302"/>
      <c r="J520" s="302"/>
    </row>
    <row r="521" spans="2:10" ht="15">
      <c r="B521" s="588" t="str">
        <f t="shared" si="4"/>
        <v>Mathematics</v>
      </c>
      <c r="C521" s="882">
        <v>0.87219511552719786</v>
      </c>
      <c r="D521" s="601"/>
      <c r="E521" s="302"/>
      <c r="F521" s="599"/>
      <c r="G521" s="599"/>
      <c r="H521" s="302"/>
      <c r="I521" s="302"/>
      <c r="J521" s="302"/>
    </row>
    <row r="522" spans="2:10" ht="15">
      <c r="B522" s="588" t="str">
        <f t="shared" si="4"/>
        <v>Modern Foreign Languages</v>
      </c>
      <c r="C522" s="881">
        <v>0.94246018280740651</v>
      </c>
      <c r="D522" s="600"/>
      <c r="E522" s="302"/>
      <c r="F522" s="599"/>
      <c r="G522" s="599"/>
      <c r="H522" s="302"/>
      <c r="I522" s="302"/>
      <c r="J522" s="302"/>
    </row>
    <row r="523" spans="2:10" ht="15">
      <c r="B523" s="588" t="str">
        <f t="shared" si="4"/>
        <v>Music</v>
      </c>
      <c r="C523" s="882">
        <v>0.9619734528997308</v>
      </c>
      <c r="D523" s="601"/>
      <c r="E523" s="302"/>
      <c r="F523" s="599"/>
      <c r="G523" s="599"/>
      <c r="H523" s="302"/>
      <c r="I523" s="302"/>
      <c r="J523" s="302"/>
    </row>
    <row r="524" spans="2:10" ht="15">
      <c r="B524" s="588" t="str">
        <f t="shared" si="4"/>
        <v>Others</v>
      </c>
      <c r="C524" s="881">
        <v>0.76197345289973084</v>
      </c>
      <c r="D524" s="600"/>
      <c r="E524" s="302"/>
      <c r="F524" s="599"/>
      <c r="G524" s="599"/>
      <c r="H524" s="302"/>
      <c r="I524" s="302"/>
      <c r="J524" s="302"/>
    </row>
    <row r="525" spans="2:10" ht="15">
      <c r="B525" s="588" t="str">
        <f t="shared" si="4"/>
        <v>Physical Education</v>
      </c>
      <c r="C525" s="882">
        <v>0.87123879551164074</v>
      </c>
      <c r="D525" s="601"/>
      <c r="E525" s="302"/>
      <c r="F525" s="599"/>
      <c r="G525" s="599"/>
      <c r="H525" s="302"/>
      <c r="I525" s="302"/>
      <c r="J525" s="302"/>
    </row>
    <row r="526" spans="2:10" ht="15">
      <c r="B526" s="588" t="str">
        <f t="shared" si="4"/>
        <v>Physics</v>
      </c>
      <c r="C526" s="881">
        <v>0.83555555555555561</v>
      </c>
      <c r="D526" s="600"/>
      <c r="E526" s="602"/>
      <c r="F526" s="599"/>
      <c r="G526" s="599"/>
      <c r="H526" s="302"/>
      <c r="I526" s="302"/>
      <c r="J526" s="302"/>
    </row>
    <row r="527" spans="2:10" ht="15">
      <c r="B527" s="588" t="str">
        <f t="shared" si="4"/>
        <v>Primary</v>
      </c>
      <c r="C527" s="882">
        <v>0.86404708139829034</v>
      </c>
      <c r="D527" s="601"/>
      <c r="E527" s="302"/>
      <c r="F527" s="599"/>
      <c r="G527" s="599"/>
      <c r="H527" s="302"/>
      <c r="I527" s="302"/>
      <c r="J527" s="302"/>
    </row>
    <row r="528" spans="2:10" ht="15">
      <c r="B528" s="588" t="str">
        <f t="shared" si="4"/>
        <v>Religious Education</v>
      </c>
      <c r="C528" s="881">
        <v>0.87026154540763678</v>
      </c>
      <c r="D528" s="600"/>
      <c r="E528" s="302"/>
      <c r="F528" s="599"/>
      <c r="G528" s="599"/>
      <c r="H528" s="302"/>
      <c r="I528" s="302"/>
      <c r="J528" s="302"/>
    </row>
    <row r="529" spans="2:13">
      <c r="C529" s="302"/>
      <c r="D529" s="302"/>
      <c r="E529" s="302"/>
      <c r="F529" s="302"/>
      <c r="G529" s="302"/>
      <c r="H529" s="302"/>
      <c r="I529" s="302"/>
      <c r="J529" s="302"/>
    </row>
    <row r="530" spans="2:13" ht="18">
      <c r="B530" s="598" t="s">
        <v>1551</v>
      </c>
      <c r="C530" s="2"/>
      <c r="D530" s="2"/>
      <c r="J530" s="12" t="s">
        <v>1400</v>
      </c>
      <c r="L530" s="880" t="s">
        <v>147</v>
      </c>
      <c r="M530" s="5" t="s">
        <v>64</v>
      </c>
    </row>
    <row r="531" spans="2:13">
      <c r="B531" s="2"/>
      <c r="C531" s="2"/>
      <c r="D531" s="2"/>
    </row>
    <row r="532" spans="2:13">
      <c r="B532" s="9" t="s">
        <v>1398</v>
      </c>
      <c r="C532" s="424" t="s">
        <v>707</v>
      </c>
      <c r="D532" s="2"/>
    </row>
    <row r="533" spans="2:13">
      <c r="B533" s="2"/>
      <c r="C533" s="2"/>
      <c r="D533" s="2"/>
    </row>
    <row r="534" spans="2:13" ht="13.15" customHeight="1">
      <c r="B534" s="9" t="s">
        <v>61</v>
      </c>
      <c r="C534" s="1258" t="s">
        <v>1552</v>
      </c>
      <c r="D534" s="1258"/>
      <c r="E534" s="1258"/>
      <c r="F534" s="1258"/>
      <c r="G534" s="1258"/>
      <c r="H534" s="1258"/>
      <c r="I534" s="1258"/>
    </row>
    <row r="535" spans="2:13" ht="12.75" customHeight="1">
      <c r="B535" s="2"/>
      <c r="C535" s="1258"/>
      <c r="D535" s="1258"/>
      <c r="E535" s="1258"/>
      <c r="F535" s="1258"/>
      <c r="G535" s="1258"/>
      <c r="H535" s="1258"/>
      <c r="I535" s="1258"/>
    </row>
    <row r="536" spans="2:13">
      <c r="B536" s="2"/>
      <c r="C536" s="1054"/>
      <c r="D536" s="1054"/>
      <c r="E536" s="1054"/>
      <c r="F536" s="1054"/>
      <c r="G536" s="1054"/>
      <c r="H536" s="1054"/>
      <c r="I536" s="1054"/>
    </row>
    <row r="537" spans="2:13">
      <c r="B537" s="9" t="s">
        <v>62</v>
      </c>
      <c r="C537" s="1060"/>
      <c r="D537" s="2"/>
    </row>
    <row r="539" spans="2:13" ht="54.75" customHeight="1">
      <c r="B539" s="597" t="s">
        <v>59</v>
      </c>
      <c r="C539" s="596" t="s">
        <v>1553</v>
      </c>
      <c r="D539" s="595"/>
      <c r="I539" s="1259"/>
      <c r="J539" s="1261"/>
    </row>
    <row r="540" spans="2:13" ht="13.15" customHeight="1">
      <c r="B540" s="588" t="str">
        <f t="shared" ref="B540:B559" si="5">B509</f>
        <v>Art &amp; Design</v>
      </c>
      <c r="C540" s="325">
        <v>0</v>
      </c>
      <c r="D540" s="594"/>
      <c r="I540" s="1260"/>
      <c r="J540" s="1262"/>
    </row>
    <row r="541" spans="2:13" ht="15">
      <c r="B541" s="588" t="str">
        <f t="shared" si="5"/>
        <v>Biology</v>
      </c>
      <c r="C541" s="325">
        <v>9</v>
      </c>
      <c r="D541" s="594"/>
      <c r="I541" s="1021"/>
      <c r="J541" s="1019"/>
    </row>
    <row r="542" spans="2:13" ht="15">
      <c r="B542" s="588" t="str">
        <f t="shared" si="5"/>
        <v>Business Studies</v>
      </c>
      <c r="C542" s="325">
        <v>0</v>
      </c>
      <c r="D542" s="594"/>
      <c r="I542" s="1021"/>
      <c r="J542" s="1019"/>
    </row>
    <row r="543" spans="2:13" ht="15">
      <c r="B543" s="588" t="str">
        <f t="shared" si="5"/>
        <v>Chemistry</v>
      </c>
      <c r="C543" s="325">
        <v>9</v>
      </c>
      <c r="D543" s="594"/>
      <c r="I543" s="1021"/>
      <c r="J543" s="1019"/>
    </row>
    <row r="544" spans="2:13" ht="15">
      <c r="B544" s="588" t="str">
        <f t="shared" si="5"/>
        <v>Classics</v>
      </c>
      <c r="C544" s="325">
        <v>0</v>
      </c>
      <c r="D544" s="594"/>
      <c r="I544" s="1021"/>
      <c r="J544" s="1019"/>
    </row>
    <row r="545" spans="2:10" ht="15">
      <c r="B545" s="588" t="str">
        <f t="shared" si="5"/>
        <v>Computing</v>
      </c>
      <c r="C545" s="325">
        <v>0</v>
      </c>
      <c r="D545" s="594"/>
      <c r="E545" s="416"/>
      <c r="I545" s="1021"/>
      <c r="J545" s="1019"/>
    </row>
    <row r="546" spans="2:10" ht="15">
      <c r="B546" s="588" t="str">
        <f t="shared" si="5"/>
        <v>Design &amp; Technology</v>
      </c>
      <c r="C546" s="325">
        <v>0</v>
      </c>
      <c r="D546" s="594"/>
      <c r="E546" s="416"/>
      <c r="I546" s="1021"/>
      <c r="J546" s="1019"/>
    </row>
    <row r="547" spans="2:10" ht="15">
      <c r="B547" s="588" t="str">
        <f t="shared" si="5"/>
        <v>Drama</v>
      </c>
      <c r="C547" s="325">
        <v>0</v>
      </c>
      <c r="D547" s="594"/>
      <c r="I547" s="1021"/>
      <c r="J547" s="1019"/>
    </row>
    <row r="548" spans="2:10" ht="15">
      <c r="B548" s="588" t="str">
        <f t="shared" si="5"/>
        <v>English</v>
      </c>
      <c r="C548" s="325">
        <v>38</v>
      </c>
      <c r="D548" s="594"/>
      <c r="I548" s="1021"/>
      <c r="J548" s="1019"/>
    </row>
    <row r="549" spans="2:10" ht="15">
      <c r="B549" s="588" t="str">
        <f t="shared" si="5"/>
        <v>Food</v>
      </c>
      <c r="C549" s="325">
        <v>0</v>
      </c>
      <c r="D549" s="594"/>
      <c r="I549" s="1021"/>
      <c r="J549" s="1019"/>
    </row>
    <row r="550" spans="2:10" ht="15">
      <c r="B550" s="588" t="str">
        <f t="shared" si="5"/>
        <v>Geography</v>
      </c>
      <c r="C550" s="325">
        <v>0</v>
      </c>
      <c r="D550" s="594"/>
      <c r="I550" s="1021"/>
      <c r="J550" s="1019"/>
    </row>
    <row r="551" spans="2:10" ht="15">
      <c r="B551" s="588" t="str">
        <f t="shared" si="5"/>
        <v>History</v>
      </c>
      <c r="C551" s="325">
        <v>0</v>
      </c>
      <c r="D551" s="594"/>
      <c r="I551" s="1021"/>
      <c r="J551" s="1019"/>
    </row>
    <row r="552" spans="2:10" ht="15">
      <c r="B552" s="588" t="str">
        <f t="shared" si="5"/>
        <v>Mathematics</v>
      </c>
      <c r="C552" s="325">
        <v>84</v>
      </c>
      <c r="D552" s="594"/>
      <c r="I552" s="1021"/>
      <c r="J552" s="1019"/>
    </row>
    <row r="553" spans="2:10" ht="15">
      <c r="B553" s="588" t="str">
        <f t="shared" si="5"/>
        <v>Modern Foreign Languages</v>
      </c>
      <c r="C553" s="325">
        <v>0</v>
      </c>
      <c r="D553" s="594"/>
      <c r="I553" s="1021"/>
      <c r="J553" s="1019"/>
    </row>
    <row r="554" spans="2:10" ht="15">
      <c r="B554" s="588" t="str">
        <f t="shared" si="5"/>
        <v>Music</v>
      </c>
      <c r="C554" s="325">
        <v>0</v>
      </c>
      <c r="D554" s="594"/>
      <c r="E554" s="302"/>
      <c r="I554" s="1021"/>
      <c r="J554" s="1019"/>
    </row>
    <row r="555" spans="2:10" ht="15">
      <c r="B555" s="588" t="str">
        <f t="shared" si="5"/>
        <v>Others</v>
      </c>
      <c r="C555" s="325">
        <v>0</v>
      </c>
      <c r="D555" s="594"/>
      <c r="I555" s="1021"/>
      <c r="J555" s="1019"/>
    </row>
    <row r="556" spans="2:10" ht="15">
      <c r="B556" s="588" t="str">
        <f t="shared" si="5"/>
        <v>Physical Education</v>
      </c>
      <c r="C556" s="325">
        <v>86</v>
      </c>
      <c r="D556" s="594"/>
      <c r="I556" s="1021"/>
      <c r="J556" s="1019"/>
    </row>
    <row r="557" spans="2:10" ht="15">
      <c r="B557" s="588" t="str">
        <f t="shared" si="5"/>
        <v>Physics</v>
      </c>
      <c r="C557" s="325">
        <v>7</v>
      </c>
      <c r="D557" s="594"/>
      <c r="I557" s="1021"/>
      <c r="J557" s="1019"/>
    </row>
    <row r="558" spans="2:10" ht="15">
      <c r="B558" s="588" t="str">
        <f t="shared" si="5"/>
        <v>Primary</v>
      </c>
      <c r="C558" s="325">
        <v>4924</v>
      </c>
      <c r="D558" s="594"/>
      <c r="I558" s="1021"/>
      <c r="J558" s="1019"/>
    </row>
    <row r="559" spans="2:10" ht="15">
      <c r="B559" s="588" t="str">
        <f t="shared" si="5"/>
        <v>Religious Education</v>
      </c>
      <c r="C559" s="325">
        <v>20</v>
      </c>
      <c r="D559" s="594"/>
      <c r="I559" s="1021"/>
      <c r="J559" s="1019"/>
    </row>
    <row r="560" spans="2:10" ht="15">
      <c r="B560" s="1046" t="s">
        <v>8</v>
      </c>
      <c r="C560" s="325">
        <v>5177</v>
      </c>
      <c r="D560" s="302"/>
      <c r="I560" s="1021"/>
      <c r="J560" s="1019"/>
    </row>
    <row r="561" spans="2:13" ht="15">
      <c r="C561" s="322"/>
      <c r="I561" s="1024"/>
      <c r="J561" s="1019"/>
    </row>
    <row r="562" spans="2:13" ht="18">
      <c r="B562" s="38" t="s">
        <v>849</v>
      </c>
      <c r="I562" s="1023"/>
      <c r="J562" s="1019"/>
      <c r="L562" s="880" t="s">
        <v>147</v>
      </c>
      <c r="M562" s="5" t="s">
        <v>64</v>
      </c>
    </row>
    <row r="563" spans="2:13" ht="21" customHeight="1">
      <c r="I563" s="1022"/>
      <c r="J563" s="1019"/>
    </row>
    <row r="564" spans="2:13" ht="15">
      <c r="B564" s="593" t="s">
        <v>1398</v>
      </c>
      <c r="C564" s="768" t="s">
        <v>1544</v>
      </c>
      <c r="D564" s="768"/>
      <c r="E564" s="768"/>
      <c r="F564" s="768"/>
      <c r="G564" s="768"/>
      <c r="H564" s="768"/>
      <c r="I564" s="1022"/>
      <c r="J564" s="1019"/>
    </row>
    <row r="566" spans="2:13" ht="13.15" customHeight="1">
      <c r="B566" s="12" t="s">
        <v>61</v>
      </c>
      <c r="C566" s="1236" t="s">
        <v>1388</v>
      </c>
      <c r="D566" s="1236"/>
      <c r="E566" s="1236"/>
      <c r="F566" s="1236"/>
      <c r="G566" s="1236"/>
      <c r="H566" s="1236"/>
      <c r="I566" s="1236"/>
      <c r="J566" s="1236"/>
      <c r="K566" s="1236"/>
    </row>
    <row r="567" spans="2:13" ht="13.9" customHeight="1">
      <c r="C567" s="1236"/>
      <c r="D567" s="1236"/>
      <c r="E567" s="1236"/>
      <c r="F567" s="1236"/>
      <c r="G567" s="1236"/>
      <c r="H567" s="1236"/>
      <c r="I567" s="1236"/>
      <c r="J567" s="1236"/>
      <c r="K567" s="1236"/>
    </row>
    <row r="568" spans="2:13">
      <c r="C568" s="1047"/>
      <c r="D568" s="1047"/>
      <c r="E568" s="1047"/>
      <c r="F568" s="1047"/>
      <c r="G568" s="1047"/>
      <c r="H568" s="1047"/>
    </row>
    <row r="569" spans="2:13">
      <c r="B569" s="12" t="s">
        <v>62</v>
      </c>
      <c r="C569" s="114" t="s">
        <v>1442</v>
      </c>
    </row>
    <row r="571" spans="2:13">
      <c r="B571" s="1044" t="s">
        <v>353</v>
      </c>
      <c r="C571" s="1044" t="s">
        <v>88</v>
      </c>
      <c r="E571" s="591"/>
      <c r="F571" s="590"/>
    </row>
    <row r="572" spans="2:13">
      <c r="B572" s="1044" t="s">
        <v>40</v>
      </c>
      <c r="C572" s="592">
        <f>C389</f>
        <v>0.89</v>
      </c>
      <c r="E572" s="591"/>
      <c r="F572" s="590"/>
    </row>
    <row r="573" spans="2:13">
      <c r="B573" s="1044" t="s">
        <v>249</v>
      </c>
      <c r="C573" s="592">
        <f>D389</f>
        <v>0.93100000000000005</v>
      </c>
      <c r="E573" s="591"/>
      <c r="F573" s="590"/>
    </row>
    <row r="575" spans="2:13" ht="18">
      <c r="B575" s="38" t="s">
        <v>850</v>
      </c>
      <c r="J575" s="12" t="s">
        <v>1400</v>
      </c>
      <c r="L575" s="880" t="s">
        <v>145</v>
      </c>
      <c r="M575" s="5" t="s">
        <v>64</v>
      </c>
    </row>
    <row r="577" spans="2:11">
      <c r="B577" s="12" t="s">
        <v>1398</v>
      </c>
      <c r="C577" s="1060" t="s">
        <v>1668</v>
      </c>
    </row>
    <row r="579" spans="2:11" ht="12.75" customHeight="1">
      <c r="B579" s="12" t="s">
        <v>61</v>
      </c>
      <c r="C579" s="1256" t="s">
        <v>1698</v>
      </c>
      <c r="D579" s="1257"/>
      <c r="E579" s="1257"/>
      <c r="F579" s="1257"/>
      <c r="G579" s="1257"/>
      <c r="H579" s="1257"/>
      <c r="I579" s="1257"/>
      <c r="J579" s="1257"/>
      <c r="K579" s="1257"/>
    </row>
    <row r="580" spans="2:11" ht="13.15" customHeight="1">
      <c r="C580" s="1257"/>
      <c r="D580" s="1257"/>
      <c r="E580" s="1257"/>
      <c r="F580" s="1257"/>
      <c r="G580" s="1257"/>
      <c r="H580" s="1257"/>
      <c r="I580" s="1257"/>
      <c r="J580" s="1257"/>
      <c r="K580" s="1257"/>
    </row>
    <row r="581" spans="2:11" ht="13.15" customHeight="1">
      <c r="C581" s="1257"/>
      <c r="D581" s="1257"/>
      <c r="E581" s="1257"/>
      <c r="F581" s="1257"/>
      <c r="G581" s="1257"/>
      <c r="H581" s="1257"/>
      <c r="I581" s="1257"/>
      <c r="J581" s="1257"/>
      <c r="K581" s="1257"/>
    </row>
    <row r="582" spans="2:11" ht="13.15" customHeight="1">
      <c r="C582" s="1257"/>
      <c r="D582" s="1257"/>
      <c r="E582" s="1257"/>
      <c r="F582" s="1257"/>
      <c r="G582" s="1257"/>
      <c r="H582" s="1257"/>
      <c r="I582" s="1257"/>
      <c r="J582" s="1257"/>
      <c r="K582" s="1257"/>
    </row>
    <row r="583" spans="2:11" ht="13.15" customHeight="1">
      <c r="C583" s="1052"/>
      <c r="D583" s="1052"/>
      <c r="E583" s="1052"/>
      <c r="F583" s="1052"/>
      <c r="G583" s="1052"/>
      <c r="H583" s="1052"/>
      <c r="I583" s="1052"/>
      <c r="J583" s="1052"/>
      <c r="K583" s="1052"/>
    </row>
    <row r="584" spans="2:11" ht="13.15" customHeight="1">
      <c r="B584" s="12" t="s">
        <v>62</v>
      </c>
      <c r="C584" s="1234" t="s">
        <v>1669</v>
      </c>
      <c r="D584" s="1236"/>
      <c r="E584" s="1236"/>
      <c r="F584" s="1236"/>
      <c r="G584" s="1236"/>
      <c r="H584" s="1236"/>
      <c r="I584" s="1236"/>
      <c r="J584" s="1236"/>
      <c r="K584" s="1236"/>
    </row>
    <row r="585" spans="2:11" ht="12.75" customHeight="1">
      <c r="C585" s="1236"/>
      <c r="D585" s="1236"/>
      <c r="E585" s="1236"/>
      <c r="F585" s="1236"/>
      <c r="G585" s="1236"/>
      <c r="H585" s="1236"/>
      <c r="I585" s="1236"/>
      <c r="J585" s="1236"/>
      <c r="K585" s="1236"/>
    </row>
    <row r="586" spans="2:11" ht="12.75" customHeight="1">
      <c r="C586" s="1236"/>
      <c r="D586" s="1236"/>
      <c r="E586" s="1236"/>
      <c r="F586" s="1236"/>
      <c r="G586" s="1236"/>
      <c r="H586" s="1236"/>
      <c r="I586" s="1236"/>
      <c r="J586" s="1236"/>
      <c r="K586" s="1236"/>
    </row>
    <row r="588" spans="2:11" ht="13.15" customHeight="1">
      <c r="C588" s="1253" t="s">
        <v>706</v>
      </c>
      <c r="D588" s="1254"/>
      <c r="E588" s="1255"/>
      <c r="F588" s="1250" t="s">
        <v>705</v>
      </c>
      <c r="G588" s="1251"/>
      <c r="H588" s="1252"/>
    </row>
    <row r="589" spans="2:11" ht="13.15" customHeight="1">
      <c r="C589" s="1250" t="s">
        <v>704</v>
      </c>
      <c r="D589" s="1251"/>
      <c r="E589" s="1252"/>
      <c r="F589" s="1250" t="s">
        <v>703</v>
      </c>
      <c r="G589" s="1251"/>
      <c r="H589" s="1252"/>
    </row>
    <row r="590" spans="2:11">
      <c r="B590" s="1046" t="s">
        <v>59</v>
      </c>
      <c r="C590" s="1055" t="s">
        <v>702</v>
      </c>
      <c r="D590" s="1053" t="s">
        <v>701</v>
      </c>
      <c r="E590" s="1053" t="s">
        <v>700</v>
      </c>
      <c r="F590" s="1055" t="s">
        <v>702</v>
      </c>
      <c r="G590" s="1053" t="s">
        <v>701</v>
      </c>
      <c r="H590" s="1053" t="s">
        <v>700</v>
      </c>
    </row>
    <row r="591" spans="2:11">
      <c r="B591" s="588" t="str">
        <f t="shared" ref="B591:B610" si="6">B540</f>
        <v>Art &amp; Design</v>
      </c>
      <c r="C591" s="589">
        <v>0.91954038144754402</v>
      </c>
      <c r="D591" s="589">
        <v>0.95819985825655574</v>
      </c>
      <c r="E591" s="589">
        <v>0.93665317188001129</v>
      </c>
      <c r="F591" s="589">
        <v>0.77686364803971064</v>
      </c>
      <c r="G591" s="589">
        <v>0.8127554179566564</v>
      </c>
      <c r="H591" s="589">
        <v>0.75286900200693307</v>
      </c>
    </row>
    <row r="592" spans="2:11">
      <c r="B592" s="588" t="str">
        <f t="shared" si="6"/>
        <v>Biology</v>
      </c>
      <c r="C592" s="572">
        <v>0.90019838046260814</v>
      </c>
      <c r="D592" s="572">
        <v>0.90103185460230595</v>
      </c>
      <c r="E592" s="572">
        <v>0.87114129420288466</v>
      </c>
      <c r="F592" s="572">
        <v>0.80646421880119445</v>
      </c>
      <c r="G592" s="572">
        <v>0.82824951566277516</v>
      </c>
      <c r="H592" s="589">
        <v>0.76008667627164739</v>
      </c>
    </row>
    <row r="593" spans="2:8">
      <c r="B593" s="588" t="str">
        <f t="shared" si="6"/>
        <v>Business Studies</v>
      </c>
      <c r="C593" s="589">
        <v>0.90708818381036838</v>
      </c>
      <c r="D593" s="589">
        <v>0.9391217070890393</v>
      </c>
      <c r="E593" s="589">
        <v>0.99145299145299148</v>
      </c>
      <c r="F593" s="589">
        <v>0.79639211278917155</v>
      </c>
      <c r="G593" s="589">
        <v>0.75446035404139244</v>
      </c>
      <c r="H593" s="589">
        <v>0.78907407407407404</v>
      </c>
    </row>
    <row r="594" spans="2:8">
      <c r="B594" s="588" t="str">
        <f t="shared" si="6"/>
        <v>Chemistry</v>
      </c>
      <c r="C594" s="572">
        <v>0.86188169795821412</v>
      </c>
      <c r="D594" s="572">
        <v>0.89185676399980496</v>
      </c>
      <c r="E594" s="572">
        <v>0.87805250305250304</v>
      </c>
      <c r="F594" s="572">
        <v>0.79521046979000787</v>
      </c>
      <c r="G594" s="572">
        <v>0.84198645641693559</v>
      </c>
      <c r="H594" s="572">
        <v>0.85163919900761997</v>
      </c>
    </row>
    <row r="595" spans="2:8">
      <c r="B595" s="588" t="str">
        <f t="shared" si="6"/>
        <v>Classics</v>
      </c>
      <c r="C595" s="531">
        <v>0.98709677419354847</v>
      </c>
      <c r="D595" s="531">
        <v>0.82455622654186855</v>
      </c>
      <c r="E595" s="572">
        <v>0.81112656042401154</v>
      </c>
      <c r="F595" s="531">
        <v>0.71990759890871681</v>
      </c>
      <c r="G595" s="531">
        <v>0.75446035404139244</v>
      </c>
      <c r="H595" s="572">
        <v>0.74805910517103968</v>
      </c>
    </row>
    <row r="596" spans="2:8">
      <c r="B596" s="588" t="str">
        <f t="shared" si="6"/>
        <v>Computing</v>
      </c>
      <c r="C596" s="572">
        <v>0.8412786229092889</v>
      </c>
      <c r="D596" s="572">
        <v>0.89198179271708677</v>
      </c>
      <c r="E596" s="572">
        <v>0.87329434697855746</v>
      </c>
      <c r="F596" s="572">
        <v>0.78599966743821004</v>
      </c>
      <c r="G596" s="572">
        <v>0.88053418803418793</v>
      </c>
      <c r="H596" s="572">
        <v>0.83109006892012771</v>
      </c>
    </row>
    <row r="597" spans="2:8">
      <c r="B597" s="588" t="str">
        <f t="shared" si="6"/>
        <v>Design &amp; Technology</v>
      </c>
      <c r="C597" s="589">
        <v>0.89553335331368489</v>
      </c>
      <c r="D597" s="589">
        <v>0.93932280527978507</v>
      </c>
      <c r="E597" s="572">
        <v>0.81112656042401154</v>
      </c>
      <c r="F597" s="589">
        <v>0.76405919898079722</v>
      </c>
      <c r="G597" s="589">
        <v>0.87128297472835292</v>
      </c>
      <c r="H597" s="589">
        <v>0.74805910517103968</v>
      </c>
    </row>
    <row r="598" spans="2:8">
      <c r="B598" s="588" t="str">
        <f t="shared" si="6"/>
        <v>Drama</v>
      </c>
      <c r="C598" s="572">
        <v>0.9569042653105484</v>
      </c>
      <c r="D598" s="572">
        <v>0.93119835486319102</v>
      </c>
      <c r="E598" s="572">
        <v>0.92639440765268577</v>
      </c>
      <c r="F598" s="572">
        <v>0.79356345580588572</v>
      </c>
      <c r="G598" s="572">
        <v>0.85518100609419401</v>
      </c>
      <c r="H598" s="589">
        <v>0.82365870461108548</v>
      </c>
    </row>
    <row r="599" spans="2:8">
      <c r="B599" s="588" t="str">
        <f t="shared" si="6"/>
        <v>English</v>
      </c>
      <c r="C599" s="589">
        <v>0.91216571462952123</v>
      </c>
      <c r="D599" s="589">
        <v>0.93474891543077687</v>
      </c>
      <c r="E599" s="589">
        <v>0.93730479165352487</v>
      </c>
      <c r="F599" s="589">
        <v>0.82890234132839191</v>
      </c>
      <c r="G599" s="589">
        <v>0.85536255011485152</v>
      </c>
      <c r="H599" s="589">
        <v>0.84072631099995132</v>
      </c>
    </row>
    <row r="600" spans="2:8">
      <c r="B600" s="588" t="str">
        <f t="shared" si="6"/>
        <v>Food</v>
      </c>
      <c r="C600" s="572">
        <v>0.79575803394257527</v>
      </c>
      <c r="D600" s="572">
        <v>0.82455622654186855</v>
      </c>
      <c r="E600" s="589">
        <v>0.81112656042401154</v>
      </c>
      <c r="F600" s="572">
        <v>0.71990759890871681</v>
      </c>
      <c r="G600" s="572">
        <v>0.75446035404139244</v>
      </c>
      <c r="H600" s="589">
        <v>0.74805910517103968</v>
      </c>
    </row>
    <row r="601" spans="2:8">
      <c r="B601" s="588" t="str">
        <f t="shared" si="6"/>
        <v>Geography</v>
      </c>
      <c r="C601" s="589">
        <v>0.92753012396168777</v>
      </c>
      <c r="D601" s="589">
        <v>0.95970712560386473</v>
      </c>
      <c r="E601" s="589">
        <v>0.83959637343044646</v>
      </c>
      <c r="F601" s="589">
        <v>0.80329453266388851</v>
      </c>
      <c r="G601" s="589">
        <v>0.85638232175894569</v>
      </c>
      <c r="H601" s="589">
        <v>0.74805910517103968</v>
      </c>
    </row>
    <row r="602" spans="2:8">
      <c r="B602" s="588" t="str">
        <f t="shared" si="6"/>
        <v>History</v>
      </c>
      <c r="C602" s="572">
        <v>0.95113235629976689</v>
      </c>
      <c r="D602" s="572">
        <v>0.93859197877826706</v>
      </c>
      <c r="E602" s="589">
        <v>0.97192786216099525</v>
      </c>
      <c r="F602" s="572">
        <v>0.83076478448333912</v>
      </c>
      <c r="G602" s="572">
        <v>0.81991512405946532</v>
      </c>
      <c r="H602" s="572">
        <v>0.8598962612924379</v>
      </c>
    </row>
    <row r="603" spans="2:8">
      <c r="B603" s="588" t="str">
        <f t="shared" si="6"/>
        <v>Mathematics</v>
      </c>
      <c r="C603" s="589">
        <v>0.86358549589185007</v>
      </c>
      <c r="D603" s="589">
        <v>0.91138896585147611</v>
      </c>
      <c r="E603" s="589">
        <v>0.88962138060637663</v>
      </c>
      <c r="F603" s="589">
        <v>0.81221997939458079</v>
      </c>
      <c r="G603" s="589">
        <v>0.87554525520953697</v>
      </c>
      <c r="H603" s="589">
        <v>0.82965184677553061</v>
      </c>
    </row>
    <row r="604" spans="2:8">
      <c r="B604" s="588" t="str">
        <f t="shared" si="6"/>
        <v>Modern Foreign Languages</v>
      </c>
      <c r="C604" s="572">
        <v>0.89858107111735963</v>
      </c>
      <c r="D604" s="572">
        <v>0.90799270299750101</v>
      </c>
      <c r="E604" s="572">
        <v>0.88819457544698066</v>
      </c>
      <c r="F604" s="572">
        <v>0.75923142968332979</v>
      </c>
      <c r="G604" s="572">
        <v>0.81147689295313175</v>
      </c>
      <c r="H604" s="572">
        <v>0.78554937729652385</v>
      </c>
    </row>
    <row r="605" spans="2:8">
      <c r="B605" s="588" t="str">
        <f t="shared" si="6"/>
        <v>Music</v>
      </c>
      <c r="C605" s="589">
        <v>0.91065630269225628</v>
      </c>
      <c r="D605" s="589">
        <v>0.95760869565217399</v>
      </c>
      <c r="E605" s="589">
        <v>0.88700740364443686</v>
      </c>
      <c r="F605" s="589">
        <v>0.77350005997423954</v>
      </c>
      <c r="G605" s="589">
        <v>0.75446035404139244</v>
      </c>
      <c r="H605" s="589">
        <v>0.86061995948476855</v>
      </c>
    </row>
    <row r="606" spans="2:8">
      <c r="B606" s="588" t="str">
        <f t="shared" si="6"/>
        <v>Others</v>
      </c>
      <c r="C606" s="572">
        <v>0.92519845146076363</v>
      </c>
      <c r="D606" s="572">
        <v>0.92422541861901131</v>
      </c>
      <c r="E606" s="589">
        <v>0.95505351899213786</v>
      </c>
      <c r="F606" s="572">
        <v>0.80180898998683592</v>
      </c>
      <c r="G606" s="572">
        <v>0.76407131645361848</v>
      </c>
      <c r="H606" s="589">
        <v>0.74805910517103968</v>
      </c>
    </row>
    <row r="607" spans="2:8">
      <c r="B607" s="588" t="str">
        <f t="shared" si="6"/>
        <v>Physical Education</v>
      </c>
      <c r="C607" s="589">
        <v>0.9635158761564393</v>
      </c>
      <c r="D607" s="589">
        <v>0.95598894910532395</v>
      </c>
      <c r="E607" s="589">
        <v>0.94858407735876904</v>
      </c>
      <c r="F607" s="589">
        <v>0.76424549625189808</v>
      </c>
      <c r="G607" s="589">
        <v>0.81914003264322566</v>
      </c>
      <c r="H607" s="589">
        <v>0.78379963141424902</v>
      </c>
    </row>
    <row r="608" spans="2:8">
      <c r="B608" s="588" t="str">
        <f t="shared" si="6"/>
        <v>Physics</v>
      </c>
      <c r="C608" s="572">
        <v>0.80051667151147754</v>
      </c>
      <c r="D608" s="572">
        <v>0.88606768870386043</v>
      </c>
      <c r="E608" s="572">
        <v>0.81635289774824649</v>
      </c>
      <c r="F608" s="572">
        <v>0.76948776337607572</v>
      </c>
      <c r="G608" s="572">
        <v>0.87966203703703705</v>
      </c>
      <c r="H608" s="572">
        <v>0.7989060464156249</v>
      </c>
    </row>
    <row r="609" spans="1:8">
      <c r="B609" s="588" t="str">
        <f t="shared" si="6"/>
        <v>Primary</v>
      </c>
      <c r="C609" s="589">
        <v>0.89832735746064807</v>
      </c>
      <c r="D609" s="589">
        <v>0.92077131702811388</v>
      </c>
      <c r="E609" s="589">
        <v>0.9085726220252428</v>
      </c>
      <c r="F609" s="589">
        <v>0.84699298212213059</v>
      </c>
      <c r="G609" s="589">
        <v>0.86934370616490853</v>
      </c>
      <c r="H609" s="589">
        <v>0.87382203123993096</v>
      </c>
    </row>
    <row r="610" spans="1:8">
      <c r="B610" s="588" t="str">
        <f t="shared" si="6"/>
        <v>Religious Education</v>
      </c>
      <c r="C610" s="572">
        <v>0.90579384978553068</v>
      </c>
      <c r="D610" s="572">
        <v>0.90598127224887792</v>
      </c>
      <c r="E610" s="572">
        <v>0.88969404186795487</v>
      </c>
      <c r="F610" s="572">
        <v>0.7969153583351698</v>
      </c>
      <c r="G610" s="572">
        <v>0.86198100407055644</v>
      </c>
      <c r="H610" s="589">
        <v>0.85690883190883183</v>
      </c>
    </row>
    <row r="611" spans="1:8">
      <c r="B611" s="588" t="s">
        <v>8</v>
      </c>
      <c r="C611" s="531">
        <v>0.89575803394257525</v>
      </c>
      <c r="D611" s="531">
        <v>0.92455622654186853</v>
      </c>
      <c r="E611" s="572">
        <v>0.91112656042401152</v>
      </c>
      <c r="F611" s="531">
        <v>0.81990759890871678</v>
      </c>
      <c r="G611" s="531">
        <v>0.85446035404139242</v>
      </c>
      <c r="H611" s="572">
        <v>0.84805910517103966</v>
      </c>
    </row>
    <row r="613" spans="1:8" ht="15">
      <c r="B613" s="1061" t="s">
        <v>1670</v>
      </c>
    </row>
    <row r="614" spans="1:8">
      <c r="B614" s="586" t="s">
        <v>699</v>
      </c>
      <c r="C614" s="586" t="s">
        <v>698</v>
      </c>
      <c r="D614" s="586"/>
      <c r="E614" s="586" t="s">
        <v>697</v>
      </c>
    </row>
    <row r="615" spans="1:8" ht="15">
      <c r="B615" s="585" t="s">
        <v>695</v>
      </c>
      <c r="C615" s="584" t="s">
        <v>696</v>
      </c>
      <c r="D615" s="583"/>
      <c r="E615" s="572">
        <v>0.44327800983255095</v>
      </c>
    </row>
    <row r="616" spans="1:8" ht="15">
      <c r="B616" s="585" t="s">
        <v>695</v>
      </c>
      <c r="C616" s="584" t="s">
        <v>694</v>
      </c>
      <c r="D616" s="583"/>
      <c r="E616" s="572">
        <v>0.11300040660924851</v>
      </c>
    </row>
    <row r="617" spans="1:8" ht="15">
      <c r="B617" s="582" t="s">
        <v>693</v>
      </c>
      <c r="C617" s="581"/>
      <c r="D617" s="580"/>
      <c r="E617" s="579">
        <v>0.27612464421690758</v>
      </c>
      <c r="G617" s="578"/>
    </row>
    <row r="618" spans="1:8" ht="15">
      <c r="B618" s="577" t="s">
        <v>692</v>
      </c>
      <c r="C618" s="576"/>
      <c r="D618" s="1"/>
      <c r="E618" s="575">
        <v>0.11677078327727054</v>
      </c>
      <c r="G618" s="442"/>
    </row>
    <row r="619" spans="1:8" ht="15">
      <c r="B619" s="577" t="s">
        <v>1260</v>
      </c>
      <c r="C619" s="576"/>
      <c r="D619" s="1"/>
      <c r="E619" s="883">
        <v>5.0826156064022472E-2</v>
      </c>
      <c r="G619" s="442"/>
    </row>
    <row r="620" spans="1:8" ht="15">
      <c r="B620" s="574" t="s">
        <v>1261</v>
      </c>
      <c r="C620" s="573"/>
      <c r="D620" s="573"/>
      <c r="E620" s="884">
        <v>0.44372158355820057</v>
      </c>
    </row>
    <row r="621" spans="1:8">
      <c r="A621" s="571">
        <f>E621+D621</f>
        <v>0</v>
      </c>
      <c r="D621" s="183">
        <f>1-E615-E616-E620</f>
        <v>0</v>
      </c>
      <c r="E621" s="183">
        <f>E620-E619-E618-E617</f>
        <v>0</v>
      </c>
    </row>
    <row r="622" spans="1:8" ht="15">
      <c r="B622" s="885"/>
    </row>
    <row r="623" spans="1:8" ht="15">
      <c r="B623" s="885" t="s">
        <v>1262</v>
      </c>
    </row>
  </sheetData>
  <mergeCells count="105">
    <mergeCell ref="I437:L437"/>
    <mergeCell ref="C445:F445"/>
    <mergeCell ref="C453:F453"/>
    <mergeCell ref="C589:E589"/>
    <mergeCell ref="F589:H589"/>
    <mergeCell ref="C588:E588"/>
    <mergeCell ref="F588:H588"/>
    <mergeCell ref="C461:F461"/>
    <mergeCell ref="C437:F437"/>
    <mergeCell ref="C474:K475"/>
    <mergeCell ref="C471:K472"/>
    <mergeCell ref="C505:K506"/>
    <mergeCell ref="C584:K586"/>
    <mergeCell ref="C566:K567"/>
    <mergeCell ref="C579:K582"/>
    <mergeCell ref="C534:I535"/>
    <mergeCell ref="I539:I540"/>
    <mergeCell ref="J539:J540"/>
    <mergeCell ref="C78:E78"/>
    <mergeCell ref="C130:F130"/>
    <mergeCell ref="C283:F283"/>
    <mergeCell ref="C419:K419"/>
    <mergeCell ref="C421:M421"/>
    <mergeCell ref="F401:H401"/>
    <mergeCell ref="C397:K398"/>
    <mergeCell ref="F390:G390"/>
    <mergeCell ref="I390:J390"/>
    <mergeCell ref="C202:M203"/>
    <mergeCell ref="C261:M262"/>
    <mergeCell ref="C306:M309"/>
    <mergeCell ref="C401:E401"/>
    <mergeCell ref="C240:F240"/>
    <mergeCell ref="C329:F329"/>
    <mergeCell ref="I329:L329"/>
    <mergeCell ref="I164:L164"/>
    <mergeCell ref="I223:L223"/>
    <mergeCell ref="C147:F147"/>
    <mergeCell ref="C313:F313"/>
    <mergeCell ref="C223:F223"/>
    <mergeCell ref="I283:L283"/>
    <mergeCell ref="S54:T54"/>
    <mergeCell ref="AA38:AB38"/>
    <mergeCell ref="AC38:AD38"/>
    <mergeCell ref="C38:D38"/>
    <mergeCell ref="Y38:Z38"/>
    <mergeCell ref="S38:T38"/>
    <mergeCell ref="M38:N38"/>
    <mergeCell ref="O38:P38"/>
    <mergeCell ref="Q38:R38"/>
    <mergeCell ref="C54:D54"/>
    <mergeCell ref="E54:F54"/>
    <mergeCell ref="G54:H54"/>
    <mergeCell ref="I54:J54"/>
    <mergeCell ref="I38:J38"/>
    <mergeCell ref="K38:L38"/>
    <mergeCell ref="G38:H38"/>
    <mergeCell ref="U38:V38"/>
    <mergeCell ref="U54:V54"/>
    <mergeCell ref="Q54:R54"/>
    <mergeCell ref="O54:P54"/>
    <mergeCell ref="M54:N54"/>
    <mergeCell ref="K54:L54"/>
    <mergeCell ref="AQ54:AR54"/>
    <mergeCell ref="W54:X54"/>
    <mergeCell ref="Y54:Z54"/>
    <mergeCell ref="AA54:AB54"/>
    <mergeCell ref="AC54:AD54"/>
    <mergeCell ref="AE54:AF54"/>
    <mergeCell ref="AK38:AL38"/>
    <mergeCell ref="AE38:AF38"/>
    <mergeCell ref="AG38:AH38"/>
    <mergeCell ref="AI38:AJ38"/>
    <mergeCell ref="W38:X38"/>
    <mergeCell ref="AM38:AN38"/>
    <mergeCell ref="AO38:AP38"/>
    <mergeCell ref="AQ38:AR38"/>
    <mergeCell ref="AK54:AL54"/>
    <mergeCell ref="AM54:AN54"/>
    <mergeCell ref="AO54:AP54"/>
    <mergeCell ref="AI54:AJ54"/>
    <mergeCell ref="AG54:AH54"/>
    <mergeCell ref="B400:B401"/>
    <mergeCell ref="C400:H400"/>
    <mergeCell ref="I130:L130"/>
    <mergeCell ref="C73:K74"/>
    <mergeCell ref="C106:M106"/>
    <mergeCell ref="B13:J14"/>
    <mergeCell ref="C125:M126"/>
    <mergeCell ref="B16:J16"/>
    <mergeCell ref="F392:G392"/>
    <mergeCell ref="I392:J392"/>
    <mergeCell ref="I266:L266"/>
    <mergeCell ref="I240:L240"/>
    <mergeCell ref="I313:L313"/>
    <mergeCell ref="E38:F38"/>
    <mergeCell ref="C266:F266"/>
    <mergeCell ref="B20:J24"/>
    <mergeCell ref="B78:B79"/>
    <mergeCell ref="C164:F164"/>
    <mergeCell ref="C32:L34"/>
    <mergeCell ref="I147:L147"/>
    <mergeCell ref="C123:L123"/>
    <mergeCell ref="C181:F181"/>
    <mergeCell ref="B388:B389"/>
    <mergeCell ref="I181:L181"/>
  </mergeCells>
  <phoneticPr fontId="5" type="noConversion"/>
  <hyperlinks>
    <hyperlink ref="B2" location="Map_of_sheets!A1" display="Map of sheets"/>
    <hyperlink ref="A2" location="'Title_&amp;_Contents'!A1" display="Contents"/>
  </hyperlinks>
  <pageMargins left="0.75" right="0.75" top="1" bottom="1" header="0.5" footer="0.5"/>
  <pageSetup paperSize="9" orientation="portrait" horizontalDpi="200" verticalDpi="2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U34"/>
  <sheetViews>
    <sheetView showGridLines="0" workbookViewId="0"/>
  </sheetViews>
  <sheetFormatPr defaultRowHeight="12.75"/>
  <sheetData>
    <row r="1" spans="1:21" s="65" customFormat="1" ht="15">
      <c r="A1" s="64" t="str">
        <f>ModelBanner</f>
        <v>TSM_201819 Publication</v>
      </c>
    </row>
    <row r="2" spans="1:21" s="65" customFormat="1" ht="15">
      <c r="A2" s="940" t="s">
        <v>13</v>
      </c>
      <c r="B2" s="940" t="s">
        <v>30</v>
      </c>
    </row>
    <row r="3" spans="1:21" s="65" customFormat="1" ht="15">
      <c r="A3" s="66"/>
    </row>
    <row r="4" spans="1:21" s="56" customFormat="1">
      <c r="A4" s="57" t="s">
        <v>26</v>
      </c>
      <c r="B4" s="57"/>
      <c r="C4" s="57"/>
      <c r="D4" s="57"/>
      <c r="E4" s="285"/>
      <c r="F4" s="57"/>
      <c r="G4" s="57"/>
      <c r="H4" s="57"/>
      <c r="I4" s="57"/>
      <c r="J4" s="57"/>
      <c r="K4" s="57"/>
      <c r="L4" s="57"/>
      <c r="M4" s="57"/>
      <c r="N4" s="57"/>
      <c r="O4" s="57"/>
    </row>
    <row r="5" spans="1:21" s="46" customFormat="1" ht="13.15" customHeight="1">
      <c r="A5" s="59" t="s">
        <v>1413</v>
      </c>
      <c r="B5" s="59"/>
      <c r="C5" s="59"/>
      <c r="D5" s="59"/>
      <c r="E5" s="59"/>
      <c r="F5" s="59"/>
      <c r="G5" s="59"/>
      <c r="H5" s="59"/>
      <c r="I5" s="59"/>
      <c r="J5" s="59"/>
      <c r="K5" s="59"/>
      <c r="L5" s="59"/>
      <c r="M5" s="59"/>
      <c r="N5" s="59"/>
      <c r="O5" s="59"/>
      <c r="P5" s="59"/>
      <c r="Q5" s="59"/>
      <c r="R5" s="59"/>
      <c r="S5" s="59"/>
      <c r="T5" s="59"/>
      <c r="U5" s="59"/>
    </row>
    <row r="6" spans="1:21" s="45" customFormat="1">
      <c r="A6" s="55" t="s">
        <v>1392</v>
      </c>
      <c r="B6" s="60"/>
      <c r="C6" s="60"/>
      <c r="D6" s="60"/>
      <c r="E6" s="285"/>
      <c r="F6" s="60"/>
      <c r="G6" s="60"/>
      <c r="H6" s="60"/>
      <c r="I6" s="60"/>
      <c r="J6" s="60"/>
      <c r="K6" s="60"/>
      <c r="L6" s="60"/>
      <c r="M6" s="60"/>
      <c r="N6" s="60"/>
      <c r="O6" s="60"/>
      <c r="P6" s="44"/>
      <c r="Q6" s="44"/>
    </row>
    <row r="7" spans="1:21" s="45" customFormat="1">
      <c r="A7" s="53"/>
      <c r="B7" s="55"/>
      <c r="C7" s="60"/>
      <c r="D7" s="60"/>
      <c r="E7" s="285"/>
      <c r="F7" s="60"/>
      <c r="G7" s="60"/>
      <c r="H7" s="60"/>
      <c r="I7" s="60"/>
      <c r="J7" s="60"/>
      <c r="K7" s="60"/>
      <c r="L7" s="60"/>
      <c r="M7" s="60"/>
      <c r="N7" s="60"/>
      <c r="O7" s="60"/>
      <c r="P7" s="44"/>
      <c r="Q7" s="44"/>
    </row>
    <row r="8" spans="1:21" s="45" customFormat="1">
      <c r="A8" s="55" t="s">
        <v>24</v>
      </c>
      <c r="B8" s="60"/>
      <c r="C8" s="60"/>
      <c r="D8" s="60"/>
      <c r="E8" s="285"/>
      <c r="F8" s="60"/>
      <c r="G8" s="60"/>
      <c r="H8" s="60"/>
      <c r="I8" s="60"/>
      <c r="J8" s="60"/>
      <c r="K8" s="60"/>
      <c r="L8" s="60"/>
      <c r="M8" s="60"/>
      <c r="N8" s="60"/>
      <c r="O8" s="60"/>
      <c r="P8" s="44"/>
      <c r="Q8" s="44"/>
    </row>
    <row r="9" spans="1:21" s="49" customFormat="1" ht="13.5" customHeight="1">
      <c r="A9" s="54" t="s">
        <v>346</v>
      </c>
      <c r="B9" s="72"/>
      <c r="C9" s="70"/>
      <c r="D9" s="286"/>
      <c r="E9" s="286"/>
      <c r="F9" s="286"/>
      <c r="G9" s="71"/>
      <c r="H9" s="286"/>
      <c r="I9" s="286"/>
      <c r="J9" s="71"/>
      <c r="K9" s="287"/>
      <c r="L9" s="287"/>
      <c r="M9" s="287"/>
      <c r="N9" s="287"/>
      <c r="O9" s="287"/>
      <c r="P9" s="48"/>
      <c r="Q9" s="48"/>
    </row>
    <row r="12" spans="1:21">
      <c r="B12" s="147" t="s">
        <v>1414</v>
      </c>
    </row>
    <row r="34" ht="12.4" customHeight="1"/>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P31"/>
  <sheetViews>
    <sheetView showGridLines="0" topLeftCell="A16" zoomScaleNormal="100" workbookViewId="0"/>
  </sheetViews>
  <sheetFormatPr defaultRowHeight="12.75"/>
  <cols>
    <col min="2" max="2" width="4.85546875" customWidth="1"/>
    <col min="3" max="3" width="21.85546875" customWidth="1"/>
    <col min="4" max="4" width="19.28515625" customWidth="1"/>
    <col min="5" max="6" width="60.7109375" customWidth="1"/>
    <col min="7" max="7" width="18.85546875" customWidth="1"/>
  </cols>
  <sheetData>
    <row r="1" spans="1:16" s="65" customFormat="1" ht="15">
      <c r="A1" s="64" t="str">
        <f>ModelBanner</f>
        <v>TSM_201819 Publication</v>
      </c>
    </row>
    <row r="2" spans="1:16" s="65" customFormat="1" ht="15">
      <c r="A2" s="940" t="s">
        <v>13</v>
      </c>
      <c r="B2" s="940" t="s">
        <v>30</v>
      </c>
    </row>
    <row r="3" spans="1:16" s="65" customFormat="1" ht="15">
      <c r="A3" s="66"/>
    </row>
    <row r="4" spans="1:16" s="56" customFormat="1">
      <c r="A4" s="57" t="s">
        <v>26</v>
      </c>
      <c r="B4" s="57"/>
      <c r="C4" s="57"/>
      <c r="D4" s="57"/>
      <c r="E4" s="285"/>
      <c r="F4" s="57"/>
      <c r="G4" s="57"/>
      <c r="H4" s="57"/>
      <c r="I4" s="57"/>
      <c r="J4" s="57"/>
      <c r="K4" s="57"/>
      <c r="L4" s="57"/>
      <c r="M4" s="57"/>
      <c r="N4" s="57"/>
    </row>
    <row r="5" spans="1:16" s="46" customFormat="1" ht="13.15" customHeight="1">
      <c r="A5" s="59" t="s">
        <v>1444</v>
      </c>
      <c r="B5" s="59"/>
      <c r="C5" s="59"/>
      <c r="D5" s="59"/>
      <c r="E5" s="59"/>
      <c r="F5" s="59"/>
      <c r="G5" s="59"/>
      <c r="H5" s="59"/>
      <c r="I5" s="59"/>
      <c r="J5" s="59"/>
      <c r="K5" s="59"/>
      <c r="L5" s="59"/>
      <c r="M5" s="59"/>
      <c r="N5" s="59"/>
      <c r="O5" s="58"/>
      <c r="P5" s="58"/>
    </row>
    <row r="6" spans="1:16" s="45" customFormat="1">
      <c r="A6" s="55" t="s">
        <v>1392</v>
      </c>
      <c r="B6" s="60"/>
      <c r="C6" s="60"/>
      <c r="D6" s="60"/>
      <c r="E6" s="285"/>
      <c r="F6" s="60"/>
      <c r="G6" s="60"/>
      <c r="H6" s="60"/>
      <c r="I6" s="60"/>
      <c r="J6" s="60"/>
      <c r="K6" s="60"/>
      <c r="L6" s="60"/>
      <c r="M6" s="60"/>
      <c r="N6" s="60"/>
      <c r="O6" s="44"/>
      <c r="P6" s="44"/>
    </row>
    <row r="7" spans="1:16" s="45" customFormat="1">
      <c r="A7" s="53"/>
      <c r="B7" s="55"/>
      <c r="C7" s="60"/>
      <c r="D7" s="60"/>
      <c r="E7" s="285"/>
      <c r="F7" s="60"/>
      <c r="G7" s="60"/>
      <c r="H7" s="60"/>
      <c r="I7" s="60"/>
      <c r="J7" s="60"/>
      <c r="K7" s="60"/>
      <c r="L7" s="60"/>
      <c r="M7" s="60"/>
      <c r="N7" s="60"/>
      <c r="O7" s="44"/>
      <c r="P7" s="44"/>
    </row>
    <row r="8" spans="1:16" s="45" customFormat="1">
      <c r="A8" s="55" t="s">
        <v>24</v>
      </c>
      <c r="B8" s="60"/>
      <c r="C8" s="60"/>
      <c r="D8" s="60"/>
      <c r="E8" s="285"/>
      <c r="F8" s="60"/>
      <c r="G8" s="60"/>
      <c r="H8" s="60"/>
      <c r="I8" s="60"/>
      <c r="J8" s="60"/>
      <c r="K8" s="60"/>
      <c r="L8" s="60"/>
      <c r="M8" s="60"/>
      <c r="N8" s="60"/>
      <c r="O8" s="44"/>
      <c r="P8" s="44"/>
    </row>
    <row r="9" spans="1:16" s="49" customFormat="1">
      <c r="A9" s="54" t="s">
        <v>347</v>
      </c>
      <c r="B9" s="72"/>
      <c r="C9" s="70"/>
      <c r="D9" s="286"/>
      <c r="E9" s="286"/>
      <c r="F9" s="71"/>
      <c r="G9" s="286"/>
      <c r="H9" s="286"/>
      <c r="I9" s="71"/>
      <c r="J9" s="287"/>
      <c r="K9" s="287"/>
      <c r="L9" s="287"/>
      <c r="M9" s="287"/>
      <c r="N9" s="287"/>
      <c r="O9" s="48"/>
      <c r="P9" s="48"/>
    </row>
    <row r="12" spans="1:16" ht="15.75">
      <c r="B12" s="77" t="s">
        <v>365</v>
      </c>
    </row>
    <row r="14" spans="1:16">
      <c r="B14" s="114" t="s">
        <v>1314</v>
      </c>
    </row>
    <row r="16" spans="1:16" ht="33.75">
      <c r="B16" s="243" t="s">
        <v>367</v>
      </c>
      <c r="C16" s="243" t="s">
        <v>362</v>
      </c>
      <c r="D16" s="243" t="s">
        <v>10</v>
      </c>
      <c r="E16" s="243" t="s">
        <v>363</v>
      </c>
      <c r="F16" s="243" t="s">
        <v>366</v>
      </c>
      <c r="G16" s="243" t="s">
        <v>1516</v>
      </c>
    </row>
    <row r="17" spans="1:7" ht="56.25">
      <c r="A17" s="117"/>
      <c r="B17" s="1263">
        <v>1</v>
      </c>
      <c r="C17" s="1263" t="s">
        <v>364</v>
      </c>
      <c r="D17" s="1271" t="s">
        <v>1327</v>
      </c>
      <c r="E17" s="1098" t="s">
        <v>1721</v>
      </c>
      <c r="F17" s="1269" t="s">
        <v>1687</v>
      </c>
      <c r="G17" s="1267" t="s">
        <v>1390</v>
      </c>
    </row>
    <row r="18" spans="1:7" ht="112.5">
      <c r="A18" s="117"/>
      <c r="B18" s="1270"/>
      <c r="C18" s="1270"/>
      <c r="D18" s="1272"/>
      <c r="E18" s="1099" t="s">
        <v>1684</v>
      </c>
      <c r="F18" s="1269"/>
      <c r="G18" s="1274"/>
    </row>
    <row r="19" spans="1:7" ht="135">
      <c r="A19" s="117"/>
      <c r="B19" s="1270"/>
      <c r="C19" s="1270"/>
      <c r="D19" s="1272"/>
      <c r="E19" s="1099" t="s">
        <v>1685</v>
      </c>
      <c r="F19" s="1269"/>
      <c r="G19" s="1274"/>
    </row>
    <row r="20" spans="1:7" ht="45">
      <c r="A20" s="117"/>
      <c r="B20" s="1270"/>
      <c r="C20" s="1270"/>
      <c r="D20" s="1272"/>
      <c r="E20" s="1105" t="s">
        <v>1693</v>
      </c>
      <c r="F20" s="1269"/>
      <c r="G20" s="1274"/>
    </row>
    <row r="21" spans="1:7" ht="45">
      <c r="A21" s="117"/>
      <c r="B21" s="1270"/>
      <c r="C21" s="1270"/>
      <c r="D21" s="1272"/>
      <c r="E21" s="1099" t="s">
        <v>1702</v>
      </c>
      <c r="F21" s="1269"/>
      <c r="G21" s="1274"/>
    </row>
    <row r="22" spans="1:7" ht="67.5">
      <c r="A22" s="117"/>
      <c r="B22" s="1264"/>
      <c r="C22" s="1264"/>
      <c r="D22" s="1273"/>
      <c r="E22" s="1100" t="s">
        <v>1686</v>
      </c>
      <c r="F22" s="1269"/>
      <c r="G22" s="1268"/>
    </row>
    <row r="23" spans="1:7" ht="168.75">
      <c r="A23" s="117"/>
      <c r="B23" s="867">
        <f>B17+1</f>
        <v>2</v>
      </c>
      <c r="C23" s="867" t="s">
        <v>1256</v>
      </c>
      <c r="D23" s="931" t="s">
        <v>1529</v>
      </c>
      <c r="E23" s="1101" t="s">
        <v>1703</v>
      </c>
      <c r="F23" s="931" t="s">
        <v>1688</v>
      </c>
      <c r="G23" s="941" t="s">
        <v>1704</v>
      </c>
    </row>
    <row r="24" spans="1:7" ht="135">
      <c r="A24" s="117"/>
      <c r="B24" s="867">
        <f t="shared" ref="B24:B31" si="0">B23+1</f>
        <v>3</v>
      </c>
      <c r="C24" s="867" t="s">
        <v>1256</v>
      </c>
      <c r="D24" s="931" t="s">
        <v>1490</v>
      </c>
      <c r="E24" s="931" t="s">
        <v>1701</v>
      </c>
      <c r="F24" s="931" t="s">
        <v>1689</v>
      </c>
      <c r="G24" s="941" t="s">
        <v>1491</v>
      </c>
    </row>
    <row r="25" spans="1:7" ht="67.5">
      <c r="A25" s="117"/>
      <c r="B25" s="1263">
        <f t="shared" si="0"/>
        <v>4</v>
      </c>
      <c r="C25" s="1263" t="s">
        <v>364</v>
      </c>
      <c r="D25" s="1265" t="s">
        <v>587</v>
      </c>
      <c r="E25" s="1109" t="s">
        <v>1739</v>
      </c>
      <c r="F25" s="1265" t="s">
        <v>1740</v>
      </c>
      <c r="G25" s="1267" t="s">
        <v>1389</v>
      </c>
    </row>
    <row r="26" spans="1:7" ht="112.5">
      <c r="B26" s="1264"/>
      <c r="C26" s="1264"/>
      <c r="D26" s="1266"/>
      <c r="E26" s="1102" t="s">
        <v>1741</v>
      </c>
      <c r="F26" s="1266"/>
      <c r="G26" s="1268"/>
    </row>
    <row r="27" spans="1:7" ht="45">
      <c r="B27" s="867">
        <f>B25+1</f>
        <v>5</v>
      </c>
      <c r="C27" s="867" t="s">
        <v>364</v>
      </c>
      <c r="D27" s="931" t="s">
        <v>1736</v>
      </c>
      <c r="E27" s="1103" t="s">
        <v>1737</v>
      </c>
      <c r="F27" s="1103" t="s">
        <v>1742</v>
      </c>
      <c r="G27" s="1015" t="s">
        <v>1389</v>
      </c>
    </row>
    <row r="28" spans="1:7" ht="56.25">
      <c r="B28" s="867">
        <f t="shared" si="0"/>
        <v>6</v>
      </c>
      <c r="C28" s="867" t="s">
        <v>364</v>
      </c>
      <c r="D28" s="931" t="s">
        <v>1738</v>
      </c>
      <c r="E28" s="1110" t="s">
        <v>1743</v>
      </c>
      <c r="F28" s="1110" t="s">
        <v>1744</v>
      </c>
      <c r="G28" s="1015" t="s">
        <v>1389</v>
      </c>
    </row>
    <row r="29" spans="1:7" ht="123.75">
      <c r="A29" s="12"/>
      <c r="B29" s="867">
        <f t="shared" si="0"/>
        <v>7</v>
      </c>
      <c r="C29" s="867" t="s">
        <v>364</v>
      </c>
      <c r="D29" s="931" t="s">
        <v>1530</v>
      </c>
      <c r="E29" s="1026" t="s">
        <v>1746</v>
      </c>
      <c r="F29" s="931" t="s">
        <v>1745</v>
      </c>
      <c r="G29" s="1015" t="s">
        <v>1389</v>
      </c>
    </row>
    <row r="30" spans="1:7" ht="45">
      <c r="A30" s="12"/>
      <c r="B30" s="867">
        <f t="shared" si="0"/>
        <v>8</v>
      </c>
      <c r="C30" s="867" t="s">
        <v>364</v>
      </c>
      <c r="D30" s="931" t="s">
        <v>1690</v>
      </c>
      <c r="E30" s="1026" t="s">
        <v>1691</v>
      </c>
      <c r="F30" s="931" t="s">
        <v>1722</v>
      </c>
      <c r="G30" s="941" t="s">
        <v>1391</v>
      </c>
    </row>
    <row r="31" spans="1:7" ht="67.5">
      <c r="B31" s="867">
        <f t="shared" si="0"/>
        <v>9</v>
      </c>
      <c r="C31" s="867" t="s">
        <v>364</v>
      </c>
      <c r="D31" s="931" t="s">
        <v>1313</v>
      </c>
      <c r="E31" s="931" t="s">
        <v>1692</v>
      </c>
      <c r="F31" s="931" t="s">
        <v>1723</v>
      </c>
      <c r="G31" s="941" t="s">
        <v>1391</v>
      </c>
    </row>
  </sheetData>
  <mergeCells count="10">
    <mergeCell ref="F17:F22"/>
    <mergeCell ref="B17:B22"/>
    <mergeCell ref="C17:C22"/>
    <mergeCell ref="D17:D22"/>
    <mergeCell ref="G17:G22"/>
    <mergeCell ref="B25:B26"/>
    <mergeCell ref="C25:C26"/>
    <mergeCell ref="D25:D26"/>
    <mergeCell ref="F25:F26"/>
    <mergeCell ref="G25:G26"/>
  </mergeCells>
  <hyperlinks>
    <hyperlink ref="A2" location="'Title_&amp;_Contents'!A1" display="Contents"/>
    <hyperlink ref="B2" location="Map_of_sheets!A1" display="Map of sheets"/>
  </hyperlinks>
  <pageMargins left="0.7" right="0.7" top="0.75" bottom="0.75" header="0.3" footer="0.3"/>
  <pageSetup scale="55" fitToWidth="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B315"/>
  <sheetViews>
    <sheetView showGridLines="0" zoomScaleNormal="100" workbookViewId="0"/>
  </sheetViews>
  <sheetFormatPr defaultRowHeight="12.75"/>
  <cols>
    <col min="3" max="3" width="39.5703125" customWidth="1"/>
    <col min="4" max="27" width="10.7109375" customWidth="1"/>
  </cols>
  <sheetData>
    <row r="1" spans="1:18" s="65" customFormat="1" ht="15">
      <c r="A1" s="64" t="str">
        <f>ModelBanner</f>
        <v>TSM_201819 Publication</v>
      </c>
    </row>
    <row r="2" spans="1:18" s="65" customFormat="1" ht="15">
      <c r="A2" s="940" t="s">
        <v>13</v>
      </c>
      <c r="B2" s="940" t="s">
        <v>30</v>
      </c>
    </row>
    <row r="3" spans="1:18" s="65" customFormat="1" ht="15">
      <c r="A3" s="66"/>
    </row>
    <row r="4" spans="1:18" s="56" customFormat="1" ht="15">
      <c r="A4" s="57" t="s">
        <v>26</v>
      </c>
      <c r="B4" s="57"/>
      <c r="E4" s="65"/>
    </row>
    <row r="5" spans="1:18" s="46" customFormat="1" ht="15">
      <c r="A5" s="59" t="s">
        <v>1287</v>
      </c>
      <c r="C5" s="58"/>
      <c r="D5" s="58"/>
      <c r="E5" s="65"/>
      <c r="F5" s="58"/>
      <c r="H5" s="58"/>
      <c r="I5" s="58"/>
      <c r="J5" s="58"/>
      <c r="K5" s="58"/>
      <c r="L5" s="58"/>
      <c r="M5" s="58"/>
      <c r="N5" s="58"/>
      <c r="O5" s="58"/>
      <c r="P5" s="58"/>
      <c r="Q5" s="58"/>
      <c r="R5" s="58"/>
    </row>
    <row r="6" spans="1:18" s="45" customFormat="1" ht="15">
      <c r="A6" s="55" t="s">
        <v>1392</v>
      </c>
      <c r="B6" s="60"/>
      <c r="C6" s="44"/>
      <c r="D6" s="44"/>
      <c r="E6" s="65"/>
      <c r="F6" s="44"/>
      <c r="H6" s="44"/>
      <c r="I6" s="44"/>
      <c r="J6" s="44"/>
      <c r="K6" s="44"/>
      <c r="L6" s="44"/>
      <c r="M6" s="44"/>
      <c r="N6" s="44"/>
      <c r="O6" s="44"/>
      <c r="P6" s="44"/>
      <c r="Q6" s="44"/>
      <c r="R6" s="44"/>
    </row>
    <row r="7" spans="1:18" s="45" customFormat="1" ht="15">
      <c r="A7" s="53" t="s">
        <v>252</v>
      </c>
      <c r="B7" s="55"/>
      <c r="C7" s="44"/>
      <c r="D7" s="44"/>
      <c r="E7" s="65"/>
      <c r="F7" s="44"/>
      <c r="H7" s="44"/>
      <c r="I7" s="44"/>
      <c r="J7" s="44"/>
      <c r="K7" s="44"/>
      <c r="L7" s="44"/>
      <c r="M7" s="44"/>
      <c r="N7" s="44"/>
      <c r="O7" s="44"/>
      <c r="P7" s="44"/>
      <c r="Q7" s="44"/>
      <c r="R7" s="44"/>
    </row>
    <row r="8" spans="1:18" s="45" customFormat="1" ht="15">
      <c r="A8" s="55" t="s">
        <v>24</v>
      </c>
      <c r="B8" s="60"/>
      <c r="C8" s="44"/>
      <c r="D8" s="44"/>
      <c r="E8" s="65"/>
      <c r="F8" s="44"/>
      <c r="H8" s="44"/>
      <c r="I8" s="44"/>
      <c r="J8" s="44"/>
      <c r="K8" s="44"/>
      <c r="L8" s="44"/>
      <c r="M8" s="44"/>
      <c r="N8" s="44"/>
      <c r="O8" s="44"/>
      <c r="P8" s="44"/>
      <c r="Q8" s="44"/>
      <c r="R8" s="44"/>
    </row>
    <row r="9" spans="1:18" s="49" customFormat="1">
      <c r="A9" s="54" t="s">
        <v>345</v>
      </c>
      <c r="B9" s="72"/>
      <c r="C9" s="70"/>
      <c r="D9" s="47"/>
      <c r="E9" s="47"/>
      <c r="F9" s="47"/>
      <c r="H9" s="71"/>
      <c r="I9" s="47"/>
      <c r="J9" s="47"/>
      <c r="K9" s="71"/>
      <c r="L9" s="48"/>
      <c r="M9" s="48"/>
      <c r="N9" s="48"/>
      <c r="O9" s="48"/>
      <c r="P9" s="48"/>
      <c r="Q9" s="48"/>
      <c r="R9" s="48"/>
    </row>
    <row r="11" spans="1:18" ht="15">
      <c r="C11" s="861" t="s">
        <v>1255</v>
      </c>
    </row>
    <row r="13" spans="1:18" ht="18">
      <c r="C13" s="38" t="s">
        <v>243</v>
      </c>
      <c r="D13" s="213" t="s">
        <v>348</v>
      </c>
    </row>
    <row r="15" spans="1:18">
      <c r="D15" s="298" t="str">
        <f>RAW_DATA_INPUTS!C205</f>
        <v>2015/16</v>
      </c>
      <c r="E15" s="298" t="str">
        <f>RAW_DATA_INPUTS!D205</f>
        <v>2016/17</v>
      </c>
      <c r="F15" s="298" t="str">
        <f>RAW_DATA_INPUTS!E205</f>
        <v>2017/18</v>
      </c>
      <c r="G15" s="298" t="str">
        <f>RAW_DATA_INPUTS!F205</f>
        <v>2018/19</v>
      </c>
      <c r="H15" s="298" t="str">
        <f>RAW_DATA_INPUTS!G205</f>
        <v>2019/20</v>
      </c>
      <c r="I15" s="298" t="str">
        <f>RAW_DATA_INPUTS!H205</f>
        <v>2020/21</v>
      </c>
      <c r="J15" s="298" t="str">
        <f>RAW_DATA_INPUTS!I205</f>
        <v>2021/22</v>
      </c>
      <c r="K15" s="252"/>
      <c r="L15" s="252"/>
    </row>
    <row r="16" spans="1:18">
      <c r="B16">
        <v>2</v>
      </c>
      <c r="C16" s="214" t="s">
        <v>244</v>
      </c>
      <c r="D16" s="211">
        <f t="shared" ref="D16:J16" si="0">INDEX(D20:D24,$B$16)</f>
        <v>1</v>
      </c>
      <c r="E16" s="211">
        <f t="shared" si="0"/>
        <v>1.04995184684276</v>
      </c>
      <c r="F16" s="211">
        <f t="shared" si="0"/>
        <v>1.04558216311712</v>
      </c>
      <c r="G16" s="211">
        <f t="shared" si="0"/>
        <v>1.0079887616902601</v>
      </c>
      <c r="H16" s="211">
        <f t="shared" si="0"/>
        <v>1.04581566263681</v>
      </c>
      <c r="I16" s="211">
        <f t="shared" si="0"/>
        <v>1.0261777775287699</v>
      </c>
      <c r="J16" s="211">
        <f t="shared" si="0"/>
        <v>1.0261777775287699</v>
      </c>
      <c r="K16" s="2"/>
      <c r="L16" s="2"/>
    </row>
    <row r="17" spans="2:12">
      <c r="B17">
        <v>2</v>
      </c>
      <c r="C17" s="214" t="s">
        <v>455</v>
      </c>
      <c r="D17" s="211">
        <f>INDEX(D26:D30,$B$17)</f>
        <v>1</v>
      </c>
      <c r="E17" s="211">
        <f t="shared" ref="E17:J17" si="1">INDEX(E26:E30,$B$17)</f>
        <v>0.99076950608168002</v>
      </c>
      <c r="F17" s="211">
        <f t="shared" si="1"/>
        <v>1.0070122869873499</v>
      </c>
      <c r="G17" s="211">
        <f t="shared" si="1"/>
        <v>1.0119890708727699</v>
      </c>
      <c r="H17" s="211">
        <f t="shared" si="1"/>
        <v>1.02883528649933</v>
      </c>
      <c r="I17" s="211">
        <f t="shared" si="1"/>
        <v>1.04206143174539</v>
      </c>
      <c r="J17" s="211">
        <f t="shared" si="1"/>
        <v>1.04206143174539</v>
      </c>
      <c r="K17" s="2"/>
      <c r="L17" s="2"/>
    </row>
    <row r="18" spans="2:12">
      <c r="K18" s="2"/>
      <c r="L18" s="2"/>
    </row>
    <row r="19" spans="2:12">
      <c r="D19" s="298" t="str">
        <f>RAW_DATA_INPUTS!C205</f>
        <v>2015/16</v>
      </c>
      <c r="E19" s="298" t="str">
        <f>RAW_DATA_INPUTS!D205</f>
        <v>2016/17</v>
      </c>
      <c r="F19" s="298" t="str">
        <f>RAW_DATA_INPUTS!E205</f>
        <v>2017/18</v>
      </c>
      <c r="G19" s="298" t="str">
        <f>RAW_DATA_INPUTS!F205</f>
        <v>2018/19</v>
      </c>
      <c r="H19" s="298" t="str">
        <f>RAW_DATA_INPUTS!G205</f>
        <v>2019/20</v>
      </c>
      <c r="I19" s="298" t="str">
        <f>RAW_DATA_INPUTS!H205</f>
        <v>2020/21</v>
      </c>
      <c r="J19" s="298" t="str">
        <f>RAW_DATA_INPUTS!I205</f>
        <v>2021/22</v>
      </c>
      <c r="K19" s="2"/>
      <c r="L19" s="2"/>
    </row>
    <row r="20" spans="2:12">
      <c r="C20" s="131" t="str">
        <f>RAW_DATA_INPUTS!B206</f>
        <v>Male Low</v>
      </c>
      <c r="D20" s="253">
        <f>RAW_DATA_INPUTS!C206</f>
        <v>1</v>
      </c>
      <c r="E20" s="253">
        <f>RAW_DATA_INPUTS!D206</f>
        <v>1.04995184684276</v>
      </c>
      <c r="F20" s="253">
        <f>RAW_DATA_INPUTS!E206</f>
        <v>1.04558216311712</v>
      </c>
      <c r="G20" s="253">
        <f>RAW_DATA_INPUTS!F206</f>
        <v>0.99172144784396399</v>
      </c>
      <c r="H20" s="253">
        <f>RAW_DATA_INPUTS!G206</f>
        <v>1.03584537350521</v>
      </c>
      <c r="I20" s="253">
        <f>RAW_DATA_INPUTS!H206</f>
        <v>1.0285652488977699</v>
      </c>
      <c r="J20" s="253">
        <f>RAW_DATA_INPUTS!I206</f>
        <v>1.0285652488977699</v>
      </c>
      <c r="K20" s="2"/>
      <c r="L20" s="2"/>
    </row>
    <row r="21" spans="2:12">
      <c r="C21" s="131" t="str">
        <f>RAW_DATA_INPUTS!B207</f>
        <v>Male Central</v>
      </c>
      <c r="D21" s="253">
        <f>RAW_DATA_INPUTS!C207</f>
        <v>1</v>
      </c>
      <c r="E21" s="253">
        <f>RAW_DATA_INPUTS!D207</f>
        <v>1.04995184684276</v>
      </c>
      <c r="F21" s="253">
        <f>RAW_DATA_INPUTS!E207</f>
        <v>1.04558216311712</v>
      </c>
      <c r="G21" s="253">
        <f>RAW_DATA_INPUTS!F207</f>
        <v>1.0079887616902601</v>
      </c>
      <c r="H21" s="253">
        <f>RAW_DATA_INPUTS!G207</f>
        <v>1.04581566263681</v>
      </c>
      <c r="I21" s="253">
        <f>RAW_DATA_INPUTS!H207</f>
        <v>1.0261777775287699</v>
      </c>
      <c r="J21" s="253">
        <f>RAW_DATA_INPUTS!I207</f>
        <v>1.0261777775287699</v>
      </c>
      <c r="K21" s="2"/>
      <c r="L21" s="2"/>
    </row>
    <row r="22" spans="2:12">
      <c r="C22" s="131" t="str">
        <f>RAW_DATA_INPUTS!B208</f>
        <v>Male High</v>
      </c>
      <c r="D22" s="253">
        <f>RAW_DATA_INPUTS!C208</f>
        <v>1</v>
      </c>
      <c r="E22" s="253">
        <f>RAW_DATA_INPUTS!D208</f>
        <v>1.04995184684276</v>
      </c>
      <c r="F22" s="253">
        <f>RAW_DATA_INPUTS!E208</f>
        <v>1.0670969975589999</v>
      </c>
      <c r="G22" s="253">
        <f>RAW_DATA_INPUTS!F208</f>
        <v>1.0074640096306999</v>
      </c>
      <c r="H22" s="253">
        <f>RAW_DATA_INPUTS!G208</f>
        <v>1.0519850838847999</v>
      </c>
      <c r="I22" s="253">
        <f>RAW_DATA_INPUTS!H208</f>
        <v>1.05476067880828</v>
      </c>
      <c r="J22" s="253">
        <f>RAW_DATA_INPUTS!I208</f>
        <v>1.05476067880828</v>
      </c>
      <c r="K22" s="2"/>
      <c r="L22" s="2"/>
    </row>
    <row r="23" spans="2:12">
      <c r="C23" s="215" t="s">
        <v>1279</v>
      </c>
      <c r="D23" s="253">
        <f>USER_TESTING_TAB!F165</f>
        <v>1</v>
      </c>
      <c r="E23" s="253">
        <f>USER_TESTING_TAB!G165</f>
        <v>1</v>
      </c>
      <c r="F23" s="253">
        <f>USER_TESTING_TAB!H165</f>
        <v>1</v>
      </c>
      <c r="G23" s="253">
        <f>USER_TESTING_TAB!I165</f>
        <v>1</v>
      </c>
      <c r="H23" s="253">
        <f>USER_TESTING_TAB!J165</f>
        <v>1</v>
      </c>
      <c r="I23" s="253">
        <f>USER_TESTING_TAB!K165</f>
        <v>1</v>
      </c>
      <c r="J23" s="253">
        <f>USER_TESTING_TAB!L165</f>
        <v>1</v>
      </c>
      <c r="K23" s="2"/>
      <c r="L23" s="2"/>
    </row>
    <row r="24" spans="2:12">
      <c r="C24" s="215" t="s">
        <v>381</v>
      </c>
      <c r="D24" s="253">
        <v>1</v>
      </c>
      <c r="E24" s="253">
        <v>1</v>
      </c>
      <c r="F24" s="253">
        <v>1</v>
      </c>
      <c r="G24" s="253">
        <v>1</v>
      </c>
      <c r="H24" s="253">
        <v>1</v>
      </c>
      <c r="I24" s="253">
        <v>1</v>
      </c>
      <c r="J24" s="253">
        <v>1</v>
      </c>
      <c r="K24" s="2"/>
      <c r="L24" s="2"/>
    </row>
    <row r="25" spans="2:12">
      <c r="K25" s="2"/>
      <c r="L25" s="2"/>
    </row>
    <row r="26" spans="2:12">
      <c r="C26" s="131" t="str">
        <f>RAW_DATA_INPUTS!B209</f>
        <v>Female Low</v>
      </c>
      <c r="D26" s="253">
        <f>RAW_DATA_INPUTS!C209</f>
        <v>1</v>
      </c>
      <c r="E26" s="253">
        <f>RAW_DATA_INPUTS!D209</f>
        <v>0.99076950608168002</v>
      </c>
      <c r="F26" s="253">
        <f>RAW_DATA_INPUTS!E209</f>
        <v>1.0070122869873499</v>
      </c>
      <c r="G26" s="253">
        <f>RAW_DATA_INPUTS!F209</f>
        <v>1.00402546954414</v>
      </c>
      <c r="H26" s="253">
        <f>RAW_DATA_INPUTS!G209</f>
        <v>1.01841344939324</v>
      </c>
      <c r="I26" s="253">
        <f>RAW_DATA_INPUTS!H209</f>
        <v>1.0380121047112301</v>
      </c>
      <c r="J26" s="253">
        <f>RAW_DATA_INPUTS!I209</f>
        <v>1.0380121047112301</v>
      </c>
      <c r="K26" s="2"/>
      <c r="L26" s="2"/>
    </row>
    <row r="27" spans="2:12">
      <c r="C27" s="131" t="str">
        <f>RAW_DATA_INPUTS!B210</f>
        <v>Female Central</v>
      </c>
      <c r="D27" s="253">
        <f>RAW_DATA_INPUTS!C210</f>
        <v>1</v>
      </c>
      <c r="E27" s="253">
        <f>RAW_DATA_INPUTS!D210</f>
        <v>0.99076950608168002</v>
      </c>
      <c r="F27" s="253">
        <f>RAW_DATA_INPUTS!E210</f>
        <v>1.0070122869873499</v>
      </c>
      <c r="G27" s="253">
        <f>RAW_DATA_INPUTS!F210</f>
        <v>1.0119890708727699</v>
      </c>
      <c r="H27" s="253">
        <f>RAW_DATA_INPUTS!G210</f>
        <v>1.02883528649933</v>
      </c>
      <c r="I27" s="253">
        <f>RAW_DATA_INPUTS!H210</f>
        <v>1.04206143174539</v>
      </c>
      <c r="J27" s="253">
        <f>RAW_DATA_INPUTS!I210</f>
        <v>1.04206143174539</v>
      </c>
      <c r="K27" s="2"/>
      <c r="L27" s="2"/>
    </row>
    <row r="28" spans="2:12">
      <c r="C28" s="131" t="str">
        <f>RAW_DATA_INPUTS!B211</f>
        <v>Female High</v>
      </c>
      <c r="D28" s="253">
        <f>RAW_DATA_INPUTS!C211</f>
        <v>1</v>
      </c>
      <c r="E28" s="253">
        <f>RAW_DATA_INPUTS!D211</f>
        <v>0.99076950608168002</v>
      </c>
      <c r="F28" s="253">
        <f>RAW_DATA_INPUTS!E211</f>
        <v>1.0149600055999799</v>
      </c>
      <c r="G28" s="253">
        <f>RAW_DATA_INPUTS!F211</f>
        <v>1.01851036062211</v>
      </c>
      <c r="H28" s="253">
        <f>RAW_DATA_INPUTS!G211</f>
        <v>1.03469544505981</v>
      </c>
      <c r="I28" s="253">
        <f>RAW_DATA_INPUTS!H211</f>
        <v>1.0590941376984799</v>
      </c>
      <c r="J28" s="253">
        <f>RAW_DATA_INPUTS!I211</f>
        <v>1.0590941376984799</v>
      </c>
      <c r="K28" s="2"/>
      <c r="L28" s="2"/>
    </row>
    <row r="29" spans="2:12">
      <c r="C29" s="215" t="s">
        <v>1280</v>
      </c>
      <c r="D29" s="253">
        <f>USER_TESTING_TAB!F166</f>
        <v>1</v>
      </c>
      <c r="E29" s="253">
        <f>USER_TESTING_TAB!G166</f>
        <v>1</v>
      </c>
      <c r="F29" s="253">
        <f>USER_TESTING_TAB!H166</f>
        <v>1</v>
      </c>
      <c r="G29" s="253">
        <f>USER_TESTING_TAB!I166</f>
        <v>1</v>
      </c>
      <c r="H29" s="253">
        <f>USER_TESTING_TAB!J166</f>
        <v>1</v>
      </c>
      <c r="I29" s="253">
        <f>USER_TESTING_TAB!K166</f>
        <v>1</v>
      </c>
      <c r="J29" s="253">
        <f>USER_TESTING_TAB!L166</f>
        <v>1</v>
      </c>
      <c r="K29" s="2"/>
      <c r="L29" s="2"/>
    </row>
    <row r="30" spans="2:12">
      <c r="C30" s="215" t="s">
        <v>382</v>
      </c>
      <c r="D30" s="253">
        <v>1</v>
      </c>
      <c r="E30" s="253">
        <v>1</v>
      </c>
      <c r="F30" s="253">
        <v>1</v>
      </c>
      <c r="G30" s="253">
        <v>1</v>
      </c>
      <c r="H30" s="253">
        <v>1</v>
      </c>
      <c r="I30" s="253">
        <v>1</v>
      </c>
      <c r="J30" s="253">
        <v>1</v>
      </c>
      <c r="K30" s="2"/>
      <c r="L30" s="2"/>
    </row>
    <row r="32" spans="2:12" ht="18">
      <c r="C32" s="38" t="s">
        <v>245</v>
      </c>
    </row>
    <row r="34" spans="2:28">
      <c r="D34" s="298" t="str">
        <f>RAW_DATA_INPUTS!C355</f>
        <v>2004/05</v>
      </c>
      <c r="E34" s="298" t="str">
        <f>RAW_DATA_INPUTS!D355</f>
        <v>2005/06</v>
      </c>
      <c r="F34" s="298" t="str">
        <f>RAW_DATA_INPUTS!E355</f>
        <v>2006/07</v>
      </c>
      <c r="G34" s="298" t="str">
        <f>RAW_DATA_INPUTS!F355</f>
        <v>2007/08</v>
      </c>
      <c r="H34" s="298" t="str">
        <f>RAW_DATA_INPUTS!G355</f>
        <v>2008/09</v>
      </c>
      <c r="I34" s="298" t="str">
        <f>RAW_DATA_INPUTS!H355</f>
        <v>2009/10</v>
      </c>
      <c r="J34" s="298" t="str">
        <f>RAW_DATA_INPUTS!I355</f>
        <v>2010/11</v>
      </c>
      <c r="K34" s="298" t="str">
        <f>RAW_DATA_INPUTS!J355</f>
        <v>2011/12</v>
      </c>
      <c r="L34" s="298" t="str">
        <f>RAW_DATA_INPUTS!K355</f>
        <v>2012/13</v>
      </c>
      <c r="M34" s="298" t="str">
        <f>RAW_DATA_INPUTS!L355</f>
        <v>2013/14</v>
      </c>
      <c r="N34" s="298" t="str">
        <f>RAW_DATA_INPUTS!M355</f>
        <v>2014/15</v>
      </c>
      <c r="O34" s="298" t="str">
        <f>RAW_DATA_INPUTS!N355</f>
        <v>2015/16</v>
      </c>
      <c r="P34" s="298" t="str">
        <f>RAW_DATA_INPUTS!O355</f>
        <v>2016/17</v>
      </c>
      <c r="Q34" s="298" t="str">
        <f>RAW_DATA_INPUTS!P355</f>
        <v>2017/18</v>
      </c>
      <c r="R34" s="298" t="str">
        <f>RAW_DATA_INPUTS!Q355</f>
        <v>2018/19</v>
      </c>
      <c r="S34" s="298" t="str">
        <f>RAW_DATA_INPUTS!R355</f>
        <v>2019/20</v>
      </c>
      <c r="T34" s="298" t="str">
        <f>RAW_DATA_INPUTS!S355</f>
        <v>2020/21</v>
      </c>
      <c r="U34" s="298" t="str">
        <f>RAW_DATA_INPUTS!T355</f>
        <v>2021/22</v>
      </c>
      <c r="V34" s="298" t="str">
        <f>RAW_DATA_INPUTS!U355</f>
        <v>2022/23</v>
      </c>
      <c r="W34" s="298" t="str">
        <f>RAW_DATA_INPUTS!V355</f>
        <v>2023/24</v>
      </c>
      <c r="X34" s="298" t="str">
        <f>RAW_DATA_INPUTS!W355</f>
        <v>2024/25</v>
      </c>
      <c r="Y34" s="298" t="str">
        <f>RAW_DATA_INPUTS!X355</f>
        <v>2025/26</v>
      </c>
      <c r="Z34" s="298" t="str">
        <f>RAW_DATA_INPUTS!Y355</f>
        <v>2026/27</v>
      </c>
      <c r="AA34" s="298" t="str">
        <f>RAW_DATA_INPUTS!Z355</f>
        <v>2027/28</v>
      </c>
      <c r="AB34" s="298" t="str">
        <f>RAW_DATA_INPUTS!AA355</f>
        <v>2028/29</v>
      </c>
    </row>
    <row r="35" spans="2:28">
      <c r="C35" s="214" t="s">
        <v>73</v>
      </c>
      <c r="D35" s="301">
        <f>INDEX(D41:D43,$B$41)</f>
        <v>4133670.5</v>
      </c>
      <c r="E35" s="301">
        <f t="shared" ref="E35:AB35" si="2">INDEX(E41:E43,$B$41)</f>
        <v>4085271.436729731</v>
      </c>
      <c r="F35" s="301">
        <f t="shared" si="2"/>
        <v>4047195.5</v>
      </c>
      <c r="G35" s="301">
        <f t="shared" si="2"/>
        <v>4028055.5</v>
      </c>
      <c r="H35" s="301">
        <f t="shared" si="2"/>
        <v>4016161.5</v>
      </c>
      <c r="I35" s="301">
        <f t="shared" si="2"/>
        <v>4036364.5</v>
      </c>
      <c r="J35" s="301">
        <f t="shared" si="2"/>
        <v>4074368</v>
      </c>
      <c r="K35" s="301">
        <f t="shared" si="2"/>
        <v>4150277.5</v>
      </c>
      <c r="L35" s="301">
        <f t="shared" si="2"/>
        <v>4247394.5</v>
      </c>
      <c r="M35" s="301">
        <f t="shared" si="2"/>
        <v>4359000</v>
      </c>
      <c r="N35" s="301">
        <f t="shared" si="2"/>
        <v>4463434</v>
      </c>
      <c r="O35" s="301">
        <f t="shared" si="2"/>
        <v>4574041.5</v>
      </c>
      <c r="P35" s="301">
        <f t="shared" si="2"/>
        <v>4659421</v>
      </c>
      <c r="Q35" s="301">
        <f t="shared" si="2"/>
        <v>4717394.1869075894</v>
      </c>
      <c r="R35" s="301">
        <f t="shared" si="2"/>
        <v>4743197.9400571762</v>
      </c>
      <c r="S35" s="301">
        <f t="shared" si="2"/>
        <v>4743394.7508921698</v>
      </c>
      <c r="T35" s="301">
        <f t="shared" si="2"/>
        <v>4752324.1234839866</v>
      </c>
      <c r="U35" s="301">
        <f t="shared" si="2"/>
        <v>4754699.5674540829</v>
      </c>
      <c r="V35" s="301">
        <f t="shared" si="2"/>
        <v>4748628.8440450421</v>
      </c>
      <c r="W35" s="301">
        <f t="shared" si="2"/>
        <v>4733277.2129678745</v>
      </c>
      <c r="X35" s="301">
        <f t="shared" si="2"/>
        <v>4742429.7587460289</v>
      </c>
      <c r="Y35" s="301">
        <f t="shared" si="2"/>
        <v>4769065.3698165566</v>
      </c>
      <c r="Z35" s="301">
        <f t="shared" si="2"/>
        <v>4797832.532279524</v>
      </c>
      <c r="AA35" s="301">
        <f t="shared" si="2"/>
        <v>4819809.7676248243</v>
      </c>
      <c r="AB35" s="301">
        <f t="shared" si="2"/>
        <v>4834650.7574622277</v>
      </c>
    </row>
    <row r="36" spans="2:28">
      <c r="C36" s="214" t="s">
        <v>1569</v>
      </c>
      <c r="D36" s="301">
        <f>INDEX(D45:D47,$B$45)</f>
        <v>1783139.5</v>
      </c>
      <c r="E36" s="301">
        <f t="shared" ref="E36:AB36" si="3">INDEX(E45:E47,$B$45)</f>
        <v>1758000.0007601124</v>
      </c>
      <c r="F36" s="301">
        <f t="shared" si="3"/>
        <v>1722930</v>
      </c>
      <c r="G36" s="301">
        <f t="shared" si="3"/>
        <v>1701531</v>
      </c>
      <c r="H36" s="301">
        <f t="shared" si="3"/>
        <v>1691158</v>
      </c>
      <c r="I36" s="301">
        <f t="shared" si="3"/>
        <v>1680949</v>
      </c>
      <c r="J36" s="301">
        <f t="shared" si="3"/>
        <v>1672689.5</v>
      </c>
      <c r="K36" s="301">
        <f t="shared" si="3"/>
        <v>1641887</v>
      </c>
      <c r="L36" s="301">
        <f t="shared" si="3"/>
        <v>1612821</v>
      </c>
      <c r="M36" s="301">
        <f t="shared" si="3"/>
        <v>1587472</v>
      </c>
      <c r="N36" s="301">
        <f t="shared" si="3"/>
        <v>1595949</v>
      </c>
      <c r="O36" s="301">
        <f t="shared" si="3"/>
        <v>1630717</v>
      </c>
      <c r="P36" s="301">
        <f t="shared" si="3"/>
        <v>1678899</v>
      </c>
      <c r="Q36" s="301">
        <f t="shared" si="3"/>
        <v>1724020.9710333012</v>
      </c>
      <c r="R36" s="301">
        <f t="shared" si="3"/>
        <v>1772854.5848039868</v>
      </c>
      <c r="S36" s="301">
        <f t="shared" si="3"/>
        <v>1834934.1224812306</v>
      </c>
      <c r="T36" s="301">
        <f t="shared" si="3"/>
        <v>1879210.7299530376</v>
      </c>
      <c r="U36" s="301">
        <f t="shared" si="3"/>
        <v>1914351.168622531</v>
      </c>
      <c r="V36" s="301">
        <f t="shared" si="3"/>
        <v>1936762.2517991117</v>
      </c>
      <c r="W36" s="301">
        <f t="shared" si="3"/>
        <v>1974817.9779716961</v>
      </c>
      <c r="X36" s="301">
        <f t="shared" si="3"/>
        <v>1978504.8643901525</v>
      </c>
      <c r="Y36" s="301">
        <f t="shared" si="3"/>
        <v>1953779.1387891811</v>
      </c>
      <c r="Z36" s="301">
        <f t="shared" si="3"/>
        <v>1915886.5892006818</v>
      </c>
      <c r="AA36" s="301">
        <f t="shared" si="3"/>
        <v>1907012.1075926665</v>
      </c>
      <c r="AB36" s="301">
        <f t="shared" si="3"/>
        <v>1919851.9246029067</v>
      </c>
    </row>
    <row r="37" spans="2:28">
      <c r="C37" s="214" t="s">
        <v>1588</v>
      </c>
      <c r="D37" s="301">
        <f>INDEX(D49:D51,$B$49)</f>
        <v>1170159</v>
      </c>
      <c r="E37" s="301">
        <f t="shared" ref="E37:AB37" si="4">INDEX(E49:E51,$B$49)</f>
        <v>1185802.5625101563</v>
      </c>
      <c r="F37" s="301">
        <f t="shared" si="4"/>
        <v>1189358</v>
      </c>
      <c r="G37" s="301">
        <f t="shared" si="4"/>
        <v>1166918.5</v>
      </c>
      <c r="H37" s="301">
        <f t="shared" si="4"/>
        <v>1146150</v>
      </c>
      <c r="I37" s="301">
        <f t="shared" si="4"/>
        <v>1133977</v>
      </c>
      <c r="J37" s="301">
        <f t="shared" si="4"/>
        <v>1116342.5</v>
      </c>
      <c r="K37" s="301">
        <f t="shared" si="4"/>
        <v>1120567</v>
      </c>
      <c r="L37" s="301">
        <f t="shared" si="4"/>
        <v>1117099</v>
      </c>
      <c r="M37" s="301">
        <f t="shared" si="4"/>
        <v>1099417.5</v>
      </c>
      <c r="N37" s="301">
        <f t="shared" si="4"/>
        <v>1081078</v>
      </c>
      <c r="O37" s="301">
        <f t="shared" si="4"/>
        <v>1057483</v>
      </c>
      <c r="P37" s="301">
        <f t="shared" si="4"/>
        <v>1041875</v>
      </c>
      <c r="Q37" s="301">
        <f t="shared" si="4"/>
        <v>1059242.1765030818</v>
      </c>
      <c r="R37" s="301">
        <f t="shared" si="4"/>
        <v>1098492.845827396</v>
      </c>
      <c r="S37" s="301">
        <f t="shared" si="4"/>
        <v>1128522.0334177609</v>
      </c>
      <c r="T37" s="301">
        <f t="shared" si="4"/>
        <v>1154504.7206683625</v>
      </c>
      <c r="U37" s="301">
        <f t="shared" si="4"/>
        <v>1189761.543386043</v>
      </c>
      <c r="V37" s="301">
        <f t="shared" si="4"/>
        <v>1236679.5493941545</v>
      </c>
      <c r="W37" s="301">
        <f t="shared" si="4"/>
        <v>1258969.8278058928</v>
      </c>
      <c r="X37" s="301">
        <f t="shared" si="4"/>
        <v>1268399.1996321685</v>
      </c>
      <c r="Y37" s="301">
        <f t="shared" si="4"/>
        <v>1293612.6085987107</v>
      </c>
      <c r="Z37" s="301">
        <f t="shared" si="4"/>
        <v>1318848.3464785134</v>
      </c>
      <c r="AA37" s="301">
        <f t="shared" si="4"/>
        <v>1309459.1785579114</v>
      </c>
      <c r="AB37" s="301">
        <f t="shared" si="4"/>
        <v>1272619.0523094554</v>
      </c>
    </row>
    <row r="38" spans="2:28">
      <c r="C38" s="214" t="s">
        <v>1605</v>
      </c>
      <c r="D38" s="301">
        <f>INDEX(D53:D55,$B$53)</f>
        <v>355184.5</v>
      </c>
      <c r="E38" s="301">
        <f t="shared" ref="E38:AB38" si="5">INDEX(E53:E55,$B$53)</f>
        <v>361355</v>
      </c>
      <c r="F38" s="301">
        <f t="shared" si="5"/>
        <v>370116</v>
      </c>
      <c r="G38" s="301">
        <f t="shared" si="5"/>
        <v>380453</v>
      </c>
      <c r="H38" s="301">
        <f t="shared" si="5"/>
        <v>394342</v>
      </c>
      <c r="I38" s="301">
        <f t="shared" si="5"/>
        <v>412859.5</v>
      </c>
      <c r="J38" s="301">
        <f t="shared" si="5"/>
        <v>423222</v>
      </c>
      <c r="K38" s="301">
        <f t="shared" si="5"/>
        <v>423232.5</v>
      </c>
      <c r="L38" s="301">
        <f t="shared" si="5"/>
        <v>428860</v>
      </c>
      <c r="M38" s="301">
        <f t="shared" si="5"/>
        <v>439034.5</v>
      </c>
      <c r="N38" s="301">
        <f t="shared" si="5"/>
        <v>442836.5</v>
      </c>
      <c r="O38" s="301">
        <f t="shared" si="5"/>
        <v>433870.5</v>
      </c>
      <c r="P38" s="301">
        <f t="shared" si="5"/>
        <v>424809</v>
      </c>
      <c r="Q38" s="301">
        <f t="shared" si="5"/>
        <v>413917.41249859042</v>
      </c>
      <c r="R38" s="301">
        <f t="shared" si="5"/>
        <v>402881.22419615899</v>
      </c>
      <c r="S38" s="301">
        <f t="shared" si="5"/>
        <v>396200.18966368359</v>
      </c>
      <c r="T38" s="301">
        <f t="shared" si="5"/>
        <v>397747.45923034835</v>
      </c>
      <c r="U38" s="301">
        <f t="shared" si="5"/>
        <v>404271.55224935681</v>
      </c>
      <c r="V38" s="301">
        <f t="shared" si="5"/>
        <v>416413.63672939758</v>
      </c>
      <c r="W38" s="301">
        <f t="shared" si="5"/>
        <v>428739.35339027015</v>
      </c>
      <c r="X38" s="301">
        <f t="shared" si="5"/>
        <v>441777.22358662885</v>
      </c>
      <c r="Y38" s="301">
        <f t="shared" si="5"/>
        <v>451142.12596132985</v>
      </c>
      <c r="Z38" s="301">
        <f t="shared" si="5"/>
        <v>458855.32419299771</v>
      </c>
      <c r="AA38" s="301">
        <f t="shared" si="5"/>
        <v>466275.03084775753</v>
      </c>
      <c r="AB38" s="301">
        <f t="shared" si="5"/>
        <v>472066.1229340306</v>
      </c>
    </row>
    <row r="39" spans="2:28">
      <c r="D39" s="302"/>
      <c r="E39" s="302"/>
      <c r="F39" s="302"/>
      <c r="G39" s="302"/>
      <c r="H39" s="302"/>
      <c r="I39" s="302"/>
      <c r="J39" s="302"/>
      <c r="K39" s="302"/>
      <c r="L39" s="302"/>
      <c r="M39" s="302"/>
      <c r="N39" s="302"/>
      <c r="O39" s="302"/>
      <c r="P39" s="302"/>
      <c r="Q39" s="302"/>
      <c r="R39" s="302"/>
      <c r="S39" s="302"/>
      <c r="T39" s="302"/>
      <c r="U39" s="302"/>
      <c r="V39" s="302"/>
      <c r="W39" s="302"/>
      <c r="X39" s="302"/>
      <c r="Y39" s="302"/>
    </row>
    <row r="40" spans="2:28">
      <c r="D40" s="302"/>
      <c r="E40" s="302"/>
      <c r="F40" s="302"/>
      <c r="G40" s="302"/>
      <c r="H40" s="302"/>
      <c r="I40" s="302"/>
      <c r="J40" s="302"/>
      <c r="K40" s="302"/>
      <c r="L40" s="302"/>
      <c r="M40" s="302"/>
      <c r="N40" s="302"/>
      <c r="O40" s="302"/>
      <c r="P40" s="302"/>
      <c r="Q40" s="302"/>
      <c r="R40" s="302"/>
      <c r="S40" s="302"/>
      <c r="T40" s="302"/>
      <c r="U40" s="302"/>
      <c r="V40" s="302"/>
      <c r="W40" s="302"/>
      <c r="X40" s="302"/>
      <c r="Y40" s="302"/>
    </row>
    <row r="41" spans="2:28">
      <c r="B41">
        <v>2</v>
      </c>
      <c r="C41" s="131" t="str">
        <f>RAW_DATA_INPUTS!B374</f>
        <v>Primary age Pupils (FTE) Low</v>
      </c>
      <c r="D41" s="303">
        <f>RAW_DATA_INPUTS!C374</f>
        <v>4133670.5</v>
      </c>
      <c r="E41" s="303">
        <f>RAW_DATA_INPUTS!D374</f>
        <v>4085271.436729731</v>
      </c>
      <c r="F41" s="303">
        <f>RAW_DATA_INPUTS!E374</f>
        <v>4047195.5</v>
      </c>
      <c r="G41" s="303">
        <f>RAW_DATA_INPUTS!F374</f>
        <v>4028055.5</v>
      </c>
      <c r="H41" s="303">
        <f>RAW_DATA_INPUTS!G374</f>
        <v>4016161.5</v>
      </c>
      <c r="I41" s="303">
        <f>RAW_DATA_INPUTS!H374</f>
        <v>4036364.5</v>
      </c>
      <c r="J41" s="303">
        <f>RAW_DATA_INPUTS!I374</f>
        <v>4074368</v>
      </c>
      <c r="K41" s="303">
        <f>RAW_DATA_INPUTS!J374</f>
        <v>4150277.5</v>
      </c>
      <c r="L41" s="303">
        <f>RAW_DATA_INPUTS!K374</f>
        <v>4247394.5</v>
      </c>
      <c r="M41" s="303">
        <f>RAW_DATA_INPUTS!L374</f>
        <v>4359000</v>
      </c>
      <c r="N41" s="303">
        <f>RAW_DATA_INPUTS!M374</f>
        <v>4463434</v>
      </c>
      <c r="O41" s="303">
        <f>RAW_DATA_INPUTS!N374</f>
        <v>4574041.5</v>
      </c>
      <c r="P41" s="303">
        <f>RAW_DATA_INPUTS!O374</f>
        <v>4659421</v>
      </c>
      <c r="Q41" s="303">
        <f>RAW_DATA_INPUTS!P374</f>
        <v>4715434.6972993147</v>
      </c>
      <c r="R41" s="303">
        <f>RAW_DATA_INPUTS!Q374</f>
        <v>4737109.3348040003</v>
      </c>
      <c r="S41" s="303">
        <f>RAW_DATA_INPUTS!R374</f>
        <v>4726941.3615096211</v>
      </c>
      <c r="T41" s="303">
        <f>RAW_DATA_INPUTS!S374</f>
        <v>4710955.0448766593</v>
      </c>
      <c r="U41" s="303">
        <f>RAW_DATA_INPUTS!T374</f>
        <v>4676433.6780280955</v>
      </c>
      <c r="V41" s="303">
        <f>RAW_DATA_INPUTS!U374</f>
        <v>4623202.5849240804</v>
      </c>
      <c r="W41" s="303">
        <f>RAW_DATA_INPUTS!V374</f>
        <v>4552720.6004686635</v>
      </c>
      <c r="X41" s="303">
        <f>RAW_DATA_INPUTS!W374</f>
        <v>4499461.4137162212</v>
      </c>
      <c r="Y41" s="303">
        <f>RAW_DATA_INPUTS!X374</f>
        <v>4457318.4588044519</v>
      </c>
      <c r="Z41" s="303">
        <f>RAW_DATA_INPUTS!Y374</f>
        <v>4414882.926841069</v>
      </c>
      <c r="AA41" s="303">
        <f>RAW_DATA_INPUTS!Z374</f>
        <v>4377244.0325927678</v>
      </c>
      <c r="AB41" s="303">
        <f>RAW_DATA_INPUTS!AA374</f>
        <v>4341994.1506143641</v>
      </c>
    </row>
    <row r="42" spans="2:28">
      <c r="C42" s="131" t="str">
        <f>RAW_DATA_INPUTS!B356</f>
        <v>Primary age Pupils (FTE) Central</v>
      </c>
      <c r="D42" s="303">
        <f>RAW_DATA_INPUTS!C356</f>
        <v>4133670.5</v>
      </c>
      <c r="E42" s="303">
        <f>RAW_DATA_INPUTS!D356</f>
        <v>4085271.436729731</v>
      </c>
      <c r="F42" s="303">
        <f>RAW_DATA_INPUTS!E356</f>
        <v>4047195.5</v>
      </c>
      <c r="G42" s="303">
        <f>RAW_DATA_INPUTS!F356</f>
        <v>4028055.5</v>
      </c>
      <c r="H42" s="303">
        <f>RAW_DATA_INPUTS!G356</f>
        <v>4016161.5</v>
      </c>
      <c r="I42" s="303">
        <f>RAW_DATA_INPUTS!H356</f>
        <v>4036364.5</v>
      </c>
      <c r="J42" s="303">
        <f>RAW_DATA_INPUTS!I356</f>
        <v>4074368</v>
      </c>
      <c r="K42" s="303">
        <f>RAW_DATA_INPUTS!J356</f>
        <v>4150277.5</v>
      </c>
      <c r="L42" s="303">
        <f>RAW_DATA_INPUTS!K356</f>
        <v>4247394.5</v>
      </c>
      <c r="M42" s="303">
        <f>RAW_DATA_INPUTS!L356</f>
        <v>4359000</v>
      </c>
      <c r="N42" s="303">
        <f>RAW_DATA_INPUTS!M356</f>
        <v>4463434</v>
      </c>
      <c r="O42" s="303">
        <f>RAW_DATA_INPUTS!N356</f>
        <v>4574041.5</v>
      </c>
      <c r="P42" s="303">
        <f>RAW_DATA_INPUTS!O356</f>
        <v>4659421</v>
      </c>
      <c r="Q42" s="303">
        <f>RAW_DATA_INPUTS!P356</f>
        <v>4717394.1869075894</v>
      </c>
      <c r="R42" s="303">
        <f>RAW_DATA_INPUTS!Q356</f>
        <v>4743197.9400571762</v>
      </c>
      <c r="S42" s="303">
        <f>RAW_DATA_INPUTS!R356</f>
        <v>4743394.7508921698</v>
      </c>
      <c r="T42" s="303">
        <f>RAW_DATA_INPUTS!S356</f>
        <v>4752324.1234839866</v>
      </c>
      <c r="U42" s="303">
        <f>RAW_DATA_INPUTS!T356</f>
        <v>4754699.5674540829</v>
      </c>
      <c r="V42" s="303">
        <f>RAW_DATA_INPUTS!U356</f>
        <v>4748628.8440450421</v>
      </c>
      <c r="W42" s="303">
        <f>RAW_DATA_INPUTS!V356</f>
        <v>4733277.2129678745</v>
      </c>
      <c r="X42" s="303">
        <f>RAW_DATA_INPUTS!W356</f>
        <v>4742429.7587460289</v>
      </c>
      <c r="Y42" s="303">
        <f>RAW_DATA_INPUTS!X356</f>
        <v>4769065.3698165566</v>
      </c>
      <c r="Z42" s="303">
        <f>RAW_DATA_INPUTS!Y356</f>
        <v>4797832.532279524</v>
      </c>
      <c r="AA42" s="303">
        <f>RAW_DATA_INPUTS!Z356</f>
        <v>4819809.7676248243</v>
      </c>
      <c r="AB42" s="303">
        <f>RAW_DATA_INPUTS!AA356</f>
        <v>4834650.7574622277</v>
      </c>
    </row>
    <row r="43" spans="2:28">
      <c r="C43" s="131" t="str">
        <f>RAW_DATA_INPUTS!B365</f>
        <v>Primary age Pupils (FTE) High</v>
      </c>
      <c r="D43" s="303">
        <f>RAW_DATA_INPUTS!C365</f>
        <v>4133670.5</v>
      </c>
      <c r="E43" s="303">
        <f>RAW_DATA_INPUTS!D365</f>
        <v>4085271.436729731</v>
      </c>
      <c r="F43" s="303">
        <f>RAW_DATA_INPUTS!E365</f>
        <v>4047195.5</v>
      </c>
      <c r="G43" s="303">
        <f>RAW_DATA_INPUTS!F365</f>
        <v>4028055.5</v>
      </c>
      <c r="H43" s="303">
        <f>RAW_DATA_INPUTS!G365</f>
        <v>4016161.5</v>
      </c>
      <c r="I43" s="303">
        <f>RAW_DATA_INPUTS!H365</f>
        <v>4036364.5</v>
      </c>
      <c r="J43" s="303">
        <f>RAW_DATA_INPUTS!I365</f>
        <v>4074368</v>
      </c>
      <c r="K43" s="303">
        <f>RAW_DATA_INPUTS!J365</f>
        <v>4150277.5</v>
      </c>
      <c r="L43" s="303">
        <f>RAW_DATA_INPUTS!K365</f>
        <v>4247394.5</v>
      </c>
      <c r="M43" s="303">
        <f>RAW_DATA_INPUTS!L365</f>
        <v>4359000</v>
      </c>
      <c r="N43" s="303">
        <f>RAW_DATA_INPUTS!M365</f>
        <v>4463434</v>
      </c>
      <c r="O43" s="303">
        <f>RAW_DATA_INPUTS!N365</f>
        <v>4574041.5</v>
      </c>
      <c r="P43" s="303">
        <f>RAW_DATA_INPUTS!O365</f>
        <v>4659421</v>
      </c>
      <c r="Q43" s="303">
        <f>RAW_DATA_INPUTS!P365</f>
        <v>4719330.2069105301</v>
      </c>
      <c r="R43" s="303">
        <f>RAW_DATA_INPUTS!Q365</f>
        <v>4749063.7710393434</v>
      </c>
      <c r="S43" s="303">
        <f>RAW_DATA_INPUTS!R365</f>
        <v>4758286.9584849039</v>
      </c>
      <c r="T43" s="303">
        <f>RAW_DATA_INPUTS!S365</f>
        <v>4787262.7565154526</v>
      </c>
      <c r="U43" s="303">
        <f>RAW_DATA_INPUTS!T365</f>
        <v>4814320.3376704473</v>
      </c>
      <c r="V43" s="303">
        <f>RAW_DATA_INPUTS!U365</f>
        <v>4838012.9005403118</v>
      </c>
      <c r="W43" s="303">
        <f>RAW_DATA_INPUTS!V365</f>
        <v>4857502.889516837</v>
      </c>
      <c r="X43" s="303">
        <f>RAW_DATA_INPUTS!W365</f>
        <v>4907761.5450602453</v>
      </c>
      <c r="Y43" s="303">
        <f>RAW_DATA_INPUTS!X365</f>
        <v>4982274.3276422173</v>
      </c>
      <c r="Z43" s="303">
        <f>RAW_DATA_INPUTS!Y365</f>
        <v>5062860.2674279809</v>
      </c>
      <c r="AA43" s="303">
        <f>RAW_DATA_INPUTS!Z365</f>
        <v>5130284.1091827368</v>
      </c>
      <c r="AB43" s="303">
        <f>RAW_DATA_INPUTS!AA365</f>
        <v>5193851.3654598352</v>
      </c>
    </row>
    <row r="44" spans="2:28">
      <c r="D44" s="302"/>
      <c r="E44" s="302"/>
      <c r="F44" s="302"/>
      <c r="G44" s="302"/>
      <c r="H44" s="302"/>
      <c r="I44" s="302"/>
      <c r="J44" s="302"/>
      <c r="K44" s="302"/>
      <c r="L44" s="302"/>
      <c r="M44" s="302"/>
      <c r="N44" s="302"/>
      <c r="O44" s="302"/>
      <c r="P44" s="302"/>
      <c r="Q44" s="302"/>
      <c r="R44" s="302"/>
      <c r="S44" s="302"/>
      <c r="T44" s="302"/>
      <c r="U44" s="302"/>
      <c r="V44" s="302"/>
      <c r="W44" s="302"/>
      <c r="X44" s="302"/>
      <c r="Y44" s="302"/>
    </row>
    <row r="45" spans="2:28">
      <c r="B45">
        <v>2</v>
      </c>
      <c r="C45" s="131" t="str">
        <f>RAW_DATA_INPUTS!B375</f>
        <v>Pupils FTE Years 7-9 Low</v>
      </c>
      <c r="D45" s="303">
        <f>RAW_DATA_INPUTS!C375</f>
        <v>1783139.5</v>
      </c>
      <c r="E45" s="303">
        <f>RAW_DATA_INPUTS!D375</f>
        <v>1758000.0007601124</v>
      </c>
      <c r="F45" s="303">
        <f>RAW_DATA_INPUTS!E375</f>
        <v>1722930</v>
      </c>
      <c r="G45" s="303">
        <f>RAW_DATA_INPUTS!F375</f>
        <v>1701531</v>
      </c>
      <c r="H45" s="303">
        <f>RAW_DATA_INPUTS!G375</f>
        <v>1691158</v>
      </c>
      <c r="I45" s="303">
        <f>RAW_DATA_INPUTS!H375</f>
        <v>1680949</v>
      </c>
      <c r="J45" s="303">
        <f>RAW_DATA_INPUTS!I375</f>
        <v>1672689.5</v>
      </c>
      <c r="K45" s="303">
        <f>RAW_DATA_INPUTS!J375</f>
        <v>1641887</v>
      </c>
      <c r="L45" s="303">
        <f>RAW_DATA_INPUTS!K375</f>
        <v>1612821</v>
      </c>
      <c r="M45" s="303">
        <f>RAW_DATA_INPUTS!L375</f>
        <v>1587472</v>
      </c>
      <c r="N45" s="303">
        <f>RAW_DATA_INPUTS!M375</f>
        <v>1595949</v>
      </c>
      <c r="O45" s="303">
        <f>RAW_DATA_INPUTS!N375</f>
        <v>1630717</v>
      </c>
      <c r="P45" s="303">
        <f>RAW_DATA_INPUTS!O375</f>
        <v>1678899</v>
      </c>
      <c r="Q45" s="303">
        <f>RAW_DATA_INPUTS!P375</f>
        <v>1723828.2198890003</v>
      </c>
      <c r="R45" s="303">
        <f>RAW_DATA_INPUTS!Q375</f>
        <v>1772483.1887638846</v>
      </c>
      <c r="S45" s="303">
        <f>RAW_DATA_INPUTS!R375</f>
        <v>1834391.2311419928</v>
      </c>
      <c r="T45" s="303">
        <f>RAW_DATA_INPUTS!S375</f>
        <v>1878449.8518755834</v>
      </c>
      <c r="U45" s="303">
        <f>RAW_DATA_INPUTS!T375</f>
        <v>1913358.5849072661</v>
      </c>
      <c r="V45" s="303">
        <f>RAW_DATA_INPUTS!U375</f>
        <v>1935531.9331186812</v>
      </c>
      <c r="W45" s="303">
        <f>RAW_DATA_INPUTS!V375</f>
        <v>1972636.6749603751</v>
      </c>
      <c r="X45" s="303">
        <f>RAW_DATA_INPUTS!W375</f>
        <v>1974966.900440125</v>
      </c>
      <c r="Y45" s="303">
        <f>RAW_DATA_INPUTS!X375</f>
        <v>1948447.0806189801</v>
      </c>
      <c r="Z45" s="303">
        <f>RAW_DATA_INPUTS!Y375</f>
        <v>1906109.6274286429</v>
      </c>
      <c r="AA45" s="303">
        <f>RAW_DATA_INPUTS!Z375</f>
        <v>1877302.4033844979</v>
      </c>
      <c r="AB45" s="303">
        <f>RAW_DATA_INPUTS!AA375</f>
        <v>1858226.5999291013</v>
      </c>
    </row>
    <row r="46" spans="2:28">
      <c r="C46" s="131" t="str">
        <f>RAW_DATA_INPUTS!B357</f>
        <v>Pupils FTE Years 7-9 Central</v>
      </c>
      <c r="D46" s="303">
        <f>RAW_DATA_INPUTS!C357</f>
        <v>1783139.5</v>
      </c>
      <c r="E46" s="303">
        <f>RAW_DATA_INPUTS!D357</f>
        <v>1758000.0007601124</v>
      </c>
      <c r="F46" s="303">
        <f>RAW_DATA_INPUTS!E357</f>
        <v>1722930</v>
      </c>
      <c r="G46" s="303">
        <f>RAW_DATA_INPUTS!F357</f>
        <v>1701531</v>
      </c>
      <c r="H46" s="303">
        <f>RAW_DATA_INPUTS!G357</f>
        <v>1691158</v>
      </c>
      <c r="I46" s="303">
        <f>RAW_DATA_INPUTS!H357</f>
        <v>1680949</v>
      </c>
      <c r="J46" s="303">
        <f>RAW_DATA_INPUTS!I357</f>
        <v>1672689.5</v>
      </c>
      <c r="K46" s="303">
        <f>RAW_DATA_INPUTS!J357</f>
        <v>1641887</v>
      </c>
      <c r="L46" s="303">
        <f>RAW_DATA_INPUTS!K357</f>
        <v>1612821</v>
      </c>
      <c r="M46" s="303">
        <f>RAW_DATA_INPUTS!L357</f>
        <v>1587472</v>
      </c>
      <c r="N46" s="303">
        <f>RAW_DATA_INPUTS!M357</f>
        <v>1595949</v>
      </c>
      <c r="O46" s="303">
        <f>RAW_DATA_INPUTS!N357</f>
        <v>1630717</v>
      </c>
      <c r="P46" s="303">
        <f>RAW_DATA_INPUTS!O357</f>
        <v>1678899</v>
      </c>
      <c r="Q46" s="303">
        <f>RAW_DATA_INPUTS!P357</f>
        <v>1724020.9710333012</v>
      </c>
      <c r="R46" s="303">
        <f>RAW_DATA_INPUTS!Q357</f>
        <v>1772854.5848039868</v>
      </c>
      <c r="S46" s="303">
        <f>RAW_DATA_INPUTS!R357</f>
        <v>1834934.1224812306</v>
      </c>
      <c r="T46" s="303">
        <f>RAW_DATA_INPUTS!S357</f>
        <v>1879210.7299530376</v>
      </c>
      <c r="U46" s="303">
        <f>RAW_DATA_INPUTS!T357</f>
        <v>1914351.168622531</v>
      </c>
      <c r="V46" s="303">
        <f>RAW_DATA_INPUTS!U357</f>
        <v>1936762.2517991117</v>
      </c>
      <c r="W46" s="303">
        <f>RAW_DATA_INPUTS!V357</f>
        <v>1974817.9779716961</v>
      </c>
      <c r="X46" s="303">
        <f>RAW_DATA_INPUTS!W357</f>
        <v>1978504.8643901525</v>
      </c>
      <c r="Y46" s="303">
        <f>RAW_DATA_INPUTS!X357</f>
        <v>1953779.1387891811</v>
      </c>
      <c r="Z46" s="303">
        <f>RAW_DATA_INPUTS!Y357</f>
        <v>1915886.5892006818</v>
      </c>
      <c r="AA46" s="303">
        <f>RAW_DATA_INPUTS!Z357</f>
        <v>1907012.1075926665</v>
      </c>
      <c r="AB46" s="303">
        <f>RAW_DATA_INPUTS!AA357</f>
        <v>1919851.9246029067</v>
      </c>
    </row>
    <row r="47" spans="2:28">
      <c r="C47" s="131" t="str">
        <f>RAW_DATA_INPUTS!B366</f>
        <v>Pupils FTE Years 7-9 High</v>
      </c>
      <c r="D47" s="303">
        <f>RAW_DATA_INPUTS!C366</f>
        <v>1783139.5</v>
      </c>
      <c r="E47" s="303">
        <f>RAW_DATA_INPUTS!D366</f>
        <v>1758000.0007601124</v>
      </c>
      <c r="F47" s="303">
        <f>RAW_DATA_INPUTS!E366</f>
        <v>1722930</v>
      </c>
      <c r="G47" s="303">
        <f>RAW_DATA_INPUTS!F366</f>
        <v>1701531</v>
      </c>
      <c r="H47" s="303">
        <f>RAW_DATA_INPUTS!G366</f>
        <v>1691158</v>
      </c>
      <c r="I47" s="303">
        <f>RAW_DATA_INPUTS!H366</f>
        <v>1680949</v>
      </c>
      <c r="J47" s="303">
        <f>RAW_DATA_INPUTS!I366</f>
        <v>1672689.5</v>
      </c>
      <c r="K47" s="303">
        <f>RAW_DATA_INPUTS!J366</f>
        <v>1641887</v>
      </c>
      <c r="L47" s="303">
        <f>RAW_DATA_INPUTS!K366</f>
        <v>1612821</v>
      </c>
      <c r="M47" s="303">
        <f>RAW_DATA_INPUTS!L366</f>
        <v>1587472</v>
      </c>
      <c r="N47" s="303">
        <f>RAW_DATA_INPUTS!M366</f>
        <v>1595949</v>
      </c>
      <c r="O47" s="303">
        <f>RAW_DATA_INPUTS!N366</f>
        <v>1630717</v>
      </c>
      <c r="P47" s="303">
        <f>RAW_DATA_INPUTS!O366</f>
        <v>1678899</v>
      </c>
      <c r="Q47" s="303">
        <f>RAW_DATA_INPUTS!P366</f>
        <v>1724207.7875767583</v>
      </c>
      <c r="R47" s="303">
        <f>RAW_DATA_INPUTS!Q366</f>
        <v>1773210.9395461665</v>
      </c>
      <c r="S47" s="303">
        <f>RAW_DATA_INPUTS!R366</f>
        <v>1835463.9408992713</v>
      </c>
      <c r="T47" s="303">
        <f>RAW_DATA_INPUTS!S366</f>
        <v>1879958.5975461819</v>
      </c>
      <c r="U47" s="303">
        <f>RAW_DATA_INPUTS!T366</f>
        <v>1915323.879548701</v>
      </c>
      <c r="V47" s="303">
        <f>RAW_DATA_INPUTS!U366</f>
        <v>1937949.6924893635</v>
      </c>
      <c r="W47" s="303">
        <f>RAW_DATA_INPUTS!V366</f>
        <v>1976932.820831679</v>
      </c>
      <c r="X47" s="303">
        <f>RAW_DATA_INPUTS!W366</f>
        <v>1981952.0645195374</v>
      </c>
      <c r="Y47" s="303">
        <f>RAW_DATA_INPUTS!X366</f>
        <v>1959018.2905100833</v>
      </c>
      <c r="Z47" s="303">
        <f>RAW_DATA_INPUTS!Y366</f>
        <v>1925419.6121202079</v>
      </c>
      <c r="AA47" s="303">
        <f>RAW_DATA_INPUTS!Z366</f>
        <v>1934125.3763884774</v>
      </c>
      <c r="AB47" s="303">
        <f>RAW_DATA_INPUTS!AA366</f>
        <v>1968151.4338998005</v>
      </c>
    </row>
    <row r="48" spans="2:28">
      <c r="D48" s="302"/>
      <c r="E48" s="302"/>
      <c r="F48" s="302"/>
      <c r="G48" s="302"/>
      <c r="H48" s="302"/>
      <c r="I48" s="302"/>
      <c r="J48" s="302"/>
      <c r="K48" s="302"/>
      <c r="L48" s="302"/>
      <c r="M48" s="302"/>
      <c r="N48" s="302"/>
      <c r="O48" s="302"/>
      <c r="P48" s="302"/>
      <c r="Q48" s="302"/>
      <c r="R48" s="302"/>
      <c r="S48" s="302"/>
      <c r="T48" s="302"/>
      <c r="U48" s="302"/>
      <c r="V48" s="302"/>
      <c r="W48" s="302"/>
      <c r="X48" s="302"/>
      <c r="Y48" s="302"/>
    </row>
    <row r="49" spans="2:28">
      <c r="B49">
        <v>2</v>
      </c>
      <c r="C49" s="131" t="str">
        <f>RAW_DATA_INPUTS!B376</f>
        <v>Pupils FTE Years 10-11 Low</v>
      </c>
      <c r="D49" s="303">
        <f>RAW_DATA_INPUTS!C376</f>
        <v>1170159</v>
      </c>
      <c r="E49" s="303">
        <f>RAW_DATA_INPUTS!D376</f>
        <v>1185802.5625101563</v>
      </c>
      <c r="F49" s="303">
        <f>RAW_DATA_INPUTS!E376</f>
        <v>1189358</v>
      </c>
      <c r="G49" s="303">
        <f>RAW_DATA_INPUTS!F376</f>
        <v>1166918.5</v>
      </c>
      <c r="H49" s="303">
        <f>RAW_DATA_INPUTS!G376</f>
        <v>1146150</v>
      </c>
      <c r="I49" s="303">
        <f>RAW_DATA_INPUTS!H376</f>
        <v>1133977</v>
      </c>
      <c r="J49" s="303">
        <f>RAW_DATA_INPUTS!I376</f>
        <v>1116342.5</v>
      </c>
      <c r="K49" s="303">
        <f>RAW_DATA_INPUTS!J376</f>
        <v>1120567</v>
      </c>
      <c r="L49" s="303">
        <f>RAW_DATA_INPUTS!K376</f>
        <v>1117099</v>
      </c>
      <c r="M49" s="303">
        <f>RAW_DATA_INPUTS!L376</f>
        <v>1099417.5</v>
      </c>
      <c r="N49" s="303">
        <f>RAW_DATA_INPUTS!M376</f>
        <v>1081078</v>
      </c>
      <c r="O49" s="303">
        <f>RAW_DATA_INPUTS!N376</f>
        <v>1057483</v>
      </c>
      <c r="P49" s="303">
        <f>RAW_DATA_INPUTS!O376</f>
        <v>1041875</v>
      </c>
      <c r="Q49" s="303">
        <f>RAW_DATA_INPUTS!P376</f>
        <v>1059042.5189143361</v>
      </c>
      <c r="R49" s="303">
        <f>RAW_DATA_INPUTS!Q376</f>
        <v>1098157.8591290903</v>
      </c>
      <c r="S49" s="303">
        <f>RAW_DATA_INPUTS!R376</f>
        <v>1128078.6941527503</v>
      </c>
      <c r="T49" s="303">
        <f>RAW_DATA_INPUTS!S376</f>
        <v>1153988.2521160692</v>
      </c>
      <c r="U49" s="303">
        <f>RAW_DATA_INPUTS!T376</f>
        <v>1189176.4896819545</v>
      </c>
      <c r="V49" s="303">
        <f>RAW_DATA_INPUTS!U376</f>
        <v>1235980.2991184634</v>
      </c>
      <c r="W49" s="303">
        <f>RAW_DATA_INPUTS!V376</f>
        <v>1258119.7343137409</v>
      </c>
      <c r="X49" s="303">
        <f>RAW_DATA_INPUTS!W376</f>
        <v>1267396.7177826473</v>
      </c>
      <c r="Y49" s="303">
        <f>RAW_DATA_INPUTS!X376</f>
        <v>1292491.4788541687</v>
      </c>
      <c r="Z49" s="303">
        <f>RAW_DATA_INPUTS!Y376</f>
        <v>1316868.7049754027</v>
      </c>
      <c r="AA49" s="303">
        <f>RAW_DATA_INPUTS!Z376</f>
        <v>1306195.865395145</v>
      </c>
      <c r="AB49" s="303">
        <f>RAW_DATA_INPUTS!AA376</f>
        <v>1268352.7028780216</v>
      </c>
    </row>
    <row r="50" spans="2:28">
      <c r="C50" s="131" t="str">
        <f>RAW_DATA_INPUTS!B358</f>
        <v>Pupils FTE Years 10-11 Central</v>
      </c>
      <c r="D50" s="303">
        <f>RAW_DATA_INPUTS!C358</f>
        <v>1170159</v>
      </c>
      <c r="E50" s="303">
        <f>RAW_DATA_INPUTS!D358</f>
        <v>1185802.5625101563</v>
      </c>
      <c r="F50" s="303">
        <f>RAW_DATA_INPUTS!E358</f>
        <v>1189358</v>
      </c>
      <c r="G50" s="303">
        <f>RAW_DATA_INPUTS!F358</f>
        <v>1166918.5</v>
      </c>
      <c r="H50" s="303">
        <f>RAW_DATA_INPUTS!G358</f>
        <v>1146150</v>
      </c>
      <c r="I50" s="303">
        <f>RAW_DATA_INPUTS!H358</f>
        <v>1133977</v>
      </c>
      <c r="J50" s="303">
        <f>RAW_DATA_INPUTS!I358</f>
        <v>1116342.5</v>
      </c>
      <c r="K50" s="303">
        <f>RAW_DATA_INPUTS!J358</f>
        <v>1120567</v>
      </c>
      <c r="L50" s="303">
        <f>RAW_DATA_INPUTS!K358</f>
        <v>1117099</v>
      </c>
      <c r="M50" s="303">
        <f>RAW_DATA_INPUTS!L358</f>
        <v>1099417.5</v>
      </c>
      <c r="N50" s="303">
        <f>RAW_DATA_INPUTS!M358</f>
        <v>1081078</v>
      </c>
      <c r="O50" s="303">
        <f>RAW_DATA_INPUTS!N358</f>
        <v>1057483</v>
      </c>
      <c r="P50" s="303">
        <f>RAW_DATA_INPUTS!O358</f>
        <v>1041875</v>
      </c>
      <c r="Q50" s="303">
        <f>RAW_DATA_INPUTS!P358</f>
        <v>1059242.1765030818</v>
      </c>
      <c r="R50" s="303">
        <f>RAW_DATA_INPUTS!Q358</f>
        <v>1098492.845827396</v>
      </c>
      <c r="S50" s="303">
        <f>RAW_DATA_INPUTS!R358</f>
        <v>1128522.0334177609</v>
      </c>
      <c r="T50" s="303">
        <f>RAW_DATA_INPUTS!S358</f>
        <v>1154504.7206683625</v>
      </c>
      <c r="U50" s="303">
        <f>RAW_DATA_INPUTS!T358</f>
        <v>1189761.543386043</v>
      </c>
      <c r="V50" s="303">
        <f>RAW_DATA_INPUTS!U358</f>
        <v>1236679.5493941545</v>
      </c>
      <c r="W50" s="303">
        <f>RAW_DATA_INPUTS!V358</f>
        <v>1258969.8278058928</v>
      </c>
      <c r="X50" s="303">
        <f>RAW_DATA_INPUTS!W358</f>
        <v>1268399.1996321685</v>
      </c>
      <c r="Y50" s="303">
        <f>RAW_DATA_INPUTS!X358</f>
        <v>1293612.6085987107</v>
      </c>
      <c r="Z50" s="303">
        <f>RAW_DATA_INPUTS!Y358</f>
        <v>1318848.3464785134</v>
      </c>
      <c r="AA50" s="303">
        <f>RAW_DATA_INPUTS!Z358</f>
        <v>1309459.1785579114</v>
      </c>
      <c r="AB50" s="303">
        <f>RAW_DATA_INPUTS!AA358</f>
        <v>1272619.0523094554</v>
      </c>
    </row>
    <row r="51" spans="2:28">
      <c r="C51" s="131" t="str">
        <f>RAW_DATA_INPUTS!B367</f>
        <v>Pupils FTE Years 10-11 High</v>
      </c>
      <c r="D51" s="303">
        <f>RAW_DATA_INPUTS!C367</f>
        <v>1170159</v>
      </c>
      <c r="E51" s="303">
        <f>RAW_DATA_INPUTS!D367</f>
        <v>1185802.5625101563</v>
      </c>
      <c r="F51" s="303">
        <f>RAW_DATA_INPUTS!E367</f>
        <v>1189358</v>
      </c>
      <c r="G51" s="303">
        <f>RAW_DATA_INPUTS!F367</f>
        <v>1166918.5</v>
      </c>
      <c r="H51" s="303">
        <f>RAW_DATA_INPUTS!G367</f>
        <v>1146150</v>
      </c>
      <c r="I51" s="303">
        <f>RAW_DATA_INPUTS!H367</f>
        <v>1133977</v>
      </c>
      <c r="J51" s="303">
        <f>RAW_DATA_INPUTS!I367</f>
        <v>1116342.5</v>
      </c>
      <c r="K51" s="303">
        <f>RAW_DATA_INPUTS!J367</f>
        <v>1120567</v>
      </c>
      <c r="L51" s="303">
        <f>RAW_DATA_INPUTS!K367</f>
        <v>1117099</v>
      </c>
      <c r="M51" s="303">
        <f>RAW_DATA_INPUTS!L367</f>
        <v>1099417.5</v>
      </c>
      <c r="N51" s="303">
        <f>RAW_DATA_INPUTS!M367</f>
        <v>1081078</v>
      </c>
      <c r="O51" s="303">
        <f>RAW_DATA_INPUTS!N367</f>
        <v>1057483</v>
      </c>
      <c r="P51" s="303">
        <f>RAW_DATA_INPUTS!O367</f>
        <v>1041875</v>
      </c>
      <c r="Q51" s="303">
        <f>RAW_DATA_INPUTS!P367</f>
        <v>1059434.991245334</v>
      </c>
      <c r="R51" s="303">
        <f>RAW_DATA_INPUTS!Q367</f>
        <v>1098823.2633973816</v>
      </c>
      <c r="S51" s="303">
        <f>RAW_DATA_INPUTS!R367</f>
        <v>1128954.0353809576</v>
      </c>
      <c r="T51" s="303">
        <f>RAW_DATA_INPUTS!S367</f>
        <v>1155001.6879852104</v>
      </c>
      <c r="U51" s="303">
        <f>RAW_DATA_INPUTS!T367</f>
        <v>1190324.1332968618</v>
      </c>
      <c r="V51" s="303">
        <f>RAW_DATA_INPUTS!U367</f>
        <v>1237354.4229246336</v>
      </c>
      <c r="W51" s="303">
        <f>RAW_DATA_INPUTS!V367</f>
        <v>1259786.2065370947</v>
      </c>
      <c r="X51" s="303">
        <f>RAW_DATA_INPUTS!W367</f>
        <v>1269363.1834194576</v>
      </c>
      <c r="Y51" s="303">
        <f>RAW_DATA_INPUTS!X367</f>
        <v>1294673.2824939464</v>
      </c>
      <c r="Z51" s="303">
        <f>RAW_DATA_INPUTS!Y367</f>
        <v>1320743.9612932696</v>
      </c>
      <c r="AA51" s="303">
        <f>RAW_DATA_INPUTS!Z367</f>
        <v>1312640.2804217655</v>
      </c>
      <c r="AB51" s="303">
        <f>RAW_DATA_INPUTS!AA367</f>
        <v>1276804.2128821535</v>
      </c>
    </row>
    <row r="53" spans="2:28">
      <c r="B53">
        <v>2</v>
      </c>
      <c r="C53" s="131" t="str">
        <f>RAW_DATA_INPUTS!B377</f>
        <v>Pupils FTE Years 12-13 Low</v>
      </c>
      <c r="D53" s="303">
        <f>Pupils_data_scenarios!C42</f>
        <v>355184.5</v>
      </c>
      <c r="E53" s="303">
        <f>Pupils_data_scenarios!D42</f>
        <v>361355</v>
      </c>
      <c r="F53" s="303">
        <f>Pupils_data_scenarios!E42</f>
        <v>370116</v>
      </c>
      <c r="G53" s="303">
        <f>Pupils_data_scenarios!F42</f>
        <v>380453</v>
      </c>
      <c r="H53" s="303">
        <f>Pupils_data_scenarios!G42</f>
        <v>394342</v>
      </c>
      <c r="I53" s="303">
        <f>Pupils_data_scenarios!H42</f>
        <v>412859.5</v>
      </c>
      <c r="J53" s="303">
        <f>Pupils_data_scenarios!I42</f>
        <v>423222</v>
      </c>
      <c r="K53" s="303">
        <f>Pupils_data_scenarios!J42</f>
        <v>423232.5</v>
      </c>
      <c r="L53" s="303">
        <f>Pupils_data_scenarios!K42</f>
        <v>428860</v>
      </c>
      <c r="M53" s="303">
        <f>Pupils_data_scenarios!L42</f>
        <v>439034.5</v>
      </c>
      <c r="N53" s="303">
        <f>Pupils_data_scenarios!M42</f>
        <v>442836.5</v>
      </c>
      <c r="O53" s="303">
        <f>Pupils_data_scenarios!N42</f>
        <v>433870.5</v>
      </c>
      <c r="P53" s="303">
        <f>Pupils_data_scenarios!O42</f>
        <v>424809</v>
      </c>
      <c r="Q53" s="303">
        <f>Pupils_data_scenarios!P42</f>
        <v>412613.48371451074</v>
      </c>
      <c r="R53" s="303">
        <f>Pupils_data_scenarios!Q42</f>
        <v>401382.39858263719</v>
      </c>
      <c r="S53" s="303">
        <f>Pupils_data_scenarios!R42</f>
        <v>394545.34411210939</v>
      </c>
      <c r="T53" s="303">
        <f>Pupils_data_scenarios!S42</f>
        <v>395942.48416329373</v>
      </c>
      <c r="U53" s="303">
        <f>Pupils_data_scenarios!T42</f>
        <v>402316.64858440397</v>
      </c>
      <c r="V53" s="303">
        <f>Pupils_data_scenarios!U42</f>
        <v>414302.11785791809</v>
      </c>
      <c r="W53" s="303">
        <f>Pupils_data_scenarios!V42</f>
        <v>426467.33964547818</v>
      </c>
      <c r="X53" s="303">
        <f>Pupils_data_scenarios!W42</f>
        <v>439328.6132689371</v>
      </c>
      <c r="Y53" s="303">
        <f>Pupils_data_scenarios!X42</f>
        <v>448509.71730341192</v>
      </c>
      <c r="Z53" s="303">
        <f>Pupils_data_scenarios!Y42</f>
        <v>456020.66090008762</v>
      </c>
      <c r="AA53" s="303">
        <f>Pupils_data_scenarios!Z42</f>
        <v>463217.05709970818</v>
      </c>
      <c r="AB53" s="303">
        <f>Pupils_data_scenarios!AA42</f>
        <v>468765.08527533995</v>
      </c>
    </row>
    <row r="54" spans="2:28">
      <c r="C54" s="131" t="str">
        <f>RAW_DATA_INPUTS!B359</f>
        <v>Pupils FTE Years 12-13 Central</v>
      </c>
      <c r="D54" s="303">
        <f>Pupils_data_scenarios!C20</f>
        <v>355184.5</v>
      </c>
      <c r="E54" s="303">
        <f>Pupils_data_scenarios!D20</f>
        <v>361355</v>
      </c>
      <c r="F54" s="303">
        <f>Pupils_data_scenarios!E20</f>
        <v>370116</v>
      </c>
      <c r="G54" s="303">
        <f>Pupils_data_scenarios!F20</f>
        <v>380453</v>
      </c>
      <c r="H54" s="303">
        <f>Pupils_data_scenarios!G20</f>
        <v>394342</v>
      </c>
      <c r="I54" s="303">
        <f>Pupils_data_scenarios!H20</f>
        <v>412859.5</v>
      </c>
      <c r="J54" s="303">
        <f>Pupils_data_scenarios!I20</f>
        <v>423222</v>
      </c>
      <c r="K54" s="303">
        <f>Pupils_data_scenarios!J20</f>
        <v>423232.5</v>
      </c>
      <c r="L54" s="303">
        <f>Pupils_data_scenarios!K20</f>
        <v>428860</v>
      </c>
      <c r="M54" s="303">
        <f>Pupils_data_scenarios!L20</f>
        <v>439034.5</v>
      </c>
      <c r="N54" s="303">
        <f>Pupils_data_scenarios!M20</f>
        <v>442836.5</v>
      </c>
      <c r="O54" s="303">
        <f>Pupils_data_scenarios!N20</f>
        <v>433870.5</v>
      </c>
      <c r="P54" s="303">
        <f>Pupils_data_scenarios!O20</f>
        <v>424809</v>
      </c>
      <c r="Q54" s="303">
        <f>Pupils_data_scenarios!P20</f>
        <v>413917.41249859042</v>
      </c>
      <c r="R54" s="303">
        <f>Pupils_data_scenarios!Q20</f>
        <v>402881.22419615899</v>
      </c>
      <c r="S54" s="303">
        <f>Pupils_data_scenarios!R20</f>
        <v>396200.18966368359</v>
      </c>
      <c r="T54" s="303">
        <f>Pupils_data_scenarios!S20</f>
        <v>397747.45923034835</v>
      </c>
      <c r="U54" s="303">
        <f>Pupils_data_scenarios!T20</f>
        <v>404271.55224935681</v>
      </c>
      <c r="V54" s="303">
        <f>Pupils_data_scenarios!U20</f>
        <v>416413.63672939758</v>
      </c>
      <c r="W54" s="303">
        <f>Pupils_data_scenarios!V20</f>
        <v>428739.35339027015</v>
      </c>
      <c r="X54" s="303">
        <f>Pupils_data_scenarios!W20</f>
        <v>441777.22358662885</v>
      </c>
      <c r="Y54" s="303">
        <f>Pupils_data_scenarios!X20</f>
        <v>451142.12596132985</v>
      </c>
      <c r="Z54" s="303">
        <f>Pupils_data_scenarios!Y20</f>
        <v>458855.32419299771</v>
      </c>
      <c r="AA54" s="303">
        <f>Pupils_data_scenarios!Z20</f>
        <v>466275.03084775753</v>
      </c>
      <c r="AB54" s="303">
        <f>Pupils_data_scenarios!AA20</f>
        <v>472066.1229340306</v>
      </c>
    </row>
    <row r="55" spans="2:28">
      <c r="C55" s="131" t="str">
        <f>RAW_DATA_INPUTS!B368</f>
        <v>Pupils FTE Years 12-13 High</v>
      </c>
      <c r="D55" s="303">
        <f>Pupils_data_scenarios!C31</f>
        <v>355184.5</v>
      </c>
      <c r="E55" s="303">
        <f>Pupils_data_scenarios!D31</f>
        <v>361355</v>
      </c>
      <c r="F55" s="303">
        <f>Pupils_data_scenarios!E31</f>
        <v>370116</v>
      </c>
      <c r="G55" s="303">
        <f>Pupils_data_scenarios!F31</f>
        <v>380453</v>
      </c>
      <c r="H55" s="303">
        <f>Pupils_data_scenarios!G31</f>
        <v>394342</v>
      </c>
      <c r="I55" s="303">
        <f>Pupils_data_scenarios!H31</f>
        <v>412859.5</v>
      </c>
      <c r="J55" s="303">
        <f>Pupils_data_scenarios!I31</f>
        <v>423222</v>
      </c>
      <c r="K55" s="303">
        <f>Pupils_data_scenarios!J31</f>
        <v>423232.5</v>
      </c>
      <c r="L55" s="303">
        <f>Pupils_data_scenarios!K31</f>
        <v>428860</v>
      </c>
      <c r="M55" s="303">
        <f>Pupils_data_scenarios!L31</f>
        <v>439034.5</v>
      </c>
      <c r="N55" s="303">
        <f>Pupils_data_scenarios!M31</f>
        <v>442836.5</v>
      </c>
      <c r="O55" s="303">
        <f>Pupils_data_scenarios!N31</f>
        <v>433870.5</v>
      </c>
      <c r="P55" s="303">
        <f>Pupils_data_scenarios!O31</f>
        <v>424809</v>
      </c>
      <c r="Q55" s="303">
        <f>Pupils_data_scenarios!P31</f>
        <v>415221.45467684342</v>
      </c>
      <c r="R55" s="303">
        <f>Pupils_data_scenarios!Q31</f>
        <v>404381.21002994251</v>
      </c>
      <c r="S55" s="303">
        <f>Pupils_data_scenarios!R31</f>
        <v>397857.8055972851</v>
      </c>
      <c r="T55" s="303">
        <f>Pupils_data_scenarios!S31</f>
        <v>399554.1859642443</v>
      </c>
      <c r="U55" s="303">
        <f>Pupils_data_scenarios!T31</f>
        <v>406225.46654276724</v>
      </c>
      <c r="V55" s="303">
        <f>Pupils_data_scenarios!U31</f>
        <v>418521.62401892734</v>
      </c>
      <c r="W55" s="303">
        <f>Pupils_data_scenarios!V31</f>
        <v>431007.45271220792</v>
      </c>
      <c r="X55" s="303">
        <f>Pupils_data_scenarios!W31</f>
        <v>444219.33163429314</v>
      </c>
      <c r="Y55" s="303">
        <f>Pupils_data_scenarios!X31</f>
        <v>453767.80359584739</v>
      </c>
      <c r="Z55" s="303">
        <f>Pupils_data_scenarios!Y31</f>
        <v>461686.82845112163</v>
      </c>
      <c r="AA55" s="303">
        <f>Pupils_data_scenarios!Z31</f>
        <v>469327.61975766718</v>
      </c>
      <c r="AB55" s="303">
        <f>Pupils_data_scenarios!AA31</f>
        <v>475360.0252080303</v>
      </c>
    </row>
    <row r="57" spans="2:28" ht="18">
      <c r="C57" s="38" t="s">
        <v>1331</v>
      </c>
    </row>
    <row r="59" spans="2:28">
      <c r="C59" s="75" t="s">
        <v>40</v>
      </c>
    </row>
    <row r="61" spans="2:28">
      <c r="B61">
        <v>4</v>
      </c>
      <c r="C61" s="214" t="s">
        <v>250</v>
      </c>
      <c r="D61" s="211">
        <f>INDEX(D62:D69,$B$61)</f>
        <v>22</v>
      </c>
    </row>
    <row r="62" spans="2:28">
      <c r="C62" s="215" t="s">
        <v>298</v>
      </c>
      <c r="D62" s="131">
        <v>30</v>
      </c>
    </row>
    <row r="63" spans="2:28">
      <c r="C63" s="215" t="s">
        <v>287</v>
      </c>
      <c r="D63" s="131">
        <v>24</v>
      </c>
    </row>
    <row r="64" spans="2:28">
      <c r="C64" s="215" t="s">
        <v>288</v>
      </c>
      <c r="D64" s="131">
        <v>23</v>
      </c>
    </row>
    <row r="65" spans="2:4">
      <c r="C65" s="215" t="s">
        <v>289</v>
      </c>
      <c r="D65" s="131">
        <v>22</v>
      </c>
    </row>
    <row r="66" spans="2:4">
      <c r="C66" s="215" t="s">
        <v>290</v>
      </c>
      <c r="D66" s="131">
        <v>21</v>
      </c>
    </row>
    <row r="67" spans="2:4">
      <c r="C67" s="215" t="s">
        <v>291</v>
      </c>
      <c r="D67" s="131">
        <v>19.82</v>
      </c>
    </row>
    <row r="68" spans="2:4">
      <c r="C68" s="215" t="s">
        <v>384</v>
      </c>
      <c r="D68" s="253">
        <f>Calc_Primary_teacher_need!O34</f>
        <v>20.045878339681273</v>
      </c>
    </row>
    <row r="69" spans="2:4">
      <c r="C69" s="215" t="s">
        <v>286</v>
      </c>
      <c r="D69" s="253">
        <f>USER_TESTING_TAB!C203</f>
        <v>20</v>
      </c>
    </row>
    <row r="71" spans="2:4">
      <c r="C71" s="75" t="s">
        <v>249</v>
      </c>
    </row>
    <row r="73" spans="2:4">
      <c r="B73">
        <v>4</v>
      </c>
      <c r="C73" s="214" t="s">
        <v>250</v>
      </c>
      <c r="D73" s="142">
        <f>INDEX(D74:D81,$B$73)</f>
        <v>16</v>
      </c>
    </row>
    <row r="74" spans="2:4">
      <c r="C74" s="215" t="s">
        <v>299</v>
      </c>
      <c r="D74" s="131">
        <v>20</v>
      </c>
    </row>
    <row r="75" spans="2:4">
      <c r="C75" s="215" t="s">
        <v>292</v>
      </c>
      <c r="D75" s="131">
        <v>17</v>
      </c>
    </row>
    <row r="76" spans="2:4">
      <c r="C76" s="215" t="s">
        <v>293</v>
      </c>
      <c r="D76" s="131">
        <v>16.5</v>
      </c>
    </row>
    <row r="77" spans="2:4">
      <c r="C77" s="215" t="s">
        <v>294</v>
      </c>
      <c r="D77" s="131">
        <v>16</v>
      </c>
    </row>
    <row r="78" spans="2:4">
      <c r="C78" s="215" t="s">
        <v>295</v>
      </c>
      <c r="D78" s="131">
        <v>15.5</v>
      </c>
    </row>
    <row r="79" spans="2:4">
      <c r="C79" s="215" t="s">
        <v>296</v>
      </c>
      <c r="D79" s="131">
        <v>14.98</v>
      </c>
    </row>
    <row r="80" spans="2:4">
      <c r="C80" s="215" t="s">
        <v>384</v>
      </c>
      <c r="D80" s="253">
        <f>Calc_overall_Sec_teacher_need!O34</f>
        <v>14.651626429594298</v>
      </c>
    </row>
    <row r="81" spans="2:4">
      <c r="C81" s="215" t="s">
        <v>286</v>
      </c>
      <c r="D81" s="253">
        <f>USER_TESTING_TAB!G203</f>
        <v>20</v>
      </c>
    </row>
    <row r="83" spans="2:4" ht="18">
      <c r="C83" s="38" t="s">
        <v>1332</v>
      </c>
    </row>
    <row r="85" spans="2:4">
      <c r="C85" s="75" t="s">
        <v>40</v>
      </c>
    </row>
    <row r="87" spans="2:4">
      <c r="B87">
        <v>3</v>
      </c>
      <c r="C87" s="214" t="s">
        <v>251</v>
      </c>
      <c r="D87" s="142">
        <f>INDEX(D88:D93,$B$87)</f>
        <v>0.5</v>
      </c>
    </row>
    <row r="88" spans="2:4">
      <c r="C88" s="215" t="s">
        <v>447</v>
      </c>
      <c r="D88" s="131">
        <v>0.75</v>
      </c>
    </row>
    <row r="89" spans="2:4">
      <c r="C89" s="215" t="s">
        <v>446</v>
      </c>
      <c r="D89" s="131">
        <v>0.625</v>
      </c>
    </row>
    <row r="90" spans="2:4">
      <c r="C90" s="215" t="s">
        <v>445</v>
      </c>
      <c r="D90" s="131">
        <v>0.5</v>
      </c>
    </row>
    <row r="91" spans="2:4">
      <c r="C91" s="215" t="s">
        <v>448</v>
      </c>
      <c r="D91" s="131">
        <v>0.375</v>
      </c>
    </row>
    <row r="92" spans="2:4">
      <c r="C92" s="215" t="s">
        <v>449</v>
      </c>
      <c r="D92" s="131">
        <v>0.25</v>
      </c>
    </row>
    <row r="93" spans="2:4">
      <c r="C93" s="215" t="s">
        <v>286</v>
      </c>
      <c r="D93" s="131">
        <f>USER_TESTING_TAB!C222</f>
        <v>1</v>
      </c>
    </row>
    <row r="95" spans="2:4">
      <c r="C95" s="75" t="s">
        <v>249</v>
      </c>
    </row>
    <row r="97" spans="2:6">
      <c r="B97">
        <v>3</v>
      </c>
      <c r="C97" s="214" t="s">
        <v>251</v>
      </c>
      <c r="D97" s="142">
        <f>INDEX(D98:D103,$B$97)</f>
        <v>0.6</v>
      </c>
    </row>
    <row r="98" spans="2:6">
      <c r="C98" s="215" t="s">
        <v>450</v>
      </c>
      <c r="D98" s="131">
        <v>0.9</v>
      </c>
    </row>
    <row r="99" spans="2:6">
      <c r="C99" s="215" t="s">
        <v>451</v>
      </c>
      <c r="D99" s="131">
        <v>0.75</v>
      </c>
    </row>
    <row r="100" spans="2:6">
      <c r="C100" s="215" t="s">
        <v>452</v>
      </c>
      <c r="D100" s="131">
        <v>0.6</v>
      </c>
    </row>
    <row r="101" spans="2:6">
      <c r="C101" s="215" t="s">
        <v>453</v>
      </c>
      <c r="D101" s="131">
        <v>0.45</v>
      </c>
    </row>
    <row r="102" spans="2:6">
      <c r="C102" s="215" t="s">
        <v>454</v>
      </c>
      <c r="D102" s="131">
        <v>0.3</v>
      </c>
    </row>
    <row r="103" spans="2:6">
      <c r="C103" s="215" t="s">
        <v>286</v>
      </c>
      <c r="D103" s="131">
        <f>USER_TESTING_TAB!G222</f>
        <v>1</v>
      </c>
    </row>
    <row r="104" spans="2:6">
      <c r="B104" s="206"/>
    </row>
    <row r="105" spans="2:6" ht="18">
      <c r="C105" s="38" t="s">
        <v>823</v>
      </c>
      <c r="F105" s="213" t="s">
        <v>735</v>
      </c>
    </row>
    <row r="107" spans="2:6">
      <c r="C107" s="75" t="s">
        <v>40</v>
      </c>
    </row>
    <row r="109" spans="2:6">
      <c r="B109">
        <v>3</v>
      </c>
      <c r="C109" s="214" t="s">
        <v>251</v>
      </c>
      <c r="D109" s="636">
        <f>INDEX(D110:D115,$B$109)</f>
        <v>0.52067686070201502</v>
      </c>
    </row>
    <row r="110" spans="2:6">
      <c r="C110" s="215" t="s">
        <v>1119</v>
      </c>
      <c r="D110" s="635">
        <f>D112+0.05</f>
        <v>0.57067686070201507</v>
      </c>
      <c r="E110" s="441">
        <f>D110-$D$112</f>
        <v>5.0000000000000044E-2</v>
      </c>
    </row>
    <row r="111" spans="2:6">
      <c r="C111" s="215" t="s">
        <v>1120</v>
      </c>
      <c r="D111" s="635">
        <f>D112+0.025</f>
        <v>0.54567686070201504</v>
      </c>
      <c r="E111" s="441">
        <f>D111-$D$112</f>
        <v>2.5000000000000022E-2</v>
      </c>
    </row>
    <row r="112" spans="2:6">
      <c r="C112" s="215" t="s">
        <v>734</v>
      </c>
      <c r="D112" s="635">
        <f>Calc_PRIM_entrant_rates!G50</f>
        <v>0.52067686070201502</v>
      </c>
      <c r="E112" s="441">
        <f>D112-$D$112</f>
        <v>0</v>
      </c>
    </row>
    <row r="113" spans="2:15">
      <c r="C113" s="215" t="s">
        <v>1121</v>
      </c>
      <c r="D113" s="635">
        <f>D112-0.025</f>
        <v>0.495676860702015</v>
      </c>
      <c r="E113" s="441">
        <f>D113-$D$112</f>
        <v>-2.5000000000000022E-2</v>
      </c>
    </row>
    <row r="114" spans="2:15">
      <c r="C114" s="215" t="s">
        <v>1122</v>
      </c>
      <c r="D114" s="635">
        <f>D112-0.05</f>
        <v>0.47067686070201503</v>
      </c>
      <c r="E114" s="441">
        <f>D114-$D$112</f>
        <v>-4.9999999999999989E-2</v>
      </c>
    </row>
    <row r="115" spans="2:15">
      <c r="C115" s="215" t="s">
        <v>733</v>
      </c>
      <c r="D115" s="635">
        <f>USER_TESTING_TAB!C243</f>
        <v>0.5</v>
      </c>
    </row>
    <row r="116" spans="2:15">
      <c r="D116" s="618"/>
    </row>
    <row r="117" spans="2:15">
      <c r="C117" s="75" t="s">
        <v>249</v>
      </c>
      <c r="D117" s="618"/>
    </row>
    <row r="118" spans="2:15">
      <c r="D118" s="618"/>
    </row>
    <row r="119" spans="2:15">
      <c r="B119">
        <v>3</v>
      </c>
      <c r="C119" s="214" t="s">
        <v>251</v>
      </c>
      <c r="D119" s="636">
        <f>INDEX(D120:D125,$B$119)</f>
        <v>0.51407885080462956</v>
      </c>
    </row>
    <row r="120" spans="2:15">
      <c r="C120" s="215" t="s">
        <v>1119</v>
      </c>
      <c r="D120" s="635">
        <f>D122+0.05</f>
        <v>0.56407885080462961</v>
      </c>
      <c r="E120" s="441">
        <f>D120-$D$122</f>
        <v>5.0000000000000044E-2</v>
      </c>
    </row>
    <row r="121" spans="2:15">
      <c r="C121" s="215" t="s">
        <v>1120</v>
      </c>
      <c r="D121" s="635">
        <f>D122+0.025</f>
        <v>0.53907885080462958</v>
      </c>
      <c r="E121" s="441">
        <f>D121-$D$122</f>
        <v>2.5000000000000022E-2</v>
      </c>
    </row>
    <row r="122" spans="2:15">
      <c r="C122" s="215" t="s">
        <v>734</v>
      </c>
      <c r="D122" s="635">
        <f>Calc_SEC_entrant_rates!G51</f>
        <v>0.51407885080462956</v>
      </c>
      <c r="E122" s="441">
        <f>D122-$D$122</f>
        <v>0</v>
      </c>
    </row>
    <row r="123" spans="2:15">
      <c r="C123" s="215" t="s">
        <v>1121</v>
      </c>
      <c r="D123" s="635">
        <f>D122-0.025</f>
        <v>0.48907885080462954</v>
      </c>
      <c r="E123" s="441">
        <f>D123-$D$122</f>
        <v>-2.5000000000000022E-2</v>
      </c>
    </row>
    <row r="124" spans="2:15">
      <c r="C124" s="215" t="s">
        <v>1122</v>
      </c>
      <c r="D124" s="635">
        <f>D122-0.05</f>
        <v>0.46407885080462957</v>
      </c>
      <c r="E124" s="441">
        <f>D124-$D$122</f>
        <v>-4.9999999999999989E-2</v>
      </c>
    </row>
    <row r="125" spans="2:15">
      <c r="C125" s="215" t="s">
        <v>733</v>
      </c>
      <c r="D125" s="635">
        <f>USER_TESTING_TAB!H243</f>
        <v>0.5</v>
      </c>
    </row>
    <row r="126" spans="2:15">
      <c r="B126" s="206"/>
    </row>
    <row r="127" spans="2:15">
      <c r="B127" s="206"/>
      <c r="C127" s="634" t="s">
        <v>732</v>
      </c>
      <c r="H127" s="1275" t="s">
        <v>731</v>
      </c>
      <c r="I127" s="1275"/>
      <c r="J127" s="1275"/>
      <c r="K127" s="1275"/>
      <c r="L127" s="1275"/>
      <c r="M127" s="1275"/>
      <c r="N127" s="1275"/>
      <c r="O127" s="1275"/>
    </row>
    <row r="128" spans="2:15">
      <c r="B128" s="207"/>
      <c r="C128" s="209"/>
      <c r="H128" s="1275"/>
      <c r="I128" s="1275"/>
      <c r="J128" s="1275"/>
      <c r="K128" s="1275"/>
      <c r="L128" s="1275"/>
      <c r="M128" s="1275"/>
      <c r="N128" s="1275"/>
      <c r="O128" s="1275"/>
    </row>
    <row r="129" spans="3:6">
      <c r="C129" s="75" t="s">
        <v>40</v>
      </c>
    </row>
    <row r="130" spans="3:6">
      <c r="D130" s="208"/>
    </row>
    <row r="131" spans="3:6">
      <c r="C131" s="631" t="str">
        <f>Calc_PRIM_entrant_rates!B40</f>
        <v>New to state-funded sector</v>
      </c>
      <c r="D131" s="633">
        <f>(1-D133)*(Calc_PRIM_entrant_rates!G48/(Calc_PRIM_entrant_rates!G49+Calc_PRIM_entrant_rates!G48))</f>
        <v>0.13665631794515024</v>
      </c>
      <c r="F131" s="183"/>
    </row>
    <row r="132" spans="3:6">
      <c r="C132" s="631" t="str">
        <f>Calc_PRIM_entrant_rates!B41</f>
        <v>Re-entrants</v>
      </c>
      <c r="D132" s="632">
        <f>(1-D133)*(Calc_PRIM_entrant_rates!G49/(Calc_PRIM_entrant_rates!G49+Calc_PRIM_entrant_rates!G48))</f>
        <v>0.34266682135283477</v>
      </c>
    </row>
    <row r="133" spans="3:6">
      <c r="C133" s="631" t="str">
        <f>Calc_PRIM_entrant_rates!B42</f>
        <v>NQTs</v>
      </c>
      <c r="D133" s="632">
        <f>D109</f>
        <v>0.52067686070201502</v>
      </c>
    </row>
    <row r="134" spans="3:6">
      <c r="C134" s="631" t="s">
        <v>8</v>
      </c>
      <c r="D134" s="630">
        <f>SUM(D131:D133)</f>
        <v>1</v>
      </c>
    </row>
    <row r="135" spans="3:6">
      <c r="C135" s="5"/>
      <c r="D135" s="183"/>
    </row>
    <row r="136" spans="3:6">
      <c r="C136" s="75" t="s">
        <v>249</v>
      </c>
    </row>
    <row r="138" spans="3:6">
      <c r="C138" s="631" t="str">
        <f>C131</f>
        <v>New to state-funded sector</v>
      </c>
      <c r="D138" s="633">
        <f>(1-D140)*(Calc_SEC_entrant_rates!G49/(Calc_SEC_entrant_rates!G49+Calc_SEC_entrant_rates!G50))</f>
        <v>0.12684612446257185</v>
      </c>
      <c r="F138" s="183"/>
    </row>
    <row r="139" spans="3:6">
      <c r="C139" s="631" t="str">
        <f>C132</f>
        <v>Re-entrants</v>
      </c>
      <c r="D139" s="632">
        <f>(1-D140)*(Calc_SEC_entrant_rates!G50/(Calc_SEC_entrant_rates!G49+Calc_SEC_entrant_rates!G50))</f>
        <v>0.35907502473279856</v>
      </c>
    </row>
    <row r="140" spans="3:6">
      <c r="C140" s="631" t="str">
        <f>C133</f>
        <v>NQTs</v>
      </c>
      <c r="D140" s="632">
        <f>D119</f>
        <v>0.51407885080462956</v>
      </c>
    </row>
    <row r="141" spans="3:6">
      <c r="C141" s="631" t="s">
        <v>8</v>
      </c>
      <c r="D141" s="630">
        <f>SUM(D138:D140)</f>
        <v>1</v>
      </c>
    </row>
    <row r="143" spans="3:6" ht="18">
      <c r="C143" s="38" t="s">
        <v>1163</v>
      </c>
    </row>
    <row r="145" spans="2:7">
      <c r="C145" s="75" t="s">
        <v>40</v>
      </c>
    </row>
    <row r="146" spans="2:7">
      <c r="D146" s="789" t="str">
        <f>USER_TESTING_TAB!C271</f>
        <v>Undergrad</v>
      </c>
      <c r="E146" s="789" t="str">
        <f>USER_TESTING_TAB!D272</f>
        <v>HEI (Core)</v>
      </c>
      <c r="F146" s="789" t="str">
        <f>USER_TESTING_TAB!E272</f>
        <v>SCITT (Core)</v>
      </c>
      <c r="G146" s="789" t="str">
        <f>USER_TESTING_TAB!F272</f>
        <v>SD</v>
      </c>
    </row>
    <row r="147" spans="2:7">
      <c r="B147">
        <v>1</v>
      </c>
      <c r="C147" s="214" t="s">
        <v>251</v>
      </c>
      <c r="D147" s="774">
        <f>INDEX(D148:D149,$B$147)</f>
        <v>0.81859377286715618</v>
      </c>
      <c r="E147" s="790">
        <f>INDEX(E148:E149,$B$147)</f>
        <v>0.84699298212213059</v>
      </c>
      <c r="F147" s="790">
        <f>INDEX(F148:F149,$B$147)</f>
        <v>0.86934370616490853</v>
      </c>
      <c r="G147" s="790">
        <f>INDEX(G148:G149,$B$147)</f>
        <v>0.87382203123993096</v>
      </c>
    </row>
    <row r="148" spans="2:7">
      <c r="C148" s="215" t="s">
        <v>1180</v>
      </c>
      <c r="D148" s="701">
        <f>USER_TESTING_TAB!G291</f>
        <v>0.81859377286715618</v>
      </c>
      <c r="E148" s="701">
        <f>USER_TESTING_TAB!H291</f>
        <v>0.84699298212213059</v>
      </c>
      <c r="F148" s="701">
        <f>USER_TESTING_TAB!I291</f>
        <v>0.86934370616490853</v>
      </c>
      <c r="G148" s="701">
        <f>USER_TESTING_TAB!J291</f>
        <v>0.87382203123993096</v>
      </c>
    </row>
    <row r="149" spans="2:7">
      <c r="C149" s="1034" t="s">
        <v>1654</v>
      </c>
      <c r="D149" s="701">
        <f>USER_TESTING_TAB!C291</f>
        <v>0.80550277030709261</v>
      </c>
      <c r="E149" s="701">
        <f>USER_TESTING_TAB!D291</f>
        <v>0.83928297218040937</v>
      </c>
      <c r="F149" s="701">
        <f>USER_TESTING_TAB!E291</f>
        <v>0.87746653545124054</v>
      </c>
      <c r="G149" s="701">
        <f>USER_TESTING_TAB!F291</f>
        <v>0.86439783053042718</v>
      </c>
    </row>
    <row r="150" spans="2:7">
      <c r="C150" s="788"/>
    </row>
    <row r="151" spans="2:7">
      <c r="C151" s="75" t="s">
        <v>249</v>
      </c>
    </row>
    <row r="152" spans="2:7">
      <c r="C152" s="788"/>
    </row>
    <row r="153" spans="2:7">
      <c r="B153">
        <v>1</v>
      </c>
      <c r="C153" s="215" t="s">
        <v>1180</v>
      </c>
      <c r="D153" s="115">
        <v>1</v>
      </c>
    </row>
    <row r="154" spans="2:7">
      <c r="C154" s="1034" t="s">
        <v>1654</v>
      </c>
      <c r="D154" s="115">
        <f>D153+1</f>
        <v>2</v>
      </c>
    </row>
    <row r="157" spans="2:7">
      <c r="D157" s="789" t="str">
        <f>D146</f>
        <v>Undergrad</v>
      </c>
      <c r="E157" s="789" t="str">
        <f>E146</f>
        <v>HEI (Core)</v>
      </c>
      <c r="F157" s="789" t="str">
        <f>F146</f>
        <v>SCITT (Core)</v>
      </c>
      <c r="G157" s="789" t="str">
        <f>G146</f>
        <v>SD</v>
      </c>
    </row>
    <row r="158" spans="2:7">
      <c r="B158" s="1279" t="s">
        <v>251</v>
      </c>
      <c r="C158" s="142" t="s">
        <v>571</v>
      </c>
      <c r="D158" s="802">
        <f>D177+D196</f>
        <v>0.8356640040850567</v>
      </c>
      <c r="E158" s="802">
        <f>E177+E196</f>
        <v>0.77686364803971064</v>
      </c>
      <c r="F158" s="802">
        <f>F177+F196</f>
        <v>0.8127554179566564</v>
      </c>
      <c r="G158" s="802">
        <f>G177+G196</f>
        <v>0.75286900200693307</v>
      </c>
    </row>
    <row r="159" spans="2:7">
      <c r="B159" s="1279"/>
      <c r="C159" s="142" t="s">
        <v>7</v>
      </c>
      <c r="D159" s="802">
        <f t="shared" ref="D159:G176" si="6">D178+D197</f>
        <v>0.80718406160507539</v>
      </c>
      <c r="E159" s="802">
        <f t="shared" si="6"/>
        <v>0.80646421880119445</v>
      </c>
      <c r="F159" s="802">
        <f t="shared" si="6"/>
        <v>0.82824951566277516</v>
      </c>
      <c r="G159" s="802">
        <f t="shared" si="6"/>
        <v>0.76008667627164739</v>
      </c>
    </row>
    <row r="160" spans="2:7">
      <c r="B160" s="1279"/>
      <c r="C160" s="142" t="s">
        <v>429</v>
      </c>
      <c r="D160" s="802">
        <f t="shared" si="6"/>
        <v>0.71816580359993998</v>
      </c>
      <c r="E160" s="802">
        <f t="shared" si="6"/>
        <v>0.79639211278917155</v>
      </c>
      <c r="F160" s="802">
        <f t="shared" si="6"/>
        <v>0.75446035404139244</v>
      </c>
      <c r="G160" s="802">
        <f t="shared" si="6"/>
        <v>0.78907407407407404</v>
      </c>
    </row>
    <row r="161" spans="2:7">
      <c r="B161" s="1279"/>
      <c r="C161" s="142" t="s">
        <v>3</v>
      </c>
      <c r="D161" s="802">
        <f t="shared" si="6"/>
        <v>0.78667464266615916</v>
      </c>
      <c r="E161" s="802">
        <f t="shared" si="6"/>
        <v>0.79521046979000787</v>
      </c>
      <c r="F161" s="802">
        <f t="shared" si="6"/>
        <v>0.84198645641693559</v>
      </c>
      <c r="G161" s="802">
        <f t="shared" si="6"/>
        <v>0.85163919900761997</v>
      </c>
    </row>
    <row r="162" spans="2:7">
      <c r="B162" s="1279"/>
      <c r="C162" s="142" t="s">
        <v>80</v>
      </c>
      <c r="D162" s="802">
        <f t="shared" si="6"/>
        <v>0.71816580359993998</v>
      </c>
      <c r="E162" s="802">
        <f t="shared" si="6"/>
        <v>0.71990759890871681</v>
      </c>
      <c r="F162" s="802">
        <f t="shared" si="6"/>
        <v>0.75446035404139244</v>
      </c>
      <c r="G162" s="802">
        <f t="shared" si="6"/>
        <v>0.74805910517103968</v>
      </c>
    </row>
    <row r="163" spans="2:7">
      <c r="B163" s="1279"/>
      <c r="C163" s="142" t="s">
        <v>108</v>
      </c>
      <c r="D163" s="802">
        <f t="shared" si="6"/>
        <v>0.74559534501907387</v>
      </c>
      <c r="E163" s="802">
        <f t="shared" si="6"/>
        <v>0.78599966743821004</v>
      </c>
      <c r="F163" s="802">
        <f t="shared" si="6"/>
        <v>0.88053418803418793</v>
      </c>
      <c r="G163" s="802">
        <f t="shared" si="6"/>
        <v>0.83109006892012771</v>
      </c>
    </row>
    <row r="164" spans="2:7">
      <c r="B164" s="1279"/>
      <c r="C164" s="142" t="s">
        <v>572</v>
      </c>
      <c r="D164" s="802">
        <f t="shared" si="6"/>
        <v>0.76073012587244093</v>
      </c>
      <c r="E164" s="802">
        <f t="shared" si="6"/>
        <v>0.76405919898079722</v>
      </c>
      <c r="F164" s="802">
        <f t="shared" si="6"/>
        <v>0.87128297472835292</v>
      </c>
      <c r="G164" s="802">
        <f t="shared" si="6"/>
        <v>0.74805910517103968</v>
      </c>
    </row>
    <row r="165" spans="2:7">
      <c r="B165" s="1279"/>
      <c r="C165" s="142" t="s">
        <v>6</v>
      </c>
      <c r="D165" s="802">
        <f t="shared" si="6"/>
        <v>0.71816580359993998</v>
      </c>
      <c r="E165" s="802">
        <f t="shared" si="6"/>
        <v>0.79356345580588572</v>
      </c>
      <c r="F165" s="802">
        <f t="shared" si="6"/>
        <v>0.85518100609419401</v>
      </c>
      <c r="G165" s="802">
        <f t="shared" si="6"/>
        <v>0.82365870461108548</v>
      </c>
    </row>
    <row r="166" spans="2:7">
      <c r="B166" s="1279"/>
      <c r="C166" s="142" t="s">
        <v>1</v>
      </c>
      <c r="D166" s="802">
        <f t="shared" si="6"/>
        <v>0.86426335010355448</v>
      </c>
      <c r="E166" s="802">
        <f t="shared" si="6"/>
        <v>0.82890234132839191</v>
      </c>
      <c r="F166" s="802">
        <f t="shared" si="6"/>
        <v>0.85536255011485152</v>
      </c>
      <c r="G166" s="802">
        <f t="shared" si="6"/>
        <v>0.84072631099995132</v>
      </c>
    </row>
    <row r="167" spans="2:7">
      <c r="B167" s="1279"/>
      <c r="C167" s="142" t="s">
        <v>397</v>
      </c>
      <c r="D167" s="802">
        <f t="shared" si="6"/>
        <v>0.71816580359993998</v>
      </c>
      <c r="E167" s="802">
        <f t="shared" si="6"/>
        <v>0.71990759890871681</v>
      </c>
      <c r="F167" s="802">
        <f t="shared" si="6"/>
        <v>0.75446035404139244</v>
      </c>
      <c r="G167" s="802">
        <f t="shared" si="6"/>
        <v>0.74805910517103968</v>
      </c>
    </row>
    <row r="168" spans="2:7">
      <c r="B168" s="1279"/>
      <c r="C168" s="142" t="s">
        <v>4</v>
      </c>
      <c r="D168" s="802">
        <f t="shared" si="6"/>
        <v>0.82241629985327469</v>
      </c>
      <c r="E168" s="802">
        <f t="shared" si="6"/>
        <v>0.80329453266388851</v>
      </c>
      <c r="F168" s="802">
        <f t="shared" si="6"/>
        <v>0.85638232175894569</v>
      </c>
      <c r="G168" s="802">
        <f t="shared" si="6"/>
        <v>0.74805910517103968</v>
      </c>
    </row>
    <row r="169" spans="2:7">
      <c r="B169" s="1279"/>
      <c r="C169" s="142" t="s">
        <v>0</v>
      </c>
      <c r="D169" s="802">
        <f t="shared" si="6"/>
        <v>0.91680469289164945</v>
      </c>
      <c r="E169" s="802">
        <f t="shared" si="6"/>
        <v>0.83076478448333912</v>
      </c>
      <c r="F169" s="802">
        <f t="shared" si="6"/>
        <v>0.81991512405946532</v>
      </c>
      <c r="G169" s="802">
        <f t="shared" si="6"/>
        <v>0.8598962612924379</v>
      </c>
    </row>
    <row r="170" spans="2:7">
      <c r="B170" s="1279"/>
      <c r="C170" s="142" t="s">
        <v>573</v>
      </c>
      <c r="D170" s="802">
        <f t="shared" si="6"/>
        <v>0.83162473667079739</v>
      </c>
      <c r="E170" s="802">
        <f t="shared" si="6"/>
        <v>0.81221997939458079</v>
      </c>
      <c r="F170" s="802">
        <f t="shared" si="6"/>
        <v>0.87554525520953697</v>
      </c>
      <c r="G170" s="802">
        <f t="shared" si="6"/>
        <v>0.82965184677553061</v>
      </c>
    </row>
    <row r="171" spans="2:7">
      <c r="B171" s="1279"/>
      <c r="C171" s="142" t="s">
        <v>574</v>
      </c>
      <c r="D171" s="802">
        <f t="shared" si="6"/>
        <v>0.86415064366192196</v>
      </c>
      <c r="E171" s="802">
        <f t="shared" si="6"/>
        <v>0.75923142968332979</v>
      </c>
      <c r="F171" s="802">
        <f t="shared" si="6"/>
        <v>0.81147689295313175</v>
      </c>
      <c r="G171" s="802">
        <f t="shared" si="6"/>
        <v>0.78554937729652385</v>
      </c>
    </row>
    <row r="172" spans="2:7">
      <c r="B172" s="1279"/>
      <c r="C172" s="142" t="s">
        <v>5</v>
      </c>
      <c r="D172" s="802">
        <f t="shared" si="6"/>
        <v>0.91816580359993993</v>
      </c>
      <c r="E172" s="802">
        <f t="shared" si="6"/>
        <v>0.77350005997423954</v>
      </c>
      <c r="F172" s="802">
        <f t="shared" si="6"/>
        <v>0.75446035404139244</v>
      </c>
      <c r="G172" s="802">
        <f t="shared" si="6"/>
        <v>0.86061995948476855</v>
      </c>
    </row>
    <row r="173" spans="2:7">
      <c r="B173" s="1279"/>
      <c r="C173" s="142" t="s">
        <v>41</v>
      </c>
      <c r="D173" s="802">
        <f t="shared" si="6"/>
        <v>0.71816580359993998</v>
      </c>
      <c r="E173" s="802">
        <f t="shared" si="6"/>
        <v>0.80180898998683592</v>
      </c>
      <c r="F173" s="802">
        <f t="shared" si="6"/>
        <v>0.76407131645361848</v>
      </c>
      <c r="G173" s="802">
        <f t="shared" si="6"/>
        <v>0.74805910517103968</v>
      </c>
    </row>
    <row r="174" spans="2:7">
      <c r="B174" s="1279"/>
      <c r="C174" s="142" t="s">
        <v>575</v>
      </c>
      <c r="D174" s="802">
        <f t="shared" si="6"/>
        <v>0.80146993443075787</v>
      </c>
      <c r="E174" s="802">
        <f t="shared" si="6"/>
        <v>0.76424549625189808</v>
      </c>
      <c r="F174" s="802">
        <f t="shared" si="6"/>
        <v>0.81914003264322566</v>
      </c>
      <c r="G174" s="802">
        <f t="shared" si="6"/>
        <v>0.78379963141424902</v>
      </c>
    </row>
    <row r="175" spans="2:7">
      <c r="B175" s="1279"/>
      <c r="C175" s="142" t="s">
        <v>2</v>
      </c>
      <c r="D175" s="802">
        <f t="shared" si="6"/>
        <v>0.71816580359993998</v>
      </c>
      <c r="E175" s="802">
        <f t="shared" si="6"/>
        <v>0.76948776337607572</v>
      </c>
      <c r="F175" s="802">
        <f t="shared" si="6"/>
        <v>0.87966203703703705</v>
      </c>
      <c r="G175" s="802">
        <f t="shared" si="6"/>
        <v>0.7989060464156249</v>
      </c>
    </row>
    <row r="176" spans="2:7">
      <c r="B176" s="1279"/>
      <c r="C176" s="142" t="s">
        <v>576</v>
      </c>
      <c r="D176" s="802">
        <f t="shared" si="6"/>
        <v>0.86469108669108663</v>
      </c>
      <c r="E176" s="802">
        <f t="shared" si="6"/>
        <v>0.7969153583351698</v>
      </c>
      <c r="F176" s="802">
        <f t="shared" si="6"/>
        <v>0.86198100407055644</v>
      </c>
      <c r="G176" s="802">
        <f t="shared" si="6"/>
        <v>0.85690883190883183</v>
      </c>
    </row>
    <row r="177" spans="2:11">
      <c r="B177" s="1276" t="s">
        <v>1180</v>
      </c>
      <c r="C177" s="131" t="s">
        <v>571</v>
      </c>
      <c r="D177" s="806">
        <f t="shared" ref="D177:D195" si="7">IF($B$153=$D$153,H177,0)</f>
        <v>0.8356640040850567</v>
      </c>
      <c r="E177" s="806">
        <f t="shared" ref="E177:E195" si="8">IF($B$153=$D$153,I177,0)</f>
        <v>0.77686364803971064</v>
      </c>
      <c r="F177" s="806">
        <f t="shared" ref="F177:F195" si="9">IF($B$153=$D$153,J177,0)</f>
        <v>0.8127554179566564</v>
      </c>
      <c r="G177" s="806">
        <f t="shared" ref="G177:G195" si="10">IF($B$153=$D$153,K177,0)</f>
        <v>0.75286900200693307</v>
      </c>
      <c r="H177" s="807">
        <f>USER_TESTING_TAB!G273</f>
        <v>0.8356640040850567</v>
      </c>
      <c r="I177" s="807">
        <f>USER_TESTING_TAB!H273</f>
        <v>0.77686364803971064</v>
      </c>
      <c r="J177" s="807">
        <f>USER_TESTING_TAB!I273</f>
        <v>0.8127554179566564</v>
      </c>
      <c r="K177" s="807">
        <f>USER_TESTING_TAB!J273</f>
        <v>0.75286900200693307</v>
      </c>
    </row>
    <row r="178" spans="2:11">
      <c r="B178" s="1276"/>
      <c r="C178" s="131" t="s">
        <v>7</v>
      </c>
      <c r="D178" s="806">
        <f t="shared" si="7"/>
        <v>0.80718406160507539</v>
      </c>
      <c r="E178" s="806">
        <f t="shared" si="8"/>
        <v>0.80646421880119445</v>
      </c>
      <c r="F178" s="806">
        <f t="shared" si="9"/>
        <v>0.82824951566277516</v>
      </c>
      <c r="G178" s="806">
        <f t="shared" si="10"/>
        <v>0.76008667627164739</v>
      </c>
      <c r="H178" s="807">
        <f>USER_TESTING_TAB!G274</f>
        <v>0.80718406160507539</v>
      </c>
      <c r="I178" s="807">
        <f>USER_TESTING_TAB!H274</f>
        <v>0.80646421880119445</v>
      </c>
      <c r="J178" s="807">
        <f>USER_TESTING_TAB!I274</f>
        <v>0.82824951566277516</v>
      </c>
      <c r="K178" s="807">
        <f>USER_TESTING_TAB!J274</f>
        <v>0.76008667627164739</v>
      </c>
    </row>
    <row r="179" spans="2:11">
      <c r="B179" s="1276"/>
      <c r="C179" s="131" t="s">
        <v>429</v>
      </c>
      <c r="D179" s="806">
        <f t="shared" si="7"/>
        <v>0.71816580359993998</v>
      </c>
      <c r="E179" s="806">
        <f t="shared" si="8"/>
        <v>0.79639211278917155</v>
      </c>
      <c r="F179" s="806">
        <f t="shared" si="9"/>
        <v>0.75446035404139244</v>
      </c>
      <c r="G179" s="806">
        <f t="shared" si="10"/>
        <v>0.78907407407407404</v>
      </c>
      <c r="H179" s="807">
        <f>USER_TESTING_TAB!G275</f>
        <v>0.71816580359993998</v>
      </c>
      <c r="I179" s="807">
        <f>USER_TESTING_TAB!H275</f>
        <v>0.79639211278917155</v>
      </c>
      <c r="J179" s="807">
        <f>USER_TESTING_TAB!I275</f>
        <v>0.75446035404139244</v>
      </c>
      <c r="K179" s="807">
        <f>USER_TESTING_TAB!J275</f>
        <v>0.78907407407407404</v>
      </c>
    </row>
    <row r="180" spans="2:11">
      <c r="B180" s="1276"/>
      <c r="C180" s="131" t="s">
        <v>3</v>
      </c>
      <c r="D180" s="806">
        <f t="shared" si="7"/>
        <v>0.78667464266615916</v>
      </c>
      <c r="E180" s="806">
        <f t="shared" si="8"/>
        <v>0.79521046979000787</v>
      </c>
      <c r="F180" s="806">
        <f t="shared" si="9"/>
        <v>0.84198645641693559</v>
      </c>
      <c r="G180" s="806">
        <f t="shared" si="10"/>
        <v>0.85163919900761997</v>
      </c>
      <c r="H180" s="807">
        <f>USER_TESTING_TAB!G276</f>
        <v>0.78667464266615916</v>
      </c>
      <c r="I180" s="807">
        <f>USER_TESTING_TAB!H276</f>
        <v>0.79521046979000787</v>
      </c>
      <c r="J180" s="807">
        <f>USER_TESTING_TAB!I276</f>
        <v>0.84198645641693559</v>
      </c>
      <c r="K180" s="807">
        <f>USER_TESTING_TAB!J276</f>
        <v>0.85163919900761997</v>
      </c>
    </row>
    <row r="181" spans="2:11">
      <c r="B181" s="1276"/>
      <c r="C181" s="131" t="s">
        <v>80</v>
      </c>
      <c r="D181" s="806">
        <f t="shared" si="7"/>
        <v>0.71816580359993998</v>
      </c>
      <c r="E181" s="806">
        <f t="shared" si="8"/>
        <v>0.71990759890871681</v>
      </c>
      <c r="F181" s="806">
        <f t="shared" si="9"/>
        <v>0.75446035404139244</v>
      </c>
      <c r="G181" s="806">
        <f t="shared" si="10"/>
        <v>0.74805910517103968</v>
      </c>
      <c r="H181" s="807">
        <f>USER_TESTING_TAB!G277</f>
        <v>0.71816580359993998</v>
      </c>
      <c r="I181" s="807">
        <f>USER_TESTING_TAB!H277</f>
        <v>0.71990759890871681</v>
      </c>
      <c r="J181" s="807">
        <f>USER_TESTING_TAB!I277</f>
        <v>0.75446035404139244</v>
      </c>
      <c r="K181" s="807">
        <f>USER_TESTING_TAB!J277</f>
        <v>0.74805910517103968</v>
      </c>
    </row>
    <row r="182" spans="2:11">
      <c r="B182" s="1276"/>
      <c r="C182" s="131" t="s">
        <v>108</v>
      </c>
      <c r="D182" s="806">
        <f t="shared" si="7"/>
        <v>0.74559534501907387</v>
      </c>
      <c r="E182" s="806">
        <f t="shared" si="8"/>
        <v>0.78599966743821004</v>
      </c>
      <c r="F182" s="806">
        <f t="shared" si="9"/>
        <v>0.88053418803418793</v>
      </c>
      <c r="G182" s="806">
        <f t="shared" si="10"/>
        <v>0.83109006892012771</v>
      </c>
      <c r="H182" s="807">
        <f>USER_TESTING_TAB!G278</f>
        <v>0.74559534501907387</v>
      </c>
      <c r="I182" s="807">
        <f>USER_TESTING_TAB!H278</f>
        <v>0.78599966743821004</v>
      </c>
      <c r="J182" s="807">
        <f>USER_TESTING_TAB!I278</f>
        <v>0.88053418803418793</v>
      </c>
      <c r="K182" s="807">
        <f>USER_TESTING_TAB!J278</f>
        <v>0.83109006892012771</v>
      </c>
    </row>
    <row r="183" spans="2:11">
      <c r="B183" s="1276"/>
      <c r="C183" s="131" t="s">
        <v>572</v>
      </c>
      <c r="D183" s="806">
        <f t="shared" si="7"/>
        <v>0.76073012587244093</v>
      </c>
      <c r="E183" s="806">
        <f t="shared" si="8"/>
        <v>0.76405919898079722</v>
      </c>
      <c r="F183" s="806">
        <f t="shared" si="9"/>
        <v>0.87128297472835292</v>
      </c>
      <c r="G183" s="806">
        <f t="shared" si="10"/>
        <v>0.74805910517103968</v>
      </c>
      <c r="H183" s="807">
        <f>USER_TESTING_TAB!G279</f>
        <v>0.76073012587244093</v>
      </c>
      <c r="I183" s="807">
        <f>USER_TESTING_TAB!H279</f>
        <v>0.76405919898079722</v>
      </c>
      <c r="J183" s="807">
        <f>USER_TESTING_TAB!I279</f>
        <v>0.87128297472835292</v>
      </c>
      <c r="K183" s="807">
        <f>USER_TESTING_TAB!J279</f>
        <v>0.74805910517103968</v>
      </c>
    </row>
    <row r="184" spans="2:11">
      <c r="B184" s="1276"/>
      <c r="C184" s="131" t="s">
        <v>6</v>
      </c>
      <c r="D184" s="806">
        <f t="shared" si="7"/>
        <v>0.71816580359993998</v>
      </c>
      <c r="E184" s="806">
        <f t="shared" si="8"/>
        <v>0.79356345580588572</v>
      </c>
      <c r="F184" s="806">
        <f t="shared" si="9"/>
        <v>0.85518100609419401</v>
      </c>
      <c r="G184" s="806">
        <f t="shared" si="10"/>
        <v>0.82365870461108548</v>
      </c>
      <c r="H184" s="807">
        <f>USER_TESTING_TAB!G280</f>
        <v>0.71816580359993998</v>
      </c>
      <c r="I184" s="807">
        <f>USER_TESTING_TAB!H280</f>
        <v>0.79356345580588572</v>
      </c>
      <c r="J184" s="807">
        <f>USER_TESTING_TAB!I280</f>
        <v>0.85518100609419401</v>
      </c>
      <c r="K184" s="807">
        <f>USER_TESTING_TAB!J280</f>
        <v>0.82365870461108548</v>
      </c>
    </row>
    <row r="185" spans="2:11">
      <c r="B185" s="1276"/>
      <c r="C185" s="131" t="s">
        <v>1</v>
      </c>
      <c r="D185" s="806">
        <f t="shared" si="7"/>
        <v>0.86426335010355448</v>
      </c>
      <c r="E185" s="806">
        <f t="shared" si="8"/>
        <v>0.82890234132839191</v>
      </c>
      <c r="F185" s="806">
        <f t="shared" si="9"/>
        <v>0.85536255011485152</v>
      </c>
      <c r="G185" s="806">
        <f t="shared" si="10"/>
        <v>0.84072631099995132</v>
      </c>
      <c r="H185" s="807">
        <f>USER_TESTING_TAB!G281</f>
        <v>0.86426335010355448</v>
      </c>
      <c r="I185" s="807">
        <f>USER_TESTING_TAB!H281</f>
        <v>0.82890234132839191</v>
      </c>
      <c r="J185" s="807">
        <f>USER_TESTING_TAB!I281</f>
        <v>0.85536255011485152</v>
      </c>
      <c r="K185" s="807">
        <f>USER_TESTING_TAB!J281</f>
        <v>0.84072631099995132</v>
      </c>
    </row>
    <row r="186" spans="2:11">
      <c r="B186" s="1276"/>
      <c r="C186" s="131" t="s">
        <v>397</v>
      </c>
      <c r="D186" s="806">
        <f t="shared" si="7"/>
        <v>0.71816580359993998</v>
      </c>
      <c r="E186" s="806">
        <f t="shared" si="8"/>
        <v>0.71990759890871681</v>
      </c>
      <c r="F186" s="806">
        <f t="shared" si="9"/>
        <v>0.75446035404139244</v>
      </c>
      <c r="G186" s="806">
        <f t="shared" si="10"/>
        <v>0.74805910517103968</v>
      </c>
      <c r="H186" s="807">
        <f>USER_TESTING_TAB!G282</f>
        <v>0.71816580359993998</v>
      </c>
      <c r="I186" s="807">
        <f>USER_TESTING_TAB!H282</f>
        <v>0.71990759890871681</v>
      </c>
      <c r="J186" s="807">
        <f>USER_TESTING_TAB!I282</f>
        <v>0.75446035404139244</v>
      </c>
      <c r="K186" s="807">
        <f>USER_TESTING_TAB!J282</f>
        <v>0.74805910517103968</v>
      </c>
    </row>
    <row r="187" spans="2:11">
      <c r="B187" s="1276"/>
      <c r="C187" s="131" t="s">
        <v>4</v>
      </c>
      <c r="D187" s="806">
        <f t="shared" si="7"/>
        <v>0.82241629985327469</v>
      </c>
      <c r="E187" s="806">
        <f t="shared" si="8"/>
        <v>0.80329453266388851</v>
      </c>
      <c r="F187" s="806">
        <f t="shared" si="9"/>
        <v>0.85638232175894569</v>
      </c>
      <c r="G187" s="806">
        <f t="shared" si="10"/>
        <v>0.74805910517103968</v>
      </c>
      <c r="H187" s="807">
        <f>USER_TESTING_TAB!G283</f>
        <v>0.82241629985327469</v>
      </c>
      <c r="I187" s="807">
        <f>USER_TESTING_TAB!H283</f>
        <v>0.80329453266388851</v>
      </c>
      <c r="J187" s="807">
        <f>USER_TESTING_TAB!I283</f>
        <v>0.85638232175894569</v>
      </c>
      <c r="K187" s="807">
        <f>USER_TESTING_TAB!J283</f>
        <v>0.74805910517103968</v>
      </c>
    </row>
    <row r="188" spans="2:11">
      <c r="B188" s="1276"/>
      <c r="C188" s="131" t="s">
        <v>0</v>
      </c>
      <c r="D188" s="806">
        <f t="shared" si="7"/>
        <v>0.91680469289164945</v>
      </c>
      <c r="E188" s="806">
        <f t="shared" si="8"/>
        <v>0.83076478448333912</v>
      </c>
      <c r="F188" s="806">
        <f t="shared" si="9"/>
        <v>0.81991512405946532</v>
      </c>
      <c r="G188" s="806">
        <f t="shared" si="10"/>
        <v>0.8598962612924379</v>
      </c>
      <c r="H188" s="807">
        <f>USER_TESTING_TAB!G284</f>
        <v>0.91680469289164945</v>
      </c>
      <c r="I188" s="807">
        <f>USER_TESTING_TAB!H284</f>
        <v>0.83076478448333912</v>
      </c>
      <c r="J188" s="807">
        <f>USER_TESTING_TAB!I284</f>
        <v>0.81991512405946532</v>
      </c>
      <c r="K188" s="807">
        <f>USER_TESTING_TAB!J284</f>
        <v>0.8598962612924379</v>
      </c>
    </row>
    <row r="189" spans="2:11">
      <c r="B189" s="1276"/>
      <c r="C189" s="131" t="s">
        <v>573</v>
      </c>
      <c r="D189" s="806">
        <f t="shared" si="7"/>
        <v>0.83162473667079739</v>
      </c>
      <c r="E189" s="806">
        <f t="shared" si="8"/>
        <v>0.81221997939458079</v>
      </c>
      <c r="F189" s="806">
        <f t="shared" si="9"/>
        <v>0.87554525520953697</v>
      </c>
      <c r="G189" s="806">
        <f t="shared" si="10"/>
        <v>0.82965184677553061</v>
      </c>
      <c r="H189" s="807">
        <f>USER_TESTING_TAB!G285</f>
        <v>0.83162473667079739</v>
      </c>
      <c r="I189" s="807">
        <f>USER_TESTING_TAB!H285</f>
        <v>0.81221997939458079</v>
      </c>
      <c r="J189" s="807">
        <f>USER_TESTING_TAB!I285</f>
        <v>0.87554525520953697</v>
      </c>
      <c r="K189" s="807">
        <f>USER_TESTING_TAB!J285</f>
        <v>0.82965184677553061</v>
      </c>
    </row>
    <row r="190" spans="2:11">
      <c r="B190" s="1276"/>
      <c r="C190" s="131" t="s">
        <v>574</v>
      </c>
      <c r="D190" s="806">
        <f t="shared" si="7"/>
        <v>0.86415064366192196</v>
      </c>
      <c r="E190" s="806">
        <f t="shared" si="8"/>
        <v>0.75923142968332979</v>
      </c>
      <c r="F190" s="806">
        <f t="shared" si="9"/>
        <v>0.81147689295313175</v>
      </c>
      <c r="G190" s="806">
        <f t="shared" si="10"/>
        <v>0.78554937729652385</v>
      </c>
      <c r="H190" s="807">
        <f>USER_TESTING_TAB!G286</f>
        <v>0.86415064366192196</v>
      </c>
      <c r="I190" s="807">
        <f>USER_TESTING_TAB!H286</f>
        <v>0.75923142968332979</v>
      </c>
      <c r="J190" s="807">
        <f>USER_TESTING_TAB!I286</f>
        <v>0.81147689295313175</v>
      </c>
      <c r="K190" s="807">
        <f>USER_TESTING_TAB!J286</f>
        <v>0.78554937729652385</v>
      </c>
    </row>
    <row r="191" spans="2:11">
      <c r="B191" s="1276"/>
      <c r="C191" s="131" t="s">
        <v>5</v>
      </c>
      <c r="D191" s="806">
        <f t="shared" si="7"/>
        <v>0.91816580359993993</v>
      </c>
      <c r="E191" s="806">
        <f t="shared" si="8"/>
        <v>0.77350005997423954</v>
      </c>
      <c r="F191" s="806">
        <f t="shared" si="9"/>
        <v>0.75446035404139244</v>
      </c>
      <c r="G191" s="806">
        <f t="shared" si="10"/>
        <v>0.86061995948476855</v>
      </c>
      <c r="H191" s="807">
        <f>USER_TESTING_TAB!G287</f>
        <v>0.91816580359993993</v>
      </c>
      <c r="I191" s="807">
        <f>USER_TESTING_TAB!H287</f>
        <v>0.77350005997423954</v>
      </c>
      <c r="J191" s="807">
        <f>USER_TESTING_TAB!I287</f>
        <v>0.75446035404139244</v>
      </c>
      <c r="K191" s="807">
        <f>USER_TESTING_TAB!J287</f>
        <v>0.86061995948476855</v>
      </c>
    </row>
    <row r="192" spans="2:11">
      <c r="B192" s="1276"/>
      <c r="C192" s="131" t="s">
        <v>41</v>
      </c>
      <c r="D192" s="806">
        <f t="shared" si="7"/>
        <v>0.71816580359993998</v>
      </c>
      <c r="E192" s="806">
        <f t="shared" si="8"/>
        <v>0.80180898998683592</v>
      </c>
      <c r="F192" s="806">
        <f t="shared" si="9"/>
        <v>0.76407131645361848</v>
      </c>
      <c r="G192" s="806">
        <f t="shared" si="10"/>
        <v>0.74805910517103968</v>
      </c>
      <c r="H192" s="807">
        <f>USER_TESTING_TAB!G288</f>
        <v>0.71816580359993998</v>
      </c>
      <c r="I192" s="807">
        <f>USER_TESTING_TAB!H288</f>
        <v>0.80180898998683592</v>
      </c>
      <c r="J192" s="807">
        <f>USER_TESTING_TAB!I288</f>
        <v>0.76407131645361848</v>
      </c>
      <c r="K192" s="807">
        <f>USER_TESTING_TAB!J288</f>
        <v>0.74805910517103968</v>
      </c>
    </row>
    <row r="193" spans="2:11">
      <c r="B193" s="1276"/>
      <c r="C193" s="131" t="s">
        <v>575</v>
      </c>
      <c r="D193" s="806">
        <f t="shared" si="7"/>
        <v>0.80146993443075787</v>
      </c>
      <c r="E193" s="806">
        <f t="shared" si="8"/>
        <v>0.76424549625189808</v>
      </c>
      <c r="F193" s="806">
        <f t="shared" si="9"/>
        <v>0.81914003264322566</v>
      </c>
      <c r="G193" s="806">
        <f t="shared" si="10"/>
        <v>0.78379963141424902</v>
      </c>
      <c r="H193" s="807">
        <f>USER_TESTING_TAB!G289</f>
        <v>0.80146993443075787</v>
      </c>
      <c r="I193" s="807">
        <f>USER_TESTING_TAB!H289</f>
        <v>0.76424549625189808</v>
      </c>
      <c r="J193" s="807">
        <f>USER_TESTING_TAB!I289</f>
        <v>0.81914003264322566</v>
      </c>
      <c r="K193" s="807">
        <f>USER_TESTING_TAB!J289</f>
        <v>0.78379963141424902</v>
      </c>
    </row>
    <row r="194" spans="2:11">
      <c r="B194" s="1276"/>
      <c r="C194" s="131" t="s">
        <v>2</v>
      </c>
      <c r="D194" s="806">
        <f t="shared" si="7"/>
        <v>0.71816580359993998</v>
      </c>
      <c r="E194" s="806">
        <f t="shared" si="8"/>
        <v>0.76948776337607572</v>
      </c>
      <c r="F194" s="806">
        <f t="shared" si="9"/>
        <v>0.87966203703703705</v>
      </c>
      <c r="G194" s="806">
        <f t="shared" si="10"/>
        <v>0.7989060464156249</v>
      </c>
      <c r="H194" s="807">
        <f>USER_TESTING_TAB!G290</f>
        <v>0.71816580359993998</v>
      </c>
      <c r="I194" s="807">
        <f>USER_TESTING_TAB!H290</f>
        <v>0.76948776337607572</v>
      </c>
      <c r="J194" s="807">
        <f>USER_TESTING_TAB!I290</f>
        <v>0.87966203703703705</v>
      </c>
      <c r="K194" s="807">
        <f>USER_TESTING_TAB!J290</f>
        <v>0.7989060464156249</v>
      </c>
    </row>
    <row r="195" spans="2:11">
      <c r="B195" s="1276"/>
      <c r="C195" s="131" t="s">
        <v>576</v>
      </c>
      <c r="D195" s="806">
        <f t="shared" si="7"/>
        <v>0.86469108669108663</v>
      </c>
      <c r="E195" s="806">
        <f t="shared" si="8"/>
        <v>0.7969153583351698</v>
      </c>
      <c r="F195" s="806">
        <f t="shared" si="9"/>
        <v>0.86198100407055644</v>
      </c>
      <c r="G195" s="806">
        <f t="shared" si="10"/>
        <v>0.85690883190883183</v>
      </c>
      <c r="H195" s="807">
        <f>USER_TESTING_TAB!G292</f>
        <v>0.86469108669108663</v>
      </c>
      <c r="I195" s="807">
        <f>USER_TESTING_TAB!H292</f>
        <v>0.7969153583351698</v>
      </c>
      <c r="J195" s="807">
        <f>USER_TESTING_TAB!I292</f>
        <v>0.86198100407055644</v>
      </c>
      <c r="K195" s="807">
        <f>USER_TESTING_TAB!J292</f>
        <v>0.85690883190883183</v>
      </c>
    </row>
    <row r="196" spans="2:11">
      <c r="B196" s="1277" t="s">
        <v>1654</v>
      </c>
      <c r="C196" s="803" t="s">
        <v>571</v>
      </c>
      <c r="D196" s="804">
        <f t="shared" ref="D196:D214" si="11">IF($B$153=$D$154,H196,0)</f>
        <v>0</v>
      </c>
      <c r="E196" s="804">
        <f t="shared" ref="E196:E214" si="12">IF($B$153=$D$154,I196,0)</f>
        <v>0</v>
      </c>
      <c r="F196" s="804">
        <f t="shared" ref="F196:F214" si="13">IF($B$153=$D$154,J196,0)</f>
        <v>0</v>
      </c>
      <c r="G196" s="804">
        <f t="shared" ref="G196:G214" si="14">IF($B$153=$D$154,K196,0)</f>
        <v>0</v>
      </c>
      <c r="H196" s="805">
        <f>USER_TESTING_TAB!C273</f>
        <v>0.81967929652140181</v>
      </c>
      <c r="I196" s="805">
        <f>USER_TESTING_TAB!D273</f>
        <v>0.78660236593530231</v>
      </c>
      <c r="J196" s="805">
        <f>USER_TESTING_TAB!E273</f>
        <v>0.80585818016158572</v>
      </c>
      <c r="K196" s="805">
        <f>USER_TESTING_TAB!F273</f>
        <v>0.7466071428571428</v>
      </c>
    </row>
    <row r="197" spans="2:11">
      <c r="B197" s="1278"/>
      <c r="C197" s="803" t="s">
        <v>7</v>
      </c>
      <c r="D197" s="804">
        <f t="shared" si="11"/>
        <v>0</v>
      </c>
      <c r="E197" s="804">
        <f t="shared" si="12"/>
        <v>0</v>
      </c>
      <c r="F197" s="804">
        <f t="shared" si="13"/>
        <v>0</v>
      </c>
      <c r="G197" s="804">
        <f t="shared" si="14"/>
        <v>0</v>
      </c>
      <c r="H197" s="805">
        <f>USER_TESTING_TAB!C274</f>
        <v>0.77418277297578086</v>
      </c>
      <c r="I197" s="805">
        <f>USER_TESTING_TAB!D274</f>
        <v>0.77630557603914196</v>
      </c>
      <c r="J197" s="805">
        <f>USER_TESTING_TAB!E274</f>
        <v>0.84332016988389991</v>
      </c>
      <c r="K197" s="805">
        <f>USER_TESTING_TAB!F274</f>
        <v>0.74606776978353895</v>
      </c>
    </row>
    <row r="198" spans="2:11">
      <c r="B198" s="1278"/>
      <c r="C198" s="803" t="s">
        <v>429</v>
      </c>
      <c r="D198" s="804">
        <f t="shared" si="11"/>
        <v>0</v>
      </c>
      <c r="E198" s="804">
        <f t="shared" si="12"/>
        <v>0</v>
      </c>
      <c r="F198" s="804">
        <f t="shared" si="13"/>
        <v>0</v>
      </c>
      <c r="G198" s="804">
        <f t="shared" si="14"/>
        <v>0</v>
      </c>
      <c r="H198" s="805">
        <f>USER_TESTING_TAB!C275</f>
        <v>0.7018035937417032</v>
      </c>
      <c r="I198" s="805">
        <f>USER_TESTING_TAB!D275</f>
        <v>0.77066613049513188</v>
      </c>
      <c r="J198" s="805">
        <f>USER_TESTING_TAB!E275</f>
        <v>0.75397740099470079</v>
      </c>
      <c r="K198" s="805">
        <f>USER_TESTING_TAB!F275</f>
        <v>0.78624999999999989</v>
      </c>
    </row>
    <row r="199" spans="2:11">
      <c r="B199" s="1278"/>
      <c r="C199" s="803" t="s">
        <v>3</v>
      </c>
      <c r="D199" s="804">
        <f t="shared" si="11"/>
        <v>0</v>
      </c>
      <c r="E199" s="804">
        <f t="shared" si="12"/>
        <v>0</v>
      </c>
      <c r="F199" s="804">
        <f t="shared" si="13"/>
        <v>0</v>
      </c>
      <c r="G199" s="804">
        <f t="shared" si="14"/>
        <v>0</v>
      </c>
      <c r="H199" s="805">
        <f>USER_TESTING_TAB!C276</f>
        <v>0.76362813176174793</v>
      </c>
      <c r="I199" s="805">
        <f>USER_TESTING_TAB!D276</f>
        <v>0.77463926074233702</v>
      </c>
      <c r="J199" s="805">
        <f>USER_TESTING_TAB!E276</f>
        <v>0.82467230669115987</v>
      </c>
      <c r="K199" s="805">
        <f>USER_TESTING_TAB!F276</f>
        <v>0.84727272727272718</v>
      </c>
    </row>
    <row r="200" spans="2:11">
      <c r="B200" s="1278"/>
      <c r="C200" s="803" t="s">
        <v>80</v>
      </c>
      <c r="D200" s="804">
        <f t="shared" si="11"/>
        <v>0</v>
      </c>
      <c r="E200" s="804">
        <f t="shared" si="12"/>
        <v>0</v>
      </c>
      <c r="F200" s="804">
        <f t="shared" si="13"/>
        <v>0</v>
      </c>
      <c r="G200" s="804">
        <f t="shared" si="14"/>
        <v>0</v>
      </c>
      <c r="H200" s="805">
        <f>USER_TESTING_TAB!C277</f>
        <v>0.7018035937417032</v>
      </c>
      <c r="I200" s="805">
        <f>USER_TESTING_TAB!D277</f>
        <v>0.70887633984121257</v>
      </c>
      <c r="J200" s="805">
        <f>USER_TESTING_TAB!E277</f>
        <v>0.75397740099470079</v>
      </c>
      <c r="K200" s="805">
        <f>USER_TESTING_TAB!F277</f>
        <v>0.74606776978353895</v>
      </c>
    </row>
    <row r="201" spans="2:11">
      <c r="B201" s="1278"/>
      <c r="C201" s="803" t="s">
        <v>108</v>
      </c>
      <c r="D201" s="804">
        <f t="shared" si="11"/>
        <v>0</v>
      </c>
      <c r="E201" s="804">
        <f t="shared" si="12"/>
        <v>0</v>
      </c>
      <c r="F201" s="804">
        <f t="shared" si="13"/>
        <v>0</v>
      </c>
      <c r="G201" s="804">
        <f t="shared" si="14"/>
        <v>0</v>
      </c>
      <c r="H201" s="805">
        <f>USER_TESTING_TAB!C278</f>
        <v>0.71621124010954529</v>
      </c>
      <c r="I201" s="805">
        <f>USER_TESTING_TAB!D278</f>
        <v>0.75461185604952075</v>
      </c>
      <c r="J201" s="805">
        <f>USER_TESTING_TAB!E278</f>
        <v>0.84674696499537272</v>
      </c>
      <c r="K201" s="805">
        <f>USER_TESTING_TAB!F278</f>
        <v>0.85203551912568298</v>
      </c>
    </row>
    <row r="202" spans="2:11">
      <c r="B202" s="1278"/>
      <c r="C202" s="803" t="s">
        <v>572</v>
      </c>
      <c r="D202" s="804">
        <f t="shared" si="11"/>
        <v>0</v>
      </c>
      <c r="E202" s="804">
        <f t="shared" si="12"/>
        <v>0</v>
      </c>
      <c r="F202" s="804">
        <f t="shared" si="13"/>
        <v>0</v>
      </c>
      <c r="G202" s="804">
        <f t="shared" si="14"/>
        <v>0</v>
      </c>
      <c r="H202" s="805">
        <f>USER_TESTING_TAB!C279</f>
        <v>0.73987837168102821</v>
      </c>
      <c r="I202" s="805">
        <f>USER_TESTING_TAB!D279</f>
        <v>0.76878652315207763</v>
      </c>
      <c r="J202" s="805">
        <f>USER_TESTING_TAB!E279</f>
        <v>0.85993280574696063</v>
      </c>
      <c r="K202" s="805">
        <f>USER_TESTING_TAB!F279</f>
        <v>0.74606776978353895</v>
      </c>
    </row>
    <row r="203" spans="2:11">
      <c r="B203" s="1278"/>
      <c r="C203" s="803" t="s">
        <v>6</v>
      </c>
      <c r="D203" s="804">
        <f t="shared" si="11"/>
        <v>0</v>
      </c>
      <c r="E203" s="804">
        <f t="shared" si="12"/>
        <v>0</v>
      </c>
      <c r="F203" s="804">
        <f t="shared" si="13"/>
        <v>0</v>
      </c>
      <c r="G203" s="804">
        <f t="shared" si="14"/>
        <v>0</v>
      </c>
      <c r="H203" s="805">
        <f>USER_TESTING_TAB!C280</f>
        <v>0.7018035937417032</v>
      </c>
      <c r="I203" s="805">
        <f>USER_TESTING_TAB!D280</f>
        <v>0.79328432052498199</v>
      </c>
      <c r="J203" s="805">
        <f>USER_TESTING_TAB!E280</f>
        <v>0.85010707787694928</v>
      </c>
      <c r="K203" s="805">
        <f>USER_TESTING_TAB!F280</f>
        <v>0.84171201814058949</v>
      </c>
    </row>
    <row r="204" spans="2:11">
      <c r="B204" s="1278"/>
      <c r="C204" s="803" t="s">
        <v>1</v>
      </c>
      <c r="D204" s="804">
        <f t="shared" si="11"/>
        <v>0</v>
      </c>
      <c r="E204" s="804">
        <f t="shared" si="12"/>
        <v>0</v>
      </c>
      <c r="F204" s="804">
        <f t="shared" si="13"/>
        <v>0</v>
      </c>
      <c r="G204" s="804">
        <f t="shared" si="14"/>
        <v>0</v>
      </c>
      <c r="H204" s="805">
        <f>USER_TESTING_TAB!C281</f>
        <v>0.85247941912230762</v>
      </c>
      <c r="I204" s="805">
        <f>USER_TESTING_TAB!D281</f>
        <v>0.83124840240454523</v>
      </c>
      <c r="J204" s="805">
        <f>USER_TESTING_TAB!E281</f>
        <v>0.86746222500815862</v>
      </c>
      <c r="K204" s="805">
        <f>USER_TESTING_TAB!F281</f>
        <v>0.85333577382722825</v>
      </c>
    </row>
    <row r="205" spans="2:11">
      <c r="B205" s="1278"/>
      <c r="C205" s="803" t="s">
        <v>397</v>
      </c>
      <c r="D205" s="804">
        <f t="shared" si="11"/>
        <v>0</v>
      </c>
      <c r="E205" s="804">
        <f t="shared" si="12"/>
        <v>0</v>
      </c>
      <c r="F205" s="804">
        <f t="shared" si="13"/>
        <v>0</v>
      </c>
      <c r="G205" s="804">
        <f t="shared" si="14"/>
        <v>0</v>
      </c>
      <c r="H205" s="805">
        <f>USER_TESTING_TAB!C282</f>
        <v>0.7018035937417032</v>
      </c>
      <c r="I205" s="805">
        <f>USER_TESTING_TAB!D282</f>
        <v>0.70887633984121257</v>
      </c>
      <c r="J205" s="805">
        <f>USER_TESTING_TAB!E282</f>
        <v>0.75397740099470079</v>
      </c>
      <c r="K205" s="805">
        <f>USER_TESTING_TAB!F282</f>
        <v>0.74606776978353895</v>
      </c>
    </row>
    <row r="206" spans="2:11">
      <c r="B206" s="1278"/>
      <c r="C206" s="803" t="s">
        <v>4</v>
      </c>
      <c r="D206" s="804">
        <f t="shared" si="11"/>
        <v>0</v>
      </c>
      <c r="E206" s="804">
        <f t="shared" si="12"/>
        <v>0</v>
      </c>
      <c r="F206" s="804">
        <f t="shared" si="13"/>
        <v>0</v>
      </c>
      <c r="G206" s="804">
        <f t="shared" si="14"/>
        <v>0</v>
      </c>
      <c r="H206" s="805">
        <f>USER_TESTING_TAB!C283</f>
        <v>0.81143624116313195</v>
      </c>
      <c r="I206" s="805">
        <f>USER_TESTING_TAB!D283</f>
        <v>0.78829949901542928</v>
      </c>
      <c r="J206" s="805">
        <f>USER_TESTING_TAB!E283</f>
        <v>0.87675456123417173</v>
      </c>
      <c r="K206" s="805">
        <f>USER_TESTING_TAB!F283</f>
        <v>0.74606776978353895</v>
      </c>
    </row>
    <row r="207" spans="2:11">
      <c r="B207" s="1278"/>
      <c r="C207" s="803" t="s">
        <v>0</v>
      </c>
      <c r="D207" s="804">
        <f t="shared" si="11"/>
        <v>0</v>
      </c>
      <c r="E207" s="804">
        <f t="shared" si="12"/>
        <v>0</v>
      </c>
      <c r="F207" s="804">
        <f t="shared" si="13"/>
        <v>0</v>
      </c>
      <c r="G207" s="804">
        <f t="shared" si="14"/>
        <v>0</v>
      </c>
      <c r="H207" s="805">
        <f>USER_TESTING_TAB!C284</f>
        <v>0.8803475751301838</v>
      </c>
      <c r="I207" s="805">
        <f>USER_TESTING_TAB!D284</f>
        <v>0.81848076885305765</v>
      </c>
      <c r="J207" s="805">
        <f>USER_TESTING_TAB!E284</f>
        <v>0.81360034974441753</v>
      </c>
      <c r="K207" s="805">
        <f>USER_TESTING_TAB!F284</f>
        <v>0.89924468378900846</v>
      </c>
    </row>
    <row r="208" spans="2:11">
      <c r="B208" s="1278"/>
      <c r="C208" s="803" t="s">
        <v>573</v>
      </c>
      <c r="D208" s="804">
        <f t="shared" si="11"/>
        <v>0</v>
      </c>
      <c r="E208" s="804">
        <f t="shared" si="12"/>
        <v>0</v>
      </c>
      <c r="F208" s="804">
        <f t="shared" si="13"/>
        <v>0</v>
      </c>
      <c r="G208" s="804">
        <f t="shared" si="14"/>
        <v>0</v>
      </c>
      <c r="H208" s="805">
        <f>USER_TESTING_TAB!C285</f>
        <v>0.82632651234210708</v>
      </c>
      <c r="I208" s="805">
        <f>USER_TESTING_TAB!D285</f>
        <v>0.80027700012184266</v>
      </c>
      <c r="J208" s="805">
        <f>USER_TESTING_TAB!E285</f>
        <v>0.86604610223536049</v>
      </c>
      <c r="K208" s="805">
        <f>USER_TESTING_TAB!F285</f>
        <v>0.81980810234541579</v>
      </c>
    </row>
    <row r="209" spans="2:11">
      <c r="B209" s="1278"/>
      <c r="C209" s="803" t="s">
        <v>574</v>
      </c>
      <c r="D209" s="804">
        <f t="shared" si="11"/>
        <v>0</v>
      </c>
      <c r="E209" s="804">
        <f t="shared" si="12"/>
        <v>0</v>
      </c>
      <c r="F209" s="804">
        <f t="shared" si="13"/>
        <v>0</v>
      </c>
      <c r="G209" s="804">
        <f t="shared" si="14"/>
        <v>0</v>
      </c>
      <c r="H209" s="805">
        <f>USER_TESTING_TAB!C286</f>
        <v>0.82621782631181129</v>
      </c>
      <c r="I209" s="805">
        <f>USER_TESTING_TAB!D286</f>
        <v>0.74532971727539366</v>
      </c>
      <c r="J209" s="805">
        <f>USER_TESTING_TAB!E286</f>
        <v>0.82740125816212773</v>
      </c>
      <c r="K209" s="805">
        <f>USER_TESTING_TAB!F286</f>
        <v>0.82076492537313417</v>
      </c>
    </row>
    <row r="210" spans="2:11">
      <c r="B210" s="1278"/>
      <c r="C210" s="803" t="s">
        <v>5</v>
      </c>
      <c r="D210" s="804">
        <f t="shared" si="11"/>
        <v>0</v>
      </c>
      <c r="E210" s="804">
        <f t="shared" si="12"/>
        <v>0</v>
      </c>
      <c r="F210" s="804">
        <f t="shared" si="13"/>
        <v>0</v>
      </c>
      <c r="G210" s="804">
        <f t="shared" si="14"/>
        <v>0</v>
      </c>
      <c r="H210" s="805">
        <f>USER_TESTING_TAB!C287</f>
        <v>0.85666666666666669</v>
      </c>
      <c r="I210" s="805">
        <f>USER_TESTING_TAB!D287</f>
        <v>0.77017704513632146</v>
      </c>
      <c r="J210" s="805">
        <f>USER_TESTING_TAB!E287</f>
        <v>0.75397740099470079</v>
      </c>
      <c r="K210" s="805">
        <f>USER_TESTING_TAB!F287</f>
        <v>0.90388235294117647</v>
      </c>
    </row>
    <row r="211" spans="2:11">
      <c r="B211" s="1278"/>
      <c r="C211" s="803" t="s">
        <v>41</v>
      </c>
      <c r="D211" s="804">
        <f t="shared" si="11"/>
        <v>0</v>
      </c>
      <c r="E211" s="804">
        <f t="shared" si="12"/>
        <v>0</v>
      </c>
      <c r="F211" s="804">
        <f t="shared" si="13"/>
        <v>0</v>
      </c>
      <c r="G211" s="804">
        <f t="shared" si="14"/>
        <v>0</v>
      </c>
      <c r="H211" s="805">
        <f>USER_TESTING_TAB!C288</f>
        <v>0.90180359374170316</v>
      </c>
      <c r="I211" s="805">
        <f>USER_TESTING_TAB!D288</f>
        <v>0.79755969833255524</v>
      </c>
      <c r="J211" s="805">
        <f>USER_TESTING_TAB!E288</f>
        <v>0.8206238835406614</v>
      </c>
      <c r="K211" s="805">
        <f>USER_TESTING_TAB!F288</f>
        <v>0.74606776978353895</v>
      </c>
    </row>
    <row r="212" spans="2:11">
      <c r="B212" s="1278"/>
      <c r="C212" s="803" t="s">
        <v>575</v>
      </c>
      <c r="D212" s="804">
        <f t="shared" si="11"/>
        <v>0</v>
      </c>
      <c r="E212" s="804">
        <f t="shared" si="12"/>
        <v>0</v>
      </c>
      <c r="F212" s="804">
        <f t="shared" si="13"/>
        <v>0</v>
      </c>
      <c r="G212" s="804">
        <f t="shared" si="14"/>
        <v>0</v>
      </c>
      <c r="H212" s="805">
        <f>USER_TESTING_TAB!C289</f>
        <v>0.74404661295893915</v>
      </c>
      <c r="I212" s="805">
        <f>USER_TESTING_TAB!D289</f>
        <v>0.76009039562858272</v>
      </c>
      <c r="J212" s="805">
        <f>USER_TESTING_TAB!E289</f>
        <v>0.78307799648525545</v>
      </c>
      <c r="K212" s="805">
        <f>USER_TESTING_TAB!F289</f>
        <v>0.77451742919389965</v>
      </c>
    </row>
    <row r="213" spans="2:11">
      <c r="B213" s="1278"/>
      <c r="C213" s="803" t="s">
        <v>2</v>
      </c>
      <c r="D213" s="804">
        <f t="shared" si="11"/>
        <v>0</v>
      </c>
      <c r="E213" s="804">
        <f t="shared" si="12"/>
        <v>0</v>
      </c>
      <c r="F213" s="804">
        <f t="shared" si="13"/>
        <v>0</v>
      </c>
      <c r="G213" s="804">
        <f t="shared" si="14"/>
        <v>0</v>
      </c>
      <c r="H213" s="805">
        <f>USER_TESTING_TAB!C290</f>
        <v>0.70571428571428574</v>
      </c>
      <c r="I213" s="805">
        <f>USER_TESTING_TAB!D290</f>
        <v>0.76356772684046392</v>
      </c>
      <c r="J213" s="805">
        <f>USER_TESTING_TAB!E290</f>
        <v>0.83289009661835745</v>
      </c>
      <c r="K213" s="805">
        <f>USER_TESTING_TAB!F290</f>
        <v>0.8077104377104376</v>
      </c>
    </row>
    <row r="214" spans="2:11">
      <c r="B214" s="1278"/>
      <c r="C214" s="803" t="s">
        <v>576</v>
      </c>
      <c r="D214" s="804">
        <f t="shared" si="11"/>
        <v>0</v>
      </c>
      <c r="E214" s="804">
        <f t="shared" si="12"/>
        <v>0</v>
      </c>
      <c r="F214" s="804">
        <f t="shared" si="13"/>
        <v>0</v>
      </c>
      <c r="G214" s="804">
        <f t="shared" si="14"/>
        <v>0</v>
      </c>
      <c r="H214" s="805">
        <f>USER_TESTING_TAB!C292</f>
        <v>0.81897804795677143</v>
      </c>
      <c r="I214" s="805">
        <f>USER_TESTING_TAB!D292</f>
        <v>0.77156468695812641</v>
      </c>
      <c r="J214" s="805">
        <f>USER_TESTING_TAB!E292</f>
        <v>0.79621526992562441</v>
      </c>
      <c r="K214" s="805">
        <f>USER_TESTING_TAB!F292</f>
        <v>0.8527499999999999</v>
      </c>
    </row>
    <row r="216" spans="2:11" ht="18">
      <c r="C216" s="38" t="s">
        <v>1164</v>
      </c>
    </row>
    <row r="218" spans="2:11">
      <c r="C218" s="75" t="s">
        <v>40</v>
      </c>
    </row>
    <row r="219" spans="2:11">
      <c r="D219" s="789" t="s">
        <v>1184</v>
      </c>
      <c r="E219" s="789"/>
      <c r="F219" s="789"/>
      <c r="G219" s="789"/>
    </row>
    <row r="220" spans="2:11">
      <c r="B220">
        <v>2</v>
      </c>
      <c r="C220" s="214" t="s">
        <v>251</v>
      </c>
      <c r="D220" s="892">
        <f>INDEX(D221:D222,$B$220)</f>
        <v>3.2452360303093598E-2</v>
      </c>
      <c r="E220" s="790"/>
      <c r="F220" s="790"/>
      <c r="G220" s="790"/>
    </row>
    <row r="221" spans="2:11">
      <c r="C221" s="215" t="s">
        <v>1186</v>
      </c>
      <c r="D221" s="893">
        <f>USER_TESTING_TAB!D322</f>
        <v>3.4853157296169286E-2</v>
      </c>
      <c r="E221" s="701"/>
      <c r="F221" s="701"/>
      <c r="G221" s="701"/>
    </row>
    <row r="222" spans="2:11">
      <c r="C222" s="1034" t="s">
        <v>1654</v>
      </c>
      <c r="D222" s="893">
        <f>USER_TESTING_TAB!C322</f>
        <v>3.2452360303093598E-2</v>
      </c>
      <c r="E222" s="792"/>
      <c r="F222" s="701"/>
      <c r="G222" s="701"/>
    </row>
    <row r="223" spans="2:11">
      <c r="C223" s="788"/>
    </row>
    <row r="224" spans="2:11">
      <c r="C224" s="75" t="s">
        <v>249</v>
      </c>
    </row>
    <row r="225" spans="2:7">
      <c r="C225" s="788"/>
    </row>
    <row r="226" spans="2:7">
      <c r="B226">
        <v>2</v>
      </c>
      <c r="C226" s="215" t="s">
        <v>1186</v>
      </c>
      <c r="D226" s="115">
        <v>1</v>
      </c>
    </row>
    <row r="227" spans="2:7">
      <c r="C227" s="1034" t="str">
        <f>C222</f>
        <v>Rates from 2017/18 TSM</v>
      </c>
      <c r="D227" s="115">
        <f>D226+1</f>
        <v>2</v>
      </c>
    </row>
    <row r="230" spans="2:7">
      <c r="D230" s="789" t="str">
        <f>D219</f>
        <v>UQ %</v>
      </c>
      <c r="E230" s="789"/>
      <c r="F230" s="789"/>
      <c r="G230" s="789"/>
    </row>
    <row r="231" spans="2:7">
      <c r="B231" s="1279" t="s">
        <v>251</v>
      </c>
      <c r="C231" s="142" t="s">
        <v>571</v>
      </c>
      <c r="D231" s="802">
        <f t="shared" ref="D231:D249" si="15">D250+D269</f>
        <v>5.5482785567752567E-2</v>
      </c>
      <c r="E231" s="774"/>
      <c r="F231" s="774"/>
      <c r="G231" s="774"/>
    </row>
    <row r="232" spans="2:7">
      <c r="B232" s="1279"/>
      <c r="C232" s="142" t="s">
        <v>7</v>
      </c>
      <c r="D232" s="802">
        <f t="shared" si="15"/>
        <v>4.7147483464243911E-2</v>
      </c>
      <c r="E232" s="774"/>
      <c r="F232" s="774"/>
      <c r="G232" s="774"/>
    </row>
    <row r="233" spans="2:7">
      <c r="B233" s="1279"/>
      <c r="C233" s="142" t="s">
        <v>429</v>
      </c>
      <c r="D233" s="802">
        <f t="shared" si="15"/>
        <v>9.1589119325306181E-2</v>
      </c>
      <c r="E233" s="774"/>
      <c r="F233" s="774"/>
      <c r="G233" s="774"/>
    </row>
    <row r="234" spans="2:7">
      <c r="B234" s="1279"/>
      <c r="C234" s="142" t="s">
        <v>3</v>
      </c>
      <c r="D234" s="802">
        <f t="shared" si="15"/>
        <v>4.6913086855563599E-2</v>
      </c>
      <c r="E234" s="774"/>
      <c r="F234" s="774"/>
      <c r="G234" s="774"/>
    </row>
    <row r="235" spans="2:7">
      <c r="B235" s="1279"/>
      <c r="C235" s="142" t="s">
        <v>80</v>
      </c>
      <c r="D235" s="802">
        <f t="shared" si="15"/>
        <v>6.704089375668533E-2</v>
      </c>
      <c r="E235" s="774"/>
      <c r="F235" s="774"/>
      <c r="G235" s="774"/>
    </row>
    <row r="236" spans="2:7">
      <c r="B236" s="1279"/>
      <c r="C236" s="142" t="s">
        <v>108</v>
      </c>
      <c r="D236" s="802">
        <f t="shared" si="15"/>
        <v>5.5336545757057175E-2</v>
      </c>
      <c r="E236" s="774"/>
      <c r="F236" s="774"/>
      <c r="G236" s="774"/>
    </row>
    <row r="237" spans="2:7">
      <c r="B237" s="1279"/>
      <c r="C237" s="142" t="s">
        <v>572</v>
      </c>
      <c r="D237" s="802">
        <f t="shared" si="15"/>
        <v>6.7710578130345755E-2</v>
      </c>
      <c r="E237" s="774"/>
      <c r="F237" s="774"/>
      <c r="G237" s="774"/>
    </row>
    <row r="238" spans="2:7">
      <c r="B238" s="1279"/>
      <c r="C238" s="142" t="s">
        <v>6</v>
      </c>
      <c r="D238" s="802">
        <f t="shared" si="15"/>
        <v>8.377556244402512E-2</v>
      </c>
      <c r="E238" s="774"/>
      <c r="F238" s="774"/>
      <c r="G238" s="774"/>
    </row>
    <row r="239" spans="2:7">
      <c r="B239" s="1279"/>
      <c r="C239" s="142" t="s">
        <v>1</v>
      </c>
      <c r="D239" s="802">
        <f t="shared" si="15"/>
        <v>8.773490743765272E-2</v>
      </c>
      <c r="E239" s="774"/>
      <c r="F239" s="774"/>
      <c r="G239" s="774"/>
    </row>
    <row r="240" spans="2:7">
      <c r="B240" s="1279"/>
      <c r="C240" s="142" t="s">
        <v>397</v>
      </c>
      <c r="D240" s="802">
        <f t="shared" si="15"/>
        <v>0.10009363022572292</v>
      </c>
      <c r="E240" s="774"/>
      <c r="F240" s="774"/>
      <c r="G240" s="774"/>
    </row>
    <row r="241" spans="2:11">
      <c r="B241" s="1279"/>
      <c r="C241" s="142" t="s">
        <v>4</v>
      </c>
      <c r="D241" s="802">
        <f t="shared" si="15"/>
        <v>4.7550259871897121E-2</v>
      </c>
      <c r="E241" s="774"/>
      <c r="F241" s="774"/>
      <c r="G241" s="774"/>
    </row>
    <row r="242" spans="2:11">
      <c r="B242" s="1279"/>
      <c r="C242" s="142" t="s">
        <v>0</v>
      </c>
      <c r="D242" s="802">
        <f t="shared" si="15"/>
        <v>4.9790971050012442E-2</v>
      </c>
      <c r="E242" s="774"/>
      <c r="F242" s="774"/>
      <c r="G242" s="774"/>
    </row>
    <row r="243" spans="2:11">
      <c r="B243" s="1279"/>
      <c r="C243" s="142" t="s">
        <v>573</v>
      </c>
      <c r="D243" s="802">
        <f t="shared" si="15"/>
        <v>6.49038506637587E-2</v>
      </c>
      <c r="E243" s="774"/>
      <c r="F243" s="774"/>
      <c r="G243" s="774"/>
    </row>
    <row r="244" spans="2:11">
      <c r="B244" s="1279"/>
      <c r="C244" s="142" t="s">
        <v>574</v>
      </c>
      <c r="D244" s="802">
        <f t="shared" si="15"/>
        <v>3.8975877543540892E-2</v>
      </c>
      <c r="E244" s="774"/>
      <c r="F244" s="774"/>
      <c r="G244" s="774"/>
    </row>
    <row r="245" spans="2:11">
      <c r="B245" s="1279"/>
      <c r="C245" s="142" t="s">
        <v>5</v>
      </c>
      <c r="D245" s="802">
        <f t="shared" si="15"/>
        <v>4.5052436211548266E-2</v>
      </c>
      <c r="E245" s="774"/>
      <c r="F245" s="774"/>
      <c r="G245" s="774"/>
    </row>
    <row r="246" spans="2:11">
      <c r="B246" s="1279"/>
      <c r="C246" s="142" t="s">
        <v>41</v>
      </c>
      <c r="D246" s="802">
        <f t="shared" si="15"/>
        <v>0.13826981448484513</v>
      </c>
      <c r="E246" s="774"/>
      <c r="F246" s="774"/>
      <c r="G246" s="774"/>
    </row>
    <row r="247" spans="2:11">
      <c r="B247" s="1279"/>
      <c r="C247" s="142" t="s">
        <v>575</v>
      </c>
      <c r="D247" s="808">
        <f t="shared" si="15"/>
        <v>4.057770218571477E-2</v>
      </c>
      <c r="E247" s="774"/>
      <c r="F247" s="774"/>
      <c r="G247" s="774"/>
    </row>
    <row r="248" spans="2:11">
      <c r="B248" s="1279"/>
      <c r="C248" s="142" t="s">
        <v>2</v>
      </c>
      <c r="D248" s="808">
        <f t="shared" si="15"/>
        <v>3.5327821376179305E-2</v>
      </c>
      <c r="E248" s="774"/>
      <c r="F248" s="774"/>
      <c r="G248" s="774"/>
    </row>
    <row r="249" spans="2:11">
      <c r="B249" s="1279"/>
      <c r="C249" s="142" t="s">
        <v>576</v>
      </c>
      <c r="D249" s="808">
        <f t="shared" si="15"/>
        <v>5.4816797336101404E-2</v>
      </c>
      <c r="E249" s="774"/>
      <c r="F249" s="774"/>
      <c r="G249" s="774"/>
    </row>
    <row r="250" spans="2:11">
      <c r="B250" s="1276" t="s">
        <v>1186</v>
      </c>
      <c r="C250" s="131" t="s">
        <v>571</v>
      </c>
      <c r="D250" s="806">
        <f t="shared" ref="D250:D268" si="16">IF($B$226=$D$226,E250,0)</f>
        <v>0</v>
      </c>
      <c r="E250" s="806">
        <f>USER_TESTING_TAB!D323</f>
        <v>5.5968017287055014E-2</v>
      </c>
      <c r="F250" s="774"/>
      <c r="G250" s="774"/>
      <c r="H250" s="183"/>
      <c r="I250" s="183"/>
      <c r="J250" s="183"/>
      <c r="K250" s="183"/>
    </row>
    <row r="251" spans="2:11">
      <c r="B251" s="1276"/>
      <c r="C251" s="131" t="s">
        <v>7</v>
      </c>
      <c r="D251" s="806">
        <f t="shared" si="16"/>
        <v>0</v>
      </c>
      <c r="E251" s="806">
        <f>USER_TESTING_TAB!D324</f>
        <v>4.9972000043522848E-2</v>
      </c>
      <c r="F251" s="774"/>
      <c r="G251" s="774"/>
      <c r="H251" s="183"/>
      <c r="I251" s="183"/>
      <c r="J251" s="183"/>
      <c r="K251" s="183"/>
    </row>
    <row r="252" spans="2:11">
      <c r="B252" s="1276"/>
      <c r="C252" s="131" t="s">
        <v>429</v>
      </c>
      <c r="D252" s="806">
        <f t="shared" si="16"/>
        <v>0</v>
      </c>
      <c r="E252" s="806">
        <f>USER_TESTING_TAB!D325</f>
        <v>9.1589119325306181E-2</v>
      </c>
      <c r="F252" s="774"/>
      <c r="G252" s="774"/>
      <c r="H252" s="183"/>
      <c r="I252" s="183"/>
      <c r="J252" s="183"/>
      <c r="K252" s="183"/>
    </row>
    <row r="253" spans="2:11">
      <c r="B253" s="1276"/>
      <c r="C253" s="131" t="s">
        <v>3</v>
      </c>
      <c r="D253" s="806">
        <f t="shared" si="16"/>
        <v>0</v>
      </c>
      <c r="E253" s="806">
        <f>USER_TESTING_TAB!D326</f>
        <v>4.6913086855563599E-2</v>
      </c>
      <c r="F253" s="774"/>
      <c r="G253" s="774"/>
      <c r="H253" s="183"/>
      <c r="I253" s="183"/>
      <c r="J253" s="183"/>
      <c r="K253" s="183"/>
    </row>
    <row r="254" spans="2:11">
      <c r="B254" s="1276"/>
      <c r="C254" s="131" t="s">
        <v>80</v>
      </c>
      <c r="D254" s="806">
        <f t="shared" si="16"/>
        <v>0</v>
      </c>
      <c r="E254" s="806">
        <f>USER_TESTING_TAB!D327</f>
        <v>6.7283713351043953E-2</v>
      </c>
      <c r="F254" s="774"/>
      <c r="G254" s="774"/>
      <c r="H254" s="183"/>
      <c r="I254" s="183"/>
      <c r="J254" s="183"/>
      <c r="K254" s="183"/>
    </row>
    <row r="255" spans="2:11">
      <c r="B255" s="1276"/>
      <c r="C255" s="131" t="s">
        <v>108</v>
      </c>
      <c r="D255" s="806">
        <f t="shared" si="16"/>
        <v>0</v>
      </c>
      <c r="E255" s="806">
        <f>USER_TESTING_TAB!D328</f>
        <v>5.5336545757057175E-2</v>
      </c>
      <c r="F255" s="774"/>
      <c r="G255" s="774"/>
      <c r="H255" s="183"/>
      <c r="I255" s="183"/>
      <c r="J255" s="183"/>
      <c r="K255" s="183"/>
    </row>
    <row r="256" spans="2:11">
      <c r="B256" s="1276"/>
      <c r="C256" s="131" t="s">
        <v>572</v>
      </c>
      <c r="D256" s="806">
        <f t="shared" si="16"/>
        <v>0</v>
      </c>
      <c r="E256" s="806">
        <f>USER_TESTING_TAB!D329</f>
        <v>7.213445730617235E-2</v>
      </c>
      <c r="F256" s="774"/>
      <c r="G256" s="774"/>
      <c r="H256" s="183"/>
      <c r="I256" s="183"/>
      <c r="J256" s="183"/>
      <c r="K256" s="183"/>
    </row>
    <row r="257" spans="2:11">
      <c r="B257" s="1276"/>
      <c r="C257" s="131" t="s">
        <v>6</v>
      </c>
      <c r="D257" s="806">
        <f t="shared" si="16"/>
        <v>0</v>
      </c>
      <c r="E257" s="806">
        <f>USER_TESTING_TAB!D330</f>
        <v>8.8617581745750768E-2</v>
      </c>
      <c r="F257" s="774"/>
      <c r="G257" s="774"/>
      <c r="H257" s="183"/>
      <c r="I257" s="183"/>
      <c r="J257" s="183"/>
      <c r="K257" s="183"/>
    </row>
    <row r="258" spans="2:11">
      <c r="B258" s="1276"/>
      <c r="C258" s="131" t="s">
        <v>1</v>
      </c>
      <c r="D258" s="806">
        <f t="shared" si="16"/>
        <v>0</v>
      </c>
      <c r="E258" s="806">
        <f>USER_TESTING_TAB!D331</f>
        <v>8.773490743765272E-2</v>
      </c>
      <c r="F258" s="774"/>
      <c r="G258" s="774"/>
      <c r="H258" s="183"/>
      <c r="I258" s="183"/>
      <c r="J258" s="183"/>
      <c r="K258" s="183"/>
    </row>
    <row r="259" spans="2:11">
      <c r="B259" s="1276"/>
      <c r="C259" s="131" t="s">
        <v>397</v>
      </c>
      <c r="D259" s="806">
        <f t="shared" si="16"/>
        <v>0</v>
      </c>
      <c r="E259" s="806">
        <f>USER_TESTING_TAB!D332</f>
        <v>0.10009363022572292</v>
      </c>
      <c r="F259" s="774"/>
      <c r="G259" s="774"/>
      <c r="H259" s="183"/>
      <c r="I259" s="183"/>
      <c r="J259" s="183"/>
      <c r="K259" s="183"/>
    </row>
    <row r="260" spans="2:11">
      <c r="B260" s="1276"/>
      <c r="C260" s="131" t="s">
        <v>4</v>
      </c>
      <c r="D260" s="806">
        <f t="shared" si="16"/>
        <v>0</v>
      </c>
      <c r="E260" s="806">
        <f>USER_TESTING_TAB!D333</f>
        <v>5.1630041645913109E-2</v>
      </c>
      <c r="F260" s="774"/>
      <c r="G260" s="774"/>
      <c r="H260" s="183"/>
      <c r="I260" s="183"/>
      <c r="J260" s="183"/>
      <c r="K260" s="183"/>
    </row>
    <row r="261" spans="2:11">
      <c r="B261" s="1276"/>
      <c r="C261" s="131" t="s">
        <v>0</v>
      </c>
      <c r="D261" s="806">
        <f t="shared" si="16"/>
        <v>0</v>
      </c>
      <c r="E261" s="806">
        <f>USER_TESTING_TAB!D334</f>
        <v>5.3704760379335428E-2</v>
      </c>
      <c r="F261" s="774"/>
      <c r="G261" s="774"/>
      <c r="H261" s="183"/>
      <c r="I261" s="183"/>
      <c r="J261" s="183"/>
      <c r="K261" s="183"/>
    </row>
    <row r="262" spans="2:11">
      <c r="B262" s="1276"/>
      <c r="C262" s="131" t="s">
        <v>573</v>
      </c>
      <c r="D262" s="806">
        <f t="shared" si="16"/>
        <v>0</v>
      </c>
      <c r="E262" s="806">
        <f>USER_TESTING_TAB!D335</f>
        <v>6.49038506637587E-2</v>
      </c>
      <c r="F262" s="774"/>
      <c r="G262" s="774"/>
      <c r="H262" s="183"/>
      <c r="I262" s="183"/>
      <c r="J262" s="183"/>
      <c r="K262" s="183"/>
    </row>
    <row r="263" spans="2:11">
      <c r="B263" s="1276"/>
      <c r="C263" s="131" t="s">
        <v>574</v>
      </c>
      <c r="D263" s="806">
        <f t="shared" si="16"/>
        <v>0</v>
      </c>
      <c r="E263" s="806">
        <f>USER_TESTING_TAB!D336</f>
        <v>3.8975877543540892E-2</v>
      </c>
      <c r="F263" s="774"/>
      <c r="G263" s="774"/>
      <c r="H263" s="183"/>
      <c r="I263" s="183"/>
      <c r="J263" s="183"/>
      <c r="K263" s="183"/>
    </row>
    <row r="264" spans="2:11">
      <c r="B264" s="1276"/>
      <c r="C264" s="131" t="s">
        <v>5</v>
      </c>
      <c r="D264" s="806">
        <f t="shared" si="16"/>
        <v>0</v>
      </c>
      <c r="E264" s="806">
        <f>USER_TESTING_TAB!D337</f>
        <v>5.2443724096728997E-2</v>
      </c>
      <c r="F264" s="774"/>
      <c r="G264" s="774"/>
      <c r="H264" s="183"/>
      <c r="I264" s="183"/>
      <c r="J264" s="183"/>
      <c r="K264" s="183"/>
    </row>
    <row r="265" spans="2:11">
      <c r="B265" s="1276"/>
      <c r="C265" s="131" t="s">
        <v>41</v>
      </c>
      <c r="D265" s="806">
        <f t="shared" si="16"/>
        <v>0</v>
      </c>
      <c r="E265" s="806">
        <f>USER_TESTING_TAB!D338</f>
        <v>0.13826981448484513</v>
      </c>
      <c r="F265" s="774"/>
      <c r="G265" s="774"/>
      <c r="H265" s="183"/>
      <c r="I265" s="183"/>
      <c r="J265" s="183"/>
      <c r="K265" s="183"/>
    </row>
    <row r="266" spans="2:11">
      <c r="B266" s="1276"/>
      <c r="C266" s="131" t="s">
        <v>575</v>
      </c>
      <c r="D266" s="806">
        <f t="shared" si="16"/>
        <v>0</v>
      </c>
      <c r="E266" s="806">
        <f>USER_TESTING_TAB!D339</f>
        <v>4.057770218571477E-2</v>
      </c>
      <c r="F266" s="774"/>
      <c r="G266" s="774"/>
      <c r="H266" s="183"/>
      <c r="I266" s="183"/>
      <c r="J266" s="183"/>
      <c r="K266" s="183"/>
    </row>
    <row r="267" spans="2:11">
      <c r="B267" s="1276"/>
      <c r="C267" s="131" t="s">
        <v>2</v>
      </c>
      <c r="D267" s="806">
        <f t="shared" si="16"/>
        <v>0</v>
      </c>
      <c r="E267" s="806">
        <f>USER_TESTING_TAB!D340</f>
        <v>4.205381353410817E-2</v>
      </c>
      <c r="F267" s="774"/>
      <c r="G267" s="774"/>
      <c r="H267" s="183"/>
      <c r="I267" s="183"/>
      <c r="J267" s="183"/>
      <c r="K267" s="183"/>
    </row>
    <row r="268" spans="2:11">
      <c r="B268" s="1276"/>
      <c r="C268" s="131" t="s">
        <v>576</v>
      </c>
      <c r="D268" s="806">
        <f t="shared" si="16"/>
        <v>0</v>
      </c>
      <c r="E268" s="806">
        <f>USER_TESTING_TAB!D341</f>
        <v>6.0172109869509709E-2</v>
      </c>
      <c r="F268" s="774"/>
      <c r="G268" s="774"/>
      <c r="H268" s="183"/>
      <c r="I268" s="183"/>
      <c r="J268" s="183"/>
      <c r="K268" s="183"/>
    </row>
    <row r="269" spans="2:11">
      <c r="B269" s="1277" t="s">
        <v>1654</v>
      </c>
      <c r="C269" s="803" t="s">
        <v>571</v>
      </c>
      <c r="D269" s="804">
        <f t="shared" ref="D269:D287" si="17">IF($B$226=$D$227,E269,0)</f>
        <v>5.5482785567752567E-2</v>
      </c>
      <c r="E269" s="804">
        <f>USER_TESTING_TAB!C323</f>
        <v>5.5482785567752567E-2</v>
      </c>
      <c r="F269" s="774"/>
      <c r="G269" s="774"/>
      <c r="H269" s="183"/>
      <c r="I269" s="183"/>
      <c r="J269" s="183"/>
      <c r="K269" s="183"/>
    </row>
    <row r="270" spans="2:11">
      <c r="B270" s="1278"/>
      <c r="C270" s="803" t="s">
        <v>7</v>
      </c>
      <c r="D270" s="804">
        <f t="shared" si="17"/>
        <v>4.7147483464243911E-2</v>
      </c>
      <c r="E270" s="804">
        <f>USER_TESTING_TAB!C324</f>
        <v>4.7147483464243911E-2</v>
      </c>
      <c r="F270" s="774"/>
      <c r="G270" s="774"/>
      <c r="H270" s="183"/>
      <c r="I270" s="183"/>
      <c r="J270" s="183"/>
      <c r="K270" s="183"/>
    </row>
    <row r="271" spans="2:11">
      <c r="B271" s="1278"/>
      <c r="C271" s="803" t="s">
        <v>429</v>
      </c>
      <c r="D271" s="804">
        <f t="shared" si="17"/>
        <v>9.1589119325306181E-2</v>
      </c>
      <c r="E271" s="804">
        <f>USER_TESTING_TAB!C325</f>
        <v>9.1589119325306181E-2</v>
      </c>
      <c r="F271" s="774"/>
      <c r="G271" s="774"/>
      <c r="H271" s="183"/>
      <c r="I271" s="183"/>
      <c r="J271" s="183"/>
      <c r="K271" s="183"/>
    </row>
    <row r="272" spans="2:11">
      <c r="B272" s="1278"/>
      <c r="C272" s="803" t="s">
        <v>3</v>
      </c>
      <c r="D272" s="804">
        <f t="shared" si="17"/>
        <v>4.6913086855563599E-2</v>
      </c>
      <c r="E272" s="804">
        <f>USER_TESTING_TAB!C326</f>
        <v>4.6913086855563599E-2</v>
      </c>
      <c r="F272" s="774"/>
      <c r="G272" s="774"/>
      <c r="H272" s="183"/>
      <c r="I272" s="183"/>
      <c r="J272" s="183"/>
      <c r="K272" s="183"/>
    </row>
    <row r="273" spans="2:11">
      <c r="B273" s="1278"/>
      <c r="C273" s="803" t="s">
        <v>80</v>
      </c>
      <c r="D273" s="804">
        <f t="shared" si="17"/>
        <v>6.704089375668533E-2</v>
      </c>
      <c r="E273" s="804">
        <f>USER_TESTING_TAB!C327</f>
        <v>6.704089375668533E-2</v>
      </c>
      <c r="F273" s="774"/>
      <c r="G273" s="774"/>
      <c r="H273" s="183"/>
      <c r="I273" s="183"/>
      <c r="J273" s="183"/>
      <c r="K273" s="183"/>
    </row>
    <row r="274" spans="2:11">
      <c r="B274" s="1278"/>
      <c r="C274" s="803" t="s">
        <v>108</v>
      </c>
      <c r="D274" s="804">
        <f t="shared" si="17"/>
        <v>5.5336545757057175E-2</v>
      </c>
      <c r="E274" s="804">
        <f>USER_TESTING_TAB!C328</f>
        <v>5.5336545757057175E-2</v>
      </c>
      <c r="F274" s="774"/>
      <c r="G274" s="774"/>
      <c r="H274" s="183"/>
      <c r="I274" s="183"/>
      <c r="J274" s="183"/>
      <c r="K274" s="183"/>
    </row>
    <row r="275" spans="2:11">
      <c r="B275" s="1278"/>
      <c r="C275" s="803" t="s">
        <v>572</v>
      </c>
      <c r="D275" s="804">
        <f t="shared" si="17"/>
        <v>6.7710578130345755E-2</v>
      </c>
      <c r="E275" s="804">
        <f>USER_TESTING_TAB!C329</f>
        <v>6.7710578130345755E-2</v>
      </c>
      <c r="F275" s="774"/>
      <c r="G275" s="774"/>
      <c r="H275" s="183"/>
      <c r="I275" s="183"/>
      <c r="J275" s="183"/>
      <c r="K275" s="183"/>
    </row>
    <row r="276" spans="2:11">
      <c r="B276" s="1278"/>
      <c r="C276" s="803" t="s">
        <v>6</v>
      </c>
      <c r="D276" s="804">
        <f t="shared" si="17"/>
        <v>8.377556244402512E-2</v>
      </c>
      <c r="E276" s="804">
        <f>USER_TESTING_TAB!C330</f>
        <v>8.377556244402512E-2</v>
      </c>
      <c r="F276" s="774"/>
      <c r="G276" s="774"/>
      <c r="H276" s="183"/>
      <c r="I276" s="183"/>
      <c r="J276" s="183"/>
      <c r="K276" s="183"/>
    </row>
    <row r="277" spans="2:11">
      <c r="B277" s="1278"/>
      <c r="C277" s="803" t="s">
        <v>1</v>
      </c>
      <c r="D277" s="804">
        <f t="shared" si="17"/>
        <v>8.773490743765272E-2</v>
      </c>
      <c r="E277" s="804">
        <f>USER_TESTING_TAB!C331</f>
        <v>8.773490743765272E-2</v>
      </c>
      <c r="F277" s="774"/>
      <c r="G277" s="774"/>
      <c r="H277" s="183"/>
      <c r="I277" s="183"/>
      <c r="J277" s="183"/>
      <c r="K277" s="183"/>
    </row>
    <row r="278" spans="2:11">
      <c r="B278" s="1278"/>
      <c r="C278" s="803" t="s">
        <v>397</v>
      </c>
      <c r="D278" s="804">
        <f t="shared" si="17"/>
        <v>0.10009363022572292</v>
      </c>
      <c r="E278" s="804">
        <f>USER_TESTING_TAB!C332</f>
        <v>0.10009363022572292</v>
      </c>
      <c r="F278" s="774"/>
      <c r="G278" s="774"/>
      <c r="H278" s="183"/>
      <c r="I278" s="183"/>
      <c r="J278" s="183"/>
      <c r="K278" s="183"/>
    </row>
    <row r="279" spans="2:11">
      <c r="B279" s="1278"/>
      <c r="C279" s="803" t="s">
        <v>4</v>
      </c>
      <c r="D279" s="804">
        <f t="shared" si="17"/>
        <v>4.7550259871897121E-2</v>
      </c>
      <c r="E279" s="804">
        <f>USER_TESTING_TAB!C333</f>
        <v>4.7550259871897121E-2</v>
      </c>
      <c r="F279" s="774"/>
      <c r="G279" s="774"/>
      <c r="H279" s="183"/>
      <c r="I279" s="183"/>
      <c r="J279" s="183"/>
      <c r="K279" s="183"/>
    </row>
    <row r="280" spans="2:11">
      <c r="B280" s="1278"/>
      <c r="C280" s="803" t="s">
        <v>0</v>
      </c>
      <c r="D280" s="804">
        <f t="shared" si="17"/>
        <v>4.9790971050012442E-2</v>
      </c>
      <c r="E280" s="804">
        <f>USER_TESTING_TAB!C334</f>
        <v>4.9790971050012442E-2</v>
      </c>
      <c r="F280" s="774"/>
      <c r="G280" s="774"/>
      <c r="H280" s="183"/>
      <c r="I280" s="183"/>
      <c r="J280" s="183"/>
      <c r="K280" s="183"/>
    </row>
    <row r="281" spans="2:11">
      <c r="B281" s="1278"/>
      <c r="C281" s="803" t="s">
        <v>573</v>
      </c>
      <c r="D281" s="804">
        <f t="shared" si="17"/>
        <v>6.49038506637587E-2</v>
      </c>
      <c r="E281" s="804">
        <f>USER_TESTING_TAB!C335</f>
        <v>6.49038506637587E-2</v>
      </c>
      <c r="F281" s="774"/>
      <c r="G281" s="774"/>
      <c r="H281" s="183"/>
      <c r="I281" s="183"/>
      <c r="J281" s="183"/>
      <c r="K281" s="183"/>
    </row>
    <row r="282" spans="2:11">
      <c r="B282" s="1278"/>
      <c r="C282" s="803" t="s">
        <v>574</v>
      </c>
      <c r="D282" s="804">
        <f t="shared" si="17"/>
        <v>3.8975877543540892E-2</v>
      </c>
      <c r="E282" s="804">
        <f>USER_TESTING_TAB!C336</f>
        <v>3.8975877543540892E-2</v>
      </c>
      <c r="F282" s="774"/>
      <c r="G282" s="774"/>
      <c r="H282" s="183"/>
      <c r="I282" s="183"/>
      <c r="J282" s="183"/>
      <c r="K282" s="183"/>
    </row>
    <row r="283" spans="2:11">
      <c r="B283" s="1278"/>
      <c r="C283" s="803" t="s">
        <v>5</v>
      </c>
      <c r="D283" s="804">
        <f t="shared" si="17"/>
        <v>4.5052436211548266E-2</v>
      </c>
      <c r="E283" s="804">
        <f>USER_TESTING_TAB!C337</f>
        <v>4.5052436211548266E-2</v>
      </c>
      <c r="F283" s="774"/>
      <c r="G283" s="774"/>
      <c r="H283" s="183"/>
      <c r="I283" s="183"/>
      <c r="J283" s="183"/>
      <c r="K283" s="183"/>
    </row>
    <row r="284" spans="2:11">
      <c r="B284" s="1278"/>
      <c r="C284" s="803" t="s">
        <v>41</v>
      </c>
      <c r="D284" s="804">
        <f t="shared" si="17"/>
        <v>0.13826981448484513</v>
      </c>
      <c r="E284" s="804">
        <f>USER_TESTING_TAB!C338</f>
        <v>0.13826981448484513</v>
      </c>
      <c r="F284" s="774"/>
      <c r="G284" s="774"/>
      <c r="H284" s="183"/>
      <c r="I284" s="183"/>
      <c r="J284" s="183"/>
      <c r="K284" s="183"/>
    </row>
    <row r="285" spans="2:11">
      <c r="B285" s="1278"/>
      <c r="C285" s="803" t="s">
        <v>575</v>
      </c>
      <c r="D285" s="804">
        <f t="shared" si="17"/>
        <v>4.057770218571477E-2</v>
      </c>
      <c r="E285" s="804">
        <f>USER_TESTING_TAB!C339</f>
        <v>4.057770218571477E-2</v>
      </c>
      <c r="F285" s="774"/>
      <c r="G285" s="774"/>
      <c r="H285" s="183"/>
      <c r="I285" s="183"/>
      <c r="J285" s="183"/>
      <c r="K285" s="183"/>
    </row>
    <row r="286" spans="2:11">
      <c r="B286" s="1278"/>
      <c r="C286" s="803" t="s">
        <v>2</v>
      </c>
      <c r="D286" s="804">
        <f t="shared" si="17"/>
        <v>3.5327821376179305E-2</v>
      </c>
      <c r="E286" s="804">
        <f>USER_TESTING_TAB!C340</f>
        <v>3.5327821376179305E-2</v>
      </c>
      <c r="F286" s="774"/>
      <c r="G286" s="774"/>
      <c r="H286" s="183"/>
      <c r="I286" s="183"/>
      <c r="J286" s="183"/>
      <c r="K286" s="183"/>
    </row>
    <row r="287" spans="2:11">
      <c r="B287" s="1278"/>
      <c r="C287" s="803" t="s">
        <v>576</v>
      </c>
      <c r="D287" s="804">
        <f t="shared" si="17"/>
        <v>5.4816797336101404E-2</v>
      </c>
      <c r="E287" s="804">
        <f>USER_TESTING_TAB!C341</f>
        <v>5.4816797336101404E-2</v>
      </c>
      <c r="F287" s="774"/>
      <c r="G287" s="774"/>
      <c r="H287" s="183"/>
      <c r="I287" s="183"/>
      <c r="J287" s="183"/>
      <c r="K287" s="183"/>
    </row>
    <row r="289" spans="2:14">
      <c r="B289" s="12" t="s">
        <v>1311</v>
      </c>
    </row>
    <row r="291" spans="2:14">
      <c r="B291" s="1004" t="s">
        <v>1554</v>
      </c>
    </row>
    <row r="293" spans="2:14" ht="102">
      <c r="B293" s="839"/>
      <c r="C293" s="182" t="s">
        <v>59</v>
      </c>
      <c r="D293" s="836" t="s">
        <v>1657</v>
      </c>
      <c r="E293" s="149" t="s">
        <v>1266</v>
      </c>
      <c r="F293" s="138" t="s">
        <v>1242</v>
      </c>
      <c r="G293" s="256" t="s">
        <v>1243</v>
      </c>
      <c r="L293" s="149" t="s">
        <v>1244</v>
      </c>
    </row>
    <row r="294" spans="2:14">
      <c r="C294" s="182" t="s">
        <v>40</v>
      </c>
      <c r="D294" s="433">
        <f>Calc_Primary_teacher_need!P63</f>
        <v>243605.32104784102</v>
      </c>
      <c r="E294" s="840">
        <v>243000.85786869246</v>
      </c>
      <c r="F294" s="317">
        <f>D294-E294</f>
        <v>604.46317914855899</v>
      </c>
      <c r="G294" s="1132">
        <v>0</v>
      </c>
      <c r="L294" s="317">
        <f>IF(B220=1,G294,F294)</f>
        <v>604.46317914855899</v>
      </c>
    </row>
    <row r="295" spans="2:14">
      <c r="C295" s="182" t="s">
        <v>571</v>
      </c>
      <c r="D295" s="433">
        <f>Teacher_need_by_subject!C623</f>
        <v>8089.5540643163376</v>
      </c>
      <c r="E295" s="300">
        <v>8085.3981758189766</v>
      </c>
      <c r="F295" s="317">
        <f t="shared" ref="F295:F313" si="18">D295-E295</f>
        <v>4.1558884973610475</v>
      </c>
      <c r="G295" s="1132">
        <v>0</v>
      </c>
      <c r="L295" s="317">
        <f>IF($B$226=1,G295,F295)</f>
        <v>4.1558884973610475</v>
      </c>
    </row>
    <row r="296" spans="2:14">
      <c r="C296" s="182" t="s">
        <v>7</v>
      </c>
      <c r="D296" s="433">
        <f>Teacher_need_by_subject!C624</f>
        <v>12318.6629831685</v>
      </c>
      <c r="E296" s="300">
        <v>12282.147082515787</v>
      </c>
      <c r="F296" s="317">
        <f t="shared" si="18"/>
        <v>36.515900652713754</v>
      </c>
      <c r="G296" s="1132">
        <v>0</v>
      </c>
      <c r="L296" s="317">
        <f t="shared" ref="L296:L312" si="19">IF($B$226=1,G296,F296)</f>
        <v>36.515900652713754</v>
      </c>
      <c r="N296" s="12"/>
    </row>
    <row r="297" spans="2:14">
      <c r="C297" s="182" t="s">
        <v>429</v>
      </c>
      <c r="D297" s="433">
        <f>Teacher_need_by_subject!C625</f>
        <v>3881.3803858866468</v>
      </c>
      <c r="E297" s="300">
        <v>3881.3803858866468</v>
      </c>
      <c r="F297" s="317">
        <f t="shared" si="18"/>
        <v>0</v>
      </c>
      <c r="G297" s="1132">
        <v>0</v>
      </c>
      <c r="L297" s="317">
        <f t="shared" si="19"/>
        <v>0</v>
      </c>
      <c r="N297" s="12"/>
    </row>
    <row r="298" spans="2:14">
      <c r="C298" s="182" t="s">
        <v>3</v>
      </c>
      <c r="D298" s="433">
        <f>Teacher_need_by_subject!C626</f>
        <v>10896.284169016637</v>
      </c>
      <c r="E298" s="300">
        <v>10896.284169016637</v>
      </c>
      <c r="F298" s="317">
        <f t="shared" si="18"/>
        <v>0</v>
      </c>
      <c r="G298" s="1132">
        <v>0</v>
      </c>
      <c r="L298" s="317">
        <f t="shared" si="19"/>
        <v>0</v>
      </c>
    </row>
    <row r="299" spans="2:14">
      <c r="C299" s="182" t="s">
        <v>80</v>
      </c>
      <c r="D299" s="433">
        <f>Teacher_need_by_subject!C627</f>
        <v>299.02120443268882</v>
      </c>
      <c r="E299" s="300">
        <v>298.94337871977268</v>
      </c>
      <c r="F299" s="317">
        <f t="shared" si="18"/>
        <v>7.7825712916137491E-2</v>
      </c>
      <c r="G299" s="1132">
        <v>0</v>
      </c>
      <c r="L299" s="317">
        <f t="shared" si="19"/>
        <v>7.7825712916137491E-2</v>
      </c>
    </row>
    <row r="300" spans="2:14">
      <c r="C300" s="182" t="s">
        <v>108</v>
      </c>
      <c r="D300" s="433">
        <f>Teacher_need_by_subject!C628</f>
        <v>6886.2117410603414</v>
      </c>
      <c r="E300" s="300">
        <v>6886.2117410603414</v>
      </c>
      <c r="F300" s="317">
        <f t="shared" si="18"/>
        <v>0</v>
      </c>
      <c r="G300" s="1132">
        <v>0</v>
      </c>
      <c r="L300" s="317">
        <f t="shared" si="19"/>
        <v>0</v>
      </c>
    </row>
    <row r="301" spans="2:14">
      <c r="C301" s="182" t="s">
        <v>572</v>
      </c>
      <c r="D301" s="433">
        <f>Teacher_need_by_subject!C629</f>
        <v>9723.9372735583838</v>
      </c>
      <c r="E301" s="300">
        <v>9677.7954611528876</v>
      </c>
      <c r="F301" s="317">
        <f t="shared" si="18"/>
        <v>46.141812405496239</v>
      </c>
      <c r="G301" s="1132">
        <v>0</v>
      </c>
      <c r="L301" s="317">
        <f t="shared" si="19"/>
        <v>46.141812405496239</v>
      </c>
    </row>
    <row r="302" spans="2:14">
      <c r="C302" s="182" t="s">
        <v>6</v>
      </c>
      <c r="D302" s="433">
        <f>Teacher_need_by_subject!C630</f>
        <v>4794.803353271901</v>
      </c>
      <c r="E302" s="300">
        <v>4769.4640047096082</v>
      </c>
      <c r="F302" s="317">
        <f t="shared" si="18"/>
        <v>25.339348562292798</v>
      </c>
      <c r="G302" s="1132">
        <v>0</v>
      </c>
      <c r="L302" s="317">
        <f t="shared" si="19"/>
        <v>25.339348562292798</v>
      </c>
    </row>
    <row r="303" spans="2:14">
      <c r="C303" s="182" t="s">
        <v>1</v>
      </c>
      <c r="D303" s="433">
        <f>Teacher_need_by_subject!C631</f>
        <v>30334.045422360272</v>
      </c>
      <c r="E303" s="300">
        <v>30334.045422360272</v>
      </c>
      <c r="F303" s="317">
        <f t="shared" si="18"/>
        <v>0</v>
      </c>
      <c r="G303" s="1132">
        <v>0</v>
      </c>
      <c r="L303" s="317">
        <f t="shared" si="19"/>
        <v>0</v>
      </c>
    </row>
    <row r="304" spans="2:14">
      <c r="C304" s="182" t="s">
        <v>397</v>
      </c>
      <c r="D304" s="433">
        <f>Teacher_need_by_subject!C632</f>
        <v>1956.2535049672433</v>
      </c>
      <c r="E304" s="300">
        <v>1956.2535049672433</v>
      </c>
      <c r="F304" s="317">
        <f t="shared" si="18"/>
        <v>0</v>
      </c>
      <c r="G304" s="1132">
        <v>0</v>
      </c>
      <c r="L304" s="317">
        <f t="shared" si="19"/>
        <v>0</v>
      </c>
    </row>
    <row r="305" spans="3:12">
      <c r="C305" s="182" t="s">
        <v>4</v>
      </c>
      <c r="D305" s="433">
        <f>Teacher_need_by_subject!C633</f>
        <v>10803.079082425373</v>
      </c>
      <c r="E305" s="300">
        <v>10756.804509304271</v>
      </c>
      <c r="F305" s="317">
        <f t="shared" si="18"/>
        <v>46.274573121101639</v>
      </c>
      <c r="G305" s="1132">
        <v>0</v>
      </c>
      <c r="L305" s="317">
        <f t="shared" si="19"/>
        <v>46.274573121101639</v>
      </c>
    </row>
    <row r="306" spans="3:12">
      <c r="C306" s="182" t="s">
        <v>0</v>
      </c>
      <c r="D306" s="433">
        <f>Teacher_need_by_subject!C634</f>
        <v>11478.78528353108</v>
      </c>
      <c r="E306" s="300">
        <v>11431.50563664547</v>
      </c>
      <c r="F306" s="317">
        <f t="shared" si="18"/>
        <v>47.279646885610418</v>
      </c>
      <c r="G306" s="1132">
        <v>0</v>
      </c>
      <c r="L306" s="317">
        <f t="shared" si="19"/>
        <v>47.279646885610418</v>
      </c>
    </row>
    <row r="307" spans="3:12">
      <c r="C307" s="182" t="s">
        <v>573</v>
      </c>
      <c r="D307" s="433">
        <f>Teacher_need_by_subject!C635</f>
        <v>31263.995988909792</v>
      </c>
      <c r="E307" s="300">
        <v>31263.995988909792</v>
      </c>
      <c r="F307" s="317">
        <f t="shared" si="18"/>
        <v>0</v>
      </c>
      <c r="G307" s="1132">
        <v>0</v>
      </c>
      <c r="L307" s="317">
        <f t="shared" si="19"/>
        <v>0</v>
      </c>
    </row>
    <row r="308" spans="3:12">
      <c r="C308" s="182" t="s">
        <v>574</v>
      </c>
      <c r="D308" s="433">
        <f>Teacher_need_by_subject!C636</f>
        <v>14971.501798068488</v>
      </c>
      <c r="E308" s="300">
        <v>14971.501798068488</v>
      </c>
      <c r="F308" s="317">
        <f t="shared" si="18"/>
        <v>0</v>
      </c>
      <c r="G308" s="1132">
        <v>0</v>
      </c>
      <c r="L308" s="317">
        <f t="shared" si="19"/>
        <v>0</v>
      </c>
    </row>
    <row r="309" spans="3:12">
      <c r="C309" s="182" t="s">
        <v>5</v>
      </c>
      <c r="D309" s="433">
        <f>Teacher_need_by_subject!C637</f>
        <v>5031.0938936371076</v>
      </c>
      <c r="E309" s="300">
        <v>4992.1532598731746</v>
      </c>
      <c r="F309" s="317">
        <f t="shared" si="18"/>
        <v>38.940633763932965</v>
      </c>
      <c r="G309" s="1132">
        <v>0</v>
      </c>
      <c r="L309" s="317">
        <f t="shared" si="19"/>
        <v>38.940633763932965</v>
      </c>
    </row>
    <row r="310" spans="3:12">
      <c r="C310" s="182" t="s">
        <v>41</v>
      </c>
      <c r="D310" s="433">
        <f>Teacher_need_by_subject!C638</f>
        <v>13467.698732576104</v>
      </c>
      <c r="E310" s="300">
        <v>13467.698732576104</v>
      </c>
      <c r="F310" s="317">
        <f t="shared" si="18"/>
        <v>0</v>
      </c>
      <c r="G310" s="1132">
        <v>0</v>
      </c>
      <c r="L310" s="317">
        <f t="shared" si="19"/>
        <v>0</v>
      </c>
    </row>
    <row r="311" spans="3:12">
      <c r="C311" s="182" t="s">
        <v>575</v>
      </c>
      <c r="D311" s="433">
        <f>Teacher_need_by_subject!C639</f>
        <v>16467.262477428438</v>
      </c>
      <c r="E311" s="300">
        <v>16467.262477428438</v>
      </c>
      <c r="F311" s="317">
        <f t="shared" si="18"/>
        <v>0</v>
      </c>
      <c r="G311" s="1132">
        <v>0</v>
      </c>
      <c r="L311" s="317">
        <f t="shared" si="19"/>
        <v>0</v>
      </c>
    </row>
    <row r="312" spans="3:12">
      <c r="C312" s="182" t="s">
        <v>2</v>
      </c>
      <c r="D312" s="433">
        <f>Teacher_need_by_subject!C640</f>
        <v>10747.938420584598</v>
      </c>
      <c r="E312" s="300">
        <v>10673.000476760115</v>
      </c>
      <c r="F312" s="317">
        <f t="shared" si="18"/>
        <v>74.937943824483227</v>
      </c>
      <c r="G312" s="1132">
        <v>0</v>
      </c>
      <c r="L312" s="317">
        <f t="shared" si="19"/>
        <v>74.937943824483227</v>
      </c>
    </row>
    <row r="313" spans="3:12">
      <c r="C313" s="182" t="s">
        <v>576</v>
      </c>
      <c r="D313" s="433">
        <f>Teacher_need_by_subject!C641</f>
        <v>7253.8944869877287</v>
      </c>
      <c r="E313" s="300">
        <v>7212.7946536932932</v>
      </c>
      <c r="F313" s="317">
        <f t="shared" si="18"/>
        <v>41.099833294435484</v>
      </c>
      <c r="G313" s="1132">
        <v>0</v>
      </c>
      <c r="L313" s="317">
        <f>IF($B$226=1,G313,F313)</f>
        <v>41.099833294435484</v>
      </c>
    </row>
    <row r="315" spans="3:12">
      <c r="D315" s="924"/>
      <c r="E315" s="924"/>
    </row>
  </sheetData>
  <mergeCells count="7">
    <mergeCell ref="H127:O128"/>
    <mergeCell ref="B177:B195"/>
    <mergeCell ref="B196:B214"/>
    <mergeCell ref="B250:B268"/>
    <mergeCell ref="B269:B287"/>
    <mergeCell ref="B231:B249"/>
    <mergeCell ref="B158:B17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76"/>
  <sheetViews>
    <sheetView showGridLines="0" zoomScaleNormal="100" workbookViewId="0"/>
  </sheetViews>
  <sheetFormatPr defaultRowHeight="12.75"/>
  <cols>
    <col min="3" max="3" width="60.7109375" customWidth="1"/>
    <col min="16" max="21" width="12.140625" customWidth="1"/>
    <col min="22" max="22" width="17" customWidth="1"/>
    <col min="23" max="26" width="12.140625" customWidth="1"/>
    <col min="27" max="27" width="12.140625" style="1" customWidth="1"/>
    <col min="28" max="28" width="17" bestFit="1" customWidth="1"/>
    <col min="29" max="29" width="14.7109375" bestFit="1" customWidth="1"/>
  </cols>
  <sheetData>
    <row r="1" spans="1:27" s="712" customFormat="1" ht="15">
      <c r="A1" s="64" t="str">
        <f>ModelBanner</f>
        <v>TSM_201819 Publication</v>
      </c>
      <c r="AA1" s="99"/>
    </row>
    <row r="2" spans="1:27" s="712" customFormat="1" ht="15">
      <c r="A2" s="940" t="s">
        <v>13</v>
      </c>
      <c r="B2" s="940" t="s">
        <v>30</v>
      </c>
      <c r="AA2" s="99"/>
    </row>
    <row r="3" spans="1:27" s="712" customFormat="1" ht="15">
      <c r="A3" s="66"/>
      <c r="AA3" s="99"/>
    </row>
    <row r="4" spans="1:27" s="56" customFormat="1">
      <c r="A4" s="57" t="s">
        <v>26</v>
      </c>
      <c r="B4" s="57"/>
      <c r="D4" s="57"/>
      <c r="E4" s="57"/>
      <c r="F4" s="285"/>
      <c r="G4" s="57"/>
      <c r="H4" s="57"/>
      <c r="I4" s="57"/>
      <c r="J4" s="57"/>
      <c r="K4" s="57"/>
      <c r="L4" s="57"/>
      <c r="M4" s="57"/>
      <c r="N4" s="57"/>
      <c r="O4" s="57"/>
      <c r="P4" s="57"/>
      <c r="AA4" s="888"/>
    </row>
    <row r="5" spans="1:27" s="46" customFormat="1" ht="13.15" customHeight="1">
      <c r="A5" s="59" t="s">
        <v>1524</v>
      </c>
      <c r="B5" s="59"/>
      <c r="D5" s="59"/>
      <c r="E5" s="59"/>
      <c r="F5" s="59"/>
      <c r="G5" s="59"/>
      <c r="H5" s="59"/>
      <c r="I5" s="59"/>
      <c r="J5" s="59"/>
      <c r="K5" s="59"/>
      <c r="L5" s="59"/>
      <c r="M5" s="59"/>
      <c r="N5" s="59"/>
      <c r="O5" s="59"/>
      <c r="P5" s="59"/>
      <c r="Q5" s="59"/>
      <c r="R5" s="59"/>
      <c r="S5" s="59"/>
      <c r="T5" s="59"/>
      <c r="U5" s="59"/>
      <c r="V5" s="59"/>
    </row>
    <row r="6" spans="1:27" s="45" customFormat="1">
      <c r="A6" s="55" t="s">
        <v>1392</v>
      </c>
      <c r="B6" s="60"/>
      <c r="D6" s="60"/>
      <c r="E6" s="60"/>
      <c r="F6" s="285"/>
      <c r="G6" s="60"/>
      <c r="H6" s="60"/>
      <c r="I6" s="60"/>
      <c r="J6" s="60"/>
      <c r="K6" s="60"/>
      <c r="L6" s="60"/>
      <c r="M6" s="60"/>
      <c r="N6" s="60"/>
      <c r="O6" s="60"/>
      <c r="P6" s="60"/>
      <c r="Q6" s="44"/>
      <c r="R6" s="44"/>
    </row>
    <row r="7" spans="1:27" s="45" customFormat="1">
      <c r="A7" s="53"/>
      <c r="B7" s="55"/>
      <c r="D7" s="60"/>
      <c r="E7" s="60"/>
      <c r="F7" s="285"/>
      <c r="G7" s="60"/>
      <c r="H7" s="60"/>
      <c r="I7" s="60"/>
      <c r="J7" s="60"/>
      <c r="K7" s="60"/>
      <c r="L7" s="60"/>
      <c r="M7" s="60"/>
      <c r="N7" s="60"/>
      <c r="O7" s="60"/>
      <c r="P7" s="60"/>
      <c r="Q7" s="44"/>
      <c r="R7" s="44"/>
    </row>
    <row r="8" spans="1:27" s="45" customFormat="1">
      <c r="A8" s="55" t="s">
        <v>24</v>
      </c>
      <c r="B8" s="60"/>
      <c r="D8" s="60"/>
      <c r="E8" s="60"/>
      <c r="F8" s="285"/>
      <c r="G8" s="60"/>
      <c r="H8" s="60"/>
      <c r="I8" s="60"/>
      <c r="J8" s="60"/>
      <c r="K8" s="60"/>
      <c r="L8" s="60"/>
      <c r="M8" s="60"/>
      <c r="N8" s="60"/>
      <c r="O8" s="60"/>
      <c r="P8" s="60"/>
      <c r="Q8" s="44"/>
      <c r="R8" s="44"/>
    </row>
    <row r="9" spans="1:27" s="49" customFormat="1" ht="13.5" customHeight="1">
      <c r="A9" s="54" t="s">
        <v>1189</v>
      </c>
      <c r="B9" s="72"/>
      <c r="D9" s="70"/>
      <c r="E9" s="286"/>
      <c r="F9" s="286"/>
      <c r="G9" s="286"/>
      <c r="H9" s="71"/>
      <c r="I9" s="286"/>
      <c r="J9" s="286"/>
      <c r="K9" s="71"/>
      <c r="L9" s="287"/>
      <c r="M9" s="287"/>
      <c r="N9" s="287"/>
      <c r="O9" s="287"/>
      <c r="P9" s="287"/>
      <c r="Q9" s="48"/>
      <c r="R9" s="48"/>
      <c r="AA9" s="45"/>
    </row>
    <row r="11" spans="1:27" ht="18">
      <c r="C11" s="38" t="s">
        <v>1525</v>
      </c>
      <c r="D11" s="213" t="s">
        <v>348</v>
      </c>
      <c r="J11" s="213"/>
    </row>
    <row r="12" spans="1:27">
      <c r="E12" s="927"/>
      <c r="F12" s="927"/>
      <c r="G12" s="927"/>
      <c r="H12" s="927"/>
      <c r="I12" s="927"/>
      <c r="J12" s="927"/>
      <c r="K12" s="927"/>
      <c r="L12" s="927"/>
      <c r="M12" s="927"/>
      <c r="N12" s="927"/>
      <c r="O12" s="927"/>
      <c r="P12" s="927"/>
      <c r="Q12" s="927"/>
      <c r="R12" s="927"/>
      <c r="S12" s="927"/>
      <c r="T12" s="927"/>
    </row>
    <row r="13" spans="1:27" ht="24">
      <c r="C13" s="929" t="s">
        <v>1324</v>
      </c>
      <c r="D13" s="929" t="s">
        <v>1325</v>
      </c>
      <c r="E13" s="1283" t="s">
        <v>1326</v>
      </c>
      <c r="F13" s="1284"/>
      <c r="G13" s="1284"/>
      <c r="H13" s="1284"/>
      <c r="I13" s="1284"/>
      <c r="J13" s="1284"/>
      <c r="K13" s="1284"/>
      <c r="L13" s="1284"/>
      <c r="M13" s="1284"/>
      <c r="N13" s="1284"/>
      <c r="O13" s="1285"/>
      <c r="P13" s="927"/>
      <c r="Q13" s="927"/>
      <c r="R13" s="927"/>
      <c r="S13" s="927"/>
      <c r="T13" s="927"/>
    </row>
    <row r="14" spans="1:27" ht="33" customHeight="1">
      <c r="B14" s="170">
        <v>2</v>
      </c>
      <c r="C14" s="1111" t="s">
        <v>1706</v>
      </c>
      <c r="D14" s="887">
        <v>1</v>
      </c>
      <c r="E14" s="1185" t="s">
        <v>1767</v>
      </c>
      <c r="F14" s="1288"/>
      <c r="G14" s="1288"/>
      <c r="H14" s="1288"/>
      <c r="I14" s="1288"/>
      <c r="J14" s="1288"/>
      <c r="K14" s="1288"/>
      <c r="L14" s="1288"/>
      <c r="M14" s="1288"/>
      <c r="N14" s="1288"/>
      <c r="O14" s="1289"/>
      <c r="P14" s="1136"/>
      <c r="Q14" s="1136"/>
      <c r="R14" s="1136"/>
      <c r="S14" s="1136"/>
      <c r="T14" s="1137"/>
    </row>
    <row r="15" spans="1:27" ht="55.9" customHeight="1">
      <c r="C15" s="1111" t="s">
        <v>1707</v>
      </c>
      <c r="D15" s="887">
        <v>2</v>
      </c>
      <c r="E15" s="1185" t="s">
        <v>1747</v>
      </c>
      <c r="F15" s="1286"/>
      <c r="G15" s="1286"/>
      <c r="H15" s="1286"/>
      <c r="I15" s="1286"/>
      <c r="J15" s="1286"/>
      <c r="K15" s="1286"/>
      <c r="L15" s="1286"/>
      <c r="M15" s="1286"/>
      <c r="N15" s="1286"/>
      <c r="O15" s="1287"/>
      <c r="P15" s="928"/>
      <c r="Q15" s="928"/>
      <c r="R15" s="928"/>
      <c r="S15" s="928"/>
      <c r="T15" s="928"/>
    </row>
    <row r="17" spans="2:27">
      <c r="C17" s="5" t="s">
        <v>59</v>
      </c>
      <c r="D17" s="187" t="str">
        <f>Teacher_need_by_subject!C622</f>
        <v>2017/18</v>
      </c>
      <c r="E17" s="187" t="str">
        <f>Teacher_need_by_subject!D622</f>
        <v>2018/19</v>
      </c>
      <c r="F17" s="187" t="str">
        <f>Teacher_need_by_subject!E622</f>
        <v>2019/20</v>
      </c>
      <c r="G17" s="187" t="str">
        <f>Teacher_need_by_subject!F622</f>
        <v>2020/21</v>
      </c>
      <c r="H17" s="187" t="str">
        <f>Teacher_need_by_subject!G622</f>
        <v>2021/22</v>
      </c>
      <c r="I17" s="187" t="str">
        <f>Teacher_need_by_subject!H622</f>
        <v>2022/23</v>
      </c>
      <c r="J17" s="187" t="str">
        <f>Teacher_need_by_subject!I622</f>
        <v>2023/24</v>
      </c>
      <c r="K17" s="187" t="str">
        <f>Teacher_need_by_subject!J622</f>
        <v>2024/25</v>
      </c>
      <c r="L17" s="187" t="str">
        <f>Teacher_need_by_subject!K622</f>
        <v>2025/26</v>
      </c>
      <c r="M17" s="187" t="str">
        <f>Teacher_need_by_subject!L622</f>
        <v>2026/27</v>
      </c>
      <c r="N17" s="187" t="str">
        <f>Teacher_need_by_subject!M622</f>
        <v>2027/28</v>
      </c>
      <c r="O17" s="187" t="str">
        <f>Teacher_need_by_subject!N622</f>
        <v>2028/29</v>
      </c>
      <c r="P17" s="1107" t="s">
        <v>1699</v>
      </c>
    </row>
    <row r="18" spans="2:27">
      <c r="B18" s="1279" t="s">
        <v>1187</v>
      </c>
      <c r="C18" s="142" t="s">
        <v>571</v>
      </c>
      <c r="D18" s="798">
        <f>D56+D37</f>
        <v>0</v>
      </c>
      <c r="E18" s="798">
        <f t="shared" ref="E18:O18" si="0">E56+E37</f>
        <v>-680.60474475032447</v>
      </c>
      <c r="F18" s="798">
        <f t="shared" si="0"/>
        <v>-1447.1413138409437</v>
      </c>
      <c r="G18" s="798">
        <f t="shared" si="0"/>
        <v>-2431.7546423925619</v>
      </c>
      <c r="H18" s="798">
        <f t="shared" si="0"/>
        <v>-3738.1636893197638</v>
      </c>
      <c r="I18" s="798">
        <f t="shared" si="0"/>
        <v>-5382.6041973981219</v>
      </c>
      <c r="J18" s="798">
        <f t="shared" si="0"/>
        <v>-6803.0041655445802</v>
      </c>
      <c r="K18" s="798">
        <f t="shared" si="0"/>
        <v>-6941.4421810669</v>
      </c>
      <c r="L18" s="798">
        <f t="shared" si="0"/>
        <v>-6996.60041767039</v>
      </c>
      <c r="M18" s="798">
        <f t="shared" si="0"/>
        <v>-6975.3166662560798</v>
      </c>
      <c r="N18" s="798">
        <f t="shared" si="0"/>
        <v>-6904.5667617896852</v>
      </c>
      <c r="O18" s="798">
        <f t="shared" si="0"/>
        <v>-6904.5667617896852</v>
      </c>
      <c r="P18" s="302"/>
      <c r="Q18" s="302"/>
      <c r="R18" s="302"/>
      <c r="S18" s="302"/>
      <c r="T18" s="302"/>
      <c r="U18" s="302"/>
      <c r="V18" s="302"/>
      <c r="W18" s="302"/>
      <c r="X18" s="302"/>
      <c r="Y18" s="302"/>
      <c r="Z18" s="302"/>
      <c r="AA18" s="375"/>
    </row>
    <row r="19" spans="2:27">
      <c r="B19" s="1279"/>
      <c r="C19" s="142" t="s">
        <v>7</v>
      </c>
      <c r="D19" s="798">
        <f t="shared" ref="D19:O19" si="1">D57+D38</f>
        <v>0</v>
      </c>
      <c r="E19" s="798">
        <f t="shared" si="1"/>
        <v>0</v>
      </c>
      <c r="F19" s="798">
        <f t="shared" si="1"/>
        <v>0</v>
      </c>
      <c r="G19" s="798">
        <f t="shared" si="1"/>
        <v>0</v>
      </c>
      <c r="H19" s="798">
        <f t="shared" si="1"/>
        <v>0</v>
      </c>
      <c r="I19" s="798">
        <f t="shared" si="1"/>
        <v>0</v>
      </c>
      <c r="J19" s="798">
        <f t="shared" si="1"/>
        <v>0</v>
      </c>
      <c r="K19" s="798">
        <f t="shared" si="1"/>
        <v>0</v>
      </c>
      <c r="L19" s="798">
        <f t="shared" si="1"/>
        <v>0</v>
      </c>
      <c r="M19" s="798">
        <f t="shared" si="1"/>
        <v>0</v>
      </c>
      <c r="N19" s="798">
        <f t="shared" si="1"/>
        <v>0</v>
      </c>
      <c r="O19" s="798">
        <f t="shared" si="1"/>
        <v>0</v>
      </c>
      <c r="P19" s="302"/>
      <c r="Q19" s="302"/>
      <c r="R19" s="302"/>
      <c r="S19" s="302"/>
      <c r="T19" s="302"/>
      <c r="U19" s="302"/>
      <c r="V19" s="302"/>
      <c r="W19" s="302"/>
      <c r="X19" s="302"/>
      <c r="Y19" s="302"/>
      <c r="Z19" s="302"/>
      <c r="AA19" s="375"/>
    </row>
    <row r="20" spans="2:27">
      <c r="B20" s="1279"/>
      <c r="C20" s="142" t="s">
        <v>429</v>
      </c>
      <c r="D20" s="798">
        <f t="shared" ref="D20:O20" si="2">D58+D39</f>
        <v>0</v>
      </c>
      <c r="E20" s="798">
        <f t="shared" si="2"/>
        <v>-153.70968820540571</v>
      </c>
      <c r="F20" s="798">
        <f t="shared" si="2"/>
        <v>-370.51822236950829</v>
      </c>
      <c r="G20" s="798">
        <f t="shared" si="2"/>
        <v>-681.97934251248898</v>
      </c>
      <c r="H20" s="798">
        <f t="shared" si="2"/>
        <v>-1112.3492429189257</v>
      </c>
      <c r="I20" s="798">
        <f t="shared" si="2"/>
        <v>-1663.8588864780509</v>
      </c>
      <c r="J20" s="798">
        <f t="shared" si="2"/>
        <v>-1971.0785781902275</v>
      </c>
      <c r="K20" s="798">
        <f t="shared" si="2"/>
        <v>-2007.7459451168868</v>
      </c>
      <c r="L20" s="798">
        <f t="shared" si="2"/>
        <v>-2022.3554242613022</v>
      </c>
      <c r="M20" s="798">
        <f t="shared" si="2"/>
        <v>-2016.7181062187133</v>
      </c>
      <c r="N20" s="798">
        <f t="shared" si="2"/>
        <v>-1995.1494135821231</v>
      </c>
      <c r="O20" s="798">
        <f t="shared" si="2"/>
        <v>-1995.1494135821231</v>
      </c>
      <c r="P20" s="302"/>
      <c r="Q20" s="302"/>
      <c r="R20" s="302"/>
      <c r="S20" s="302"/>
      <c r="T20" s="302"/>
      <c r="U20" s="302"/>
      <c r="V20" s="302"/>
      <c r="W20" s="302"/>
      <c r="X20" s="302"/>
      <c r="Y20" s="302"/>
      <c r="Z20" s="302"/>
      <c r="AA20" s="375"/>
    </row>
    <row r="21" spans="2:27">
      <c r="B21" s="1279"/>
      <c r="C21" s="142" t="s">
        <v>3</v>
      </c>
      <c r="D21" s="798">
        <f t="shared" ref="D21:O21" si="3">D59+D40</f>
        <v>0</v>
      </c>
      <c r="E21" s="798">
        <f t="shared" si="3"/>
        <v>0</v>
      </c>
      <c r="F21" s="798">
        <f t="shared" si="3"/>
        <v>0</v>
      </c>
      <c r="G21" s="798">
        <f t="shared" si="3"/>
        <v>0</v>
      </c>
      <c r="H21" s="798">
        <f t="shared" si="3"/>
        <v>0</v>
      </c>
      <c r="I21" s="798">
        <f t="shared" si="3"/>
        <v>0</v>
      </c>
      <c r="J21" s="798">
        <f t="shared" si="3"/>
        <v>0</v>
      </c>
      <c r="K21" s="798">
        <f t="shared" si="3"/>
        <v>0</v>
      </c>
      <c r="L21" s="798">
        <f t="shared" si="3"/>
        <v>0</v>
      </c>
      <c r="M21" s="798">
        <f t="shared" si="3"/>
        <v>0</v>
      </c>
      <c r="N21" s="798">
        <f t="shared" si="3"/>
        <v>0</v>
      </c>
      <c r="O21" s="798">
        <f t="shared" si="3"/>
        <v>0</v>
      </c>
      <c r="P21" s="302"/>
      <c r="Q21" s="302"/>
      <c r="R21" s="302"/>
      <c r="S21" s="302"/>
      <c r="T21" s="302"/>
      <c r="U21" s="302"/>
      <c r="V21" s="302"/>
      <c r="W21" s="302"/>
      <c r="X21" s="302"/>
      <c r="Y21" s="302"/>
      <c r="Z21" s="302"/>
      <c r="AA21" s="375"/>
    </row>
    <row r="22" spans="2:27">
      <c r="B22" s="1279"/>
      <c r="C22" s="142" t="s">
        <v>80</v>
      </c>
      <c r="D22" s="798">
        <f t="shared" ref="D22:O22" si="4">D60+D41</f>
        <v>0</v>
      </c>
      <c r="E22" s="798">
        <f t="shared" si="4"/>
        <v>0</v>
      </c>
      <c r="F22" s="798">
        <f t="shared" si="4"/>
        <v>0</v>
      </c>
      <c r="G22" s="798">
        <f t="shared" si="4"/>
        <v>0</v>
      </c>
      <c r="H22" s="798">
        <f t="shared" si="4"/>
        <v>0</v>
      </c>
      <c r="I22" s="798">
        <f t="shared" si="4"/>
        <v>0</v>
      </c>
      <c r="J22" s="798">
        <f t="shared" si="4"/>
        <v>0</v>
      </c>
      <c r="K22" s="798">
        <f t="shared" si="4"/>
        <v>0</v>
      </c>
      <c r="L22" s="798">
        <f t="shared" si="4"/>
        <v>0</v>
      </c>
      <c r="M22" s="798">
        <f t="shared" si="4"/>
        <v>0</v>
      </c>
      <c r="N22" s="798">
        <f t="shared" si="4"/>
        <v>0</v>
      </c>
      <c r="O22" s="798">
        <f t="shared" si="4"/>
        <v>0</v>
      </c>
      <c r="P22" s="302"/>
      <c r="Q22" s="302"/>
      <c r="R22" s="302"/>
      <c r="S22" s="302"/>
      <c r="T22" s="302"/>
      <c r="U22" s="302"/>
      <c r="V22" s="302"/>
      <c r="W22" s="302"/>
      <c r="X22" s="302"/>
      <c r="Y22" s="302"/>
      <c r="Z22" s="302"/>
      <c r="AA22" s="375"/>
    </row>
    <row r="23" spans="2:27">
      <c r="B23" s="1279"/>
      <c r="C23" s="142" t="s">
        <v>108</v>
      </c>
      <c r="D23" s="798">
        <f t="shared" ref="D23:O23" si="5">D61+D42</f>
        <v>0</v>
      </c>
      <c r="E23" s="798">
        <f t="shared" si="5"/>
        <v>-560.23026250959583</v>
      </c>
      <c r="F23" s="798">
        <f t="shared" si="5"/>
        <v>-1208.3760200193828</v>
      </c>
      <c r="G23" s="798">
        <f t="shared" si="5"/>
        <v>-2053.8828918666231</v>
      </c>
      <c r="H23" s="798">
        <f t="shared" si="5"/>
        <v>-3182.4528779884367</v>
      </c>
      <c r="I23" s="798">
        <f t="shared" si="5"/>
        <v>-4606.8855845362677</v>
      </c>
      <c r="J23" s="798">
        <f t="shared" si="5"/>
        <v>-5770.7324905439764</v>
      </c>
      <c r="K23" s="798">
        <f t="shared" si="5"/>
        <v>-5886.8102104621103</v>
      </c>
      <c r="L23" s="798">
        <f t="shared" si="5"/>
        <v>-5933.0593734212962</v>
      </c>
      <c r="M23" s="798">
        <f t="shared" si="5"/>
        <v>-5915.2133408401733</v>
      </c>
      <c r="N23" s="798">
        <f t="shared" si="5"/>
        <v>-5854.7781316412566</v>
      </c>
      <c r="O23" s="798">
        <f t="shared" si="5"/>
        <v>-5854.7781316412566</v>
      </c>
      <c r="P23" s="302"/>
      <c r="Q23" s="302"/>
      <c r="R23" s="302"/>
      <c r="S23" s="302"/>
      <c r="T23" s="302"/>
      <c r="U23" s="302"/>
      <c r="V23" s="302"/>
      <c r="W23" s="302"/>
      <c r="X23" s="302"/>
      <c r="Y23" s="302"/>
      <c r="Z23" s="302"/>
      <c r="AA23" s="375"/>
    </row>
    <row r="24" spans="2:27">
      <c r="B24" s="1279"/>
      <c r="C24" s="142" t="s">
        <v>572</v>
      </c>
      <c r="D24" s="798">
        <f t="shared" ref="D24:O24" si="6">D62+D43</f>
        <v>0</v>
      </c>
      <c r="E24" s="798">
        <f t="shared" si="6"/>
        <v>-930.06913864807871</v>
      </c>
      <c r="F24" s="798">
        <f t="shared" si="6"/>
        <v>-1957.5678597012666</v>
      </c>
      <c r="G24" s="798">
        <f t="shared" si="6"/>
        <v>-3262.2940243485027</v>
      </c>
      <c r="H24" s="798">
        <f t="shared" si="6"/>
        <v>-4985.6022183775785</v>
      </c>
      <c r="I24" s="798">
        <f t="shared" si="6"/>
        <v>-7150.3363220956107</v>
      </c>
      <c r="J24" s="798">
        <f t="shared" si="6"/>
        <v>-9097.5706171953589</v>
      </c>
      <c r="K24" s="798">
        <f t="shared" si="6"/>
        <v>-9284.2780617422904</v>
      </c>
      <c r="L24" s="798">
        <f t="shared" si="6"/>
        <v>-9358.6684187775099</v>
      </c>
      <c r="M24" s="798">
        <f t="shared" si="6"/>
        <v>-9329.963623913578</v>
      </c>
      <c r="N24" s="798">
        <f t="shared" si="6"/>
        <v>-9235.8403908908585</v>
      </c>
      <c r="O24" s="798">
        <f t="shared" si="6"/>
        <v>-9235.8403908908585</v>
      </c>
      <c r="P24" s="302"/>
      <c r="Q24" s="302"/>
      <c r="R24" s="302"/>
      <c r="S24" s="302"/>
      <c r="T24" s="302"/>
      <c r="U24" s="302"/>
      <c r="V24" s="302"/>
      <c r="W24" s="302"/>
      <c r="X24" s="302"/>
      <c r="Y24" s="302"/>
      <c r="Z24" s="302"/>
      <c r="AA24" s="375"/>
    </row>
    <row r="25" spans="2:27">
      <c r="B25" s="1279"/>
      <c r="C25" s="142" t="s">
        <v>6</v>
      </c>
      <c r="D25" s="798">
        <f t="shared" ref="D25:O25" si="7">D63+D44</f>
        <v>0</v>
      </c>
      <c r="E25" s="798">
        <f t="shared" si="7"/>
        <v>-436.46771331824596</v>
      </c>
      <c r="F25" s="798">
        <f t="shared" si="7"/>
        <v>-919.94051767077758</v>
      </c>
      <c r="G25" s="798">
        <f t="shared" si="7"/>
        <v>-1534.8450942906245</v>
      </c>
      <c r="H25" s="798">
        <f t="shared" si="7"/>
        <v>-2347.5414916403593</v>
      </c>
      <c r="I25" s="798">
        <f t="shared" si="7"/>
        <v>-3368.7078502347599</v>
      </c>
      <c r="J25" s="798">
        <f t="shared" si="7"/>
        <v>-4282.1178009044052</v>
      </c>
      <c r="K25" s="798">
        <f t="shared" si="7"/>
        <v>-4369.895458944151</v>
      </c>
      <c r="L25" s="798">
        <f t="shared" si="7"/>
        <v>-4404.8689509606966</v>
      </c>
      <c r="M25" s="798">
        <f t="shared" si="7"/>
        <v>-4391.3738293613333</v>
      </c>
      <c r="N25" s="798">
        <f t="shared" si="7"/>
        <v>-4347.0390490086047</v>
      </c>
      <c r="O25" s="798">
        <f t="shared" si="7"/>
        <v>-4347.0390490086047</v>
      </c>
      <c r="P25" s="302"/>
      <c r="Q25" s="302"/>
      <c r="R25" s="302"/>
      <c r="S25" s="302"/>
      <c r="T25" s="302"/>
      <c r="U25" s="302"/>
      <c r="V25" s="302"/>
      <c r="W25" s="302"/>
      <c r="X25" s="302"/>
      <c r="Y25" s="302"/>
      <c r="Z25" s="302"/>
      <c r="AA25" s="375"/>
    </row>
    <row r="26" spans="2:27">
      <c r="B26" s="1279"/>
      <c r="C26" s="142" t="s">
        <v>1</v>
      </c>
      <c r="D26" s="798">
        <f t="shared" ref="D26:O26" si="8">D64+D45</f>
        <v>0</v>
      </c>
      <c r="E26" s="798">
        <f t="shared" si="8"/>
        <v>0</v>
      </c>
      <c r="F26" s="798">
        <f t="shared" si="8"/>
        <v>0</v>
      </c>
      <c r="G26" s="798">
        <f t="shared" si="8"/>
        <v>0</v>
      </c>
      <c r="H26" s="798">
        <f t="shared" si="8"/>
        <v>0</v>
      </c>
      <c r="I26" s="798">
        <f t="shared" si="8"/>
        <v>0</v>
      </c>
      <c r="J26" s="798">
        <f t="shared" si="8"/>
        <v>0</v>
      </c>
      <c r="K26" s="798">
        <f t="shared" si="8"/>
        <v>0</v>
      </c>
      <c r="L26" s="798">
        <f t="shared" si="8"/>
        <v>0</v>
      </c>
      <c r="M26" s="798">
        <f t="shared" si="8"/>
        <v>0</v>
      </c>
      <c r="N26" s="798">
        <f t="shared" si="8"/>
        <v>0</v>
      </c>
      <c r="O26" s="798">
        <f t="shared" si="8"/>
        <v>0</v>
      </c>
      <c r="P26" s="302"/>
      <c r="Q26" s="302"/>
      <c r="R26" s="302"/>
      <c r="S26" s="302"/>
      <c r="T26" s="302"/>
      <c r="U26" s="302"/>
      <c r="V26" s="302"/>
      <c r="W26" s="302"/>
      <c r="X26" s="302"/>
      <c r="Y26" s="302"/>
      <c r="Z26" s="302"/>
      <c r="AA26" s="375"/>
    </row>
    <row r="27" spans="2:27">
      <c r="B27" s="1279"/>
      <c r="C27" s="142" t="s">
        <v>397</v>
      </c>
      <c r="D27" s="798">
        <f t="shared" ref="D27:O27" si="9">D65+D46</f>
        <v>0</v>
      </c>
      <c r="E27" s="798">
        <f t="shared" si="9"/>
        <v>-181.35951586348568</v>
      </c>
      <c r="F27" s="798">
        <f t="shared" si="9"/>
        <v>-402.22999192564237</v>
      </c>
      <c r="G27" s="798">
        <f t="shared" si="9"/>
        <v>-698.47394866852494</v>
      </c>
      <c r="H27" s="798">
        <f t="shared" si="9"/>
        <v>-1098.0455448446914</v>
      </c>
      <c r="I27" s="798">
        <f t="shared" si="9"/>
        <v>-1604.7251711992103</v>
      </c>
      <c r="J27" s="798">
        <f t="shared" si="9"/>
        <v>-1978.0578567408193</v>
      </c>
      <c r="K27" s="798">
        <f t="shared" si="9"/>
        <v>-2017.0012318684301</v>
      </c>
      <c r="L27" s="798">
        <f t="shared" si="9"/>
        <v>-2032.517547176207</v>
      </c>
      <c r="M27" s="798">
        <f t="shared" si="9"/>
        <v>-2026.5303108500939</v>
      </c>
      <c r="N27" s="798">
        <f t="shared" si="9"/>
        <v>-2005.5521056642651</v>
      </c>
      <c r="O27" s="798">
        <f t="shared" si="9"/>
        <v>-2005.5521056642651</v>
      </c>
      <c r="P27" s="302"/>
      <c r="Q27" s="302"/>
      <c r="R27" s="302"/>
      <c r="S27" s="302"/>
      <c r="T27" s="302"/>
      <c r="U27" s="302"/>
      <c r="V27" s="302"/>
      <c r="W27" s="302"/>
      <c r="X27" s="302"/>
      <c r="Y27" s="302"/>
      <c r="Z27" s="302"/>
      <c r="AA27" s="375"/>
    </row>
    <row r="28" spans="2:27">
      <c r="B28" s="1279"/>
      <c r="C28" s="142" t="s">
        <v>4</v>
      </c>
      <c r="D28" s="798">
        <f t="shared" ref="D28:O28" si="10">D66+D47</f>
        <v>0</v>
      </c>
      <c r="E28" s="798">
        <f t="shared" si="10"/>
        <v>0</v>
      </c>
      <c r="F28" s="798">
        <f t="shared" si="10"/>
        <v>0</v>
      </c>
      <c r="G28" s="798">
        <f t="shared" si="10"/>
        <v>0</v>
      </c>
      <c r="H28" s="798">
        <f t="shared" si="10"/>
        <v>0</v>
      </c>
      <c r="I28" s="798">
        <f t="shared" si="10"/>
        <v>0</v>
      </c>
      <c r="J28" s="798">
        <f t="shared" si="10"/>
        <v>0</v>
      </c>
      <c r="K28" s="798">
        <f t="shared" si="10"/>
        <v>0</v>
      </c>
      <c r="L28" s="798">
        <f t="shared" si="10"/>
        <v>0</v>
      </c>
      <c r="M28" s="798">
        <f t="shared" si="10"/>
        <v>0</v>
      </c>
      <c r="N28" s="798">
        <f t="shared" si="10"/>
        <v>0</v>
      </c>
      <c r="O28" s="798">
        <f t="shared" si="10"/>
        <v>0</v>
      </c>
      <c r="P28" s="302"/>
      <c r="Q28" s="302"/>
      <c r="R28" s="302"/>
      <c r="S28" s="302"/>
      <c r="T28" s="302"/>
      <c r="U28" s="302"/>
      <c r="V28" s="302"/>
      <c r="W28" s="302"/>
      <c r="X28" s="302"/>
      <c r="Y28" s="302"/>
      <c r="Z28" s="302"/>
      <c r="AA28" s="302"/>
    </row>
    <row r="29" spans="2:27">
      <c r="B29" s="1279"/>
      <c r="C29" s="142" t="s">
        <v>0</v>
      </c>
      <c r="D29" s="798">
        <f t="shared" ref="D29:O29" si="11">D67+D48</f>
        <v>0</v>
      </c>
      <c r="E29" s="798">
        <f t="shared" si="11"/>
        <v>0</v>
      </c>
      <c r="F29" s="798">
        <f t="shared" si="11"/>
        <v>0</v>
      </c>
      <c r="G29" s="798">
        <f t="shared" si="11"/>
        <v>0</v>
      </c>
      <c r="H29" s="798">
        <f t="shared" si="11"/>
        <v>0</v>
      </c>
      <c r="I29" s="798">
        <f t="shared" si="11"/>
        <v>0</v>
      </c>
      <c r="J29" s="798">
        <f t="shared" si="11"/>
        <v>0</v>
      </c>
      <c r="K29" s="798">
        <f t="shared" si="11"/>
        <v>0</v>
      </c>
      <c r="L29" s="798">
        <f t="shared" si="11"/>
        <v>0</v>
      </c>
      <c r="M29" s="798">
        <f t="shared" si="11"/>
        <v>0</v>
      </c>
      <c r="N29" s="798">
        <f t="shared" si="11"/>
        <v>0</v>
      </c>
      <c r="O29" s="798">
        <f t="shared" si="11"/>
        <v>0</v>
      </c>
      <c r="P29" s="302"/>
      <c r="Q29" s="302"/>
      <c r="R29" s="302"/>
      <c r="S29" s="302"/>
      <c r="T29" s="302"/>
      <c r="U29" s="302"/>
      <c r="V29" s="302"/>
      <c r="W29" s="302"/>
      <c r="X29" s="302"/>
      <c r="Y29" s="302"/>
      <c r="Z29" s="302"/>
      <c r="AA29" s="375"/>
    </row>
    <row r="30" spans="2:27">
      <c r="B30" s="1279"/>
      <c r="C30" s="142" t="s">
        <v>573</v>
      </c>
      <c r="D30" s="798">
        <f t="shared" ref="D30:O30" si="12">D68+D49</f>
        <v>0</v>
      </c>
      <c r="E30" s="798">
        <f t="shared" si="12"/>
        <v>0</v>
      </c>
      <c r="F30" s="798">
        <f t="shared" si="12"/>
        <v>0</v>
      </c>
      <c r="G30" s="798">
        <f t="shared" si="12"/>
        <v>0</v>
      </c>
      <c r="H30" s="798">
        <f t="shared" si="12"/>
        <v>0</v>
      </c>
      <c r="I30" s="798">
        <f t="shared" si="12"/>
        <v>0</v>
      </c>
      <c r="J30" s="798">
        <f t="shared" si="12"/>
        <v>0</v>
      </c>
      <c r="K30" s="798">
        <f t="shared" si="12"/>
        <v>0</v>
      </c>
      <c r="L30" s="798">
        <f t="shared" si="12"/>
        <v>0</v>
      </c>
      <c r="M30" s="798">
        <f t="shared" si="12"/>
        <v>0</v>
      </c>
      <c r="N30" s="798">
        <f t="shared" si="12"/>
        <v>0</v>
      </c>
      <c r="O30" s="798">
        <f t="shared" si="12"/>
        <v>0</v>
      </c>
      <c r="P30" s="302"/>
      <c r="Q30" s="302"/>
      <c r="R30" s="915"/>
      <c r="S30" s="915"/>
      <c r="T30" s="915"/>
      <c r="U30" s="915"/>
      <c r="V30" s="915"/>
      <c r="W30" s="915"/>
      <c r="X30" s="915"/>
      <c r="Y30" s="915"/>
      <c r="Z30" s="915"/>
      <c r="AA30" s="915"/>
    </row>
    <row r="31" spans="2:27">
      <c r="B31" s="1279"/>
      <c r="C31" s="142" t="s">
        <v>574</v>
      </c>
      <c r="D31" s="798">
        <f t="shared" ref="D31:O31" si="13">D69+D50</f>
        <v>0</v>
      </c>
      <c r="E31" s="798">
        <f t="shared" si="13"/>
        <v>6240.051565318412</v>
      </c>
      <c r="F31" s="798">
        <f t="shared" si="13"/>
        <v>13409.06073670341</v>
      </c>
      <c r="G31" s="798">
        <f t="shared" si="13"/>
        <v>22724.105765318556</v>
      </c>
      <c r="H31" s="798">
        <f t="shared" si="13"/>
        <v>35138.809750744957</v>
      </c>
      <c r="I31" s="798">
        <f t="shared" si="13"/>
        <v>50797.391616214489</v>
      </c>
      <c r="J31" s="798">
        <f t="shared" si="13"/>
        <v>63776.360798783782</v>
      </c>
      <c r="K31" s="798">
        <f t="shared" si="13"/>
        <v>65063.060884137041</v>
      </c>
      <c r="L31" s="798">
        <f t="shared" si="13"/>
        <v>65575.724313166065</v>
      </c>
      <c r="M31" s="798">
        <f t="shared" si="13"/>
        <v>65377.904338225628</v>
      </c>
      <c r="N31" s="798">
        <f t="shared" si="13"/>
        <v>64711.187654006237</v>
      </c>
      <c r="O31" s="798">
        <f t="shared" si="13"/>
        <v>64711.187654006237</v>
      </c>
      <c r="P31" s="917"/>
      <c r="Q31" s="917"/>
      <c r="R31" s="917"/>
      <c r="S31" s="917"/>
      <c r="T31" s="917"/>
      <c r="U31" s="917"/>
      <c r="V31" s="917"/>
      <c r="W31" s="917"/>
      <c r="X31" s="917"/>
      <c r="Y31" s="917"/>
      <c r="Z31" s="917"/>
      <c r="AA31" s="917"/>
    </row>
    <row r="32" spans="2:27">
      <c r="B32" s="1279"/>
      <c r="C32" s="142" t="s">
        <v>5</v>
      </c>
      <c r="D32" s="798">
        <f t="shared" ref="D32:O32" si="14">D70+D51</f>
        <v>0</v>
      </c>
      <c r="E32" s="798">
        <f t="shared" si="14"/>
        <v>-473.68281623697396</v>
      </c>
      <c r="F32" s="798">
        <f t="shared" si="14"/>
        <v>-985.09012642957055</v>
      </c>
      <c r="G32" s="798">
        <f t="shared" si="14"/>
        <v>-1625.3271846306745</v>
      </c>
      <c r="H32" s="798">
        <f t="shared" si="14"/>
        <v>-2466.1591314596922</v>
      </c>
      <c r="I32" s="798">
        <f t="shared" si="14"/>
        <v>-3519.6112455669763</v>
      </c>
      <c r="J32" s="798">
        <f t="shared" si="14"/>
        <v>-4515.0288431336267</v>
      </c>
      <c r="K32" s="798">
        <f t="shared" si="14"/>
        <v>-4608.6477888005475</v>
      </c>
      <c r="L32" s="798">
        <f t="shared" si="14"/>
        <v>-4645.948640999145</v>
      </c>
      <c r="M32" s="798">
        <f t="shared" si="14"/>
        <v>-4631.5554675653402</v>
      </c>
      <c r="N32" s="798">
        <f t="shared" si="14"/>
        <v>-4585.1407640274256</v>
      </c>
      <c r="O32" s="798">
        <f t="shared" si="14"/>
        <v>-4585.1407640274256</v>
      </c>
      <c r="P32" s="302"/>
      <c r="Q32" s="302"/>
      <c r="R32" s="302"/>
      <c r="S32" s="302"/>
      <c r="T32" s="302"/>
      <c r="U32" s="302"/>
      <c r="V32" s="302"/>
      <c r="W32" s="302"/>
      <c r="X32" s="302"/>
      <c r="Y32" s="302"/>
      <c r="Z32" s="302"/>
      <c r="AA32" s="375"/>
    </row>
    <row r="33" spans="2:31">
      <c r="B33" s="1279"/>
      <c r="C33" s="142" t="s">
        <v>41</v>
      </c>
      <c r="D33" s="798">
        <f t="shared" ref="D33:O33" si="15">D71+D52</f>
        <v>0</v>
      </c>
      <c r="E33" s="798">
        <f t="shared" si="15"/>
        <v>-724.92062407187836</v>
      </c>
      <c r="F33" s="798">
        <f t="shared" si="15"/>
        <v>-1600.4626509255463</v>
      </c>
      <c r="G33" s="798">
        <f t="shared" si="15"/>
        <v>-2769.6877973469764</v>
      </c>
      <c r="H33" s="798">
        <f t="shared" si="15"/>
        <v>-4344.1937446790025</v>
      </c>
      <c r="I33" s="798">
        <f t="shared" si="15"/>
        <v>-6339.3314756795517</v>
      </c>
      <c r="J33" s="798">
        <f t="shared" si="15"/>
        <v>-7833.8669118791504</v>
      </c>
      <c r="K33" s="798">
        <f t="shared" si="15"/>
        <v>-7988.6255155392555</v>
      </c>
      <c r="L33" s="798">
        <f t="shared" si="15"/>
        <v>-8050.2864086465634</v>
      </c>
      <c r="M33" s="798">
        <f t="shared" si="15"/>
        <v>-8026.4934957165442</v>
      </c>
      <c r="N33" s="798">
        <f t="shared" si="15"/>
        <v>-7943.57580115778</v>
      </c>
      <c r="O33" s="798">
        <f t="shared" si="15"/>
        <v>-7943.57580115778</v>
      </c>
      <c r="P33" s="302"/>
      <c r="Q33" s="302"/>
      <c r="R33" s="302"/>
      <c r="S33" s="302"/>
      <c r="T33" s="302"/>
      <c r="U33" s="302"/>
      <c r="V33" s="302"/>
      <c r="W33" s="302"/>
      <c r="X33" s="302"/>
      <c r="Y33" s="302"/>
      <c r="Z33" s="302"/>
      <c r="AA33" s="375"/>
    </row>
    <row r="34" spans="2:31">
      <c r="B34" s="1279"/>
      <c r="C34" s="142" t="s">
        <v>575</v>
      </c>
      <c r="D34" s="798">
        <f t="shared" ref="D34:O34" si="16">D72+D53</f>
        <v>0</v>
      </c>
      <c r="E34" s="798">
        <f t="shared" si="16"/>
        <v>-1459.2392427298025</v>
      </c>
      <c r="F34" s="798">
        <f t="shared" si="16"/>
        <v>-3143.1080287776313</v>
      </c>
      <c r="G34" s="798">
        <f t="shared" si="16"/>
        <v>-5336.510006788224</v>
      </c>
      <c r="H34" s="798">
        <f t="shared" si="16"/>
        <v>-8262.5911958775996</v>
      </c>
      <c r="I34" s="798">
        <f t="shared" si="16"/>
        <v>-11954.834344037652</v>
      </c>
      <c r="J34" s="798">
        <f t="shared" si="16"/>
        <v>-14987.677398523938</v>
      </c>
      <c r="K34" s="798">
        <f t="shared" si="16"/>
        <v>-15289.486872864365</v>
      </c>
      <c r="L34" s="798">
        <f t="shared" si="16"/>
        <v>-15409.73764597777</v>
      </c>
      <c r="M34" s="798">
        <f t="shared" si="16"/>
        <v>-15363.33682318275</v>
      </c>
      <c r="N34" s="798">
        <f t="shared" si="16"/>
        <v>-15206.478941652169</v>
      </c>
      <c r="O34" s="798">
        <f t="shared" si="16"/>
        <v>-15206.478941652169</v>
      </c>
      <c r="P34" s="891"/>
      <c r="Q34" s="891"/>
      <c r="R34" s="891"/>
      <c r="S34" s="891"/>
      <c r="T34" s="891"/>
      <c r="U34" s="891"/>
      <c r="V34" s="891"/>
      <c r="W34" s="891"/>
      <c r="X34" s="891"/>
      <c r="Y34" s="891"/>
      <c r="Z34" s="891"/>
      <c r="AA34" s="891"/>
    </row>
    <row r="35" spans="2:31">
      <c r="B35" s="1279"/>
      <c r="C35" s="142" t="s">
        <v>2</v>
      </c>
      <c r="D35" s="798">
        <f t="shared" ref="D35:O35" si="17">D73+D54</f>
        <v>0</v>
      </c>
      <c r="E35" s="798">
        <f t="shared" si="17"/>
        <v>0</v>
      </c>
      <c r="F35" s="798">
        <f t="shared" si="17"/>
        <v>0</v>
      </c>
      <c r="G35" s="798">
        <f t="shared" si="17"/>
        <v>0</v>
      </c>
      <c r="H35" s="798">
        <f t="shared" si="17"/>
        <v>0</v>
      </c>
      <c r="I35" s="798">
        <f t="shared" si="17"/>
        <v>0</v>
      </c>
      <c r="J35" s="798">
        <f t="shared" si="17"/>
        <v>0</v>
      </c>
      <c r="K35" s="798">
        <f t="shared" si="17"/>
        <v>0</v>
      </c>
      <c r="L35" s="798">
        <f t="shared" si="17"/>
        <v>0</v>
      </c>
      <c r="M35" s="798">
        <f t="shared" si="17"/>
        <v>0</v>
      </c>
      <c r="N35" s="798">
        <f t="shared" si="17"/>
        <v>0</v>
      </c>
      <c r="O35" s="798">
        <f t="shared" si="17"/>
        <v>0</v>
      </c>
      <c r="P35" s="302"/>
      <c r="Q35" s="302"/>
      <c r="R35" s="302"/>
      <c r="S35" s="302"/>
      <c r="T35" s="302"/>
      <c r="U35" s="302"/>
      <c r="V35" s="302"/>
      <c r="W35" s="302"/>
      <c r="X35" s="302"/>
      <c r="Y35" s="302"/>
      <c r="Z35" s="302"/>
      <c r="AA35" s="375"/>
    </row>
    <row r="36" spans="2:31">
      <c r="B36" s="1279"/>
      <c r="C36" s="142" t="s">
        <v>576</v>
      </c>
      <c r="D36" s="798">
        <f t="shared" ref="D36:O36" si="18">D74+D55</f>
        <v>0</v>
      </c>
      <c r="E36" s="798">
        <f t="shared" si="18"/>
        <v>-639.76781898462116</v>
      </c>
      <c r="F36" s="798">
        <f t="shared" si="18"/>
        <v>-1374.6260050431415</v>
      </c>
      <c r="G36" s="798">
        <f t="shared" si="18"/>
        <v>-2329.3508324733548</v>
      </c>
      <c r="H36" s="798">
        <f t="shared" si="18"/>
        <v>-3601.7106136389066</v>
      </c>
      <c r="I36" s="798">
        <f t="shared" si="18"/>
        <v>-5206.4965389882873</v>
      </c>
      <c r="J36" s="798">
        <f t="shared" si="18"/>
        <v>-6537.2261361276987</v>
      </c>
      <c r="K36" s="798">
        <f t="shared" si="18"/>
        <v>-6669.1276177321088</v>
      </c>
      <c r="L36" s="798">
        <f t="shared" si="18"/>
        <v>-6721.6814852751886</v>
      </c>
      <c r="M36" s="798">
        <f t="shared" si="18"/>
        <v>-6701.4026743210197</v>
      </c>
      <c r="N36" s="798">
        <f t="shared" si="18"/>
        <v>-6633.0662945920703</v>
      </c>
      <c r="O36" s="798">
        <f t="shared" si="18"/>
        <v>-6633.0662945920703</v>
      </c>
      <c r="P36" s="845" t="str">
        <f>D17</f>
        <v>2017/18</v>
      </c>
      <c r="Q36" s="845" t="str">
        <f t="shared" ref="Q36:AA36" si="19">E17</f>
        <v>2018/19</v>
      </c>
      <c r="R36" s="845" t="str">
        <f t="shared" si="19"/>
        <v>2019/20</v>
      </c>
      <c r="S36" s="845" t="str">
        <f t="shared" si="19"/>
        <v>2020/21</v>
      </c>
      <c r="T36" s="845" t="str">
        <f t="shared" si="19"/>
        <v>2021/22</v>
      </c>
      <c r="U36" s="845" t="str">
        <f t="shared" si="19"/>
        <v>2022/23</v>
      </c>
      <c r="V36" s="845" t="str">
        <f t="shared" si="19"/>
        <v>2023/24</v>
      </c>
      <c r="W36" s="845" t="str">
        <f t="shared" si="19"/>
        <v>2024/25</v>
      </c>
      <c r="X36" s="845" t="str">
        <f t="shared" si="19"/>
        <v>2025/26</v>
      </c>
      <c r="Y36" s="845" t="str">
        <f t="shared" si="19"/>
        <v>2026/27</v>
      </c>
      <c r="Z36" s="845" t="str">
        <f t="shared" si="19"/>
        <v>2027/28</v>
      </c>
      <c r="AA36" s="889" t="str">
        <f t="shared" si="19"/>
        <v>2028/29</v>
      </c>
      <c r="AC36" s="890"/>
      <c r="AD36" s="890"/>
      <c r="AE36" s="890"/>
    </row>
    <row r="37" spans="2:31">
      <c r="B37" s="1281" t="s">
        <v>1708</v>
      </c>
      <c r="C37" s="800" t="s">
        <v>571</v>
      </c>
      <c r="D37" s="801">
        <f>IF($B$14=$D$14,P37,0)</f>
        <v>0</v>
      </c>
      <c r="E37" s="801">
        <f t="shared" ref="E37:O52" si="20">IF($B$14=$D$14,Q37,0)</f>
        <v>0</v>
      </c>
      <c r="F37" s="801">
        <f t="shared" si="20"/>
        <v>0</v>
      </c>
      <c r="G37" s="801">
        <f t="shared" si="20"/>
        <v>0</v>
      </c>
      <c r="H37" s="801">
        <f t="shared" si="20"/>
        <v>0</v>
      </c>
      <c r="I37" s="801">
        <f t="shared" si="20"/>
        <v>0</v>
      </c>
      <c r="J37" s="801">
        <f t="shared" si="20"/>
        <v>0</v>
      </c>
      <c r="K37" s="801">
        <f t="shared" si="20"/>
        <v>0</v>
      </c>
      <c r="L37" s="801">
        <f t="shared" si="20"/>
        <v>0</v>
      </c>
      <c r="M37" s="801">
        <f t="shared" si="20"/>
        <v>0</v>
      </c>
      <c r="N37" s="801">
        <f t="shared" si="20"/>
        <v>0</v>
      </c>
      <c r="O37" s="801">
        <f t="shared" si="20"/>
        <v>0</v>
      </c>
      <c r="P37" s="913">
        <v>0</v>
      </c>
      <c r="Q37" s="913">
        <v>0</v>
      </c>
      <c r="R37" s="913">
        <v>0</v>
      </c>
      <c r="S37" s="913">
        <v>0</v>
      </c>
      <c r="T37" s="913">
        <v>0</v>
      </c>
      <c r="U37" s="913">
        <v>0</v>
      </c>
      <c r="V37" s="913">
        <v>0</v>
      </c>
      <c r="W37" s="913">
        <v>0</v>
      </c>
      <c r="X37" s="913">
        <v>0</v>
      </c>
      <c r="Y37" s="913">
        <v>0</v>
      </c>
      <c r="Z37" s="913">
        <v>0</v>
      </c>
      <c r="AA37" s="913">
        <v>0</v>
      </c>
      <c r="AC37" s="10"/>
    </row>
    <row r="38" spans="2:31">
      <c r="B38" s="1282"/>
      <c r="C38" s="800" t="s">
        <v>7</v>
      </c>
      <c r="D38" s="801">
        <f t="shared" ref="D38:D55" si="21">IF($B$14=$D$14,P38,0)</f>
        <v>0</v>
      </c>
      <c r="E38" s="801">
        <f t="shared" si="20"/>
        <v>0</v>
      </c>
      <c r="F38" s="801">
        <f t="shared" si="20"/>
        <v>0</v>
      </c>
      <c r="G38" s="801">
        <f t="shared" si="20"/>
        <v>0</v>
      </c>
      <c r="H38" s="801">
        <f t="shared" si="20"/>
        <v>0</v>
      </c>
      <c r="I38" s="801">
        <f t="shared" si="20"/>
        <v>0</v>
      </c>
      <c r="J38" s="801">
        <f t="shared" si="20"/>
        <v>0</v>
      </c>
      <c r="K38" s="801">
        <f t="shared" si="20"/>
        <v>0</v>
      </c>
      <c r="L38" s="801">
        <f t="shared" si="20"/>
        <v>0</v>
      </c>
      <c r="M38" s="801">
        <f t="shared" si="20"/>
        <v>0</v>
      </c>
      <c r="N38" s="801">
        <f t="shared" si="20"/>
        <v>0</v>
      </c>
      <c r="O38" s="801">
        <f t="shared" si="20"/>
        <v>0</v>
      </c>
      <c r="P38" s="913">
        <v>0</v>
      </c>
      <c r="Q38" s="913">
        <v>0</v>
      </c>
      <c r="R38" s="913">
        <v>0</v>
      </c>
      <c r="S38" s="913">
        <v>0</v>
      </c>
      <c r="T38" s="913">
        <v>0</v>
      </c>
      <c r="U38" s="913">
        <v>0</v>
      </c>
      <c r="V38" s="913">
        <v>0</v>
      </c>
      <c r="W38" s="913">
        <v>0</v>
      </c>
      <c r="X38" s="913">
        <v>0</v>
      </c>
      <c r="Y38" s="913">
        <v>0</v>
      </c>
      <c r="Z38" s="913">
        <v>0</v>
      </c>
      <c r="AA38" s="913">
        <v>0</v>
      </c>
      <c r="AC38" s="10"/>
    </row>
    <row r="39" spans="2:31">
      <c r="B39" s="1282"/>
      <c r="C39" s="800" t="s">
        <v>429</v>
      </c>
      <c r="D39" s="801">
        <f t="shared" si="21"/>
        <v>0</v>
      </c>
      <c r="E39" s="801">
        <f t="shared" si="20"/>
        <v>0</v>
      </c>
      <c r="F39" s="801">
        <f t="shared" si="20"/>
        <v>0</v>
      </c>
      <c r="G39" s="801">
        <f t="shared" si="20"/>
        <v>0</v>
      </c>
      <c r="H39" s="801">
        <f t="shared" si="20"/>
        <v>0</v>
      </c>
      <c r="I39" s="801">
        <f t="shared" si="20"/>
        <v>0</v>
      </c>
      <c r="J39" s="801">
        <f t="shared" si="20"/>
        <v>0</v>
      </c>
      <c r="K39" s="801">
        <f t="shared" si="20"/>
        <v>0</v>
      </c>
      <c r="L39" s="801">
        <f t="shared" si="20"/>
        <v>0</v>
      </c>
      <c r="M39" s="801">
        <f t="shared" si="20"/>
        <v>0</v>
      </c>
      <c r="N39" s="801">
        <f t="shared" si="20"/>
        <v>0</v>
      </c>
      <c r="O39" s="801">
        <f t="shared" si="20"/>
        <v>0</v>
      </c>
      <c r="P39" s="913">
        <v>0</v>
      </c>
      <c r="Q39" s="913">
        <v>0</v>
      </c>
      <c r="R39" s="913">
        <v>0</v>
      </c>
      <c r="S39" s="913">
        <v>0</v>
      </c>
      <c r="T39" s="913">
        <v>0</v>
      </c>
      <c r="U39" s="913">
        <v>0</v>
      </c>
      <c r="V39" s="913">
        <v>0</v>
      </c>
      <c r="W39" s="913">
        <v>0</v>
      </c>
      <c r="X39" s="913">
        <v>0</v>
      </c>
      <c r="Y39" s="913">
        <v>0</v>
      </c>
      <c r="Z39" s="913">
        <v>0</v>
      </c>
      <c r="AA39" s="913">
        <v>0</v>
      </c>
      <c r="AC39" s="10"/>
    </row>
    <row r="40" spans="2:31">
      <c r="B40" s="1282"/>
      <c r="C40" s="800" t="s">
        <v>3</v>
      </c>
      <c r="D40" s="801">
        <f t="shared" si="21"/>
        <v>0</v>
      </c>
      <c r="E40" s="801">
        <f t="shared" si="20"/>
        <v>0</v>
      </c>
      <c r="F40" s="801">
        <f t="shared" si="20"/>
        <v>0</v>
      </c>
      <c r="G40" s="801">
        <f t="shared" si="20"/>
        <v>0</v>
      </c>
      <c r="H40" s="801">
        <f t="shared" si="20"/>
        <v>0</v>
      </c>
      <c r="I40" s="801">
        <f t="shared" si="20"/>
        <v>0</v>
      </c>
      <c r="J40" s="801">
        <f t="shared" si="20"/>
        <v>0</v>
      </c>
      <c r="K40" s="801">
        <f t="shared" si="20"/>
        <v>0</v>
      </c>
      <c r="L40" s="801">
        <f t="shared" si="20"/>
        <v>0</v>
      </c>
      <c r="M40" s="801">
        <f t="shared" si="20"/>
        <v>0</v>
      </c>
      <c r="N40" s="801">
        <f t="shared" si="20"/>
        <v>0</v>
      </c>
      <c r="O40" s="801">
        <f t="shared" si="20"/>
        <v>0</v>
      </c>
      <c r="P40" s="913">
        <v>0</v>
      </c>
      <c r="Q40" s="913">
        <v>0</v>
      </c>
      <c r="R40" s="913">
        <v>0</v>
      </c>
      <c r="S40" s="913">
        <v>0</v>
      </c>
      <c r="T40" s="913">
        <v>0</v>
      </c>
      <c r="U40" s="913">
        <v>0</v>
      </c>
      <c r="V40" s="913">
        <v>0</v>
      </c>
      <c r="W40" s="913">
        <v>0</v>
      </c>
      <c r="X40" s="913">
        <v>0</v>
      </c>
      <c r="Y40" s="913">
        <v>0</v>
      </c>
      <c r="Z40" s="913">
        <v>0</v>
      </c>
      <c r="AA40" s="913">
        <v>0</v>
      </c>
      <c r="AC40" s="10"/>
    </row>
    <row r="41" spans="2:31">
      <c r="B41" s="1282"/>
      <c r="C41" s="800" t="s">
        <v>80</v>
      </c>
      <c r="D41" s="801">
        <f t="shared" si="21"/>
        <v>0</v>
      </c>
      <c r="E41" s="801">
        <f t="shared" si="20"/>
        <v>0</v>
      </c>
      <c r="F41" s="801">
        <f t="shared" si="20"/>
        <v>0</v>
      </c>
      <c r="G41" s="801">
        <f t="shared" si="20"/>
        <v>0</v>
      </c>
      <c r="H41" s="801">
        <f t="shared" si="20"/>
        <v>0</v>
      </c>
      <c r="I41" s="801">
        <f t="shared" si="20"/>
        <v>0</v>
      </c>
      <c r="J41" s="801">
        <f t="shared" si="20"/>
        <v>0</v>
      </c>
      <c r="K41" s="801">
        <f t="shared" si="20"/>
        <v>0</v>
      </c>
      <c r="L41" s="801">
        <f t="shared" si="20"/>
        <v>0</v>
      </c>
      <c r="M41" s="801">
        <f t="shared" si="20"/>
        <v>0</v>
      </c>
      <c r="N41" s="801">
        <f t="shared" si="20"/>
        <v>0</v>
      </c>
      <c r="O41" s="801">
        <f t="shared" si="20"/>
        <v>0</v>
      </c>
      <c r="P41" s="913">
        <v>0</v>
      </c>
      <c r="Q41" s="913">
        <v>0</v>
      </c>
      <c r="R41" s="913">
        <v>0</v>
      </c>
      <c r="S41" s="913">
        <v>0</v>
      </c>
      <c r="T41" s="913">
        <v>0</v>
      </c>
      <c r="U41" s="913">
        <v>0</v>
      </c>
      <c r="V41" s="913">
        <v>0</v>
      </c>
      <c r="W41" s="913">
        <v>0</v>
      </c>
      <c r="X41" s="913">
        <v>0</v>
      </c>
      <c r="Y41" s="913">
        <v>0</v>
      </c>
      <c r="Z41" s="913">
        <v>0</v>
      </c>
      <c r="AA41" s="913">
        <v>0</v>
      </c>
      <c r="AC41" s="10"/>
    </row>
    <row r="42" spans="2:31">
      <c r="B42" s="1282"/>
      <c r="C42" s="800" t="s">
        <v>108</v>
      </c>
      <c r="D42" s="801">
        <f t="shared" si="21"/>
        <v>0</v>
      </c>
      <c r="E42" s="801">
        <f t="shared" si="20"/>
        <v>0</v>
      </c>
      <c r="F42" s="801">
        <f t="shared" si="20"/>
        <v>0</v>
      </c>
      <c r="G42" s="801">
        <f t="shared" si="20"/>
        <v>0</v>
      </c>
      <c r="H42" s="801">
        <f t="shared" si="20"/>
        <v>0</v>
      </c>
      <c r="I42" s="801">
        <f t="shared" si="20"/>
        <v>0</v>
      </c>
      <c r="J42" s="801">
        <f t="shared" si="20"/>
        <v>0</v>
      </c>
      <c r="K42" s="801">
        <f t="shared" si="20"/>
        <v>0</v>
      </c>
      <c r="L42" s="801">
        <f t="shared" si="20"/>
        <v>0</v>
      </c>
      <c r="M42" s="801">
        <f t="shared" si="20"/>
        <v>0</v>
      </c>
      <c r="N42" s="801">
        <f t="shared" si="20"/>
        <v>0</v>
      </c>
      <c r="O42" s="801">
        <f t="shared" si="20"/>
        <v>0</v>
      </c>
      <c r="P42" s="913">
        <v>0</v>
      </c>
      <c r="Q42" s="913">
        <v>0</v>
      </c>
      <c r="R42" s="913">
        <v>0</v>
      </c>
      <c r="S42" s="913">
        <v>0</v>
      </c>
      <c r="T42" s="913">
        <v>0</v>
      </c>
      <c r="U42" s="913">
        <v>0</v>
      </c>
      <c r="V42" s="913">
        <v>0</v>
      </c>
      <c r="W42" s="913">
        <v>0</v>
      </c>
      <c r="X42" s="913">
        <v>0</v>
      </c>
      <c r="Y42" s="913">
        <v>0</v>
      </c>
      <c r="Z42" s="913">
        <v>0</v>
      </c>
      <c r="AA42" s="913">
        <v>0</v>
      </c>
      <c r="AC42" s="10"/>
    </row>
    <row r="43" spans="2:31">
      <c r="B43" s="1282"/>
      <c r="C43" s="800" t="s">
        <v>572</v>
      </c>
      <c r="D43" s="801">
        <f t="shared" si="21"/>
        <v>0</v>
      </c>
      <c r="E43" s="801">
        <f t="shared" si="20"/>
        <v>0</v>
      </c>
      <c r="F43" s="801">
        <f t="shared" si="20"/>
        <v>0</v>
      </c>
      <c r="G43" s="801">
        <f t="shared" si="20"/>
        <v>0</v>
      </c>
      <c r="H43" s="801">
        <f t="shared" si="20"/>
        <v>0</v>
      </c>
      <c r="I43" s="801">
        <f t="shared" si="20"/>
        <v>0</v>
      </c>
      <c r="J43" s="801">
        <f t="shared" si="20"/>
        <v>0</v>
      </c>
      <c r="K43" s="801">
        <f t="shared" si="20"/>
        <v>0</v>
      </c>
      <c r="L43" s="801">
        <f t="shared" si="20"/>
        <v>0</v>
      </c>
      <c r="M43" s="801">
        <f t="shared" si="20"/>
        <v>0</v>
      </c>
      <c r="N43" s="801">
        <f t="shared" si="20"/>
        <v>0</v>
      </c>
      <c r="O43" s="801">
        <f t="shared" si="20"/>
        <v>0</v>
      </c>
      <c r="P43" s="913">
        <v>0</v>
      </c>
      <c r="Q43" s="913">
        <v>0</v>
      </c>
      <c r="R43" s="913">
        <v>0</v>
      </c>
      <c r="S43" s="913">
        <v>0</v>
      </c>
      <c r="T43" s="913">
        <v>0</v>
      </c>
      <c r="U43" s="913">
        <v>0</v>
      </c>
      <c r="V43" s="913">
        <v>0</v>
      </c>
      <c r="W43" s="913">
        <v>0</v>
      </c>
      <c r="X43" s="913">
        <v>0</v>
      </c>
      <c r="Y43" s="913">
        <v>0</v>
      </c>
      <c r="Z43" s="913">
        <v>0</v>
      </c>
      <c r="AA43" s="913">
        <v>0</v>
      </c>
      <c r="AC43" s="10"/>
    </row>
    <row r="44" spans="2:31">
      <c r="B44" s="1282"/>
      <c r="C44" s="800" t="s">
        <v>6</v>
      </c>
      <c r="D44" s="801">
        <f t="shared" si="21"/>
        <v>0</v>
      </c>
      <c r="E44" s="801">
        <f t="shared" si="20"/>
        <v>0</v>
      </c>
      <c r="F44" s="801">
        <f t="shared" si="20"/>
        <v>0</v>
      </c>
      <c r="G44" s="801">
        <f t="shared" si="20"/>
        <v>0</v>
      </c>
      <c r="H44" s="801">
        <f t="shared" si="20"/>
        <v>0</v>
      </c>
      <c r="I44" s="801">
        <f t="shared" si="20"/>
        <v>0</v>
      </c>
      <c r="J44" s="801">
        <f t="shared" si="20"/>
        <v>0</v>
      </c>
      <c r="K44" s="801">
        <f t="shared" si="20"/>
        <v>0</v>
      </c>
      <c r="L44" s="801">
        <f t="shared" si="20"/>
        <v>0</v>
      </c>
      <c r="M44" s="801">
        <f t="shared" si="20"/>
        <v>0</v>
      </c>
      <c r="N44" s="801">
        <f t="shared" si="20"/>
        <v>0</v>
      </c>
      <c r="O44" s="801">
        <f t="shared" si="20"/>
        <v>0</v>
      </c>
      <c r="P44" s="913">
        <v>0</v>
      </c>
      <c r="Q44" s="913">
        <v>0</v>
      </c>
      <c r="R44" s="913">
        <v>0</v>
      </c>
      <c r="S44" s="913">
        <v>0</v>
      </c>
      <c r="T44" s="913">
        <v>0</v>
      </c>
      <c r="U44" s="913">
        <v>0</v>
      </c>
      <c r="V44" s="913">
        <v>0</v>
      </c>
      <c r="W44" s="913">
        <v>0</v>
      </c>
      <c r="X44" s="913">
        <v>0</v>
      </c>
      <c r="Y44" s="913">
        <v>0</v>
      </c>
      <c r="Z44" s="913">
        <v>0</v>
      </c>
      <c r="AA44" s="913">
        <v>0</v>
      </c>
      <c r="AC44" s="10"/>
    </row>
    <row r="45" spans="2:31">
      <c r="B45" s="1282"/>
      <c r="C45" s="800" t="s">
        <v>1</v>
      </c>
      <c r="D45" s="801">
        <f t="shared" si="21"/>
        <v>0</v>
      </c>
      <c r="E45" s="801">
        <f t="shared" si="20"/>
        <v>0</v>
      </c>
      <c r="F45" s="801">
        <f t="shared" si="20"/>
        <v>0</v>
      </c>
      <c r="G45" s="801">
        <f t="shared" si="20"/>
        <v>0</v>
      </c>
      <c r="H45" s="801">
        <f t="shared" si="20"/>
        <v>0</v>
      </c>
      <c r="I45" s="801">
        <f t="shared" si="20"/>
        <v>0</v>
      </c>
      <c r="J45" s="801">
        <f t="shared" si="20"/>
        <v>0</v>
      </c>
      <c r="K45" s="801">
        <f t="shared" si="20"/>
        <v>0</v>
      </c>
      <c r="L45" s="801">
        <f t="shared" si="20"/>
        <v>0</v>
      </c>
      <c r="M45" s="801">
        <f t="shared" si="20"/>
        <v>0</v>
      </c>
      <c r="N45" s="801">
        <f t="shared" si="20"/>
        <v>0</v>
      </c>
      <c r="O45" s="801">
        <f t="shared" si="20"/>
        <v>0</v>
      </c>
      <c r="P45" s="913">
        <v>0</v>
      </c>
      <c r="Q45" s="913">
        <v>0</v>
      </c>
      <c r="R45" s="913">
        <v>0</v>
      </c>
      <c r="S45" s="913">
        <v>0</v>
      </c>
      <c r="T45" s="913">
        <v>0</v>
      </c>
      <c r="U45" s="913">
        <v>0</v>
      </c>
      <c r="V45" s="913">
        <v>0</v>
      </c>
      <c r="W45" s="913">
        <v>0</v>
      </c>
      <c r="X45" s="913">
        <v>0</v>
      </c>
      <c r="Y45" s="913">
        <v>0</v>
      </c>
      <c r="Z45" s="913">
        <v>0</v>
      </c>
      <c r="AA45" s="913">
        <v>0</v>
      </c>
      <c r="AC45" s="10"/>
    </row>
    <row r="46" spans="2:31">
      <c r="B46" s="1282"/>
      <c r="C46" s="800" t="s">
        <v>397</v>
      </c>
      <c r="D46" s="801">
        <f t="shared" si="21"/>
        <v>0</v>
      </c>
      <c r="E46" s="801">
        <f t="shared" si="20"/>
        <v>0</v>
      </c>
      <c r="F46" s="801">
        <f t="shared" si="20"/>
        <v>0</v>
      </c>
      <c r="G46" s="801">
        <f t="shared" si="20"/>
        <v>0</v>
      </c>
      <c r="H46" s="801">
        <f t="shared" si="20"/>
        <v>0</v>
      </c>
      <c r="I46" s="801">
        <f t="shared" si="20"/>
        <v>0</v>
      </c>
      <c r="J46" s="801">
        <f t="shared" si="20"/>
        <v>0</v>
      </c>
      <c r="K46" s="801">
        <f t="shared" si="20"/>
        <v>0</v>
      </c>
      <c r="L46" s="801">
        <f t="shared" si="20"/>
        <v>0</v>
      </c>
      <c r="M46" s="801">
        <f t="shared" si="20"/>
        <v>0</v>
      </c>
      <c r="N46" s="801">
        <f t="shared" si="20"/>
        <v>0</v>
      </c>
      <c r="O46" s="801">
        <f t="shared" si="20"/>
        <v>0</v>
      </c>
      <c r="P46" s="913">
        <v>0</v>
      </c>
      <c r="Q46" s="913">
        <v>0</v>
      </c>
      <c r="R46" s="913">
        <v>0</v>
      </c>
      <c r="S46" s="913">
        <v>0</v>
      </c>
      <c r="T46" s="913">
        <v>0</v>
      </c>
      <c r="U46" s="913">
        <v>0</v>
      </c>
      <c r="V46" s="913">
        <v>0</v>
      </c>
      <c r="W46" s="913">
        <v>0</v>
      </c>
      <c r="X46" s="913">
        <v>0</v>
      </c>
      <c r="Y46" s="913">
        <v>0</v>
      </c>
      <c r="Z46" s="913">
        <v>0</v>
      </c>
      <c r="AA46" s="913">
        <v>0</v>
      </c>
      <c r="AC46" s="10"/>
    </row>
    <row r="47" spans="2:31">
      <c r="B47" s="1282"/>
      <c r="C47" s="800" t="s">
        <v>4</v>
      </c>
      <c r="D47" s="801">
        <f t="shared" si="21"/>
        <v>0</v>
      </c>
      <c r="E47" s="801">
        <f t="shared" si="20"/>
        <v>0</v>
      </c>
      <c r="F47" s="801">
        <f t="shared" si="20"/>
        <v>0</v>
      </c>
      <c r="G47" s="801">
        <f t="shared" si="20"/>
        <v>0</v>
      </c>
      <c r="H47" s="801">
        <f t="shared" si="20"/>
        <v>0</v>
      </c>
      <c r="I47" s="801">
        <f t="shared" si="20"/>
        <v>0</v>
      </c>
      <c r="J47" s="801">
        <f t="shared" si="20"/>
        <v>0</v>
      </c>
      <c r="K47" s="801">
        <f t="shared" si="20"/>
        <v>0</v>
      </c>
      <c r="L47" s="801">
        <f t="shared" si="20"/>
        <v>0</v>
      </c>
      <c r="M47" s="801">
        <f t="shared" si="20"/>
        <v>0</v>
      </c>
      <c r="N47" s="801">
        <f t="shared" si="20"/>
        <v>0</v>
      </c>
      <c r="O47" s="801">
        <f t="shared" si="20"/>
        <v>0</v>
      </c>
      <c r="P47" s="913">
        <v>0</v>
      </c>
      <c r="Q47" s="913">
        <v>0</v>
      </c>
      <c r="R47" s="913">
        <v>0</v>
      </c>
      <c r="S47" s="913">
        <v>0</v>
      </c>
      <c r="T47" s="913">
        <v>0</v>
      </c>
      <c r="U47" s="913">
        <v>0</v>
      </c>
      <c r="V47" s="913">
        <v>0</v>
      </c>
      <c r="W47" s="913">
        <v>0</v>
      </c>
      <c r="X47" s="913">
        <v>0</v>
      </c>
      <c r="Y47" s="913">
        <v>0</v>
      </c>
      <c r="Z47" s="913">
        <v>0</v>
      </c>
      <c r="AA47" s="913">
        <v>0</v>
      </c>
      <c r="AC47" s="10"/>
    </row>
    <row r="48" spans="2:31">
      <c r="B48" s="1282"/>
      <c r="C48" s="800" t="s">
        <v>0</v>
      </c>
      <c r="D48" s="801">
        <f t="shared" si="21"/>
        <v>0</v>
      </c>
      <c r="E48" s="801">
        <f t="shared" si="20"/>
        <v>0</v>
      </c>
      <c r="F48" s="801">
        <f t="shared" si="20"/>
        <v>0</v>
      </c>
      <c r="G48" s="801">
        <f t="shared" si="20"/>
        <v>0</v>
      </c>
      <c r="H48" s="801">
        <f t="shared" si="20"/>
        <v>0</v>
      </c>
      <c r="I48" s="801">
        <f t="shared" si="20"/>
        <v>0</v>
      </c>
      <c r="J48" s="801">
        <f t="shared" si="20"/>
        <v>0</v>
      </c>
      <c r="K48" s="801">
        <f t="shared" si="20"/>
        <v>0</v>
      </c>
      <c r="L48" s="801">
        <f t="shared" si="20"/>
        <v>0</v>
      </c>
      <c r="M48" s="801">
        <f t="shared" si="20"/>
        <v>0</v>
      </c>
      <c r="N48" s="801">
        <f t="shared" si="20"/>
        <v>0</v>
      </c>
      <c r="O48" s="801">
        <f t="shared" si="20"/>
        <v>0</v>
      </c>
      <c r="P48" s="913">
        <v>0</v>
      </c>
      <c r="Q48" s="913">
        <v>0</v>
      </c>
      <c r="R48" s="913">
        <v>0</v>
      </c>
      <c r="S48" s="913">
        <v>0</v>
      </c>
      <c r="T48" s="913">
        <v>0</v>
      </c>
      <c r="U48" s="913">
        <v>0</v>
      </c>
      <c r="V48" s="913">
        <v>0</v>
      </c>
      <c r="W48" s="913">
        <v>0</v>
      </c>
      <c r="X48" s="913">
        <v>0</v>
      </c>
      <c r="Y48" s="913">
        <v>0</v>
      </c>
      <c r="Z48" s="913">
        <v>0</v>
      </c>
      <c r="AA48" s="913">
        <v>0</v>
      </c>
      <c r="AC48" s="10"/>
    </row>
    <row r="49" spans="2:29">
      <c r="B49" s="1282"/>
      <c r="C49" s="800" t="s">
        <v>573</v>
      </c>
      <c r="D49" s="801">
        <f t="shared" si="21"/>
        <v>0</v>
      </c>
      <c r="E49" s="801">
        <f t="shared" si="20"/>
        <v>0</v>
      </c>
      <c r="F49" s="801">
        <f t="shared" si="20"/>
        <v>0</v>
      </c>
      <c r="G49" s="801">
        <f t="shared" si="20"/>
        <v>0</v>
      </c>
      <c r="H49" s="801">
        <f t="shared" si="20"/>
        <v>0</v>
      </c>
      <c r="I49" s="801">
        <f t="shared" si="20"/>
        <v>0</v>
      </c>
      <c r="J49" s="801">
        <f t="shared" si="20"/>
        <v>0</v>
      </c>
      <c r="K49" s="801">
        <f t="shared" si="20"/>
        <v>0</v>
      </c>
      <c r="L49" s="801">
        <f t="shared" si="20"/>
        <v>0</v>
      </c>
      <c r="M49" s="801">
        <f t="shared" si="20"/>
        <v>0</v>
      </c>
      <c r="N49" s="801">
        <f t="shared" si="20"/>
        <v>0</v>
      </c>
      <c r="O49" s="801">
        <f t="shared" si="20"/>
        <v>0</v>
      </c>
      <c r="P49" s="913">
        <v>0</v>
      </c>
      <c r="Q49" s="913">
        <v>0</v>
      </c>
      <c r="R49" s="913">
        <v>0</v>
      </c>
      <c r="S49" s="913">
        <v>0</v>
      </c>
      <c r="T49" s="913">
        <v>0</v>
      </c>
      <c r="U49" s="913">
        <v>0</v>
      </c>
      <c r="V49" s="913">
        <v>0</v>
      </c>
      <c r="W49" s="913">
        <v>0</v>
      </c>
      <c r="X49" s="913">
        <v>0</v>
      </c>
      <c r="Y49" s="913">
        <v>0</v>
      </c>
      <c r="Z49" s="913">
        <v>0</v>
      </c>
      <c r="AA49" s="913">
        <v>0</v>
      </c>
      <c r="AC49" s="10"/>
    </row>
    <row r="50" spans="2:29">
      <c r="B50" s="1282"/>
      <c r="C50" s="800" t="s">
        <v>574</v>
      </c>
      <c r="D50" s="801">
        <f t="shared" si="21"/>
        <v>0</v>
      </c>
      <c r="E50" s="801">
        <f t="shared" si="20"/>
        <v>0</v>
      </c>
      <c r="F50" s="801">
        <f t="shared" si="20"/>
        <v>0</v>
      </c>
      <c r="G50" s="801">
        <f t="shared" si="20"/>
        <v>0</v>
      </c>
      <c r="H50" s="801">
        <f t="shared" si="20"/>
        <v>0</v>
      </c>
      <c r="I50" s="801">
        <f t="shared" si="20"/>
        <v>0</v>
      </c>
      <c r="J50" s="801">
        <f t="shared" si="20"/>
        <v>0</v>
      </c>
      <c r="K50" s="801">
        <f t="shared" si="20"/>
        <v>0</v>
      </c>
      <c r="L50" s="801">
        <f t="shared" si="20"/>
        <v>0</v>
      </c>
      <c r="M50" s="801">
        <f t="shared" si="20"/>
        <v>0</v>
      </c>
      <c r="N50" s="801">
        <f t="shared" si="20"/>
        <v>0</v>
      </c>
      <c r="O50" s="801">
        <f t="shared" si="20"/>
        <v>0</v>
      </c>
      <c r="P50" s="913">
        <v>0</v>
      </c>
      <c r="Q50" s="913">
        <v>0</v>
      </c>
      <c r="R50" s="913">
        <v>0</v>
      </c>
      <c r="S50" s="913">
        <v>0</v>
      </c>
      <c r="T50" s="913">
        <v>0</v>
      </c>
      <c r="U50" s="913">
        <v>0</v>
      </c>
      <c r="V50" s="913">
        <v>0</v>
      </c>
      <c r="W50" s="913">
        <v>0</v>
      </c>
      <c r="X50" s="913">
        <v>0</v>
      </c>
      <c r="Y50" s="913">
        <v>0</v>
      </c>
      <c r="Z50" s="913">
        <v>0</v>
      </c>
      <c r="AA50" s="913">
        <v>0</v>
      </c>
      <c r="AC50" s="10"/>
    </row>
    <row r="51" spans="2:29">
      <c r="B51" s="1282"/>
      <c r="C51" s="800" t="s">
        <v>5</v>
      </c>
      <c r="D51" s="801">
        <f t="shared" si="21"/>
        <v>0</v>
      </c>
      <c r="E51" s="801">
        <f t="shared" si="20"/>
        <v>0</v>
      </c>
      <c r="F51" s="801">
        <f t="shared" si="20"/>
        <v>0</v>
      </c>
      <c r="G51" s="801">
        <f t="shared" si="20"/>
        <v>0</v>
      </c>
      <c r="H51" s="801">
        <f t="shared" si="20"/>
        <v>0</v>
      </c>
      <c r="I51" s="801">
        <f t="shared" si="20"/>
        <v>0</v>
      </c>
      <c r="J51" s="801">
        <f t="shared" si="20"/>
        <v>0</v>
      </c>
      <c r="K51" s="801">
        <f t="shared" si="20"/>
        <v>0</v>
      </c>
      <c r="L51" s="801">
        <f t="shared" si="20"/>
        <v>0</v>
      </c>
      <c r="M51" s="801">
        <f t="shared" si="20"/>
        <v>0</v>
      </c>
      <c r="N51" s="801">
        <f t="shared" si="20"/>
        <v>0</v>
      </c>
      <c r="O51" s="801">
        <f t="shared" si="20"/>
        <v>0</v>
      </c>
      <c r="P51" s="913">
        <v>0</v>
      </c>
      <c r="Q51" s="913">
        <v>0</v>
      </c>
      <c r="R51" s="913">
        <v>0</v>
      </c>
      <c r="S51" s="913">
        <v>0</v>
      </c>
      <c r="T51" s="913">
        <v>0</v>
      </c>
      <c r="U51" s="913">
        <v>0</v>
      </c>
      <c r="V51" s="913">
        <v>0</v>
      </c>
      <c r="W51" s="913">
        <v>0</v>
      </c>
      <c r="X51" s="913">
        <v>0</v>
      </c>
      <c r="Y51" s="913">
        <v>0</v>
      </c>
      <c r="Z51" s="913">
        <v>0</v>
      </c>
      <c r="AA51" s="913">
        <v>0</v>
      </c>
      <c r="AC51" s="10"/>
    </row>
    <row r="52" spans="2:29">
      <c r="B52" s="1282"/>
      <c r="C52" s="800" t="s">
        <v>41</v>
      </c>
      <c r="D52" s="801">
        <f t="shared" si="21"/>
        <v>0</v>
      </c>
      <c r="E52" s="801">
        <f t="shared" si="20"/>
        <v>0</v>
      </c>
      <c r="F52" s="801">
        <f t="shared" si="20"/>
        <v>0</v>
      </c>
      <c r="G52" s="801">
        <f t="shared" si="20"/>
        <v>0</v>
      </c>
      <c r="H52" s="801">
        <f t="shared" si="20"/>
        <v>0</v>
      </c>
      <c r="I52" s="801">
        <f t="shared" si="20"/>
        <v>0</v>
      </c>
      <c r="J52" s="801">
        <f t="shared" si="20"/>
        <v>0</v>
      </c>
      <c r="K52" s="801">
        <f t="shared" si="20"/>
        <v>0</v>
      </c>
      <c r="L52" s="801">
        <f t="shared" si="20"/>
        <v>0</v>
      </c>
      <c r="M52" s="801">
        <f t="shared" si="20"/>
        <v>0</v>
      </c>
      <c r="N52" s="801">
        <f t="shared" si="20"/>
        <v>0</v>
      </c>
      <c r="O52" s="801">
        <f t="shared" si="20"/>
        <v>0</v>
      </c>
      <c r="P52" s="913">
        <v>0</v>
      </c>
      <c r="Q52" s="913">
        <v>0</v>
      </c>
      <c r="R52" s="913">
        <v>0</v>
      </c>
      <c r="S52" s="913">
        <v>0</v>
      </c>
      <c r="T52" s="913">
        <v>0</v>
      </c>
      <c r="U52" s="913">
        <v>0</v>
      </c>
      <c r="V52" s="913">
        <v>0</v>
      </c>
      <c r="W52" s="913">
        <v>0</v>
      </c>
      <c r="X52" s="913">
        <v>0</v>
      </c>
      <c r="Y52" s="913">
        <v>0</v>
      </c>
      <c r="Z52" s="913">
        <v>0</v>
      </c>
      <c r="AA52" s="913">
        <v>0</v>
      </c>
      <c r="AC52" s="10"/>
    </row>
    <row r="53" spans="2:29">
      <c r="B53" s="1282"/>
      <c r="C53" s="800" t="s">
        <v>575</v>
      </c>
      <c r="D53" s="801">
        <f t="shared" si="21"/>
        <v>0</v>
      </c>
      <c r="E53" s="801">
        <f t="shared" ref="E53:O55" si="22">IF($B$14=$D$14,Q53,0)</f>
        <v>0</v>
      </c>
      <c r="F53" s="801">
        <f t="shared" si="22"/>
        <v>0</v>
      </c>
      <c r="G53" s="801">
        <f t="shared" si="22"/>
        <v>0</v>
      </c>
      <c r="H53" s="801">
        <f t="shared" si="22"/>
        <v>0</v>
      </c>
      <c r="I53" s="801">
        <f t="shared" si="22"/>
        <v>0</v>
      </c>
      <c r="J53" s="801">
        <f t="shared" si="22"/>
        <v>0</v>
      </c>
      <c r="K53" s="801">
        <f t="shared" si="22"/>
        <v>0</v>
      </c>
      <c r="L53" s="801">
        <f t="shared" si="22"/>
        <v>0</v>
      </c>
      <c r="M53" s="801">
        <f t="shared" si="22"/>
        <v>0</v>
      </c>
      <c r="N53" s="801">
        <f t="shared" si="22"/>
        <v>0</v>
      </c>
      <c r="O53" s="801">
        <f t="shared" si="22"/>
        <v>0</v>
      </c>
      <c r="P53" s="913">
        <v>0</v>
      </c>
      <c r="Q53" s="913">
        <v>0</v>
      </c>
      <c r="R53" s="913">
        <v>0</v>
      </c>
      <c r="S53" s="913">
        <v>0</v>
      </c>
      <c r="T53" s="913">
        <v>0</v>
      </c>
      <c r="U53" s="913">
        <v>0</v>
      </c>
      <c r="V53" s="913">
        <v>0</v>
      </c>
      <c r="W53" s="913">
        <v>0</v>
      </c>
      <c r="X53" s="913">
        <v>0</v>
      </c>
      <c r="Y53" s="913">
        <v>0</v>
      </c>
      <c r="Z53" s="913">
        <v>0</v>
      </c>
      <c r="AA53" s="913">
        <v>0</v>
      </c>
      <c r="AC53" s="10"/>
    </row>
    <row r="54" spans="2:29">
      <c r="B54" s="1282"/>
      <c r="C54" s="800" t="s">
        <v>2</v>
      </c>
      <c r="D54" s="801">
        <f t="shared" si="21"/>
        <v>0</v>
      </c>
      <c r="E54" s="801">
        <f t="shared" si="22"/>
        <v>0</v>
      </c>
      <c r="F54" s="801">
        <f t="shared" si="22"/>
        <v>0</v>
      </c>
      <c r="G54" s="801">
        <f t="shared" si="22"/>
        <v>0</v>
      </c>
      <c r="H54" s="801">
        <f t="shared" si="22"/>
        <v>0</v>
      </c>
      <c r="I54" s="801">
        <f t="shared" si="22"/>
        <v>0</v>
      </c>
      <c r="J54" s="801">
        <f t="shared" si="22"/>
        <v>0</v>
      </c>
      <c r="K54" s="801">
        <f t="shared" si="22"/>
        <v>0</v>
      </c>
      <c r="L54" s="801">
        <f t="shared" si="22"/>
        <v>0</v>
      </c>
      <c r="M54" s="801">
        <f t="shared" si="22"/>
        <v>0</v>
      </c>
      <c r="N54" s="801">
        <f t="shared" si="22"/>
        <v>0</v>
      </c>
      <c r="O54" s="801">
        <f t="shared" si="22"/>
        <v>0</v>
      </c>
      <c r="P54" s="913">
        <v>0</v>
      </c>
      <c r="Q54" s="913">
        <v>0</v>
      </c>
      <c r="R54" s="913">
        <v>0</v>
      </c>
      <c r="S54" s="913">
        <v>0</v>
      </c>
      <c r="T54" s="913">
        <v>0</v>
      </c>
      <c r="U54" s="913">
        <v>0</v>
      </c>
      <c r="V54" s="913">
        <v>0</v>
      </c>
      <c r="W54" s="913">
        <v>0</v>
      </c>
      <c r="X54" s="913">
        <v>0</v>
      </c>
      <c r="Y54" s="913">
        <v>0</v>
      </c>
      <c r="Z54" s="913">
        <v>0</v>
      </c>
      <c r="AA54" s="913">
        <v>0</v>
      </c>
      <c r="AC54" s="10"/>
    </row>
    <row r="55" spans="2:29">
      <c r="B55" s="1282"/>
      <c r="C55" s="800" t="s">
        <v>576</v>
      </c>
      <c r="D55" s="801">
        <f t="shared" si="21"/>
        <v>0</v>
      </c>
      <c r="E55" s="801">
        <f t="shared" si="22"/>
        <v>0</v>
      </c>
      <c r="F55" s="801">
        <f t="shared" si="22"/>
        <v>0</v>
      </c>
      <c r="G55" s="801">
        <f t="shared" si="22"/>
        <v>0</v>
      </c>
      <c r="H55" s="801">
        <f t="shared" si="22"/>
        <v>0</v>
      </c>
      <c r="I55" s="801">
        <f t="shared" si="22"/>
        <v>0</v>
      </c>
      <c r="J55" s="801">
        <f t="shared" si="22"/>
        <v>0</v>
      </c>
      <c r="K55" s="801">
        <f t="shared" si="22"/>
        <v>0</v>
      </c>
      <c r="L55" s="801">
        <f t="shared" si="22"/>
        <v>0</v>
      </c>
      <c r="M55" s="801">
        <f t="shared" si="22"/>
        <v>0</v>
      </c>
      <c r="N55" s="801">
        <f t="shared" si="22"/>
        <v>0</v>
      </c>
      <c r="O55" s="801">
        <f t="shared" si="22"/>
        <v>0</v>
      </c>
      <c r="P55" s="913">
        <v>0</v>
      </c>
      <c r="Q55" s="913">
        <v>0</v>
      </c>
      <c r="R55" s="913">
        <v>0</v>
      </c>
      <c r="S55" s="913">
        <v>0</v>
      </c>
      <c r="T55" s="913">
        <v>0</v>
      </c>
      <c r="U55" s="913">
        <v>0</v>
      </c>
      <c r="V55" s="913">
        <v>0</v>
      </c>
      <c r="W55" s="913">
        <v>0</v>
      </c>
      <c r="X55" s="913">
        <v>0</v>
      </c>
      <c r="Y55" s="913">
        <v>0</v>
      </c>
      <c r="Z55" s="913">
        <v>0</v>
      </c>
      <c r="AA55" s="913">
        <v>0</v>
      </c>
      <c r="AC55" s="10"/>
    </row>
    <row r="56" spans="2:29">
      <c r="B56" s="1280" t="s">
        <v>1707</v>
      </c>
      <c r="C56" s="131" t="s">
        <v>571</v>
      </c>
      <c r="D56" s="799">
        <f>IF($B$14=$D$15,P56,0)</f>
        <v>0</v>
      </c>
      <c r="E56" s="799">
        <f t="shared" ref="E56:O71" si="23">IF($B$14=$D$15,Q56,0)</f>
        <v>-680.60474475032447</v>
      </c>
      <c r="F56" s="799">
        <f t="shared" si="23"/>
        <v>-1447.1413138409437</v>
      </c>
      <c r="G56" s="799">
        <f t="shared" si="23"/>
        <v>-2431.7546423925619</v>
      </c>
      <c r="H56" s="799">
        <f t="shared" si="23"/>
        <v>-3738.1636893197638</v>
      </c>
      <c r="I56" s="799">
        <f t="shared" si="23"/>
        <v>-5382.6041973981219</v>
      </c>
      <c r="J56" s="799">
        <f t="shared" si="23"/>
        <v>-6803.0041655445802</v>
      </c>
      <c r="K56" s="799">
        <f t="shared" si="23"/>
        <v>-6941.4421810669</v>
      </c>
      <c r="L56" s="799">
        <f t="shared" si="23"/>
        <v>-6996.60041767039</v>
      </c>
      <c r="M56" s="799">
        <f t="shared" si="23"/>
        <v>-6975.3166662560798</v>
      </c>
      <c r="N56" s="799">
        <f t="shared" si="23"/>
        <v>-6904.5667617896852</v>
      </c>
      <c r="O56" s="799">
        <f t="shared" si="23"/>
        <v>-6904.5667617896852</v>
      </c>
      <c r="P56" s="913">
        <v>0</v>
      </c>
      <c r="Q56" s="913">
        <v>-680.60474475032447</v>
      </c>
      <c r="R56" s="913">
        <v>-1447.1413138409437</v>
      </c>
      <c r="S56" s="913">
        <v>-2431.7546423925619</v>
      </c>
      <c r="T56" s="913">
        <v>-3738.1636893197638</v>
      </c>
      <c r="U56" s="913">
        <v>-5382.6041973981219</v>
      </c>
      <c r="V56" s="913">
        <v>-6803.0041655445802</v>
      </c>
      <c r="W56" s="913">
        <v>-6941.4421810669</v>
      </c>
      <c r="X56" s="913">
        <v>-6996.60041767039</v>
      </c>
      <c r="Y56" s="913">
        <v>-6975.3166662560798</v>
      </c>
      <c r="Z56" s="913">
        <v>-6904.5667617896852</v>
      </c>
      <c r="AA56" s="913">
        <v>-6904.5667617896852</v>
      </c>
      <c r="AC56" s="10"/>
    </row>
    <row r="57" spans="2:29">
      <c r="B57" s="1276"/>
      <c r="C57" s="131" t="s">
        <v>7</v>
      </c>
      <c r="D57" s="799">
        <f t="shared" ref="D57:D74" si="24">IF($B$14=$D$15,P57,0)</f>
        <v>0</v>
      </c>
      <c r="E57" s="799">
        <f t="shared" si="23"/>
        <v>0</v>
      </c>
      <c r="F57" s="799">
        <f t="shared" si="23"/>
        <v>0</v>
      </c>
      <c r="G57" s="799">
        <f t="shared" si="23"/>
        <v>0</v>
      </c>
      <c r="H57" s="799">
        <f t="shared" si="23"/>
        <v>0</v>
      </c>
      <c r="I57" s="799">
        <f t="shared" si="23"/>
        <v>0</v>
      </c>
      <c r="J57" s="799">
        <f t="shared" si="23"/>
        <v>0</v>
      </c>
      <c r="K57" s="799">
        <f t="shared" si="23"/>
        <v>0</v>
      </c>
      <c r="L57" s="799">
        <f t="shared" si="23"/>
        <v>0</v>
      </c>
      <c r="M57" s="799">
        <f t="shared" si="23"/>
        <v>0</v>
      </c>
      <c r="N57" s="799">
        <f t="shared" si="23"/>
        <v>0</v>
      </c>
      <c r="O57" s="799">
        <f t="shared" si="23"/>
        <v>0</v>
      </c>
      <c r="P57" s="913">
        <v>0</v>
      </c>
      <c r="Q57" s="913">
        <v>0</v>
      </c>
      <c r="R57" s="913">
        <v>0</v>
      </c>
      <c r="S57" s="913">
        <v>0</v>
      </c>
      <c r="T57" s="913">
        <v>0</v>
      </c>
      <c r="U57" s="913">
        <v>0</v>
      </c>
      <c r="V57" s="913">
        <v>0</v>
      </c>
      <c r="W57" s="913">
        <v>0</v>
      </c>
      <c r="X57" s="913">
        <v>0</v>
      </c>
      <c r="Y57" s="913">
        <v>0</v>
      </c>
      <c r="Z57" s="913">
        <v>0</v>
      </c>
      <c r="AA57" s="913">
        <v>0</v>
      </c>
      <c r="AC57" s="10"/>
    </row>
    <row r="58" spans="2:29">
      <c r="B58" s="1276"/>
      <c r="C58" s="131" t="s">
        <v>429</v>
      </c>
      <c r="D58" s="799">
        <f t="shared" si="24"/>
        <v>0</v>
      </c>
      <c r="E58" s="799">
        <f t="shared" si="23"/>
        <v>-153.70968820540571</v>
      </c>
      <c r="F58" s="799">
        <f t="shared" si="23"/>
        <v>-370.51822236950829</v>
      </c>
      <c r="G58" s="799">
        <f t="shared" si="23"/>
        <v>-681.97934251248898</v>
      </c>
      <c r="H58" s="799">
        <f t="shared" si="23"/>
        <v>-1112.3492429189257</v>
      </c>
      <c r="I58" s="799">
        <f t="shared" si="23"/>
        <v>-1663.8588864780509</v>
      </c>
      <c r="J58" s="799">
        <f t="shared" si="23"/>
        <v>-1971.0785781902275</v>
      </c>
      <c r="K58" s="799">
        <f t="shared" si="23"/>
        <v>-2007.7459451168868</v>
      </c>
      <c r="L58" s="799">
        <f t="shared" si="23"/>
        <v>-2022.3554242613022</v>
      </c>
      <c r="M58" s="799">
        <f t="shared" si="23"/>
        <v>-2016.7181062187133</v>
      </c>
      <c r="N58" s="799">
        <f t="shared" si="23"/>
        <v>-1995.1494135821231</v>
      </c>
      <c r="O58" s="799">
        <f t="shared" si="23"/>
        <v>-1995.1494135821231</v>
      </c>
      <c r="P58" s="913">
        <v>0</v>
      </c>
      <c r="Q58" s="913">
        <v>-153.70968820540571</v>
      </c>
      <c r="R58" s="913">
        <v>-370.51822236950829</v>
      </c>
      <c r="S58" s="913">
        <v>-681.97934251248898</v>
      </c>
      <c r="T58" s="913">
        <v>-1112.3492429189257</v>
      </c>
      <c r="U58" s="913">
        <v>-1663.8588864780509</v>
      </c>
      <c r="V58" s="913">
        <v>-1971.0785781902275</v>
      </c>
      <c r="W58" s="913">
        <v>-2007.7459451168868</v>
      </c>
      <c r="X58" s="913">
        <v>-2022.3554242613022</v>
      </c>
      <c r="Y58" s="913">
        <v>-2016.7181062187133</v>
      </c>
      <c r="Z58" s="913">
        <v>-1995.1494135821231</v>
      </c>
      <c r="AA58" s="913">
        <v>-1995.1494135821231</v>
      </c>
      <c r="AC58" s="10"/>
    </row>
    <row r="59" spans="2:29">
      <c r="B59" s="1276"/>
      <c r="C59" s="131" t="s">
        <v>3</v>
      </c>
      <c r="D59" s="799">
        <f t="shared" si="24"/>
        <v>0</v>
      </c>
      <c r="E59" s="799">
        <f t="shared" si="23"/>
        <v>0</v>
      </c>
      <c r="F59" s="799">
        <f t="shared" si="23"/>
        <v>0</v>
      </c>
      <c r="G59" s="799">
        <f t="shared" si="23"/>
        <v>0</v>
      </c>
      <c r="H59" s="799">
        <f t="shared" si="23"/>
        <v>0</v>
      </c>
      <c r="I59" s="799">
        <f t="shared" si="23"/>
        <v>0</v>
      </c>
      <c r="J59" s="799">
        <f t="shared" si="23"/>
        <v>0</v>
      </c>
      <c r="K59" s="799">
        <f t="shared" si="23"/>
        <v>0</v>
      </c>
      <c r="L59" s="799">
        <f t="shared" si="23"/>
        <v>0</v>
      </c>
      <c r="M59" s="799">
        <f t="shared" si="23"/>
        <v>0</v>
      </c>
      <c r="N59" s="799">
        <f t="shared" si="23"/>
        <v>0</v>
      </c>
      <c r="O59" s="799">
        <f t="shared" si="23"/>
        <v>0</v>
      </c>
      <c r="P59" s="913">
        <v>0</v>
      </c>
      <c r="Q59" s="913">
        <v>0</v>
      </c>
      <c r="R59" s="913">
        <v>0</v>
      </c>
      <c r="S59" s="913">
        <v>0</v>
      </c>
      <c r="T59" s="913">
        <v>0</v>
      </c>
      <c r="U59" s="913">
        <v>0</v>
      </c>
      <c r="V59" s="913">
        <v>0</v>
      </c>
      <c r="W59" s="913">
        <v>0</v>
      </c>
      <c r="X59" s="913">
        <v>0</v>
      </c>
      <c r="Y59" s="913">
        <v>0</v>
      </c>
      <c r="Z59" s="913">
        <v>0</v>
      </c>
      <c r="AA59" s="913">
        <v>0</v>
      </c>
      <c r="AC59" s="10"/>
    </row>
    <row r="60" spans="2:29">
      <c r="B60" s="1276"/>
      <c r="C60" s="131" t="s">
        <v>80</v>
      </c>
      <c r="D60" s="799">
        <f t="shared" si="24"/>
        <v>0</v>
      </c>
      <c r="E60" s="799">
        <f t="shared" si="23"/>
        <v>0</v>
      </c>
      <c r="F60" s="799">
        <f t="shared" si="23"/>
        <v>0</v>
      </c>
      <c r="G60" s="799">
        <f t="shared" si="23"/>
        <v>0</v>
      </c>
      <c r="H60" s="799">
        <f t="shared" si="23"/>
        <v>0</v>
      </c>
      <c r="I60" s="799">
        <f t="shared" si="23"/>
        <v>0</v>
      </c>
      <c r="J60" s="799">
        <f t="shared" si="23"/>
        <v>0</v>
      </c>
      <c r="K60" s="799">
        <f t="shared" si="23"/>
        <v>0</v>
      </c>
      <c r="L60" s="799">
        <f t="shared" si="23"/>
        <v>0</v>
      </c>
      <c r="M60" s="799">
        <f t="shared" si="23"/>
        <v>0</v>
      </c>
      <c r="N60" s="799">
        <f t="shared" si="23"/>
        <v>0</v>
      </c>
      <c r="O60" s="799">
        <f t="shared" si="23"/>
        <v>0</v>
      </c>
      <c r="P60" s="913">
        <v>0</v>
      </c>
      <c r="Q60" s="913">
        <v>0</v>
      </c>
      <c r="R60" s="913">
        <v>0</v>
      </c>
      <c r="S60" s="913">
        <v>0</v>
      </c>
      <c r="T60" s="913">
        <v>0</v>
      </c>
      <c r="U60" s="913">
        <v>0</v>
      </c>
      <c r="V60" s="913">
        <v>0</v>
      </c>
      <c r="W60" s="913">
        <v>0</v>
      </c>
      <c r="X60" s="913">
        <v>0</v>
      </c>
      <c r="Y60" s="913">
        <v>0</v>
      </c>
      <c r="Z60" s="913">
        <v>0</v>
      </c>
      <c r="AA60" s="913">
        <v>0</v>
      </c>
      <c r="AC60" s="10"/>
    </row>
    <row r="61" spans="2:29">
      <c r="B61" s="1276"/>
      <c r="C61" s="131" t="s">
        <v>108</v>
      </c>
      <c r="D61" s="799">
        <f t="shared" si="24"/>
        <v>0</v>
      </c>
      <c r="E61" s="799">
        <f t="shared" si="23"/>
        <v>-560.23026250959583</v>
      </c>
      <c r="F61" s="799">
        <f t="shared" si="23"/>
        <v>-1208.3760200193828</v>
      </c>
      <c r="G61" s="799">
        <f t="shared" si="23"/>
        <v>-2053.8828918666231</v>
      </c>
      <c r="H61" s="799">
        <f t="shared" si="23"/>
        <v>-3182.4528779884367</v>
      </c>
      <c r="I61" s="799">
        <f t="shared" si="23"/>
        <v>-4606.8855845362677</v>
      </c>
      <c r="J61" s="799">
        <f t="shared" si="23"/>
        <v>-5770.7324905439764</v>
      </c>
      <c r="K61" s="799">
        <f t="shared" si="23"/>
        <v>-5886.8102104621103</v>
      </c>
      <c r="L61" s="799">
        <f t="shared" si="23"/>
        <v>-5933.0593734212962</v>
      </c>
      <c r="M61" s="799">
        <f t="shared" si="23"/>
        <v>-5915.2133408401733</v>
      </c>
      <c r="N61" s="799">
        <f t="shared" si="23"/>
        <v>-5854.7781316412566</v>
      </c>
      <c r="O61" s="799">
        <f t="shared" si="23"/>
        <v>-5854.7781316412566</v>
      </c>
      <c r="P61" s="913">
        <v>0</v>
      </c>
      <c r="Q61" s="913">
        <v>-560.23026250959583</v>
      </c>
      <c r="R61" s="913">
        <v>-1208.3760200193828</v>
      </c>
      <c r="S61" s="913">
        <v>-2053.8828918666231</v>
      </c>
      <c r="T61" s="913">
        <v>-3182.4528779884367</v>
      </c>
      <c r="U61" s="913">
        <v>-4606.8855845362677</v>
      </c>
      <c r="V61" s="913">
        <v>-5770.7324905439764</v>
      </c>
      <c r="W61" s="913">
        <v>-5886.8102104621103</v>
      </c>
      <c r="X61" s="913">
        <v>-5933.0593734212962</v>
      </c>
      <c r="Y61" s="913">
        <v>-5915.2133408401733</v>
      </c>
      <c r="Z61" s="913">
        <v>-5854.7781316412566</v>
      </c>
      <c r="AA61" s="913">
        <v>-5854.7781316412566</v>
      </c>
      <c r="AC61" s="10"/>
    </row>
    <row r="62" spans="2:29">
      <c r="B62" s="1276"/>
      <c r="C62" s="131" t="s">
        <v>572</v>
      </c>
      <c r="D62" s="799">
        <f t="shared" si="24"/>
        <v>0</v>
      </c>
      <c r="E62" s="799">
        <f t="shared" si="23"/>
        <v>-930.06913864807871</v>
      </c>
      <c r="F62" s="799">
        <f t="shared" si="23"/>
        <v>-1957.5678597012666</v>
      </c>
      <c r="G62" s="799">
        <f t="shared" si="23"/>
        <v>-3262.2940243485027</v>
      </c>
      <c r="H62" s="799">
        <f t="shared" si="23"/>
        <v>-4985.6022183775785</v>
      </c>
      <c r="I62" s="799">
        <f t="shared" si="23"/>
        <v>-7150.3363220956107</v>
      </c>
      <c r="J62" s="799">
        <f t="shared" si="23"/>
        <v>-9097.5706171953589</v>
      </c>
      <c r="K62" s="799">
        <f t="shared" si="23"/>
        <v>-9284.2780617422904</v>
      </c>
      <c r="L62" s="799">
        <f t="shared" si="23"/>
        <v>-9358.6684187775099</v>
      </c>
      <c r="M62" s="799">
        <f t="shared" si="23"/>
        <v>-9329.963623913578</v>
      </c>
      <c r="N62" s="799">
        <f t="shared" si="23"/>
        <v>-9235.8403908908585</v>
      </c>
      <c r="O62" s="799">
        <f t="shared" si="23"/>
        <v>-9235.8403908908585</v>
      </c>
      <c r="P62" s="913">
        <v>0</v>
      </c>
      <c r="Q62" s="913">
        <v>-930.06913864807871</v>
      </c>
      <c r="R62" s="913">
        <v>-1957.5678597012666</v>
      </c>
      <c r="S62" s="913">
        <v>-3262.2940243485027</v>
      </c>
      <c r="T62" s="913">
        <v>-4985.6022183775785</v>
      </c>
      <c r="U62" s="913">
        <v>-7150.3363220956107</v>
      </c>
      <c r="V62" s="913">
        <v>-9097.5706171953589</v>
      </c>
      <c r="W62" s="913">
        <v>-9284.2780617422904</v>
      </c>
      <c r="X62" s="913">
        <v>-9358.6684187775099</v>
      </c>
      <c r="Y62" s="913">
        <v>-9329.963623913578</v>
      </c>
      <c r="Z62" s="913">
        <v>-9235.8403908908585</v>
      </c>
      <c r="AA62" s="913">
        <v>-9235.8403908908585</v>
      </c>
      <c r="AC62" s="10"/>
    </row>
    <row r="63" spans="2:29">
      <c r="B63" s="1276"/>
      <c r="C63" s="131" t="s">
        <v>6</v>
      </c>
      <c r="D63" s="799">
        <f t="shared" si="24"/>
        <v>0</v>
      </c>
      <c r="E63" s="799">
        <f t="shared" si="23"/>
        <v>-436.46771331824596</v>
      </c>
      <c r="F63" s="799">
        <f t="shared" si="23"/>
        <v>-919.94051767077758</v>
      </c>
      <c r="G63" s="799">
        <f t="shared" si="23"/>
        <v>-1534.8450942906245</v>
      </c>
      <c r="H63" s="799">
        <f t="shared" si="23"/>
        <v>-2347.5414916403593</v>
      </c>
      <c r="I63" s="799">
        <f t="shared" si="23"/>
        <v>-3368.7078502347599</v>
      </c>
      <c r="J63" s="799">
        <f t="shared" si="23"/>
        <v>-4282.1178009044052</v>
      </c>
      <c r="K63" s="799">
        <f t="shared" si="23"/>
        <v>-4369.895458944151</v>
      </c>
      <c r="L63" s="799">
        <f t="shared" si="23"/>
        <v>-4404.8689509606966</v>
      </c>
      <c r="M63" s="799">
        <f t="shared" si="23"/>
        <v>-4391.3738293613333</v>
      </c>
      <c r="N63" s="799">
        <f t="shared" si="23"/>
        <v>-4347.0390490086047</v>
      </c>
      <c r="O63" s="799">
        <f t="shared" si="23"/>
        <v>-4347.0390490086047</v>
      </c>
      <c r="P63" s="913">
        <v>0</v>
      </c>
      <c r="Q63" s="913">
        <v>-436.46771331824596</v>
      </c>
      <c r="R63" s="913">
        <v>-919.94051767077758</v>
      </c>
      <c r="S63" s="913">
        <v>-1534.8450942906245</v>
      </c>
      <c r="T63" s="913">
        <v>-2347.5414916403593</v>
      </c>
      <c r="U63" s="913">
        <v>-3368.7078502347599</v>
      </c>
      <c r="V63" s="913">
        <v>-4282.1178009044052</v>
      </c>
      <c r="W63" s="913">
        <v>-4369.895458944151</v>
      </c>
      <c r="X63" s="913">
        <v>-4404.8689509606966</v>
      </c>
      <c r="Y63" s="913">
        <v>-4391.3738293613333</v>
      </c>
      <c r="Z63" s="913">
        <v>-4347.0390490086047</v>
      </c>
      <c r="AA63" s="913">
        <v>-4347.0390490086047</v>
      </c>
      <c r="AC63" s="10"/>
    </row>
    <row r="64" spans="2:29">
      <c r="B64" s="1276"/>
      <c r="C64" s="131" t="s">
        <v>1</v>
      </c>
      <c r="D64" s="799">
        <f t="shared" si="24"/>
        <v>0</v>
      </c>
      <c r="E64" s="799">
        <f t="shared" si="23"/>
        <v>0</v>
      </c>
      <c r="F64" s="799">
        <f t="shared" si="23"/>
        <v>0</v>
      </c>
      <c r="G64" s="799">
        <f t="shared" si="23"/>
        <v>0</v>
      </c>
      <c r="H64" s="799">
        <f t="shared" si="23"/>
        <v>0</v>
      </c>
      <c r="I64" s="799">
        <f t="shared" si="23"/>
        <v>0</v>
      </c>
      <c r="J64" s="799">
        <f t="shared" si="23"/>
        <v>0</v>
      </c>
      <c r="K64" s="799">
        <f t="shared" si="23"/>
        <v>0</v>
      </c>
      <c r="L64" s="799">
        <f t="shared" si="23"/>
        <v>0</v>
      </c>
      <c r="M64" s="799">
        <f t="shared" si="23"/>
        <v>0</v>
      </c>
      <c r="N64" s="799">
        <f t="shared" si="23"/>
        <v>0</v>
      </c>
      <c r="O64" s="799">
        <f t="shared" si="23"/>
        <v>0</v>
      </c>
      <c r="P64" s="913">
        <v>0</v>
      </c>
      <c r="Q64" s="913">
        <v>0</v>
      </c>
      <c r="R64" s="913">
        <v>0</v>
      </c>
      <c r="S64" s="913">
        <v>0</v>
      </c>
      <c r="T64" s="913">
        <v>0</v>
      </c>
      <c r="U64" s="913">
        <v>0</v>
      </c>
      <c r="V64" s="913">
        <v>0</v>
      </c>
      <c r="W64" s="913">
        <v>0</v>
      </c>
      <c r="X64" s="913">
        <v>0</v>
      </c>
      <c r="Y64" s="913">
        <v>0</v>
      </c>
      <c r="Z64" s="913">
        <v>0</v>
      </c>
      <c r="AA64" s="913">
        <v>0</v>
      </c>
      <c r="AC64" s="10"/>
    </row>
    <row r="65" spans="2:29">
      <c r="B65" s="1276"/>
      <c r="C65" s="131" t="s">
        <v>397</v>
      </c>
      <c r="D65" s="799">
        <f t="shared" si="24"/>
        <v>0</v>
      </c>
      <c r="E65" s="799">
        <f t="shared" si="23"/>
        <v>-181.35951586348568</v>
      </c>
      <c r="F65" s="799">
        <f t="shared" si="23"/>
        <v>-402.22999192564237</v>
      </c>
      <c r="G65" s="799">
        <f t="shared" si="23"/>
        <v>-698.47394866852494</v>
      </c>
      <c r="H65" s="799">
        <f t="shared" si="23"/>
        <v>-1098.0455448446914</v>
      </c>
      <c r="I65" s="799">
        <f t="shared" si="23"/>
        <v>-1604.7251711992103</v>
      </c>
      <c r="J65" s="799">
        <f t="shared" si="23"/>
        <v>-1978.0578567408193</v>
      </c>
      <c r="K65" s="799">
        <f t="shared" si="23"/>
        <v>-2017.0012318684301</v>
      </c>
      <c r="L65" s="799">
        <f t="shared" si="23"/>
        <v>-2032.517547176207</v>
      </c>
      <c r="M65" s="799">
        <f t="shared" si="23"/>
        <v>-2026.5303108500939</v>
      </c>
      <c r="N65" s="799">
        <f t="shared" si="23"/>
        <v>-2005.5521056642651</v>
      </c>
      <c r="O65" s="799">
        <f t="shared" si="23"/>
        <v>-2005.5521056642651</v>
      </c>
      <c r="P65" s="913">
        <v>0</v>
      </c>
      <c r="Q65" s="913">
        <v>-181.35951586348568</v>
      </c>
      <c r="R65" s="913">
        <v>-402.22999192564237</v>
      </c>
      <c r="S65" s="913">
        <v>-698.47394866852494</v>
      </c>
      <c r="T65" s="913">
        <v>-1098.0455448446914</v>
      </c>
      <c r="U65" s="913">
        <v>-1604.7251711992103</v>
      </c>
      <c r="V65" s="913">
        <v>-1978.0578567408193</v>
      </c>
      <c r="W65" s="913">
        <v>-2017.0012318684301</v>
      </c>
      <c r="X65" s="913">
        <v>-2032.517547176207</v>
      </c>
      <c r="Y65" s="913">
        <v>-2026.5303108500939</v>
      </c>
      <c r="Z65" s="913">
        <v>-2005.5521056642651</v>
      </c>
      <c r="AA65" s="913">
        <v>-2005.5521056642651</v>
      </c>
      <c r="AC65" s="10"/>
    </row>
    <row r="66" spans="2:29">
      <c r="B66" s="1276"/>
      <c r="C66" s="131" t="s">
        <v>4</v>
      </c>
      <c r="D66" s="799">
        <f t="shared" si="24"/>
        <v>0</v>
      </c>
      <c r="E66" s="799">
        <f t="shared" si="23"/>
        <v>0</v>
      </c>
      <c r="F66" s="799">
        <f t="shared" si="23"/>
        <v>0</v>
      </c>
      <c r="G66" s="799">
        <f t="shared" si="23"/>
        <v>0</v>
      </c>
      <c r="H66" s="799">
        <f t="shared" si="23"/>
        <v>0</v>
      </c>
      <c r="I66" s="799">
        <f t="shared" si="23"/>
        <v>0</v>
      </c>
      <c r="J66" s="799">
        <f t="shared" si="23"/>
        <v>0</v>
      </c>
      <c r="K66" s="799">
        <f t="shared" si="23"/>
        <v>0</v>
      </c>
      <c r="L66" s="799">
        <f t="shared" si="23"/>
        <v>0</v>
      </c>
      <c r="M66" s="799">
        <f t="shared" si="23"/>
        <v>0</v>
      </c>
      <c r="N66" s="799">
        <f t="shared" si="23"/>
        <v>0</v>
      </c>
      <c r="O66" s="799">
        <f t="shared" si="23"/>
        <v>0</v>
      </c>
      <c r="P66" s="913">
        <v>0</v>
      </c>
      <c r="Q66" s="913">
        <v>0</v>
      </c>
      <c r="R66" s="913">
        <v>0</v>
      </c>
      <c r="S66" s="913">
        <v>0</v>
      </c>
      <c r="T66" s="913">
        <v>0</v>
      </c>
      <c r="U66" s="913">
        <v>0</v>
      </c>
      <c r="V66" s="913">
        <v>0</v>
      </c>
      <c r="W66" s="913">
        <v>0</v>
      </c>
      <c r="X66" s="913">
        <v>0</v>
      </c>
      <c r="Y66" s="913">
        <v>0</v>
      </c>
      <c r="Z66" s="913">
        <v>0</v>
      </c>
      <c r="AA66" s="913">
        <v>0</v>
      </c>
      <c r="AC66" s="10"/>
    </row>
    <row r="67" spans="2:29">
      <c r="B67" s="1276"/>
      <c r="C67" s="131" t="s">
        <v>0</v>
      </c>
      <c r="D67" s="799">
        <f t="shared" si="24"/>
        <v>0</v>
      </c>
      <c r="E67" s="799">
        <f t="shared" si="23"/>
        <v>0</v>
      </c>
      <c r="F67" s="799">
        <f t="shared" si="23"/>
        <v>0</v>
      </c>
      <c r="G67" s="799">
        <f t="shared" si="23"/>
        <v>0</v>
      </c>
      <c r="H67" s="799">
        <f t="shared" si="23"/>
        <v>0</v>
      </c>
      <c r="I67" s="799">
        <f t="shared" si="23"/>
        <v>0</v>
      </c>
      <c r="J67" s="799">
        <f t="shared" si="23"/>
        <v>0</v>
      </c>
      <c r="K67" s="799">
        <f t="shared" si="23"/>
        <v>0</v>
      </c>
      <c r="L67" s="799">
        <f t="shared" si="23"/>
        <v>0</v>
      </c>
      <c r="M67" s="799">
        <f t="shared" si="23"/>
        <v>0</v>
      </c>
      <c r="N67" s="799">
        <f t="shared" si="23"/>
        <v>0</v>
      </c>
      <c r="O67" s="799">
        <f t="shared" si="23"/>
        <v>0</v>
      </c>
      <c r="P67" s="913">
        <v>0</v>
      </c>
      <c r="Q67" s="913">
        <v>0</v>
      </c>
      <c r="R67" s="913">
        <v>0</v>
      </c>
      <c r="S67" s="913">
        <v>0</v>
      </c>
      <c r="T67" s="913">
        <v>0</v>
      </c>
      <c r="U67" s="913">
        <v>0</v>
      </c>
      <c r="V67" s="913">
        <v>0</v>
      </c>
      <c r="W67" s="913">
        <v>0</v>
      </c>
      <c r="X67" s="913">
        <v>0</v>
      </c>
      <c r="Y67" s="913">
        <v>0</v>
      </c>
      <c r="Z67" s="913">
        <v>0</v>
      </c>
      <c r="AA67" s="913">
        <v>0</v>
      </c>
      <c r="AC67" s="10"/>
    </row>
    <row r="68" spans="2:29">
      <c r="B68" s="1276"/>
      <c r="C68" s="131" t="s">
        <v>573</v>
      </c>
      <c r="D68" s="799">
        <f t="shared" si="24"/>
        <v>0</v>
      </c>
      <c r="E68" s="799">
        <f t="shared" si="23"/>
        <v>0</v>
      </c>
      <c r="F68" s="799">
        <f t="shared" si="23"/>
        <v>0</v>
      </c>
      <c r="G68" s="799">
        <f t="shared" si="23"/>
        <v>0</v>
      </c>
      <c r="H68" s="799">
        <f t="shared" si="23"/>
        <v>0</v>
      </c>
      <c r="I68" s="799">
        <f t="shared" si="23"/>
        <v>0</v>
      </c>
      <c r="J68" s="799">
        <f t="shared" si="23"/>
        <v>0</v>
      </c>
      <c r="K68" s="799">
        <f t="shared" si="23"/>
        <v>0</v>
      </c>
      <c r="L68" s="799">
        <f t="shared" si="23"/>
        <v>0</v>
      </c>
      <c r="M68" s="799">
        <f t="shared" si="23"/>
        <v>0</v>
      </c>
      <c r="N68" s="799">
        <f t="shared" si="23"/>
        <v>0</v>
      </c>
      <c r="O68" s="799">
        <f t="shared" si="23"/>
        <v>0</v>
      </c>
      <c r="P68" s="913">
        <v>0</v>
      </c>
      <c r="Q68" s="913">
        <v>0</v>
      </c>
      <c r="R68" s="913">
        <v>0</v>
      </c>
      <c r="S68" s="913">
        <v>0</v>
      </c>
      <c r="T68" s="913">
        <v>0</v>
      </c>
      <c r="U68" s="913">
        <v>0</v>
      </c>
      <c r="V68" s="913">
        <v>0</v>
      </c>
      <c r="W68" s="913">
        <v>0</v>
      </c>
      <c r="X68" s="913">
        <v>0</v>
      </c>
      <c r="Y68" s="913">
        <v>0</v>
      </c>
      <c r="Z68" s="913">
        <v>0</v>
      </c>
      <c r="AA68" s="913">
        <v>0</v>
      </c>
      <c r="AC68" s="10"/>
    </row>
    <row r="69" spans="2:29">
      <c r="B69" s="1276"/>
      <c r="C69" s="131" t="s">
        <v>574</v>
      </c>
      <c r="D69" s="799">
        <f t="shared" si="24"/>
        <v>0</v>
      </c>
      <c r="E69" s="799">
        <f t="shared" si="23"/>
        <v>6240.051565318412</v>
      </c>
      <c r="F69" s="799">
        <f t="shared" si="23"/>
        <v>13409.06073670341</v>
      </c>
      <c r="G69" s="799">
        <f t="shared" si="23"/>
        <v>22724.105765318556</v>
      </c>
      <c r="H69" s="799">
        <f t="shared" si="23"/>
        <v>35138.809750744957</v>
      </c>
      <c r="I69" s="799">
        <f t="shared" si="23"/>
        <v>50797.391616214489</v>
      </c>
      <c r="J69" s="799">
        <f t="shared" si="23"/>
        <v>63776.360798783782</v>
      </c>
      <c r="K69" s="799">
        <f t="shared" si="23"/>
        <v>65063.060884137041</v>
      </c>
      <c r="L69" s="799">
        <f t="shared" si="23"/>
        <v>65575.724313166065</v>
      </c>
      <c r="M69" s="799">
        <f t="shared" si="23"/>
        <v>65377.904338225628</v>
      </c>
      <c r="N69" s="799">
        <f t="shared" si="23"/>
        <v>64711.187654006237</v>
      </c>
      <c r="O69" s="799">
        <f t="shared" si="23"/>
        <v>64711.187654006237</v>
      </c>
      <c r="P69" s="913">
        <v>0</v>
      </c>
      <c r="Q69" s="913">
        <v>6240.051565318412</v>
      </c>
      <c r="R69" s="913">
        <v>13409.06073670341</v>
      </c>
      <c r="S69" s="913">
        <v>22724.105765318556</v>
      </c>
      <c r="T69" s="913">
        <v>35138.809750744957</v>
      </c>
      <c r="U69" s="913">
        <v>50797.391616214489</v>
      </c>
      <c r="V69" s="913">
        <v>63776.360798783782</v>
      </c>
      <c r="W69" s="913">
        <v>65063.060884137041</v>
      </c>
      <c r="X69" s="913">
        <v>65575.724313166065</v>
      </c>
      <c r="Y69" s="913">
        <v>65377.904338225628</v>
      </c>
      <c r="Z69" s="913">
        <v>64711.187654006237</v>
      </c>
      <c r="AA69" s="913">
        <v>64711.187654006237</v>
      </c>
      <c r="AB69" s="1089"/>
      <c r="AC69" s="10"/>
    </row>
    <row r="70" spans="2:29">
      <c r="B70" s="1276"/>
      <c r="C70" s="131" t="s">
        <v>5</v>
      </c>
      <c r="D70" s="799">
        <f t="shared" si="24"/>
        <v>0</v>
      </c>
      <c r="E70" s="799">
        <f t="shared" si="23"/>
        <v>-473.68281623697396</v>
      </c>
      <c r="F70" s="799">
        <f t="shared" si="23"/>
        <v>-985.09012642957055</v>
      </c>
      <c r="G70" s="799">
        <f t="shared" si="23"/>
        <v>-1625.3271846306745</v>
      </c>
      <c r="H70" s="799">
        <f t="shared" si="23"/>
        <v>-2466.1591314596922</v>
      </c>
      <c r="I70" s="799">
        <f t="shared" si="23"/>
        <v>-3519.6112455669763</v>
      </c>
      <c r="J70" s="799">
        <f t="shared" si="23"/>
        <v>-4515.0288431336267</v>
      </c>
      <c r="K70" s="799">
        <f t="shared" si="23"/>
        <v>-4608.6477888005475</v>
      </c>
      <c r="L70" s="799">
        <f t="shared" si="23"/>
        <v>-4645.948640999145</v>
      </c>
      <c r="M70" s="799">
        <f t="shared" si="23"/>
        <v>-4631.5554675653402</v>
      </c>
      <c r="N70" s="799">
        <f t="shared" si="23"/>
        <v>-4585.1407640274256</v>
      </c>
      <c r="O70" s="799">
        <f t="shared" si="23"/>
        <v>-4585.1407640274256</v>
      </c>
      <c r="P70" s="913">
        <v>0</v>
      </c>
      <c r="Q70" s="913">
        <v>-473.68281623697396</v>
      </c>
      <c r="R70" s="913">
        <v>-985.09012642957055</v>
      </c>
      <c r="S70" s="913">
        <v>-1625.3271846306745</v>
      </c>
      <c r="T70" s="913">
        <v>-2466.1591314596922</v>
      </c>
      <c r="U70" s="913">
        <v>-3519.6112455669763</v>
      </c>
      <c r="V70" s="913">
        <v>-4515.0288431336267</v>
      </c>
      <c r="W70" s="913">
        <v>-4608.6477888005475</v>
      </c>
      <c r="X70" s="913">
        <v>-4645.948640999145</v>
      </c>
      <c r="Y70" s="913">
        <v>-4631.5554675653402</v>
      </c>
      <c r="Z70" s="913">
        <v>-4585.1407640274256</v>
      </c>
      <c r="AA70" s="913">
        <v>-4585.1407640274256</v>
      </c>
      <c r="AC70" s="10"/>
    </row>
    <row r="71" spans="2:29">
      <c r="B71" s="1276"/>
      <c r="C71" s="131" t="s">
        <v>41</v>
      </c>
      <c r="D71" s="799">
        <f t="shared" si="24"/>
        <v>0</v>
      </c>
      <c r="E71" s="799">
        <f t="shared" si="23"/>
        <v>-724.92062407187836</v>
      </c>
      <c r="F71" s="799">
        <f t="shared" si="23"/>
        <v>-1600.4626509255463</v>
      </c>
      <c r="G71" s="799">
        <f t="shared" si="23"/>
        <v>-2769.6877973469764</v>
      </c>
      <c r="H71" s="799">
        <f t="shared" si="23"/>
        <v>-4344.1937446790025</v>
      </c>
      <c r="I71" s="799">
        <f t="shared" si="23"/>
        <v>-6339.3314756795517</v>
      </c>
      <c r="J71" s="799">
        <f t="shared" si="23"/>
        <v>-7833.8669118791504</v>
      </c>
      <c r="K71" s="799">
        <f t="shared" si="23"/>
        <v>-7988.6255155392555</v>
      </c>
      <c r="L71" s="799">
        <f t="shared" si="23"/>
        <v>-8050.2864086465634</v>
      </c>
      <c r="M71" s="799">
        <f t="shared" si="23"/>
        <v>-8026.4934957165442</v>
      </c>
      <c r="N71" s="799">
        <f t="shared" si="23"/>
        <v>-7943.57580115778</v>
      </c>
      <c r="O71" s="799">
        <f t="shared" si="23"/>
        <v>-7943.57580115778</v>
      </c>
      <c r="P71" s="913">
        <v>0</v>
      </c>
      <c r="Q71" s="913">
        <v>-724.92062407187836</v>
      </c>
      <c r="R71" s="913">
        <v>-1600.4626509255463</v>
      </c>
      <c r="S71" s="913">
        <v>-2769.6877973469764</v>
      </c>
      <c r="T71" s="913">
        <v>-4344.1937446790025</v>
      </c>
      <c r="U71" s="913">
        <v>-6339.3314756795517</v>
      </c>
      <c r="V71" s="913">
        <v>-7833.8669118791504</v>
      </c>
      <c r="W71" s="913">
        <v>-7988.6255155392555</v>
      </c>
      <c r="X71" s="913">
        <v>-8050.2864086465634</v>
      </c>
      <c r="Y71" s="913">
        <v>-8026.4934957165442</v>
      </c>
      <c r="Z71" s="913">
        <v>-7943.57580115778</v>
      </c>
      <c r="AA71" s="913">
        <v>-7943.57580115778</v>
      </c>
      <c r="AC71" s="10"/>
    </row>
    <row r="72" spans="2:29">
      <c r="B72" s="1276"/>
      <c r="C72" s="131" t="s">
        <v>575</v>
      </c>
      <c r="D72" s="799">
        <f t="shared" si="24"/>
        <v>0</v>
      </c>
      <c r="E72" s="799">
        <f t="shared" ref="E72:O74" si="25">IF($B$14=$D$15,Q72,0)</f>
        <v>-1459.2392427298025</v>
      </c>
      <c r="F72" s="799">
        <f t="shared" si="25"/>
        <v>-3143.1080287776313</v>
      </c>
      <c r="G72" s="799">
        <f t="shared" si="25"/>
        <v>-5336.510006788224</v>
      </c>
      <c r="H72" s="799">
        <f t="shared" si="25"/>
        <v>-8262.5911958775996</v>
      </c>
      <c r="I72" s="799">
        <f t="shared" si="25"/>
        <v>-11954.834344037652</v>
      </c>
      <c r="J72" s="799">
        <f t="shared" si="25"/>
        <v>-14987.677398523938</v>
      </c>
      <c r="K72" s="799">
        <f t="shared" si="25"/>
        <v>-15289.486872864365</v>
      </c>
      <c r="L72" s="799">
        <f t="shared" si="25"/>
        <v>-15409.73764597777</v>
      </c>
      <c r="M72" s="799">
        <f t="shared" si="25"/>
        <v>-15363.33682318275</v>
      </c>
      <c r="N72" s="799">
        <f t="shared" si="25"/>
        <v>-15206.478941652169</v>
      </c>
      <c r="O72" s="799">
        <f t="shared" si="25"/>
        <v>-15206.478941652169</v>
      </c>
      <c r="P72" s="913">
        <v>0</v>
      </c>
      <c r="Q72" s="913">
        <v>-1459.2392427298025</v>
      </c>
      <c r="R72" s="913">
        <v>-3143.1080287776313</v>
      </c>
      <c r="S72" s="913">
        <v>-5336.510006788224</v>
      </c>
      <c r="T72" s="913">
        <v>-8262.5911958775996</v>
      </c>
      <c r="U72" s="913">
        <v>-11954.834344037652</v>
      </c>
      <c r="V72" s="913">
        <v>-14987.677398523938</v>
      </c>
      <c r="W72" s="913">
        <v>-15289.486872864365</v>
      </c>
      <c r="X72" s="913">
        <v>-15409.73764597777</v>
      </c>
      <c r="Y72" s="913">
        <v>-15363.33682318275</v>
      </c>
      <c r="Z72" s="913">
        <v>-15206.478941652169</v>
      </c>
      <c r="AA72" s="913">
        <v>-15206.478941652169</v>
      </c>
      <c r="AC72" s="10"/>
    </row>
    <row r="73" spans="2:29">
      <c r="B73" s="1276"/>
      <c r="C73" s="131" t="s">
        <v>2</v>
      </c>
      <c r="D73" s="799">
        <f t="shared" si="24"/>
        <v>0</v>
      </c>
      <c r="E73" s="799">
        <f t="shared" si="25"/>
        <v>0</v>
      </c>
      <c r="F73" s="799">
        <f t="shared" si="25"/>
        <v>0</v>
      </c>
      <c r="G73" s="799">
        <f t="shared" si="25"/>
        <v>0</v>
      </c>
      <c r="H73" s="799">
        <f t="shared" si="25"/>
        <v>0</v>
      </c>
      <c r="I73" s="799">
        <f t="shared" si="25"/>
        <v>0</v>
      </c>
      <c r="J73" s="799">
        <f t="shared" si="25"/>
        <v>0</v>
      </c>
      <c r="K73" s="799">
        <f t="shared" si="25"/>
        <v>0</v>
      </c>
      <c r="L73" s="799">
        <f t="shared" si="25"/>
        <v>0</v>
      </c>
      <c r="M73" s="799">
        <f t="shared" si="25"/>
        <v>0</v>
      </c>
      <c r="N73" s="799">
        <f t="shared" si="25"/>
        <v>0</v>
      </c>
      <c r="O73" s="799">
        <f t="shared" si="25"/>
        <v>0</v>
      </c>
      <c r="P73" s="913">
        <v>0</v>
      </c>
      <c r="Q73" s="913">
        <v>0</v>
      </c>
      <c r="R73" s="913">
        <v>0</v>
      </c>
      <c r="S73" s="913">
        <v>0</v>
      </c>
      <c r="T73" s="913">
        <v>0</v>
      </c>
      <c r="U73" s="913">
        <v>0</v>
      </c>
      <c r="V73" s="913">
        <v>0</v>
      </c>
      <c r="W73" s="913">
        <v>0</v>
      </c>
      <c r="X73" s="913">
        <v>0</v>
      </c>
      <c r="Y73" s="913">
        <v>0</v>
      </c>
      <c r="Z73" s="913">
        <v>0</v>
      </c>
      <c r="AA73" s="913">
        <v>0</v>
      </c>
      <c r="AC73" s="10"/>
    </row>
    <row r="74" spans="2:29">
      <c r="B74" s="1276"/>
      <c r="C74" s="131" t="s">
        <v>576</v>
      </c>
      <c r="D74" s="799">
        <f t="shared" si="24"/>
        <v>0</v>
      </c>
      <c r="E74" s="799">
        <f t="shared" si="25"/>
        <v>-639.76781898462116</v>
      </c>
      <c r="F74" s="799">
        <f t="shared" si="25"/>
        <v>-1374.6260050431415</v>
      </c>
      <c r="G74" s="799">
        <f t="shared" si="25"/>
        <v>-2329.3508324733548</v>
      </c>
      <c r="H74" s="799">
        <f t="shared" si="25"/>
        <v>-3601.7106136389066</v>
      </c>
      <c r="I74" s="799">
        <f t="shared" si="25"/>
        <v>-5206.4965389882873</v>
      </c>
      <c r="J74" s="799">
        <f t="shared" si="25"/>
        <v>-6537.2261361276987</v>
      </c>
      <c r="K74" s="799">
        <f t="shared" si="25"/>
        <v>-6669.1276177321088</v>
      </c>
      <c r="L74" s="799">
        <f t="shared" si="25"/>
        <v>-6721.6814852751886</v>
      </c>
      <c r="M74" s="799">
        <f t="shared" si="25"/>
        <v>-6701.4026743210197</v>
      </c>
      <c r="N74" s="799">
        <f t="shared" si="25"/>
        <v>-6633.0662945920703</v>
      </c>
      <c r="O74" s="799">
        <f t="shared" si="25"/>
        <v>-6633.0662945920703</v>
      </c>
      <c r="P74" s="913">
        <v>0</v>
      </c>
      <c r="Q74" s="913">
        <v>-639.76781898462116</v>
      </c>
      <c r="R74" s="913">
        <v>-1374.6260050431415</v>
      </c>
      <c r="S74" s="913">
        <v>-2329.3508324733548</v>
      </c>
      <c r="T74" s="913">
        <v>-3601.7106136389066</v>
      </c>
      <c r="U74" s="913">
        <v>-5206.4965389882873</v>
      </c>
      <c r="V74" s="913">
        <v>-6537.2261361276987</v>
      </c>
      <c r="W74" s="913">
        <v>-6669.1276177321088</v>
      </c>
      <c r="X74" s="913">
        <v>-6721.6814852751886</v>
      </c>
      <c r="Y74" s="913">
        <v>-6701.4026743210197</v>
      </c>
      <c r="Z74" s="913">
        <v>-6633.0662945920703</v>
      </c>
      <c r="AA74" s="913">
        <v>-6633.0662945920703</v>
      </c>
      <c r="AC74" s="10"/>
    </row>
    <row r="75" spans="2:29" ht="13.15" customHeight="1">
      <c r="AA75"/>
    </row>
    <row r="76" spans="2:29">
      <c r="V76" s="1090"/>
      <c r="W76" s="1090"/>
      <c r="X76" s="1090"/>
      <c r="Y76" s="1090"/>
    </row>
  </sheetData>
  <mergeCells count="6">
    <mergeCell ref="B56:B74"/>
    <mergeCell ref="B37:B55"/>
    <mergeCell ref="E13:O13"/>
    <mergeCell ref="E15:O15"/>
    <mergeCell ref="E14:O14"/>
    <mergeCell ref="B18:B3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T150"/>
  <sheetViews>
    <sheetView showGridLines="0" workbookViewId="0"/>
  </sheetViews>
  <sheetFormatPr defaultRowHeight="12.75"/>
  <cols>
    <col min="2" max="6" width="12.710937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5.6" customHeight="1">
      <c r="A5" s="1293" t="s">
        <v>1416</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60"/>
      <c r="C8" s="60"/>
      <c r="D8" s="285"/>
      <c r="E8" s="60"/>
      <c r="F8" s="60"/>
      <c r="G8" s="60"/>
      <c r="H8" s="60"/>
      <c r="I8" s="60"/>
      <c r="J8" s="60"/>
      <c r="K8" s="60"/>
      <c r="L8" s="60"/>
      <c r="M8" s="60"/>
      <c r="N8" s="60"/>
      <c r="O8" s="44"/>
    </row>
    <row r="9" spans="1:20" s="45" customFormat="1">
      <c r="A9" s="53" t="s">
        <v>1415</v>
      </c>
      <c r="B9" s="60"/>
      <c r="C9" s="60"/>
      <c r="D9" s="285"/>
      <c r="E9" s="60"/>
      <c r="F9" s="60"/>
      <c r="G9" s="60"/>
      <c r="H9" s="60"/>
      <c r="I9" s="60"/>
      <c r="J9" s="60"/>
      <c r="K9" s="60"/>
      <c r="L9" s="60"/>
      <c r="M9" s="60"/>
      <c r="N9" s="60"/>
      <c r="O9" s="44"/>
    </row>
    <row r="10" spans="1:20" s="49" customFormat="1" ht="13.5" customHeight="1">
      <c r="A10" s="54">
        <f>SUM(A13:A2227)</f>
        <v>0</v>
      </c>
      <c r="B10" s="72"/>
      <c r="C10" s="47"/>
      <c r="D10" s="47"/>
      <c r="E10" s="47"/>
      <c r="F10" s="71"/>
      <c r="G10" s="47"/>
      <c r="H10" s="71"/>
      <c r="I10" s="48"/>
      <c r="J10" s="48"/>
      <c r="K10" s="48"/>
      <c r="L10" s="48"/>
      <c r="M10" s="48"/>
      <c r="N10" s="48"/>
      <c r="O10" s="48"/>
    </row>
    <row r="12" spans="1:20">
      <c r="H12" s="75" t="s">
        <v>115</v>
      </c>
    </row>
    <row r="14" spans="1:20">
      <c r="H14" s="5">
        <v>0.1</v>
      </c>
      <c r="I14" s="5">
        <v>0.2</v>
      </c>
      <c r="J14" s="5">
        <v>0.3</v>
      </c>
      <c r="K14" s="5">
        <v>0.4</v>
      </c>
    </row>
    <row r="16" spans="1:20" ht="18">
      <c r="B16" s="38" t="s">
        <v>1170</v>
      </c>
    </row>
    <row r="18" spans="2:6">
      <c r="B18" s="75" t="str">
        <f>RAW_DATA_INPUTS!H128</f>
        <v xml:space="preserve">MALE PRIMARY Starting Stock figures </v>
      </c>
    </row>
    <row r="20" spans="2:6">
      <c r="B20" s="1241" t="str">
        <f>RAW_DATA_INPUTS!B131</f>
        <v>Age group</v>
      </c>
      <c r="C20" s="1292" t="s">
        <v>71</v>
      </c>
      <c r="D20" s="1292"/>
      <c r="E20" s="1292"/>
      <c r="F20" s="1292"/>
    </row>
    <row r="21" spans="2:6">
      <c r="B21" s="1242"/>
      <c r="C21" s="8" t="str">
        <f>RAW_DATA_INPUTS!C131</f>
        <v>2012/13</v>
      </c>
      <c r="D21" s="8" t="str">
        <f>RAW_DATA_INPUTS!D131</f>
        <v>2013/14</v>
      </c>
      <c r="E21" s="8" t="str">
        <f>RAW_DATA_INPUTS!E131</f>
        <v>2014/15</v>
      </c>
      <c r="F21" s="8" t="str">
        <f>RAW_DATA_INPUTS!F131</f>
        <v>2015/16</v>
      </c>
    </row>
    <row r="22" spans="2:6">
      <c r="B22" s="8" t="str">
        <f>RAW_DATA_INPUTS!B132</f>
        <v>20-24</v>
      </c>
      <c r="C22" s="300">
        <f>RAW_DATA_INPUTS!I132</f>
        <v>1520.6320000000001</v>
      </c>
      <c r="D22" s="300">
        <f>RAW_DATA_INPUTS!J132</f>
        <v>1750.7570000000001</v>
      </c>
      <c r="E22" s="300">
        <f>RAW_DATA_INPUTS!K132</f>
        <v>1985.549</v>
      </c>
      <c r="F22" s="300">
        <f>RAW_DATA_INPUTS!L132</f>
        <v>2202.6010000000001</v>
      </c>
    </row>
    <row r="23" spans="2:6">
      <c r="B23" s="8" t="str">
        <f>RAW_DATA_INPUTS!B133</f>
        <v>25-29</v>
      </c>
      <c r="C23" s="300">
        <f>RAW_DATA_INPUTS!I133</f>
        <v>4838.1310000000003</v>
      </c>
      <c r="D23" s="300">
        <f>RAW_DATA_INPUTS!J133</f>
        <v>5392.6440000000002</v>
      </c>
      <c r="E23" s="300">
        <f>RAW_DATA_INPUTS!K133</f>
        <v>6027.674</v>
      </c>
      <c r="F23" s="300">
        <f>RAW_DATA_INPUTS!L133</f>
        <v>6371.741</v>
      </c>
    </row>
    <row r="24" spans="2:6">
      <c r="B24" s="8" t="str">
        <f>RAW_DATA_INPUTS!B134</f>
        <v>30-34</v>
      </c>
      <c r="C24" s="300">
        <f>RAW_DATA_INPUTS!I134</f>
        <v>5134.1400000000003</v>
      </c>
      <c r="D24" s="300">
        <f>RAW_DATA_INPUTS!J134</f>
        <v>5449.6239999999998</v>
      </c>
      <c r="E24" s="300">
        <f>RAW_DATA_INPUTS!K134</f>
        <v>5632.1589999999997</v>
      </c>
      <c r="F24" s="300">
        <f>RAW_DATA_INPUTS!L134</f>
        <v>5887.6530000000002</v>
      </c>
    </row>
    <row r="25" spans="2:6">
      <c r="B25" s="8" t="str">
        <f>RAW_DATA_INPUTS!B135</f>
        <v>35-39</v>
      </c>
      <c r="C25" s="300">
        <f>RAW_DATA_INPUTS!I135</f>
        <v>4655.9409999999998</v>
      </c>
      <c r="D25" s="300">
        <f>RAW_DATA_INPUTS!J135</f>
        <v>4700.1790000000001</v>
      </c>
      <c r="E25" s="300">
        <f>RAW_DATA_INPUTS!K135</f>
        <v>4915.2269999999999</v>
      </c>
      <c r="F25" s="300">
        <f>RAW_DATA_INPUTS!L135</f>
        <v>5058.2569999999996</v>
      </c>
    </row>
    <row r="26" spans="2:6">
      <c r="B26" s="8" t="str">
        <f>RAW_DATA_INPUTS!B136</f>
        <v>40-44</v>
      </c>
      <c r="C26" s="300">
        <f>RAW_DATA_INPUTS!I136</f>
        <v>4193.6480000000001</v>
      </c>
      <c r="D26" s="300">
        <f>RAW_DATA_INPUTS!J136</f>
        <v>4411.1869999999999</v>
      </c>
      <c r="E26" s="300">
        <f>RAW_DATA_INPUTS!K136</f>
        <v>4576.1760000000004</v>
      </c>
      <c r="F26" s="300">
        <f>RAW_DATA_INPUTS!L136</f>
        <v>4720.2209999999995</v>
      </c>
    </row>
    <row r="27" spans="2:6">
      <c r="B27" s="8" t="str">
        <f>RAW_DATA_INPUTS!B137</f>
        <v>45-49</v>
      </c>
      <c r="C27" s="300">
        <f>RAW_DATA_INPUTS!I137</f>
        <v>3456.4459999999999</v>
      </c>
      <c r="D27" s="300">
        <f>RAW_DATA_INPUTS!J137</f>
        <v>3513.2620000000002</v>
      </c>
      <c r="E27" s="300">
        <f>RAW_DATA_INPUTS!K137</f>
        <v>3580.056</v>
      </c>
      <c r="F27" s="300">
        <f>RAW_DATA_INPUTS!L137</f>
        <v>3574.6309999999999</v>
      </c>
    </row>
    <row r="28" spans="2:6">
      <c r="B28" s="8" t="str">
        <f>RAW_DATA_INPUTS!B138</f>
        <v>50-54</v>
      </c>
      <c r="C28" s="300">
        <f>RAW_DATA_INPUTS!I138</f>
        <v>2466.4589999999998</v>
      </c>
      <c r="D28" s="300">
        <f>RAW_DATA_INPUTS!J138</f>
        <v>2520.5309999999999</v>
      </c>
      <c r="E28" s="300">
        <f>RAW_DATA_INPUTS!K138</f>
        <v>2616.971</v>
      </c>
      <c r="F28" s="300">
        <f>RAW_DATA_INPUTS!L138</f>
        <v>2819.6610000000001</v>
      </c>
    </row>
    <row r="29" spans="2:6">
      <c r="B29" s="8" t="str">
        <f>RAW_DATA_INPUTS!B139</f>
        <v>55-59</v>
      </c>
      <c r="C29" s="300">
        <f>RAW_DATA_INPUTS!I139</f>
        <v>2190.3180000000002</v>
      </c>
      <c r="D29" s="300">
        <f>RAW_DATA_INPUTS!J139</f>
        <v>1979.7349999999999</v>
      </c>
      <c r="E29" s="300">
        <f>RAW_DATA_INPUTS!K139</f>
        <v>1702.2940000000001</v>
      </c>
      <c r="F29" s="300">
        <f>RAW_DATA_INPUTS!L139</f>
        <v>1554.8320000000001</v>
      </c>
    </row>
    <row r="30" spans="2:6">
      <c r="B30" s="8" t="str">
        <f>RAW_DATA_INPUTS!B140</f>
        <v>60-64</v>
      </c>
      <c r="C30" s="300">
        <f>RAW_DATA_INPUTS!I140</f>
        <v>752.19299999999998</v>
      </c>
      <c r="D30" s="300">
        <f>RAW_DATA_INPUTS!J140</f>
        <v>707.94399999999996</v>
      </c>
      <c r="E30" s="300">
        <f>RAW_DATA_INPUTS!K140</f>
        <v>640.995</v>
      </c>
      <c r="F30" s="300">
        <f>RAW_DATA_INPUTS!L140</f>
        <v>577.15200000000004</v>
      </c>
    </row>
    <row r="31" spans="2:6">
      <c r="B31" s="8" t="str">
        <f>RAW_DATA_INPUTS!B141</f>
        <v>65 plus</v>
      </c>
      <c r="C31" s="300">
        <f>RAW_DATA_INPUTS!I141</f>
        <v>144.245</v>
      </c>
      <c r="D31" s="300">
        <f>RAW_DATA_INPUTS!J141</f>
        <v>147.08699999999999</v>
      </c>
      <c r="E31" s="300">
        <f>RAW_DATA_INPUTS!K141</f>
        <v>147.786</v>
      </c>
      <c r="F31" s="300">
        <f>RAW_DATA_INPUTS!L141</f>
        <v>155.78200000000001</v>
      </c>
    </row>
    <row r="32" spans="2:6">
      <c r="B32" s="8" t="str">
        <f>RAW_DATA_INPUTS!B142</f>
        <v>Total</v>
      </c>
      <c r="C32" s="300">
        <f>RAW_DATA_INPUTS!I142</f>
        <v>29352.152999999998</v>
      </c>
      <c r="D32" s="300">
        <f>RAW_DATA_INPUTS!J142</f>
        <v>30572.949999999993</v>
      </c>
      <c r="E32" s="300">
        <f>RAW_DATA_INPUTS!K142</f>
        <v>31824.887000000002</v>
      </c>
      <c r="F32" s="300">
        <f>RAW_DATA_INPUTS!L142</f>
        <v>32922.530999999995</v>
      </c>
    </row>
    <row r="33" spans="1:6">
      <c r="A33">
        <f>SUM(C33:F33)</f>
        <v>0</v>
      </c>
      <c r="C33">
        <f>SUM(C22:C31)-C32</f>
        <v>0</v>
      </c>
      <c r="D33">
        <f>SUM(D22:D31)-D32</f>
        <v>0</v>
      </c>
      <c r="E33">
        <f>SUM(E22:E31)-E32</f>
        <v>0</v>
      </c>
      <c r="F33">
        <f>SUM(F22:F31)-F32</f>
        <v>0</v>
      </c>
    </row>
    <row r="35" spans="1:6">
      <c r="B35" s="75" t="str">
        <f>RAW_DATA_INPUTS!H162</f>
        <v xml:space="preserve">FEMALE PRIMARY Starting Stock figures </v>
      </c>
    </row>
    <row r="37" spans="1:6">
      <c r="B37" s="1241" t="str">
        <f>RAW_DATA_INPUTS!B148</f>
        <v>Age group</v>
      </c>
      <c r="C37" s="1292" t="str">
        <f>C20</f>
        <v>Year</v>
      </c>
      <c r="D37" s="1292"/>
      <c r="E37" s="1292"/>
      <c r="F37" s="1292"/>
    </row>
    <row r="38" spans="1:6">
      <c r="B38" s="1242"/>
      <c r="C38" s="8" t="str">
        <f>C21</f>
        <v>2012/13</v>
      </c>
      <c r="D38" s="8" t="str">
        <f>D21</f>
        <v>2013/14</v>
      </c>
      <c r="E38" s="8" t="str">
        <f>E21</f>
        <v>2014/15</v>
      </c>
      <c r="F38" s="8" t="str">
        <f>F21</f>
        <v>2015/16</v>
      </c>
    </row>
    <row r="39" spans="1:6">
      <c r="B39" s="8" t="str">
        <f>RAW_DATA_INPUTS!B166</f>
        <v>20-24</v>
      </c>
      <c r="C39" s="300">
        <f>RAW_DATA_INPUTS!I166</f>
        <v>12592.982</v>
      </c>
      <c r="D39" s="300">
        <f>RAW_DATA_INPUTS!J166</f>
        <v>13760.672</v>
      </c>
      <c r="E39" s="300">
        <f>RAW_DATA_INPUTS!K166</f>
        <v>14963.962</v>
      </c>
      <c r="F39" s="300">
        <f>RAW_DATA_INPUTS!L166</f>
        <v>15880.837</v>
      </c>
    </row>
    <row r="40" spans="1:6">
      <c r="B40" s="8" t="str">
        <f>RAW_DATA_INPUTS!B167</f>
        <v>25-29</v>
      </c>
      <c r="C40" s="300">
        <f>RAW_DATA_INPUTS!I167</f>
        <v>32280.429</v>
      </c>
      <c r="D40" s="300">
        <f>RAW_DATA_INPUTS!J167</f>
        <v>33866.099000000002</v>
      </c>
      <c r="E40" s="300">
        <f>RAW_DATA_INPUTS!K167</f>
        <v>35002.156000000003</v>
      </c>
      <c r="F40" s="300">
        <f>RAW_DATA_INPUTS!L167</f>
        <v>36084.021999999997</v>
      </c>
    </row>
    <row r="41" spans="1:6">
      <c r="B41" s="8" t="str">
        <f>RAW_DATA_INPUTS!B168</f>
        <v>30-34</v>
      </c>
      <c r="C41" s="300">
        <f>RAW_DATA_INPUTS!I168</f>
        <v>32550.100999999999</v>
      </c>
      <c r="D41" s="300">
        <f>RAW_DATA_INPUTS!J168</f>
        <v>33001.625</v>
      </c>
      <c r="E41" s="300">
        <f>RAW_DATA_INPUTS!K168</f>
        <v>33276.052000000003</v>
      </c>
      <c r="F41" s="300">
        <f>RAW_DATA_INPUTS!L168</f>
        <v>33305.402999999998</v>
      </c>
    </row>
    <row r="42" spans="1:6">
      <c r="B42" s="8" t="str">
        <f>RAW_DATA_INPUTS!B169</f>
        <v>35-39</v>
      </c>
      <c r="C42" s="300">
        <f>RAW_DATA_INPUTS!I169</f>
        <v>28328.204000000002</v>
      </c>
      <c r="D42" s="300">
        <f>RAW_DATA_INPUTS!J169</f>
        <v>28840.702000000001</v>
      </c>
      <c r="E42" s="300">
        <f>RAW_DATA_INPUTS!K169</f>
        <v>29761.575000000001</v>
      </c>
      <c r="F42" s="300">
        <f>RAW_DATA_INPUTS!L169</f>
        <v>30394.802</v>
      </c>
    </row>
    <row r="43" spans="1:6">
      <c r="B43" s="8" t="str">
        <f>RAW_DATA_INPUTS!B170</f>
        <v>40-44</v>
      </c>
      <c r="C43" s="300">
        <f>RAW_DATA_INPUTS!I170</f>
        <v>25380.601999999999</v>
      </c>
      <c r="D43" s="300">
        <f>RAW_DATA_INPUTS!J170</f>
        <v>26799.722000000002</v>
      </c>
      <c r="E43" s="300">
        <f>RAW_DATA_INPUTS!K170</f>
        <v>28073.974999999999</v>
      </c>
      <c r="F43" s="300">
        <f>RAW_DATA_INPUTS!L170</f>
        <v>28763.323</v>
      </c>
    </row>
    <row r="44" spans="1:6">
      <c r="B44" s="8" t="str">
        <f>RAW_DATA_INPUTS!B171</f>
        <v>45-49</v>
      </c>
      <c r="C44" s="300">
        <f>RAW_DATA_INPUTS!I171</f>
        <v>23192.953000000001</v>
      </c>
      <c r="D44" s="300">
        <f>RAW_DATA_INPUTS!J171</f>
        <v>23727.492999999999</v>
      </c>
      <c r="E44" s="300">
        <f>RAW_DATA_INPUTS!K171</f>
        <v>24125.978999999999</v>
      </c>
      <c r="F44" s="300">
        <f>RAW_DATA_INPUTS!L171</f>
        <v>24098.191999999999</v>
      </c>
    </row>
    <row r="45" spans="1:6">
      <c r="B45" s="8" t="str">
        <f>RAW_DATA_INPUTS!B172</f>
        <v>50-54</v>
      </c>
      <c r="C45" s="300">
        <f>RAW_DATA_INPUTS!I172</f>
        <v>18361.562999999998</v>
      </c>
      <c r="D45" s="300">
        <f>RAW_DATA_INPUTS!J172</f>
        <v>18123.674999999999</v>
      </c>
      <c r="E45" s="300">
        <f>RAW_DATA_INPUTS!K172</f>
        <v>18577.827000000001</v>
      </c>
      <c r="F45" s="300">
        <f>RAW_DATA_INPUTS!L172</f>
        <v>19247.541000000001</v>
      </c>
    </row>
    <row r="46" spans="1:6">
      <c r="B46" s="8" t="str">
        <f>RAW_DATA_INPUTS!B173</f>
        <v>55-59</v>
      </c>
      <c r="C46" s="300">
        <f>RAW_DATA_INPUTS!I173</f>
        <v>17576.541000000001</v>
      </c>
      <c r="D46" s="300">
        <f>RAW_DATA_INPUTS!J173</f>
        <v>16142.142</v>
      </c>
      <c r="E46" s="300">
        <f>RAW_DATA_INPUTS!K173</f>
        <v>14393.888000000001</v>
      </c>
      <c r="F46" s="300">
        <f>RAW_DATA_INPUTS!L173</f>
        <v>13074.165999999999</v>
      </c>
    </row>
    <row r="47" spans="1:6">
      <c r="B47" s="8" t="str">
        <f>RAW_DATA_INPUTS!B174</f>
        <v>60-64</v>
      </c>
      <c r="C47" s="300">
        <f>RAW_DATA_INPUTS!I174</f>
        <v>4905.2269999999999</v>
      </c>
      <c r="D47" s="300">
        <f>RAW_DATA_INPUTS!J174</f>
        <v>4923.1350000000002</v>
      </c>
      <c r="E47" s="300">
        <f>RAW_DATA_INPUTS!K174</f>
        <v>4881.8760000000002</v>
      </c>
      <c r="F47" s="300">
        <f>RAW_DATA_INPUTS!L174</f>
        <v>4727.3320000000003</v>
      </c>
    </row>
    <row r="48" spans="1:6">
      <c r="B48" s="8" t="str">
        <f>RAW_DATA_INPUTS!B175</f>
        <v>65 plus</v>
      </c>
      <c r="C48" s="300">
        <f>RAW_DATA_INPUTS!I175</f>
        <v>722.08799999999997</v>
      </c>
      <c r="D48" s="300">
        <f>RAW_DATA_INPUTS!J175</f>
        <v>748.69500000000005</v>
      </c>
      <c r="E48" s="300">
        <f>RAW_DATA_INPUTS!K175</f>
        <v>787.31799999999998</v>
      </c>
      <c r="F48" s="300">
        <f>RAW_DATA_INPUTS!L175</f>
        <v>836.12</v>
      </c>
    </row>
    <row r="49" spans="1:6">
      <c r="B49" s="8" t="str">
        <f>RAW_DATA_INPUTS!B176</f>
        <v>Total</v>
      </c>
      <c r="C49" s="300">
        <f>RAW_DATA_INPUTS!I176</f>
        <v>195890.69</v>
      </c>
      <c r="D49" s="300">
        <f>RAW_DATA_INPUTS!J176</f>
        <v>199933.96</v>
      </c>
      <c r="E49" s="300">
        <f>RAW_DATA_INPUTS!K176</f>
        <v>203844.60799999998</v>
      </c>
      <c r="F49" s="300">
        <f>RAW_DATA_INPUTS!L176</f>
        <v>206411.73799999998</v>
      </c>
    </row>
    <row r="50" spans="1:6">
      <c r="A50">
        <f>SUM(C50:F50)</f>
        <v>0</v>
      </c>
      <c r="C50">
        <f>SUM(C39:C48)-C49</f>
        <v>0</v>
      </c>
      <c r="D50">
        <f>SUM(D39:D48)-D49</f>
        <v>0</v>
      </c>
      <c r="E50">
        <f>SUM(E39:E48)-E49</f>
        <v>0</v>
      </c>
      <c r="F50">
        <f>SUM(F39:F48)-F49</f>
        <v>0</v>
      </c>
    </row>
    <row r="52" spans="1:6" ht="18">
      <c r="B52" s="38" t="s">
        <v>117</v>
      </c>
    </row>
    <row r="54" spans="1:6">
      <c r="B54" s="75" t="s">
        <v>118</v>
      </c>
    </row>
    <row r="56" spans="1:6">
      <c r="B56" s="1241" t="str">
        <f>B37</f>
        <v>Age group</v>
      </c>
      <c r="C56" s="1292" t="str">
        <f>C37</f>
        <v>Year</v>
      </c>
      <c r="D56" s="1292"/>
      <c r="E56" s="1292"/>
      <c r="F56" s="1292"/>
    </row>
    <row r="57" spans="1:6">
      <c r="B57" s="1242"/>
      <c r="C57" s="8" t="str">
        <f>RAW_DATA_INPUTS!I148</f>
        <v>2012/13</v>
      </c>
      <c r="D57" s="8" t="str">
        <f>RAW_DATA_INPUTS!J148</f>
        <v>2013/14</v>
      </c>
      <c r="E57" s="8" t="str">
        <f>RAW_DATA_INPUTS!K148</f>
        <v>2014/15</v>
      </c>
      <c r="F57" s="8" t="str">
        <f>RAW_DATA_INPUTS!L148</f>
        <v>2015/16</v>
      </c>
    </row>
    <row r="58" spans="1:6">
      <c r="B58" s="8" t="str">
        <f t="shared" ref="B58:B68" si="0">B39</f>
        <v>20-24</v>
      </c>
      <c r="C58" s="409">
        <f>RAW_DATA_INPUTS!I225</f>
        <v>0</v>
      </c>
      <c r="D58" s="409">
        <f>RAW_DATA_INPUTS!J225</f>
        <v>0</v>
      </c>
      <c r="E58" s="409">
        <f>RAW_DATA_INPUTS!K225</f>
        <v>0</v>
      </c>
      <c r="F58" s="409">
        <f>RAW_DATA_INPUTS!L225</f>
        <v>0</v>
      </c>
    </row>
    <row r="59" spans="1:6">
      <c r="B59" s="8" t="str">
        <f t="shared" si="0"/>
        <v>25-29</v>
      </c>
      <c r="C59" s="409">
        <f>RAW_DATA_INPUTS!I226</f>
        <v>0</v>
      </c>
      <c r="D59" s="409">
        <f>RAW_DATA_INPUTS!J226</f>
        <v>0</v>
      </c>
      <c r="E59" s="409">
        <f>RAW_DATA_INPUTS!K226</f>
        <v>0</v>
      </c>
      <c r="F59" s="409">
        <f>RAW_DATA_INPUTS!L226</f>
        <v>0</v>
      </c>
    </row>
    <row r="60" spans="1:6">
      <c r="B60" s="8" t="str">
        <f t="shared" si="0"/>
        <v>30-34</v>
      </c>
      <c r="C60" s="409">
        <f>RAW_DATA_INPUTS!I227</f>
        <v>0</v>
      </c>
      <c r="D60" s="409">
        <f>RAW_DATA_INPUTS!J227</f>
        <v>0</v>
      </c>
      <c r="E60" s="409">
        <f>RAW_DATA_INPUTS!K227</f>
        <v>0</v>
      </c>
      <c r="F60" s="409">
        <f>RAW_DATA_INPUTS!L227</f>
        <v>0</v>
      </c>
    </row>
    <row r="61" spans="1:6">
      <c r="B61" s="8" t="str">
        <f t="shared" si="0"/>
        <v>35-39</v>
      </c>
      <c r="C61" s="409">
        <f>RAW_DATA_INPUTS!I228</f>
        <v>0</v>
      </c>
      <c r="D61" s="409">
        <f>RAW_DATA_INPUTS!J228</f>
        <v>0</v>
      </c>
      <c r="E61" s="409">
        <f>RAW_DATA_INPUTS!K228</f>
        <v>0</v>
      </c>
      <c r="F61" s="409">
        <f>RAW_DATA_INPUTS!L228</f>
        <v>0</v>
      </c>
    </row>
    <row r="62" spans="1:6">
      <c r="B62" s="8" t="str">
        <f t="shared" si="0"/>
        <v>40-44</v>
      </c>
      <c r="C62" s="409">
        <f>RAW_DATA_INPUTS!I229</f>
        <v>0</v>
      </c>
      <c r="D62" s="409">
        <f>RAW_DATA_INPUTS!J229</f>
        <v>0</v>
      </c>
      <c r="E62" s="409">
        <f>RAW_DATA_INPUTS!K229</f>
        <v>0</v>
      </c>
      <c r="F62" s="409">
        <f>RAW_DATA_INPUTS!L229</f>
        <v>0</v>
      </c>
    </row>
    <row r="63" spans="1:6">
      <c r="B63" s="8" t="str">
        <f t="shared" si="0"/>
        <v>45-49</v>
      </c>
      <c r="C63" s="409">
        <f>RAW_DATA_INPUTS!I230</f>
        <v>11.350999999999999</v>
      </c>
      <c r="D63" s="409">
        <f>RAW_DATA_INPUTS!J230</f>
        <v>10.387</v>
      </c>
      <c r="E63" s="409">
        <f>RAW_DATA_INPUTS!K230</f>
        <v>0</v>
      </c>
      <c r="F63" s="409">
        <f>RAW_DATA_INPUTS!L230</f>
        <v>7.84</v>
      </c>
    </row>
    <row r="64" spans="1:6">
      <c r="B64" s="8" t="str">
        <f t="shared" si="0"/>
        <v>50-54</v>
      </c>
      <c r="C64" s="409">
        <f>RAW_DATA_INPUTS!I231</f>
        <v>84.900999999999996</v>
      </c>
      <c r="D64" s="409">
        <f>RAW_DATA_INPUTS!J231</f>
        <v>80.081000000000003</v>
      </c>
      <c r="E64" s="409">
        <f>RAW_DATA_INPUTS!K231</f>
        <v>68.275000000000006</v>
      </c>
      <c r="F64" s="409">
        <f>RAW_DATA_INPUTS!L231</f>
        <v>49.398000000000003</v>
      </c>
    </row>
    <row r="65" spans="1:7">
      <c r="B65" s="8" t="str">
        <f t="shared" si="0"/>
        <v>55-59</v>
      </c>
      <c r="C65" s="409">
        <f>RAW_DATA_INPUTS!I232</f>
        <v>460.73399999999998</v>
      </c>
      <c r="D65" s="409">
        <f>RAW_DATA_INPUTS!J232</f>
        <v>455.06700000000001</v>
      </c>
      <c r="E65" s="409">
        <f>RAW_DATA_INPUTS!K232</f>
        <v>319.91800000000001</v>
      </c>
      <c r="F65" s="409">
        <f>RAW_DATA_INPUTS!L232</f>
        <v>273.83199999999999</v>
      </c>
    </row>
    <row r="66" spans="1:7">
      <c r="B66" s="8" t="str">
        <f t="shared" si="0"/>
        <v>60-64</v>
      </c>
      <c r="C66" s="409">
        <f>RAW_DATA_INPUTS!I233</f>
        <v>231.95699999999999</v>
      </c>
      <c r="D66" s="409">
        <f>RAW_DATA_INPUTS!J233</f>
        <v>231.488</v>
      </c>
      <c r="E66" s="409">
        <f>RAW_DATA_INPUTS!K233</f>
        <v>202.89</v>
      </c>
      <c r="F66" s="409">
        <f>RAW_DATA_INPUTS!L233</f>
        <v>161.62200000000001</v>
      </c>
    </row>
    <row r="67" spans="1:7">
      <c r="B67" s="8" t="str">
        <f t="shared" si="0"/>
        <v>65 plus</v>
      </c>
      <c r="C67" s="409">
        <f>RAW_DATA_INPUTS!I234</f>
        <v>50.319000000000003</v>
      </c>
      <c r="D67" s="409">
        <f>RAW_DATA_INPUTS!J234</f>
        <v>40.398000000000003</v>
      </c>
      <c r="E67" s="409">
        <f>RAW_DATA_INPUTS!K234</f>
        <v>39.960999999999999</v>
      </c>
      <c r="F67" s="409">
        <f>RAW_DATA_INPUTS!L234</f>
        <v>42.707999999999998</v>
      </c>
    </row>
    <row r="68" spans="1:7">
      <c r="B68" s="8" t="str">
        <f t="shared" si="0"/>
        <v>Total</v>
      </c>
      <c r="C68" s="409">
        <f>RAW_DATA_INPUTS!I235</f>
        <v>839.26199999999994</v>
      </c>
      <c r="D68" s="409">
        <f>RAW_DATA_INPUTS!J235</f>
        <v>817.42099999999994</v>
      </c>
      <c r="E68" s="409">
        <f>RAW_DATA_INPUTS!K235</f>
        <v>631.04399999999998</v>
      </c>
      <c r="F68" s="409">
        <f>RAW_DATA_INPUTS!L235</f>
        <v>535.4</v>
      </c>
    </row>
    <row r="69" spans="1:7" s="2" customFormat="1">
      <c r="A69">
        <f>SUM(C69:F69)</f>
        <v>0</v>
      </c>
      <c r="B69"/>
      <c r="C69">
        <f>SUM(C58:C67)-C68</f>
        <v>0</v>
      </c>
      <c r="D69">
        <f>SUM(D58:D67)-D68</f>
        <v>0</v>
      </c>
      <c r="E69">
        <f>SUM(E58:E67)-E68</f>
        <v>0</v>
      </c>
      <c r="F69">
        <f>SUM(F58:F67)-F68</f>
        <v>0</v>
      </c>
    </row>
    <row r="71" spans="1:7">
      <c r="B71" s="75" t="s">
        <v>119</v>
      </c>
    </row>
    <row r="73" spans="1:7">
      <c r="B73" s="1241" t="str">
        <f>B56</f>
        <v>Age group</v>
      </c>
      <c r="C73" s="1292" t="str">
        <f>C56</f>
        <v>Year</v>
      </c>
      <c r="D73" s="1292"/>
      <c r="E73" s="1292"/>
      <c r="F73" s="1292"/>
    </row>
    <row r="74" spans="1:7">
      <c r="B74" s="1242"/>
      <c r="C74" s="8" t="str">
        <f>C57</f>
        <v>2012/13</v>
      </c>
      <c r="D74" s="8" t="str">
        <f>D57</f>
        <v>2013/14</v>
      </c>
      <c r="E74" s="8" t="str">
        <f>E57</f>
        <v>2014/15</v>
      </c>
      <c r="F74" s="8" t="str">
        <f>F57</f>
        <v>2015/16</v>
      </c>
    </row>
    <row r="75" spans="1:7">
      <c r="B75" s="8" t="str">
        <f t="shared" ref="B75:B85" si="1">B58</f>
        <v>20-24</v>
      </c>
      <c r="C75" s="300">
        <f>RAW_DATA_INPUTS!I242</f>
        <v>0</v>
      </c>
      <c r="D75" s="300">
        <f>RAW_DATA_INPUTS!J242</f>
        <v>0</v>
      </c>
      <c r="E75" s="300">
        <f>RAW_DATA_INPUTS!K242</f>
        <v>0</v>
      </c>
      <c r="F75" s="300">
        <f>RAW_DATA_INPUTS!L242</f>
        <v>0</v>
      </c>
      <c r="G75" s="5"/>
    </row>
    <row r="76" spans="1:7">
      <c r="B76" s="8" t="str">
        <f t="shared" si="1"/>
        <v>25-29</v>
      </c>
      <c r="C76" s="300">
        <f>RAW_DATA_INPUTS!I243</f>
        <v>0</v>
      </c>
      <c r="D76" s="300">
        <f>RAW_DATA_INPUTS!J243</f>
        <v>0</v>
      </c>
      <c r="E76" s="300">
        <f>RAW_DATA_INPUTS!K243</f>
        <v>0</v>
      </c>
      <c r="F76" s="300">
        <f>RAW_DATA_INPUTS!L243</f>
        <v>0</v>
      </c>
      <c r="G76" s="5"/>
    </row>
    <row r="77" spans="1:7">
      <c r="B77" s="8" t="str">
        <f t="shared" si="1"/>
        <v>30-34</v>
      </c>
      <c r="C77" s="300">
        <f>RAW_DATA_INPUTS!I244</f>
        <v>0</v>
      </c>
      <c r="D77" s="300">
        <f>RAW_DATA_INPUTS!J244</f>
        <v>9.202</v>
      </c>
      <c r="E77" s="300">
        <f>RAW_DATA_INPUTS!K244</f>
        <v>5.7869999999999999</v>
      </c>
      <c r="F77" s="300">
        <f>RAW_DATA_INPUTS!L244</f>
        <v>0</v>
      </c>
      <c r="G77" s="5"/>
    </row>
    <row r="78" spans="1:7">
      <c r="B78" s="8" t="str">
        <f t="shared" si="1"/>
        <v>35-39</v>
      </c>
      <c r="C78" s="300">
        <f>RAW_DATA_INPUTS!I245</f>
        <v>10.297000000000001</v>
      </c>
      <c r="D78" s="300">
        <f>RAW_DATA_INPUTS!J245</f>
        <v>6.8170000000000002</v>
      </c>
      <c r="E78" s="300">
        <f>RAW_DATA_INPUTS!K245</f>
        <v>7.9690000000000003</v>
      </c>
      <c r="F78" s="300">
        <f>RAW_DATA_INPUTS!L245</f>
        <v>5.6660000000000004</v>
      </c>
      <c r="G78" s="5"/>
    </row>
    <row r="79" spans="1:7">
      <c r="B79" s="8" t="str">
        <f t="shared" si="1"/>
        <v>40-44</v>
      </c>
      <c r="C79" s="300">
        <f>RAW_DATA_INPUTS!I246</f>
        <v>17.074999999999999</v>
      </c>
      <c r="D79" s="300">
        <f>RAW_DATA_INPUTS!J246</f>
        <v>22.896000000000001</v>
      </c>
      <c r="E79" s="300">
        <f>RAW_DATA_INPUTS!K246</f>
        <v>16.013999999999999</v>
      </c>
      <c r="F79" s="300">
        <f>RAW_DATA_INPUTS!L246</f>
        <v>5.3580000000000005</v>
      </c>
      <c r="G79" s="5"/>
    </row>
    <row r="80" spans="1:7">
      <c r="B80" s="8" t="str">
        <f t="shared" si="1"/>
        <v>45-49</v>
      </c>
      <c r="C80" s="300">
        <f>RAW_DATA_INPUTS!I247</f>
        <v>27.663</v>
      </c>
      <c r="D80" s="300">
        <f>RAW_DATA_INPUTS!J247</f>
        <v>34.384999999999998</v>
      </c>
      <c r="E80" s="300">
        <f>RAW_DATA_INPUTS!K247</f>
        <v>21.617000000000001</v>
      </c>
      <c r="F80" s="300">
        <f>RAW_DATA_INPUTS!L247</f>
        <v>19.363</v>
      </c>
      <c r="G80" s="5"/>
    </row>
    <row r="81" spans="1:7">
      <c r="B81" s="8" t="str">
        <f t="shared" si="1"/>
        <v>50-54</v>
      </c>
      <c r="C81" s="300">
        <f>RAW_DATA_INPUTS!I248</f>
        <v>512.66600000000005</v>
      </c>
      <c r="D81" s="300">
        <f>RAW_DATA_INPUTS!J248</f>
        <v>459.67200000000003</v>
      </c>
      <c r="E81" s="300">
        <f>RAW_DATA_INPUTS!K248</f>
        <v>324.38400000000001</v>
      </c>
      <c r="F81" s="300">
        <f>RAW_DATA_INPUTS!L248</f>
        <v>218.32499999999999</v>
      </c>
      <c r="G81" s="5"/>
    </row>
    <row r="82" spans="1:7">
      <c r="B82" s="8" t="str">
        <f t="shared" si="1"/>
        <v>55-59</v>
      </c>
      <c r="C82" s="300">
        <f>RAW_DATA_INPUTS!I249</f>
        <v>3159.797</v>
      </c>
      <c r="D82" s="300">
        <f>RAW_DATA_INPUTS!J249</f>
        <v>2994.63</v>
      </c>
      <c r="E82" s="300">
        <f>RAW_DATA_INPUTS!K249</f>
        <v>2410.953</v>
      </c>
      <c r="F82" s="300">
        <f>RAW_DATA_INPUTS!L249</f>
        <v>1854.549</v>
      </c>
      <c r="G82" s="5"/>
    </row>
    <row r="83" spans="1:7">
      <c r="B83" s="8" t="str">
        <f t="shared" si="1"/>
        <v>60-64</v>
      </c>
      <c r="C83" s="300">
        <f>RAW_DATA_INPUTS!I250</f>
        <v>1517.1379999999999</v>
      </c>
      <c r="D83" s="300">
        <f>RAW_DATA_INPUTS!J250</f>
        <v>1583.2619999999999</v>
      </c>
      <c r="E83" s="300">
        <f>RAW_DATA_INPUTS!K250</f>
        <v>1457.952</v>
      </c>
      <c r="F83" s="300">
        <f>RAW_DATA_INPUTS!L250</f>
        <v>1409.2470000000001</v>
      </c>
      <c r="G83" s="5"/>
    </row>
    <row r="84" spans="1:7">
      <c r="B84" s="8" t="str">
        <f t="shared" si="1"/>
        <v>65 plus</v>
      </c>
      <c r="C84" s="300">
        <f>RAW_DATA_INPUTS!I251</f>
        <v>202.53299999999999</v>
      </c>
      <c r="D84" s="300">
        <f>RAW_DATA_INPUTS!J251</f>
        <v>221.24700000000001</v>
      </c>
      <c r="E84" s="300">
        <f>RAW_DATA_INPUTS!K251</f>
        <v>223.63200000000001</v>
      </c>
      <c r="F84" s="300">
        <f>RAW_DATA_INPUTS!L251</f>
        <v>249.91900000000001</v>
      </c>
      <c r="G84" s="5"/>
    </row>
    <row r="85" spans="1:7">
      <c r="B85" s="8" t="str">
        <f t="shared" si="1"/>
        <v>Total</v>
      </c>
      <c r="C85" s="300">
        <f>RAW_DATA_INPUTS!I252</f>
        <v>5447.1690000000008</v>
      </c>
      <c r="D85" s="300">
        <f>RAW_DATA_INPUTS!J252</f>
        <v>5332.1109999999999</v>
      </c>
      <c r="E85" s="300">
        <f>RAW_DATA_INPUTS!K252</f>
        <v>4468.308</v>
      </c>
      <c r="F85" s="300">
        <f>RAW_DATA_INPUTS!L252</f>
        <v>3762.4269999999997</v>
      </c>
      <c r="G85" s="5"/>
    </row>
    <row r="86" spans="1:7">
      <c r="A86">
        <f>SUM(C86:F86)</f>
        <v>0</v>
      </c>
      <c r="C86">
        <f>SUM(C75:C84)-C85</f>
        <v>0</v>
      </c>
      <c r="D86">
        <f>SUM(D75:D84)-D85</f>
        <v>0</v>
      </c>
      <c r="E86">
        <f>SUM(E75:E84)-E85</f>
        <v>0</v>
      </c>
      <c r="F86">
        <f>SUM(F75:F84)-F85</f>
        <v>0</v>
      </c>
    </row>
    <row r="88" spans="1:7">
      <c r="B88" s="75" t="s">
        <v>120</v>
      </c>
    </row>
    <row r="90" spans="1:7">
      <c r="B90" s="1205" t="str">
        <f>B73</f>
        <v>Age group</v>
      </c>
      <c r="C90" s="1292" t="str">
        <f>C73</f>
        <v>Year</v>
      </c>
      <c r="D90" s="1292"/>
      <c r="E90" s="1292"/>
      <c r="F90" s="1292"/>
    </row>
    <row r="91" spans="1:7">
      <c r="B91" s="1205"/>
      <c r="C91" s="8" t="str">
        <f>C74</f>
        <v>2012/13</v>
      </c>
      <c r="D91" s="8" t="str">
        <f>D74</f>
        <v>2013/14</v>
      </c>
      <c r="E91" s="8" t="str">
        <f>E74</f>
        <v>2014/15</v>
      </c>
      <c r="F91" s="8" t="str">
        <f>F74</f>
        <v>2015/16</v>
      </c>
    </row>
    <row r="92" spans="1:7">
      <c r="B92" s="8" t="str">
        <f t="shared" ref="B92:B102" si="2">B75</f>
        <v>20-24</v>
      </c>
      <c r="C92" s="160">
        <f t="shared" ref="C92:F102" si="3">C58/C22</f>
        <v>0</v>
      </c>
      <c r="D92" s="160">
        <f t="shared" si="3"/>
        <v>0</v>
      </c>
      <c r="E92" s="160">
        <f t="shared" si="3"/>
        <v>0</v>
      </c>
      <c r="F92" s="160">
        <f t="shared" si="3"/>
        <v>0</v>
      </c>
    </row>
    <row r="93" spans="1:7">
      <c r="B93" s="8" t="str">
        <f t="shared" si="2"/>
        <v>25-29</v>
      </c>
      <c r="C93" s="160">
        <f t="shared" si="3"/>
        <v>0</v>
      </c>
      <c r="D93" s="160">
        <f t="shared" si="3"/>
        <v>0</v>
      </c>
      <c r="E93" s="160">
        <f t="shared" si="3"/>
        <v>0</v>
      </c>
      <c r="F93" s="160">
        <f t="shared" si="3"/>
        <v>0</v>
      </c>
    </row>
    <row r="94" spans="1:7">
      <c r="B94" s="8" t="str">
        <f t="shared" si="2"/>
        <v>30-34</v>
      </c>
      <c r="C94" s="160">
        <f t="shared" si="3"/>
        <v>0</v>
      </c>
      <c r="D94" s="160">
        <f t="shared" si="3"/>
        <v>0</v>
      </c>
      <c r="E94" s="160">
        <f t="shared" si="3"/>
        <v>0</v>
      </c>
      <c r="F94" s="160">
        <f t="shared" si="3"/>
        <v>0</v>
      </c>
    </row>
    <row r="95" spans="1:7">
      <c r="B95" s="8" t="str">
        <f t="shared" si="2"/>
        <v>35-39</v>
      </c>
      <c r="C95" s="160">
        <f t="shared" si="3"/>
        <v>0</v>
      </c>
      <c r="D95" s="160">
        <f t="shared" si="3"/>
        <v>0</v>
      </c>
      <c r="E95" s="160">
        <f t="shared" si="3"/>
        <v>0</v>
      </c>
      <c r="F95" s="160">
        <f t="shared" si="3"/>
        <v>0</v>
      </c>
    </row>
    <row r="96" spans="1:7">
      <c r="B96" s="8" t="str">
        <f t="shared" si="2"/>
        <v>40-44</v>
      </c>
      <c r="C96" s="160">
        <f t="shared" si="3"/>
        <v>0</v>
      </c>
      <c r="D96" s="160">
        <f t="shared" si="3"/>
        <v>0</v>
      </c>
      <c r="E96" s="160">
        <f t="shared" si="3"/>
        <v>0</v>
      </c>
      <c r="F96" s="160">
        <f t="shared" si="3"/>
        <v>0</v>
      </c>
    </row>
    <row r="97" spans="2:6">
      <c r="B97" s="8" t="str">
        <f t="shared" si="2"/>
        <v>45-49</v>
      </c>
      <c r="C97" s="160">
        <f t="shared" si="3"/>
        <v>3.2840090659596588E-3</v>
      </c>
      <c r="D97" s="160">
        <f t="shared" si="3"/>
        <v>2.9565116407486831E-3</v>
      </c>
      <c r="E97" s="160">
        <f t="shared" si="3"/>
        <v>0</v>
      </c>
      <c r="F97" s="160">
        <f t="shared" si="3"/>
        <v>2.193233371500443E-3</v>
      </c>
    </row>
    <row r="98" spans="2:6">
      <c r="B98" s="8" t="str">
        <f t="shared" si="2"/>
        <v>50-54</v>
      </c>
      <c r="C98" s="160">
        <f t="shared" si="3"/>
        <v>3.4422222303310129E-2</v>
      </c>
      <c r="D98" s="160">
        <f t="shared" si="3"/>
        <v>3.1771479898481711E-2</v>
      </c>
      <c r="E98" s="160">
        <f t="shared" si="3"/>
        <v>2.6089322350152145E-2</v>
      </c>
      <c r="F98" s="160">
        <f t="shared" si="3"/>
        <v>1.7519127299345561E-2</v>
      </c>
    </row>
    <row r="99" spans="2:6">
      <c r="B99" s="8" t="str">
        <f t="shared" si="2"/>
        <v>55-59</v>
      </c>
      <c r="C99" s="160">
        <f t="shared" si="3"/>
        <v>0.21035027790485214</v>
      </c>
      <c r="D99" s="160">
        <f t="shared" si="3"/>
        <v>0.22986258261838075</v>
      </c>
      <c r="E99" s="160">
        <f t="shared" si="3"/>
        <v>0.18793345920269941</v>
      </c>
      <c r="F99" s="160">
        <f t="shared" si="3"/>
        <v>0.17611677660351727</v>
      </c>
    </row>
    <row r="100" spans="2:6">
      <c r="B100" s="8" t="str">
        <f t="shared" si="2"/>
        <v>60-64</v>
      </c>
      <c r="C100" s="160">
        <f t="shared" si="3"/>
        <v>0.30837431350730465</v>
      </c>
      <c r="D100" s="160">
        <f t="shared" si="3"/>
        <v>0.3269863153017753</v>
      </c>
      <c r="E100" s="160">
        <f t="shared" si="3"/>
        <v>0.31652352982472559</v>
      </c>
      <c r="F100" s="160">
        <f t="shared" si="3"/>
        <v>0.28003368263473055</v>
      </c>
    </row>
    <row r="101" spans="2:6">
      <c r="B101" s="8" t="str">
        <f t="shared" si="2"/>
        <v>65 plus</v>
      </c>
      <c r="C101" s="160">
        <f t="shared" si="3"/>
        <v>0.34884398072723494</v>
      </c>
      <c r="D101" s="160">
        <f t="shared" si="3"/>
        <v>0.27465377633645399</v>
      </c>
      <c r="E101" s="160">
        <f t="shared" si="3"/>
        <v>0.27039773726875344</v>
      </c>
      <c r="F101" s="160">
        <f t="shared" si="3"/>
        <v>0.27415234109203884</v>
      </c>
    </row>
    <row r="102" spans="2:6">
      <c r="B102" s="8" t="str">
        <f t="shared" si="2"/>
        <v>Total</v>
      </c>
      <c r="C102" s="160">
        <f t="shared" si="3"/>
        <v>2.8592859951363705E-2</v>
      </c>
      <c r="D102" s="160">
        <f t="shared" si="3"/>
        <v>2.6736739503384531E-2</v>
      </c>
      <c r="E102" s="160">
        <f t="shared" si="3"/>
        <v>1.9828632855789872E-2</v>
      </c>
      <c r="F102" s="160">
        <f t="shared" si="3"/>
        <v>1.6262419192497688E-2</v>
      </c>
    </row>
    <row r="104" spans="2:6">
      <c r="B104" s="75" t="s">
        <v>121</v>
      </c>
    </row>
    <row r="106" spans="2:6">
      <c r="B106" s="1205" t="str">
        <f>B90</f>
        <v>Age group</v>
      </c>
      <c r="C106" s="1292" t="str">
        <f>C90</f>
        <v>Year</v>
      </c>
      <c r="D106" s="1292"/>
      <c r="E106" s="1292"/>
      <c r="F106" s="1292"/>
    </row>
    <row r="107" spans="2:6">
      <c r="B107" s="1205"/>
      <c r="C107" s="8" t="str">
        <f>C91</f>
        <v>2012/13</v>
      </c>
      <c r="D107" s="8" t="str">
        <f>D91</f>
        <v>2013/14</v>
      </c>
      <c r="E107" s="8" t="str">
        <f>E91</f>
        <v>2014/15</v>
      </c>
      <c r="F107" s="8" t="str">
        <f>F91</f>
        <v>2015/16</v>
      </c>
    </row>
    <row r="108" spans="2:6">
      <c r="B108" s="8" t="str">
        <f>B92</f>
        <v>20-24</v>
      </c>
      <c r="C108" s="160">
        <f t="shared" ref="C108:F118" si="4">C75/C39</f>
        <v>0</v>
      </c>
      <c r="D108" s="160">
        <f t="shared" si="4"/>
        <v>0</v>
      </c>
      <c r="E108" s="160">
        <f t="shared" si="4"/>
        <v>0</v>
      </c>
      <c r="F108" s="160">
        <f t="shared" si="4"/>
        <v>0</v>
      </c>
    </row>
    <row r="109" spans="2:6">
      <c r="B109" s="8" t="str">
        <f t="shared" ref="B109:B118" si="5">B93</f>
        <v>25-29</v>
      </c>
      <c r="C109" s="160">
        <f t="shared" si="4"/>
        <v>0</v>
      </c>
      <c r="D109" s="160">
        <f t="shared" si="4"/>
        <v>0</v>
      </c>
      <c r="E109" s="160">
        <f t="shared" si="4"/>
        <v>0</v>
      </c>
      <c r="F109" s="160">
        <f t="shared" si="4"/>
        <v>0</v>
      </c>
    </row>
    <row r="110" spans="2:6">
      <c r="B110" s="8" t="str">
        <f t="shared" si="5"/>
        <v>30-34</v>
      </c>
      <c r="C110" s="160">
        <f t="shared" si="4"/>
        <v>0</v>
      </c>
      <c r="D110" s="160">
        <f t="shared" si="4"/>
        <v>2.7883475434921763E-4</v>
      </c>
      <c r="E110" s="160">
        <f t="shared" si="4"/>
        <v>1.7390885192750629E-4</v>
      </c>
      <c r="F110" s="160">
        <f t="shared" si="4"/>
        <v>0</v>
      </c>
    </row>
    <row r="111" spans="2:6">
      <c r="B111" s="8" t="str">
        <f t="shared" si="5"/>
        <v>35-39</v>
      </c>
      <c r="C111" s="160">
        <f t="shared" si="4"/>
        <v>3.6348933381021969E-4</v>
      </c>
      <c r="D111" s="160">
        <f t="shared" si="4"/>
        <v>2.3636733946351236E-4</v>
      </c>
      <c r="E111" s="160">
        <f t="shared" si="4"/>
        <v>2.6776136679594408E-4</v>
      </c>
      <c r="F111" s="160">
        <f t="shared" si="4"/>
        <v>1.8641345319505618E-4</v>
      </c>
    </row>
    <row r="112" spans="2:6">
      <c r="B112" s="8" t="str">
        <f t="shared" si="5"/>
        <v>40-44</v>
      </c>
      <c r="C112" s="160">
        <f t="shared" si="4"/>
        <v>6.7275788021103672E-4</v>
      </c>
      <c r="D112" s="160">
        <f t="shared" si="4"/>
        <v>8.5433722036370378E-4</v>
      </c>
      <c r="E112" s="160">
        <f t="shared" si="4"/>
        <v>5.7042153809711666E-4</v>
      </c>
      <c r="F112" s="160">
        <f t="shared" si="4"/>
        <v>1.8627889413194715E-4</v>
      </c>
    </row>
    <row r="113" spans="2:7">
      <c r="B113" s="8" t="str">
        <f t="shared" si="5"/>
        <v>45-49</v>
      </c>
      <c r="C113" s="160">
        <f t="shared" si="4"/>
        <v>1.1927329822985456E-3</v>
      </c>
      <c r="D113" s="160">
        <f t="shared" si="4"/>
        <v>1.4491627918718595E-3</v>
      </c>
      <c r="E113" s="160">
        <f t="shared" si="4"/>
        <v>8.9600509061207433E-4</v>
      </c>
      <c r="F113" s="160">
        <f t="shared" si="4"/>
        <v>8.0350426289241945E-4</v>
      </c>
    </row>
    <row r="114" spans="2:7">
      <c r="B114" s="8" t="str">
        <f t="shared" si="5"/>
        <v>50-54</v>
      </c>
      <c r="C114" s="160">
        <f t="shared" si="4"/>
        <v>2.79206078480356E-2</v>
      </c>
      <c r="D114" s="160">
        <f t="shared" si="4"/>
        <v>2.5363067920827317E-2</v>
      </c>
      <c r="E114" s="160">
        <f t="shared" si="4"/>
        <v>1.7460814981213896E-2</v>
      </c>
      <c r="F114" s="160">
        <f t="shared" si="4"/>
        <v>1.1343007400269986E-2</v>
      </c>
    </row>
    <row r="115" spans="2:7">
      <c r="B115" s="8" t="str">
        <f t="shared" si="5"/>
        <v>55-59</v>
      </c>
      <c r="C115" s="160">
        <f t="shared" si="4"/>
        <v>0.17977354019769873</v>
      </c>
      <c r="D115" s="160">
        <f t="shared" si="4"/>
        <v>0.18551627163235215</v>
      </c>
      <c r="E115" s="160">
        <f t="shared" si="4"/>
        <v>0.16749838542581405</v>
      </c>
      <c r="F115" s="160">
        <f t="shared" si="4"/>
        <v>0.14184835958178901</v>
      </c>
    </row>
    <row r="116" spans="2:7">
      <c r="B116" s="8" t="str">
        <f t="shared" si="5"/>
        <v>60-64</v>
      </c>
      <c r="C116" s="160">
        <f t="shared" si="4"/>
        <v>0.30929006955233673</v>
      </c>
      <c r="D116" s="160">
        <f t="shared" si="4"/>
        <v>0.32159629991864935</v>
      </c>
      <c r="E116" s="160">
        <f t="shared" si="4"/>
        <v>0.29864584844023073</v>
      </c>
      <c r="F116" s="160">
        <f t="shared" si="4"/>
        <v>0.29810620451451264</v>
      </c>
    </row>
    <row r="117" spans="2:7">
      <c r="B117" s="8" t="str">
        <f t="shared" si="5"/>
        <v>65 plus</v>
      </c>
      <c r="C117" s="160">
        <f t="shared" si="4"/>
        <v>0.28048243427393893</v>
      </c>
      <c r="D117" s="160">
        <f t="shared" si="4"/>
        <v>0.29551018772664434</v>
      </c>
      <c r="E117" s="160">
        <f t="shared" si="4"/>
        <v>0.28404278830155033</v>
      </c>
      <c r="F117" s="160">
        <f t="shared" si="4"/>
        <v>0.29890326747356838</v>
      </c>
    </row>
    <row r="118" spans="2:7">
      <c r="B118" s="8" t="str">
        <f t="shared" si="5"/>
        <v>Total</v>
      </c>
      <c r="C118" s="160">
        <f t="shared" si="4"/>
        <v>2.7807186752979433E-2</v>
      </c>
      <c r="D118" s="160">
        <f t="shared" si="4"/>
        <v>2.6669361223075859E-2</v>
      </c>
      <c r="E118" s="160">
        <f t="shared" si="4"/>
        <v>2.1920167738751276E-2</v>
      </c>
      <c r="F118" s="160">
        <f t="shared" si="4"/>
        <v>1.8227776368028064E-2</v>
      </c>
    </row>
    <row r="120" spans="2:7">
      <c r="B120" s="75" t="s">
        <v>122</v>
      </c>
    </row>
    <row r="122" spans="2:7">
      <c r="B122" s="1205" t="str">
        <f>B106</f>
        <v>Age group</v>
      </c>
      <c r="C122" s="1241" t="str">
        <f>C107</f>
        <v>2012/13</v>
      </c>
      <c r="D122" s="1241" t="str">
        <f>D107</f>
        <v>2013/14</v>
      </c>
      <c r="E122" s="1241" t="str">
        <f>E107</f>
        <v>2014/15</v>
      </c>
      <c r="F122" s="1241" t="str">
        <f>F107</f>
        <v>2015/16</v>
      </c>
      <c r="G122" s="1290" t="s">
        <v>8</v>
      </c>
    </row>
    <row r="123" spans="2:7">
      <c r="B123" s="1205"/>
      <c r="C123" s="1242"/>
      <c r="D123" s="1242"/>
      <c r="E123" s="1242"/>
      <c r="F123" s="1242"/>
      <c r="G123" s="1291"/>
    </row>
    <row r="124" spans="2:7">
      <c r="B124" s="138" t="str">
        <f>B108</f>
        <v>20-24</v>
      </c>
      <c r="C124" s="909">
        <f>C92*H$14</f>
        <v>0</v>
      </c>
      <c r="D124" s="909">
        <f t="shared" ref="D124:F134" si="6">D92*I$14</f>
        <v>0</v>
      </c>
      <c r="E124" s="909">
        <f t="shared" si="6"/>
        <v>0</v>
      </c>
      <c r="F124" s="909">
        <f t="shared" si="6"/>
        <v>0</v>
      </c>
      <c r="G124" s="907">
        <f>SUM(C124:F124)</f>
        <v>0</v>
      </c>
    </row>
    <row r="125" spans="2:7">
      <c r="B125" s="138" t="str">
        <f t="shared" ref="B125:B132" si="7">B109</f>
        <v>25-29</v>
      </c>
      <c r="C125" s="909">
        <f t="shared" ref="C125:C134" si="8">C93*H$14</f>
        <v>0</v>
      </c>
      <c r="D125" s="909">
        <f t="shared" si="6"/>
        <v>0</v>
      </c>
      <c r="E125" s="909">
        <f t="shared" si="6"/>
        <v>0</v>
      </c>
      <c r="F125" s="909">
        <f t="shared" si="6"/>
        <v>0</v>
      </c>
      <c r="G125" s="907">
        <f t="shared" ref="G125:G134" si="9">SUM(C125:F125)</f>
        <v>0</v>
      </c>
    </row>
    <row r="126" spans="2:7">
      <c r="B126" s="138" t="str">
        <f t="shared" si="7"/>
        <v>30-34</v>
      </c>
      <c r="C126" s="909">
        <f t="shared" si="8"/>
        <v>0</v>
      </c>
      <c r="D126" s="909">
        <f t="shared" si="6"/>
        <v>0</v>
      </c>
      <c r="E126" s="909">
        <f t="shared" si="6"/>
        <v>0</v>
      </c>
      <c r="F126" s="909">
        <f t="shared" si="6"/>
        <v>0</v>
      </c>
      <c r="G126" s="907">
        <f t="shared" si="9"/>
        <v>0</v>
      </c>
    </row>
    <row r="127" spans="2:7">
      <c r="B127" s="138" t="str">
        <f t="shared" si="7"/>
        <v>35-39</v>
      </c>
      <c r="C127" s="909">
        <f t="shared" si="8"/>
        <v>0</v>
      </c>
      <c r="D127" s="909">
        <f t="shared" si="6"/>
        <v>0</v>
      </c>
      <c r="E127" s="909">
        <f t="shared" si="6"/>
        <v>0</v>
      </c>
      <c r="F127" s="909">
        <f t="shared" si="6"/>
        <v>0</v>
      </c>
      <c r="G127" s="907">
        <f t="shared" si="9"/>
        <v>0</v>
      </c>
    </row>
    <row r="128" spans="2:7">
      <c r="B128" s="138" t="str">
        <f t="shared" si="7"/>
        <v>40-44</v>
      </c>
      <c r="C128" s="909">
        <f t="shared" si="8"/>
        <v>0</v>
      </c>
      <c r="D128" s="909">
        <f t="shared" si="6"/>
        <v>0</v>
      </c>
      <c r="E128" s="909">
        <f t="shared" si="6"/>
        <v>0</v>
      </c>
      <c r="F128" s="909">
        <f t="shared" si="6"/>
        <v>0</v>
      </c>
      <c r="G128" s="907">
        <f t="shared" si="9"/>
        <v>0</v>
      </c>
    </row>
    <row r="129" spans="2:8">
      <c r="B129" s="138" t="str">
        <f t="shared" si="7"/>
        <v>45-49</v>
      </c>
      <c r="C129" s="909">
        <f t="shared" si="8"/>
        <v>3.284009065959659E-4</v>
      </c>
      <c r="D129" s="909">
        <f t="shared" si="6"/>
        <v>5.913023281497367E-4</v>
      </c>
      <c r="E129" s="909">
        <f t="shared" si="6"/>
        <v>0</v>
      </c>
      <c r="F129" s="909">
        <f t="shared" si="6"/>
        <v>8.7729334860017728E-4</v>
      </c>
      <c r="G129" s="907">
        <f t="shared" si="9"/>
        <v>1.7969965833458798E-3</v>
      </c>
    </row>
    <row r="130" spans="2:8">
      <c r="B130" s="138" t="str">
        <f t="shared" si="7"/>
        <v>50-54</v>
      </c>
      <c r="C130" s="909">
        <f t="shared" si="8"/>
        <v>3.4422222303310129E-3</v>
      </c>
      <c r="D130" s="909">
        <f t="shared" si="6"/>
        <v>6.3542959796963425E-3</v>
      </c>
      <c r="E130" s="909">
        <f t="shared" si="6"/>
        <v>7.8267967050456438E-3</v>
      </c>
      <c r="F130" s="909">
        <f t="shared" si="6"/>
        <v>7.0076509197382246E-3</v>
      </c>
      <c r="G130" s="907">
        <f t="shared" si="9"/>
        <v>2.4630965834811221E-2</v>
      </c>
    </row>
    <row r="131" spans="2:8">
      <c r="B131" s="138" t="str">
        <f t="shared" si="7"/>
        <v>55-59</v>
      </c>
      <c r="C131" s="909">
        <f t="shared" si="8"/>
        <v>2.1035027790485217E-2</v>
      </c>
      <c r="D131" s="909">
        <f t="shared" si="6"/>
        <v>4.5972516523676149E-2</v>
      </c>
      <c r="E131" s="909">
        <f t="shared" si="6"/>
        <v>5.6380037760809819E-2</v>
      </c>
      <c r="F131" s="909">
        <f t="shared" si="6"/>
        <v>7.0446710641406909E-2</v>
      </c>
      <c r="G131" s="907">
        <f t="shared" si="9"/>
        <v>0.19383429271637809</v>
      </c>
    </row>
    <row r="132" spans="2:8">
      <c r="B132" s="138" t="str">
        <f t="shared" si="7"/>
        <v>60-64</v>
      </c>
      <c r="C132" s="909">
        <f t="shared" si="8"/>
        <v>3.0837431350730467E-2</v>
      </c>
      <c r="D132" s="909">
        <f t="shared" si="6"/>
        <v>6.5397263060355065E-2</v>
      </c>
      <c r="E132" s="909">
        <f t="shared" si="6"/>
        <v>9.4957058947417669E-2</v>
      </c>
      <c r="F132" s="909">
        <f t="shared" si="6"/>
        <v>0.11201347305389223</v>
      </c>
      <c r="G132" s="907">
        <f t="shared" si="9"/>
        <v>0.30320522641239545</v>
      </c>
    </row>
    <row r="133" spans="2:8">
      <c r="B133" s="138" t="str">
        <f>B117</f>
        <v>65 plus</v>
      </c>
      <c r="C133" s="909">
        <f t="shared" si="8"/>
        <v>3.4884398072723498E-2</v>
      </c>
      <c r="D133" s="909">
        <f t="shared" si="6"/>
        <v>5.4930755267290798E-2</v>
      </c>
      <c r="E133" s="909">
        <f t="shared" si="6"/>
        <v>8.1119321180626022E-2</v>
      </c>
      <c r="F133" s="909">
        <f t="shared" si="6"/>
        <v>0.10966093643681554</v>
      </c>
      <c r="G133" s="907">
        <f t="shared" si="9"/>
        <v>0.28059541095745588</v>
      </c>
    </row>
    <row r="134" spans="2:8">
      <c r="B134" s="138" t="str">
        <f>B118</f>
        <v>Total</v>
      </c>
      <c r="C134" s="909">
        <f t="shared" si="8"/>
        <v>2.8592859951363705E-3</v>
      </c>
      <c r="D134" s="909">
        <f t="shared" si="6"/>
        <v>5.3473479006769069E-3</v>
      </c>
      <c r="E134" s="909">
        <f t="shared" si="6"/>
        <v>5.9485898567369615E-3</v>
      </c>
      <c r="F134" s="909">
        <f t="shared" si="6"/>
        <v>6.5049676769990752E-3</v>
      </c>
      <c r="G134" s="907">
        <f t="shared" si="9"/>
        <v>2.0660191429549314E-2</v>
      </c>
    </row>
    <row r="136" spans="2:8">
      <c r="B136" s="75" t="s">
        <v>123</v>
      </c>
    </row>
    <row r="138" spans="2:8">
      <c r="B138" s="1205" t="str">
        <f>B122</f>
        <v>Age group</v>
      </c>
      <c r="C138" s="1241" t="str">
        <f>C122</f>
        <v>2012/13</v>
      </c>
      <c r="D138" s="1241" t="str">
        <f>D122</f>
        <v>2013/14</v>
      </c>
      <c r="E138" s="1241" t="str">
        <f>E122</f>
        <v>2014/15</v>
      </c>
      <c r="F138" s="1241" t="str">
        <f>F122</f>
        <v>2015/16</v>
      </c>
      <c r="G138" s="1290" t="s">
        <v>8</v>
      </c>
    </row>
    <row r="139" spans="2:8">
      <c r="B139" s="1205"/>
      <c r="C139" s="1242"/>
      <c r="D139" s="1242"/>
      <c r="E139" s="1242"/>
      <c r="F139" s="1242"/>
      <c r="G139" s="1291"/>
    </row>
    <row r="140" spans="2:8">
      <c r="B140" s="138" t="str">
        <f>B124</f>
        <v>20-24</v>
      </c>
      <c r="C140" s="909">
        <f>C108*H$14</f>
        <v>0</v>
      </c>
      <c r="D140" s="909">
        <f t="shared" ref="D140:F150" si="10">D108*I$14</f>
        <v>0</v>
      </c>
      <c r="E140" s="909">
        <f t="shared" si="10"/>
        <v>0</v>
      </c>
      <c r="F140" s="909">
        <f t="shared" si="10"/>
        <v>0</v>
      </c>
      <c r="G140" s="907">
        <f>SUM(C140:F140)</f>
        <v>0</v>
      </c>
      <c r="H140" s="5"/>
    </row>
    <row r="141" spans="2:8">
      <c r="B141" s="138" t="str">
        <f t="shared" ref="B141:B148" si="11">B125</f>
        <v>25-29</v>
      </c>
      <c r="C141" s="909">
        <f t="shared" ref="C141:C150" si="12">C109*H$14</f>
        <v>0</v>
      </c>
      <c r="D141" s="909">
        <f t="shared" si="10"/>
        <v>0</v>
      </c>
      <c r="E141" s="909">
        <f t="shared" si="10"/>
        <v>0</v>
      </c>
      <c r="F141" s="909">
        <f t="shared" si="10"/>
        <v>0</v>
      </c>
      <c r="G141" s="907">
        <f t="shared" ref="G141:G150" si="13">SUM(C141:F141)</f>
        <v>0</v>
      </c>
      <c r="H141" s="5"/>
    </row>
    <row r="142" spans="2:8">
      <c r="B142" s="138" t="str">
        <f t="shared" si="11"/>
        <v>30-34</v>
      </c>
      <c r="C142" s="909">
        <f t="shared" si="12"/>
        <v>0</v>
      </c>
      <c r="D142" s="909">
        <f t="shared" si="10"/>
        <v>5.5766950869843531E-5</v>
      </c>
      <c r="E142" s="909">
        <f t="shared" si="10"/>
        <v>5.2172655578251883E-5</v>
      </c>
      <c r="F142" s="909">
        <f t="shared" si="10"/>
        <v>0</v>
      </c>
      <c r="G142" s="907">
        <f t="shared" si="13"/>
        <v>1.0793960644809542E-4</v>
      </c>
      <c r="H142" s="5"/>
    </row>
    <row r="143" spans="2:8">
      <c r="B143" s="138" t="str">
        <f t="shared" si="11"/>
        <v>35-39</v>
      </c>
      <c r="C143" s="909">
        <f t="shared" si="12"/>
        <v>3.6348933381021973E-5</v>
      </c>
      <c r="D143" s="909">
        <f t="shared" si="10"/>
        <v>4.7273467892702474E-5</v>
      </c>
      <c r="E143" s="909">
        <f t="shared" si="10"/>
        <v>8.0328410038783222E-5</v>
      </c>
      <c r="F143" s="909">
        <f t="shared" si="10"/>
        <v>7.4565381278022475E-5</v>
      </c>
      <c r="G143" s="907">
        <f t="shared" si="13"/>
        <v>2.3851619259053014E-4</v>
      </c>
      <c r="H143" s="5"/>
    </row>
    <row r="144" spans="2:8">
      <c r="B144" s="138" t="str">
        <f t="shared" si="11"/>
        <v>40-44</v>
      </c>
      <c r="C144" s="909">
        <f t="shared" si="12"/>
        <v>6.7275788021103674E-5</v>
      </c>
      <c r="D144" s="909">
        <f t="shared" si="10"/>
        <v>1.7086744407274077E-4</v>
      </c>
      <c r="E144" s="909">
        <f t="shared" si="10"/>
        <v>1.7112646142913499E-4</v>
      </c>
      <c r="F144" s="909">
        <f t="shared" si="10"/>
        <v>7.4511557652778859E-5</v>
      </c>
      <c r="G144" s="907">
        <f t="shared" si="13"/>
        <v>4.8378125117575827E-4</v>
      </c>
      <c r="H144" s="5"/>
    </row>
    <row r="145" spans="2:8">
      <c r="B145" s="138" t="str">
        <f t="shared" si="11"/>
        <v>45-49</v>
      </c>
      <c r="C145" s="909">
        <f t="shared" si="12"/>
        <v>1.1927329822985457E-4</v>
      </c>
      <c r="D145" s="909">
        <f t="shared" si="10"/>
        <v>2.8983255837437193E-4</v>
      </c>
      <c r="E145" s="909">
        <f t="shared" si="10"/>
        <v>2.6880152718362227E-4</v>
      </c>
      <c r="F145" s="909">
        <f t="shared" si="10"/>
        <v>3.2140170515696778E-4</v>
      </c>
      <c r="G145" s="907">
        <f t="shared" si="13"/>
        <v>9.9930908894481666E-4</v>
      </c>
      <c r="H145" s="5"/>
    </row>
    <row r="146" spans="2:8">
      <c r="B146" s="138" t="str">
        <f t="shared" si="11"/>
        <v>50-54</v>
      </c>
      <c r="C146" s="909">
        <f t="shared" si="12"/>
        <v>2.7920607848035601E-3</v>
      </c>
      <c r="D146" s="909">
        <f t="shared" si="10"/>
        <v>5.0726135841654635E-3</v>
      </c>
      <c r="E146" s="909">
        <f t="shared" si="10"/>
        <v>5.2382444943641689E-3</v>
      </c>
      <c r="F146" s="909">
        <f t="shared" si="10"/>
        <v>4.5372029601079946E-3</v>
      </c>
      <c r="G146" s="907">
        <f t="shared" si="13"/>
        <v>1.7640121823441188E-2</v>
      </c>
      <c r="H146" s="5"/>
    </row>
    <row r="147" spans="2:8">
      <c r="B147" s="138" t="str">
        <f t="shared" si="11"/>
        <v>55-59</v>
      </c>
      <c r="C147" s="909">
        <f t="shared" si="12"/>
        <v>1.7977354019769874E-2</v>
      </c>
      <c r="D147" s="909">
        <f t="shared" si="10"/>
        <v>3.7103254326470429E-2</v>
      </c>
      <c r="E147" s="909">
        <f t="shared" si="10"/>
        <v>5.0249515627744212E-2</v>
      </c>
      <c r="F147" s="909">
        <f t="shared" si="10"/>
        <v>5.6739343832715609E-2</v>
      </c>
      <c r="G147" s="907">
        <f t="shared" si="13"/>
        <v>0.16206946780670012</v>
      </c>
      <c r="H147" s="5"/>
    </row>
    <row r="148" spans="2:8">
      <c r="B148" s="138" t="str">
        <f t="shared" si="11"/>
        <v>60-64</v>
      </c>
      <c r="C148" s="909">
        <f t="shared" si="12"/>
        <v>3.0929006955233675E-2</v>
      </c>
      <c r="D148" s="909">
        <f t="shared" si="10"/>
        <v>6.4319259983729879E-2</v>
      </c>
      <c r="E148" s="909">
        <f t="shared" si="10"/>
        <v>8.959375453206922E-2</v>
      </c>
      <c r="F148" s="909">
        <f t="shared" si="10"/>
        <v>0.11924248180580506</v>
      </c>
      <c r="G148" s="907">
        <f t="shared" si="13"/>
        <v>0.30408450327683784</v>
      </c>
      <c r="H148" s="5"/>
    </row>
    <row r="149" spans="2:8">
      <c r="B149" s="138" t="str">
        <f>B133</f>
        <v>65 plus</v>
      </c>
      <c r="C149" s="909">
        <f t="shared" si="12"/>
        <v>2.8048243427393895E-2</v>
      </c>
      <c r="D149" s="909">
        <f t="shared" si="10"/>
        <v>5.9102037545328868E-2</v>
      </c>
      <c r="E149" s="909">
        <f t="shared" si="10"/>
        <v>8.5212836490465099E-2</v>
      </c>
      <c r="F149" s="909">
        <f t="shared" si="10"/>
        <v>0.11956130698942735</v>
      </c>
      <c r="G149" s="907">
        <f t="shared" si="13"/>
        <v>0.29192442445261524</v>
      </c>
      <c r="H149" s="5"/>
    </row>
    <row r="150" spans="2:8">
      <c r="B150" s="138" t="str">
        <f>B134</f>
        <v>Total</v>
      </c>
      <c r="C150" s="909">
        <f t="shared" si="12"/>
        <v>2.7807186752979436E-3</v>
      </c>
      <c r="D150" s="909">
        <f t="shared" si="10"/>
        <v>5.3338722446151718E-3</v>
      </c>
      <c r="E150" s="909">
        <f t="shared" si="10"/>
        <v>6.5760503216253825E-3</v>
      </c>
      <c r="F150" s="909">
        <f t="shared" si="10"/>
        <v>7.2911105472112259E-3</v>
      </c>
      <c r="G150" s="907">
        <f t="shared" si="13"/>
        <v>2.1981751788749726E-2</v>
      </c>
      <c r="H150" s="5"/>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T150"/>
  <sheetViews>
    <sheetView showGridLines="0" workbookViewId="0"/>
  </sheetViews>
  <sheetFormatPr defaultRowHeight="12.75"/>
  <cols>
    <col min="2" max="6" width="12.710937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5" customHeight="1">
      <c r="A5" s="1293" t="s">
        <v>1446</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55"/>
      <c r="C8" s="60"/>
      <c r="D8" s="285"/>
      <c r="E8" s="60"/>
      <c r="F8" s="60"/>
      <c r="G8" s="60"/>
      <c r="H8" s="60"/>
      <c r="I8" s="60"/>
      <c r="J8" s="60"/>
      <c r="K8" s="60"/>
      <c r="L8" s="60"/>
      <c r="M8" s="60"/>
      <c r="N8" s="60"/>
      <c r="O8" s="44"/>
    </row>
    <row r="9" spans="1:20" s="45" customFormat="1">
      <c r="A9" s="53" t="s">
        <v>1445</v>
      </c>
      <c r="B9" s="60"/>
      <c r="C9" s="60"/>
      <c r="D9" s="285"/>
      <c r="E9" s="60"/>
      <c r="F9" s="60"/>
      <c r="G9" s="60"/>
      <c r="H9" s="60"/>
      <c r="I9" s="60"/>
      <c r="J9" s="60"/>
      <c r="K9" s="60"/>
      <c r="L9" s="60"/>
      <c r="M9" s="60"/>
      <c r="N9" s="60"/>
      <c r="O9" s="44"/>
    </row>
    <row r="10" spans="1:20" s="49" customFormat="1">
      <c r="A10" s="54">
        <f>SUM(A14:A2227)</f>
        <v>0</v>
      </c>
      <c r="B10" s="72"/>
      <c r="C10" s="286"/>
      <c r="D10" s="286"/>
      <c r="E10" s="286"/>
      <c r="F10" s="71"/>
      <c r="G10" s="286"/>
      <c r="H10" s="71"/>
      <c r="I10" s="287"/>
      <c r="J10" s="287"/>
      <c r="K10" s="287"/>
      <c r="L10" s="287"/>
      <c r="M10" s="287"/>
      <c r="N10" s="287"/>
      <c r="O10" s="48"/>
    </row>
    <row r="12" spans="1:20">
      <c r="H12" s="75" t="s">
        <v>115</v>
      </c>
    </row>
    <row r="14" spans="1:20">
      <c r="H14" s="5">
        <f>Calc_PRIM_retirement_rates!H14</f>
        <v>0.1</v>
      </c>
      <c r="I14" s="5">
        <f>Calc_PRIM_retirement_rates!I14</f>
        <v>0.2</v>
      </c>
      <c r="J14" s="5">
        <f>Calc_PRIM_retirement_rates!J14</f>
        <v>0.3</v>
      </c>
      <c r="K14" s="5">
        <f>Calc_PRIM_retirement_rates!K14</f>
        <v>0.4</v>
      </c>
    </row>
    <row r="16" spans="1:20" ht="18">
      <c r="B16" s="38" t="s">
        <v>1170</v>
      </c>
    </row>
    <row r="18" spans="2:6">
      <c r="B18" s="75" t="str">
        <f>RAW_DATA_INPUTS!B128</f>
        <v xml:space="preserve">MALE SECONDARY Starting Stock figures </v>
      </c>
    </row>
    <row r="20" spans="2:6">
      <c r="B20" s="1241" t="str">
        <f>RAW_DATA_INPUTS!B131</f>
        <v>Age group</v>
      </c>
      <c r="C20" s="1292" t="s">
        <v>71</v>
      </c>
      <c r="D20" s="1292"/>
      <c r="E20" s="1292"/>
      <c r="F20" s="1292"/>
    </row>
    <row r="21" spans="2:6">
      <c r="B21" s="1242"/>
      <c r="C21" s="8" t="str">
        <f>RAW_DATA_INPUTS!C131</f>
        <v>2012/13</v>
      </c>
      <c r="D21" s="8" t="str">
        <f>RAW_DATA_INPUTS!D131</f>
        <v>2013/14</v>
      </c>
      <c r="E21" s="8" t="str">
        <f>RAW_DATA_INPUTS!E131</f>
        <v>2014/15</v>
      </c>
      <c r="F21" s="8" t="str">
        <f>RAW_DATA_INPUTS!F131</f>
        <v>2015/16</v>
      </c>
    </row>
    <row r="22" spans="2:6">
      <c r="B22" s="8" t="str">
        <f>RAW_DATA_INPUTS!B132</f>
        <v>20-24</v>
      </c>
      <c r="C22" s="300">
        <f>RAW_DATA_INPUTS!C132</f>
        <v>2633.8539999999998</v>
      </c>
      <c r="D22" s="300">
        <f>RAW_DATA_INPUTS!D132</f>
        <v>2650.72</v>
      </c>
      <c r="E22" s="300">
        <f>RAW_DATA_INPUTS!E132</f>
        <v>2783.1889999999999</v>
      </c>
      <c r="F22" s="300">
        <f>RAW_DATA_INPUTS!F132</f>
        <v>2805.4769999999999</v>
      </c>
    </row>
    <row r="23" spans="2:6">
      <c r="B23" s="8" t="str">
        <f>RAW_DATA_INPUTS!B133</f>
        <v>25-29</v>
      </c>
      <c r="C23" s="300">
        <f>RAW_DATA_INPUTS!C133</f>
        <v>12001.398999999999</v>
      </c>
      <c r="D23" s="300">
        <f>RAW_DATA_INPUTS!D133</f>
        <v>11672.939</v>
      </c>
      <c r="E23" s="300">
        <f>RAW_DATA_INPUTS!E133</f>
        <v>11212.300999999999</v>
      </c>
      <c r="F23" s="300">
        <f>RAW_DATA_INPUTS!F133</f>
        <v>10814.566999999999</v>
      </c>
    </row>
    <row r="24" spans="2:6">
      <c r="B24" s="8" t="str">
        <f>RAW_DATA_INPUTS!B134</f>
        <v>30-34</v>
      </c>
      <c r="C24" s="300">
        <f>RAW_DATA_INPUTS!C134</f>
        <v>14167.946</v>
      </c>
      <c r="D24" s="300">
        <f>RAW_DATA_INPUTS!D134</f>
        <v>14191.83</v>
      </c>
      <c r="E24" s="300">
        <f>RAW_DATA_INPUTS!E134</f>
        <v>14024.355</v>
      </c>
      <c r="F24" s="300">
        <f>RAW_DATA_INPUTS!F134</f>
        <v>13561.727999999999</v>
      </c>
    </row>
    <row r="25" spans="2:6">
      <c r="B25" s="8" t="str">
        <f>RAW_DATA_INPUTS!B135</f>
        <v>35-39</v>
      </c>
      <c r="C25" s="300">
        <f>RAW_DATA_INPUTS!C135</f>
        <v>12193.583000000001</v>
      </c>
      <c r="D25" s="300">
        <f>RAW_DATA_INPUTS!D135</f>
        <v>12139.743</v>
      </c>
      <c r="E25" s="300">
        <f>RAW_DATA_INPUTS!E135</f>
        <v>12319.539000000001</v>
      </c>
      <c r="F25" s="300">
        <f>RAW_DATA_INPUTS!F135</f>
        <v>12607.425999999999</v>
      </c>
    </row>
    <row r="26" spans="2:6">
      <c r="B26" s="8" t="str">
        <f>RAW_DATA_INPUTS!B136</f>
        <v>40-44</v>
      </c>
      <c r="C26" s="300">
        <f>RAW_DATA_INPUTS!C136</f>
        <v>11826.986000000001</v>
      </c>
      <c r="D26" s="300">
        <f>RAW_DATA_INPUTS!D136</f>
        <v>11933.493</v>
      </c>
      <c r="E26" s="300">
        <f>RAW_DATA_INPUTS!E136</f>
        <v>11794.384</v>
      </c>
      <c r="F26" s="300">
        <f>RAW_DATA_INPUTS!F136</f>
        <v>11599.289000000001</v>
      </c>
    </row>
    <row r="27" spans="2:6">
      <c r="B27" s="8" t="str">
        <f>RAW_DATA_INPUTS!B137</f>
        <v>45-49</v>
      </c>
      <c r="C27" s="300">
        <f>RAW_DATA_INPUTS!C137</f>
        <v>9361.0020000000004</v>
      </c>
      <c r="D27" s="300">
        <f>RAW_DATA_INPUTS!D137</f>
        <v>9383.5460000000003</v>
      </c>
      <c r="E27" s="300">
        <f>RAW_DATA_INPUTS!E137</f>
        <v>9401.2170000000006</v>
      </c>
      <c r="F27" s="300">
        <f>RAW_DATA_INPUTS!F137</f>
        <v>9538.1810000000005</v>
      </c>
    </row>
    <row r="28" spans="2:6">
      <c r="B28" s="8" t="str">
        <f>RAW_DATA_INPUTS!B138</f>
        <v>50-54</v>
      </c>
      <c r="C28" s="300">
        <f>RAW_DATA_INPUTS!C138</f>
        <v>8958.0879999999997</v>
      </c>
      <c r="D28" s="300">
        <f>RAW_DATA_INPUTS!D138</f>
        <v>8621.6749999999993</v>
      </c>
      <c r="E28" s="300">
        <f>RAW_DATA_INPUTS!E138</f>
        <v>8231.7270000000008</v>
      </c>
      <c r="F28" s="300">
        <f>RAW_DATA_INPUTS!F138</f>
        <v>7962.6310000000003</v>
      </c>
    </row>
    <row r="29" spans="2:6">
      <c r="B29" s="8" t="str">
        <f>RAW_DATA_INPUTS!B139</f>
        <v>55-59</v>
      </c>
      <c r="C29" s="300">
        <f>RAW_DATA_INPUTS!C139</f>
        <v>7418.8530000000001</v>
      </c>
      <c r="D29" s="300">
        <f>RAW_DATA_INPUTS!D139</f>
        <v>6587.049</v>
      </c>
      <c r="E29" s="300">
        <f>RAW_DATA_INPUTS!E139</f>
        <v>6061.3850000000002</v>
      </c>
      <c r="F29" s="300">
        <f>RAW_DATA_INPUTS!F139</f>
        <v>5591.9889999999996</v>
      </c>
    </row>
    <row r="30" spans="2:6">
      <c r="B30" s="8" t="str">
        <f>RAW_DATA_INPUTS!B140</f>
        <v>60-64</v>
      </c>
      <c r="C30" s="300">
        <f>RAW_DATA_INPUTS!C140</f>
        <v>2462.7930000000001</v>
      </c>
      <c r="D30" s="300">
        <f>RAW_DATA_INPUTS!D140</f>
        <v>2334.4059999999999</v>
      </c>
      <c r="E30" s="300">
        <f>RAW_DATA_INPUTS!E140</f>
        <v>2120.0450000000001</v>
      </c>
      <c r="F30" s="300">
        <f>RAW_DATA_INPUTS!F140</f>
        <v>1932.6489999999999</v>
      </c>
    </row>
    <row r="31" spans="2:6">
      <c r="B31" s="8" t="str">
        <f>RAW_DATA_INPUTS!B141</f>
        <v>65 plus</v>
      </c>
      <c r="C31" s="300">
        <f>RAW_DATA_INPUTS!C141</f>
        <v>433.43599999999998</v>
      </c>
      <c r="D31" s="300">
        <f>RAW_DATA_INPUTS!D141</f>
        <v>480.58800000000002</v>
      </c>
      <c r="E31" s="300">
        <f>RAW_DATA_INPUTS!E141</f>
        <v>485.28500000000003</v>
      </c>
      <c r="F31" s="300">
        <f>RAW_DATA_INPUTS!F141</f>
        <v>481.36</v>
      </c>
    </row>
    <row r="32" spans="2:6">
      <c r="B32" s="8" t="str">
        <f>RAW_DATA_INPUTS!B142</f>
        <v>Total</v>
      </c>
      <c r="C32" s="300">
        <f>RAW_DATA_INPUTS!C142</f>
        <v>81457.94</v>
      </c>
      <c r="D32" s="300">
        <f>RAW_DATA_INPUTS!D142</f>
        <v>79995.989000000016</v>
      </c>
      <c r="E32" s="300">
        <f>RAW_DATA_INPUTS!E142</f>
        <v>78433.426999999996</v>
      </c>
      <c r="F32" s="300">
        <f>RAW_DATA_INPUTS!F142</f>
        <v>76895.296999999991</v>
      </c>
    </row>
    <row r="33" spans="1:7">
      <c r="A33">
        <f>SUM(C33:F33)</f>
        <v>0</v>
      </c>
      <c r="C33">
        <f>SUM(C22:C31)-C32</f>
        <v>0</v>
      </c>
      <c r="D33">
        <f>SUM(D22:D31)-D32</f>
        <v>0</v>
      </c>
      <c r="E33">
        <f>SUM(E22:E31)-E32</f>
        <v>0</v>
      </c>
      <c r="F33">
        <f>SUM(F22:F31)-F32</f>
        <v>0</v>
      </c>
    </row>
    <row r="35" spans="1:7">
      <c r="B35" s="75" t="str">
        <f>RAW_DATA_INPUTS!B162</f>
        <v xml:space="preserve">FEMALE SECONDARY Starting Stock figures </v>
      </c>
    </row>
    <row r="37" spans="1:7">
      <c r="B37" s="1241" t="str">
        <f>RAW_DATA_INPUTS!B148</f>
        <v>Age group</v>
      </c>
      <c r="C37" s="1292" t="str">
        <f>C20</f>
        <v>Year</v>
      </c>
      <c r="D37" s="1292"/>
      <c r="E37" s="1292"/>
      <c r="F37" s="1292"/>
    </row>
    <row r="38" spans="1:7">
      <c r="B38" s="1242"/>
      <c r="C38" s="8" t="str">
        <f>C21</f>
        <v>2012/13</v>
      </c>
      <c r="D38" s="8" t="str">
        <f>D21</f>
        <v>2013/14</v>
      </c>
      <c r="E38" s="8" t="str">
        <f>E21</f>
        <v>2014/15</v>
      </c>
      <c r="F38" s="8" t="str">
        <f>F21</f>
        <v>2015/16</v>
      </c>
    </row>
    <row r="39" spans="1:7">
      <c r="B39" s="8" t="str">
        <f>RAW_DATA_INPUTS!B166</f>
        <v>20-24</v>
      </c>
      <c r="C39" s="300">
        <f>RAW_DATA_INPUTS!C166</f>
        <v>6919.8140000000003</v>
      </c>
      <c r="D39" s="300">
        <f>RAW_DATA_INPUTS!D166</f>
        <v>6525.3670000000002</v>
      </c>
      <c r="E39" s="300">
        <f>RAW_DATA_INPUTS!E166</f>
        <v>6817.1369999999997</v>
      </c>
      <c r="F39" s="300">
        <f>RAW_DATA_INPUTS!F166</f>
        <v>6882.7950000000001</v>
      </c>
      <c r="G39" s="5"/>
    </row>
    <row r="40" spans="1:7">
      <c r="B40" s="8" t="str">
        <f>RAW_DATA_INPUTS!B167</f>
        <v>25-29</v>
      </c>
      <c r="C40" s="300">
        <f>RAW_DATA_INPUTS!C167</f>
        <v>25439.167000000001</v>
      </c>
      <c r="D40" s="300">
        <f>RAW_DATA_INPUTS!D167</f>
        <v>25050.094000000001</v>
      </c>
      <c r="E40" s="300">
        <f>RAW_DATA_INPUTS!E167</f>
        <v>24320.43</v>
      </c>
      <c r="F40" s="300">
        <f>RAW_DATA_INPUTS!F167</f>
        <v>23257.309000000001</v>
      </c>
      <c r="G40" s="5"/>
    </row>
    <row r="41" spans="1:7">
      <c r="B41" s="8" t="str">
        <f>RAW_DATA_INPUTS!B168</f>
        <v>30-34</v>
      </c>
      <c r="C41" s="300">
        <f>RAW_DATA_INPUTS!C168</f>
        <v>26808.471000000001</v>
      </c>
      <c r="D41" s="300">
        <f>RAW_DATA_INPUTS!D168</f>
        <v>27056.716</v>
      </c>
      <c r="E41" s="300">
        <f>RAW_DATA_INPUTS!E168</f>
        <v>26620.544000000002</v>
      </c>
      <c r="F41" s="300">
        <f>RAW_DATA_INPUTS!F168</f>
        <v>25761.623</v>
      </c>
      <c r="G41" s="5"/>
    </row>
    <row r="42" spans="1:7">
      <c r="B42" s="8" t="str">
        <f>RAW_DATA_INPUTS!B169</f>
        <v>35-39</v>
      </c>
      <c r="C42" s="300">
        <f>RAW_DATA_INPUTS!C169</f>
        <v>20511.047999999999</v>
      </c>
      <c r="D42" s="300">
        <f>RAW_DATA_INPUTS!D169</f>
        <v>21040.829000000002</v>
      </c>
      <c r="E42" s="300">
        <f>RAW_DATA_INPUTS!E169</f>
        <v>21945.52</v>
      </c>
      <c r="F42" s="300">
        <f>RAW_DATA_INPUTS!F169</f>
        <v>22789.451000000001</v>
      </c>
      <c r="G42" s="5"/>
    </row>
    <row r="43" spans="1:7">
      <c r="B43" s="8" t="str">
        <f>RAW_DATA_INPUTS!B170</f>
        <v>40-44</v>
      </c>
      <c r="C43" s="300">
        <f>RAW_DATA_INPUTS!C170</f>
        <v>16716.901000000002</v>
      </c>
      <c r="D43" s="300">
        <f>RAW_DATA_INPUTS!D170</f>
        <v>17689.817999999999</v>
      </c>
      <c r="E43" s="300">
        <f>RAW_DATA_INPUTS!E170</f>
        <v>18324.307000000001</v>
      </c>
      <c r="F43" s="300">
        <f>RAW_DATA_INPUTS!F170</f>
        <v>18565.616999999998</v>
      </c>
      <c r="G43" s="5"/>
    </row>
    <row r="44" spans="1:7">
      <c r="B44" s="8" t="str">
        <f>RAW_DATA_INPUTS!B171</f>
        <v>45-49</v>
      </c>
      <c r="C44" s="300">
        <f>RAW_DATA_INPUTS!C171</f>
        <v>13903.48</v>
      </c>
      <c r="D44" s="300">
        <f>RAW_DATA_INPUTS!D171</f>
        <v>13798.432000000001</v>
      </c>
      <c r="E44" s="300">
        <f>RAW_DATA_INPUTS!E171</f>
        <v>13971.267</v>
      </c>
      <c r="F44" s="300">
        <f>RAW_DATA_INPUTS!F171</f>
        <v>14034.052</v>
      </c>
      <c r="G44" s="5"/>
    </row>
    <row r="45" spans="1:7">
      <c r="B45" s="8" t="str">
        <f>RAW_DATA_INPUTS!B172</f>
        <v>50-54</v>
      </c>
      <c r="C45" s="300">
        <f>RAW_DATA_INPUTS!C172</f>
        <v>13397.111000000001</v>
      </c>
      <c r="D45" s="300">
        <f>RAW_DATA_INPUTS!D172</f>
        <v>12645.290999999999</v>
      </c>
      <c r="E45" s="300">
        <f>RAW_DATA_INPUTS!E172</f>
        <v>12291.172</v>
      </c>
      <c r="F45" s="300">
        <f>RAW_DATA_INPUTS!F172</f>
        <v>11839.351000000001</v>
      </c>
      <c r="G45" s="5"/>
    </row>
    <row r="46" spans="1:7">
      <c r="B46" s="8" t="str">
        <f>RAW_DATA_INPUTS!B173</f>
        <v>55-59</v>
      </c>
      <c r="C46" s="300">
        <f>RAW_DATA_INPUTS!C173</f>
        <v>11220.15</v>
      </c>
      <c r="D46" s="300">
        <f>RAW_DATA_INPUTS!D173</f>
        <v>10550.712</v>
      </c>
      <c r="E46" s="300">
        <f>RAW_DATA_INPUTS!E173</f>
        <v>9581.7749999999996</v>
      </c>
      <c r="F46" s="300">
        <f>RAW_DATA_INPUTS!F173</f>
        <v>8801.4560000000001</v>
      </c>
      <c r="G46" s="5"/>
    </row>
    <row r="47" spans="1:7">
      <c r="B47" s="8" t="str">
        <f>RAW_DATA_INPUTS!B174</f>
        <v>60-64</v>
      </c>
      <c r="C47" s="300">
        <f>RAW_DATA_INPUTS!C174</f>
        <v>2915.5929999999998</v>
      </c>
      <c r="D47" s="300">
        <f>RAW_DATA_INPUTS!D174</f>
        <v>2861.0729999999999</v>
      </c>
      <c r="E47" s="300">
        <f>RAW_DATA_INPUTS!E174</f>
        <v>2878.433</v>
      </c>
      <c r="F47" s="300">
        <f>RAW_DATA_INPUTS!F174</f>
        <v>2709.2310000000002</v>
      </c>
      <c r="G47" s="5"/>
    </row>
    <row r="48" spans="1:7">
      <c r="B48" s="8" t="str">
        <f>RAW_DATA_INPUTS!B175</f>
        <v>65 plus</v>
      </c>
      <c r="C48" s="300">
        <f>RAW_DATA_INPUTS!C175</f>
        <v>413.91800000000001</v>
      </c>
      <c r="D48" s="300">
        <f>RAW_DATA_INPUTS!D175</f>
        <v>471.73599999999999</v>
      </c>
      <c r="E48" s="300">
        <f>RAW_DATA_INPUTS!E175</f>
        <v>446.00900000000001</v>
      </c>
      <c r="F48" s="300">
        <f>RAW_DATA_INPUTS!F175</f>
        <v>477.56400000000002</v>
      </c>
      <c r="G48" s="5"/>
    </row>
    <row r="49" spans="1:7">
      <c r="B49" s="8" t="str">
        <f>RAW_DATA_INPUTS!B176</f>
        <v>Total</v>
      </c>
      <c r="C49" s="300">
        <f>RAW_DATA_INPUTS!C176</f>
        <v>138245.65299999999</v>
      </c>
      <c r="D49" s="300">
        <f>RAW_DATA_INPUTS!D176</f>
        <v>137690.06800000003</v>
      </c>
      <c r="E49" s="300">
        <f>RAW_DATA_INPUTS!E176</f>
        <v>137196.59400000001</v>
      </c>
      <c r="F49" s="300">
        <f>RAW_DATA_INPUTS!F176</f>
        <v>135118.44899999999</v>
      </c>
      <c r="G49" s="5"/>
    </row>
    <row r="50" spans="1:7">
      <c r="A50">
        <f>SUM(C50:F50)</f>
        <v>0</v>
      </c>
      <c r="C50">
        <f>SUM(C39:C48)-C49</f>
        <v>0</v>
      </c>
      <c r="D50">
        <f>SUM(D39:D48)-D49</f>
        <v>0</v>
      </c>
      <c r="E50">
        <f>SUM(E39:E48)-E49</f>
        <v>0</v>
      </c>
      <c r="F50">
        <f>SUM(F39:F48)-F49</f>
        <v>0</v>
      </c>
    </row>
    <row r="52" spans="1:7" ht="18">
      <c r="B52" s="38" t="s">
        <v>117</v>
      </c>
    </row>
    <row r="54" spans="1:7">
      <c r="B54" s="75" t="s">
        <v>118</v>
      </c>
    </row>
    <row r="56" spans="1:7">
      <c r="B56" s="1241" t="str">
        <f>B37</f>
        <v>Age group</v>
      </c>
      <c r="C56" s="1292" t="str">
        <f>C37</f>
        <v>Year</v>
      </c>
      <c r="D56" s="1292"/>
      <c r="E56" s="1292"/>
      <c r="F56" s="1292"/>
    </row>
    <row r="57" spans="1:7">
      <c r="B57" s="1242"/>
      <c r="C57" s="8" t="str">
        <f>Calc_PRIM_retirement_rates!C74</f>
        <v>2012/13</v>
      </c>
      <c r="D57" s="8" t="str">
        <f>Calc_PRIM_retirement_rates!D74</f>
        <v>2013/14</v>
      </c>
      <c r="E57" s="8" t="str">
        <f>Calc_PRIM_retirement_rates!E74</f>
        <v>2014/15</v>
      </c>
      <c r="F57" s="8" t="str">
        <f>Calc_PRIM_retirement_rates!F74</f>
        <v>2015/16</v>
      </c>
    </row>
    <row r="58" spans="1:7">
      <c r="B58" s="8" t="str">
        <f t="shared" ref="B58:B68" si="0">B39</f>
        <v>20-24</v>
      </c>
      <c r="C58" s="300">
        <f>RAW_DATA_INPUTS!C225</f>
        <v>0</v>
      </c>
      <c r="D58" s="300">
        <f>RAW_DATA_INPUTS!D225</f>
        <v>0</v>
      </c>
      <c r="E58" s="300">
        <f>RAW_DATA_INPUTS!E225</f>
        <v>0</v>
      </c>
      <c r="F58" s="300">
        <f>RAW_DATA_INPUTS!F225</f>
        <v>0</v>
      </c>
    </row>
    <row r="59" spans="1:7">
      <c r="B59" s="8" t="str">
        <f t="shared" si="0"/>
        <v>25-29</v>
      </c>
      <c r="C59" s="300">
        <f>RAW_DATA_INPUTS!C226</f>
        <v>0</v>
      </c>
      <c r="D59" s="300">
        <f>RAW_DATA_INPUTS!D226</f>
        <v>0</v>
      </c>
      <c r="E59" s="300">
        <f>RAW_DATA_INPUTS!E226</f>
        <v>0</v>
      </c>
      <c r="F59" s="300">
        <f>RAW_DATA_INPUTS!F226</f>
        <v>0</v>
      </c>
    </row>
    <row r="60" spans="1:7">
      <c r="B60" s="8" t="str">
        <f t="shared" si="0"/>
        <v>30-34</v>
      </c>
      <c r="C60" s="300">
        <f>RAW_DATA_INPUTS!C227</f>
        <v>0</v>
      </c>
      <c r="D60" s="300">
        <f>RAW_DATA_INPUTS!D227</f>
        <v>0</v>
      </c>
      <c r="E60" s="300">
        <f>RAW_DATA_INPUTS!E227</f>
        <v>6.3929999999999998</v>
      </c>
      <c r="F60" s="300">
        <f>RAW_DATA_INPUTS!F227</f>
        <v>0</v>
      </c>
    </row>
    <row r="61" spans="1:7">
      <c r="B61" s="8" t="str">
        <f t="shared" si="0"/>
        <v>35-39</v>
      </c>
      <c r="C61" s="300">
        <f>RAW_DATA_INPUTS!C228</f>
        <v>9.4220000000000006</v>
      </c>
      <c r="D61" s="300">
        <f>RAW_DATA_INPUTS!D228</f>
        <v>5.2789999999999999</v>
      </c>
      <c r="E61" s="300">
        <f>RAW_DATA_INPUTS!E228</f>
        <v>5.3410000000000002</v>
      </c>
      <c r="F61" s="300">
        <f>RAW_DATA_INPUTS!F228</f>
        <v>0</v>
      </c>
    </row>
    <row r="62" spans="1:7">
      <c r="B62" s="8" t="str">
        <f t="shared" si="0"/>
        <v>40-44</v>
      </c>
      <c r="C62" s="300">
        <f>RAW_DATA_INPUTS!C229</f>
        <v>7.2779999999999996</v>
      </c>
      <c r="D62" s="300">
        <f>RAW_DATA_INPUTS!D229</f>
        <v>5.2430000000000003</v>
      </c>
      <c r="E62" s="300">
        <f>RAW_DATA_INPUTS!E229</f>
        <v>8.3610000000000007</v>
      </c>
      <c r="F62" s="300">
        <f>RAW_DATA_INPUTS!F229</f>
        <v>6.516</v>
      </c>
    </row>
    <row r="63" spans="1:7">
      <c r="B63" s="8" t="str">
        <f t="shared" si="0"/>
        <v>45-49</v>
      </c>
      <c r="C63" s="300">
        <f>RAW_DATA_INPUTS!C230</f>
        <v>14.497</v>
      </c>
      <c r="D63" s="300">
        <f>RAW_DATA_INPUTS!D230</f>
        <v>15.704000000000001</v>
      </c>
      <c r="E63" s="300">
        <f>RAW_DATA_INPUTS!E230</f>
        <v>13.659000000000001</v>
      </c>
      <c r="F63" s="300">
        <f>RAW_DATA_INPUTS!F230</f>
        <v>8.4179999999999993</v>
      </c>
    </row>
    <row r="64" spans="1:7">
      <c r="B64" s="8" t="str">
        <f t="shared" si="0"/>
        <v>50-54</v>
      </c>
      <c r="C64" s="300">
        <f>RAW_DATA_INPUTS!C231</f>
        <v>377.654</v>
      </c>
      <c r="D64" s="300">
        <f>RAW_DATA_INPUTS!D231</f>
        <v>345.08</v>
      </c>
      <c r="E64" s="300">
        <f>RAW_DATA_INPUTS!E231</f>
        <v>248.76</v>
      </c>
      <c r="F64" s="300">
        <f>RAW_DATA_INPUTS!F231</f>
        <v>143.928</v>
      </c>
    </row>
    <row r="65" spans="1:6">
      <c r="B65" s="8" t="str">
        <f t="shared" si="0"/>
        <v>55-59</v>
      </c>
      <c r="C65" s="300">
        <f>RAW_DATA_INPUTS!C232</f>
        <v>1608.299</v>
      </c>
      <c r="D65" s="300">
        <f>RAW_DATA_INPUTS!D232</f>
        <v>1382.15</v>
      </c>
      <c r="E65" s="300">
        <f>RAW_DATA_INPUTS!E232</f>
        <v>1190.059</v>
      </c>
      <c r="F65" s="300">
        <f>RAW_DATA_INPUTS!F232</f>
        <v>1012.7190000000001</v>
      </c>
    </row>
    <row r="66" spans="1:6">
      <c r="B66" s="8" t="str">
        <f t="shared" si="0"/>
        <v>60-64</v>
      </c>
      <c r="C66" s="300">
        <f>RAW_DATA_INPUTS!C233</f>
        <v>713.99800000000005</v>
      </c>
      <c r="D66" s="300">
        <f>RAW_DATA_INPUTS!D233</f>
        <v>727.85599999999999</v>
      </c>
      <c r="E66" s="300">
        <f>RAW_DATA_INPUTS!E233</f>
        <v>637.51700000000005</v>
      </c>
      <c r="F66" s="300">
        <f>RAW_DATA_INPUTS!F233</f>
        <v>589.00800000000004</v>
      </c>
    </row>
    <row r="67" spans="1:6">
      <c r="B67" s="8" t="str">
        <f t="shared" si="0"/>
        <v>65 plus</v>
      </c>
      <c r="C67" s="300">
        <f>RAW_DATA_INPUTS!C234</f>
        <v>131.91499999999999</v>
      </c>
      <c r="D67" s="300">
        <f>RAW_DATA_INPUTS!D234</f>
        <v>141.81899999999999</v>
      </c>
      <c r="E67" s="300">
        <f>RAW_DATA_INPUTS!E234</f>
        <v>137.39500000000001</v>
      </c>
      <c r="F67" s="300">
        <f>RAW_DATA_INPUTS!F234</f>
        <v>155.48599999999999</v>
      </c>
    </row>
    <row r="68" spans="1:6">
      <c r="B68" s="8" t="str">
        <f t="shared" si="0"/>
        <v>Total</v>
      </c>
      <c r="C68" s="300">
        <f>RAW_DATA_INPUTS!C235</f>
        <v>2863.0630000000001</v>
      </c>
      <c r="D68" s="300">
        <f>RAW_DATA_INPUTS!D235</f>
        <v>2623.1309999999999</v>
      </c>
      <c r="E68" s="300">
        <f>RAW_DATA_INPUTS!E235</f>
        <v>2247.4850000000001</v>
      </c>
      <c r="F68" s="300">
        <f>RAW_DATA_INPUTS!F235</f>
        <v>1916.0750000000003</v>
      </c>
    </row>
    <row r="69" spans="1:6">
      <c r="A69">
        <f>SUM(C69:F69)</f>
        <v>0</v>
      </c>
      <c r="C69">
        <f>SUM(C58:C67)-C68</f>
        <v>0</v>
      </c>
      <c r="D69">
        <f>SUM(D58:D67)-D68</f>
        <v>0</v>
      </c>
      <c r="E69">
        <f>SUM(E58:E67)-E68</f>
        <v>0</v>
      </c>
      <c r="F69">
        <f>SUM(F58:F67)-F68</f>
        <v>0</v>
      </c>
    </row>
    <row r="71" spans="1:6">
      <c r="B71" s="75" t="s">
        <v>119</v>
      </c>
    </row>
    <row r="73" spans="1:6">
      <c r="B73" s="1241" t="str">
        <f>B56</f>
        <v>Age group</v>
      </c>
      <c r="C73" s="1292" t="str">
        <f>C56</f>
        <v>Year</v>
      </c>
      <c r="D73" s="1292"/>
      <c r="E73" s="1292"/>
      <c r="F73" s="1292"/>
    </row>
    <row r="74" spans="1:6">
      <c r="B74" s="1242"/>
      <c r="C74" s="8" t="str">
        <f>C57</f>
        <v>2012/13</v>
      </c>
      <c r="D74" s="8" t="str">
        <f>D57</f>
        <v>2013/14</v>
      </c>
      <c r="E74" s="8" t="str">
        <f>E57</f>
        <v>2014/15</v>
      </c>
      <c r="F74" s="8" t="str">
        <f>F57</f>
        <v>2015/16</v>
      </c>
    </row>
    <row r="75" spans="1:6">
      <c r="B75" s="8" t="str">
        <f t="shared" ref="B75:B85" si="1">B58</f>
        <v>20-24</v>
      </c>
      <c r="C75" s="300">
        <f>RAW_DATA_INPUTS!C242</f>
        <v>0</v>
      </c>
      <c r="D75" s="300">
        <f>RAW_DATA_INPUTS!D242</f>
        <v>0</v>
      </c>
      <c r="E75" s="300">
        <f>RAW_DATA_INPUTS!E242</f>
        <v>0</v>
      </c>
      <c r="F75" s="300">
        <f>RAW_DATA_INPUTS!F242</f>
        <v>0</v>
      </c>
    </row>
    <row r="76" spans="1:6">
      <c r="B76" s="8" t="str">
        <f t="shared" si="1"/>
        <v>25-29</v>
      </c>
      <c r="C76" s="300">
        <f>RAW_DATA_INPUTS!C243</f>
        <v>0</v>
      </c>
      <c r="D76" s="300">
        <f>RAW_DATA_INPUTS!D243</f>
        <v>0</v>
      </c>
      <c r="E76" s="300">
        <f>RAW_DATA_INPUTS!E243</f>
        <v>0</v>
      </c>
      <c r="F76" s="300">
        <f>RAW_DATA_INPUTS!F243</f>
        <v>0</v>
      </c>
    </row>
    <row r="77" spans="1:6">
      <c r="B77" s="8" t="str">
        <f t="shared" si="1"/>
        <v>30-34</v>
      </c>
      <c r="C77" s="300">
        <f>RAW_DATA_INPUTS!C244</f>
        <v>6.2919999999999998</v>
      </c>
      <c r="D77" s="300">
        <f>RAW_DATA_INPUTS!D244</f>
        <v>0</v>
      </c>
      <c r="E77" s="300">
        <f>RAW_DATA_INPUTS!E244</f>
        <v>5.3170000000000002</v>
      </c>
      <c r="F77" s="300">
        <f>RAW_DATA_INPUTS!F244</f>
        <v>0</v>
      </c>
    </row>
    <row r="78" spans="1:6">
      <c r="B78" s="8" t="str">
        <f t="shared" si="1"/>
        <v>35-39</v>
      </c>
      <c r="C78" s="300">
        <f>RAW_DATA_INPUTS!C245</f>
        <v>8.2789999999999999</v>
      </c>
      <c r="D78" s="300">
        <f>RAW_DATA_INPUTS!D245</f>
        <v>17.869</v>
      </c>
      <c r="E78" s="300">
        <f>RAW_DATA_INPUTS!E245</f>
        <v>7.3570000000000002</v>
      </c>
      <c r="F78" s="300">
        <f>RAW_DATA_INPUTS!F245</f>
        <v>0</v>
      </c>
    </row>
    <row r="79" spans="1:6">
      <c r="B79" s="8" t="str">
        <f t="shared" si="1"/>
        <v>40-44</v>
      </c>
      <c r="C79" s="300">
        <f>RAW_DATA_INPUTS!C246</f>
        <v>15.532</v>
      </c>
      <c r="D79" s="300">
        <f>RAW_DATA_INPUTS!D246</f>
        <v>12.509</v>
      </c>
      <c r="E79" s="300">
        <f>RAW_DATA_INPUTS!E246</f>
        <v>10.486000000000001</v>
      </c>
      <c r="F79" s="300">
        <f>RAW_DATA_INPUTS!F246</f>
        <v>14.864000000000001</v>
      </c>
    </row>
    <row r="80" spans="1:6">
      <c r="B80" s="8" t="str">
        <f t="shared" si="1"/>
        <v>45-49</v>
      </c>
      <c r="C80" s="300">
        <f>RAW_DATA_INPUTS!C247</f>
        <v>20.672999999999998</v>
      </c>
      <c r="D80" s="300">
        <f>RAW_DATA_INPUTS!D247</f>
        <v>25.170999999999999</v>
      </c>
      <c r="E80" s="300">
        <f>RAW_DATA_INPUTS!E247</f>
        <v>13.65</v>
      </c>
      <c r="F80" s="300">
        <f>RAW_DATA_INPUTS!F247</f>
        <v>10.582000000000001</v>
      </c>
    </row>
    <row r="81" spans="1:6">
      <c r="B81" s="8" t="str">
        <f t="shared" si="1"/>
        <v>50-54</v>
      </c>
      <c r="C81" s="300">
        <f>RAW_DATA_INPUTS!C248</f>
        <v>454.53</v>
      </c>
      <c r="D81" s="300">
        <f>RAW_DATA_INPUTS!D248</f>
        <v>394.94499999999999</v>
      </c>
      <c r="E81" s="300">
        <f>RAW_DATA_INPUTS!E248</f>
        <v>337.947</v>
      </c>
      <c r="F81" s="300">
        <f>RAW_DATA_INPUTS!F248</f>
        <v>222.58699999999999</v>
      </c>
    </row>
    <row r="82" spans="1:6">
      <c r="B82" s="8" t="str">
        <f t="shared" si="1"/>
        <v>55-59</v>
      </c>
      <c r="C82" s="300">
        <f>RAW_DATA_INPUTS!C249</f>
        <v>2100.614</v>
      </c>
      <c r="D82" s="300">
        <f>RAW_DATA_INPUTS!D249</f>
        <v>2054.6610000000001</v>
      </c>
      <c r="E82" s="300">
        <f>RAW_DATA_INPUTS!E249</f>
        <v>1801.4570000000001</v>
      </c>
      <c r="F82" s="300">
        <f>RAW_DATA_INPUTS!F249</f>
        <v>1449.914</v>
      </c>
    </row>
    <row r="83" spans="1:6">
      <c r="B83" s="8" t="str">
        <f t="shared" si="1"/>
        <v>60-64</v>
      </c>
      <c r="C83" s="300">
        <f>RAW_DATA_INPUTS!C250</f>
        <v>940.30399999999997</v>
      </c>
      <c r="D83" s="300">
        <f>RAW_DATA_INPUTS!D250</f>
        <v>853.899</v>
      </c>
      <c r="E83" s="300">
        <f>RAW_DATA_INPUTS!E250</f>
        <v>898.88499999999999</v>
      </c>
      <c r="F83" s="300">
        <f>RAW_DATA_INPUTS!F250</f>
        <v>833.42700000000002</v>
      </c>
    </row>
    <row r="84" spans="1:6">
      <c r="B84" s="8" t="str">
        <f t="shared" si="1"/>
        <v>65 plus</v>
      </c>
      <c r="C84" s="300">
        <f>RAW_DATA_INPUTS!C251</f>
        <v>102.929</v>
      </c>
      <c r="D84" s="300">
        <f>RAW_DATA_INPUTS!D251</f>
        <v>147.59100000000001</v>
      </c>
      <c r="E84" s="300">
        <f>RAW_DATA_INPUTS!E251</f>
        <v>119.517</v>
      </c>
      <c r="F84" s="300">
        <f>RAW_DATA_INPUTS!F251</f>
        <v>132.31800000000001</v>
      </c>
    </row>
    <row r="85" spans="1:6">
      <c r="B85" s="8" t="str">
        <f t="shared" si="1"/>
        <v>Total</v>
      </c>
      <c r="C85" s="300">
        <f>RAW_DATA_INPUTS!C252</f>
        <v>3649.1530000000002</v>
      </c>
      <c r="D85" s="300">
        <f>RAW_DATA_INPUTS!D252</f>
        <v>3506.645</v>
      </c>
      <c r="E85" s="300">
        <f>RAW_DATA_INPUTS!E252</f>
        <v>3194.616</v>
      </c>
      <c r="F85" s="300">
        <f>RAW_DATA_INPUTS!F252</f>
        <v>2663.692</v>
      </c>
    </row>
    <row r="86" spans="1:6">
      <c r="A86">
        <f>SUM(C86:F86)</f>
        <v>0</v>
      </c>
      <c r="C86">
        <f>SUM(C75:C84)-C85</f>
        <v>0</v>
      </c>
      <c r="D86">
        <f>SUM(D75:D84)-D85</f>
        <v>0</v>
      </c>
      <c r="E86">
        <f>SUM(E75:E84)-E85</f>
        <v>0</v>
      </c>
      <c r="F86">
        <f>SUM(F75:F84)-F85</f>
        <v>0</v>
      </c>
    </row>
    <row r="88" spans="1:6">
      <c r="B88" s="75" t="s">
        <v>120</v>
      </c>
    </row>
    <row r="90" spans="1:6">
      <c r="B90" s="1205" t="str">
        <f>B73</f>
        <v>Age group</v>
      </c>
      <c r="C90" s="1292" t="str">
        <f>C73</f>
        <v>Year</v>
      </c>
      <c r="D90" s="1292"/>
      <c r="E90" s="1292"/>
      <c r="F90" s="1292"/>
    </row>
    <row r="91" spans="1:6">
      <c r="B91" s="1205"/>
      <c r="C91" s="8" t="str">
        <f>C74</f>
        <v>2012/13</v>
      </c>
      <c r="D91" s="8" t="str">
        <f>D74</f>
        <v>2013/14</v>
      </c>
      <c r="E91" s="8" t="str">
        <f>E74</f>
        <v>2014/15</v>
      </c>
      <c r="F91" s="8" t="str">
        <f>F74</f>
        <v>2015/16</v>
      </c>
    </row>
    <row r="92" spans="1:6">
      <c r="B92" s="8" t="str">
        <f t="shared" ref="B92:B102" si="2">B75</f>
        <v>20-24</v>
      </c>
      <c r="C92" s="160">
        <f t="shared" ref="C92:F102" si="3">C58/C22</f>
        <v>0</v>
      </c>
      <c r="D92" s="160">
        <f t="shared" si="3"/>
        <v>0</v>
      </c>
      <c r="E92" s="160">
        <f t="shared" si="3"/>
        <v>0</v>
      </c>
      <c r="F92" s="160">
        <f t="shared" si="3"/>
        <v>0</v>
      </c>
    </row>
    <row r="93" spans="1:6">
      <c r="B93" s="8" t="str">
        <f t="shared" si="2"/>
        <v>25-29</v>
      </c>
      <c r="C93" s="160">
        <f t="shared" si="3"/>
        <v>0</v>
      </c>
      <c r="D93" s="160">
        <f t="shared" si="3"/>
        <v>0</v>
      </c>
      <c r="E93" s="160">
        <f t="shared" si="3"/>
        <v>0</v>
      </c>
      <c r="F93" s="160">
        <f t="shared" si="3"/>
        <v>0</v>
      </c>
    </row>
    <row r="94" spans="1:6">
      <c r="B94" s="8" t="str">
        <f t="shared" si="2"/>
        <v>30-34</v>
      </c>
      <c r="C94" s="160">
        <f t="shared" si="3"/>
        <v>0</v>
      </c>
      <c r="D94" s="160">
        <f t="shared" si="3"/>
        <v>0</v>
      </c>
      <c r="E94" s="160">
        <f t="shared" si="3"/>
        <v>4.5584984122264447E-4</v>
      </c>
      <c r="F94" s="160">
        <f t="shared" si="3"/>
        <v>0</v>
      </c>
    </row>
    <row r="95" spans="1:6">
      <c r="B95" s="8" t="str">
        <f t="shared" si="2"/>
        <v>35-39</v>
      </c>
      <c r="C95" s="160">
        <f t="shared" si="3"/>
        <v>7.7270151029439006E-4</v>
      </c>
      <c r="D95" s="160">
        <f t="shared" si="3"/>
        <v>4.348526982819982E-4</v>
      </c>
      <c r="E95" s="160">
        <f t="shared" si="3"/>
        <v>4.3353894979349469E-4</v>
      </c>
      <c r="F95" s="160">
        <f t="shared" si="3"/>
        <v>0</v>
      </c>
    </row>
    <row r="96" spans="1:6">
      <c r="B96" s="8" t="str">
        <f t="shared" si="2"/>
        <v>40-44</v>
      </c>
      <c r="C96" s="160">
        <f t="shared" si="3"/>
        <v>6.1537233577515008E-4</v>
      </c>
      <c r="D96" s="160">
        <f t="shared" si="3"/>
        <v>4.3935166342327431E-4</v>
      </c>
      <c r="E96" s="160">
        <f t="shared" si="3"/>
        <v>7.0889670880649644E-4</v>
      </c>
      <c r="F96" s="160">
        <f t="shared" si="3"/>
        <v>5.6175856985716968E-4</v>
      </c>
    </row>
    <row r="97" spans="2:9">
      <c r="B97" s="8" t="str">
        <f t="shared" si="2"/>
        <v>45-49</v>
      </c>
      <c r="C97" s="160">
        <f t="shared" si="3"/>
        <v>1.5486590003933338E-3</v>
      </c>
      <c r="D97" s="160">
        <f t="shared" si="3"/>
        <v>1.6735677535976272E-3</v>
      </c>
      <c r="E97" s="160">
        <f t="shared" si="3"/>
        <v>1.4528970025901966E-3</v>
      </c>
      <c r="F97" s="160">
        <f t="shared" si="3"/>
        <v>8.8255821524041097E-4</v>
      </c>
    </row>
    <row r="98" spans="2:9">
      <c r="B98" s="8" t="str">
        <f t="shared" si="2"/>
        <v>50-54</v>
      </c>
      <c r="C98" s="160">
        <f t="shared" si="3"/>
        <v>4.2157880119061124E-2</v>
      </c>
      <c r="D98" s="160">
        <f t="shared" si="3"/>
        <v>4.0024705176198362E-2</v>
      </c>
      <c r="E98" s="160">
        <f t="shared" si="3"/>
        <v>3.0219661074765959E-2</v>
      </c>
      <c r="F98" s="160">
        <f t="shared" si="3"/>
        <v>1.8075432605127624E-2</v>
      </c>
    </row>
    <row r="99" spans="2:9">
      <c r="B99" s="8" t="str">
        <f t="shared" si="2"/>
        <v>55-59</v>
      </c>
      <c r="C99" s="160">
        <f t="shared" si="3"/>
        <v>0.21678539795841756</v>
      </c>
      <c r="D99" s="160">
        <f t="shared" si="3"/>
        <v>0.20982840722757642</v>
      </c>
      <c r="E99" s="160">
        <f t="shared" si="3"/>
        <v>0.19633450110824505</v>
      </c>
      <c r="F99" s="160">
        <f t="shared" si="3"/>
        <v>0.18110175109428867</v>
      </c>
    </row>
    <row r="100" spans="2:9">
      <c r="B100" s="8" t="str">
        <f t="shared" si="2"/>
        <v>60-64</v>
      </c>
      <c r="C100" s="160">
        <f t="shared" si="3"/>
        <v>0.28991393105307672</v>
      </c>
      <c r="D100" s="160">
        <f t="shared" si="3"/>
        <v>0.31179494912196082</v>
      </c>
      <c r="E100" s="160">
        <f t="shared" si="3"/>
        <v>0.30070918305979355</v>
      </c>
      <c r="F100" s="160">
        <f t="shared" si="3"/>
        <v>0.30476718741996095</v>
      </c>
    </row>
    <row r="101" spans="2:9">
      <c r="B101" s="8" t="str">
        <f t="shared" si="2"/>
        <v>65 plus</v>
      </c>
      <c r="C101" s="160">
        <f t="shared" si="3"/>
        <v>0.30434712391218083</v>
      </c>
      <c r="D101" s="160">
        <f t="shared" si="3"/>
        <v>0.29509475892032255</v>
      </c>
      <c r="E101" s="160">
        <f t="shared" si="3"/>
        <v>0.28312228896421693</v>
      </c>
      <c r="F101" s="160">
        <f t="shared" si="3"/>
        <v>0.32301396044540465</v>
      </c>
    </row>
    <row r="102" spans="2:9">
      <c r="B102" s="8" t="str">
        <f t="shared" si="2"/>
        <v>Total</v>
      </c>
      <c r="C102" s="160">
        <f t="shared" si="3"/>
        <v>3.5147746186559595E-2</v>
      </c>
      <c r="D102" s="160">
        <f t="shared" si="3"/>
        <v>3.2790781547809844E-2</v>
      </c>
      <c r="E102" s="160">
        <f t="shared" si="3"/>
        <v>2.8654683162065583E-2</v>
      </c>
      <c r="F102" s="160">
        <f t="shared" si="3"/>
        <v>2.4917973852159003E-2</v>
      </c>
    </row>
    <row r="104" spans="2:9">
      <c r="B104" s="75" t="s">
        <v>121</v>
      </c>
    </row>
    <row r="106" spans="2:9">
      <c r="B106" s="1205" t="str">
        <f>B90</f>
        <v>Age group</v>
      </c>
      <c r="C106" s="1292" t="str">
        <f>C90</f>
        <v>Year</v>
      </c>
      <c r="D106" s="1292"/>
      <c r="E106" s="1292"/>
      <c r="F106" s="1292"/>
    </row>
    <row r="107" spans="2:9">
      <c r="B107" s="1205"/>
      <c r="C107" s="8" t="str">
        <f>C91</f>
        <v>2012/13</v>
      </c>
      <c r="D107" s="8" t="str">
        <f>D91</f>
        <v>2013/14</v>
      </c>
      <c r="E107" s="8" t="str">
        <f>E91</f>
        <v>2014/15</v>
      </c>
      <c r="F107" s="8" t="str">
        <f>F91</f>
        <v>2015/16</v>
      </c>
    </row>
    <row r="108" spans="2:9">
      <c r="B108" s="8" t="str">
        <f>B92</f>
        <v>20-24</v>
      </c>
      <c r="C108" s="160">
        <f t="shared" ref="C108:F118" si="4">C75/C39</f>
        <v>0</v>
      </c>
      <c r="D108" s="160">
        <f t="shared" si="4"/>
        <v>0</v>
      </c>
      <c r="E108" s="160">
        <f t="shared" si="4"/>
        <v>0</v>
      </c>
      <c r="F108" s="160">
        <f t="shared" si="4"/>
        <v>0</v>
      </c>
      <c r="G108" s="5"/>
      <c r="H108" s="5"/>
      <c r="I108" s="5"/>
    </row>
    <row r="109" spans="2:9">
      <c r="B109" s="8" t="str">
        <f t="shared" ref="B109:B118" si="5">B93</f>
        <v>25-29</v>
      </c>
      <c r="C109" s="160">
        <f t="shared" si="4"/>
        <v>0</v>
      </c>
      <c r="D109" s="160">
        <f t="shared" si="4"/>
        <v>0</v>
      </c>
      <c r="E109" s="160">
        <f t="shared" si="4"/>
        <v>0</v>
      </c>
      <c r="F109" s="160">
        <f t="shared" si="4"/>
        <v>0</v>
      </c>
      <c r="G109" s="5"/>
      <c r="H109" s="5"/>
      <c r="I109" s="5"/>
    </row>
    <row r="110" spans="2:9">
      <c r="B110" s="8" t="str">
        <f t="shared" si="5"/>
        <v>30-34</v>
      </c>
      <c r="C110" s="160">
        <f t="shared" si="4"/>
        <v>2.3470193432516162E-4</v>
      </c>
      <c r="D110" s="160">
        <f t="shared" si="4"/>
        <v>0</v>
      </c>
      <c r="E110" s="160">
        <f t="shared" si="4"/>
        <v>1.9973295812437191E-4</v>
      </c>
      <c r="F110" s="160">
        <f t="shared" si="4"/>
        <v>0</v>
      </c>
      <c r="G110" s="5"/>
      <c r="H110" s="5"/>
      <c r="I110" s="5"/>
    </row>
    <row r="111" spans="2:9">
      <c r="B111" s="8" t="str">
        <f t="shared" si="5"/>
        <v>35-39</v>
      </c>
      <c r="C111" s="160">
        <f t="shared" si="4"/>
        <v>4.0363612819783757E-4</v>
      </c>
      <c r="D111" s="160">
        <f t="shared" si="4"/>
        <v>8.4925361068235474E-4</v>
      </c>
      <c r="E111" s="160">
        <f t="shared" si="4"/>
        <v>3.3523926523500012E-4</v>
      </c>
      <c r="F111" s="160">
        <f t="shared" si="4"/>
        <v>0</v>
      </c>
      <c r="G111" s="5"/>
      <c r="H111" s="5"/>
      <c r="I111" s="5"/>
    </row>
    <row r="112" spans="2:9">
      <c r="B112" s="8" t="str">
        <f t="shared" si="5"/>
        <v>40-44</v>
      </c>
      <c r="C112" s="160">
        <f t="shared" si="4"/>
        <v>9.2911957784519981E-4</v>
      </c>
      <c r="D112" s="160">
        <f t="shared" si="4"/>
        <v>7.0712994333802643E-4</v>
      </c>
      <c r="E112" s="160">
        <f t="shared" si="4"/>
        <v>5.7224537877476078E-4</v>
      </c>
      <c r="F112" s="160">
        <f t="shared" si="4"/>
        <v>8.0061976932950855E-4</v>
      </c>
      <c r="G112" s="5"/>
      <c r="H112" s="5"/>
      <c r="I112" s="5"/>
    </row>
    <row r="113" spans="2:9">
      <c r="B113" s="8" t="str">
        <f t="shared" si="5"/>
        <v>45-49</v>
      </c>
      <c r="C113" s="160">
        <f t="shared" si="4"/>
        <v>1.4868939287142498E-3</v>
      </c>
      <c r="D113" s="160">
        <f t="shared" si="4"/>
        <v>1.8241927778460624E-3</v>
      </c>
      <c r="E113" s="160">
        <f t="shared" si="4"/>
        <v>9.7700516352597095E-4</v>
      </c>
      <c r="F113" s="160">
        <f t="shared" si="4"/>
        <v>7.5402314313784797E-4</v>
      </c>
      <c r="G113" s="5"/>
      <c r="H113" s="5"/>
      <c r="I113" s="5"/>
    </row>
    <row r="114" spans="2:9">
      <c r="B114" s="8" t="str">
        <f t="shared" si="5"/>
        <v>50-54</v>
      </c>
      <c r="C114" s="160">
        <f t="shared" si="4"/>
        <v>3.3927463913675113E-2</v>
      </c>
      <c r="D114" s="160">
        <f t="shared" si="4"/>
        <v>3.1232575035244348E-2</v>
      </c>
      <c r="E114" s="160">
        <f t="shared" si="4"/>
        <v>2.7495099734996791E-2</v>
      </c>
      <c r="F114" s="160">
        <f t="shared" si="4"/>
        <v>1.8800608242799794E-2</v>
      </c>
      <c r="G114" s="5"/>
      <c r="H114" s="5"/>
      <c r="I114" s="5"/>
    </row>
    <row r="115" spans="2:9">
      <c r="B115" s="8" t="str">
        <f t="shared" si="5"/>
        <v>55-59</v>
      </c>
      <c r="C115" s="160">
        <f t="shared" si="4"/>
        <v>0.18721799619434679</v>
      </c>
      <c r="D115" s="160">
        <f t="shared" si="4"/>
        <v>0.19474145441558827</v>
      </c>
      <c r="E115" s="160">
        <f t="shared" si="4"/>
        <v>0.188008693587566</v>
      </c>
      <c r="F115" s="160">
        <f t="shared" si="4"/>
        <v>0.16473569827537626</v>
      </c>
      <c r="G115" s="5"/>
      <c r="H115" s="5"/>
      <c r="I115" s="5"/>
    </row>
    <row r="116" spans="2:9">
      <c r="B116" s="8" t="str">
        <f t="shared" si="5"/>
        <v>60-64</v>
      </c>
      <c r="C116" s="160">
        <f t="shared" si="4"/>
        <v>0.32250866290322416</v>
      </c>
      <c r="D116" s="160">
        <f t="shared" si="4"/>
        <v>0.29845411144699907</v>
      </c>
      <c r="E116" s="160">
        <f t="shared" si="4"/>
        <v>0.31228275940416189</v>
      </c>
      <c r="F116" s="160">
        <f t="shared" si="4"/>
        <v>0.30762493120741641</v>
      </c>
      <c r="G116" s="5"/>
      <c r="H116" s="5"/>
      <c r="I116" s="5"/>
    </row>
    <row r="117" spans="2:9">
      <c r="B117" s="8" t="str">
        <f t="shared" si="5"/>
        <v>65 plus</v>
      </c>
      <c r="C117" s="160">
        <f t="shared" si="4"/>
        <v>0.24867002643035577</v>
      </c>
      <c r="D117" s="160">
        <f t="shared" si="4"/>
        <v>0.31286779045907037</v>
      </c>
      <c r="E117" s="160">
        <f t="shared" si="4"/>
        <v>0.2679699288579378</v>
      </c>
      <c r="F117" s="160">
        <f t="shared" si="4"/>
        <v>0.27706862326306003</v>
      </c>
      <c r="G117" s="5"/>
      <c r="H117" s="5"/>
      <c r="I117" s="5"/>
    </row>
    <row r="118" spans="2:9">
      <c r="B118" s="8" t="str">
        <f t="shared" si="5"/>
        <v>Total</v>
      </c>
      <c r="C118" s="160">
        <f t="shared" si="4"/>
        <v>2.6396150047481061E-2</v>
      </c>
      <c r="D118" s="160">
        <f t="shared" si="4"/>
        <v>2.5467668445047172E-2</v>
      </c>
      <c r="E118" s="160">
        <f t="shared" si="4"/>
        <v>2.3284951228453962E-2</v>
      </c>
      <c r="F118" s="160">
        <f t="shared" si="4"/>
        <v>1.9713755003212034E-2</v>
      </c>
      <c r="G118" s="5"/>
      <c r="H118" s="5"/>
      <c r="I118" s="5"/>
    </row>
    <row r="120" spans="2:9">
      <c r="B120" s="75" t="s">
        <v>122</v>
      </c>
    </row>
    <row r="122" spans="2:9">
      <c r="B122" s="1205" t="str">
        <f>B106</f>
        <v>Age group</v>
      </c>
      <c r="C122" s="1241" t="str">
        <f>C107</f>
        <v>2012/13</v>
      </c>
      <c r="D122" s="1241" t="str">
        <f>D107</f>
        <v>2013/14</v>
      </c>
      <c r="E122" s="1241" t="str">
        <f>E107</f>
        <v>2014/15</v>
      </c>
      <c r="F122" s="1241" t="str">
        <f>F107</f>
        <v>2015/16</v>
      </c>
      <c r="G122" s="1290" t="s">
        <v>8</v>
      </c>
    </row>
    <row r="123" spans="2:9">
      <c r="B123" s="1205"/>
      <c r="C123" s="1242"/>
      <c r="D123" s="1242"/>
      <c r="E123" s="1242"/>
      <c r="F123" s="1242"/>
      <c r="G123" s="1291"/>
    </row>
    <row r="124" spans="2:9">
      <c r="B124" s="138" t="str">
        <f>B108</f>
        <v>20-24</v>
      </c>
      <c r="C124" s="909">
        <f>C92*H$14</f>
        <v>0</v>
      </c>
      <c r="D124" s="909">
        <f t="shared" ref="D124:F134" si="6">D92*I$14</f>
        <v>0</v>
      </c>
      <c r="E124" s="909">
        <f t="shared" si="6"/>
        <v>0</v>
      </c>
      <c r="F124" s="909">
        <f t="shared" si="6"/>
        <v>0</v>
      </c>
      <c r="G124" s="907">
        <f>SUM(C124:F124)</f>
        <v>0</v>
      </c>
    </row>
    <row r="125" spans="2:9">
      <c r="B125" s="138" t="str">
        <f t="shared" ref="B125:B132" si="7">B109</f>
        <v>25-29</v>
      </c>
      <c r="C125" s="909">
        <f t="shared" ref="C125:C134" si="8">C93*H$14</f>
        <v>0</v>
      </c>
      <c r="D125" s="909">
        <f t="shared" si="6"/>
        <v>0</v>
      </c>
      <c r="E125" s="909">
        <f t="shared" si="6"/>
        <v>0</v>
      </c>
      <c r="F125" s="909">
        <f t="shared" si="6"/>
        <v>0</v>
      </c>
      <c r="G125" s="907">
        <f t="shared" ref="G125:G134" si="9">SUM(C125:F125)</f>
        <v>0</v>
      </c>
    </row>
    <row r="126" spans="2:9">
      <c r="B126" s="138" t="str">
        <f t="shared" si="7"/>
        <v>30-34</v>
      </c>
      <c r="C126" s="909">
        <f t="shared" si="8"/>
        <v>0</v>
      </c>
      <c r="D126" s="909">
        <f t="shared" si="6"/>
        <v>0</v>
      </c>
      <c r="E126" s="909">
        <f t="shared" si="6"/>
        <v>1.3675495236679334E-4</v>
      </c>
      <c r="F126" s="909">
        <f t="shared" si="6"/>
        <v>0</v>
      </c>
      <c r="G126" s="907">
        <f t="shared" si="9"/>
        <v>1.3675495236679334E-4</v>
      </c>
    </row>
    <row r="127" spans="2:9">
      <c r="B127" s="138" t="str">
        <f t="shared" si="7"/>
        <v>35-39</v>
      </c>
      <c r="C127" s="909">
        <f t="shared" si="8"/>
        <v>7.7270151029439006E-5</v>
      </c>
      <c r="D127" s="909">
        <f t="shared" si="6"/>
        <v>8.6970539656399648E-5</v>
      </c>
      <c r="E127" s="909">
        <f t="shared" si="6"/>
        <v>1.3006168493804839E-4</v>
      </c>
      <c r="F127" s="909">
        <f t="shared" si="6"/>
        <v>0</v>
      </c>
      <c r="G127" s="907">
        <f t="shared" si="9"/>
        <v>2.9430237562388706E-4</v>
      </c>
    </row>
    <row r="128" spans="2:9">
      <c r="B128" s="138" t="str">
        <f t="shared" si="7"/>
        <v>40-44</v>
      </c>
      <c r="C128" s="909">
        <f t="shared" si="8"/>
        <v>6.1537233577515013E-5</v>
      </c>
      <c r="D128" s="909">
        <f t="shared" si="6"/>
        <v>8.7870332684654873E-5</v>
      </c>
      <c r="E128" s="909">
        <f t="shared" si="6"/>
        <v>2.1266901264194892E-4</v>
      </c>
      <c r="F128" s="909">
        <f t="shared" si="6"/>
        <v>2.2470342794286789E-4</v>
      </c>
      <c r="G128" s="907">
        <f t="shared" si="9"/>
        <v>5.867800068469867E-4</v>
      </c>
    </row>
    <row r="129" spans="2:7">
      <c r="B129" s="138" t="str">
        <f t="shared" si="7"/>
        <v>45-49</v>
      </c>
      <c r="C129" s="909">
        <f t="shared" si="8"/>
        <v>1.5486590003933339E-4</v>
      </c>
      <c r="D129" s="909">
        <f t="shared" si="6"/>
        <v>3.3471355071952548E-4</v>
      </c>
      <c r="E129" s="909">
        <f t="shared" si="6"/>
        <v>4.3586910077705898E-4</v>
      </c>
      <c r="F129" s="909">
        <f t="shared" si="6"/>
        <v>3.5302328609616439E-4</v>
      </c>
      <c r="G129" s="907">
        <f t="shared" si="9"/>
        <v>1.2784718376320822E-3</v>
      </c>
    </row>
    <row r="130" spans="2:7">
      <c r="B130" s="138" t="str">
        <f t="shared" si="7"/>
        <v>50-54</v>
      </c>
      <c r="C130" s="909">
        <f t="shared" si="8"/>
        <v>4.2157880119061122E-3</v>
      </c>
      <c r="D130" s="909">
        <f t="shared" si="6"/>
        <v>8.0049410352396721E-3</v>
      </c>
      <c r="E130" s="909">
        <f t="shared" si="6"/>
        <v>9.065898322429787E-3</v>
      </c>
      <c r="F130" s="909">
        <f t="shared" si="6"/>
        <v>7.2301730420510496E-3</v>
      </c>
      <c r="G130" s="907">
        <f t="shared" si="9"/>
        <v>2.851680041162662E-2</v>
      </c>
    </row>
    <row r="131" spans="2:7">
      <c r="B131" s="138" t="str">
        <f t="shared" si="7"/>
        <v>55-59</v>
      </c>
      <c r="C131" s="909">
        <f t="shared" si="8"/>
        <v>2.1678539795841757E-2</v>
      </c>
      <c r="D131" s="909">
        <f t="shared" si="6"/>
        <v>4.1965681445515289E-2</v>
      </c>
      <c r="E131" s="909">
        <f t="shared" si="6"/>
        <v>5.8900350332473511E-2</v>
      </c>
      <c r="F131" s="909">
        <f t="shared" si="6"/>
        <v>7.2440700437715472E-2</v>
      </c>
      <c r="G131" s="907">
        <f t="shared" si="9"/>
        <v>0.19498527201154603</v>
      </c>
    </row>
    <row r="132" spans="2:7">
      <c r="B132" s="138" t="str">
        <f t="shared" si="7"/>
        <v>60-64</v>
      </c>
      <c r="C132" s="909">
        <f t="shared" si="8"/>
        <v>2.8991393105307673E-2</v>
      </c>
      <c r="D132" s="909">
        <f t="shared" si="6"/>
        <v>6.2358989824392169E-2</v>
      </c>
      <c r="E132" s="909">
        <f t="shared" si="6"/>
        <v>9.0212754917938065E-2</v>
      </c>
      <c r="F132" s="909">
        <f t="shared" si="6"/>
        <v>0.12190687496798439</v>
      </c>
      <c r="G132" s="907">
        <f t="shared" si="9"/>
        <v>0.30347001281562225</v>
      </c>
    </row>
    <row r="133" spans="2:7">
      <c r="B133" s="138" t="str">
        <f>B117</f>
        <v>65 plus</v>
      </c>
      <c r="C133" s="909">
        <f t="shared" si="8"/>
        <v>3.0434712391218085E-2</v>
      </c>
      <c r="D133" s="909">
        <f t="shared" si="6"/>
        <v>5.9018951784064515E-2</v>
      </c>
      <c r="E133" s="909">
        <f t="shared" si="6"/>
        <v>8.4936686689265073E-2</v>
      </c>
      <c r="F133" s="909">
        <f t="shared" si="6"/>
        <v>0.12920558417816186</v>
      </c>
      <c r="G133" s="907">
        <f t="shared" si="9"/>
        <v>0.30359593504270954</v>
      </c>
    </row>
    <row r="134" spans="2:7">
      <c r="B134" s="138" t="str">
        <f>B118</f>
        <v>Total</v>
      </c>
      <c r="C134" s="909">
        <f t="shared" si="8"/>
        <v>3.5147746186559598E-3</v>
      </c>
      <c r="D134" s="909">
        <f t="shared" si="6"/>
        <v>6.5581563095619688E-3</v>
      </c>
      <c r="E134" s="909">
        <f t="shared" si="6"/>
        <v>8.5964049486196743E-3</v>
      </c>
      <c r="F134" s="909">
        <f t="shared" si="6"/>
        <v>9.9671895408636017E-3</v>
      </c>
      <c r="G134" s="907">
        <f t="shared" si="9"/>
        <v>2.8636525417701206E-2</v>
      </c>
    </row>
    <row r="136" spans="2:7">
      <c r="B136" s="75" t="s">
        <v>123</v>
      </c>
    </row>
    <row r="138" spans="2:7">
      <c r="B138" s="1205" t="str">
        <f>B122</f>
        <v>Age group</v>
      </c>
      <c r="C138" s="1241" t="str">
        <f>C122</f>
        <v>2012/13</v>
      </c>
      <c r="D138" s="1241" t="str">
        <f>D122</f>
        <v>2013/14</v>
      </c>
      <c r="E138" s="1241" t="str">
        <f>E122</f>
        <v>2014/15</v>
      </c>
      <c r="F138" s="1241" t="str">
        <f>F122</f>
        <v>2015/16</v>
      </c>
      <c r="G138" s="1290" t="s">
        <v>8</v>
      </c>
    </row>
    <row r="139" spans="2:7">
      <c r="B139" s="1205"/>
      <c r="C139" s="1242"/>
      <c r="D139" s="1242"/>
      <c r="E139" s="1242"/>
      <c r="F139" s="1242"/>
      <c r="G139" s="1291"/>
    </row>
    <row r="140" spans="2:7">
      <c r="B140" s="138" t="str">
        <f>B124</f>
        <v>20-24</v>
      </c>
      <c r="C140" s="909">
        <f>C108*H$14</f>
        <v>0</v>
      </c>
      <c r="D140" s="909">
        <f t="shared" ref="D140:F150" si="10">D108*I$14</f>
        <v>0</v>
      </c>
      <c r="E140" s="909">
        <f t="shared" si="10"/>
        <v>0</v>
      </c>
      <c r="F140" s="909">
        <f t="shared" si="10"/>
        <v>0</v>
      </c>
      <c r="G140" s="907">
        <f>SUM(C140:F140)</f>
        <v>0</v>
      </c>
    </row>
    <row r="141" spans="2:7">
      <c r="B141" s="138" t="str">
        <f t="shared" ref="B141:B148" si="11">B125</f>
        <v>25-29</v>
      </c>
      <c r="C141" s="909">
        <f t="shared" ref="C141:C150" si="12">C109*H$14</f>
        <v>0</v>
      </c>
      <c r="D141" s="909">
        <f t="shared" si="10"/>
        <v>0</v>
      </c>
      <c r="E141" s="909">
        <f t="shared" si="10"/>
        <v>0</v>
      </c>
      <c r="F141" s="909">
        <f t="shared" si="10"/>
        <v>0</v>
      </c>
      <c r="G141" s="907">
        <f t="shared" ref="G141:G150" si="13">SUM(C141:F141)</f>
        <v>0</v>
      </c>
    </row>
    <row r="142" spans="2:7">
      <c r="B142" s="138" t="str">
        <f t="shared" si="11"/>
        <v>30-34</v>
      </c>
      <c r="C142" s="909">
        <f t="shared" si="12"/>
        <v>2.3470193432516163E-5</v>
      </c>
      <c r="D142" s="909">
        <f t="shared" si="10"/>
        <v>0</v>
      </c>
      <c r="E142" s="909">
        <f t="shared" si="10"/>
        <v>5.991988743731157E-5</v>
      </c>
      <c r="F142" s="909">
        <f t="shared" si="10"/>
        <v>0</v>
      </c>
      <c r="G142" s="907">
        <f t="shared" si="13"/>
        <v>8.3390080869827734E-5</v>
      </c>
    </row>
    <row r="143" spans="2:7">
      <c r="B143" s="138" t="str">
        <f t="shared" si="11"/>
        <v>35-39</v>
      </c>
      <c r="C143" s="909">
        <f t="shared" si="12"/>
        <v>4.0363612819783762E-5</v>
      </c>
      <c r="D143" s="909">
        <f t="shared" si="10"/>
        <v>1.6985072213647096E-4</v>
      </c>
      <c r="E143" s="909">
        <f t="shared" si="10"/>
        <v>1.0057177957050003E-4</v>
      </c>
      <c r="F143" s="909">
        <f t="shared" si="10"/>
        <v>0</v>
      </c>
      <c r="G143" s="907">
        <f t="shared" si="13"/>
        <v>3.1078611452675474E-4</v>
      </c>
    </row>
    <row r="144" spans="2:7">
      <c r="B144" s="138" t="str">
        <f t="shared" si="11"/>
        <v>40-44</v>
      </c>
      <c r="C144" s="909">
        <f t="shared" si="12"/>
        <v>9.2911957784519981E-5</v>
      </c>
      <c r="D144" s="909">
        <f t="shared" si="10"/>
        <v>1.4142598866760529E-4</v>
      </c>
      <c r="E144" s="909">
        <f t="shared" si="10"/>
        <v>1.7167361363242822E-4</v>
      </c>
      <c r="F144" s="909">
        <f t="shared" si="10"/>
        <v>3.2024790773180342E-4</v>
      </c>
      <c r="G144" s="907">
        <f t="shared" si="13"/>
        <v>7.2625946781635687E-4</v>
      </c>
    </row>
    <row r="145" spans="2:7">
      <c r="B145" s="138" t="str">
        <f t="shared" si="11"/>
        <v>45-49</v>
      </c>
      <c r="C145" s="909">
        <f t="shared" si="12"/>
        <v>1.4868939287142498E-4</v>
      </c>
      <c r="D145" s="909">
        <f t="shared" si="10"/>
        <v>3.6483855556921252E-4</v>
      </c>
      <c r="E145" s="909">
        <f t="shared" si="10"/>
        <v>2.931015490577913E-4</v>
      </c>
      <c r="F145" s="909">
        <f t="shared" si="10"/>
        <v>3.0160925725513922E-4</v>
      </c>
      <c r="G145" s="907">
        <f t="shared" si="13"/>
        <v>1.1082387547535681E-3</v>
      </c>
    </row>
    <row r="146" spans="2:7">
      <c r="B146" s="138" t="str">
        <f t="shared" si="11"/>
        <v>50-54</v>
      </c>
      <c r="C146" s="909">
        <f t="shared" si="12"/>
        <v>3.3927463913675116E-3</v>
      </c>
      <c r="D146" s="909">
        <f t="shared" si="10"/>
        <v>6.2465150070488695E-3</v>
      </c>
      <c r="E146" s="909">
        <f t="shared" si="10"/>
        <v>8.2485299204990373E-3</v>
      </c>
      <c r="F146" s="909">
        <f t="shared" si="10"/>
        <v>7.5202432971199183E-3</v>
      </c>
      <c r="G146" s="907">
        <f t="shared" si="13"/>
        <v>2.5408034616035337E-2</v>
      </c>
    </row>
    <row r="147" spans="2:7">
      <c r="B147" s="138" t="str">
        <f t="shared" si="11"/>
        <v>55-59</v>
      </c>
      <c r="C147" s="909">
        <f t="shared" si="12"/>
        <v>1.8721799619434678E-2</v>
      </c>
      <c r="D147" s="909">
        <f t="shared" si="10"/>
        <v>3.8948290883117659E-2</v>
      </c>
      <c r="E147" s="909">
        <f t="shared" si="10"/>
        <v>5.6402608076269796E-2</v>
      </c>
      <c r="F147" s="909">
        <f t="shared" si="10"/>
        <v>6.5894279310150503E-2</v>
      </c>
      <c r="G147" s="907">
        <f t="shared" si="13"/>
        <v>0.17996697788897265</v>
      </c>
    </row>
    <row r="148" spans="2:7">
      <c r="B148" s="138" t="str">
        <f t="shared" si="11"/>
        <v>60-64</v>
      </c>
      <c r="C148" s="909">
        <f t="shared" si="12"/>
        <v>3.2250866290322415E-2</v>
      </c>
      <c r="D148" s="909">
        <f t="shared" si="10"/>
        <v>5.9690822289399814E-2</v>
      </c>
      <c r="E148" s="909">
        <f t="shared" si="10"/>
        <v>9.3684827821248567E-2</v>
      </c>
      <c r="F148" s="909">
        <f t="shared" si="10"/>
        <v>0.12304997248296656</v>
      </c>
      <c r="G148" s="907">
        <f t="shared" si="13"/>
        <v>0.30867648888393739</v>
      </c>
    </row>
    <row r="149" spans="2:7">
      <c r="B149" s="138" t="str">
        <f>B133</f>
        <v>65 plus</v>
      </c>
      <c r="C149" s="909">
        <f t="shared" si="12"/>
        <v>2.4867002643035579E-2</v>
      </c>
      <c r="D149" s="909">
        <f t="shared" si="10"/>
        <v>6.2573558091814072E-2</v>
      </c>
      <c r="E149" s="909">
        <f t="shared" si="10"/>
        <v>8.0390978657381332E-2</v>
      </c>
      <c r="F149" s="909">
        <f t="shared" si="10"/>
        <v>0.11082744930522402</v>
      </c>
      <c r="G149" s="907">
        <f t="shared" si="13"/>
        <v>0.27865898869745503</v>
      </c>
    </row>
    <row r="150" spans="2:7">
      <c r="B150" s="138" t="str">
        <f>B134</f>
        <v>Total</v>
      </c>
      <c r="C150" s="909">
        <f t="shared" si="12"/>
        <v>2.6396150047481061E-3</v>
      </c>
      <c r="D150" s="909">
        <f t="shared" si="10"/>
        <v>5.0935336890094345E-3</v>
      </c>
      <c r="E150" s="909">
        <f t="shared" si="10"/>
        <v>6.9854853685361882E-3</v>
      </c>
      <c r="F150" s="909">
        <f t="shared" si="10"/>
        <v>7.8855020012848134E-3</v>
      </c>
      <c r="G150" s="907">
        <f t="shared" si="13"/>
        <v>2.2604136063578542E-2</v>
      </c>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T150"/>
  <sheetViews>
    <sheetView showGridLines="0" workbookViewId="0"/>
  </sheetViews>
  <sheetFormatPr defaultRowHeight="12.75"/>
  <cols>
    <col min="2" max="7" width="12.710937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4.45" customHeight="1">
      <c r="A5" s="1293" t="s">
        <v>1417</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60"/>
      <c r="C8" s="60"/>
      <c r="D8" s="285"/>
      <c r="E8" s="60"/>
      <c r="F8" s="60"/>
      <c r="G8" s="60"/>
      <c r="H8" s="60"/>
      <c r="I8" s="60"/>
      <c r="J8" s="60"/>
      <c r="K8" s="60"/>
      <c r="L8" s="60"/>
      <c r="M8" s="60"/>
      <c r="N8" s="60"/>
      <c r="O8" s="44"/>
    </row>
    <row r="9" spans="1:20" s="45" customFormat="1">
      <c r="A9" s="53" t="s">
        <v>1415</v>
      </c>
      <c r="B9" s="60"/>
      <c r="C9" s="60"/>
      <c r="D9" s="285"/>
      <c r="E9" s="60"/>
      <c r="F9" s="60"/>
      <c r="G9" s="60"/>
      <c r="H9" s="60"/>
      <c r="I9" s="60"/>
      <c r="J9" s="60"/>
      <c r="K9" s="60"/>
      <c r="L9" s="60"/>
      <c r="M9" s="60"/>
      <c r="N9" s="60"/>
      <c r="O9" s="44"/>
    </row>
    <row r="10" spans="1:20" s="49" customFormat="1" ht="13.5" customHeight="1">
      <c r="A10" s="54">
        <f>SUM(A13:A2227)</f>
        <v>0</v>
      </c>
      <c r="B10" s="72"/>
      <c r="C10" s="47"/>
      <c r="D10" s="47"/>
      <c r="E10" s="47"/>
      <c r="F10" s="71"/>
      <c r="G10" s="47"/>
      <c r="H10" s="71"/>
      <c r="I10" s="48"/>
      <c r="J10" s="48"/>
      <c r="K10" s="48"/>
      <c r="L10" s="48"/>
      <c r="M10" s="48"/>
      <c r="N10" s="48"/>
      <c r="O10" s="48"/>
    </row>
    <row r="12" spans="1:20">
      <c r="H12" s="75" t="s">
        <v>115</v>
      </c>
    </row>
    <row r="14" spans="1:20">
      <c r="H14" s="5">
        <v>0.1</v>
      </c>
      <c r="I14" s="5">
        <v>0.2</v>
      </c>
      <c r="J14" s="5">
        <v>0.3</v>
      </c>
      <c r="K14" s="5">
        <v>0.4</v>
      </c>
    </row>
    <row r="16" spans="1:20" ht="18">
      <c r="B16" s="38" t="s">
        <v>1170</v>
      </c>
    </row>
    <row r="18" spans="2:6">
      <c r="B18" s="75" t="str">
        <f>RAW_DATA_INPUTS!H128</f>
        <v xml:space="preserve">MALE PRIMARY Starting Stock figures </v>
      </c>
    </row>
    <row r="20" spans="2:6">
      <c r="B20" s="1241" t="str">
        <f>RAW_DATA_INPUTS!B131</f>
        <v>Age group</v>
      </c>
      <c r="C20" s="1292" t="s">
        <v>71</v>
      </c>
      <c r="D20" s="1292"/>
      <c r="E20" s="1292"/>
      <c r="F20" s="1292"/>
    </row>
    <row r="21" spans="2:6">
      <c r="B21" s="1242"/>
      <c r="C21" s="8" t="str">
        <f>RAW_DATA_INPUTS!C131</f>
        <v>2012/13</v>
      </c>
      <c r="D21" s="8" t="str">
        <f>RAW_DATA_INPUTS!D131</f>
        <v>2013/14</v>
      </c>
      <c r="E21" s="8" t="str">
        <f>RAW_DATA_INPUTS!E131</f>
        <v>2014/15</v>
      </c>
      <c r="F21" s="8" t="str">
        <f>RAW_DATA_INPUTS!F131</f>
        <v>2015/16</v>
      </c>
    </row>
    <row r="22" spans="2:6">
      <c r="B22" s="8" t="str">
        <f>RAW_DATA_INPUTS!B132</f>
        <v>20-24</v>
      </c>
      <c r="C22" s="300">
        <f>RAW_DATA_INPUTS!I132</f>
        <v>1520.6320000000001</v>
      </c>
      <c r="D22" s="300">
        <f>RAW_DATA_INPUTS!J132</f>
        <v>1750.7570000000001</v>
      </c>
      <c r="E22" s="300">
        <f>RAW_DATA_INPUTS!K132</f>
        <v>1985.549</v>
      </c>
      <c r="F22" s="300">
        <f>RAW_DATA_INPUTS!L132</f>
        <v>2202.6010000000001</v>
      </c>
    </row>
    <row r="23" spans="2:6">
      <c r="B23" s="8" t="str">
        <f>RAW_DATA_INPUTS!B133</f>
        <v>25-29</v>
      </c>
      <c r="C23" s="300">
        <f>RAW_DATA_INPUTS!I133</f>
        <v>4838.1310000000003</v>
      </c>
      <c r="D23" s="300">
        <f>RAW_DATA_INPUTS!J133</f>
        <v>5392.6440000000002</v>
      </c>
      <c r="E23" s="300">
        <f>RAW_DATA_INPUTS!K133</f>
        <v>6027.674</v>
      </c>
      <c r="F23" s="300">
        <f>RAW_DATA_INPUTS!L133</f>
        <v>6371.741</v>
      </c>
    </row>
    <row r="24" spans="2:6">
      <c r="B24" s="8" t="str">
        <f>RAW_DATA_INPUTS!B134</f>
        <v>30-34</v>
      </c>
      <c r="C24" s="300">
        <f>RAW_DATA_INPUTS!I134</f>
        <v>5134.1400000000003</v>
      </c>
      <c r="D24" s="300">
        <f>RAW_DATA_INPUTS!J134</f>
        <v>5449.6239999999998</v>
      </c>
      <c r="E24" s="300">
        <f>RAW_DATA_INPUTS!K134</f>
        <v>5632.1589999999997</v>
      </c>
      <c r="F24" s="300">
        <f>RAW_DATA_INPUTS!L134</f>
        <v>5887.6530000000002</v>
      </c>
    </row>
    <row r="25" spans="2:6">
      <c r="B25" s="8" t="str">
        <f>RAW_DATA_INPUTS!B135</f>
        <v>35-39</v>
      </c>
      <c r="C25" s="300">
        <f>RAW_DATA_INPUTS!I135</f>
        <v>4655.9409999999998</v>
      </c>
      <c r="D25" s="300">
        <f>RAW_DATA_INPUTS!J135</f>
        <v>4700.1790000000001</v>
      </c>
      <c r="E25" s="300">
        <f>RAW_DATA_INPUTS!K135</f>
        <v>4915.2269999999999</v>
      </c>
      <c r="F25" s="300">
        <f>RAW_DATA_INPUTS!L135</f>
        <v>5058.2569999999996</v>
      </c>
    </row>
    <row r="26" spans="2:6">
      <c r="B26" s="8" t="str">
        <f>RAW_DATA_INPUTS!B136</f>
        <v>40-44</v>
      </c>
      <c r="C26" s="300">
        <f>RAW_DATA_INPUTS!I136</f>
        <v>4193.6480000000001</v>
      </c>
      <c r="D26" s="300">
        <f>RAW_DATA_INPUTS!J136</f>
        <v>4411.1869999999999</v>
      </c>
      <c r="E26" s="300">
        <f>RAW_DATA_INPUTS!K136</f>
        <v>4576.1760000000004</v>
      </c>
      <c r="F26" s="300">
        <f>RAW_DATA_INPUTS!L136</f>
        <v>4720.2209999999995</v>
      </c>
    </row>
    <row r="27" spans="2:6">
      <c r="B27" s="8" t="str">
        <f>RAW_DATA_INPUTS!B137</f>
        <v>45-49</v>
      </c>
      <c r="C27" s="300">
        <f>RAW_DATA_INPUTS!I137</f>
        <v>3456.4459999999999</v>
      </c>
      <c r="D27" s="300">
        <f>RAW_DATA_INPUTS!J137</f>
        <v>3513.2620000000002</v>
      </c>
      <c r="E27" s="300">
        <f>RAW_DATA_INPUTS!K137</f>
        <v>3580.056</v>
      </c>
      <c r="F27" s="300">
        <f>RAW_DATA_INPUTS!L137</f>
        <v>3574.6309999999999</v>
      </c>
    </row>
    <row r="28" spans="2:6">
      <c r="B28" s="8" t="str">
        <f>RAW_DATA_INPUTS!B138</f>
        <v>50-54</v>
      </c>
      <c r="C28" s="300">
        <f>RAW_DATA_INPUTS!I138</f>
        <v>2466.4589999999998</v>
      </c>
      <c r="D28" s="300">
        <f>RAW_DATA_INPUTS!J138</f>
        <v>2520.5309999999999</v>
      </c>
      <c r="E28" s="300">
        <f>RAW_DATA_INPUTS!K138</f>
        <v>2616.971</v>
      </c>
      <c r="F28" s="300">
        <f>RAW_DATA_INPUTS!L138</f>
        <v>2819.6610000000001</v>
      </c>
    </row>
    <row r="29" spans="2:6">
      <c r="B29" s="8" t="str">
        <f>RAW_DATA_INPUTS!B139</f>
        <v>55-59</v>
      </c>
      <c r="C29" s="300">
        <f>RAW_DATA_INPUTS!I139</f>
        <v>2190.3180000000002</v>
      </c>
      <c r="D29" s="300">
        <f>RAW_DATA_INPUTS!J139</f>
        <v>1979.7349999999999</v>
      </c>
      <c r="E29" s="300">
        <f>RAW_DATA_INPUTS!K139</f>
        <v>1702.2940000000001</v>
      </c>
      <c r="F29" s="300">
        <f>RAW_DATA_INPUTS!L139</f>
        <v>1554.8320000000001</v>
      </c>
    </row>
    <row r="30" spans="2:6">
      <c r="B30" s="8" t="str">
        <f>RAW_DATA_INPUTS!B140</f>
        <v>60-64</v>
      </c>
      <c r="C30" s="300">
        <f>RAW_DATA_INPUTS!I140</f>
        <v>752.19299999999998</v>
      </c>
      <c r="D30" s="300">
        <f>RAW_DATA_INPUTS!J140</f>
        <v>707.94399999999996</v>
      </c>
      <c r="E30" s="300">
        <f>RAW_DATA_INPUTS!K140</f>
        <v>640.995</v>
      </c>
      <c r="F30" s="300">
        <f>RAW_DATA_INPUTS!L140</f>
        <v>577.15200000000004</v>
      </c>
    </row>
    <row r="31" spans="2:6">
      <c r="B31" s="8" t="str">
        <f>RAW_DATA_INPUTS!B141</f>
        <v>65 plus</v>
      </c>
      <c r="C31" s="300">
        <f>RAW_DATA_INPUTS!I141</f>
        <v>144.245</v>
      </c>
      <c r="D31" s="300">
        <f>RAW_DATA_INPUTS!J141</f>
        <v>147.08699999999999</v>
      </c>
      <c r="E31" s="300">
        <f>RAW_DATA_INPUTS!K141</f>
        <v>147.786</v>
      </c>
      <c r="F31" s="300">
        <f>RAW_DATA_INPUTS!L141</f>
        <v>155.78200000000001</v>
      </c>
    </row>
    <row r="32" spans="2:6">
      <c r="B32" s="8" t="str">
        <f>RAW_DATA_INPUTS!B142</f>
        <v>Total</v>
      </c>
      <c r="C32" s="300">
        <f>RAW_DATA_INPUTS!I142</f>
        <v>29352.152999999998</v>
      </c>
      <c r="D32" s="300">
        <f>RAW_DATA_INPUTS!J142</f>
        <v>30572.949999999993</v>
      </c>
      <c r="E32" s="300">
        <f>RAW_DATA_INPUTS!K142</f>
        <v>31824.887000000002</v>
      </c>
      <c r="F32" s="300">
        <f>RAW_DATA_INPUTS!L142</f>
        <v>32922.530999999995</v>
      </c>
    </row>
    <row r="33" spans="1:7">
      <c r="A33">
        <f>SUM(C33:F33)</f>
        <v>0</v>
      </c>
      <c r="C33">
        <f>SUM(C22:C31)-C32</f>
        <v>0</v>
      </c>
      <c r="D33">
        <f>SUM(D22:D31)-D32</f>
        <v>0</v>
      </c>
      <c r="E33">
        <f>SUM(E22:E31)-E32</f>
        <v>0</v>
      </c>
      <c r="F33">
        <f>SUM(F22:F31)-F32</f>
        <v>0</v>
      </c>
    </row>
    <row r="35" spans="1:7">
      <c r="B35" s="75" t="str">
        <f>RAW_DATA_INPUTS!H162</f>
        <v xml:space="preserve">FEMALE PRIMARY Starting Stock figures </v>
      </c>
    </row>
    <row r="37" spans="1:7">
      <c r="B37" s="1241" t="str">
        <f>RAW_DATA_INPUTS!B148</f>
        <v>Age group</v>
      </c>
      <c r="C37" s="1292" t="str">
        <f>C20</f>
        <v>Year</v>
      </c>
      <c r="D37" s="1292"/>
      <c r="E37" s="1292"/>
      <c r="F37" s="1292"/>
    </row>
    <row r="38" spans="1:7">
      <c r="B38" s="1242"/>
      <c r="C38" s="8" t="str">
        <f>C21</f>
        <v>2012/13</v>
      </c>
      <c r="D38" s="8" t="str">
        <f>D21</f>
        <v>2013/14</v>
      </c>
      <c r="E38" s="8" t="str">
        <f>E21</f>
        <v>2014/15</v>
      </c>
      <c r="F38" s="8" t="str">
        <f>F21</f>
        <v>2015/16</v>
      </c>
    </row>
    <row r="39" spans="1:7">
      <c r="B39" s="8" t="str">
        <f>RAW_DATA_INPUTS!B166</f>
        <v>20-24</v>
      </c>
      <c r="C39" s="300">
        <f>RAW_DATA_INPUTS!I166</f>
        <v>12592.982</v>
      </c>
      <c r="D39" s="300">
        <f>RAW_DATA_INPUTS!J166</f>
        <v>13760.672</v>
      </c>
      <c r="E39" s="300">
        <f>RAW_DATA_INPUTS!K166</f>
        <v>14963.962</v>
      </c>
      <c r="F39" s="300">
        <f>RAW_DATA_INPUTS!L166</f>
        <v>15880.837</v>
      </c>
      <c r="G39" s="5"/>
    </row>
    <row r="40" spans="1:7">
      <c r="B40" s="8" t="str">
        <f>RAW_DATA_INPUTS!B167</f>
        <v>25-29</v>
      </c>
      <c r="C40" s="300">
        <f>RAW_DATA_INPUTS!I167</f>
        <v>32280.429</v>
      </c>
      <c r="D40" s="300">
        <f>RAW_DATA_INPUTS!J167</f>
        <v>33866.099000000002</v>
      </c>
      <c r="E40" s="300">
        <f>RAW_DATA_INPUTS!K167</f>
        <v>35002.156000000003</v>
      </c>
      <c r="F40" s="300">
        <f>RAW_DATA_INPUTS!L167</f>
        <v>36084.021999999997</v>
      </c>
      <c r="G40" s="5"/>
    </row>
    <row r="41" spans="1:7">
      <c r="B41" s="8" t="str">
        <f>RAW_DATA_INPUTS!B168</f>
        <v>30-34</v>
      </c>
      <c r="C41" s="300">
        <f>RAW_DATA_INPUTS!I168</f>
        <v>32550.100999999999</v>
      </c>
      <c r="D41" s="300">
        <f>RAW_DATA_INPUTS!J168</f>
        <v>33001.625</v>
      </c>
      <c r="E41" s="300">
        <f>RAW_DATA_INPUTS!K168</f>
        <v>33276.052000000003</v>
      </c>
      <c r="F41" s="300">
        <f>RAW_DATA_INPUTS!L168</f>
        <v>33305.402999999998</v>
      </c>
      <c r="G41" s="5"/>
    </row>
    <row r="42" spans="1:7">
      <c r="B42" s="8" t="str">
        <f>RAW_DATA_INPUTS!B169</f>
        <v>35-39</v>
      </c>
      <c r="C42" s="300">
        <f>RAW_DATA_INPUTS!I169</f>
        <v>28328.204000000002</v>
      </c>
      <c r="D42" s="300">
        <f>RAW_DATA_INPUTS!J169</f>
        <v>28840.702000000001</v>
      </c>
      <c r="E42" s="300">
        <f>RAW_DATA_INPUTS!K169</f>
        <v>29761.575000000001</v>
      </c>
      <c r="F42" s="300">
        <f>RAW_DATA_INPUTS!L169</f>
        <v>30394.802</v>
      </c>
      <c r="G42" s="5"/>
    </row>
    <row r="43" spans="1:7">
      <c r="B43" s="8" t="str">
        <f>RAW_DATA_INPUTS!B170</f>
        <v>40-44</v>
      </c>
      <c r="C43" s="300">
        <f>RAW_DATA_INPUTS!I170</f>
        <v>25380.601999999999</v>
      </c>
      <c r="D43" s="300">
        <f>RAW_DATA_INPUTS!J170</f>
        <v>26799.722000000002</v>
      </c>
      <c r="E43" s="300">
        <f>RAW_DATA_INPUTS!K170</f>
        <v>28073.974999999999</v>
      </c>
      <c r="F43" s="300">
        <f>RAW_DATA_INPUTS!L170</f>
        <v>28763.323</v>
      </c>
      <c r="G43" s="5"/>
    </row>
    <row r="44" spans="1:7">
      <c r="B44" s="8" t="str">
        <f>RAW_DATA_INPUTS!B171</f>
        <v>45-49</v>
      </c>
      <c r="C44" s="300">
        <f>RAW_DATA_INPUTS!I171</f>
        <v>23192.953000000001</v>
      </c>
      <c r="D44" s="300">
        <f>RAW_DATA_INPUTS!J171</f>
        <v>23727.492999999999</v>
      </c>
      <c r="E44" s="300">
        <f>RAW_DATA_INPUTS!K171</f>
        <v>24125.978999999999</v>
      </c>
      <c r="F44" s="300">
        <f>RAW_DATA_INPUTS!L171</f>
        <v>24098.191999999999</v>
      </c>
      <c r="G44" s="5"/>
    </row>
    <row r="45" spans="1:7">
      <c r="B45" s="8" t="str">
        <f>RAW_DATA_INPUTS!B172</f>
        <v>50-54</v>
      </c>
      <c r="C45" s="300">
        <f>RAW_DATA_INPUTS!I172</f>
        <v>18361.562999999998</v>
      </c>
      <c r="D45" s="300">
        <f>RAW_DATA_INPUTS!J172</f>
        <v>18123.674999999999</v>
      </c>
      <c r="E45" s="300">
        <f>RAW_DATA_INPUTS!K172</f>
        <v>18577.827000000001</v>
      </c>
      <c r="F45" s="300">
        <f>RAW_DATA_INPUTS!L172</f>
        <v>19247.541000000001</v>
      </c>
      <c r="G45" s="5"/>
    </row>
    <row r="46" spans="1:7">
      <c r="B46" s="8" t="str">
        <f>RAW_DATA_INPUTS!B173</f>
        <v>55-59</v>
      </c>
      <c r="C46" s="300">
        <f>RAW_DATA_INPUTS!I173</f>
        <v>17576.541000000001</v>
      </c>
      <c r="D46" s="300">
        <f>RAW_DATA_INPUTS!J173</f>
        <v>16142.142</v>
      </c>
      <c r="E46" s="300">
        <f>RAW_DATA_INPUTS!K173</f>
        <v>14393.888000000001</v>
      </c>
      <c r="F46" s="300">
        <f>RAW_DATA_INPUTS!L173</f>
        <v>13074.165999999999</v>
      </c>
      <c r="G46" s="5"/>
    </row>
    <row r="47" spans="1:7">
      <c r="B47" s="8" t="str">
        <f>RAW_DATA_INPUTS!B174</f>
        <v>60-64</v>
      </c>
      <c r="C47" s="300">
        <f>RAW_DATA_INPUTS!I174</f>
        <v>4905.2269999999999</v>
      </c>
      <c r="D47" s="300">
        <f>RAW_DATA_INPUTS!J174</f>
        <v>4923.1350000000002</v>
      </c>
      <c r="E47" s="300">
        <f>RAW_DATA_INPUTS!K174</f>
        <v>4881.8760000000002</v>
      </c>
      <c r="F47" s="300">
        <f>RAW_DATA_INPUTS!L174</f>
        <v>4727.3320000000003</v>
      </c>
      <c r="G47" s="5"/>
    </row>
    <row r="48" spans="1:7">
      <c r="B48" s="8" t="str">
        <f>RAW_DATA_INPUTS!B175</f>
        <v>65 plus</v>
      </c>
      <c r="C48" s="300">
        <f>RAW_DATA_INPUTS!I175</f>
        <v>722.08799999999997</v>
      </c>
      <c r="D48" s="300">
        <f>RAW_DATA_INPUTS!J175</f>
        <v>748.69500000000005</v>
      </c>
      <c r="E48" s="300">
        <f>RAW_DATA_INPUTS!K175</f>
        <v>787.31799999999998</v>
      </c>
      <c r="F48" s="300">
        <f>RAW_DATA_INPUTS!L175</f>
        <v>836.12</v>
      </c>
      <c r="G48" s="5"/>
    </row>
    <row r="49" spans="1:7">
      <c r="B49" s="8" t="str">
        <f>RAW_DATA_INPUTS!B176</f>
        <v>Total</v>
      </c>
      <c r="C49" s="300">
        <f>RAW_DATA_INPUTS!I176</f>
        <v>195890.69</v>
      </c>
      <c r="D49" s="300">
        <f>RAW_DATA_INPUTS!J176</f>
        <v>199933.96</v>
      </c>
      <c r="E49" s="300">
        <f>RAW_DATA_INPUTS!K176</f>
        <v>203844.60799999998</v>
      </c>
      <c r="F49" s="300">
        <f>RAW_DATA_INPUTS!L176</f>
        <v>206411.73799999998</v>
      </c>
      <c r="G49" s="5"/>
    </row>
    <row r="50" spans="1:7">
      <c r="A50">
        <f>SUM(C50:F50)</f>
        <v>0</v>
      </c>
      <c r="C50">
        <f>SUM(C39:C48)-C49</f>
        <v>0</v>
      </c>
      <c r="D50">
        <f>SUM(D39:D48)-D49</f>
        <v>0</v>
      </c>
      <c r="E50">
        <f>SUM(E39:E48)-E49</f>
        <v>0</v>
      </c>
      <c r="F50">
        <f>SUM(F39:F48)-F49</f>
        <v>0</v>
      </c>
    </row>
    <row r="52" spans="1:7" ht="18">
      <c r="B52" s="38" t="s">
        <v>517</v>
      </c>
    </row>
    <row r="54" spans="1:7">
      <c r="B54" s="75" t="s">
        <v>519</v>
      </c>
    </row>
    <row r="56" spans="1:7">
      <c r="B56" s="1241" t="str">
        <f>B37</f>
        <v>Age group</v>
      </c>
      <c r="C56" s="1292" t="str">
        <f>C37</f>
        <v>Year</v>
      </c>
      <c r="D56" s="1292"/>
      <c r="E56" s="1292"/>
      <c r="F56" s="1292"/>
    </row>
    <row r="57" spans="1:7">
      <c r="B57" s="1242"/>
      <c r="C57" s="8" t="str">
        <f>C91</f>
        <v>2012/13</v>
      </c>
      <c r="D57" s="8" t="str">
        <f>D91</f>
        <v>2013/14</v>
      </c>
      <c r="E57" s="8" t="str">
        <f>E91</f>
        <v>2014/15</v>
      </c>
      <c r="F57" s="8" t="str">
        <f>F91</f>
        <v>2015/16</v>
      </c>
    </row>
    <row r="58" spans="1:7">
      <c r="B58" s="8" t="str">
        <f t="shared" ref="B58:B68" si="0">B39</f>
        <v>20-24</v>
      </c>
      <c r="C58" s="409">
        <f>RAW_DATA_INPUTS!I268</f>
        <v>0</v>
      </c>
      <c r="D58" s="409">
        <f>RAW_DATA_INPUTS!J268</f>
        <v>0</v>
      </c>
      <c r="E58" s="409">
        <f>RAW_DATA_INPUTS!K268</f>
        <v>0</v>
      </c>
      <c r="F58" s="409">
        <f>RAW_DATA_INPUTS!L268</f>
        <v>0</v>
      </c>
    </row>
    <row r="59" spans="1:7">
      <c r="B59" s="8" t="str">
        <f t="shared" si="0"/>
        <v>25-29</v>
      </c>
      <c r="C59" s="409">
        <f>RAW_DATA_INPUTS!I269</f>
        <v>0</v>
      </c>
      <c r="D59" s="409">
        <f>RAW_DATA_INPUTS!J269</f>
        <v>0</v>
      </c>
      <c r="E59" s="409">
        <f>RAW_DATA_INPUTS!K269</f>
        <v>0</v>
      </c>
      <c r="F59" s="409">
        <f>RAW_DATA_INPUTS!L269</f>
        <v>0</v>
      </c>
    </row>
    <row r="60" spans="1:7">
      <c r="B60" s="8" t="str">
        <f t="shared" si="0"/>
        <v>30-34</v>
      </c>
      <c r="C60" s="409">
        <f>RAW_DATA_INPUTS!I270</f>
        <v>0</v>
      </c>
      <c r="D60" s="409">
        <f>RAW_DATA_INPUTS!J270</f>
        <v>0</v>
      </c>
      <c r="E60" s="409">
        <f>RAW_DATA_INPUTS!K270</f>
        <v>0</v>
      </c>
      <c r="F60" s="409">
        <f>RAW_DATA_INPUTS!L270</f>
        <v>0</v>
      </c>
    </row>
    <row r="61" spans="1:7">
      <c r="B61" s="8" t="str">
        <f t="shared" si="0"/>
        <v>35-39</v>
      </c>
      <c r="C61" s="409">
        <f>RAW_DATA_INPUTS!I271</f>
        <v>0</v>
      </c>
      <c r="D61" s="409">
        <f>RAW_DATA_INPUTS!J271</f>
        <v>0</v>
      </c>
      <c r="E61" s="409">
        <f>RAW_DATA_INPUTS!K271</f>
        <v>0</v>
      </c>
      <c r="F61" s="409">
        <f>RAW_DATA_INPUTS!L271</f>
        <v>6.9420000000000002</v>
      </c>
    </row>
    <row r="62" spans="1:7">
      <c r="B62" s="8" t="str">
        <f t="shared" si="0"/>
        <v>40-44</v>
      </c>
      <c r="C62" s="409">
        <f>RAW_DATA_INPUTS!I272</f>
        <v>0</v>
      </c>
      <c r="D62" s="409">
        <f>RAW_DATA_INPUTS!J272</f>
        <v>8.3419999999999987</v>
      </c>
      <c r="E62" s="409">
        <f>RAW_DATA_INPUTS!K272</f>
        <v>0</v>
      </c>
      <c r="F62" s="409">
        <f>RAW_DATA_INPUTS!L272</f>
        <v>0</v>
      </c>
    </row>
    <row r="63" spans="1:7">
      <c r="B63" s="8" t="str">
        <f t="shared" si="0"/>
        <v>45-49</v>
      </c>
      <c r="C63" s="409">
        <f>RAW_DATA_INPUTS!I273</f>
        <v>11.382</v>
      </c>
      <c r="D63" s="409">
        <f>RAW_DATA_INPUTS!J273</f>
        <v>5.8470000000000004</v>
      </c>
      <c r="E63" s="409">
        <f>RAW_DATA_INPUTS!K273</f>
        <v>11.471</v>
      </c>
      <c r="F63" s="409">
        <f>RAW_DATA_INPUTS!L273</f>
        <v>0</v>
      </c>
    </row>
    <row r="64" spans="1:7">
      <c r="B64" s="8" t="str">
        <f t="shared" si="0"/>
        <v>50-54</v>
      </c>
      <c r="C64" s="409">
        <f>RAW_DATA_INPUTS!I274</f>
        <v>0</v>
      </c>
      <c r="D64" s="409">
        <f>RAW_DATA_INPUTS!J274</f>
        <v>0</v>
      </c>
      <c r="E64" s="409">
        <f>RAW_DATA_INPUTS!K274</f>
        <v>6.7750000000000004</v>
      </c>
      <c r="F64" s="409">
        <f>RAW_DATA_INPUTS!L274</f>
        <v>6.7230000000000008</v>
      </c>
    </row>
    <row r="65" spans="1:6">
      <c r="B65" s="8" t="str">
        <f t="shared" si="0"/>
        <v>55-59</v>
      </c>
      <c r="C65" s="409">
        <f>RAW_DATA_INPUTS!I275</f>
        <v>0</v>
      </c>
      <c r="D65" s="409">
        <f>RAW_DATA_INPUTS!J275</f>
        <v>5.798</v>
      </c>
      <c r="E65" s="409">
        <f>RAW_DATA_INPUTS!K275</f>
        <v>5.5880000000000001</v>
      </c>
      <c r="F65" s="409">
        <f>RAW_DATA_INPUTS!L275</f>
        <v>6.83</v>
      </c>
    </row>
    <row r="66" spans="1:6">
      <c r="B66" s="8" t="str">
        <f t="shared" si="0"/>
        <v>60-64</v>
      </c>
      <c r="C66" s="409">
        <f>RAW_DATA_INPUTS!I276</f>
        <v>6.9619999999999997</v>
      </c>
      <c r="D66" s="409">
        <f>RAW_DATA_INPUTS!J276</f>
        <v>5.6230000000000002</v>
      </c>
      <c r="E66" s="409">
        <f>RAW_DATA_INPUTS!K276</f>
        <v>0</v>
      </c>
      <c r="F66" s="409">
        <f>RAW_DATA_INPUTS!L276</f>
        <v>0</v>
      </c>
    </row>
    <row r="67" spans="1:6">
      <c r="B67" s="8" t="str">
        <f t="shared" si="0"/>
        <v>65 plus</v>
      </c>
      <c r="C67" s="409">
        <f>RAW_DATA_INPUTS!I277</f>
        <v>0</v>
      </c>
      <c r="D67" s="409">
        <f>RAW_DATA_INPUTS!J277</f>
        <v>5.4980000000000002</v>
      </c>
      <c r="E67" s="409">
        <f>RAW_DATA_INPUTS!K277</f>
        <v>0</v>
      </c>
      <c r="F67" s="409">
        <f>RAW_DATA_INPUTS!L277</f>
        <v>0</v>
      </c>
    </row>
    <row r="68" spans="1:6">
      <c r="B68" s="8" t="str">
        <f t="shared" si="0"/>
        <v>Total</v>
      </c>
      <c r="C68" s="409">
        <f>RAW_DATA_INPUTS!I278</f>
        <v>18.344000000000001</v>
      </c>
      <c r="D68" s="409">
        <f>RAW_DATA_INPUTS!J278</f>
        <v>31.108000000000004</v>
      </c>
      <c r="E68" s="409">
        <f>RAW_DATA_INPUTS!K278</f>
        <v>23.834000000000003</v>
      </c>
      <c r="F68" s="409">
        <f>RAW_DATA_INPUTS!L278</f>
        <v>20.494999999999997</v>
      </c>
    </row>
    <row r="69" spans="1:6">
      <c r="A69">
        <f>SUM(C69:F69)</f>
        <v>0</v>
      </c>
      <c r="C69">
        <f>SUM(C58:C67)-C68</f>
        <v>0</v>
      </c>
      <c r="D69">
        <f>SUM(D58:D67)-D68</f>
        <v>0</v>
      </c>
      <c r="E69">
        <f>SUM(E58:E67)-E68</f>
        <v>0</v>
      </c>
      <c r="F69">
        <f>SUM(F58:F67)-F68</f>
        <v>0</v>
      </c>
    </row>
    <row r="71" spans="1:6">
      <c r="B71" s="75" t="s">
        <v>518</v>
      </c>
    </row>
    <row r="73" spans="1:6">
      <c r="B73" s="1241" t="str">
        <f>B56</f>
        <v>Age group</v>
      </c>
      <c r="C73" s="1292" t="str">
        <f>C56</f>
        <v>Year</v>
      </c>
      <c r="D73" s="1292"/>
      <c r="E73" s="1292"/>
      <c r="F73" s="1292"/>
    </row>
    <row r="74" spans="1:6">
      <c r="B74" s="1242"/>
      <c r="C74" s="8" t="str">
        <f>C57</f>
        <v>2012/13</v>
      </c>
      <c r="D74" s="8" t="str">
        <f>D57</f>
        <v>2013/14</v>
      </c>
      <c r="E74" s="8" t="str">
        <f>E57</f>
        <v>2014/15</v>
      </c>
      <c r="F74" s="8" t="str">
        <f>F57</f>
        <v>2015/16</v>
      </c>
    </row>
    <row r="75" spans="1:6">
      <c r="B75" s="8" t="str">
        <f t="shared" ref="B75:B85" si="1">B58</f>
        <v>20-24</v>
      </c>
      <c r="C75" s="409">
        <f>RAW_DATA_INPUTS!I285</f>
        <v>0</v>
      </c>
      <c r="D75" s="409">
        <f>RAW_DATA_INPUTS!J285</f>
        <v>0</v>
      </c>
      <c r="E75" s="409">
        <f>RAW_DATA_INPUTS!K285</f>
        <v>0</v>
      </c>
      <c r="F75" s="409">
        <f>RAW_DATA_INPUTS!L285</f>
        <v>0</v>
      </c>
    </row>
    <row r="76" spans="1:6">
      <c r="B76" s="8" t="str">
        <f t="shared" si="1"/>
        <v>25-29</v>
      </c>
      <c r="C76" s="409">
        <f>RAW_DATA_INPUTS!I286</f>
        <v>5.5529999999999999</v>
      </c>
      <c r="D76" s="409">
        <f>RAW_DATA_INPUTS!J286</f>
        <v>5.0470000000000006</v>
      </c>
      <c r="E76" s="409">
        <f>RAW_DATA_INPUTS!K286</f>
        <v>0</v>
      </c>
      <c r="F76" s="409">
        <f>RAW_DATA_INPUTS!L286</f>
        <v>0</v>
      </c>
    </row>
    <row r="77" spans="1:6">
      <c r="B77" s="8" t="str">
        <f t="shared" si="1"/>
        <v>30-34</v>
      </c>
      <c r="C77" s="409">
        <f>RAW_DATA_INPUTS!I287</f>
        <v>12.63</v>
      </c>
      <c r="D77" s="409">
        <f>RAW_DATA_INPUTS!J287</f>
        <v>5.2169999999999996</v>
      </c>
      <c r="E77" s="409">
        <f>RAW_DATA_INPUTS!K287</f>
        <v>9.2169999999999987</v>
      </c>
      <c r="F77" s="409">
        <f>RAW_DATA_INPUTS!L287</f>
        <v>7.8100000000000005</v>
      </c>
    </row>
    <row r="78" spans="1:6">
      <c r="B78" s="8" t="str">
        <f t="shared" si="1"/>
        <v>35-39</v>
      </c>
      <c r="C78" s="409">
        <f>RAW_DATA_INPUTS!I288</f>
        <v>10.366</v>
      </c>
      <c r="D78" s="409">
        <f>RAW_DATA_INPUTS!J288</f>
        <v>8.0229999999999997</v>
      </c>
      <c r="E78" s="409">
        <f>RAW_DATA_INPUTS!K288</f>
        <v>14.741</v>
      </c>
      <c r="F78" s="409">
        <f>RAW_DATA_INPUTS!L288</f>
        <v>10.063000000000001</v>
      </c>
    </row>
    <row r="79" spans="1:6">
      <c r="B79" s="8" t="str">
        <f t="shared" si="1"/>
        <v>40-44</v>
      </c>
      <c r="C79" s="409">
        <f>RAW_DATA_INPUTS!I289</f>
        <v>19.411000000000001</v>
      </c>
      <c r="D79" s="409">
        <f>RAW_DATA_INPUTS!J289</f>
        <v>11.420999999999999</v>
      </c>
      <c r="E79" s="409">
        <f>RAW_DATA_INPUTS!K289</f>
        <v>13.689</v>
      </c>
      <c r="F79" s="409">
        <f>RAW_DATA_INPUTS!L289</f>
        <v>9.0830000000000002</v>
      </c>
    </row>
    <row r="80" spans="1:6">
      <c r="B80" s="8" t="str">
        <f t="shared" si="1"/>
        <v>45-49</v>
      </c>
      <c r="C80" s="409">
        <f>RAW_DATA_INPUTS!I290</f>
        <v>26.097000000000001</v>
      </c>
      <c r="D80" s="409">
        <f>RAW_DATA_INPUTS!J290</f>
        <v>19.478999999999999</v>
      </c>
      <c r="E80" s="409">
        <f>RAW_DATA_INPUTS!K290</f>
        <v>30.922999999999998</v>
      </c>
      <c r="F80" s="409">
        <f>RAW_DATA_INPUTS!L290</f>
        <v>11.611000000000001</v>
      </c>
    </row>
    <row r="81" spans="1:6">
      <c r="B81" s="8" t="str">
        <f t="shared" si="1"/>
        <v>50-54</v>
      </c>
      <c r="C81" s="409">
        <f>RAW_DATA_INPUTS!I291</f>
        <v>24.971</v>
      </c>
      <c r="D81" s="409">
        <f>RAW_DATA_INPUTS!J291</f>
        <v>14.888999999999999</v>
      </c>
      <c r="E81" s="409">
        <f>RAW_DATA_INPUTS!K291</f>
        <v>32.912999999999997</v>
      </c>
      <c r="F81" s="409">
        <f>RAW_DATA_INPUTS!L291</f>
        <v>16.928000000000001</v>
      </c>
    </row>
    <row r="82" spans="1:6">
      <c r="B82" s="8" t="str">
        <f t="shared" si="1"/>
        <v>55-59</v>
      </c>
      <c r="C82" s="409">
        <f>RAW_DATA_INPUTS!I292</f>
        <v>23.058</v>
      </c>
      <c r="D82" s="409">
        <f>RAW_DATA_INPUTS!J292</f>
        <v>17.614000000000001</v>
      </c>
      <c r="E82" s="409">
        <f>RAW_DATA_INPUTS!K292</f>
        <v>32.338000000000001</v>
      </c>
      <c r="F82" s="409">
        <f>RAW_DATA_INPUTS!L292</f>
        <v>15.861000000000001</v>
      </c>
    </row>
    <row r="83" spans="1:6">
      <c r="B83" s="8" t="str">
        <f t="shared" si="1"/>
        <v>60-64</v>
      </c>
      <c r="C83" s="409">
        <f>RAW_DATA_INPUTS!I293</f>
        <v>6.766</v>
      </c>
      <c r="D83" s="409">
        <f>RAW_DATA_INPUTS!J293</f>
        <v>6.8580000000000005</v>
      </c>
      <c r="E83" s="409">
        <f>RAW_DATA_INPUTS!K293</f>
        <v>0</v>
      </c>
      <c r="F83" s="409">
        <f>RAW_DATA_INPUTS!L293</f>
        <v>0</v>
      </c>
    </row>
    <row r="84" spans="1:6">
      <c r="B84" s="8" t="str">
        <f t="shared" si="1"/>
        <v>65 plus</v>
      </c>
      <c r="C84" s="409">
        <f>RAW_DATA_INPUTS!I294</f>
        <v>0</v>
      </c>
      <c r="D84" s="409">
        <f>RAW_DATA_INPUTS!J294</f>
        <v>0</v>
      </c>
      <c r="E84" s="409">
        <f>RAW_DATA_INPUTS!K294</f>
        <v>5.7249999999999996</v>
      </c>
      <c r="F84" s="409">
        <f>RAW_DATA_INPUTS!L294</f>
        <v>6.7130000000000001</v>
      </c>
    </row>
    <row r="85" spans="1:6">
      <c r="B85" s="8" t="str">
        <f t="shared" si="1"/>
        <v>Total</v>
      </c>
      <c r="C85" s="409">
        <f>RAW_DATA_INPUTS!I295</f>
        <v>128.852</v>
      </c>
      <c r="D85" s="409">
        <f>RAW_DATA_INPUTS!J295</f>
        <v>88.547999999999988</v>
      </c>
      <c r="E85" s="409">
        <f>RAW_DATA_INPUTS!K295</f>
        <v>139.54600000000002</v>
      </c>
      <c r="F85" s="409">
        <f>RAW_DATA_INPUTS!L295</f>
        <v>78.069000000000003</v>
      </c>
    </row>
    <row r="86" spans="1:6">
      <c r="A86">
        <f>SUM(C86:F86)</f>
        <v>0</v>
      </c>
      <c r="C86">
        <f>SUM(C75:C84)-C85</f>
        <v>0</v>
      </c>
      <c r="D86">
        <f>SUM(D75:D84)-D85</f>
        <v>0</v>
      </c>
      <c r="E86">
        <f>SUM(E75:E84)-E85</f>
        <v>0</v>
      </c>
      <c r="F86">
        <f>SUM(F75:F84)-F85</f>
        <v>0</v>
      </c>
    </row>
    <row r="88" spans="1:6">
      <c r="B88" s="75" t="s">
        <v>520</v>
      </c>
    </row>
    <row r="90" spans="1:6">
      <c r="B90" s="1205" t="str">
        <f>B73</f>
        <v>Age group</v>
      </c>
      <c r="C90" s="1292" t="str">
        <f>C73</f>
        <v>Year</v>
      </c>
      <c r="D90" s="1292"/>
      <c r="E90" s="1292"/>
      <c r="F90" s="1292"/>
    </row>
    <row r="91" spans="1:6">
      <c r="B91" s="1205"/>
      <c r="C91" s="8" t="str">
        <f>Calc_SEC_retirement_rates!C57</f>
        <v>2012/13</v>
      </c>
      <c r="D91" s="8" t="str">
        <f>Calc_SEC_retirement_rates!D57</f>
        <v>2013/14</v>
      </c>
      <c r="E91" s="8" t="str">
        <f>Calc_SEC_retirement_rates!E57</f>
        <v>2014/15</v>
      </c>
      <c r="F91" s="8" t="str">
        <f>Calc_SEC_retirement_rates!F57</f>
        <v>2015/16</v>
      </c>
    </row>
    <row r="92" spans="1:6">
      <c r="B92" s="8" t="str">
        <f t="shared" ref="B92:B102" si="2">B75</f>
        <v>20-24</v>
      </c>
      <c r="C92" s="160">
        <f t="shared" ref="C92:F102" si="3">C58/C22</f>
        <v>0</v>
      </c>
      <c r="D92" s="160">
        <f t="shared" si="3"/>
        <v>0</v>
      </c>
      <c r="E92" s="160">
        <f t="shared" si="3"/>
        <v>0</v>
      </c>
      <c r="F92" s="160">
        <f t="shared" si="3"/>
        <v>0</v>
      </c>
    </row>
    <row r="93" spans="1:6">
      <c r="B93" s="8" t="str">
        <f t="shared" si="2"/>
        <v>25-29</v>
      </c>
      <c r="C93" s="160">
        <f t="shared" si="3"/>
        <v>0</v>
      </c>
      <c r="D93" s="160">
        <f t="shared" si="3"/>
        <v>0</v>
      </c>
      <c r="E93" s="160">
        <f t="shared" si="3"/>
        <v>0</v>
      </c>
      <c r="F93" s="160">
        <f t="shared" si="3"/>
        <v>0</v>
      </c>
    </row>
    <row r="94" spans="1:6">
      <c r="B94" s="8" t="str">
        <f t="shared" si="2"/>
        <v>30-34</v>
      </c>
      <c r="C94" s="160">
        <f t="shared" si="3"/>
        <v>0</v>
      </c>
      <c r="D94" s="160">
        <f t="shared" si="3"/>
        <v>0</v>
      </c>
      <c r="E94" s="160">
        <f t="shared" si="3"/>
        <v>0</v>
      </c>
      <c r="F94" s="160">
        <f t="shared" si="3"/>
        <v>0</v>
      </c>
    </row>
    <row r="95" spans="1:6">
      <c r="B95" s="8" t="str">
        <f t="shared" si="2"/>
        <v>35-39</v>
      </c>
      <c r="C95" s="160">
        <f t="shared" si="3"/>
        <v>0</v>
      </c>
      <c r="D95" s="160">
        <f t="shared" si="3"/>
        <v>0</v>
      </c>
      <c r="E95" s="160">
        <f t="shared" si="3"/>
        <v>0</v>
      </c>
      <c r="F95" s="160">
        <f t="shared" si="3"/>
        <v>1.3724095078601188E-3</v>
      </c>
    </row>
    <row r="96" spans="1:6">
      <c r="B96" s="8" t="str">
        <f t="shared" si="2"/>
        <v>40-44</v>
      </c>
      <c r="C96" s="160">
        <f t="shared" si="3"/>
        <v>0</v>
      </c>
      <c r="D96" s="160">
        <f t="shared" si="3"/>
        <v>1.8911009667012526E-3</v>
      </c>
      <c r="E96" s="160">
        <f t="shared" si="3"/>
        <v>0</v>
      </c>
      <c r="F96" s="160">
        <f t="shared" si="3"/>
        <v>0</v>
      </c>
    </row>
    <row r="97" spans="2:7">
      <c r="B97" s="8" t="str">
        <f t="shared" si="2"/>
        <v>45-49</v>
      </c>
      <c r="C97" s="160">
        <f t="shared" si="3"/>
        <v>3.2929778159415768E-3</v>
      </c>
      <c r="D97" s="160">
        <f t="shared" si="3"/>
        <v>1.6642652896368105E-3</v>
      </c>
      <c r="E97" s="160">
        <f t="shared" si="3"/>
        <v>3.2041398235111407E-3</v>
      </c>
      <c r="F97" s="160">
        <f t="shared" si="3"/>
        <v>0</v>
      </c>
    </row>
    <row r="98" spans="2:7">
      <c r="B98" s="8" t="str">
        <f t="shared" si="2"/>
        <v>50-54</v>
      </c>
      <c r="C98" s="160">
        <f t="shared" si="3"/>
        <v>0</v>
      </c>
      <c r="D98" s="160">
        <f t="shared" si="3"/>
        <v>0</v>
      </c>
      <c r="E98" s="160">
        <f t="shared" si="3"/>
        <v>2.5888708739989861E-3</v>
      </c>
      <c r="F98" s="160">
        <f t="shared" si="3"/>
        <v>2.3843291799971701E-3</v>
      </c>
    </row>
    <row r="99" spans="2:7">
      <c r="B99" s="8" t="str">
        <f t="shared" si="2"/>
        <v>55-59</v>
      </c>
      <c r="C99" s="160">
        <f t="shared" si="3"/>
        <v>0</v>
      </c>
      <c r="D99" s="160">
        <f t="shared" si="3"/>
        <v>2.9286747973844987E-3</v>
      </c>
      <c r="E99" s="160">
        <f t="shared" si="3"/>
        <v>3.2826292050609353E-3</v>
      </c>
      <c r="F99" s="160">
        <f t="shared" si="3"/>
        <v>4.3927575455097395E-3</v>
      </c>
    </row>
    <row r="100" spans="2:7">
      <c r="B100" s="8" t="str">
        <f t="shared" si="2"/>
        <v>60-64</v>
      </c>
      <c r="C100" s="160">
        <f t="shared" si="3"/>
        <v>9.2556032826681452E-3</v>
      </c>
      <c r="D100" s="160">
        <f t="shared" si="3"/>
        <v>7.9427186331122238E-3</v>
      </c>
      <c r="E100" s="160">
        <f t="shared" si="3"/>
        <v>0</v>
      </c>
      <c r="F100" s="160">
        <f t="shared" si="3"/>
        <v>0</v>
      </c>
    </row>
    <row r="101" spans="2:7">
      <c r="B101" s="8" t="str">
        <f t="shared" si="2"/>
        <v>65 plus</v>
      </c>
      <c r="C101" s="160">
        <f t="shared" si="3"/>
        <v>0</v>
      </c>
      <c r="D101" s="160">
        <f t="shared" si="3"/>
        <v>3.7379238137972767E-2</v>
      </c>
      <c r="E101" s="160">
        <f t="shared" si="3"/>
        <v>0</v>
      </c>
      <c r="F101" s="160">
        <f t="shared" si="3"/>
        <v>0</v>
      </c>
    </row>
    <row r="102" spans="2:7">
      <c r="B102" s="8" t="str">
        <f t="shared" si="2"/>
        <v>Total</v>
      </c>
      <c r="C102" s="160">
        <f t="shared" si="3"/>
        <v>6.2496267309590547E-4</v>
      </c>
      <c r="D102" s="160">
        <f t="shared" si="3"/>
        <v>1.0175007645647546E-3</v>
      </c>
      <c r="E102" s="160">
        <f t="shared" si="3"/>
        <v>7.489107502565524E-4</v>
      </c>
      <c r="F102" s="160">
        <f t="shared" si="3"/>
        <v>6.2252200476324256E-4</v>
      </c>
    </row>
    <row r="104" spans="2:7">
      <c r="B104" s="75" t="s">
        <v>521</v>
      </c>
    </row>
    <row r="106" spans="2:7">
      <c r="B106" s="1205" t="str">
        <f>B90</f>
        <v>Age group</v>
      </c>
      <c r="C106" s="1292" t="str">
        <f>C90</f>
        <v>Year</v>
      </c>
      <c r="D106" s="1292"/>
      <c r="E106" s="1292"/>
      <c r="F106" s="1292"/>
    </row>
    <row r="107" spans="2:7">
      <c r="B107" s="1205"/>
      <c r="C107" s="8" t="str">
        <f>C91</f>
        <v>2012/13</v>
      </c>
      <c r="D107" s="8" t="str">
        <f>D91</f>
        <v>2013/14</v>
      </c>
      <c r="E107" s="8" t="str">
        <f>E91</f>
        <v>2014/15</v>
      </c>
      <c r="F107" s="8" t="str">
        <f>F91</f>
        <v>2015/16</v>
      </c>
    </row>
    <row r="108" spans="2:7">
      <c r="B108" s="8" t="str">
        <f>B92</f>
        <v>20-24</v>
      </c>
      <c r="C108" s="160">
        <f t="shared" ref="C108:F118" si="4">C75/C39</f>
        <v>0</v>
      </c>
      <c r="D108" s="160">
        <f t="shared" si="4"/>
        <v>0</v>
      </c>
      <c r="E108" s="160">
        <f t="shared" si="4"/>
        <v>0</v>
      </c>
      <c r="F108" s="160">
        <f t="shared" si="4"/>
        <v>0</v>
      </c>
      <c r="G108" s="5"/>
    </row>
    <row r="109" spans="2:7">
      <c r="B109" s="8" t="str">
        <f t="shared" ref="B109:B118" si="5">B93</f>
        <v>25-29</v>
      </c>
      <c r="C109" s="160">
        <f t="shared" si="4"/>
        <v>1.7202373611577466E-4</v>
      </c>
      <c r="D109" s="160">
        <f t="shared" si="4"/>
        <v>1.490280885318383E-4</v>
      </c>
      <c r="E109" s="160">
        <f t="shared" si="4"/>
        <v>0</v>
      </c>
      <c r="F109" s="160">
        <f t="shared" si="4"/>
        <v>0</v>
      </c>
      <c r="G109" s="5"/>
    </row>
    <row r="110" spans="2:7">
      <c r="B110" s="8" t="str">
        <f t="shared" si="5"/>
        <v>30-34</v>
      </c>
      <c r="C110" s="160">
        <f t="shared" si="4"/>
        <v>3.8801722919385107E-4</v>
      </c>
      <c r="D110" s="160">
        <f t="shared" si="4"/>
        <v>1.5808312469461729E-4</v>
      </c>
      <c r="E110" s="160">
        <f t="shared" si="4"/>
        <v>2.7698598379399087E-4</v>
      </c>
      <c r="F110" s="160">
        <f t="shared" si="4"/>
        <v>2.3449648695138145E-4</v>
      </c>
      <c r="G110" s="5"/>
    </row>
    <row r="111" spans="2:7">
      <c r="B111" s="8" t="str">
        <f t="shared" si="5"/>
        <v>35-39</v>
      </c>
      <c r="C111" s="160">
        <f t="shared" si="4"/>
        <v>3.6592506888188177E-4</v>
      </c>
      <c r="D111" s="160">
        <f t="shared" si="4"/>
        <v>2.7818324255768806E-4</v>
      </c>
      <c r="E111" s="160">
        <f t="shared" si="4"/>
        <v>4.953030879582146E-4</v>
      </c>
      <c r="F111" s="160">
        <f t="shared" si="4"/>
        <v>3.3107634654109608E-4</v>
      </c>
      <c r="G111" s="5"/>
    </row>
    <row r="112" spans="2:7">
      <c r="B112" s="8" t="str">
        <f t="shared" si="5"/>
        <v>40-44</v>
      </c>
      <c r="C112" s="160">
        <f t="shared" si="4"/>
        <v>7.6479667424752184E-4</v>
      </c>
      <c r="D112" s="160">
        <f t="shared" si="4"/>
        <v>4.2616113704463051E-4</v>
      </c>
      <c r="E112" s="160">
        <f t="shared" si="4"/>
        <v>4.876046231429643E-4</v>
      </c>
      <c r="F112" s="160">
        <f t="shared" si="4"/>
        <v>3.1578409768579245E-4</v>
      </c>
      <c r="G112" s="5"/>
    </row>
    <row r="113" spans="2:7">
      <c r="B113" s="8" t="str">
        <f t="shared" si="5"/>
        <v>45-49</v>
      </c>
      <c r="C113" s="160">
        <f t="shared" si="4"/>
        <v>1.1252124729438291E-3</v>
      </c>
      <c r="D113" s="160">
        <f t="shared" si="4"/>
        <v>8.2094640171214046E-4</v>
      </c>
      <c r="E113" s="160">
        <f t="shared" si="4"/>
        <v>1.2817303704027927E-3</v>
      </c>
      <c r="F113" s="160">
        <f t="shared" si="4"/>
        <v>4.8182037888983546E-4</v>
      </c>
      <c r="G113" s="5"/>
    </row>
    <row r="114" spans="2:7">
      <c r="B114" s="8" t="str">
        <f t="shared" si="5"/>
        <v>50-54</v>
      </c>
      <c r="C114" s="160">
        <f t="shared" si="4"/>
        <v>1.3599604783100438E-3</v>
      </c>
      <c r="D114" s="160">
        <f t="shared" si="4"/>
        <v>8.2152212506569444E-4</v>
      </c>
      <c r="E114" s="160">
        <f t="shared" si="4"/>
        <v>1.7716280811528708E-3</v>
      </c>
      <c r="F114" s="160">
        <f t="shared" si="4"/>
        <v>8.7948896952602933E-4</v>
      </c>
      <c r="G114" s="5"/>
    </row>
    <row r="115" spans="2:7">
      <c r="B115" s="8" t="str">
        <f t="shared" si="5"/>
        <v>55-59</v>
      </c>
      <c r="C115" s="160">
        <f t="shared" si="4"/>
        <v>1.3118622145278755E-3</v>
      </c>
      <c r="D115" s="160">
        <f t="shared" si="4"/>
        <v>1.0911810836504846E-3</v>
      </c>
      <c r="E115" s="160">
        <f t="shared" si="4"/>
        <v>2.2466480217158838E-3</v>
      </c>
      <c r="F115" s="160">
        <f t="shared" si="4"/>
        <v>1.2131557760548552E-3</v>
      </c>
      <c r="G115" s="5"/>
    </row>
    <row r="116" spans="2:7">
      <c r="B116" s="8" t="str">
        <f t="shared" si="5"/>
        <v>60-64</v>
      </c>
      <c r="C116" s="160">
        <f t="shared" si="4"/>
        <v>1.3793449314374237E-3</v>
      </c>
      <c r="D116" s="160">
        <f t="shared" si="4"/>
        <v>1.3930148167783333E-3</v>
      </c>
      <c r="E116" s="160">
        <f t="shared" si="4"/>
        <v>0</v>
      </c>
      <c r="F116" s="160">
        <f t="shared" si="4"/>
        <v>0</v>
      </c>
      <c r="G116" s="5"/>
    </row>
    <row r="117" spans="2:7">
      <c r="B117" s="8" t="str">
        <f t="shared" si="5"/>
        <v>65 plus</v>
      </c>
      <c r="C117" s="160">
        <f t="shared" si="4"/>
        <v>0</v>
      </c>
      <c r="D117" s="160">
        <f t="shared" si="4"/>
        <v>0</v>
      </c>
      <c r="E117" s="160">
        <f t="shared" si="4"/>
        <v>7.2715217993237803E-3</v>
      </c>
      <c r="F117" s="160">
        <f t="shared" si="4"/>
        <v>8.02875185380089E-3</v>
      </c>
      <c r="G117" s="5"/>
    </row>
    <row r="118" spans="2:7">
      <c r="B118" s="8" t="str">
        <f t="shared" si="5"/>
        <v>Total</v>
      </c>
      <c r="C118" s="160">
        <f t="shared" si="4"/>
        <v>6.5777500707154591E-4</v>
      </c>
      <c r="D118" s="160">
        <f t="shared" si="4"/>
        <v>4.4288624103679033E-4</v>
      </c>
      <c r="E118" s="160">
        <f t="shared" si="4"/>
        <v>6.8457047438802031E-4</v>
      </c>
      <c r="F118" s="160">
        <f t="shared" si="4"/>
        <v>3.7821976965282862E-4</v>
      </c>
      <c r="G118" s="5"/>
    </row>
    <row r="120" spans="2:7">
      <c r="B120" s="75" t="s">
        <v>522</v>
      </c>
    </row>
    <row r="122" spans="2:7">
      <c r="B122" s="1205" t="str">
        <f>B106</f>
        <v>Age group</v>
      </c>
      <c r="C122" s="1241" t="str">
        <f>C107</f>
        <v>2012/13</v>
      </c>
      <c r="D122" s="1241" t="str">
        <f>D107</f>
        <v>2013/14</v>
      </c>
      <c r="E122" s="1241" t="str">
        <f>E107</f>
        <v>2014/15</v>
      </c>
      <c r="F122" s="1241" t="str">
        <f>F107</f>
        <v>2015/16</v>
      </c>
      <c r="G122" s="1290" t="s">
        <v>8</v>
      </c>
    </row>
    <row r="123" spans="2:7">
      <c r="B123" s="1205"/>
      <c r="C123" s="1242"/>
      <c r="D123" s="1242"/>
      <c r="E123" s="1242"/>
      <c r="F123" s="1242"/>
      <c r="G123" s="1291"/>
    </row>
    <row r="124" spans="2:7">
      <c r="B124" s="138" t="str">
        <f>B108</f>
        <v>20-24</v>
      </c>
      <c r="C124" s="909">
        <f>C92*H$14</f>
        <v>0</v>
      </c>
      <c r="D124" s="909">
        <f t="shared" ref="D124:F134" si="6">D92*I$14</f>
        <v>0</v>
      </c>
      <c r="E124" s="909">
        <f t="shared" si="6"/>
        <v>0</v>
      </c>
      <c r="F124" s="909">
        <f t="shared" si="6"/>
        <v>0</v>
      </c>
      <c r="G124" s="907">
        <f>SUM(C124:F124)</f>
        <v>0</v>
      </c>
    </row>
    <row r="125" spans="2:7">
      <c r="B125" s="138" t="str">
        <f t="shared" ref="B125:B132" si="7">B109</f>
        <v>25-29</v>
      </c>
      <c r="C125" s="909">
        <f t="shared" ref="C125:C134" si="8">C93*H$14</f>
        <v>0</v>
      </c>
      <c r="D125" s="909">
        <f t="shared" si="6"/>
        <v>0</v>
      </c>
      <c r="E125" s="909">
        <f t="shared" si="6"/>
        <v>0</v>
      </c>
      <c r="F125" s="909">
        <f t="shared" si="6"/>
        <v>0</v>
      </c>
      <c r="G125" s="907">
        <f t="shared" ref="G125:G134" si="9">SUM(C125:F125)</f>
        <v>0</v>
      </c>
    </row>
    <row r="126" spans="2:7">
      <c r="B126" s="138" t="str">
        <f t="shared" si="7"/>
        <v>30-34</v>
      </c>
      <c r="C126" s="909">
        <f t="shared" si="8"/>
        <v>0</v>
      </c>
      <c r="D126" s="909">
        <f t="shared" si="6"/>
        <v>0</v>
      </c>
      <c r="E126" s="909">
        <f t="shared" si="6"/>
        <v>0</v>
      </c>
      <c r="F126" s="909">
        <f t="shared" si="6"/>
        <v>0</v>
      </c>
      <c r="G126" s="907">
        <f t="shared" si="9"/>
        <v>0</v>
      </c>
    </row>
    <row r="127" spans="2:7">
      <c r="B127" s="138" t="str">
        <f t="shared" si="7"/>
        <v>35-39</v>
      </c>
      <c r="C127" s="909">
        <f t="shared" si="8"/>
        <v>0</v>
      </c>
      <c r="D127" s="909">
        <f t="shared" si="6"/>
        <v>0</v>
      </c>
      <c r="E127" s="909">
        <f t="shared" si="6"/>
        <v>0</v>
      </c>
      <c r="F127" s="909">
        <f t="shared" si="6"/>
        <v>5.4896380314404755E-4</v>
      </c>
      <c r="G127" s="907">
        <f t="shared" si="9"/>
        <v>5.4896380314404755E-4</v>
      </c>
    </row>
    <row r="128" spans="2:7">
      <c r="B128" s="138" t="str">
        <f t="shared" si="7"/>
        <v>40-44</v>
      </c>
      <c r="C128" s="909">
        <f t="shared" si="8"/>
        <v>0</v>
      </c>
      <c r="D128" s="909">
        <f t="shared" si="6"/>
        <v>3.7822019334025057E-4</v>
      </c>
      <c r="E128" s="909">
        <f t="shared" si="6"/>
        <v>0</v>
      </c>
      <c r="F128" s="909">
        <f t="shared" si="6"/>
        <v>0</v>
      </c>
      <c r="G128" s="907">
        <f t="shared" si="9"/>
        <v>3.7822019334025057E-4</v>
      </c>
    </row>
    <row r="129" spans="2:7">
      <c r="B129" s="138" t="str">
        <f t="shared" si="7"/>
        <v>45-49</v>
      </c>
      <c r="C129" s="909">
        <f t="shared" si="8"/>
        <v>3.2929778159415771E-4</v>
      </c>
      <c r="D129" s="909">
        <f t="shared" si="6"/>
        <v>3.328530579273621E-4</v>
      </c>
      <c r="E129" s="909">
        <f t="shared" si="6"/>
        <v>9.6124194705334216E-4</v>
      </c>
      <c r="F129" s="909">
        <f t="shared" si="6"/>
        <v>0</v>
      </c>
      <c r="G129" s="907">
        <f t="shared" si="9"/>
        <v>1.6233927865748621E-3</v>
      </c>
    </row>
    <row r="130" spans="2:7">
      <c r="B130" s="138" t="str">
        <f t="shared" si="7"/>
        <v>50-54</v>
      </c>
      <c r="C130" s="909">
        <f t="shared" si="8"/>
        <v>0</v>
      </c>
      <c r="D130" s="909">
        <f t="shared" si="6"/>
        <v>0</v>
      </c>
      <c r="E130" s="909">
        <f t="shared" si="6"/>
        <v>7.7666126219969576E-4</v>
      </c>
      <c r="F130" s="909">
        <f t="shared" si="6"/>
        <v>9.537316719988681E-4</v>
      </c>
      <c r="G130" s="907">
        <f t="shared" si="9"/>
        <v>1.7303929341985639E-3</v>
      </c>
    </row>
    <row r="131" spans="2:7">
      <c r="B131" s="138" t="str">
        <f t="shared" si="7"/>
        <v>55-59</v>
      </c>
      <c r="C131" s="909">
        <f t="shared" si="8"/>
        <v>0</v>
      </c>
      <c r="D131" s="909">
        <f t="shared" si="6"/>
        <v>5.8573495947689981E-4</v>
      </c>
      <c r="E131" s="909">
        <f t="shared" si="6"/>
        <v>9.8478876151828062E-4</v>
      </c>
      <c r="F131" s="909">
        <f t="shared" si="6"/>
        <v>1.7571030182038959E-3</v>
      </c>
      <c r="G131" s="907">
        <f t="shared" si="9"/>
        <v>3.3276267391990763E-3</v>
      </c>
    </row>
    <row r="132" spans="2:7">
      <c r="B132" s="138" t="str">
        <f t="shared" si="7"/>
        <v>60-64</v>
      </c>
      <c r="C132" s="909">
        <f t="shared" si="8"/>
        <v>9.2556032826681452E-4</v>
      </c>
      <c r="D132" s="909">
        <f t="shared" si="6"/>
        <v>1.5885437266224449E-3</v>
      </c>
      <c r="E132" s="909">
        <f t="shared" si="6"/>
        <v>0</v>
      </c>
      <c r="F132" s="909">
        <f t="shared" si="6"/>
        <v>0</v>
      </c>
      <c r="G132" s="907">
        <f t="shared" si="9"/>
        <v>2.5141040548892594E-3</v>
      </c>
    </row>
    <row r="133" spans="2:7">
      <c r="B133" s="138" t="str">
        <f>B117</f>
        <v>65 plus</v>
      </c>
      <c r="C133" s="909">
        <f t="shared" si="8"/>
        <v>0</v>
      </c>
      <c r="D133" s="909">
        <f t="shared" si="6"/>
        <v>7.4758476275945535E-3</v>
      </c>
      <c r="E133" s="909">
        <f t="shared" si="6"/>
        <v>0</v>
      </c>
      <c r="F133" s="909">
        <f t="shared" si="6"/>
        <v>0</v>
      </c>
      <c r="G133" s="907">
        <f t="shared" si="9"/>
        <v>7.4758476275945535E-3</v>
      </c>
    </row>
    <row r="134" spans="2:7">
      <c r="B134" s="138" t="str">
        <f>B118</f>
        <v>Total</v>
      </c>
      <c r="C134" s="909">
        <f t="shared" si="8"/>
        <v>6.2496267309590552E-5</v>
      </c>
      <c r="D134" s="909">
        <f t="shared" si="6"/>
        <v>2.0350015291295092E-4</v>
      </c>
      <c r="E134" s="909">
        <f t="shared" si="6"/>
        <v>2.2467322507696571E-4</v>
      </c>
      <c r="F134" s="909">
        <f t="shared" si="6"/>
        <v>2.4900880190529705E-4</v>
      </c>
      <c r="G134" s="907">
        <f t="shared" si="9"/>
        <v>7.3967844720480424E-4</v>
      </c>
    </row>
    <row r="136" spans="2:7">
      <c r="B136" s="75" t="s">
        <v>523</v>
      </c>
    </row>
    <row r="138" spans="2:7">
      <c r="B138" s="1205" t="str">
        <f>B122</f>
        <v>Age group</v>
      </c>
      <c r="C138" s="1241" t="str">
        <f>C122</f>
        <v>2012/13</v>
      </c>
      <c r="D138" s="1241" t="str">
        <f>D122</f>
        <v>2013/14</v>
      </c>
      <c r="E138" s="1241" t="str">
        <f>E122</f>
        <v>2014/15</v>
      </c>
      <c r="F138" s="1241" t="str">
        <f>F122</f>
        <v>2015/16</v>
      </c>
      <c r="G138" s="1290" t="s">
        <v>8</v>
      </c>
    </row>
    <row r="139" spans="2:7">
      <c r="B139" s="1205"/>
      <c r="C139" s="1242"/>
      <c r="D139" s="1242"/>
      <c r="E139" s="1242"/>
      <c r="F139" s="1242"/>
      <c r="G139" s="1291"/>
    </row>
    <row r="140" spans="2:7">
      <c r="B140" s="138" t="str">
        <f>B124</f>
        <v>20-24</v>
      </c>
      <c r="C140" s="909">
        <f>C108*H$14</f>
        <v>0</v>
      </c>
      <c r="D140" s="909">
        <f t="shared" ref="D140:F150" si="10">D108*I$14</f>
        <v>0</v>
      </c>
      <c r="E140" s="909">
        <f t="shared" si="10"/>
        <v>0</v>
      </c>
      <c r="F140" s="909">
        <f t="shared" si="10"/>
        <v>0</v>
      </c>
      <c r="G140" s="907">
        <f>SUM(C140:F140)</f>
        <v>0</v>
      </c>
    </row>
    <row r="141" spans="2:7">
      <c r="B141" s="138" t="str">
        <f t="shared" ref="B141:B148" si="11">B125</f>
        <v>25-29</v>
      </c>
      <c r="C141" s="909">
        <f t="shared" ref="C141:C150" si="12">C109*H$14</f>
        <v>1.7202373611577465E-5</v>
      </c>
      <c r="D141" s="909">
        <f t="shared" si="10"/>
        <v>2.9805617706367661E-5</v>
      </c>
      <c r="E141" s="909">
        <f t="shared" si="10"/>
        <v>0</v>
      </c>
      <c r="F141" s="909">
        <f t="shared" si="10"/>
        <v>0</v>
      </c>
      <c r="G141" s="907">
        <f t="shared" ref="G141:G150" si="13">SUM(C141:F141)</f>
        <v>4.7007991317945123E-5</v>
      </c>
    </row>
    <row r="142" spans="2:7">
      <c r="B142" s="138" t="str">
        <f t="shared" si="11"/>
        <v>30-34</v>
      </c>
      <c r="C142" s="909">
        <f t="shared" si="12"/>
        <v>3.8801722919385111E-5</v>
      </c>
      <c r="D142" s="909">
        <f t="shared" si="10"/>
        <v>3.1616624938923456E-5</v>
      </c>
      <c r="E142" s="909">
        <f t="shared" si="10"/>
        <v>8.3095795138197259E-5</v>
      </c>
      <c r="F142" s="909">
        <f t="shared" si="10"/>
        <v>9.3798594780552581E-5</v>
      </c>
      <c r="G142" s="907">
        <f t="shared" si="13"/>
        <v>2.4731273777705838E-4</v>
      </c>
    </row>
    <row r="143" spans="2:7">
      <c r="B143" s="138" t="str">
        <f t="shared" si="11"/>
        <v>35-39</v>
      </c>
      <c r="C143" s="909">
        <f t="shared" si="12"/>
        <v>3.659250688818818E-5</v>
      </c>
      <c r="D143" s="909">
        <f t="shared" si="10"/>
        <v>5.5636648511537617E-5</v>
      </c>
      <c r="E143" s="909">
        <f t="shared" si="10"/>
        <v>1.4859092638746436E-4</v>
      </c>
      <c r="F143" s="909">
        <f t="shared" si="10"/>
        <v>1.3243053861643843E-4</v>
      </c>
      <c r="G143" s="907">
        <f t="shared" si="13"/>
        <v>3.7325062040362858E-4</v>
      </c>
    </row>
    <row r="144" spans="2:7">
      <c r="B144" s="138" t="str">
        <f t="shared" si="11"/>
        <v>40-44</v>
      </c>
      <c r="C144" s="909">
        <f t="shared" si="12"/>
        <v>7.6479667424752195E-5</v>
      </c>
      <c r="D144" s="909">
        <f t="shared" si="10"/>
        <v>8.5232227408926108E-5</v>
      </c>
      <c r="E144" s="909">
        <f t="shared" si="10"/>
        <v>1.4628138694288927E-4</v>
      </c>
      <c r="F144" s="909">
        <f t="shared" si="10"/>
        <v>1.2631363907431698E-4</v>
      </c>
      <c r="G144" s="907">
        <f t="shared" si="13"/>
        <v>4.3430692085088456E-4</v>
      </c>
    </row>
    <row r="145" spans="2:7">
      <c r="B145" s="138" t="str">
        <f t="shared" si="11"/>
        <v>45-49</v>
      </c>
      <c r="C145" s="909">
        <f t="shared" si="12"/>
        <v>1.1252124729438292E-4</v>
      </c>
      <c r="D145" s="909">
        <f t="shared" si="10"/>
        <v>1.6418928034242811E-4</v>
      </c>
      <c r="E145" s="909">
        <f t="shared" si="10"/>
        <v>3.8451911112083779E-4</v>
      </c>
      <c r="F145" s="909">
        <f t="shared" si="10"/>
        <v>1.927281515559342E-4</v>
      </c>
      <c r="G145" s="907">
        <f t="shared" si="13"/>
        <v>8.5395779031358305E-4</v>
      </c>
    </row>
    <row r="146" spans="2:7">
      <c r="B146" s="138" t="str">
        <f t="shared" si="11"/>
        <v>50-54</v>
      </c>
      <c r="C146" s="909">
        <f t="shared" si="12"/>
        <v>1.3599604783100439E-4</v>
      </c>
      <c r="D146" s="909">
        <f t="shared" si="10"/>
        <v>1.643044250131389E-4</v>
      </c>
      <c r="E146" s="909">
        <f t="shared" si="10"/>
        <v>5.3148842434586117E-4</v>
      </c>
      <c r="F146" s="909">
        <f t="shared" si="10"/>
        <v>3.5179558781041174E-4</v>
      </c>
      <c r="G146" s="907">
        <f t="shared" si="13"/>
        <v>1.1835844850004162E-3</v>
      </c>
    </row>
    <row r="147" spans="2:7">
      <c r="B147" s="138" t="str">
        <f t="shared" si="11"/>
        <v>55-59</v>
      </c>
      <c r="C147" s="909">
        <f t="shared" si="12"/>
        <v>1.3118622145278755E-4</v>
      </c>
      <c r="D147" s="909">
        <f t="shared" si="10"/>
        <v>2.1823621673009694E-4</v>
      </c>
      <c r="E147" s="909">
        <f t="shared" si="10"/>
        <v>6.7399440651476513E-4</v>
      </c>
      <c r="F147" s="909">
        <f t="shared" si="10"/>
        <v>4.8526231042194209E-4</v>
      </c>
      <c r="G147" s="907">
        <f t="shared" si="13"/>
        <v>1.5086791551195916E-3</v>
      </c>
    </row>
    <row r="148" spans="2:7">
      <c r="B148" s="138" t="str">
        <f t="shared" si="11"/>
        <v>60-64</v>
      </c>
      <c r="C148" s="909">
        <f t="shared" si="12"/>
        <v>1.3793449314374238E-4</v>
      </c>
      <c r="D148" s="909">
        <f t="shared" si="10"/>
        <v>2.7860296335566664E-4</v>
      </c>
      <c r="E148" s="909">
        <f t="shared" si="10"/>
        <v>0</v>
      </c>
      <c r="F148" s="909">
        <f t="shared" si="10"/>
        <v>0</v>
      </c>
      <c r="G148" s="907">
        <f t="shared" si="13"/>
        <v>4.1653745649940905E-4</v>
      </c>
    </row>
    <row r="149" spans="2:7">
      <c r="B149" s="138" t="str">
        <f>B133</f>
        <v>65 plus</v>
      </c>
      <c r="C149" s="909">
        <f t="shared" si="12"/>
        <v>0</v>
      </c>
      <c r="D149" s="909">
        <f t="shared" si="10"/>
        <v>0</v>
      </c>
      <c r="E149" s="909">
        <f t="shared" si="10"/>
        <v>2.1814565397971341E-3</v>
      </c>
      <c r="F149" s="909">
        <f t="shared" si="10"/>
        <v>3.2115007415203563E-3</v>
      </c>
      <c r="G149" s="907">
        <f t="shared" si="13"/>
        <v>5.3929572813174904E-3</v>
      </c>
    </row>
    <row r="150" spans="2:7">
      <c r="B150" s="138" t="str">
        <f>B134</f>
        <v>Total</v>
      </c>
      <c r="C150" s="909">
        <f t="shared" si="12"/>
        <v>6.5777500707154589E-5</v>
      </c>
      <c r="D150" s="909">
        <f t="shared" si="10"/>
        <v>8.8577248207358071E-5</v>
      </c>
      <c r="E150" s="909">
        <f t="shared" si="10"/>
        <v>2.0537114231640609E-4</v>
      </c>
      <c r="F150" s="909">
        <f t="shared" si="10"/>
        <v>1.5128790786113146E-4</v>
      </c>
      <c r="G150" s="907">
        <f t="shared" si="13"/>
        <v>5.1101379909205017E-4</v>
      </c>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T150"/>
  <sheetViews>
    <sheetView showGridLines="0" workbookViewId="0"/>
  </sheetViews>
  <sheetFormatPr defaultRowHeight="12.75"/>
  <cols>
    <col min="2" max="7" width="12.710937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2" customHeight="1">
      <c r="A5" s="1293" t="s">
        <v>1447</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60"/>
      <c r="C8" s="60"/>
      <c r="D8" s="285"/>
      <c r="E8" s="60"/>
      <c r="F8" s="60"/>
      <c r="G8" s="60"/>
      <c r="H8" s="60"/>
      <c r="I8" s="60"/>
      <c r="J8" s="60"/>
      <c r="K8" s="60"/>
      <c r="L8" s="60"/>
      <c r="M8" s="60"/>
      <c r="N8" s="60"/>
      <c r="O8" s="44"/>
    </row>
    <row r="9" spans="1:20" s="45" customFormat="1">
      <c r="A9" s="53" t="s">
        <v>1445</v>
      </c>
      <c r="B9" s="60"/>
      <c r="C9" s="60"/>
      <c r="D9" s="285"/>
      <c r="E9" s="60"/>
      <c r="F9" s="60"/>
      <c r="G9" s="60"/>
      <c r="H9" s="60"/>
      <c r="I9" s="60"/>
      <c r="J9" s="60"/>
      <c r="K9" s="60"/>
      <c r="L9" s="60"/>
      <c r="M9" s="60"/>
      <c r="N9" s="60"/>
      <c r="O9" s="44"/>
    </row>
    <row r="10" spans="1:20" s="49" customFormat="1">
      <c r="A10" s="54">
        <f>SUM(A13:A2227)</f>
        <v>0</v>
      </c>
      <c r="B10" s="72"/>
      <c r="C10" s="47"/>
      <c r="D10" s="47"/>
      <c r="E10" s="47"/>
      <c r="F10" s="71"/>
      <c r="G10" s="47"/>
      <c r="H10" s="71"/>
      <c r="I10" s="48"/>
      <c r="J10" s="48"/>
      <c r="K10" s="48"/>
      <c r="L10" s="48"/>
      <c r="M10" s="48"/>
      <c r="N10" s="48"/>
      <c r="O10" s="48"/>
    </row>
    <row r="12" spans="1:20">
      <c r="H12" s="75" t="s">
        <v>115</v>
      </c>
    </row>
    <row r="14" spans="1:20">
      <c r="H14" s="5">
        <f>Calc_PRIM_death_rates!H14</f>
        <v>0.1</v>
      </c>
      <c r="I14" s="5">
        <f>Calc_PRIM_death_rates!I14</f>
        <v>0.2</v>
      </c>
      <c r="J14" s="5">
        <f>Calc_PRIM_death_rates!J14</f>
        <v>0.3</v>
      </c>
      <c r="K14" s="5">
        <f>Calc_PRIM_death_rates!K14</f>
        <v>0.4</v>
      </c>
    </row>
    <row r="16" spans="1:20" ht="18">
      <c r="B16" s="38" t="s">
        <v>1170</v>
      </c>
    </row>
    <row r="18" spans="2:6">
      <c r="B18" s="75" t="str">
        <f>RAW_DATA_INPUTS!B128</f>
        <v xml:space="preserve">MALE SECONDARY Starting Stock figures </v>
      </c>
    </row>
    <row r="20" spans="2:6">
      <c r="B20" s="1241" t="str">
        <f>RAW_DATA_INPUTS!B131</f>
        <v>Age group</v>
      </c>
      <c r="C20" s="1292" t="s">
        <v>71</v>
      </c>
      <c r="D20" s="1292"/>
      <c r="E20" s="1292"/>
      <c r="F20" s="1292"/>
    </row>
    <row r="21" spans="2:6">
      <c r="B21" s="1242"/>
      <c r="C21" s="8" t="str">
        <f>RAW_DATA_INPUTS!C131</f>
        <v>2012/13</v>
      </c>
      <c r="D21" s="8" t="str">
        <f>RAW_DATA_INPUTS!D131</f>
        <v>2013/14</v>
      </c>
      <c r="E21" s="8" t="str">
        <f>RAW_DATA_INPUTS!E131</f>
        <v>2014/15</v>
      </c>
      <c r="F21" s="8" t="str">
        <f>RAW_DATA_INPUTS!F131</f>
        <v>2015/16</v>
      </c>
    </row>
    <row r="22" spans="2:6">
      <c r="B22" s="8" t="str">
        <f>RAW_DATA_INPUTS!B132</f>
        <v>20-24</v>
      </c>
      <c r="C22" s="300">
        <f>RAW_DATA_INPUTS!C132</f>
        <v>2633.8539999999998</v>
      </c>
      <c r="D22" s="300">
        <f>RAW_DATA_INPUTS!D132</f>
        <v>2650.72</v>
      </c>
      <c r="E22" s="300">
        <f>RAW_DATA_INPUTS!E132</f>
        <v>2783.1889999999999</v>
      </c>
      <c r="F22" s="300">
        <f>RAW_DATA_INPUTS!F132</f>
        <v>2805.4769999999999</v>
      </c>
    </row>
    <row r="23" spans="2:6">
      <c r="B23" s="8" t="str">
        <f>RAW_DATA_INPUTS!B133</f>
        <v>25-29</v>
      </c>
      <c r="C23" s="300">
        <f>RAW_DATA_INPUTS!C133</f>
        <v>12001.398999999999</v>
      </c>
      <c r="D23" s="300">
        <f>RAW_DATA_INPUTS!D133</f>
        <v>11672.939</v>
      </c>
      <c r="E23" s="300">
        <f>RAW_DATA_INPUTS!E133</f>
        <v>11212.300999999999</v>
      </c>
      <c r="F23" s="300">
        <f>RAW_DATA_INPUTS!F133</f>
        <v>10814.566999999999</v>
      </c>
    </row>
    <row r="24" spans="2:6">
      <c r="B24" s="8" t="str">
        <f>RAW_DATA_INPUTS!B134</f>
        <v>30-34</v>
      </c>
      <c r="C24" s="300">
        <f>RAW_DATA_INPUTS!C134</f>
        <v>14167.946</v>
      </c>
      <c r="D24" s="300">
        <f>RAW_DATA_INPUTS!D134</f>
        <v>14191.83</v>
      </c>
      <c r="E24" s="300">
        <f>RAW_DATA_INPUTS!E134</f>
        <v>14024.355</v>
      </c>
      <c r="F24" s="300">
        <f>RAW_DATA_INPUTS!F134</f>
        <v>13561.727999999999</v>
      </c>
    </row>
    <row r="25" spans="2:6">
      <c r="B25" s="8" t="str">
        <f>RAW_DATA_INPUTS!B135</f>
        <v>35-39</v>
      </c>
      <c r="C25" s="300">
        <f>RAW_DATA_INPUTS!C135</f>
        <v>12193.583000000001</v>
      </c>
      <c r="D25" s="300">
        <f>RAW_DATA_INPUTS!D135</f>
        <v>12139.743</v>
      </c>
      <c r="E25" s="300">
        <f>RAW_DATA_INPUTS!E135</f>
        <v>12319.539000000001</v>
      </c>
      <c r="F25" s="300">
        <f>RAW_DATA_INPUTS!F135</f>
        <v>12607.425999999999</v>
      </c>
    </row>
    <row r="26" spans="2:6">
      <c r="B26" s="8" t="str">
        <f>RAW_DATA_INPUTS!B136</f>
        <v>40-44</v>
      </c>
      <c r="C26" s="300">
        <f>RAW_DATA_INPUTS!C136</f>
        <v>11826.986000000001</v>
      </c>
      <c r="D26" s="300">
        <f>RAW_DATA_INPUTS!D136</f>
        <v>11933.493</v>
      </c>
      <c r="E26" s="300">
        <f>RAW_DATA_INPUTS!E136</f>
        <v>11794.384</v>
      </c>
      <c r="F26" s="300">
        <f>RAW_DATA_INPUTS!F136</f>
        <v>11599.289000000001</v>
      </c>
    </row>
    <row r="27" spans="2:6">
      <c r="B27" s="8" t="str">
        <f>RAW_DATA_INPUTS!B137</f>
        <v>45-49</v>
      </c>
      <c r="C27" s="300">
        <f>RAW_DATA_INPUTS!C137</f>
        <v>9361.0020000000004</v>
      </c>
      <c r="D27" s="300">
        <f>RAW_DATA_INPUTS!D137</f>
        <v>9383.5460000000003</v>
      </c>
      <c r="E27" s="300">
        <f>RAW_DATA_INPUTS!E137</f>
        <v>9401.2170000000006</v>
      </c>
      <c r="F27" s="300">
        <f>RAW_DATA_INPUTS!F137</f>
        <v>9538.1810000000005</v>
      </c>
    </row>
    <row r="28" spans="2:6">
      <c r="B28" s="8" t="str">
        <f>RAW_DATA_INPUTS!B138</f>
        <v>50-54</v>
      </c>
      <c r="C28" s="300">
        <f>RAW_DATA_INPUTS!C138</f>
        <v>8958.0879999999997</v>
      </c>
      <c r="D28" s="300">
        <f>RAW_DATA_INPUTS!D138</f>
        <v>8621.6749999999993</v>
      </c>
      <c r="E28" s="300">
        <f>RAW_DATA_INPUTS!E138</f>
        <v>8231.7270000000008</v>
      </c>
      <c r="F28" s="300">
        <f>RAW_DATA_INPUTS!F138</f>
        <v>7962.6310000000003</v>
      </c>
    </row>
    <row r="29" spans="2:6">
      <c r="B29" s="8" t="str">
        <f>RAW_DATA_INPUTS!B139</f>
        <v>55-59</v>
      </c>
      <c r="C29" s="300">
        <f>RAW_DATA_INPUTS!C139</f>
        <v>7418.8530000000001</v>
      </c>
      <c r="D29" s="300">
        <f>RAW_DATA_INPUTS!D139</f>
        <v>6587.049</v>
      </c>
      <c r="E29" s="300">
        <f>RAW_DATA_INPUTS!E139</f>
        <v>6061.3850000000002</v>
      </c>
      <c r="F29" s="300">
        <f>RAW_DATA_INPUTS!F139</f>
        <v>5591.9889999999996</v>
      </c>
    </row>
    <row r="30" spans="2:6">
      <c r="B30" s="8" t="str">
        <f>RAW_DATA_INPUTS!B140</f>
        <v>60-64</v>
      </c>
      <c r="C30" s="300">
        <f>RAW_DATA_INPUTS!C140</f>
        <v>2462.7930000000001</v>
      </c>
      <c r="D30" s="300">
        <f>RAW_DATA_INPUTS!D140</f>
        <v>2334.4059999999999</v>
      </c>
      <c r="E30" s="300">
        <f>RAW_DATA_INPUTS!E140</f>
        <v>2120.0450000000001</v>
      </c>
      <c r="F30" s="300">
        <f>RAW_DATA_INPUTS!F140</f>
        <v>1932.6489999999999</v>
      </c>
    </row>
    <row r="31" spans="2:6">
      <c r="B31" s="8" t="str">
        <f>RAW_DATA_INPUTS!B141</f>
        <v>65 plus</v>
      </c>
      <c r="C31" s="300">
        <f>RAW_DATA_INPUTS!C141</f>
        <v>433.43599999999998</v>
      </c>
      <c r="D31" s="300">
        <f>RAW_DATA_INPUTS!D141</f>
        <v>480.58800000000002</v>
      </c>
      <c r="E31" s="300">
        <f>RAW_DATA_INPUTS!E141</f>
        <v>485.28500000000003</v>
      </c>
      <c r="F31" s="300">
        <f>RAW_DATA_INPUTS!F141</f>
        <v>481.36</v>
      </c>
    </row>
    <row r="32" spans="2:6">
      <c r="B32" s="8" t="str">
        <f>RAW_DATA_INPUTS!B142</f>
        <v>Total</v>
      </c>
      <c r="C32" s="300">
        <f>RAW_DATA_INPUTS!C142</f>
        <v>81457.94</v>
      </c>
      <c r="D32" s="300">
        <f>RAW_DATA_INPUTS!D142</f>
        <v>79995.989000000016</v>
      </c>
      <c r="E32" s="300">
        <f>RAW_DATA_INPUTS!E142</f>
        <v>78433.426999999996</v>
      </c>
      <c r="F32" s="300">
        <f>RAW_DATA_INPUTS!F142</f>
        <v>76895.296999999991</v>
      </c>
    </row>
    <row r="33" spans="1:6">
      <c r="A33">
        <f>SUM(C33:F33)</f>
        <v>0</v>
      </c>
      <c r="C33">
        <f>SUM(C22:C31)-C32</f>
        <v>0</v>
      </c>
      <c r="D33">
        <f>SUM(D22:D31)-D32</f>
        <v>0</v>
      </c>
      <c r="E33">
        <f>SUM(E22:E31)-E32</f>
        <v>0</v>
      </c>
      <c r="F33">
        <f>SUM(F22:F31)-F32</f>
        <v>0</v>
      </c>
    </row>
    <row r="35" spans="1:6">
      <c r="B35" s="75" t="str">
        <f>RAW_DATA_INPUTS!B162</f>
        <v xml:space="preserve">FEMALE SECONDARY Starting Stock figures </v>
      </c>
    </row>
    <row r="37" spans="1:6">
      <c r="B37" s="1241" t="str">
        <f>RAW_DATA_INPUTS!B148</f>
        <v>Age group</v>
      </c>
      <c r="C37" s="1292" t="str">
        <f>C20</f>
        <v>Year</v>
      </c>
      <c r="D37" s="1292"/>
      <c r="E37" s="1292"/>
      <c r="F37" s="1292"/>
    </row>
    <row r="38" spans="1:6">
      <c r="B38" s="1242"/>
      <c r="C38" s="8" t="str">
        <f>C21</f>
        <v>2012/13</v>
      </c>
      <c r="D38" s="8" t="str">
        <f>D21</f>
        <v>2013/14</v>
      </c>
      <c r="E38" s="8" t="str">
        <f>E21</f>
        <v>2014/15</v>
      </c>
      <c r="F38" s="8" t="str">
        <f>F21</f>
        <v>2015/16</v>
      </c>
    </row>
    <row r="39" spans="1:6">
      <c r="B39" s="8" t="str">
        <f>RAW_DATA_INPUTS!B166</f>
        <v>20-24</v>
      </c>
      <c r="C39" s="300">
        <f>RAW_DATA_INPUTS!C166</f>
        <v>6919.8140000000003</v>
      </c>
      <c r="D39" s="300">
        <f>RAW_DATA_INPUTS!D166</f>
        <v>6525.3670000000002</v>
      </c>
      <c r="E39" s="300">
        <f>RAW_DATA_INPUTS!E166</f>
        <v>6817.1369999999997</v>
      </c>
      <c r="F39" s="300">
        <f>RAW_DATA_INPUTS!F166</f>
        <v>6882.7950000000001</v>
      </c>
    </row>
    <row r="40" spans="1:6">
      <c r="B40" s="8" t="str">
        <f>RAW_DATA_INPUTS!B167</f>
        <v>25-29</v>
      </c>
      <c r="C40" s="300">
        <f>RAW_DATA_INPUTS!C167</f>
        <v>25439.167000000001</v>
      </c>
      <c r="D40" s="300">
        <f>RAW_DATA_INPUTS!D167</f>
        <v>25050.094000000001</v>
      </c>
      <c r="E40" s="300">
        <f>RAW_DATA_INPUTS!E167</f>
        <v>24320.43</v>
      </c>
      <c r="F40" s="300">
        <f>RAW_DATA_INPUTS!F167</f>
        <v>23257.309000000001</v>
      </c>
    </row>
    <row r="41" spans="1:6">
      <c r="B41" s="8" t="str">
        <f>RAW_DATA_INPUTS!B168</f>
        <v>30-34</v>
      </c>
      <c r="C41" s="300">
        <f>RAW_DATA_INPUTS!C168</f>
        <v>26808.471000000001</v>
      </c>
      <c r="D41" s="300">
        <f>RAW_DATA_INPUTS!D168</f>
        <v>27056.716</v>
      </c>
      <c r="E41" s="300">
        <f>RAW_DATA_INPUTS!E168</f>
        <v>26620.544000000002</v>
      </c>
      <c r="F41" s="300">
        <f>RAW_DATA_INPUTS!F168</f>
        <v>25761.623</v>
      </c>
    </row>
    <row r="42" spans="1:6">
      <c r="B42" s="8" t="str">
        <f>RAW_DATA_INPUTS!B169</f>
        <v>35-39</v>
      </c>
      <c r="C42" s="300">
        <f>RAW_DATA_INPUTS!C169</f>
        <v>20511.047999999999</v>
      </c>
      <c r="D42" s="300">
        <f>RAW_DATA_INPUTS!D169</f>
        <v>21040.829000000002</v>
      </c>
      <c r="E42" s="300">
        <f>RAW_DATA_INPUTS!E169</f>
        <v>21945.52</v>
      </c>
      <c r="F42" s="300">
        <f>RAW_DATA_INPUTS!F169</f>
        <v>22789.451000000001</v>
      </c>
    </row>
    <row r="43" spans="1:6">
      <c r="B43" s="8" t="str">
        <f>RAW_DATA_INPUTS!B170</f>
        <v>40-44</v>
      </c>
      <c r="C43" s="300">
        <f>RAW_DATA_INPUTS!C170</f>
        <v>16716.901000000002</v>
      </c>
      <c r="D43" s="300">
        <f>RAW_DATA_INPUTS!D170</f>
        <v>17689.817999999999</v>
      </c>
      <c r="E43" s="300">
        <f>RAW_DATA_INPUTS!E170</f>
        <v>18324.307000000001</v>
      </c>
      <c r="F43" s="300">
        <f>RAW_DATA_INPUTS!F170</f>
        <v>18565.616999999998</v>
      </c>
    </row>
    <row r="44" spans="1:6">
      <c r="B44" s="8" t="str">
        <f>RAW_DATA_INPUTS!B171</f>
        <v>45-49</v>
      </c>
      <c r="C44" s="300">
        <f>RAW_DATA_INPUTS!C171</f>
        <v>13903.48</v>
      </c>
      <c r="D44" s="300">
        <f>RAW_DATA_INPUTS!D171</f>
        <v>13798.432000000001</v>
      </c>
      <c r="E44" s="300">
        <f>RAW_DATA_INPUTS!E171</f>
        <v>13971.267</v>
      </c>
      <c r="F44" s="300">
        <f>RAW_DATA_INPUTS!F171</f>
        <v>14034.052</v>
      </c>
    </row>
    <row r="45" spans="1:6">
      <c r="B45" s="8" t="str">
        <f>RAW_DATA_INPUTS!B172</f>
        <v>50-54</v>
      </c>
      <c r="C45" s="300">
        <f>RAW_DATA_INPUTS!C172</f>
        <v>13397.111000000001</v>
      </c>
      <c r="D45" s="300">
        <f>RAW_DATA_INPUTS!D172</f>
        <v>12645.290999999999</v>
      </c>
      <c r="E45" s="300">
        <f>RAW_DATA_INPUTS!E172</f>
        <v>12291.172</v>
      </c>
      <c r="F45" s="300">
        <f>RAW_DATA_INPUTS!F172</f>
        <v>11839.351000000001</v>
      </c>
    </row>
    <row r="46" spans="1:6">
      <c r="B46" s="8" t="str">
        <f>RAW_DATA_INPUTS!B173</f>
        <v>55-59</v>
      </c>
      <c r="C46" s="300">
        <f>RAW_DATA_INPUTS!C173</f>
        <v>11220.15</v>
      </c>
      <c r="D46" s="300">
        <f>RAW_DATA_INPUTS!D173</f>
        <v>10550.712</v>
      </c>
      <c r="E46" s="300">
        <f>RAW_DATA_INPUTS!E173</f>
        <v>9581.7749999999996</v>
      </c>
      <c r="F46" s="300">
        <f>RAW_DATA_INPUTS!F173</f>
        <v>8801.4560000000001</v>
      </c>
    </row>
    <row r="47" spans="1:6">
      <c r="B47" s="8" t="str">
        <f>RAW_DATA_INPUTS!B174</f>
        <v>60-64</v>
      </c>
      <c r="C47" s="300">
        <f>RAW_DATA_INPUTS!C174</f>
        <v>2915.5929999999998</v>
      </c>
      <c r="D47" s="300">
        <f>RAW_DATA_INPUTS!D174</f>
        <v>2861.0729999999999</v>
      </c>
      <c r="E47" s="300">
        <f>RAW_DATA_INPUTS!E174</f>
        <v>2878.433</v>
      </c>
      <c r="F47" s="300">
        <f>RAW_DATA_INPUTS!F174</f>
        <v>2709.2310000000002</v>
      </c>
    </row>
    <row r="48" spans="1:6">
      <c r="B48" s="8" t="str">
        <f>RAW_DATA_INPUTS!B175</f>
        <v>65 plus</v>
      </c>
      <c r="C48" s="300">
        <f>RAW_DATA_INPUTS!C175</f>
        <v>413.91800000000001</v>
      </c>
      <c r="D48" s="300">
        <f>RAW_DATA_INPUTS!D175</f>
        <v>471.73599999999999</v>
      </c>
      <c r="E48" s="300">
        <f>RAW_DATA_INPUTS!E175</f>
        <v>446.00900000000001</v>
      </c>
      <c r="F48" s="300">
        <f>RAW_DATA_INPUTS!F175</f>
        <v>477.56400000000002</v>
      </c>
    </row>
    <row r="49" spans="1:6">
      <c r="B49" s="8" t="str">
        <f>RAW_DATA_INPUTS!B176</f>
        <v>Total</v>
      </c>
      <c r="C49" s="300">
        <f>RAW_DATA_INPUTS!C176</f>
        <v>138245.65299999999</v>
      </c>
      <c r="D49" s="300">
        <f>RAW_DATA_INPUTS!D176</f>
        <v>137690.06800000003</v>
      </c>
      <c r="E49" s="300">
        <f>RAW_DATA_INPUTS!E176</f>
        <v>137196.59400000001</v>
      </c>
      <c r="F49" s="300">
        <f>RAW_DATA_INPUTS!F176</f>
        <v>135118.44899999999</v>
      </c>
    </row>
    <row r="50" spans="1:6">
      <c r="A50">
        <f>SUM(C50:F50)</f>
        <v>0</v>
      </c>
      <c r="C50">
        <f>SUM(C39:C48)-C49</f>
        <v>0</v>
      </c>
      <c r="D50">
        <f>SUM(D39:D48)-D49</f>
        <v>0</v>
      </c>
      <c r="E50">
        <f>SUM(E39:E48)-E49</f>
        <v>0</v>
      </c>
      <c r="F50">
        <f>SUM(F39:F48)-F49</f>
        <v>0</v>
      </c>
    </row>
    <row r="52" spans="1:6" ht="18">
      <c r="B52" s="38" t="s">
        <v>517</v>
      </c>
    </row>
    <row r="54" spans="1:6">
      <c r="B54" s="75" t="s">
        <v>519</v>
      </c>
    </row>
    <row r="56" spans="1:6">
      <c r="B56" s="1241" t="str">
        <f>B37</f>
        <v>Age group</v>
      </c>
      <c r="C56" s="1292" t="str">
        <f>C37</f>
        <v>Year</v>
      </c>
      <c r="D56" s="1292"/>
      <c r="E56" s="1292"/>
      <c r="F56" s="1292"/>
    </row>
    <row r="57" spans="1:6">
      <c r="B57" s="1242"/>
      <c r="C57" s="8" t="str">
        <f>Calc_PRIM_death_rates!C57</f>
        <v>2012/13</v>
      </c>
      <c r="D57" s="8" t="str">
        <f>Calc_PRIM_death_rates!D57</f>
        <v>2013/14</v>
      </c>
      <c r="E57" s="8" t="str">
        <f>Calc_PRIM_death_rates!E57</f>
        <v>2014/15</v>
      </c>
      <c r="F57" s="8" t="str">
        <f>Calc_PRIM_death_rates!F57</f>
        <v>2015/16</v>
      </c>
    </row>
    <row r="58" spans="1:6">
      <c r="B58" s="8" t="str">
        <f t="shared" ref="B58:B68" si="0">B39</f>
        <v>20-24</v>
      </c>
      <c r="C58" s="409">
        <f>RAW_DATA_INPUTS!C268</f>
        <v>0</v>
      </c>
      <c r="D58" s="409">
        <f>RAW_DATA_INPUTS!D268</f>
        <v>0</v>
      </c>
      <c r="E58" s="409">
        <f>RAW_DATA_INPUTS!E268</f>
        <v>0</v>
      </c>
      <c r="F58" s="409">
        <f>RAW_DATA_INPUTS!F268</f>
        <v>0</v>
      </c>
    </row>
    <row r="59" spans="1:6">
      <c r="B59" s="8" t="str">
        <f t="shared" si="0"/>
        <v>25-29</v>
      </c>
      <c r="C59" s="409">
        <f>RAW_DATA_INPUTS!C269</f>
        <v>0</v>
      </c>
      <c r="D59" s="409">
        <f>RAW_DATA_INPUTS!D269</f>
        <v>5.2930000000000001</v>
      </c>
      <c r="E59" s="409">
        <f>RAW_DATA_INPUTS!E269</f>
        <v>0</v>
      </c>
      <c r="F59" s="409">
        <f>RAW_DATA_INPUTS!F269</f>
        <v>0</v>
      </c>
    </row>
    <row r="60" spans="1:6">
      <c r="B60" s="8" t="str">
        <f t="shared" si="0"/>
        <v>30-34</v>
      </c>
      <c r="C60" s="409">
        <f>RAW_DATA_INPUTS!C270</f>
        <v>5.266</v>
      </c>
      <c r="D60" s="409">
        <f>RAW_DATA_INPUTS!D270</f>
        <v>7.4009999999999998</v>
      </c>
      <c r="E60" s="409">
        <f>RAW_DATA_INPUTS!E270</f>
        <v>6.2290000000000001</v>
      </c>
      <c r="F60" s="409">
        <f>RAW_DATA_INPUTS!F270</f>
        <v>0</v>
      </c>
    </row>
    <row r="61" spans="1:6">
      <c r="B61" s="8" t="str">
        <f t="shared" si="0"/>
        <v>35-39</v>
      </c>
      <c r="C61" s="409">
        <f>RAW_DATA_INPUTS!C271</f>
        <v>5.1669999999999998</v>
      </c>
      <c r="D61" s="409">
        <f>RAW_DATA_INPUTS!D271</f>
        <v>0</v>
      </c>
      <c r="E61" s="409">
        <f>RAW_DATA_INPUTS!E271</f>
        <v>10.523</v>
      </c>
      <c r="F61" s="409">
        <f>RAW_DATA_INPUTS!F271</f>
        <v>7.6159999999999997</v>
      </c>
    </row>
    <row r="62" spans="1:6">
      <c r="B62" s="8" t="str">
        <f t="shared" si="0"/>
        <v>40-44</v>
      </c>
      <c r="C62" s="409">
        <f>RAW_DATA_INPUTS!C272</f>
        <v>12.579000000000001</v>
      </c>
      <c r="D62" s="409">
        <f>RAW_DATA_INPUTS!D272</f>
        <v>12.586</v>
      </c>
      <c r="E62" s="409">
        <f>RAW_DATA_INPUTS!E272</f>
        <v>10.506</v>
      </c>
      <c r="F62" s="409">
        <f>RAW_DATA_INPUTS!F272</f>
        <v>6.45</v>
      </c>
    </row>
    <row r="63" spans="1:6">
      <c r="B63" s="8" t="str">
        <f t="shared" si="0"/>
        <v>45-49</v>
      </c>
      <c r="C63" s="409">
        <f>RAW_DATA_INPUTS!C273</f>
        <v>17.562999999999999</v>
      </c>
      <c r="D63" s="409">
        <f>RAW_DATA_INPUTS!D273</f>
        <v>9.43</v>
      </c>
      <c r="E63" s="409">
        <f>RAW_DATA_INPUTS!E273</f>
        <v>17.762</v>
      </c>
      <c r="F63" s="409">
        <f>RAW_DATA_INPUTS!F273</f>
        <v>6.4480000000000004</v>
      </c>
    </row>
    <row r="64" spans="1:6">
      <c r="B64" s="8" t="str">
        <f t="shared" si="0"/>
        <v>50-54</v>
      </c>
      <c r="C64" s="409">
        <f>RAW_DATA_INPUTS!C274</f>
        <v>13.444000000000001</v>
      </c>
      <c r="D64" s="409">
        <f>RAW_DATA_INPUTS!D274</f>
        <v>19.867999999999999</v>
      </c>
      <c r="E64" s="409">
        <f>RAW_DATA_INPUTS!E274</f>
        <v>14.714</v>
      </c>
      <c r="F64" s="409">
        <f>RAW_DATA_INPUTS!F274</f>
        <v>5.3789999999999996</v>
      </c>
    </row>
    <row r="65" spans="1:7">
      <c r="B65" s="8" t="str">
        <f t="shared" si="0"/>
        <v>55-59</v>
      </c>
      <c r="C65" s="409">
        <f>RAW_DATA_INPUTS!C275</f>
        <v>20.707000000000001</v>
      </c>
      <c r="D65" s="409">
        <f>RAW_DATA_INPUTS!D275</f>
        <v>10.461</v>
      </c>
      <c r="E65" s="409">
        <f>RAW_DATA_INPUTS!E275</f>
        <v>15.698</v>
      </c>
      <c r="F65" s="409">
        <f>RAW_DATA_INPUTS!F275</f>
        <v>8.4580000000000002</v>
      </c>
    </row>
    <row r="66" spans="1:7">
      <c r="B66" s="8" t="str">
        <f t="shared" si="0"/>
        <v>60-64</v>
      </c>
      <c r="C66" s="409">
        <f>RAW_DATA_INPUTS!C276</f>
        <v>7.2679999999999998</v>
      </c>
      <c r="D66" s="409">
        <f>RAW_DATA_INPUTS!D276</f>
        <v>7.3780000000000001</v>
      </c>
      <c r="E66" s="409">
        <f>RAW_DATA_INPUTS!E276</f>
        <v>7.2519999999999998</v>
      </c>
      <c r="F66" s="409">
        <f>RAW_DATA_INPUTS!F276</f>
        <v>6.3579999999999997</v>
      </c>
    </row>
    <row r="67" spans="1:7">
      <c r="B67" s="8" t="str">
        <f t="shared" si="0"/>
        <v>65 plus</v>
      </c>
      <c r="C67" s="409">
        <f>RAW_DATA_INPUTS!C277</f>
        <v>5.2549999999999999</v>
      </c>
      <c r="D67" s="409">
        <f>RAW_DATA_INPUTS!D277</f>
        <v>5.2469999999999999</v>
      </c>
      <c r="E67" s="409">
        <f>RAW_DATA_INPUTS!E277</f>
        <v>0</v>
      </c>
      <c r="F67" s="409">
        <f>RAW_DATA_INPUTS!F277</f>
        <v>0</v>
      </c>
    </row>
    <row r="68" spans="1:7">
      <c r="B68" s="8" t="str">
        <f t="shared" si="0"/>
        <v>Total</v>
      </c>
      <c r="C68" s="409">
        <f>RAW_DATA_INPUTS!C278</f>
        <v>87.248999999999995</v>
      </c>
      <c r="D68" s="409">
        <f>RAW_DATA_INPUTS!D278</f>
        <v>77.664000000000001</v>
      </c>
      <c r="E68" s="409">
        <f>RAW_DATA_INPUTS!E278</f>
        <v>82.683999999999983</v>
      </c>
      <c r="F68" s="409">
        <f>RAW_DATA_INPUTS!F278</f>
        <v>40.708999999999996</v>
      </c>
    </row>
    <row r="69" spans="1:7">
      <c r="A69">
        <f>SUM(C69:F69)</f>
        <v>0</v>
      </c>
      <c r="C69">
        <f>SUM(C58:C67)-C68</f>
        <v>0</v>
      </c>
      <c r="D69">
        <f>SUM(D58:D67)-D68</f>
        <v>0</v>
      </c>
      <c r="E69">
        <f>SUM(E58:E67)-E68</f>
        <v>0</v>
      </c>
      <c r="F69">
        <f>SUM(F58:F67)-F68</f>
        <v>0</v>
      </c>
    </row>
    <row r="71" spans="1:7">
      <c r="B71" s="75" t="s">
        <v>518</v>
      </c>
    </row>
    <row r="73" spans="1:7">
      <c r="B73" s="1241" t="str">
        <f>B56</f>
        <v>Age group</v>
      </c>
      <c r="C73" s="1292" t="str">
        <f>C56</f>
        <v>Year</v>
      </c>
      <c r="D73" s="1292"/>
      <c r="E73" s="1292"/>
      <c r="F73" s="1292"/>
    </row>
    <row r="74" spans="1:7">
      <c r="B74" s="1242"/>
      <c r="C74" s="8" t="str">
        <f>C57</f>
        <v>2012/13</v>
      </c>
      <c r="D74" s="8" t="str">
        <f>D57</f>
        <v>2013/14</v>
      </c>
      <c r="E74" s="8" t="str">
        <f>E57</f>
        <v>2014/15</v>
      </c>
      <c r="F74" s="8" t="str">
        <f>F57</f>
        <v>2015/16</v>
      </c>
    </row>
    <row r="75" spans="1:7">
      <c r="B75" s="8" t="str">
        <f t="shared" ref="B75:B85" si="1">B58</f>
        <v>20-24</v>
      </c>
      <c r="C75" s="409">
        <f>RAW_DATA_INPUTS!C285</f>
        <v>0</v>
      </c>
      <c r="D75" s="409">
        <f>RAW_DATA_INPUTS!D285</f>
        <v>0</v>
      </c>
      <c r="E75" s="409">
        <f>RAW_DATA_INPUTS!E285</f>
        <v>0</v>
      </c>
      <c r="F75" s="409">
        <f>RAW_DATA_INPUTS!F285</f>
        <v>0</v>
      </c>
      <c r="G75" s="5"/>
    </row>
    <row r="76" spans="1:7">
      <c r="B76" s="8" t="str">
        <f t="shared" si="1"/>
        <v>25-29</v>
      </c>
      <c r="C76" s="409">
        <f>RAW_DATA_INPUTS!C286</f>
        <v>0</v>
      </c>
      <c r="D76" s="409">
        <f>RAW_DATA_INPUTS!D286</f>
        <v>0</v>
      </c>
      <c r="E76" s="409">
        <f>RAW_DATA_INPUTS!E286</f>
        <v>9.4830000000000005</v>
      </c>
      <c r="F76" s="409">
        <f>RAW_DATA_INPUTS!F286</f>
        <v>0</v>
      </c>
      <c r="G76" s="5"/>
    </row>
    <row r="77" spans="1:7">
      <c r="B77" s="8" t="str">
        <f t="shared" si="1"/>
        <v>30-34</v>
      </c>
      <c r="C77" s="409">
        <f>RAW_DATA_INPUTS!C287</f>
        <v>5.2279999999999998</v>
      </c>
      <c r="D77" s="409">
        <f>RAW_DATA_INPUTS!D287</f>
        <v>0</v>
      </c>
      <c r="E77" s="409">
        <f>RAW_DATA_INPUTS!E287</f>
        <v>6.359</v>
      </c>
      <c r="F77" s="409">
        <f>RAW_DATA_INPUTS!F287</f>
        <v>0</v>
      </c>
      <c r="G77" s="5"/>
    </row>
    <row r="78" spans="1:7">
      <c r="B78" s="8" t="str">
        <f t="shared" si="1"/>
        <v>35-39</v>
      </c>
      <c r="C78" s="409">
        <f>RAW_DATA_INPUTS!C288</f>
        <v>9.343</v>
      </c>
      <c r="D78" s="409">
        <f>RAW_DATA_INPUTS!D288</f>
        <v>7.3729999999999993</v>
      </c>
      <c r="E78" s="409">
        <f>RAW_DATA_INPUTS!E288</f>
        <v>14.83</v>
      </c>
      <c r="F78" s="409">
        <f>RAW_DATA_INPUTS!F288</f>
        <v>7.3029999999999999</v>
      </c>
      <c r="G78" s="5"/>
    </row>
    <row r="79" spans="1:7">
      <c r="B79" s="8" t="str">
        <f t="shared" si="1"/>
        <v>40-44</v>
      </c>
      <c r="C79" s="409">
        <f>RAW_DATA_INPUTS!C289</f>
        <v>6.2560000000000002</v>
      </c>
      <c r="D79" s="409">
        <f>RAW_DATA_INPUTS!D289</f>
        <v>0</v>
      </c>
      <c r="E79" s="409">
        <f>RAW_DATA_INPUTS!E289</f>
        <v>14.680999999999999</v>
      </c>
      <c r="F79" s="409">
        <f>RAW_DATA_INPUTS!F289</f>
        <v>5.2839999999999998</v>
      </c>
      <c r="G79" s="5"/>
    </row>
    <row r="80" spans="1:7">
      <c r="B80" s="8" t="str">
        <f t="shared" si="1"/>
        <v>45-49</v>
      </c>
      <c r="C80" s="409">
        <f>RAW_DATA_INPUTS!C290</f>
        <v>12.363</v>
      </c>
      <c r="D80" s="409">
        <f>RAW_DATA_INPUTS!D290</f>
        <v>10.428000000000001</v>
      </c>
      <c r="E80" s="409">
        <f>RAW_DATA_INPUTS!E290</f>
        <v>15.79</v>
      </c>
      <c r="F80" s="409">
        <f>RAW_DATA_INPUTS!F290</f>
        <v>6.4420000000000002</v>
      </c>
      <c r="G80" s="5"/>
    </row>
    <row r="81" spans="1:7">
      <c r="B81" s="8" t="str">
        <f t="shared" si="1"/>
        <v>50-54</v>
      </c>
      <c r="C81" s="409">
        <f>RAW_DATA_INPUTS!C291</f>
        <v>21.736999999999998</v>
      </c>
      <c r="D81" s="409">
        <f>RAW_DATA_INPUTS!D291</f>
        <v>7.367</v>
      </c>
      <c r="E81" s="409">
        <f>RAW_DATA_INPUTS!E291</f>
        <v>19.957999999999998</v>
      </c>
      <c r="F81" s="409">
        <f>RAW_DATA_INPUTS!F291</f>
        <v>14.826000000000001</v>
      </c>
      <c r="G81" s="5"/>
    </row>
    <row r="82" spans="1:7">
      <c r="B82" s="8" t="str">
        <f t="shared" si="1"/>
        <v>55-59</v>
      </c>
      <c r="C82" s="409">
        <f>RAW_DATA_INPUTS!C292</f>
        <v>15.586</v>
      </c>
      <c r="D82" s="409">
        <f>RAW_DATA_INPUTS!D292</f>
        <v>22.096</v>
      </c>
      <c r="E82" s="409">
        <f>RAW_DATA_INPUTS!E292</f>
        <v>21.939</v>
      </c>
      <c r="F82" s="409">
        <f>RAW_DATA_INPUTS!F292</f>
        <v>12.643000000000001</v>
      </c>
      <c r="G82" s="5"/>
    </row>
    <row r="83" spans="1:7">
      <c r="B83" s="8" t="str">
        <f t="shared" si="1"/>
        <v>60-64</v>
      </c>
      <c r="C83" s="409">
        <f>RAW_DATA_INPUTS!C293</f>
        <v>16.626000000000001</v>
      </c>
      <c r="D83" s="409">
        <f>RAW_DATA_INPUTS!D293</f>
        <v>6.3630000000000004</v>
      </c>
      <c r="E83" s="409">
        <f>RAW_DATA_INPUTS!E293</f>
        <v>7.4540000000000006</v>
      </c>
      <c r="F83" s="409">
        <f>RAW_DATA_INPUTS!F293</f>
        <v>0</v>
      </c>
      <c r="G83" s="5"/>
    </row>
    <row r="84" spans="1:7">
      <c r="B84" s="8" t="str">
        <f t="shared" si="1"/>
        <v>65 plus</v>
      </c>
      <c r="C84" s="409">
        <f>RAW_DATA_INPUTS!C294</f>
        <v>5.0350000000000001</v>
      </c>
      <c r="D84" s="409">
        <f>RAW_DATA_INPUTS!D294</f>
        <v>5.1360000000000001</v>
      </c>
      <c r="E84" s="409">
        <f>RAW_DATA_INPUTS!E294</f>
        <v>5.1340000000000003</v>
      </c>
      <c r="F84" s="409">
        <f>RAW_DATA_INPUTS!F294</f>
        <v>0</v>
      </c>
      <c r="G84" s="5"/>
    </row>
    <row r="85" spans="1:7">
      <c r="B85" s="8" t="str">
        <f t="shared" si="1"/>
        <v>Total</v>
      </c>
      <c r="C85" s="409">
        <f>RAW_DATA_INPUTS!C295</f>
        <v>92.173999999999992</v>
      </c>
      <c r="D85" s="409">
        <f>RAW_DATA_INPUTS!D295</f>
        <v>58.763000000000005</v>
      </c>
      <c r="E85" s="409">
        <f>RAW_DATA_INPUTS!E295</f>
        <v>115.628</v>
      </c>
      <c r="F85" s="409">
        <f>RAW_DATA_INPUTS!F295</f>
        <v>46.498000000000005</v>
      </c>
      <c r="G85" s="5"/>
    </row>
    <row r="86" spans="1:7">
      <c r="A86">
        <f>SUM(C86:F86)</f>
        <v>0</v>
      </c>
      <c r="C86">
        <f>SUM(C75:C84)-C85</f>
        <v>0</v>
      </c>
      <c r="D86">
        <f>SUM(D75:D84)-D85</f>
        <v>0</v>
      </c>
      <c r="E86">
        <f>SUM(E75:E84)-E85</f>
        <v>0</v>
      </c>
      <c r="F86">
        <f>SUM(F75:F84)-F85</f>
        <v>0</v>
      </c>
    </row>
    <row r="88" spans="1:7">
      <c r="B88" s="75" t="s">
        <v>520</v>
      </c>
    </row>
    <row r="90" spans="1:7">
      <c r="B90" s="1205" t="str">
        <f>B73</f>
        <v>Age group</v>
      </c>
      <c r="C90" s="1292" t="str">
        <f>C73</f>
        <v>Year</v>
      </c>
      <c r="D90" s="1292"/>
      <c r="E90" s="1292"/>
      <c r="F90" s="1292"/>
    </row>
    <row r="91" spans="1:7">
      <c r="B91" s="1205"/>
      <c r="C91" s="8" t="str">
        <f>C74</f>
        <v>2012/13</v>
      </c>
      <c r="D91" s="8" t="str">
        <f>D74</f>
        <v>2013/14</v>
      </c>
      <c r="E91" s="8" t="str">
        <f>E74</f>
        <v>2014/15</v>
      </c>
      <c r="F91" s="8" t="str">
        <f>F74</f>
        <v>2015/16</v>
      </c>
    </row>
    <row r="92" spans="1:7">
      <c r="B92" s="8" t="str">
        <f t="shared" ref="B92:B102" si="2">B75</f>
        <v>20-24</v>
      </c>
      <c r="C92" s="160">
        <f t="shared" ref="C92:F102" si="3">C58/C22</f>
        <v>0</v>
      </c>
      <c r="D92" s="160">
        <f t="shared" si="3"/>
        <v>0</v>
      </c>
      <c r="E92" s="160">
        <f t="shared" si="3"/>
        <v>0</v>
      </c>
      <c r="F92" s="160">
        <f t="shared" si="3"/>
        <v>0</v>
      </c>
    </row>
    <row r="93" spans="1:7">
      <c r="B93" s="8" t="str">
        <f t="shared" si="2"/>
        <v>25-29</v>
      </c>
      <c r="C93" s="160">
        <f t="shared" si="3"/>
        <v>0</v>
      </c>
      <c r="D93" s="160">
        <f t="shared" si="3"/>
        <v>4.5344193094815283E-4</v>
      </c>
      <c r="E93" s="160">
        <f t="shared" si="3"/>
        <v>0</v>
      </c>
      <c r="F93" s="160">
        <f t="shared" si="3"/>
        <v>0</v>
      </c>
    </row>
    <row r="94" spans="1:7">
      <c r="B94" s="8" t="str">
        <f t="shared" si="2"/>
        <v>30-34</v>
      </c>
      <c r="C94" s="160">
        <f t="shared" si="3"/>
        <v>3.7168408179986007E-4</v>
      </c>
      <c r="D94" s="160">
        <f t="shared" si="3"/>
        <v>5.2149722763026327E-4</v>
      </c>
      <c r="E94" s="160">
        <f t="shared" si="3"/>
        <v>4.4415589879178048E-4</v>
      </c>
      <c r="F94" s="160">
        <f t="shared" si="3"/>
        <v>0</v>
      </c>
    </row>
    <row r="95" spans="1:7">
      <c r="B95" s="8" t="str">
        <f t="shared" si="2"/>
        <v>35-39</v>
      </c>
      <c r="C95" s="160">
        <f t="shared" si="3"/>
        <v>4.2374747438878301E-4</v>
      </c>
      <c r="D95" s="160">
        <f t="shared" si="3"/>
        <v>0</v>
      </c>
      <c r="E95" s="160">
        <f t="shared" si="3"/>
        <v>8.541715724914706E-4</v>
      </c>
      <c r="F95" s="160">
        <f t="shared" si="3"/>
        <v>6.0408841582730685E-4</v>
      </c>
    </row>
    <row r="96" spans="1:7">
      <c r="B96" s="8" t="str">
        <f t="shared" si="2"/>
        <v>40-44</v>
      </c>
      <c r="C96" s="160">
        <f t="shared" si="3"/>
        <v>1.063584585286564E-3</v>
      </c>
      <c r="D96" s="160">
        <f t="shared" si="3"/>
        <v>1.0546786259479936E-3</v>
      </c>
      <c r="E96" s="160">
        <f t="shared" si="3"/>
        <v>8.9076292581282757E-4</v>
      </c>
      <c r="F96" s="160">
        <f t="shared" si="3"/>
        <v>5.5606856592675636E-4</v>
      </c>
    </row>
    <row r="97" spans="2:6">
      <c r="B97" s="8" t="str">
        <f t="shared" si="2"/>
        <v>45-49</v>
      </c>
      <c r="C97" s="160">
        <f t="shared" si="3"/>
        <v>1.8761880405537782E-3</v>
      </c>
      <c r="D97" s="160">
        <f t="shared" si="3"/>
        <v>1.0049505805161502E-3</v>
      </c>
      <c r="E97" s="160">
        <f t="shared" si="3"/>
        <v>1.8893298601659763E-3</v>
      </c>
      <c r="F97" s="160">
        <f t="shared" si="3"/>
        <v>6.7601988261703147E-4</v>
      </c>
    </row>
    <row r="98" spans="2:6">
      <c r="B98" s="8" t="str">
        <f t="shared" si="2"/>
        <v>50-54</v>
      </c>
      <c r="C98" s="160">
        <f t="shared" si="3"/>
        <v>1.5007666814614905E-3</v>
      </c>
      <c r="D98" s="160">
        <f t="shared" si="3"/>
        <v>2.3044246042677324E-3</v>
      </c>
      <c r="E98" s="160">
        <f t="shared" si="3"/>
        <v>1.7874742444689915E-3</v>
      </c>
      <c r="F98" s="160">
        <f t="shared" si="3"/>
        <v>6.7553048734771202E-4</v>
      </c>
    </row>
    <row r="99" spans="2:6">
      <c r="B99" s="8" t="str">
        <f t="shared" si="2"/>
        <v>55-59</v>
      </c>
      <c r="C99" s="160">
        <f t="shared" si="3"/>
        <v>2.7911322680204071E-3</v>
      </c>
      <c r="D99" s="160">
        <f t="shared" si="3"/>
        <v>1.5881163173372477E-3</v>
      </c>
      <c r="E99" s="160">
        <f t="shared" si="3"/>
        <v>2.5898371411814296E-3</v>
      </c>
      <c r="F99" s="160">
        <f t="shared" si="3"/>
        <v>1.5125208579630613E-3</v>
      </c>
    </row>
    <row r="100" spans="2:6">
      <c r="B100" s="8" t="str">
        <f t="shared" si="2"/>
        <v>60-64</v>
      </c>
      <c r="C100" s="160">
        <f t="shared" si="3"/>
        <v>2.9511209427670127E-3</v>
      </c>
      <c r="D100" s="160">
        <f t="shared" si="3"/>
        <v>3.1605470513698134E-3</v>
      </c>
      <c r="E100" s="160">
        <f t="shared" si="3"/>
        <v>3.4206821081627981E-3</v>
      </c>
      <c r="F100" s="160">
        <f t="shared" si="3"/>
        <v>3.289785160161002E-3</v>
      </c>
    </row>
    <row r="101" spans="2:6">
      <c r="B101" s="8" t="str">
        <f t="shared" si="2"/>
        <v>65 plus</v>
      </c>
      <c r="C101" s="160">
        <f t="shared" si="3"/>
        <v>1.2124050609547892E-2</v>
      </c>
      <c r="D101" s="160">
        <f t="shared" si="3"/>
        <v>1.0917875602387075E-2</v>
      </c>
      <c r="E101" s="160">
        <f t="shared" si="3"/>
        <v>0</v>
      </c>
      <c r="F101" s="160">
        <f t="shared" si="3"/>
        <v>0</v>
      </c>
    </row>
    <row r="102" spans="2:6">
      <c r="B102" s="8" t="str">
        <f t="shared" si="2"/>
        <v>Total</v>
      </c>
      <c r="C102" s="160">
        <f t="shared" si="3"/>
        <v>1.0710926399562768E-3</v>
      </c>
      <c r="D102" s="160">
        <f t="shared" si="3"/>
        <v>9.7084867592548904E-4</v>
      </c>
      <c r="E102" s="160">
        <f t="shared" si="3"/>
        <v>1.0541933861948935E-3</v>
      </c>
      <c r="F102" s="160">
        <f t="shared" si="3"/>
        <v>5.2940818994430831E-4</v>
      </c>
    </row>
    <row r="104" spans="2:6">
      <c r="B104" s="75" t="s">
        <v>521</v>
      </c>
    </row>
    <row r="106" spans="2:6">
      <c r="B106" s="1205" t="str">
        <f>B90</f>
        <v>Age group</v>
      </c>
      <c r="C106" s="1292" t="str">
        <f>C90</f>
        <v>Year</v>
      </c>
      <c r="D106" s="1292"/>
      <c r="E106" s="1292"/>
      <c r="F106" s="1292"/>
    </row>
    <row r="107" spans="2:6">
      <c r="B107" s="1205"/>
      <c r="C107" s="8" t="str">
        <f>C91</f>
        <v>2012/13</v>
      </c>
      <c r="D107" s="8" t="str">
        <f>D91</f>
        <v>2013/14</v>
      </c>
      <c r="E107" s="8" t="str">
        <f>E91</f>
        <v>2014/15</v>
      </c>
      <c r="F107" s="8" t="str">
        <f>F91</f>
        <v>2015/16</v>
      </c>
    </row>
    <row r="108" spans="2:6">
      <c r="B108" s="8" t="str">
        <f>B92</f>
        <v>20-24</v>
      </c>
      <c r="C108" s="160">
        <f t="shared" ref="C108:F118" si="4">C75/C39</f>
        <v>0</v>
      </c>
      <c r="D108" s="160">
        <f t="shared" si="4"/>
        <v>0</v>
      </c>
      <c r="E108" s="160">
        <f t="shared" si="4"/>
        <v>0</v>
      </c>
      <c r="F108" s="160">
        <f t="shared" si="4"/>
        <v>0</v>
      </c>
    </row>
    <row r="109" spans="2:6">
      <c r="B109" s="8" t="str">
        <f t="shared" ref="B109:B118" si="5">B93</f>
        <v>25-29</v>
      </c>
      <c r="C109" s="160">
        <f t="shared" si="4"/>
        <v>0</v>
      </c>
      <c r="D109" s="160">
        <f t="shared" si="4"/>
        <v>0</v>
      </c>
      <c r="E109" s="160">
        <f t="shared" si="4"/>
        <v>3.899190927134101E-4</v>
      </c>
      <c r="F109" s="160">
        <f t="shared" si="4"/>
        <v>0</v>
      </c>
    </row>
    <row r="110" spans="2:6">
      <c r="B110" s="8" t="str">
        <f t="shared" si="5"/>
        <v>30-34</v>
      </c>
      <c r="C110" s="160">
        <f t="shared" si="4"/>
        <v>1.9501298675332881E-4</v>
      </c>
      <c r="D110" s="160">
        <f t="shared" si="4"/>
        <v>0</v>
      </c>
      <c r="E110" s="160">
        <f t="shared" si="4"/>
        <v>2.3887565934039513E-4</v>
      </c>
      <c r="F110" s="160">
        <f t="shared" si="4"/>
        <v>0</v>
      </c>
    </row>
    <row r="111" spans="2:6">
      <c r="B111" s="8" t="str">
        <f t="shared" si="5"/>
        <v>35-39</v>
      </c>
      <c r="C111" s="160">
        <f t="shared" si="4"/>
        <v>4.5551061067186817E-4</v>
      </c>
      <c r="D111" s="160">
        <f t="shared" si="4"/>
        <v>3.5041394994465277E-4</v>
      </c>
      <c r="E111" s="160">
        <f t="shared" si="4"/>
        <v>6.7576434734743123E-4</v>
      </c>
      <c r="F111" s="160">
        <f t="shared" si="4"/>
        <v>3.2045528433308901E-4</v>
      </c>
    </row>
    <row r="112" spans="2:6">
      <c r="B112" s="8" t="str">
        <f t="shared" si="5"/>
        <v>40-44</v>
      </c>
      <c r="C112" s="160">
        <f t="shared" si="4"/>
        <v>3.7423204217097413E-4</v>
      </c>
      <c r="D112" s="160">
        <f t="shared" si="4"/>
        <v>0</v>
      </c>
      <c r="E112" s="160">
        <f t="shared" si="4"/>
        <v>8.011762736784534E-4</v>
      </c>
      <c r="F112" s="160">
        <f t="shared" si="4"/>
        <v>2.8461214081923594E-4</v>
      </c>
    </row>
    <row r="113" spans="2:8">
      <c r="B113" s="8" t="str">
        <f t="shared" si="5"/>
        <v>45-49</v>
      </c>
      <c r="C113" s="160">
        <f t="shared" si="4"/>
        <v>8.8920184011484894E-4</v>
      </c>
      <c r="D113" s="160">
        <f t="shared" si="4"/>
        <v>7.5573804327912046E-4</v>
      </c>
      <c r="E113" s="160">
        <f t="shared" si="4"/>
        <v>1.1301766690164892E-3</v>
      </c>
      <c r="F113" s="160">
        <f t="shared" si="4"/>
        <v>4.590263738512584E-4</v>
      </c>
    </row>
    <row r="114" spans="2:8">
      <c r="B114" s="8" t="str">
        <f t="shared" si="5"/>
        <v>50-54</v>
      </c>
      <c r="C114" s="160">
        <f t="shared" si="4"/>
        <v>1.6225139882770246E-3</v>
      </c>
      <c r="D114" s="160">
        <f t="shared" si="4"/>
        <v>5.8258841176529665E-4</v>
      </c>
      <c r="E114" s="160">
        <f t="shared" si="4"/>
        <v>1.6237670419061744E-3</v>
      </c>
      <c r="F114" s="160">
        <f t="shared" si="4"/>
        <v>1.2522645878139773E-3</v>
      </c>
    </row>
    <row r="115" spans="2:8">
      <c r="B115" s="8" t="str">
        <f t="shared" si="5"/>
        <v>55-59</v>
      </c>
      <c r="C115" s="160">
        <f t="shared" si="4"/>
        <v>1.3891079887523787E-3</v>
      </c>
      <c r="D115" s="160">
        <f t="shared" si="4"/>
        <v>2.0942662447804472E-3</v>
      </c>
      <c r="E115" s="160">
        <f t="shared" si="4"/>
        <v>2.2896592750299397E-3</v>
      </c>
      <c r="F115" s="160">
        <f t="shared" si="4"/>
        <v>1.4364668754806023E-3</v>
      </c>
    </row>
    <row r="116" spans="2:8">
      <c r="B116" s="8" t="str">
        <f t="shared" si="5"/>
        <v>60-64</v>
      </c>
      <c r="C116" s="160">
        <f t="shared" si="4"/>
        <v>5.7024420075092791E-3</v>
      </c>
      <c r="D116" s="160">
        <f t="shared" si="4"/>
        <v>2.2239907894695456E-3</v>
      </c>
      <c r="E116" s="160">
        <f t="shared" si="4"/>
        <v>2.5896034404830686E-3</v>
      </c>
      <c r="F116" s="160">
        <f t="shared" si="4"/>
        <v>0</v>
      </c>
    </row>
    <row r="117" spans="2:8">
      <c r="B117" s="8" t="str">
        <f t="shared" si="5"/>
        <v>65 plus</v>
      </c>
      <c r="C117" s="160">
        <f t="shared" si="4"/>
        <v>1.2164245092023058E-2</v>
      </c>
      <c r="D117" s="160">
        <f t="shared" si="4"/>
        <v>1.0887445520375804E-2</v>
      </c>
      <c r="E117" s="160">
        <f t="shared" si="4"/>
        <v>1.1510978478012777E-2</v>
      </c>
      <c r="F117" s="160">
        <f t="shared" si="4"/>
        <v>0</v>
      </c>
    </row>
    <row r="118" spans="2:8">
      <c r="B118" s="8" t="str">
        <f t="shared" si="5"/>
        <v>Total</v>
      </c>
      <c r="C118" s="160">
        <f t="shared" si="4"/>
        <v>6.6674067502144171E-4</v>
      </c>
      <c r="D118" s="160">
        <f t="shared" si="4"/>
        <v>4.2677733298817163E-4</v>
      </c>
      <c r="E118" s="160">
        <f t="shared" si="4"/>
        <v>8.4279060163840506E-4</v>
      </c>
      <c r="F118" s="160">
        <f t="shared" si="4"/>
        <v>3.441276919926753E-4</v>
      </c>
    </row>
    <row r="120" spans="2:8">
      <c r="B120" s="75" t="s">
        <v>522</v>
      </c>
    </row>
    <row r="122" spans="2:8">
      <c r="B122" s="1205" t="str">
        <f>B106</f>
        <v>Age group</v>
      </c>
      <c r="C122" s="1241" t="str">
        <f>C107</f>
        <v>2012/13</v>
      </c>
      <c r="D122" s="1241" t="str">
        <f>D107</f>
        <v>2013/14</v>
      </c>
      <c r="E122" s="1241" t="str">
        <f>E107</f>
        <v>2014/15</v>
      </c>
      <c r="F122" s="1241" t="str">
        <f>F107</f>
        <v>2015/16</v>
      </c>
      <c r="G122" s="1290" t="s">
        <v>8</v>
      </c>
    </row>
    <row r="123" spans="2:8">
      <c r="B123" s="1205"/>
      <c r="C123" s="1242"/>
      <c r="D123" s="1242"/>
      <c r="E123" s="1242"/>
      <c r="F123" s="1242"/>
      <c r="G123" s="1291"/>
    </row>
    <row r="124" spans="2:8">
      <c r="B124" s="138" t="str">
        <f>B108</f>
        <v>20-24</v>
      </c>
      <c r="C124" s="909">
        <f>C92*H$14</f>
        <v>0</v>
      </c>
      <c r="D124" s="909">
        <f t="shared" ref="D124:F134" si="6">D92*I$14</f>
        <v>0</v>
      </c>
      <c r="E124" s="909">
        <f t="shared" si="6"/>
        <v>0</v>
      </c>
      <c r="F124" s="909">
        <f t="shared" si="6"/>
        <v>0</v>
      </c>
      <c r="G124" s="907">
        <f>SUM(C124:F124)</f>
        <v>0</v>
      </c>
      <c r="H124" s="5"/>
    </row>
    <row r="125" spans="2:8">
      <c r="B125" s="138" t="str">
        <f t="shared" ref="B125:B132" si="7">B109</f>
        <v>25-29</v>
      </c>
      <c r="C125" s="909">
        <f t="shared" ref="C125:C134" si="8">C93*H$14</f>
        <v>0</v>
      </c>
      <c r="D125" s="909">
        <f t="shared" si="6"/>
        <v>9.0688386189630577E-5</v>
      </c>
      <c r="E125" s="909">
        <f t="shared" si="6"/>
        <v>0</v>
      </c>
      <c r="F125" s="909">
        <f t="shared" si="6"/>
        <v>0</v>
      </c>
      <c r="G125" s="907">
        <f t="shared" ref="G125:G134" si="9">SUM(C125:F125)</f>
        <v>9.0688386189630577E-5</v>
      </c>
      <c r="H125" s="5"/>
    </row>
    <row r="126" spans="2:8">
      <c r="B126" s="138" t="str">
        <f t="shared" si="7"/>
        <v>30-34</v>
      </c>
      <c r="C126" s="909">
        <f t="shared" si="8"/>
        <v>3.7168408179986007E-5</v>
      </c>
      <c r="D126" s="909">
        <f t="shared" si="6"/>
        <v>1.0429944552605265E-4</v>
      </c>
      <c r="E126" s="909">
        <f t="shared" si="6"/>
        <v>1.3324676963753413E-4</v>
      </c>
      <c r="F126" s="909">
        <f t="shared" si="6"/>
        <v>0</v>
      </c>
      <c r="G126" s="907">
        <f t="shared" si="9"/>
        <v>2.7471462334357279E-4</v>
      </c>
      <c r="H126" s="5"/>
    </row>
    <row r="127" spans="2:8">
      <c r="B127" s="138" t="str">
        <f t="shared" si="7"/>
        <v>35-39</v>
      </c>
      <c r="C127" s="909">
        <f t="shared" si="8"/>
        <v>4.2374747438878305E-5</v>
      </c>
      <c r="D127" s="909">
        <f t="shared" si="6"/>
        <v>0</v>
      </c>
      <c r="E127" s="909">
        <f t="shared" si="6"/>
        <v>2.5625147174744117E-4</v>
      </c>
      <c r="F127" s="909">
        <f t="shared" si="6"/>
        <v>2.4163536633092276E-4</v>
      </c>
      <c r="G127" s="907">
        <f t="shared" si="9"/>
        <v>5.4026158551724222E-4</v>
      </c>
      <c r="H127" s="5"/>
    </row>
    <row r="128" spans="2:8">
      <c r="B128" s="138" t="str">
        <f t="shared" si="7"/>
        <v>40-44</v>
      </c>
      <c r="C128" s="909">
        <f t="shared" si="8"/>
        <v>1.0635845852865641E-4</v>
      </c>
      <c r="D128" s="909">
        <f t="shared" si="6"/>
        <v>2.1093572518959873E-4</v>
      </c>
      <c r="E128" s="909">
        <f t="shared" si="6"/>
        <v>2.6722887774384825E-4</v>
      </c>
      <c r="F128" s="909">
        <f t="shared" si="6"/>
        <v>2.2242742637070256E-4</v>
      </c>
      <c r="G128" s="907">
        <f t="shared" si="9"/>
        <v>8.0695048783280591E-4</v>
      </c>
      <c r="H128" s="5"/>
    </row>
    <row r="129" spans="2:8">
      <c r="B129" s="138" t="str">
        <f t="shared" si="7"/>
        <v>45-49</v>
      </c>
      <c r="C129" s="909">
        <f t="shared" si="8"/>
        <v>1.8761880405537783E-4</v>
      </c>
      <c r="D129" s="909">
        <f t="shared" si="6"/>
        <v>2.0099011610323007E-4</v>
      </c>
      <c r="E129" s="909">
        <f t="shared" si="6"/>
        <v>5.667989580497929E-4</v>
      </c>
      <c r="F129" s="909">
        <f t="shared" si="6"/>
        <v>2.704079530468126E-4</v>
      </c>
      <c r="G129" s="907">
        <f t="shared" si="9"/>
        <v>1.2258158312552134E-3</v>
      </c>
      <c r="H129" s="5"/>
    </row>
    <row r="130" spans="2:8">
      <c r="B130" s="138" t="str">
        <f t="shared" si="7"/>
        <v>50-54</v>
      </c>
      <c r="C130" s="909">
        <f t="shared" si="8"/>
        <v>1.5007666814614905E-4</v>
      </c>
      <c r="D130" s="909">
        <f t="shared" si="6"/>
        <v>4.6088492085354652E-4</v>
      </c>
      <c r="E130" s="909">
        <f t="shared" si="6"/>
        <v>5.3624227334069744E-4</v>
      </c>
      <c r="F130" s="909">
        <f t="shared" si="6"/>
        <v>2.7021219493908482E-4</v>
      </c>
      <c r="G130" s="907">
        <f t="shared" si="9"/>
        <v>1.4174160572794777E-3</v>
      </c>
      <c r="H130" s="5"/>
    </row>
    <row r="131" spans="2:8">
      <c r="B131" s="138" t="str">
        <f t="shared" si="7"/>
        <v>55-59</v>
      </c>
      <c r="C131" s="909">
        <f t="shared" si="8"/>
        <v>2.7911322680204074E-4</v>
      </c>
      <c r="D131" s="909">
        <f t="shared" si="6"/>
        <v>3.1762326346744958E-4</v>
      </c>
      <c r="E131" s="909">
        <f t="shared" si="6"/>
        <v>7.7695114235442882E-4</v>
      </c>
      <c r="F131" s="909">
        <f t="shared" si="6"/>
        <v>6.0500834318522457E-4</v>
      </c>
      <c r="G131" s="907">
        <f t="shared" si="9"/>
        <v>1.9786959758091435E-3</v>
      </c>
      <c r="H131" s="5"/>
    </row>
    <row r="132" spans="2:8">
      <c r="B132" s="138" t="str">
        <f t="shared" si="7"/>
        <v>60-64</v>
      </c>
      <c r="C132" s="909">
        <f t="shared" si="8"/>
        <v>2.9511209427670129E-4</v>
      </c>
      <c r="D132" s="909">
        <f t="shared" si="6"/>
        <v>6.3210941027396275E-4</v>
      </c>
      <c r="E132" s="909">
        <f t="shared" si="6"/>
        <v>1.0262046324488394E-3</v>
      </c>
      <c r="F132" s="909">
        <f t="shared" si="6"/>
        <v>1.315914064064401E-3</v>
      </c>
      <c r="G132" s="907">
        <f t="shared" si="9"/>
        <v>3.2693402010639042E-3</v>
      </c>
      <c r="H132" s="5"/>
    </row>
    <row r="133" spans="2:8">
      <c r="B133" s="138" t="str">
        <f>B117</f>
        <v>65 plus</v>
      </c>
      <c r="C133" s="909">
        <f t="shared" si="8"/>
        <v>1.2124050609547893E-3</v>
      </c>
      <c r="D133" s="909">
        <f t="shared" si="6"/>
        <v>2.183575120477415E-3</v>
      </c>
      <c r="E133" s="909">
        <f t="shared" si="6"/>
        <v>0</v>
      </c>
      <c r="F133" s="909">
        <f t="shared" si="6"/>
        <v>0</v>
      </c>
      <c r="G133" s="907">
        <f t="shared" si="9"/>
        <v>3.3959801814322042E-3</v>
      </c>
      <c r="H133" s="5"/>
    </row>
    <row r="134" spans="2:8">
      <c r="B134" s="138" t="str">
        <f>B118</f>
        <v>Total</v>
      </c>
      <c r="C134" s="909">
        <f t="shared" si="8"/>
        <v>1.0710926399562769E-4</v>
      </c>
      <c r="D134" s="909">
        <f t="shared" si="6"/>
        <v>1.9416973518509781E-4</v>
      </c>
      <c r="E134" s="909">
        <f t="shared" si="6"/>
        <v>3.1625801585846806E-4</v>
      </c>
      <c r="F134" s="909">
        <f t="shared" si="6"/>
        <v>2.1176327597772332E-4</v>
      </c>
      <c r="G134" s="907">
        <f t="shared" si="9"/>
        <v>8.2930029101691688E-4</v>
      </c>
      <c r="H134" s="5"/>
    </row>
    <row r="136" spans="2:8">
      <c r="B136" s="75" t="s">
        <v>523</v>
      </c>
    </row>
    <row r="138" spans="2:8">
      <c r="B138" s="1205" t="str">
        <f>B122</f>
        <v>Age group</v>
      </c>
      <c r="C138" s="1241" t="str">
        <f>C122</f>
        <v>2012/13</v>
      </c>
      <c r="D138" s="1241" t="str">
        <f>D122</f>
        <v>2013/14</v>
      </c>
      <c r="E138" s="1241" t="str">
        <f>E122</f>
        <v>2014/15</v>
      </c>
      <c r="F138" s="1241" t="str">
        <f>F122</f>
        <v>2015/16</v>
      </c>
      <c r="G138" s="1290" t="s">
        <v>8</v>
      </c>
    </row>
    <row r="139" spans="2:8">
      <c r="B139" s="1205"/>
      <c r="C139" s="1242"/>
      <c r="D139" s="1242"/>
      <c r="E139" s="1242"/>
      <c r="F139" s="1242"/>
      <c r="G139" s="1291"/>
    </row>
    <row r="140" spans="2:8">
      <c r="B140" s="138" t="str">
        <f>B124</f>
        <v>20-24</v>
      </c>
      <c r="C140" s="909">
        <f>C108*H$14</f>
        <v>0</v>
      </c>
      <c r="D140" s="909">
        <f t="shared" ref="D140:F150" si="10">D108*I$14</f>
        <v>0</v>
      </c>
      <c r="E140" s="909">
        <f t="shared" si="10"/>
        <v>0</v>
      </c>
      <c r="F140" s="909">
        <f t="shared" si="10"/>
        <v>0</v>
      </c>
      <c r="G140" s="907">
        <f>SUM(C140:F140)</f>
        <v>0</v>
      </c>
    </row>
    <row r="141" spans="2:8">
      <c r="B141" s="138" t="str">
        <f t="shared" ref="B141:B148" si="11">B125</f>
        <v>25-29</v>
      </c>
      <c r="C141" s="909">
        <f t="shared" ref="C141:C150" si="12">C109*H$14</f>
        <v>0</v>
      </c>
      <c r="D141" s="909">
        <f t="shared" si="10"/>
        <v>0</v>
      </c>
      <c r="E141" s="909">
        <f t="shared" si="10"/>
        <v>1.1697572781402302E-4</v>
      </c>
      <c r="F141" s="909">
        <f t="shared" si="10"/>
        <v>0</v>
      </c>
      <c r="G141" s="907">
        <f t="shared" ref="G141:G150" si="13">SUM(C141:F141)</f>
        <v>1.1697572781402302E-4</v>
      </c>
    </row>
    <row r="142" spans="2:8">
      <c r="B142" s="138" t="str">
        <f t="shared" si="11"/>
        <v>30-34</v>
      </c>
      <c r="C142" s="909">
        <f t="shared" si="12"/>
        <v>1.9501298675332881E-5</v>
      </c>
      <c r="D142" s="909">
        <f t="shared" si="10"/>
        <v>0</v>
      </c>
      <c r="E142" s="909">
        <f t="shared" si="10"/>
        <v>7.166269780211853E-5</v>
      </c>
      <c r="F142" s="909">
        <f t="shared" si="10"/>
        <v>0</v>
      </c>
      <c r="G142" s="907">
        <f t="shared" si="13"/>
        <v>9.1163996477451411E-5</v>
      </c>
    </row>
    <row r="143" spans="2:8">
      <c r="B143" s="138" t="str">
        <f t="shared" si="11"/>
        <v>35-39</v>
      </c>
      <c r="C143" s="909">
        <f t="shared" si="12"/>
        <v>4.5551061067186821E-5</v>
      </c>
      <c r="D143" s="909">
        <f t="shared" si="10"/>
        <v>7.0082789988930552E-5</v>
      </c>
      <c r="E143" s="909">
        <f t="shared" si="10"/>
        <v>2.0272930420422937E-4</v>
      </c>
      <c r="F143" s="909">
        <f t="shared" si="10"/>
        <v>1.281821137332356E-4</v>
      </c>
      <c r="G143" s="907">
        <f t="shared" si="13"/>
        <v>4.4654526899358231E-4</v>
      </c>
    </row>
    <row r="144" spans="2:8">
      <c r="B144" s="138" t="str">
        <f t="shared" si="11"/>
        <v>40-44</v>
      </c>
      <c r="C144" s="909">
        <f t="shared" si="12"/>
        <v>3.7423204217097413E-5</v>
      </c>
      <c r="D144" s="909">
        <f t="shared" si="10"/>
        <v>0</v>
      </c>
      <c r="E144" s="909">
        <f t="shared" si="10"/>
        <v>2.4035288210353601E-4</v>
      </c>
      <c r="F144" s="909">
        <f t="shared" si="10"/>
        <v>1.1384485632769439E-4</v>
      </c>
      <c r="G144" s="907">
        <f t="shared" si="13"/>
        <v>3.9162094264832785E-4</v>
      </c>
    </row>
    <row r="145" spans="2:7">
      <c r="B145" s="138" t="str">
        <f t="shared" si="11"/>
        <v>45-49</v>
      </c>
      <c r="C145" s="909">
        <f t="shared" si="12"/>
        <v>8.8920184011484905E-5</v>
      </c>
      <c r="D145" s="909">
        <f t="shared" si="10"/>
        <v>1.5114760865582411E-4</v>
      </c>
      <c r="E145" s="909">
        <f t="shared" si="10"/>
        <v>3.3905300070494676E-4</v>
      </c>
      <c r="F145" s="909">
        <f t="shared" si="10"/>
        <v>1.8361054954050337E-4</v>
      </c>
      <c r="G145" s="907">
        <f t="shared" si="13"/>
        <v>7.6273134291275906E-4</v>
      </c>
    </row>
    <row r="146" spans="2:7">
      <c r="B146" s="138" t="str">
        <f t="shared" si="11"/>
        <v>50-54</v>
      </c>
      <c r="C146" s="909">
        <f t="shared" si="12"/>
        <v>1.6225139882770247E-4</v>
      </c>
      <c r="D146" s="909">
        <f t="shared" si="10"/>
        <v>1.1651768235305933E-4</v>
      </c>
      <c r="E146" s="909">
        <f t="shared" si="10"/>
        <v>4.8713011257185229E-4</v>
      </c>
      <c r="F146" s="909">
        <f t="shared" si="10"/>
        <v>5.0090583512559092E-4</v>
      </c>
      <c r="G146" s="907">
        <f t="shared" si="13"/>
        <v>1.2668050288782051E-3</v>
      </c>
    </row>
    <row r="147" spans="2:7">
      <c r="B147" s="138" t="str">
        <f t="shared" si="11"/>
        <v>55-59</v>
      </c>
      <c r="C147" s="909">
        <f t="shared" si="12"/>
        <v>1.3891079887523786E-4</v>
      </c>
      <c r="D147" s="909">
        <f t="shared" si="10"/>
        <v>4.1885324895608948E-4</v>
      </c>
      <c r="E147" s="909">
        <f t="shared" si="10"/>
        <v>6.8689778250898188E-4</v>
      </c>
      <c r="F147" s="909">
        <f t="shared" si="10"/>
        <v>5.7458675019224088E-4</v>
      </c>
      <c r="G147" s="907">
        <f t="shared" si="13"/>
        <v>1.8192485805325503E-3</v>
      </c>
    </row>
    <row r="148" spans="2:7">
      <c r="B148" s="138" t="str">
        <f t="shared" si="11"/>
        <v>60-64</v>
      </c>
      <c r="C148" s="909">
        <f t="shared" si="12"/>
        <v>5.7024420075092795E-4</v>
      </c>
      <c r="D148" s="909">
        <f t="shared" si="10"/>
        <v>4.4479815789390915E-4</v>
      </c>
      <c r="E148" s="909">
        <f t="shared" si="10"/>
        <v>7.7688103214492061E-4</v>
      </c>
      <c r="F148" s="909">
        <f t="shared" si="10"/>
        <v>0</v>
      </c>
      <c r="G148" s="907">
        <f t="shared" si="13"/>
        <v>1.7919233907897577E-3</v>
      </c>
    </row>
    <row r="149" spans="2:7">
      <c r="B149" s="138" t="str">
        <f>B133</f>
        <v>65 plus</v>
      </c>
      <c r="C149" s="909">
        <f t="shared" si="12"/>
        <v>1.216424509202306E-3</v>
      </c>
      <c r="D149" s="909">
        <f t="shared" si="10"/>
        <v>2.1774891040751607E-3</v>
      </c>
      <c r="E149" s="909">
        <f t="shared" si="10"/>
        <v>3.4532935434038329E-3</v>
      </c>
      <c r="F149" s="909">
        <f t="shared" si="10"/>
        <v>0</v>
      </c>
      <c r="G149" s="907">
        <f t="shared" si="13"/>
        <v>6.8472071566812991E-3</v>
      </c>
    </row>
    <row r="150" spans="2:7">
      <c r="B150" s="138" t="str">
        <f>B134</f>
        <v>Total</v>
      </c>
      <c r="C150" s="909">
        <f t="shared" si="12"/>
        <v>6.6674067502144179E-5</v>
      </c>
      <c r="D150" s="909">
        <f t="shared" si="10"/>
        <v>8.5355466597634335E-5</v>
      </c>
      <c r="E150" s="909">
        <f t="shared" si="10"/>
        <v>2.5283718049152153E-4</v>
      </c>
      <c r="F150" s="909">
        <f t="shared" si="10"/>
        <v>1.3765107679707011E-4</v>
      </c>
      <c r="G150" s="907">
        <f t="shared" si="13"/>
        <v>5.4251779138837016E-4</v>
      </c>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O77"/>
  <sheetViews>
    <sheetView showGridLines="0" workbookViewId="0">
      <pane ySplit="4" topLeftCell="A5" activePane="bottomLeft" state="frozen"/>
      <selection activeCell="B58" sqref="B58:B76"/>
      <selection pane="bottomLeft"/>
    </sheetView>
  </sheetViews>
  <sheetFormatPr defaultColWidth="9.140625" defaultRowHeight="12.75"/>
  <cols>
    <col min="1" max="1" width="4.5703125" style="23" customWidth="1"/>
    <col min="2" max="2" width="13.85546875" style="23" customWidth="1"/>
    <col min="3" max="3" width="4.5703125" style="23" customWidth="1"/>
    <col min="4" max="6" width="9.140625" style="23"/>
    <col min="7" max="7" width="49.5703125" style="23" customWidth="1"/>
    <col min="8" max="16384" width="9.140625" style="23"/>
  </cols>
  <sheetData>
    <row r="1" spans="1:15" s="29" customFormat="1">
      <c r="B1" s="33" t="str">
        <f>ModelBanner</f>
        <v>TSM_201819 Publication</v>
      </c>
    </row>
    <row r="2" spans="1:15" s="29" customFormat="1">
      <c r="A2" s="994"/>
      <c r="B2" s="30" t="s">
        <v>9</v>
      </c>
    </row>
    <row r="3" spans="1:15" s="29" customFormat="1">
      <c r="A3" s="34"/>
      <c r="B3" s="33"/>
    </row>
    <row r="4" spans="1:15" s="29" customFormat="1">
      <c r="A4" s="35"/>
      <c r="B4" s="939" t="s">
        <v>13</v>
      </c>
      <c r="C4" s="35"/>
      <c r="D4" s="990" t="s">
        <v>28</v>
      </c>
    </row>
    <row r="5" spans="1:15" customFormat="1"/>
    <row r="6" spans="1:15" customFormat="1" ht="20.25">
      <c r="B6" s="15" t="s">
        <v>1531</v>
      </c>
    </row>
    <row r="7" spans="1:15" customFormat="1"/>
    <row r="8" spans="1:15" customFormat="1">
      <c r="B8" s="5" t="s">
        <v>27</v>
      </c>
    </row>
    <row r="9" spans="1:15" customFormat="1">
      <c r="B9" s="5"/>
    </row>
    <row r="10" spans="1:15" customFormat="1" ht="13.15" customHeight="1">
      <c r="C10" s="1153" t="s">
        <v>1485</v>
      </c>
      <c r="D10" s="1153"/>
      <c r="E10" s="1153"/>
      <c r="F10" s="1153"/>
      <c r="G10" s="1153"/>
      <c r="H10" s="1153"/>
      <c r="I10" s="1153"/>
      <c r="J10" s="1153"/>
      <c r="K10" s="1153"/>
      <c r="L10" s="1153"/>
      <c r="M10" s="1153"/>
      <c r="N10" s="1153"/>
      <c r="O10" s="1153"/>
    </row>
    <row r="11" spans="1:15" customFormat="1">
      <c r="C11" s="1153"/>
      <c r="D11" s="1153"/>
      <c r="E11" s="1153"/>
      <c r="F11" s="1153"/>
      <c r="G11" s="1153"/>
      <c r="H11" s="1153"/>
      <c r="I11" s="1153"/>
      <c r="J11" s="1153"/>
      <c r="K11" s="1153"/>
      <c r="L11" s="1153"/>
      <c r="M11" s="1153"/>
      <c r="N11" s="1153"/>
      <c r="O11" s="1153"/>
    </row>
    <row r="12" spans="1:15" customFormat="1">
      <c r="C12" s="1153"/>
      <c r="D12" s="1153"/>
      <c r="E12" s="1153"/>
      <c r="F12" s="1153"/>
      <c r="G12" s="1153"/>
      <c r="H12" s="1153"/>
      <c r="I12" s="1153"/>
      <c r="J12" s="1153"/>
      <c r="K12" s="1153"/>
      <c r="L12" s="1153"/>
      <c r="M12" s="1153"/>
      <c r="N12" s="1153"/>
      <c r="O12" s="1153"/>
    </row>
    <row r="13" spans="1:15" customFormat="1">
      <c r="C13" s="1153"/>
      <c r="D13" s="1153"/>
      <c r="E13" s="1153"/>
      <c r="F13" s="1153"/>
      <c r="G13" s="1153"/>
      <c r="H13" s="1153"/>
      <c r="I13" s="1153"/>
      <c r="J13" s="1153"/>
      <c r="K13" s="1153"/>
      <c r="L13" s="1153"/>
      <c r="M13" s="1153"/>
      <c r="N13" s="1153"/>
      <c r="O13" s="1153"/>
    </row>
    <row r="14" spans="1:15" customFormat="1">
      <c r="C14" s="1153"/>
      <c r="D14" s="1153"/>
      <c r="E14" s="1153"/>
      <c r="F14" s="1153"/>
      <c r="G14" s="1153"/>
      <c r="H14" s="1153"/>
      <c r="I14" s="1153"/>
      <c r="J14" s="1153"/>
      <c r="K14" s="1153"/>
      <c r="L14" s="1153"/>
      <c r="M14" s="1153"/>
      <c r="N14" s="1153"/>
      <c r="O14" s="1153"/>
    </row>
    <row r="15" spans="1:15" customFormat="1"/>
    <row r="16" spans="1:15" customFormat="1" ht="13.15" customHeight="1">
      <c r="C16" s="1150" t="s">
        <v>815</v>
      </c>
      <c r="D16" s="1150"/>
      <c r="E16" s="1150"/>
      <c r="F16" s="1150"/>
      <c r="G16" s="1150"/>
      <c r="H16" s="1150"/>
      <c r="I16" s="1150"/>
      <c r="J16" s="1150"/>
      <c r="K16" s="1150"/>
      <c r="L16" s="1150"/>
      <c r="M16" s="1150"/>
      <c r="N16" s="1150"/>
      <c r="O16" s="1150"/>
    </row>
    <row r="17" spans="2:15" customFormat="1">
      <c r="C17" s="1150"/>
      <c r="D17" s="1150"/>
      <c r="E17" s="1150"/>
      <c r="F17" s="1150"/>
      <c r="G17" s="1150"/>
      <c r="H17" s="1150"/>
      <c r="I17" s="1150"/>
      <c r="J17" s="1150"/>
      <c r="K17" s="1150"/>
      <c r="L17" s="1150"/>
      <c r="M17" s="1150"/>
      <c r="N17" s="1150"/>
      <c r="O17" s="1150"/>
    </row>
    <row r="18" spans="2:15" customFormat="1">
      <c r="C18" s="1150"/>
      <c r="D18" s="1150"/>
      <c r="E18" s="1150"/>
      <c r="F18" s="1150"/>
      <c r="G18" s="1150"/>
      <c r="H18" s="1150"/>
      <c r="I18" s="1150"/>
      <c r="J18" s="1150"/>
      <c r="K18" s="1150"/>
      <c r="L18" s="1150"/>
      <c r="M18" s="1150"/>
      <c r="N18" s="1150"/>
      <c r="O18" s="1150"/>
    </row>
    <row r="19" spans="2:15" customFormat="1"/>
    <row r="20" spans="2:15" customFormat="1" ht="13.15" customHeight="1">
      <c r="C20" s="1154" t="s">
        <v>1532</v>
      </c>
      <c r="D20" s="1150"/>
      <c r="E20" s="1150"/>
      <c r="F20" s="1150"/>
      <c r="G20" s="1150"/>
      <c r="H20" s="1150"/>
      <c r="I20" s="1150"/>
      <c r="J20" s="1150"/>
      <c r="K20" s="1150"/>
      <c r="L20" s="1150"/>
      <c r="M20" s="1150"/>
      <c r="N20" s="1150"/>
      <c r="O20" s="1150"/>
    </row>
    <row r="21" spans="2:15" customFormat="1">
      <c r="C21" s="1150"/>
      <c r="D21" s="1150"/>
      <c r="E21" s="1150"/>
      <c r="F21" s="1150"/>
      <c r="G21" s="1150"/>
      <c r="H21" s="1150"/>
      <c r="I21" s="1150"/>
      <c r="J21" s="1150"/>
      <c r="K21" s="1150"/>
      <c r="L21" s="1150"/>
      <c r="M21" s="1150"/>
      <c r="N21" s="1150"/>
      <c r="O21" s="1150"/>
    </row>
    <row r="22" spans="2:15" customFormat="1">
      <c r="C22" s="224"/>
      <c r="D22" s="224"/>
      <c r="E22" s="224"/>
      <c r="F22" s="224"/>
      <c r="G22" s="224"/>
      <c r="H22" s="224"/>
      <c r="I22" s="224"/>
      <c r="J22" s="224"/>
      <c r="K22" s="224"/>
      <c r="L22" s="224"/>
      <c r="M22" s="224"/>
      <c r="N22" s="224"/>
      <c r="O22" s="224"/>
    </row>
    <row r="23" spans="2:15" customFormat="1">
      <c r="B23" s="5" t="s">
        <v>34</v>
      </c>
    </row>
    <row r="24" spans="2:15" customFormat="1">
      <c r="B24" s="5"/>
    </row>
    <row r="25" spans="2:15" customFormat="1">
      <c r="C25" s="147" t="s">
        <v>418</v>
      </c>
    </row>
    <row r="26" spans="2:15" customFormat="1">
      <c r="C26" s="147" t="s">
        <v>419</v>
      </c>
    </row>
    <row r="27" spans="2:15" customFormat="1">
      <c r="C27" s="147" t="s">
        <v>420</v>
      </c>
    </row>
    <row r="28" spans="2:15" customFormat="1">
      <c r="C28" s="147" t="s">
        <v>1724</v>
      </c>
    </row>
    <row r="29" spans="2:15" customFormat="1">
      <c r="C29" s="147" t="s">
        <v>690</v>
      </c>
    </row>
    <row r="30" spans="2:15" customFormat="1">
      <c r="C30" s="147" t="s">
        <v>689</v>
      </c>
    </row>
    <row r="31" spans="2:15" customFormat="1">
      <c r="C31" s="147" t="s">
        <v>1725</v>
      </c>
    </row>
    <row r="32" spans="2:15" customFormat="1">
      <c r="C32" s="147" t="s">
        <v>483</v>
      </c>
    </row>
    <row r="33" spans="2:15" customFormat="1">
      <c r="C33" s="147" t="s">
        <v>1726</v>
      </c>
    </row>
    <row r="34" spans="2:15" customFormat="1"/>
    <row r="35" spans="2:15" customFormat="1">
      <c r="B35" s="5" t="s">
        <v>688</v>
      </c>
    </row>
    <row r="36" spans="2:15" customFormat="1">
      <c r="C36" s="12"/>
    </row>
    <row r="37" spans="2:15" customFormat="1" ht="13.15" customHeight="1">
      <c r="C37" s="1154" t="s">
        <v>1533</v>
      </c>
      <c r="D37" s="1150"/>
      <c r="E37" s="1150"/>
      <c r="F37" s="1150"/>
      <c r="G37" s="1150"/>
      <c r="H37" s="1150"/>
      <c r="I37" s="1150"/>
      <c r="J37" s="1150"/>
      <c r="K37" s="1150"/>
      <c r="L37" s="1150"/>
      <c r="M37" s="1150"/>
      <c r="N37" s="1150"/>
      <c r="O37" s="1150"/>
    </row>
    <row r="38" spans="2:15" customFormat="1">
      <c r="C38" s="1150"/>
      <c r="D38" s="1150"/>
      <c r="E38" s="1150"/>
      <c r="F38" s="1150"/>
      <c r="G38" s="1150"/>
      <c r="H38" s="1150"/>
      <c r="I38" s="1150"/>
      <c r="J38" s="1150"/>
      <c r="K38" s="1150"/>
      <c r="L38" s="1150"/>
      <c r="M38" s="1150"/>
      <c r="N38" s="1150"/>
      <c r="O38" s="1150"/>
    </row>
    <row r="39" spans="2:15" customFormat="1">
      <c r="C39" s="475"/>
      <c r="D39" s="475"/>
      <c r="E39" s="475"/>
      <c r="F39" s="475"/>
      <c r="G39" s="475"/>
      <c r="H39" s="475"/>
      <c r="I39" s="475"/>
      <c r="J39" s="475"/>
      <c r="K39" s="475"/>
      <c r="L39" s="475"/>
      <c r="M39" s="475"/>
      <c r="N39" s="475"/>
      <c r="O39" s="475"/>
    </row>
    <row r="40" spans="2:15" customFormat="1">
      <c r="B40" s="5" t="s">
        <v>687</v>
      </c>
    </row>
    <row r="41" spans="2:15" customFormat="1">
      <c r="B41" s="5"/>
    </row>
    <row r="42" spans="2:15" customFormat="1">
      <c r="C42" s="75" t="s">
        <v>686</v>
      </c>
    </row>
    <row r="43" spans="2:15" customFormat="1">
      <c r="C43" s="75"/>
    </row>
    <row r="44" spans="2:15" customFormat="1" ht="13.15" customHeight="1">
      <c r="D44" s="1155" t="s">
        <v>1483</v>
      </c>
      <c r="E44" s="1155"/>
      <c r="F44" s="1155"/>
      <c r="G44" s="1155"/>
      <c r="H44" s="1155"/>
      <c r="I44" s="1155"/>
      <c r="J44" s="1155"/>
      <c r="K44" s="1155"/>
      <c r="L44" s="1155"/>
      <c r="M44" s="1155"/>
      <c r="N44" s="1155"/>
      <c r="O44" s="1155"/>
    </row>
    <row r="45" spans="2:15" customFormat="1">
      <c r="D45" s="1155"/>
      <c r="E45" s="1155"/>
      <c r="F45" s="1155"/>
      <c r="G45" s="1155"/>
      <c r="H45" s="1155"/>
      <c r="I45" s="1155"/>
      <c r="J45" s="1155"/>
      <c r="K45" s="1155"/>
      <c r="L45" s="1155"/>
      <c r="M45" s="1155"/>
      <c r="N45" s="1155"/>
      <c r="O45" s="1155"/>
    </row>
    <row r="46" spans="2:15" customFormat="1">
      <c r="D46" s="1155"/>
      <c r="E46" s="1155"/>
      <c r="F46" s="1155"/>
      <c r="G46" s="1155"/>
      <c r="H46" s="1155"/>
      <c r="I46" s="1155"/>
      <c r="J46" s="1155"/>
      <c r="K46" s="1155"/>
      <c r="L46" s="1155"/>
      <c r="M46" s="1155"/>
      <c r="N46" s="1155"/>
      <c r="O46" s="1155"/>
    </row>
    <row r="47" spans="2:15" customFormat="1">
      <c r="D47" s="475"/>
      <c r="E47" s="475"/>
      <c r="F47" s="475"/>
      <c r="G47" s="475"/>
      <c r="H47" s="475"/>
      <c r="I47" s="475"/>
      <c r="J47" s="475"/>
      <c r="K47" s="475"/>
      <c r="L47" s="475"/>
      <c r="M47" s="475"/>
      <c r="N47" s="475"/>
      <c r="O47" s="475"/>
    </row>
    <row r="48" spans="2:15" customFormat="1">
      <c r="D48" s="1150" t="s">
        <v>685</v>
      </c>
      <c r="E48" s="1150"/>
      <c r="F48" s="1150"/>
      <c r="G48" s="1150"/>
      <c r="H48" s="1150"/>
      <c r="I48" s="1150"/>
      <c r="J48" s="1150"/>
      <c r="K48" s="1150"/>
      <c r="L48" s="1150"/>
      <c r="M48" s="1150"/>
      <c r="N48" s="1150"/>
      <c r="O48" s="1150"/>
    </row>
    <row r="49" spans="1:15" customFormat="1">
      <c r="D49" s="475"/>
      <c r="E49" s="475"/>
      <c r="F49" s="475"/>
      <c r="G49" s="475"/>
      <c r="H49" s="475"/>
      <c r="I49" s="475"/>
      <c r="J49" s="475"/>
      <c r="K49" s="475"/>
      <c r="L49" s="475"/>
      <c r="M49" s="475"/>
      <c r="N49" s="475"/>
      <c r="O49" s="475"/>
    </row>
    <row r="50" spans="1:15" customFormat="1">
      <c r="C50" s="75" t="s">
        <v>684</v>
      </c>
    </row>
    <row r="51" spans="1:15" customFormat="1">
      <c r="C51" s="75"/>
    </row>
    <row r="52" spans="1:15" customFormat="1">
      <c r="D52" s="1160" t="s">
        <v>1484</v>
      </c>
      <c r="E52" s="1160"/>
      <c r="F52" s="1160"/>
      <c r="G52" s="1160"/>
      <c r="H52" s="1160"/>
      <c r="I52" s="1160"/>
      <c r="J52" s="1160"/>
      <c r="K52" s="1160"/>
      <c r="L52" s="1160"/>
      <c r="M52" s="1160"/>
      <c r="N52" s="1160"/>
      <c r="O52" s="1160"/>
    </row>
    <row r="53" spans="1:15" customFormat="1">
      <c r="D53" s="1160"/>
      <c r="E53" s="1160"/>
      <c r="F53" s="1160"/>
      <c r="G53" s="1160"/>
      <c r="H53" s="1160"/>
      <c r="I53" s="1160"/>
      <c r="J53" s="1160"/>
      <c r="K53" s="1160"/>
      <c r="L53" s="1160"/>
      <c r="M53" s="1160"/>
      <c r="N53" s="1160"/>
      <c r="O53" s="1160"/>
    </row>
    <row r="54" spans="1:15" customFormat="1">
      <c r="D54" s="475"/>
      <c r="E54" s="475"/>
      <c r="F54" s="475"/>
      <c r="G54" s="475"/>
      <c r="H54" s="475"/>
      <c r="I54" s="475"/>
      <c r="J54" s="475"/>
      <c r="K54" s="475"/>
      <c r="L54" s="475"/>
      <c r="M54" s="475"/>
      <c r="N54" s="475"/>
      <c r="O54" s="475"/>
    </row>
    <row r="55" spans="1:15" customFormat="1">
      <c r="C55" s="75" t="s">
        <v>683</v>
      </c>
    </row>
    <row r="56" spans="1:15" customFormat="1">
      <c r="C56" s="75"/>
    </row>
    <row r="57" spans="1:15" customFormat="1">
      <c r="D57" s="1150" t="s">
        <v>1115</v>
      </c>
      <c r="E57" s="1150"/>
      <c r="F57" s="1150"/>
      <c r="G57" s="1150"/>
      <c r="H57" s="1150"/>
      <c r="I57" s="1150"/>
      <c r="J57" s="1150"/>
      <c r="K57" s="1150"/>
      <c r="L57" s="1150"/>
      <c r="M57" s="1150"/>
      <c r="N57" s="1150"/>
      <c r="O57" s="1150"/>
    </row>
    <row r="59" spans="1:15" s="30" customFormat="1">
      <c r="A59" s="32"/>
      <c r="B59" s="30">
        <v>1</v>
      </c>
      <c r="D59" s="30" t="s">
        <v>23</v>
      </c>
    </row>
    <row r="61" spans="1:15">
      <c r="D61" s="31" t="s">
        <v>22</v>
      </c>
      <c r="G61" s="1001" t="s">
        <v>1531</v>
      </c>
      <c r="H61" s="25" t="s">
        <v>21</v>
      </c>
      <c r="J61" s="767" t="s">
        <v>1148</v>
      </c>
    </row>
    <row r="62" spans="1:15">
      <c r="D62" s="31" t="s">
        <v>20</v>
      </c>
      <c r="G62" s="1039" t="s">
        <v>1681</v>
      </c>
      <c r="H62" s="25" t="s">
        <v>19</v>
      </c>
      <c r="J62" s="767" t="s">
        <v>1148</v>
      </c>
    </row>
    <row r="63" spans="1:15">
      <c r="D63" s="31" t="s">
        <v>18</v>
      </c>
      <c r="G63" s="24" t="str">
        <f>CurrentVersion</f>
        <v>TSM_201819 Publication</v>
      </c>
      <c r="H63" s="25" t="s">
        <v>17</v>
      </c>
    </row>
    <row r="65" spans="1:8" s="29" customFormat="1">
      <c r="A65" s="23"/>
      <c r="B65" s="30">
        <v>2</v>
      </c>
      <c r="C65" s="30"/>
      <c r="D65" s="30" t="s">
        <v>16</v>
      </c>
    </row>
    <row r="67" spans="1:8">
      <c r="E67" s="1157" t="s">
        <v>33</v>
      </c>
      <c r="F67" s="1158"/>
      <c r="G67" s="1158"/>
    </row>
    <row r="68" spans="1:8">
      <c r="E68" s="1151" t="s">
        <v>32</v>
      </c>
      <c r="F68" s="1151"/>
      <c r="G68" s="1151"/>
      <c r="H68" s="28"/>
    </row>
    <row r="69" spans="1:8">
      <c r="E69" s="1152" t="s">
        <v>11</v>
      </c>
      <c r="F69" s="1152"/>
      <c r="G69" s="1152"/>
      <c r="H69" s="28"/>
    </row>
    <row r="70" spans="1:8">
      <c r="E70" s="1156" t="s">
        <v>25</v>
      </c>
      <c r="F70" s="1156"/>
      <c r="G70" s="1156"/>
      <c r="H70" s="28"/>
    </row>
    <row r="71" spans="1:8">
      <c r="E71" s="1159"/>
      <c r="F71" s="1159"/>
      <c r="G71" s="1159"/>
    </row>
    <row r="73" spans="1:8">
      <c r="D73" s="23" t="s">
        <v>177</v>
      </c>
    </row>
    <row r="75" spans="1:8" s="29" customFormat="1">
      <c r="A75" s="23"/>
      <c r="B75" s="30">
        <v>3</v>
      </c>
      <c r="C75" s="30"/>
      <c r="D75" s="30" t="s">
        <v>178</v>
      </c>
    </row>
    <row r="77" spans="1:8" ht="18">
      <c r="B77" s="166">
        <f>'Title_&amp;_Contents'!M17</f>
        <v>0</v>
      </c>
      <c r="C77" s="23" t="s">
        <v>488</v>
      </c>
    </row>
  </sheetData>
  <mergeCells count="13">
    <mergeCell ref="E70:G70"/>
    <mergeCell ref="E67:G67"/>
    <mergeCell ref="E71:G71"/>
    <mergeCell ref="D57:O57"/>
    <mergeCell ref="D52:O53"/>
    <mergeCell ref="D48:O48"/>
    <mergeCell ref="E68:G68"/>
    <mergeCell ref="E69:G69"/>
    <mergeCell ref="C10:O14"/>
    <mergeCell ref="C37:O38"/>
    <mergeCell ref="D44:O46"/>
    <mergeCell ref="C16:O18"/>
    <mergeCell ref="C20:O21"/>
  </mergeCells>
  <hyperlinks>
    <hyperlink ref="D4" location="Map_of_sheets!A1" display="Map of Sheets"/>
    <hyperlink ref="B4" location="'Title_&amp;_Contents'!A1" display="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T150"/>
  <sheetViews>
    <sheetView showGridLines="0" workbookViewId="0"/>
  </sheetViews>
  <sheetFormatPr defaultRowHeight="12.75"/>
  <cols>
    <col min="2" max="6" width="12.7109375" customWidth="1"/>
    <col min="8" max="8" width="9.14062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5" customHeight="1">
      <c r="A5" s="1293" t="s">
        <v>1419</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60"/>
      <c r="C8" s="60"/>
      <c r="D8" s="285"/>
      <c r="E8" s="60"/>
      <c r="F8" s="60"/>
      <c r="G8" s="60"/>
      <c r="H8" s="60"/>
      <c r="I8" s="60"/>
      <c r="J8" s="60"/>
      <c r="K8" s="60"/>
      <c r="L8" s="60"/>
      <c r="M8" s="60"/>
      <c r="N8" s="60"/>
      <c r="O8" s="44"/>
    </row>
    <row r="9" spans="1:20" s="45" customFormat="1">
      <c r="A9" s="53" t="s">
        <v>1418</v>
      </c>
      <c r="B9" s="60"/>
      <c r="C9" s="60"/>
      <c r="D9" s="285"/>
      <c r="E9" s="60"/>
      <c r="F9" s="60"/>
      <c r="G9" s="60"/>
      <c r="H9" s="60"/>
      <c r="I9" s="60"/>
      <c r="J9" s="60"/>
      <c r="K9" s="60"/>
      <c r="L9" s="60"/>
      <c r="M9" s="60"/>
      <c r="N9" s="60"/>
      <c r="O9" s="44"/>
    </row>
    <row r="10" spans="1:20" s="49" customFormat="1" ht="13.5" customHeight="1">
      <c r="A10" s="54">
        <f>SUM(A13:A2227)</f>
        <v>0</v>
      </c>
      <c r="B10" s="72"/>
      <c r="C10" s="286"/>
      <c r="D10" s="286"/>
      <c r="E10" s="286"/>
      <c r="F10" s="71"/>
      <c r="G10" s="286"/>
      <c r="H10" s="71"/>
      <c r="I10" s="287"/>
      <c r="J10" s="287"/>
      <c r="K10" s="287"/>
      <c r="L10" s="287"/>
      <c r="M10" s="287"/>
      <c r="N10" s="287"/>
      <c r="O10" s="48"/>
    </row>
    <row r="12" spans="1:20">
      <c r="H12" s="75" t="s">
        <v>115</v>
      </c>
    </row>
    <row r="14" spans="1:20">
      <c r="H14" s="5">
        <v>0.1</v>
      </c>
      <c r="I14" s="5">
        <v>0.2</v>
      </c>
      <c r="J14" s="5">
        <v>0.3</v>
      </c>
      <c r="K14" s="5">
        <v>0.4</v>
      </c>
    </row>
    <row r="16" spans="1:20" ht="18">
      <c r="B16" s="38" t="s">
        <v>1170</v>
      </c>
    </row>
    <row r="18" spans="2:7">
      <c r="B18" s="75" t="str">
        <f>RAW_DATA_INPUTS!H128</f>
        <v xml:space="preserve">MALE PRIMARY Starting Stock figures </v>
      </c>
      <c r="G18" s="213"/>
    </row>
    <row r="20" spans="2:7">
      <c r="B20" s="1241" t="str">
        <f>RAW_DATA_INPUTS!B131</f>
        <v>Age group</v>
      </c>
      <c r="C20" s="1292" t="s">
        <v>71</v>
      </c>
      <c r="D20" s="1292"/>
      <c r="E20" s="1292"/>
      <c r="F20" s="1292"/>
    </row>
    <row r="21" spans="2:7">
      <c r="B21" s="1242"/>
      <c r="C21" s="8" t="str">
        <f>RAW_DATA_INPUTS!C131</f>
        <v>2012/13</v>
      </c>
      <c r="D21" s="8" t="str">
        <f>RAW_DATA_INPUTS!D131</f>
        <v>2013/14</v>
      </c>
      <c r="E21" s="8" t="str">
        <f>RAW_DATA_INPUTS!E131</f>
        <v>2014/15</v>
      </c>
      <c r="F21" s="8" t="str">
        <f>RAW_DATA_INPUTS!F131</f>
        <v>2015/16</v>
      </c>
    </row>
    <row r="22" spans="2:7">
      <c r="B22" s="8" t="str">
        <f>RAW_DATA_INPUTS!B132</f>
        <v>20-24</v>
      </c>
      <c r="C22" s="300">
        <f>RAW_DATA_INPUTS!I132</f>
        <v>1520.6320000000001</v>
      </c>
      <c r="D22" s="300">
        <f>RAW_DATA_INPUTS!J132</f>
        <v>1750.7570000000001</v>
      </c>
      <c r="E22" s="300">
        <f>RAW_DATA_INPUTS!K132</f>
        <v>1985.549</v>
      </c>
      <c r="F22" s="300">
        <f>RAW_DATA_INPUTS!L132</f>
        <v>2202.6010000000001</v>
      </c>
      <c r="G22" s="5"/>
    </row>
    <row r="23" spans="2:7">
      <c r="B23" s="8" t="str">
        <f>RAW_DATA_INPUTS!B133</f>
        <v>25-29</v>
      </c>
      <c r="C23" s="300">
        <f>RAW_DATA_INPUTS!I133</f>
        <v>4838.1310000000003</v>
      </c>
      <c r="D23" s="300">
        <f>RAW_DATA_INPUTS!J133</f>
        <v>5392.6440000000002</v>
      </c>
      <c r="E23" s="300">
        <f>RAW_DATA_INPUTS!K133</f>
        <v>6027.674</v>
      </c>
      <c r="F23" s="300">
        <f>RAW_DATA_INPUTS!L133</f>
        <v>6371.741</v>
      </c>
      <c r="G23" s="5"/>
    </row>
    <row r="24" spans="2:7">
      <c r="B24" s="8" t="str">
        <f>RAW_DATA_INPUTS!B134</f>
        <v>30-34</v>
      </c>
      <c r="C24" s="300">
        <f>RAW_DATA_INPUTS!I134</f>
        <v>5134.1400000000003</v>
      </c>
      <c r="D24" s="300">
        <f>RAW_DATA_INPUTS!J134</f>
        <v>5449.6239999999998</v>
      </c>
      <c r="E24" s="300">
        <f>RAW_DATA_INPUTS!K134</f>
        <v>5632.1589999999997</v>
      </c>
      <c r="F24" s="300">
        <f>RAW_DATA_INPUTS!L134</f>
        <v>5887.6530000000002</v>
      </c>
      <c r="G24" s="5"/>
    </row>
    <row r="25" spans="2:7">
      <c r="B25" s="8" t="str">
        <f>RAW_DATA_INPUTS!B135</f>
        <v>35-39</v>
      </c>
      <c r="C25" s="300">
        <f>RAW_DATA_INPUTS!I135</f>
        <v>4655.9409999999998</v>
      </c>
      <c r="D25" s="300">
        <f>RAW_DATA_INPUTS!J135</f>
        <v>4700.1790000000001</v>
      </c>
      <c r="E25" s="300">
        <f>RAW_DATA_INPUTS!K135</f>
        <v>4915.2269999999999</v>
      </c>
      <c r="F25" s="300">
        <f>RAW_DATA_INPUTS!L135</f>
        <v>5058.2569999999996</v>
      </c>
      <c r="G25" s="5"/>
    </row>
    <row r="26" spans="2:7">
      <c r="B26" s="8" t="str">
        <f>RAW_DATA_INPUTS!B136</f>
        <v>40-44</v>
      </c>
      <c r="C26" s="300">
        <f>RAW_DATA_INPUTS!I136</f>
        <v>4193.6480000000001</v>
      </c>
      <c r="D26" s="300">
        <f>RAW_DATA_INPUTS!J136</f>
        <v>4411.1869999999999</v>
      </c>
      <c r="E26" s="300">
        <f>RAW_DATA_INPUTS!K136</f>
        <v>4576.1760000000004</v>
      </c>
      <c r="F26" s="300">
        <f>RAW_DATA_INPUTS!L136</f>
        <v>4720.2209999999995</v>
      </c>
      <c r="G26" s="5"/>
    </row>
    <row r="27" spans="2:7">
      <c r="B27" s="8" t="str">
        <f>RAW_DATA_INPUTS!B137</f>
        <v>45-49</v>
      </c>
      <c r="C27" s="300">
        <f>RAW_DATA_INPUTS!I137</f>
        <v>3456.4459999999999</v>
      </c>
      <c r="D27" s="300">
        <f>RAW_DATA_INPUTS!J137</f>
        <v>3513.2620000000002</v>
      </c>
      <c r="E27" s="300">
        <f>RAW_DATA_INPUTS!K137</f>
        <v>3580.056</v>
      </c>
      <c r="F27" s="300">
        <f>RAW_DATA_INPUTS!L137</f>
        <v>3574.6309999999999</v>
      </c>
      <c r="G27" s="5"/>
    </row>
    <row r="28" spans="2:7">
      <c r="B28" s="8" t="str">
        <f>RAW_DATA_INPUTS!B138</f>
        <v>50-54</v>
      </c>
      <c r="C28" s="300">
        <f>RAW_DATA_INPUTS!I138</f>
        <v>2466.4589999999998</v>
      </c>
      <c r="D28" s="300">
        <f>RAW_DATA_INPUTS!J138</f>
        <v>2520.5309999999999</v>
      </c>
      <c r="E28" s="300">
        <f>RAW_DATA_INPUTS!K138</f>
        <v>2616.971</v>
      </c>
      <c r="F28" s="300">
        <f>RAW_DATA_INPUTS!L138</f>
        <v>2819.6610000000001</v>
      </c>
      <c r="G28" s="5"/>
    </row>
    <row r="29" spans="2:7">
      <c r="B29" s="8" t="str">
        <f>RAW_DATA_INPUTS!B139</f>
        <v>55-59</v>
      </c>
      <c r="C29" s="300">
        <f>RAW_DATA_INPUTS!I139</f>
        <v>2190.3180000000002</v>
      </c>
      <c r="D29" s="300">
        <f>RAW_DATA_INPUTS!J139</f>
        <v>1979.7349999999999</v>
      </c>
      <c r="E29" s="300">
        <f>RAW_DATA_INPUTS!K139</f>
        <v>1702.2940000000001</v>
      </c>
      <c r="F29" s="300">
        <f>RAW_DATA_INPUTS!L139</f>
        <v>1554.8320000000001</v>
      </c>
      <c r="G29" s="5"/>
    </row>
    <row r="30" spans="2:7">
      <c r="B30" s="8" t="str">
        <f>RAW_DATA_INPUTS!B140</f>
        <v>60-64</v>
      </c>
      <c r="C30" s="300">
        <f>RAW_DATA_INPUTS!I140</f>
        <v>752.19299999999998</v>
      </c>
      <c r="D30" s="300">
        <f>RAW_DATA_INPUTS!J140</f>
        <v>707.94399999999996</v>
      </c>
      <c r="E30" s="300">
        <f>RAW_DATA_INPUTS!K140</f>
        <v>640.995</v>
      </c>
      <c r="F30" s="300">
        <f>RAW_DATA_INPUTS!L140</f>
        <v>577.15200000000004</v>
      </c>
      <c r="G30" s="5"/>
    </row>
    <row r="31" spans="2:7">
      <c r="B31" s="8" t="str">
        <f>RAW_DATA_INPUTS!B141</f>
        <v>65 plus</v>
      </c>
      <c r="C31" s="300">
        <f>RAW_DATA_INPUTS!I141</f>
        <v>144.245</v>
      </c>
      <c r="D31" s="300">
        <f>RAW_DATA_INPUTS!J141</f>
        <v>147.08699999999999</v>
      </c>
      <c r="E31" s="300">
        <f>RAW_DATA_INPUTS!K141</f>
        <v>147.786</v>
      </c>
      <c r="F31" s="300">
        <f>RAW_DATA_INPUTS!L141</f>
        <v>155.78200000000001</v>
      </c>
      <c r="G31" s="5"/>
    </row>
    <row r="32" spans="2:7">
      <c r="B32" s="8" t="str">
        <f>RAW_DATA_INPUTS!B142</f>
        <v>Total</v>
      </c>
      <c r="C32" s="300">
        <f>RAW_DATA_INPUTS!I142</f>
        <v>29352.152999999998</v>
      </c>
      <c r="D32" s="300">
        <f>RAW_DATA_INPUTS!J142</f>
        <v>30572.949999999993</v>
      </c>
      <c r="E32" s="300">
        <f>RAW_DATA_INPUTS!K142</f>
        <v>31824.887000000002</v>
      </c>
      <c r="F32" s="300">
        <f>RAW_DATA_INPUTS!L142</f>
        <v>32922.530999999995</v>
      </c>
      <c r="G32" s="5"/>
    </row>
    <row r="33" spans="1:6">
      <c r="A33">
        <f>SUM(C33:F33)</f>
        <v>0</v>
      </c>
      <c r="C33">
        <f>SUM(C22:C31)-C32</f>
        <v>0</v>
      </c>
      <c r="D33">
        <f>SUM(D22:D31)-D32</f>
        <v>0</v>
      </c>
      <c r="E33">
        <f>SUM(E22:E31)-E32</f>
        <v>0</v>
      </c>
      <c r="F33">
        <f>SUM(F22:F31)-F32</f>
        <v>0</v>
      </c>
    </row>
    <row r="35" spans="1:6">
      <c r="B35" s="75" t="str">
        <f>RAW_DATA_INPUTS!H162</f>
        <v xml:space="preserve">FEMALE PRIMARY Starting Stock figures </v>
      </c>
    </row>
    <row r="37" spans="1:6">
      <c r="B37" s="1241" t="str">
        <f>RAW_DATA_INPUTS!B148</f>
        <v>Age group</v>
      </c>
      <c r="C37" s="1292" t="str">
        <f>C20</f>
        <v>Year</v>
      </c>
      <c r="D37" s="1292"/>
      <c r="E37" s="1292"/>
      <c r="F37" s="1292"/>
    </row>
    <row r="38" spans="1:6">
      <c r="B38" s="1242"/>
      <c r="C38" s="8" t="str">
        <f>C21</f>
        <v>2012/13</v>
      </c>
      <c r="D38" s="8" t="str">
        <f>D21</f>
        <v>2013/14</v>
      </c>
      <c r="E38" s="8" t="str">
        <f>E21</f>
        <v>2014/15</v>
      </c>
      <c r="F38" s="8" t="str">
        <f>F21</f>
        <v>2015/16</v>
      </c>
    </row>
    <row r="39" spans="1:6">
      <c r="B39" s="8" t="str">
        <f>RAW_DATA_INPUTS!B166</f>
        <v>20-24</v>
      </c>
      <c r="C39" s="300">
        <f>RAW_DATA_INPUTS!I166</f>
        <v>12592.982</v>
      </c>
      <c r="D39" s="300">
        <f>RAW_DATA_INPUTS!J166</f>
        <v>13760.672</v>
      </c>
      <c r="E39" s="300">
        <f>RAW_DATA_INPUTS!K166</f>
        <v>14963.962</v>
      </c>
      <c r="F39" s="300">
        <f>RAW_DATA_INPUTS!L166</f>
        <v>15880.837</v>
      </c>
    </row>
    <row r="40" spans="1:6">
      <c r="B40" s="8" t="str">
        <f>RAW_DATA_INPUTS!B167</f>
        <v>25-29</v>
      </c>
      <c r="C40" s="300">
        <f>RAW_DATA_INPUTS!I167</f>
        <v>32280.429</v>
      </c>
      <c r="D40" s="300">
        <f>RAW_DATA_INPUTS!J167</f>
        <v>33866.099000000002</v>
      </c>
      <c r="E40" s="300">
        <f>RAW_DATA_INPUTS!K167</f>
        <v>35002.156000000003</v>
      </c>
      <c r="F40" s="300">
        <f>RAW_DATA_INPUTS!L167</f>
        <v>36084.021999999997</v>
      </c>
    </row>
    <row r="41" spans="1:6">
      <c r="B41" s="8" t="str">
        <f>RAW_DATA_INPUTS!B168</f>
        <v>30-34</v>
      </c>
      <c r="C41" s="300">
        <f>RAW_DATA_INPUTS!I168</f>
        <v>32550.100999999999</v>
      </c>
      <c r="D41" s="300">
        <f>RAW_DATA_INPUTS!J168</f>
        <v>33001.625</v>
      </c>
      <c r="E41" s="300">
        <f>RAW_DATA_INPUTS!K168</f>
        <v>33276.052000000003</v>
      </c>
      <c r="F41" s="300">
        <f>RAW_DATA_INPUTS!L168</f>
        <v>33305.402999999998</v>
      </c>
    </row>
    <row r="42" spans="1:6">
      <c r="B42" s="8" t="str">
        <f>RAW_DATA_INPUTS!B169</f>
        <v>35-39</v>
      </c>
      <c r="C42" s="300">
        <f>RAW_DATA_INPUTS!I169</f>
        <v>28328.204000000002</v>
      </c>
      <c r="D42" s="300">
        <f>RAW_DATA_INPUTS!J169</f>
        <v>28840.702000000001</v>
      </c>
      <c r="E42" s="300">
        <f>RAW_DATA_INPUTS!K169</f>
        <v>29761.575000000001</v>
      </c>
      <c r="F42" s="300">
        <f>RAW_DATA_INPUTS!L169</f>
        <v>30394.802</v>
      </c>
    </row>
    <row r="43" spans="1:6">
      <c r="B43" s="8" t="str">
        <f>RAW_DATA_INPUTS!B170</f>
        <v>40-44</v>
      </c>
      <c r="C43" s="300">
        <f>RAW_DATA_INPUTS!I170</f>
        <v>25380.601999999999</v>
      </c>
      <c r="D43" s="300">
        <f>RAW_DATA_INPUTS!J170</f>
        <v>26799.722000000002</v>
      </c>
      <c r="E43" s="300">
        <f>RAW_DATA_INPUTS!K170</f>
        <v>28073.974999999999</v>
      </c>
      <c r="F43" s="300">
        <f>RAW_DATA_INPUTS!L170</f>
        <v>28763.323</v>
      </c>
    </row>
    <row r="44" spans="1:6">
      <c r="B44" s="8" t="str">
        <f>RAW_DATA_INPUTS!B171</f>
        <v>45-49</v>
      </c>
      <c r="C44" s="300">
        <f>RAW_DATA_INPUTS!I171</f>
        <v>23192.953000000001</v>
      </c>
      <c r="D44" s="300">
        <f>RAW_DATA_INPUTS!J171</f>
        <v>23727.492999999999</v>
      </c>
      <c r="E44" s="300">
        <f>RAW_DATA_INPUTS!K171</f>
        <v>24125.978999999999</v>
      </c>
      <c r="F44" s="300">
        <f>RAW_DATA_INPUTS!L171</f>
        <v>24098.191999999999</v>
      </c>
    </row>
    <row r="45" spans="1:6">
      <c r="B45" s="8" t="str">
        <f>RAW_DATA_INPUTS!B172</f>
        <v>50-54</v>
      </c>
      <c r="C45" s="300">
        <f>RAW_DATA_INPUTS!I172</f>
        <v>18361.562999999998</v>
      </c>
      <c r="D45" s="300">
        <f>RAW_DATA_INPUTS!J172</f>
        <v>18123.674999999999</v>
      </c>
      <c r="E45" s="300">
        <f>RAW_DATA_INPUTS!K172</f>
        <v>18577.827000000001</v>
      </c>
      <c r="F45" s="300">
        <f>RAW_DATA_INPUTS!L172</f>
        <v>19247.541000000001</v>
      </c>
    </row>
    <row r="46" spans="1:6">
      <c r="B46" s="8" t="str">
        <f>RAW_DATA_INPUTS!B173</f>
        <v>55-59</v>
      </c>
      <c r="C46" s="300">
        <f>RAW_DATA_INPUTS!I173</f>
        <v>17576.541000000001</v>
      </c>
      <c r="D46" s="300">
        <f>RAW_DATA_INPUTS!J173</f>
        <v>16142.142</v>
      </c>
      <c r="E46" s="300">
        <f>RAW_DATA_INPUTS!K173</f>
        <v>14393.888000000001</v>
      </c>
      <c r="F46" s="300">
        <f>RAW_DATA_INPUTS!L173</f>
        <v>13074.165999999999</v>
      </c>
    </row>
    <row r="47" spans="1:6">
      <c r="B47" s="8" t="str">
        <f>RAW_DATA_INPUTS!B174</f>
        <v>60-64</v>
      </c>
      <c r="C47" s="300">
        <f>RAW_DATA_INPUTS!I174</f>
        <v>4905.2269999999999</v>
      </c>
      <c r="D47" s="300">
        <f>RAW_DATA_INPUTS!J174</f>
        <v>4923.1350000000002</v>
      </c>
      <c r="E47" s="300">
        <f>RAW_DATA_INPUTS!K174</f>
        <v>4881.8760000000002</v>
      </c>
      <c r="F47" s="300">
        <f>RAW_DATA_INPUTS!L174</f>
        <v>4727.3320000000003</v>
      </c>
    </row>
    <row r="48" spans="1:6">
      <c r="B48" s="8" t="str">
        <f>RAW_DATA_INPUTS!B175</f>
        <v>65 plus</v>
      </c>
      <c r="C48" s="300">
        <f>RAW_DATA_INPUTS!I175</f>
        <v>722.08799999999997</v>
      </c>
      <c r="D48" s="300">
        <f>RAW_DATA_INPUTS!J175</f>
        <v>748.69500000000005</v>
      </c>
      <c r="E48" s="300">
        <f>RAW_DATA_INPUTS!K175</f>
        <v>787.31799999999998</v>
      </c>
      <c r="F48" s="300">
        <f>RAW_DATA_INPUTS!L175</f>
        <v>836.12</v>
      </c>
    </row>
    <row r="49" spans="1:6">
      <c r="B49" s="8" t="str">
        <f>RAW_DATA_INPUTS!B176</f>
        <v>Total</v>
      </c>
      <c r="C49" s="300">
        <f>RAW_DATA_INPUTS!I176</f>
        <v>195890.69</v>
      </c>
      <c r="D49" s="300">
        <f>RAW_DATA_INPUTS!J176</f>
        <v>199933.96</v>
      </c>
      <c r="E49" s="300">
        <f>RAW_DATA_INPUTS!K176</f>
        <v>203844.60799999998</v>
      </c>
      <c r="F49" s="300">
        <f>RAW_DATA_INPUTS!L176</f>
        <v>206411.73799999998</v>
      </c>
    </row>
    <row r="50" spans="1:6">
      <c r="A50">
        <f>SUM(C50:F50)</f>
        <v>0</v>
      </c>
      <c r="C50">
        <f>SUM(C39:C48)-C49</f>
        <v>0</v>
      </c>
      <c r="D50">
        <f>SUM(D39:D48)-D49</f>
        <v>0</v>
      </c>
      <c r="E50">
        <f>SUM(E39:E48)-E49</f>
        <v>0</v>
      </c>
      <c r="F50">
        <f>SUM(F39:F48)-F49</f>
        <v>0</v>
      </c>
    </row>
    <row r="52" spans="1:6" ht="18">
      <c r="B52" s="38" t="s">
        <v>109</v>
      </c>
    </row>
    <row r="54" spans="1:6">
      <c r="B54" s="75" t="s">
        <v>110</v>
      </c>
    </row>
    <row r="56" spans="1:6">
      <c r="B56" s="1241" t="str">
        <f>B37</f>
        <v>Age group</v>
      </c>
      <c r="C56" s="1292" t="str">
        <f>C37</f>
        <v>Year</v>
      </c>
      <c r="D56" s="1292"/>
      <c r="E56" s="1292"/>
      <c r="F56" s="1292"/>
    </row>
    <row r="57" spans="1:6">
      <c r="B57" s="1242"/>
      <c r="C57" s="8" t="str">
        <f>Calc_SEC_death_rates!C57</f>
        <v>2012/13</v>
      </c>
      <c r="D57" s="8" t="str">
        <f>Calc_SEC_death_rates!D57</f>
        <v>2013/14</v>
      </c>
      <c r="E57" s="8" t="str">
        <f>Calc_SEC_death_rates!E57</f>
        <v>2014/15</v>
      </c>
      <c r="F57" s="8" t="str">
        <f>Calc_SEC_death_rates!F57</f>
        <v>2015/16</v>
      </c>
    </row>
    <row r="58" spans="1:6">
      <c r="B58" s="8" t="str">
        <f t="shared" ref="B58:B68" si="0">B39</f>
        <v>20-24</v>
      </c>
      <c r="C58" s="300">
        <f>RAW_DATA_INPUTS!I149</f>
        <v>147.88300000000001</v>
      </c>
      <c r="D58" s="300">
        <f>RAW_DATA_INPUTS!J149</f>
        <v>207.41900000000001</v>
      </c>
      <c r="E58" s="300">
        <f>RAW_DATA_INPUTS!K149</f>
        <v>232.51</v>
      </c>
      <c r="F58" s="300">
        <f>RAW_DATA_INPUTS!L149</f>
        <v>291.69499999999999</v>
      </c>
    </row>
    <row r="59" spans="1:6">
      <c r="B59" s="8" t="str">
        <f t="shared" si="0"/>
        <v>25-29</v>
      </c>
      <c r="C59" s="300">
        <f>RAW_DATA_INPUTS!I150</f>
        <v>506.47199999999998</v>
      </c>
      <c r="D59" s="300">
        <f>RAW_DATA_INPUTS!J150</f>
        <v>559.17600000000004</v>
      </c>
      <c r="E59" s="300">
        <f>RAW_DATA_INPUTS!K150</f>
        <v>656.00900000000001</v>
      </c>
      <c r="F59" s="300">
        <f>RAW_DATA_INPUTS!L150</f>
        <v>719.02300000000002</v>
      </c>
    </row>
    <row r="60" spans="1:6">
      <c r="B60" s="8" t="str">
        <f t="shared" si="0"/>
        <v>30-34</v>
      </c>
      <c r="C60" s="300">
        <f>RAW_DATA_INPUTS!I151</f>
        <v>400.84899999999999</v>
      </c>
      <c r="D60" s="300">
        <f>RAW_DATA_INPUTS!J151</f>
        <v>460.54</v>
      </c>
      <c r="E60" s="300">
        <f>RAW_DATA_INPUTS!K151</f>
        <v>556.71900000000005</v>
      </c>
      <c r="F60" s="300">
        <f>RAW_DATA_INPUTS!L151</f>
        <v>498.26900000000001</v>
      </c>
    </row>
    <row r="61" spans="1:6">
      <c r="B61" s="8" t="str">
        <f t="shared" si="0"/>
        <v>35-39</v>
      </c>
      <c r="C61" s="300">
        <f>RAW_DATA_INPUTS!I152</f>
        <v>310.92700000000002</v>
      </c>
      <c r="D61" s="300">
        <f>RAW_DATA_INPUTS!J152</f>
        <v>369.88600000000002</v>
      </c>
      <c r="E61" s="300">
        <f>RAW_DATA_INPUTS!K152</f>
        <v>366.61700000000002</v>
      </c>
      <c r="F61" s="300">
        <f>RAW_DATA_INPUTS!L152</f>
        <v>377.77600000000001</v>
      </c>
    </row>
    <row r="62" spans="1:6">
      <c r="B62" s="8" t="str">
        <f t="shared" si="0"/>
        <v>40-44</v>
      </c>
      <c r="C62" s="300">
        <f>RAW_DATA_INPUTS!I153</f>
        <v>290.24099999999999</v>
      </c>
      <c r="D62" s="300">
        <f>RAW_DATA_INPUTS!J153</f>
        <v>348.86700000000002</v>
      </c>
      <c r="E62" s="300">
        <f>RAW_DATA_INPUTS!K153</f>
        <v>374.82600000000002</v>
      </c>
      <c r="F62" s="300">
        <f>RAW_DATA_INPUTS!L153</f>
        <v>416.74599999999998</v>
      </c>
    </row>
    <row r="63" spans="1:6">
      <c r="B63" s="8" t="str">
        <f t="shared" si="0"/>
        <v>45-49</v>
      </c>
      <c r="C63" s="300">
        <f>RAW_DATA_INPUTS!I154</f>
        <v>264.66199999999998</v>
      </c>
      <c r="D63" s="300">
        <f>RAW_DATA_INPUTS!J154</f>
        <v>317.72300000000001</v>
      </c>
      <c r="E63" s="300">
        <f>RAW_DATA_INPUTS!K154</f>
        <v>313.25700000000001</v>
      </c>
      <c r="F63" s="300">
        <f>RAW_DATA_INPUTS!L154</f>
        <v>318.39400000000001</v>
      </c>
    </row>
    <row r="64" spans="1:6">
      <c r="B64" s="8" t="str">
        <f t="shared" si="0"/>
        <v>50-54</v>
      </c>
      <c r="C64" s="300">
        <f>RAW_DATA_INPUTS!I155</f>
        <v>156.05500000000001</v>
      </c>
      <c r="D64" s="300">
        <f>RAW_DATA_INPUTS!J155</f>
        <v>194.52199999999999</v>
      </c>
      <c r="E64" s="300">
        <f>RAW_DATA_INPUTS!K155</f>
        <v>222.24</v>
      </c>
      <c r="F64" s="300">
        <f>RAW_DATA_INPUTS!L155</f>
        <v>268.97300000000001</v>
      </c>
    </row>
    <row r="65" spans="1:6">
      <c r="B65" s="8" t="str">
        <f t="shared" si="0"/>
        <v>55-59</v>
      </c>
      <c r="C65" s="300">
        <f>RAW_DATA_INPUTS!I156</f>
        <v>62.81</v>
      </c>
      <c r="D65" s="300">
        <f>RAW_DATA_INPUTS!J156</f>
        <v>90.108000000000004</v>
      </c>
      <c r="E65" s="300">
        <f>RAW_DATA_INPUTS!K156</f>
        <v>85.004999999999995</v>
      </c>
      <c r="F65" s="300">
        <f>RAW_DATA_INPUTS!L156</f>
        <v>120.486</v>
      </c>
    </row>
    <row r="66" spans="1:6">
      <c r="B66" s="8" t="str">
        <f t="shared" si="0"/>
        <v>60-64</v>
      </c>
      <c r="C66" s="300">
        <f>RAW_DATA_INPUTS!I157</f>
        <v>38.286000000000001</v>
      </c>
      <c r="D66" s="300">
        <f>RAW_DATA_INPUTS!J157</f>
        <v>37.652999999999999</v>
      </c>
      <c r="E66" s="300">
        <f>RAW_DATA_INPUTS!K157</f>
        <v>37.963999999999999</v>
      </c>
      <c r="F66" s="300">
        <f>RAW_DATA_INPUTS!L157</f>
        <v>34.091000000000001</v>
      </c>
    </row>
    <row r="67" spans="1:6">
      <c r="B67" s="8" t="str">
        <f t="shared" si="0"/>
        <v>65 plus</v>
      </c>
      <c r="C67" s="300">
        <f>RAW_DATA_INPUTS!I158</f>
        <v>11.183999999999999</v>
      </c>
      <c r="D67" s="300">
        <f>RAW_DATA_INPUTS!J158</f>
        <v>15.725</v>
      </c>
      <c r="E67" s="300">
        <f>RAW_DATA_INPUTS!K158</f>
        <v>7.6159999999999997</v>
      </c>
      <c r="F67" s="300">
        <f>RAW_DATA_INPUTS!L158</f>
        <v>7.9880000000000004</v>
      </c>
    </row>
    <row r="68" spans="1:6">
      <c r="B68" s="8" t="str">
        <f t="shared" si="0"/>
        <v>Total</v>
      </c>
      <c r="C68" s="300">
        <f>RAW_DATA_INPUTS!I159</f>
        <v>2189.3690000000001</v>
      </c>
      <c r="D68" s="300">
        <f>RAW_DATA_INPUTS!J159</f>
        <v>2601.6189999999997</v>
      </c>
      <c r="E68" s="300">
        <f>RAW_DATA_INPUTS!K159</f>
        <v>2852.7629999999999</v>
      </c>
      <c r="F68" s="300">
        <f>RAW_DATA_INPUTS!L159</f>
        <v>3053.4409999999998</v>
      </c>
    </row>
    <row r="69" spans="1:6">
      <c r="A69">
        <f>SUM(C69:F69)</f>
        <v>0</v>
      </c>
      <c r="C69">
        <f>SUM(C58:C67)-C68</f>
        <v>0</v>
      </c>
      <c r="D69">
        <f>SUM(D58:D67)-D68</f>
        <v>0</v>
      </c>
      <c r="E69">
        <f>SUM(E58:E67)-E68</f>
        <v>0</v>
      </c>
      <c r="F69">
        <f>SUM(F58:F67)-F68</f>
        <v>0</v>
      </c>
    </row>
    <row r="71" spans="1:6">
      <c r="B71" s="75" t="s">
        <v>111</v>
      </c>
    </row>
    <row r="73" spans="1:6">
      <c r="B73" s="1241" t="str">
        <f>B56</f>
        <v>Age group</v>
      </c>
      <c r="C73" s="1292" t="str">
        <f>C56</f>
        <v>Year</v>
      </c>
      <c r="D73" s="1292"/>
      <c r="E73" s="1292"/>
      <c r="F73" s="1292"/>
    </row>
    <row r="74" spans="1:6">
      <c r="B74" s="1242"/>
      <c r="C74" s="8" t="str">
        <f>C57</f>
        <v>2012/13</v>
      </c>
      <c r="D74" s="8" t="str">
        <f>D57</f>
        <v>2013/14</v>
      </c>
      <c r="E74" s="8" t="str">
        <f>E57</f>
        <v>2014/15</v>
      </c>
      <c r="F74" s="8" t="str">
        <f>F57</f>
        <v>2015/16</v>
      </c>
    </row>
    <row r="75" spans="1:6">
      <c r="B75" s="8" t="str">
        <f t="shared" ref="B75:B85" si="1">B58</f>
        <v>20-24</v>
      </c>
      <c r="C75" s="300">
        <f>RAW_DATA_INPUTS!I183</f>
        <v>1014.803</v>
      </c>
      <c r="D75" s="300">
        <f>RAW_DATA_INPUTS!J183</f>
        <v>1301.182</v>
      </c>
      <c r="E75" s="300">
        <f>RAW_DATA_INPUTS!K183</f>
        <v>1541.5730000000001</v>
      </c>
      <c r="F75" s="300">
        <f>RAW_DATA_INPUTS!L183</f>
        <v>1633.624</v>
      </c>
    </row>
    <row r="76" spans="1:6">
      <c r="B76" s="8" t="str">
        <f t="shared" si="1"/>
        <v>25-29</v>
      </c>
      <c r="C76" s="300">
        <f>RAW_DATA_INPUTS!I184</f>
        <v>2556.4029999999998</v>
      </c>
      <c r="D76" s="300">
        <f>RAW_DATA_INPUTS!J184</f>
        <v>2991.4110000000001</v>
      </c>
      <c r="E76" s="300">
        <f>RAW_DATA_INPUTS!K184</f>
        <v>3329.7330000000002</v>
      </c>
      <c r="F76" s="300">
        <f>RAW_DATA_INPUTS!L184</f>
        <v>3301.8490000000002</v>
      </c>
    </row>
    <row r="77" spans="1:6">
      <c r="B77" s="8" t="str">
        <f t="shared" si="1"/>
        <v>30-34</v>
      </c>
      <c r="C77" s="300">
        <f>RAW_DATA_INPUTS!I185</f>
        <v>2381.8910000000001</v>
      </c>
      <c r="D77" s="300">
        <f>RAW_DATA_INPUTS!J185</f>
        <v>2666.605</v>
      </c>
      <c r="E77" s="300">
        <f>RAW_DATA_INPUTS!K185</f>
        <v>2800.451</v>
      </c>
      <c r="F77" s="300">
        <f>RAW_DATA_INPUTS!L185</f>
        <v>2782.297</v>
      </c>
    </row>
    <row r="78" spans="1:6">
      <c r="B78" s="8" t="str">
        <f t="shared" si="1"/>
        <v>35-39</v>
      </c>
      <c r="C78" s="300">
        <f>RAW_DATA_INPUTS!I186</f>
        <v>1994.4</v>
      </c>
      <c r="D78" s="300">
        <f>RAW_DATA_INPUTS!J186</f>
        <v>2092.6790000000001</v>
      </c>
      <c r="E78" s="300">
        <f>RAW_DATA_INPUTS!K186</f>
        <v>2486.1860000000001</v>
      </c>
      <c r="F78" s="300">
        <f>RAW_DATA_INPUTS!L186</f>
        <v>2382.835</v>
      </c>
    </row>
    <row r="79" spans="1:6">
      <c r="B79" s="8" t="str">
        <f t="shared" si="1"/>
        <v>40-44</v>
      </c>
      <c r="C79" s="300">
        <f>RAW_DATA_INPUTS!I187</f>
        <v>1690.1969999999999</v>
      </c>
      <c r="D79" s="300">
        <f>RAW_DATA_INPUTS!J187</f>
        <v>1951.5989999999999</v>
      </c>
      <c r="E79" s="300">
        <f>RAW_DATA_INPUTS!K187</f>
        <v>2061.6819999999998</v>
      </c>
      <c r="F79" s="300">
        <f>RAW_DATA_INPUTS!L187</f>
        <v>2096.2199999999998</v>
      </c>
    </row>
    <row r="80" spans="1:6">
      <c r="B80" s="8" t="str">
        <f t="shared" si="1"/>
        <v>45-49</v>
      </c>
      <c r="C80" s="300">
        <f>RAW_DATA_INPUTS!I188</f>
        <v>1531.7819999999999</v>
      </c>
      <c r="D80" s="300">
        <f>RAW_DATA_INPUTS!J188</f>
        <v>1795.9380000000001</v>
      </c>
      <c r="E80" s="300">
        <f>RAW_DATA_INPUTS!K188</f>
        <v>1936.547</v>
      </c>
      <c r="F80" s="300">
        <f>RAW_DATA_INPUTS!L188</f>
        <v>1853.357</v>
      </c>
    </row>
    <row r="81" spans="1:6">
      <c r="B81" s="8" t="str">
        <f t="shared" si="1"/>
        <v>50-54</v>
      </c>
      <c r="C81" s="300">
        <f>RAW_DATA_INPUTS!I189</f>
        <v>1130.0450000000001</v>
      </c>
      <c r="D81" s="300">
        <f>RAW_DATA_INPUTS!J189</f>
        <v>1415.385</v>
      </c>
      <c r="E81" s="300">
        <f>RAW_DATA_INPUTS!K189</f>
        <v>1558.1130000000001</v>
      </c>
      <c r="F81" s="300">
        <f>RAW_DATA_INPUTS!L189</f>
        <v>1749.6379999999999</v>
      </c>
    </row>
    <row r="82" spans="1:6">
      <c r="B82" s="8" t="str">
        <f t="shared" si="1"/>
        <v>55-59</v>
      </c>
      <c r="C82" s="300">
        <f>RAW_DATA_INPUTS!I190</f>
        <v>418.64100000000002</v>
      </c>
      <c r="D82" s="300">
        <f>RAW_DATA_INPUTS!J190</f>
        <v>611.21199999999999</v>
      </c>
      <c r="E82" s="300">
        <f>RAW_DATA_INPUTS!K190</f>
        <v>758.43700000000001</v>
      </c>
      <c r="F82" s="300">
        <f>RAW_DATA_INPUTS!L190</f>
        <v>891.53200000000004</v>
      </c>
    </row>
    <row r="83" spans="1:6">
      <c r="B83" s="8" t="str">
        <f t="shared" si="1"/>
        <v>60-64</v>
      </c>
      <c r="C83" s="300">
        <f>RAW_DATA_INPUTS!I191</f>
        <v>214.54300000000001</v>
      </c>
      <c r="D83" s="300">
        <f>RAW_DATA_INPUTS!J191</f>
        <v>216.43600000000001</v>
      </c>
      <c r="E83" s="300">
        <f>RAW_DATA_INPUTS!K191</f>
        <v>190.626</v>
      </c>
      <c r="F83" s="300">
        <f>RAW_DATA_INPUTS!L191</f>
        <v>204.84399999999999</v>
      </c>
    </row>
    <row r="84" spans="1:6">
      <c r="B84" s="8" t="str">
        <f t="shared" si="1"/>
        <v>65 plus</v>
      </c>
      <c r="C84" s="300">
        <f>RAW_DATA_INPUTS!I192</f>
        <v>45.73</v>
      </c>
      <c r="D84" s="300">
        <f>RAW_DATA_INPUTS!J192</f>
        <v>61.237000000000002</v>
      </c>
      <c r="E84" s="300">
        <f>RAW_DATA_INPUTS!K192</f>
        <v>60.03</v>
      </c>
      <c r="F84" s="300">
        <f>RAW_DATA_INPUTS!L192</f>
        <v>57.462000000000003</v>
      </c>
    </row>
    <row r="85" spans="1:6">
      <c r="B85" s="8" t="str">
        <f t="shared" si="1"/>
        <v>Total</v>
      </c>
      <c r="C85" s="300">
        <f>RAW_DATA_INPUTS!I193</f>
        <v>12978.434999999998</v>
      </c>
      <c r="D85" s="300">
        <f>RAW_DATA_INPUTS!J193</f>
        <v>15103.683999999999</v>
      </c>
      <c r="E85" s="300">
        <f>RAW_DATA_INPUTS!K193</f>
        <v>16723.378000000001</v>
      </c>
      <c r="F85" s="300">
        <f>RAW_DATA_INPUTS!L193</f>
        <v>16953.657999999999</v>
      </c>
    </row>
    <row r="86" spans="1:6">
      <c r="A86">
        <f>SUM(C86:F86)</f>
        <v>0</v>
      </c>
      <c r="C86">
        <f>SUM(C75:C84)-C85</f>
        <v>0</v>
      </c>
      <c r="D86">
        <f>SUM(D75:D84)-D85</f>
        <v>0</v>
      </c>
      <c r="E86">
        <f>SUM(E75:E84)-E85</f>
        <v>0</v>
      </c>
      <c r="F86">
        <f>SUM(F75:F84)-F85</f>
        <v>0</v>
      </c>
    </row>
    <row r="88" spans="1:6">
      <c r="B88" s="75" t="s">
        <v>112</v>
      </c>
    </row>
    <row r="90" spans="1:6">
      <c r="B90" s="1205" t="str">
        <f>B73</f>
        <v>Age group</v>
      </c>
      <c r="C90" s="1292" t="str">
        <f>C73</f>
        <v>Year</v>
      </c>
      <c r="D90" s="1292"/>
      <c r="E90" s="1292"/>
      <c r="F90" s="1292"/>
    </row>
    <row r="91" spans="1:6">
      <c r="B91" s="1205"/>
      <c r="C91" s="8" t="str">
        <f>C74</f>
        <v>2012/13</v>
      </c>
      <c r="D91" s="8" t="str">
        <f>D74</f>
        <v>2013/14</v>
      </c>
      <c r="E91" s="8" t="str">
        <f>E74</f>
        <v>2014/15</v>
      </c>
      <c r="F91" s="8" t="str">
        <f>F74</f>
        <v>2015/16</v>
      </c>
    </row>
    <row r="92" spans="1:6">
      <c r="B92" s="8" t="str">
        <f t="shared" ref="B92:B102" si="2">B75</f>
        <v>20-24</v>
      </c>
      <c r="C92" s="160">
        <f t="shared" ref="C92:F102" si="3">C58/C22</f>
        <v>9.7251011421566821E-2</v>
      </c>
      <c r="D92" s="160">
        <f t="shared" si="3"/>
        <v>0.11847389443537852</v>
      </c>
      <c r="E92" s="160">
        <f t="shared" si="3"/>
        <v>0.11710111409992903</v>
      </c>
      <c r="F92" s="160">
        <f t="shared" si="3"/>
        <v>0.1324320655443269</v>
      </c>
    </row>
    <row r="93" spans="1:6">
      <c r="B93" s="8" t="str">
        <f t="shared" si="2"/>
        <v>25-29</v>
      </c>
      <c r="C93" s="160">
        <f t="shared" si="3"/>
        <v>0.10468339943668328</v>
      </c>
      <c r="D93" s="160">
        <f t="shared" si="3"/>
        <v>0.10369236315247216</v>
      </c>
      <c r="E93" s="160">
        <f t="shared" si="3"/>
        <v>0.10883285990582769</v>
      </c>
      <c r="F93" s="160">
        <f t="shared" si="3"/>
        <v>0.11284561001459413</v>
      </c>
    </row>
    <row r="94" spans="1:6">
      <c r="B94" s="8" t="str">
        <f t="shared" si="2"/>
        <v>30-34</v>
      </c>
      <c r="C94" s="160">
        <f t="shared" si="3"/>
        <v>7.8075198572691823E-2</v>
      </c>
      <c r="D94" s="160">
        <f t="shared" si="3"/>
        <v>8.4508582610470021E-2</v>
      </c>
      <c r="E94" s="160">
        <f t="shared" si="3"/>
        <v>9.8846463674054669E-2</v>
      </c>
      <c r="F94" s="160">
        <f t="shared" si="3"/>
        <v>8.4629477994032601E-2</v>
      </c>
    </row>
    <row r="95" spans="1:6">
      <c r="B95" s="8" t="str">
        <f t="shared" si="2"/>
        <v>35-39</v>
      </c>
      <c r="C95" s="160">
        <f t="shared" si="3"/>
        <v>6.6780700184989467E-2</v>
      </c>
      <c r="D95" s="160">
        <f t="shared" si="3"/>
        <v>7.869615178485756E-2</v>
      </c>
      <c r="E95" s="160">
        <f t="shared" si="3"/>
        <v>7.4588009872178854E-2</v>
      </c>
      <c r="F95" s="160">
        <f t="shared" si="3"/>
        <v>7.4685015016042092E-2</v>
      </c>
    </row>
    <row r="96" spans="1:6">
      <c r="B96" s="8" t="str">
        <f t="shared" si="2"/>
        <v>40-44</v>
      </c>
      <c r="C96" s="160">
        <f t="shared" si="3"/>
        <v>6.9209671388728855E-2</v>
      </c>
      <c r="D96" s="160">
        <f t="shared" si="3"/>
        <v>7.9086876162810599E-2</v>
      </c>
      <c r="E96" s="160">
        <f t="shared" si="3"/>
        <v>8.1908125911241178E-2</v>
      </c>
      <c r="F96" s="160">
        <f t="shared" si="3"/>
        <v>8.8289510173358413E-2</v>
      </c>
    </row>
    <row r="97" spans="2:6">
      <c r="B97" s="8" t="str">
        <f t="shared" si="2"/>
        <v>45-49</v>
      </c>
      <c r="C97" s="160">
        <f t="shared" si="3"/>
        <v>7.6570558313365802E-2</v>
      </c>
      <c r="D97" s="160">
        <f t="shared" si="3"/>
        <v>9.0435327624299011E-2</v>
      </c>
      <c r="E97" s="160">
        <f t="shared" si="3"/>
        <v>8.7500586583003165E-2</v>
      </c>
      <c r="F97" s="160">
        <f t="shared" si="3"/>
        <v>8.9070452306825518E-2</v>
      </c>
    </row>
    <row r="98" spans="2:6">
      <c r="B98" s="8" t="str">
        <f t="shared" si="2"/>
        <v>50-54</v>
      </c>
      <c r="C98" s="160">
        <f t="shared" si="3"/>
        <v>6.327086726355477E-2</v>
      </c>
      <c r="D98" s="160">
        <f t="shared" si="3"/>
        <v>7.7175007964591591E-2</v>
      </c>
      <c r="E98" s="160">
        <f t="shared" si="3"/>
        <v>8.4922607090411023E-2</v>
      </c>
      <c r="F98" s="160">
        <f t="shared" si="3"/>
        <v>9.5391963785717501E-2</v>
      </c>
    </row>
    <row r="99" spans="2:6">
      <c r="B99" s="8" t="str">
        <f t="shared" si="2"/>
        <v>55-59</v>
      </c>
      <c r="C99" s="160">
        <f t="shared" si="3"/>
        <v>2.8676201355237001E-2</v>
      </c>
      <c r="D99" s="160">
        <f t="shared" si="3"/>
        <v>4.5515182587568544E-2</v>
      </c>
      <c r="E99" s="160">
        <f t="shared" si="3"/>
        <v>4.9935557547638648E-2</v>
      </c>
      <c r="F99" s="160">
        <f t="shared" si="3"/>
        <v>7.7491330253043417E-2</v>
      </c>
    </row>
    <row r="100" spans="2:6">
      <c r="B100" s="8" t="str">
        <f t="shared" si="2"/>
        <v>60-64</v>
      </c>
      <c r="C100" s="160">
        <f t="shared" si="3"/>
        <v>5.0899170824509135E-2</v>
      </c>
      <c r="D100" s="160">
        <f t="shared" si="3"/>
        <v>5.3186410224537538E-2</v>
      </c>
      <c r="E100" s="160">
        <f t="shared" si="3"/>
        <v>5.9226671034875465E-2</v>
      </c>
      <c r="F100" s="160">
        <f t="shared" si="3"/>
        <v>5.9067628631625638E-2</v>
      </c>
    </row>
    <row r="101" spans="2:6">
      <c r="B101" s="8" t="str">
        <f t="shared" si="2"/>
        <v>65 plus</v>
      </c>
      <c r="C101" s="160">
        <f t="shared" si="3"/>
        <v>7.753474990467607E-2</v>
      </c>
      <c r="D101" s="160">
        <f t="shared" si="3"/>
        <v>0.10690951613670821</v>
      </c>
      <c r="E101" s="160">
        <f t="shared" si="3"/>
        <v>5.1533974801402024E-2</v>
      </c>
      <c r="F101" s="160">
        <f t="shared" si="3"/>
        <v>5.127678422410805E-2</v>
      </c>
    </row>
    <row r="102" spans="2:6">
      <c r="B102" s="8" t="str">
        <f t="shared" si="2"/>
        <v>Total</v>
      </c>
      <c r="C102" s="160">
        <f t="shared" si="3"/>
        <v>7.4589724304039984E-2</v>
      </c>
      <c r="D102" s="160">
        <f t="shared" si="3"/>
        <v>8.5095452025401544E-2</v>
      </c>
      <c r="E102" s="160">
        <f t="shared" si="3"/>
        <v>8.9639375624491605E-2</v>
      </c>
      <c r="F102" s="160">
        <f t="shared" si="3"/>
        <v>9.2746241168396207E-2</v>
      </c>
    </row>
    <row r="104" spans="2:6">
      <c r="B104" s="75" t="s">
        <v>113</v>
      </c>
    </row>
    <row r="106" spans="2:6">
      <c r="B106" s="1205" t="str">
        <f>B90</f>
        <v>Age group</v>
      </c>
      <c r="C106" s="1292" t="str">
        <f>C90</f>
        <v>Year</v>
      </c>
      <c r="D106" s="1292"/>
      <c r="E106" s="1292"/>
      <c r="F106" s="1292"/>
    </row>
    <row r="107" spans="2:6">
      <c r="B107" s="1205"/>
      <c r="C107" s="8" t="str">
        <f>C91</f>
        <v>2012/13</v>
      </c>
      <c r="D107" s="8" t="str">
        <f>D91</f>
        <v>2013/14</v>
      </c>
      <c r="E107" s="8" t="str">
        <f>E91</f>
        <v>2014/15</v>
      </c>
      <c r="F107" s="8" t="str">
        <f>F91</f>
        <v>2015/16</v>
      </c>
    </row>
    <row r="108" spans="2:6">
      <c r="B108" s="8" t="str">
        <f>B92</f>
        <v>20-24</v>
      </c>
      <c r="C108" s="160">
        <f t="shared" ref="C108:F118" si="4">C75/C39</f>
        <v>8.0584805092233119E-2</v>
      </c>
      <c r="D108" s="160">
        <f t="shared" si="4"/>
        <v>9.4558027398661926E-2</v>
      </c>
      <c r="E108" s="160">
        <f t="shared" si="4"/>
        <v>0.1030190400109276</v>
      </c>
      <c r="F108" s="160">
        <f t="shared" si="4"/>
        <v>0.102867625931807</v>
      </c>
    </row>
    <row r="109" spans="2:6">
      <c r="B109" s="8" t="str">
        <f t="shared" ref="B109:B118" si="5">B93</f>
        <v>25-29</v>
      </c>
      <c r="C109" s="160">
        <f t="shared" si="4"/>
        <v>7.9193588164519116E-2</v>
      </c>
      <c r="D109" s="160">
        <f t="shared" si="4"/>
        <v>8.8330545540541885E-2</v>
      </c>
      <c r="E109" s="160">
        <f t="shared" si="4"/>
        <v>9.512936860232267E-2</v>
      </c>
      <c r="F109" s="160">
        <f t="shared" si="4"/>
        <v>9.1504461448338556E-2</v>
      </c>
    </row>
    <row r="110" spans="2:6">
      <c r="B110" s="8" t="str">
        <f t="shared" si="5"/>
        <v>30-34</v>
      </c>
      <c r="C110" s="160">
        <f t="shared" si="4"/>
        <v>7.3176147748358761E-2</v>
      </c>
      <c r="D110" s="160">
        <f t="shared" si="4"/>
        <v>8.0802233223363995E-2</v>
      </c>
      <c r="E110" s="160">
        <f t="shared" si="4"/>
        <v>8.4158150732544831E-2</v>
      </c>
      <c r="F110" s="160">
        <f t="shared" si="4"/>
        <v>8.3538908086474739E-2</v>
      </c>
    </row>
    <row r="111" spans="2:6">
      <c r="B111" s="8" t="str">
        <f t="shared" si="5"/>
        <v>35-39</v>
      </c>
      <c r="C111" s="160">
        <f t="shared" si="4"/>
        <v>7.0403333723521616E-2</v>
      </c>
      <c r="D111" s="160">
        <f t="shared" si="4"/>
        <v>7.2559918964524517E-2</v>
      </c>
      <c r="E111" s="160">
        <f t="shared" si="4"/>
        <v>8.3536775187469076E-2</v>
      </c>
      <c r="F111" s="160">
        <f t="shared" si="4"/>
        <v>7.8396134970709797E-2</v>
      </c>
    </row>
    <row r="112" spans="2:6">
      <c r="B112" s="8" t="str">
        <f t="shared" si="5"/>
        <v>40-44</v>
      </c>
      <c r="C112" s="160">
        <f t="shared" si="4"/>
        <v>6.659404690243359E-2</v>
      </c>
      <c r="D112" s="160">
        <f t="shared" si="4"/>
        <v>7.2821613597335064E-2</v>
      </c>
      <c r="E112" s="160">
        <f t="shared" si="4"/>
        <v>7.3437480798497531E-2</v>
      </c>
      <c r="F112" s="160">
        <f t="shared" si="4"/>
        <v>7.2878227595608469E-2</v>
      </c>
    </row>
    <row r="113" spans="2:11">
      <c r="B113" s="8" t="str">
        <f t="shared" si="5"/>
        <v>45-49</v>
      </c>
      <c r="C113" s="160">
        <f t="shared" si="4"/>
        <v>6.6045147420425498E-2</v>
      </c>
      <c r="D113" s="160">
        <f t="shared" si="4"/>
        <v>7.5690170891631922E-2</v>
      </c>
      <c r="E113" s="160">
        <f t="shared" si="4"/>
        <v>8.0268120933040685E-2</v>
      </c>
      <c r="F113" s="160">
        <f t="shared" si="4"/>
        <v>7.6908549819837108E-2</v>
      </c>
    </row>
    <row r="114" spans="2:11">
      <c r="B114" s="8" t="str">
        <f t="shared" si="5"/>
        <v>50-54</v>
      </c>
      <c r="C114" s="160">
        <f t="shared" si="4"/>
        <v>6.1544052649548417E-2</v>
      </c>
      <c r="D114" s="160">
        <f t="shared" si="4"/>
        <v>7.8095915977305932E-2</v>
      </c>
      <c r="E114" s="160">
        <f t="shared" si="4"/>
        <v>8.3869496685484254E-2</v>
      </c>
      <c r="F114" s="160">
        <f t="shared" si="4"/>
        <v>9.0901897546289148E-2</v>
      </c>
    </row>
    <row r="115" spans="2:11">
      <c r="B115" s="8" t="str">
        <f t="shared" si="5"/>
        <v>55-59</v>
      </c>
      <c r="C115" s="160">
        <f t="shared" si="4"/>
        <v>2.3818167636055352E-2</v>
      </c>
      <c r="D115" s="160">
        <f t="shared" si="4"/>
        <v>3.7864367690483701E-2</v>
      </c>
      <c r="E115" s="160">
        <f t="shared" si="4"/>
        <v>5.2691600768326109E-2</v>
      </c>
      <c r="F115" s="160">
        <f t="shared" si="4"/>
        <v>6.8190353403804124E-2</v>
      </c>
    </row>
    <row r="116" spans="2:11">
      <c r="B116" s="8" t="str">
        <f t="shared" si="5"/>
        <v>60-64</v>
      </c>
      <c r="C116" s="160">
        <f t="shared" si="4"/>
        <v>4.373762926771789E-2</v>
      </c>
      <c r="D116" s="160">
        <f t="shared" si="4"/>
        <v>4.3963043873466806E-2</v>
      </c>
      <c r="E116" s="160">
        <f t="shared" si="4"/>
        <v>3.9047693960272647E-2</v>
      </c>
      <c r="F116" s="160">
        <f t="shared" si="4"/>
        <v>4.3331841300759073E-2</v>
      </c>
    </row>
    <row r="117" spans="2:11">
      <c r="B117" s="8" t="str">
        <f t="shared" si="5"/>
        <v>65 plus</v>
      </c>
      <c r="C117" s="160">
        <f t="shared" si="4"/>
        <v>6.3330231218355654E-2</v>
      </c>
      <c r="D117" s="160">
        <f t="shared" si="4"/>
        <v>8.1791650805735305E-2</v>
      </c>
      <c r="E117" s="160">
        <f t="shared" si="4"/>
        <v>7.6246192770900709E-2</v>
      </c>
      <c r="F117" s="160">
        <f t="shared" si="4"/>
        <v>6.8724584987800791E-2</v>
      </c>
    </row>
    <row r="118" spans="2:11">
      <c r="B118" s="8" t="str">
        <f t="shared" si="5"/>
        <v>Total</v>
      </c>
      <c r="C118" s="160">
        <f t="shared" si="4"/>
        <v>6.6253454924274341E-2</v>
      </c>
      <c r="D118" s="160">
        <f t="shared" si="4"/>
        <v>7.5543364418931128E-2</v>
      </c>
      <c r="E118" s="160">
        <f t="shared" si="4"/>
        <v>8.2039834970763628E-2</v>
      </c>
      <c r="F118" s="160">
        <f t="shared" si="4"/>
        <v>8.2135144853050943E-2</v>
      </c>
    </row>
    <row r="120" spans="2:11">
      <c r="B120" s="75" t="s">
        <v>114</v>
      </c>
    </row>
    <row r="122" spans="2:11">
      <c r="B122" s="1205" t="str">
        <f>B106</f>
        <v>Age group</v>
      </c>
      <c r="C122" s="1241" t="str">
        <f>C107</f>
        <v>2012/13</v>
      </c>
      <c r="D122" s="1241" t="str">
        <f>D107</f>
        <v>2013/14</v>
      </c>
      <c r="E122" s="1241" t="str">
        <f>E107</f>
        <v>2014/15</v>
      </c>
      <c r="F122" s="1241" t="str">
        <f>F107</f>
        <v>2015/16</v>
      </c>
      <c r="G122" s="1290" t="s">
        <v>8</v>
      </c>
    </row>
    <row r="123" spans="2:11">
      <c r="B123" s="1205"/>
      <c r="C123" s="1242"/>
      <c r="D123" s="1242"/>
      <c r="E123" s="1242"/>
      <c r="F123" s="1242"/>
      <c r="G123" s="1291"/>
    </row>
    <row r="124" spans="2:11">
      <c r="B124" s="138" t="str">
        <f>B108</f>
        <v>20-24</v>
      </c>
      <c r="C124" s="909">
        <f>C92*H$14</f>
        <v>9.7251011421566821E-3</v>
      </c>
      <c r="D124" s="909">
        <f t="shared" ref="D124:F134" si="6">D92*I$14</f>
        <v>2.3694778887075704E-2</v>
      </c>
      <c r="E124" s="909">
        <f t="shared" si="6"/>
        <v>3.5130334229978709E-2</v>
      </c>
      <c r="F124" s="909">
        <f t="shared" si="6"/>
        <v>5.2972826217730765E-2</v>
      </c>
      <c r="G124" s="907">
        <f>SUM(C124:F124)</f>
        <v>0.12152304047694186</v>
      </c>
    </row>
    <row r="125" spans="2:11">
      <c r="B125" s="138" t="str">
        <f t="shared" ref="B125:B132" si="7">B109</f>
        <v>25-29</v>
      </c>
      <c r="C125" s="909">
        <f t="shared" ref="C125:C134" si="8">C93*H$14</f>
        <v>1.0468339943668329E-2</v>
      </c>
      <c r="D125" s="909">
        <f t="shared" si="6"/>
        <v>2.0738472630494432E-2</v>
      </c>
      <c r="E125" s="909">
        <f t="shared" si="6"/>
        <v>3.2649857971748304E-2</v>
      </c>
      <c r="F125" s="909">
        <f t="shared" si="6"/>
        <v>4.5138244005837658E-2</v>
      </c>
      <c r="G125" s="907">
        <f t="shared" ref="G125:G134" si="9">SUM(C125:F125)</f>
        <v>0.10899491455174873</v>
      </c>
      <c r="J125" s="183"/>
      <c r="K125" s="183"/>
    </row>
    <row r="126" spans="2:11">
      <c r="B126" s="138" t="str">
        <f t="shared" si="7"/>
        <v>30-34</v>
      </c>
      <c r="C126" s="909">
        <f t="shared" si="8"/>
        <v>7.8075198572691825E-3</v>
      </c>
      <c r="D126" s="909">
        <f t="shared" si="6"/>
        <v>1.6901716522094004E-2</v>
      </c>
      <c r="E126" s="909">
        <f t="shared" si="6"/>
        <v>2.9653939102216399E-2</v>
      </c>
      <c r="F126" s="909">
        <f t="shared" si="6"/>
        <v>3.3851791197613043E-2</v>
      </c>
      <c r="G126" s="907">
        <f t="shared" si="9"/>
        <v>8.8214966679192625E-2</v>
      </c>
      <c r="J126" s="183"/>
      <c r="K126" s="183"/>
    </row>
    <row r="127" spans="2:11">
      <c r="B127" s="138" t="str">
        <f t="shared" si="7"/>
        <v>35-39</v>
      </c>
      <c r="C127" s="909">
        <f t="shared" si="8"/>
        <v>6.6780700184989467E-3</v>
      </c>
      <c r="D127" s="909">
        <f t="shared" si="6"/>
        <v>1.5739230356971511E-2</v>
      </c>
      <c r="E127" s="909">
        <f t="shared" si="6"/>
        <v>2.2376402961653656E-2</v>
      </c>
      <c r="F127" s="909">
        <f t="shared" si="6"/>
        <v>2.9874006006416837E-2</v>
      </c>
      <c r="G127" s="907">
        <f t="shared" si="9"/>
        <v>7.4667709343540944E-2</v>
      </c>
      <c r="J127" s="183"/>
      <c r="K127" s="183"/>
    </row>
    <row r="128" spans="2:11">
      <c r="B128" s="138" t="str">
        <f t="shared" si="7"/>
        <v>40-44</v>
      </c>
      <c r="C128" s="909">
        <f t="shared" si="8"/>
        <v>6.9209671388728855E-3</v>
      </c>
      <c r="D128" s="909">
        <f t="shared" si="6"/>
        <v>1.581737523256212E-2</v>
      </c>
      <c r="E128" s="909">
        <f t="shared" si="6"/>
        <v>2.4572437773372351E-2</v>
      </c>
      <c r="F128" s="909">
        <f t="shared" si="6"/>
        <v>3.5315804069343364E-2</v>
      </c>
      <c r="G128" s="907">
        <f t="shared" si="9"/>
        <v>8.2626584214150728E-2</v>
      </c>
      <c r="H128" s="12"/>
      <c r="J128" s="183"/>
      <c r="K128" s="183"/>
    </row>
    <row r="129" spans="2:11">
      <c r="B129" s="138" t="str">
        <f t="shared" si="7"/>
        <v>45-49</v>
      </c>
      <c r="C129" s="909">
        <f t="shared" si="8"/>
        <v>7.6570558313365806E-3</v>
      </c>
      <c r="D129" s="909">
        <f t="shared" si="6"/>
        <v>1.8087065524859804E-2</v>
      </c>
      <c r="E129" s="909">
        <f t="shared" si="6"/>
        <v>2.6250175974900949E-2</v>
      </c>
      <c r="F129" s="909">
        <f t="shared" si="6"/>
        <v>3.5628180922730207E-2</v>
      </c>
      <c r="G129" s="907">
        <f t="shared" si="9"/>
        <v>8.7622478253827546E-2</v>
      </c>
      <c r="H129" s="12"/>
      <c r="J129" s="183"/>
      <c r="K129" s="183"/>
    </row>
    <row r="130" spans="2:11">
      <c r="B130" s="138" t="str">
        <f t="shared" si="7"/>
        <v>50-54</v>
      </c>
      <c r="C130" s="909">
        <f t="shared" si="8"/>
        <v>6.3270867263554775E-3</v>
      </c>
      <c r="D130" s="909">
        <f t="shared" si="6"/>
        <v>1.5435001592918319E-2</v>
      </c>
      <c r="E130" s="909">
        <f t="shared" si="6"/>
        <v>2.5476782127123305E-2</v>
      </c>
      <c r="F130" s="909">
        <f t="shared" si="6"/>
        <v>3.8156785514287E-2</v>
      </c>
      <c r="G130" s="907">
        <f t="shared" si="9"/>
        <v>8.5395655960684103E-2</v>
      </c>
      <c r="H130" s="12"/>
      <c r="J130" s="183"/>
      <c r="K130" s="183"/>
    </row>
    <row r="131" spans="2:11">
      <c r="B131" s="138" t="str">
        <f t="shared" si="7"/>
        <v>55-59</v>
      </c>
      <c r="C131" s="909">
        <f t="shared" si="8"/>
        <v>2.8676201355237003E-3</v>
      </c>
      <c r="D131" s="909">
        <f t="shared" si="6"/>
        <v>9.1030365175137091E-3</v>
      </c>
      <c r="E131" s="909">
        <f t="shared" si="6"/>
        <v>1.4980667264291593E-2</v>
      </c>
      <c r="F131" s="909">
        <f t="shared" si="6"/>
        <v>3.0996532101217368E-2</v>
      </c>
      <c r="G131" s="907">
        <f t="shared" si="9"/>
        <v>5.7947856018546372E-2</v>
      </c>
      <c r="J131" s="183"/>
      <c r="K131" s="183"/>
    </row>
    <row r="132" spans="2:11">
      <c r="B132" s="138" t="str">
        <f t="shared" si="7"/>
        <v>60-64</v>
      </c>
      <c r="C132" s="909">
        <f t="shared" si="8"/>
        <v>5.0899170824509135E-3</v>
      </c>
      <c r="D132" s="909">
        <f t="shared" si="6"/>
        <v>1.0637282044907508E-2</v>
      </c>
      <c r="E132" s="909">
        <f t="shared" si="6"/>
        <v>1.776800131046264E-2</v>
      </c>
      <c r="F132" s="909">
        <f t="shared" si="6"/>
        <v>2.3627051452650257E-2</v>
      </c>
      <c r="G132" s="907">
        <f t="shared" si="9"/>
        <v>5.7122251890471321E-2</v>
      </c>
      <c r="J132" s="183"/>
      <c r="K132" s="183"/>
    </row>
    <row r="133" spans="2:11">
      <c r="B133" s="138" t="str">
        <f>B117</f>
        <v>65 plus</v>
      </c>
      <c r="C133" s="909">
        <f t="shared" si="8"/>
        <v>7.753474990467607E-3</v>
      </c>
      <c r="D133" s="909">
        <f t="shared" si="6"/>
        <v>2.1381903227341643E-2</v>
      </c>
      <c r="E133" s="909">
        <f t="shared" si="6"/>
        <v>1.5460192440420607E-2</v>
      </c>
      <c r="F133" s="909">
        <f t="shared" si="6"/>
        <v>2.0510713689643221E-2</v>
      </c>
      <c r="G133" s="907">
        <f t="shared" si="9"/>
        <v>6.5106284347873078E-2</v>
      </c>
      <c r="J133" s="183"/>
      <c r="K133" s="183"/>
    </row>
    <row r="134" spans="2:11">
      <c r="B134" s="138" t="str">
        <f>B118</f>
        <v>Total</v>
      </c>
      <c r="C134" s="909">
        <f t="shared" si="8"/>
        <v>7.4589724304039984E-3</v>
      </c>
      <c r="D134" s="909">
        <f t="shared" si="6"/>
        <v>1.701909040508031E-2</v>
      </c>
      <c r="E134" s="909">
        <f t="shared" si="6"/>
        <v>2.6891812687347482E-2</v>
      </c>
      <c r="F134" s="909">
        <f t="shared" si="6"/>
        <v>3.7098496467358487E-2</v>
      </c>
      <c r="G134" s="907">
        <f t="shared" si="9"/>
        <v>8.8468371990190281E-2</v>
      </c>
      <c r="J134" s="183"/>
      <c r="K134" s="183"/>
    </row>
    <row r="135" spans="2:11">
      <c r="B135" s="5"/>
      <c r="C135" s="5"/>
      <c r="D135" s="5"/>
      <c r="E135" s="5"/>
      <c r="F135" s="5"/>
      <c r="G135" s="5"/>
      <c r="J135" s="183"/>
      <c r="K135" s="183"/>
    </row>
    <row r="136" spans="2:11">
      <c r="B136" s="75" t="s">
        <v>116</v>
      </c>
      <c r="C136" s="5"/>
      <c r="D136" s="5"/>
      <c r="E136" s="5"/>
      <c r="F136" s="5"/>
      <c r="G136" s="5"/>
    </row>
    <row r="137" spans="2:11">
      <c r="B137" s="5"/>
      <c r="C137" s="5"/>
      <c r="D137" s="5"/>
      <c r="E137" s="5"/>
      <c r="F137" s="5"/>
      <c r="G137" s="5"/>
    </row>
    <row r="138" spans="2:11">
      <c r="B138" s="1205" t="str">
        <f>B122</f>
        <v>Age group</v>
      </c>
      <c r="C138" s="1241" t="str">
        <f>C122</f>
        <v>2012/13</v>
      </c>
      <c r="D138" s="1241" t="str">
        <f>D122</f>
        <v>2013/14</v>
      </c>
      <c r="E138" s="1241" t="str">
        <f>E122</f>
        <v>2014/15</v>
      </c>
      <c r="F138" s="1241" t="str">
        <f>F122</f>
        <v>2015/16</v>
      </c>
      <c r="G138" s="1290" t="s">
        <v>8</v>
      </c>
    </row>
    <row r="139" spans="2:11">
      <c r="B139" s="1205"/>
      <c r="C139" s="1242"/>
      <c r="D139" s="1242"/>
      <c r="E139" s="1242"/>
      <c r="F139" s="1242"/>
      <c r="G139" s="1291"/>
    </row>
    <row r="140" spans="2:11">
      <c r="B140" s="138" t="str">
        <f>B124</f>
        <v>20-24</v>
      </c>
      <c r="C140" s="909">
        <f>C108*H$14</f>
        <v>8.0584805092233126E-3</v>
      </c>
      <c r="D140" s="909">
        <f t="shared" ref="D140:F150" si="10">D108*I$14</f>
        <v>1.8911605479732387E-2</v>
      </c>
      <c r="E140" s="909">
        <f t="shared" si="10"/>
        <v>3.0905712003278279E-2</v>
      </c>
      <c r="F140" s="909">
        <f t="shared" si="10"/>
        <v>4.1147050372722802E-2</v>
      </c>
      <c r="G140" s="907">
        <f>SUM(C140:F140)</f>
        <v>9.9022848364956784E-2</v>
      </c>
    </row>
    <row r="141" spans="2:11">
      <c r="B141" s="138" t="str">
        <f t="shared" ref="B141:B148" si="11">B125</f>
        <v>25-29</v>
      </c>
      <c r="C141" s="909">
        <f t="shared" ref="C141:C150" si="12">C109*H$14</f>
        <v>7.9193588164519126E-3</v>
      </c>
      <c r="D141" s="909">
        <f t="shared" si="10"/>
        <v>1.7666109108108379E-2</v>
      </c>
      <c r="E141" s="909">
        <f t="shared" si="10"/>
        <v>2.8538810580696801E-2</v>
      </c>
      <c r="F141" s="909">
        <f t="shared" si="10"/>
        <v>3.6601784579335425E-2</v>
      </c>
      <c r="G141" s="907">
        <f t="shared" ref="G141:G150" si="13">SUM(C141:F141)</f>
        <v>9.0726063084592523E-2</v>
      </c>
    </row>
    <row r="142" spans="2:11">
      <c r="B142" s="138" t="str">
        <f t="shared" si="11"/>
        <v>30-34</v>
      </c>
      <c r="C142" s="909">
        <f t="shared" si="12"/>
        <v>7.3176147748358761E-3</v>
      </c>
      <c r="D142" s="909">
        <f t="shared" si="10"/>
        <v>1.61604466446728E-2</v>
      </c>
      <c r="E142" s="909">
        <f t="shared" si="10"/>
        <v>2.5247445219763447E-2</v>
      </c>
      <c r="F142" s="909">
        <f t="shared" si="10"/>
        <v>3.3415563234589898E-2</v>
      </c>
      <c r="G142" s="907">
        <f t="shared" si="13"/>
        <v>8.2141069873862022E-2</v>
      </c>
    </row>
    <row r="143" spans="2:11">
      <c r="B143" s="138" t="str">
        <f t="shared" si="11"/>
        <v>35-39</v>
      </c>
      <c r="C143" s="909">
        <f t="shared" si="12"/>
        <v>7.0403333723521623E-3</v>
      </c>
      <c r="D143" s="909">
        <f t="shared" si="10"/>
        <v>1.4511983792904904E-2</v>
      </c>
      <c r="E143" s="909">
        <f t="shared" si="10"/>
        <v>2.5061032556240721E-2</v>
      </c>
      <c r="F143" s="909">
        <f t="shared" si="10"/>
        <v>3.1358453988283921E-2</v>
      </c>
      <c r="G143" s="907">
        <f t="shared" si="13"/>
        <v>7.7971803709781712E-2</v>
      </c>
    </row>
    <row r="144" spans="2:11">
      <c r="B144" s="138" t="str">
        <f t="shared" si="11"/>
        <v>40-44</v>
      </c>
      <c r="C144" s="909">
        <f t="shared" si="12"/>
        <v>6.6594046902433597E-3</v>
      </c>
      <c r="D144" s="909">
        <f t="shared" si="10"/>
        <v>1.4564322719467013E-2</v>
      </c>
      <c r="E144" s="909">
        <f t="shared" si="10"/>
        <v>2.2031244239549257E-2</v>
      </c>
      <c r="F144" s="909">
        <f t="shared" si="10"/>
        <v>2.915129103824339E-2</v>
      </c>
      <c r="G144" s="907">
        <f t="shared" si="13"/>
        <v>7.2406262687503026E-2</v>
      </c>
    </row>
    <row r="145" spans="2:8">
      <c r="B145" s="138" t="str">
        <f t="shared" si="11"/>
        <v>45-49</v>
      </c>
      <c r="C145" s="909">
        <f t="shared" si="12"/>
        <v>6.6045147420425504E-3</v>
      </c>
      <c r="D145" s="909">
        <f t="shared" si="10"/>
        <v>1.5138034178326385E-2</v>
      </c>
      <c r="E145" s="909">
        <f t="shared" si="10"/>
        <v>2.4080436279912205E-2</v>
      </c>
      <c r="F145" s="909">
        <f t="shared" si="10"/>
        <v>3.0763419927934844E-2</v>
      </c>
      <c r="G145" s="907">
        <f t="shared" si="13"/>
        <v>7.6586405128215976E-2</v>
      </c>
      <c r="H145" s="12"/>
    </row>
    <row r="146" spans="2:8">
      <c r="B146" s="138" t="str">
        <f t="shared" si="11"/>
        <v>50-54</v>
      </c>
      <c r="C146" s="909">
        <f t="shared" si="12"/>
        <v>6.1544052649548419E-3</v>
      </c>
      <c r="D146" s="909">
        <f t="shared" si="10"/>
        <v>1.5619183195461187E-2</v>
      </c>
      <c r="E146" s="909">
        <f t="shared" si="10"/>
        <v>2.5160849005645275E-2</v>
      </c>
      <c r="F146" s="909">
        <f t="shared" si="10"/>
        <v>3.6360759018515661E-2</v>
      </c>
      <c r="G146" s="907">
        <f t="shared" si="13"/>
        <v>8.3295196484576964E-2</v>
      </c>
      <c r="H146" s="12"/>
    </row>
    <row r="147" spans="2:8">
      <c r="B147" s="138" t="str">
        <f t="shared" si="11"/>
        <v>55-59</v>
      </c>
      <c r="C147" s="909">
        <f t="shared" si="12"/>
        <v>2.3818167636055353E-3</v>
      </c>
      <c r="D147" s="909">
        <f t="shared" si="10"/>
        <v>7.5728735380967407E-3</v>
      </c>
      <c r="E147" s="909">
        <f t="shared" si="10"/>
        <v>1.5807480230497831E-2</v>
      </c>
      <c r="F147" s="909">
        <f t="shared" si="10"/>
        <v>2.727614136152165E-2</v>
      </c>
      <c r="G147" s="907">
        <f t="shared" si="13"/>
        <v>5.3038311893721754E-2</v>
      </c>
    </row>
    <row r="148" spans="2:8">
      <c r="B148" s="138" t="str">
        <f t="shared" si="11"/>
        <v>60-64</v>
      </c>
      <c r="C148" s="909">
        <f t="shared" si="12"/>
        <v>4.3737629267717893E-3</v>
      </c>
      <c r="D148" s="909">
        <f t="shared" si="10"/>
        <v>8.7926087746933619E-3</v>
      </c>
      <c r="E148" s="909">
        <f t="shared" si="10"/>
        <v>1.1714308188081795E-2</v>
      </c>
      <c r="F148" s="909">
        <f t="shared" si="10"/>
        <v>1.7332736520303631E-2</v>
      </c>
      <c r="G148" s="907">
        <f t="shared" si="13"/>
        <v>4.2213416409850574E-2</v>
      </c>
    </row>
    <row r="149" spans="2:8">
      <c r="B149" s="138" t="str">
        <f>B133</f>
        <v>65 plus</v>
      </c>
      <c r="C149" s="909">
        <f t="shared" si="12"/>
        <v>6.3330231218355661E-3</v>
      </c>
      <c r="D149" s="909">
        <f t="shared" si="10"/>
        <v>1.6358330161147062E-2</v>
      </c>
      <c r="E149" s="909">
        <f t="shared" si="10"/>
        <v>2.2873857831270213E-2</v>
      </c>
      <c r="F149" s="909">
        <f t="shared" si="10"/>
        <v>2.7489833995120318E-2</v>
      </c>
      <c r="G149" s="907">
        <f t="shared" si="13"/>
        <v>7.3055045109373162E-2</v>
      </c>
    </row>
    <row r="150" spans="2:8">
      <c r="B150" s="138" t="str">
        <f>B134</f>
        <v>Total</v>
      </c>
      <c r="C150" s="909">
        <f t="shared" si="12"/>
        <v>6.6253454924274343E-3</v>
      </c>
      <c r="D150" s="909">
        <f t="shared" si="10"/>
        <v>1.5108672883786227E-2</v>
      </c>
      <c r="E150" s="909">
        <f t="shared" si="10"/>
        <v>2.4611950491229089E-2</v>
      </c>
      <c r="F150" s="909">
        <f t="shared" si="10"/>
        <v>3.2854057941220378E-2</v>
      </c>
      <c r="G150" s="907">
        <f t="shared" si="13"/>
        <v>7.9200026808663129E-2</v>
      </c>
    </row>
  </sheetData>
  <mergeCells count="25">
    <mergeCell ref="A5:T5"/>
    <mergeCell ref="B20:B21"/>
    <mergeCell ref="C20:F20"/>
    <mergeCell ref="B37:B38"/>
    <mergeCell ref="C37:F37"/>
    <mergeCell ref="B56:B57"/>
    <mergeCell ref="C56:F56"/>
    <mergeCell ref="B73:B74"/>
    <mergeCell ref="C73:F73"/>
    <mergeCell ref="B90:B91"/>
    <mergeCell ref="C90:F90"/>
    <mergeCell ref="B106:B107"/>
    <mergeCell ref="C106:F106"/>
    <mergeCell ref="B122:B123"/>
    <mergeCell ref="C122:C123"/>
    <mergeCell ref="D122:D123"/>
    <mergeCell ref="E122:E123"/>
    <mergeCell ref="F122:F123"/>
    <mergeCell ref="G122:G123"/>
    <mergeCell ref="B138:B139"/>
    <mergeCell ref="C138:C139"/>
    <mergeCell ref="D138:D139"/>
    <mergeCell ref="E138:E139"/>
    <mergeCell ref="F138:F139"/>
    <mergeCell ref="G138:G139"/>
  </mergeCells>
  <hyperlinks>
    <hyperlink ref="A2" location="'Title_&amp;_Contents'!A1" display="Contents"/>
    <hyperlink ref="B2" location="Map_of_sheets!A1" display="Map of shee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T153"/>
  <sheetViews>
    <sheetView showGridLines="0" workbookViewId="0"/>
  </sheetViews>
  <sheetFormatPr defaultRowHeight="12.75"/>
  <cols>
    <col min="2" max="7" width="12.7109375" customWidth="1"/>
  </cols>
  <sheetData>
    <row r="1" spans="1:20" s="65" customFormat="1" ht="15">
      <c r="A1" s="64" t="str">
        <f>ModelBanner</f>
        <v>TSM_201819 Publication</v>
      </c>
    </row>
    <row r="2" spans="1:20" s="65" customFormat="1" ht="15">
      <c r="A2" s="940" t="s">
        <v>13</v>
      </c>
      <c r="B2" s="940" t="s">
        <v>30</v>
      </c>
    </row>
    <row r="3" spans="1:20" s="65" customFormat="1" ht="15">
      <c r="A3" s="66"/>
    </row>
    <row r="4" spans="1:20" s="56" customFormat="1">
      <c r="A4" s="57" t="s">
        <v>26</v>
      </c>
      <c r="B4" s="57"/>
      <c r="C4" s="57"/>
      <c r="D4" s="285"/>
      <c r="E4" s="57"/>
      <c r="F4" s="57"/>
      <c r="G4" s="57"/>
      <c r="H4" s="57"/>
      <c r="I4" s="57"/>
      <c r="J4" s="57"/>
      <c r="K4" s="57"/>
      <c r="L4" s="57"/>
      <c r="M4" s="57"/>
      <c r="N4" s="57"/>
    </row>
    <row r="5" spans="1:20" s="46" customFormat="1" ht="44.45" customHeight="1">
      <c r="A5" s="1293" t="s">
        <v>1449</v>
      </c>
      <c r="B5" s="1293"/>
      <c r="C5" s="1293"/>
      <c r="D5" s="1293"/>
      <c r="E5" s="1293"/>
      <c r="F5" s="1293"/>
      <c r="G5" s="1293"/>
      <c r="H5" s="1293"/>
      <c r="I5" s="1293"/>
      <c r="J5" s="1293"/>
      <c r="K5" s="1293"/>
      <c r="L5" s="1293"/>
      <c r="M5" s="1293"/>
      <c r="N5" s="1293"/>
      <c r="O5" s="1293"/>
      <c r="P5" s="1293"/>
      <c r="Q5" s="1293"/>
      <c r="R5" s="1293"/>
      <c r="S5" s="1293"/>
      <c r="T5" s="1293"/>
    </row>
    <row r="6" spans="1:20" s="45" customFormat="1">
      <c r="A6" s="55" t="s">
        <v>1392</v>
      </c>
      <c r="B6" s="60"/>
      <c r="C6" s="60"/>
      <c r="D6" s="285"/>
      <c r="E6" s="60"/>
      <c r="F6" s="60"/>
      <c r="G6" s="60"/>
      <c r="H6" s="60"/>
      <c r="I6" s="60"/>
      <c r="J6" s="60"/>
      <c r="K6" s="60"/>
      <c r="L6" s="60"/>
      <c r="M6" s="60"/>
      <c r="N6" s="60"/>
      <c r="O6" s="44"/>
    </row>
    <row r="7" spans="1:20" s="45" customFormat="1">
      <c r="A7" s="53" t="s">
        <v>179</v>
      </c>
      <c r="B7" s="55"/>
      <c r="C7" s="60"/>
      <c r="D7" s="285"/>
      <c r="E7" s="60"/>
      <c r="F7" s="60"/>
      <c r="G7" s="60"/>
      <c r="H7" s="60"/>
      <c r="I7" s="60"/>
      <c r="J7" s="60"/>
      <c r="K7" s="60"/>
      <c r="L7" s="60"/>
      <c r="M7" s="60"/>
      <c r="N7" s="60"/>
      <c r="O7" s="44"/>
    </row>
    <row r="8" spans="1:20" s="45" customFormat="1">
      <c r="A8" s="55" t="s">
        <v>24</v>
      </c>
      <c r="B8" s="60"/>
      <c r="C8" s="60"/>
      <c r="D8" s="285"/>
      <c r="E8" s="60"/>
      <c r="F8" s="60"/>
      <c r="G8" s="60"/>
      <c r="H8" s="60"/>
      <c r="I8" s="60"/>
      <c r="J8" s="60"/>
      <c r="K8" s="60"/>
      <c r="L8" s="60"/>
      <c r="M8" s="60"/>
      <c r="N8" s="60"/>
      <c r="O8" s="44"/>
    </row>
    <row r="9" spans="1:20" s="45" customFormat="1">
      <c r="A9" s="53" t="s">
        <v>1448</v>
      </c>
      <c r="B9" s="60"/>
      <c r="C9" s="60"/>
      <c r="D9" s="285"/>
      <c r="E9" s="60"/>
      <c r="F9" s="60"/>
      <c r="G9" s="60"/>
      <c r="H9" s="60"/>
      <c r="I9" s="60"/>
      <c r="J9" s="60"/>
      <c r="K9" s="60"/>
      <c r="L9" s="60"/>
      <c r="M9" s="60"/>
      <c r="N9" s="60"/>
      <c r="O9" s="44"/>
    </row>
    <row r="10" spans="1:20" s="49" customFormat="1" ht="13.5" customHeight="1">
      <c r="A10" s="54">
        <f>SUM(A13:A2227)</f>
        <v>0</v>
      </c>
      <c r="B10" s="72"/>
      <c r="C10" s="47"/>
      <c r="D10" s="47"/>
      <c r="E10" s="47"/>
      <c r="F10" s="71"/>
      <c r="G10" s="47"/>
      <c r="H10" s="71"/>
      <c r="I10" s="48"/>
      <c r="J10" s="48"/>
      <c r="K10" s="48"/>
      <c r="L10" s="48"/>
      <c r="M10" s="48"/>
      <c r="N10" s="48"/>
      <c r="O10" s="48"/>
    </row>
    <row r="12" spans="1:20">
      <c r="H12" s="75" t="s">
        <v>115</v>
      </c>
    </row>
    <row r="14" spans="1:20">
      <c r="H14" s="5">
        <f>Calculation_PRIM_wastage_rates!H14</f>
        <v>0.1</v>
      </c>
      <c r="I14" s="5">
        <f>Calculation_PRIM_wastage_rates!I14</f>
        <v>0.2</v>
      </c>
      <c r="J14" s="5">
        <f>Calculation_PRIM_wastage_rates!J14</f>
        <v>0.3</v>
      </c>
      <c r="K14" s="5">
        <f>Calculation_PRIM_wastage_rates!K14</f>
        <v>0.4</v>
      </c>
    </row>
    <row r="16" spans="1:20" ht="18">
      <c r="B16" s="38" t="s">
        <v>1170</v>
      </c>
    </row>
    <row r="18" spans="2:8">
      <c r="B18" s="75" t="str">
        <f>RAW_DATA_INPUTS!B128</f>
        <v xml:space="preserve">MALE SECONDARY Starting Stock figures </v>
      </c>
      <c r="G18" s="213"/>
      <c r="H18" s="147"/>
    </row>
    <row r="20" spans="2:8">
      <c r="B20" s="1241" t="str">
        <f>RAW_DATA_INPUTS!B131</f>
        <v>Age group</v>
      </c>
      <c r="C20" s="1292" t="s">
        <v>71</v>
      </c>
      <c r="D20" s="1292"/>
      <c r="E20" s="1292"/>
      <c r="F20" s="1292"/>
    </row>
    <row r="21" spans="2:8">
      <c r="B21" s="1242"/>
      <c r="C21" s="8" t="str">
        <f>RAW_DATA_INPUTS!C131</f>
        <v>2012/13</v>
      </c>
      <c r="D21" s="8" t="str">
        <f>RAW_DATA_INPUTS!D131</f>
        <v>2013/14</v>
      </c>
      <c r="E21" s="8" t="str">
        <f>RAW_DATA_INPUTS!E131</f>
        <v>2014/15</v>
      </c>
      <c r="F21" s="8" t="str">
        <f>RAW_DATA_INPUTS!F131</f>
        <v>2015/16</v>
      </c>
    </row>
    <row r="22" spans="2:8">
      <c r="B22" s="8" t="str">
        <f>RAW_DATA_INPUTS!B132</f>
        <v>20-24</v>
      </c>
      <c r="C22" s="300">
        <f>RAW_DATA_INPUTS!C132</f>
        <v>2633.8539999999998</v>
      </c>
      <c r="D22" s="300">
        <f>RAW_DATA_INPUTS!D132</f>
        <v>2650.72</v>
      </c>
      <c r="E22" s="300">
        <f>RAW_DATA_INPUTS!E132</f>
        <v>2783.1889999999999</v>
      </c>
      <c r="F22" s="300">
        <f>RAW_DATA_INPUTS!F132</f>
        <v>2805.4769999999999</v>
      </c>
    </row>
    <row r="23" spans="2:8">
      <c r="B23" s="8" t="str">
        <f>RAW_DATA_INPUTS!B133</f>
        <v>25-29</v>
      </c>
      <c r="C23" s="300">
        <f>RAW_DATA_INPUTS!C133</f>
        <v>12001.398999999999</v>
      </c>
      <c r="D23" s="300">
        <f>RAW_DATA_INPUTS!D133</f>
        <v>11672.939</v>
      </c>
      <c r="E23" s="300">
        <f>RAW_DATA_INPUTS!E133</f>
        <v>11212.300999999999</v>
      </c>
      <c r="F23" s="300">
        <f>RAW_DATA_INPUTS!F133</f>
        <v>10814.566999999999</v>
      </c>
    </row>
    <row r="24" spans="2:8">
      <c r="B24" s="8" t="str">
        <f>RAW_DATA_INPUTS!B134</f>
        <v>30-34</v>
      </c>
      <c r="C24" s="300">
        <f>RAW_DATA_INPUTS!C134</f>
        <v>14167.946</v>
      </c>
      <c r="D24" s="300">
        <f>RAW_DATA_INPUTS!D134</f>
        <v>14191.83</v>
      </c>
      <c r="E24" s="300">
        <f>RAW_DATA_INPUTS!E134</f>
        <v>14024.355</v>
      </c>
      <c r="F24" s="300">
        <f>RAW_DATA_INPUTS!F134</f>
        <v>13561.727999999999</v>
      </c>
    </row>
    <row r="25" spans="2:8">
      <c r="B25" s="8" t="str">
        <f>RAW_DATA_INPUTS!B135</f>
        <v>35-39</v>
      </c>
      <c r="C25" s="300">
        <f>RAW_DATA_INPUTS!C135</f>
        <v>12193.583000000001</v>
      </c>
      <c r="D25" s="300">
        <f>RAW_DATA_INPUTS!D135</f>
        <v>12139.743</v>
      </c>
      <c r="E25" s="300">
        <f>RAW_DATA_INPUTS!E135</f>
        <v>12319.539000000001</v>
      </c>
      <c r="F25" s="300">
        <f>RAW_DATA_INPUTS!F135</f>
        <v>12607.425999999999</v>
      </c>
    </row>
    <row r="26" spans="2:8">
      <c r="B26" s="8" t="str">
        <f>RAW_DATA_INPUTS!B136</f>
        <v>40-44</v>
      </c>
      <c r="C26" s="300">
        <f>RAW_DATA_INPUTS!C136</f>
        <v>11826.986000000001</v>
      </c>
      <c r="D26" s="300">
        <f>RAW_DATA_INPUTS!D136</f>
        <v>11933.493</v>
      </c>
      <c r="E26" s="300">
        <f>RAW_DATA_INPUTS!E136</f>
        <v>11794.384</v>
      </c>
      <c r="F26" s="300">
        <f>RAW_DATA_INPUTS!F136</f>
        <v>11599.289000000001</v>
      </c>
    </row>
    <row r="27" spans="2:8">
      <c r="B27" s="8" t="str">
        <f>RAW_DATA_INPUTS!B137</f>
        <v>45-49</v>
      </c>
      <c r="C27" s="300">
        <f>RAW_DATA_INPUTS!C137</f>
        <v>9361.0020000000004</v>
      </c>
      <c r="D27" s="300">
        <f>RAW_DATA_INPUTS!D137</f>
        <v>9383.5460000000003</v>
      </c>
      <c r="E27" s="300">
        <f>RAW_DATA_INPUTS!E137</f>
        <v>9401.2170000000006</v>
      </c>
      <c r="F27" s="300">
        <f>RAW_DATA_INPUTS!F137</f>
        <v>9538.1810000000005</v>
      </c>
    </row>
    <row r="28" spans="2:8">
      <c r="B28" s="8" t="str">
        <f>RAW_DATA_INPUTS!B138</f>
        <v>50-54</v>
      </c>
      <c r="C28" s="300">
        <f>RAW_DATA_INPUTS!C138</f>
        <v>8958.0879999999997</v>
      </c>
      <c r="D28" s="300">
        <f>RAW_DATA_INPUTS!D138</f>
        <v>8621.6749999999993</v>
      </c>
      <c r="E28" s="300">
        <f>RAW_DATA_INPUTS!E138</f>
        <v>8231.7270000000008</v>
      </c>
      <c r="F28" s="300">
        <f>RAW_DATA_INPUTS!F138</f>
        <v>7962.6310000000003</v>
      </c>
    </row>
    <row r="29" spans="2:8">
      <c r="B29" s="8" t="str">
        <f>RAW_DATA_INPUTS!B139</f>
        <v>55-59</v>
      </c>
      <c r="C29" s="300">
        <f>RAW_DATA_INPUTS!C139</f>
        <v>7418.8530000000001</v>
      </c>
      <c r="D29" s="300">
        <f>RAW_DATA_INPUTS!D139</f>
        <v>6587.049</v>
      </c>
      <c r="E29" s="300">
        <f>RAW_DATA_INPUTS!E139</f>
        <v>6061.3850000000002</v>
      </c>
      <c r="F29" s="300">
        <f>RAW_DATA_INPUTS!F139</f>
        <v>5591.9889999999996</v>
      </c>
    </row>
    <row r="30" spans="2:8">
      <c r="B30" s="8" t="str">
        <f>RAW_DATA_INPUTS!B140</f>
        <v>60-64</v>
      </c>
      <c r="C30" s="300">
        <f>RAW_DATA_INPUTS!C140</f>
        <v>2462.7930000000001</v>
      </c>
      <c r="D30" s="300">
        <f>RAW_DATA_INPUTS!D140</f>
        <v>2334.4059999999999</v>
      </c>
      <c r="E30" s="300">
        <f>RAW_DATA_INPUTS!E140</f>
        <v>2120.0450000000001</v>
      </c>
      <c r="F30" s="300">
        <f>RAW_DATA_INPUTS!F140</f>
        <v>1932.6489999999999</v>
      </c>
    </row>
    <row r="31" spans="2:8">
      <c r="B31" s="8" t="str">
        <f>RAW_DATA_INPUTS!B141</f>
        <v>65 plus</v>
      </c>
      <c r="C31" s="300">
        <f>RAW_DATA_INPUTS!C141</f>
        <v>433.43599999999998</v>
      </c>
      <c r="D31" s="300">
        <f>RAW_DATA_INPUTS!D141</f>
        <v>480.58800000000002</v>
      </c>
      <c r="E31" s="300">
        <f>RAW_DATA_INPUTS!E141</f>
        <v>485.28500000000003</v>
      </c>
      <c r="F31" s="300">
        <f>RAW_DATA_INPUTS!F141</f>
        <v>481.36</v>
      </c>
    </row>
    <row r="32" spans="2:8">
      <c r="B32" s="8" t="str">
        <f>RAW_DATA_INPUTS!B142</f>
        <v>Total</v>
      </c>
      <c r="C32" s="300">
        <f>RAW_DATA_INPUTS!C142</f>
        <v>81457.94</v>
      </c>
      <c r="D32" s="300">
        <f>RAW_DATA_INPUTS!D142</f>
        <v>79995.989000000016</v>
      </c>
      <c r="E32" s="300">
        <f>RAW_DATA_INPUTS!E142</f>
        <v>78433.426999999996</v>
      </c>
      <c r="F32" s="300">
        <f>RAW_DATA_INPUTS!F142</f>
        <v>76895.296999999991</v>
      </c>
    </row>
    <row r="33" spans="1:6">
      <c r="A33">
        <f>SUM(C33:F33)</f>
        <v>0</v>
      </c>
      <c r="C33">
        <f>SUM(C22:C31)-C32</f>
        <v>0</v>
      </c>
      <c r="D33">
        <f>SUM(D22:D31)-D32</f>
        <v>0</v>
      </c>
      <c r="E33">
        <f>SUM(E22:E31)-E32</f>
        <v>0</v>
      </c>
      <c r="F33">
        <f>SUM(F22:F31)-F32</f>
        <v>0</v>
      </c>
    </row>
    <row r="35" spans="1:6">
      <c r="B35" s="75" t="str">
        <f>RAW_DATA_INPUTS!B162</f>
        <v xml:space="preserve">FEMALE SECONDARY Starting Stock figures </v>
      </c>
    </row>
    <row r="37" spans="1:6">
      <c r="B37" s="1241" t="str">
        <f>RAW_DATA_INPUTS!B148</f>
        <v>Age group</v>
      </c>
      <c r="C37" s="1292" t="str">
        <f>C20</f>
        <v>Year</v>
      </c>
      <c r="D37" s="1292"/>
      <c r="E37" s="1292"/>
      <c r="F37" s="1292"/>
    </row>
    <row r="38" spans="1:6">
      <c r="B38" s="1242"/>
      <c r="C38" s="8" t="str">
        <f>C21</f>
        <v>2012/13</v>
      </c>
      <c r="D38" s="8" t="str">
        <f>D21</f>
        <v>2013/14</v>
      </c>
      <c r="E38" s="8" t="str">
        <f>E21</f>
        <v>2014/15</v>
      </c>
      <c r="F38" s="8" t="str">
        <f>F21</f>
        <v>2015/16</v>
      </c>
    </row>
    <row r="39" spans="1:6">
      <c r="B39" s="8" t="str">
        <f>RAW_DATA_INPUTS!B166</f>
        <v>20-24</v>
      </c>
      <c r="C39" s="300">
        <f>RAW_DATA_INPUTS!C166</f>
        <v>6919.8140000000003</v>
      </c>
      <c r="D39" s="300">
        <f>RAW_DATA_INPUTS!D166</f>
        <v>6525.3670000000002</v>
      </c>
      <c r="E39" s="300">
        <f>RAW_DATA_INPUTS!E166</f>
        <v>6817.1369999999997</v>
      </c>
      <c r="F39" s="300">
        <f>RAW_DATA_INPUTS!F166</f>
        <v>6882.7950000000001</v>
      </c>
    </row>
    <row r="40" spans="1:6">
      <c r="B40" s="8" t="str">
        <f>RAW_DATA_INPUTS!B167</f>
        <v>25-29</v>
      </c>
      <c r="C40" s="300">
        <f>RAW_DATA_INPUTS!C167</f>
        <v>25439.167000000001</v>
      </c>
      <c r="D40" s="300">
        <f>RAW_DATA_INPUTS!D167</f>
        <v>25050.094000000001</v>
      </c>
      <c r="E40" s="300">
        <f>RAW_DATA_INPUTS!E167</f>
        <v>24320.43</v>
      </c>
      <c r="F40" s="300">
        <f>RAW_DATA_INPUTS!F167</f>
        <v>23257.309000000001</v>
      </c>
    </row>
    <row r="41" spans="1:6">
      <c r="B41" s="8" t="str">
        <f>RAW_DATA_INPUTS!B168</f>
        <v>30-34</v>
      </c>
      <c r="C41" s="300">
        <f>RAW_DATA_INPUTS!C168</f>
        <v>26808.471000000001</v>
      </c>
      <c r="D41" s="300">
        <f>RAW_DATA_INPUTS!D168</f>
        <v>27056.716</v>
      </c>
      <c r="E41" s="300">
        <f>RAW_DATA_INPUTS!E168</f>
        <v>26620.544000000002</v>
      </c>
      <c r="F41" s="300">
        <f>RAW_DATA_INPUTS!F168</f>
        <v>25761.623</v>
      </c>
    </row>
    <row r="42" spans="1:6">
      <c r="B42" s="8" t="str">
        <f>RAW_DATA_INPUTS!B169</f>
        <v>35-39</v>
      </c>
      <c r="C42" s="300">
        <f>RAW_DATA_INPUTS!C169</f>
        <v>20511.047999999999</v>
      </c>
      <c r="D42" s="300">
        <f>RAW_DATA_INPUTS!D169</f>
        <v>21040.829000000002</v>
      </c>
      <c r="E42" s="300">
        <f>RAW_DATA_INPUTS!E169</f>
        <v>21945.52</v>
      </c>
      <c r="F42" s="300">
        <f>RAW_DATA_INPUTS!F169</f>
        <v>22789.451000000001</v>
      </c>
    </row>
    <row r="43" spans="1:6">
      <c r="B43" s="8" t="str">
        <f>RAW_DATA_INPUTS!B170</f>
        <v>40-44</v>
      </c>
      <c r="C43" s="300">
        <f>RAW_DATA_INPUTS!C170</f>
        <v>16716.901000000002</v>
      </c>
      <c r="D43" s="300">
        <f>RAW_DATA_INPUTS!D170</f>
        <v>17689.817999999999</v>
      </c>
      <c r="E43" s="300">
        <f>RAW_DATA_INPUTS!E170</f>
        <v>18324.307000000001</v>
      </c>
      <c r="F43" s="300">
        <f>RAW_DATA_INPUTS!F170</f>
        <v>18565.616999999998</v>
      </c>
    </row>
    <row r="44" spans="1:6">
      <c r="B44" s="8" t="str">
        <f>RAW_DATA_INPUTS!B171</f>
        <v>45-49</v>
      </c>
      <c r="C44" s="300">
        <f>RAW_DATA_INPUTS!C171</f>
        <v>13903.48</v>
      </c>
      <c r="D44" s="300">
        <f>RAW_DATA_INPUTS!D171</f>
        <v>13798.432000000001</v>
      </c>
      <c r="E44" s="300">
        <f>RAW_DATA_INPUTS!E171</f>
        <v>13971.267</v>
      </c>
      <c r="F44" s="300">
        <f>RAW_DATA_INPUTS!F171</f>
        <v>14034.052</v>
      </c>
    </row>
    <row r="45" spans="1:6">
      <c r="B45" s="8" t="str">
        <f>RAW_DATA_INPUTS!B172</f>
        <v>50-54</v>
      </c>
      <c r="C45" s="300">
        <f>RAW_DATA_INPUTS!C172</f>
        <v>13397.111000000001</v>
      </c>
      <c r="D45" s="300">
        <f>RAW_DATA_INPUTS!D172</f>
        <v>12645.290999999999</v>
      </c>
      <c r="E45" s="300">
        <f>RAW_DATA_INPUTS!E172</f>
        <v>12291.172</v>
      </c>
      <c r="F45" s="300">
        <f>RAW_DATA_INPUTS!F172</f>
        <v>11839.351000000001</v>
      </c>
    </row>
    <row r="46" spans="1:6">
      <c r="B46" s="8" t="str">
        <f>RAW_DATA_INPUTS!B173</f>
        <v>55-59</v>
      </c>
      <c r="C46" s="300">
        <f>RAW_DATA_INPUTS!C173</f>
        <v>11220.15</v>
      </c>
      <c r="D46" s="300">
        <f>RAW_DATA_INPUTS!D173</f>
        <v>10550.712</v>
      </c>
      <c r="E46" s="300">
        <f>RAW_DATA_INPUTS!E173</f>
        <v>9581.7749999999996</v>
      </c>
      <c r="F46" s="300">
        <f>RAW_DATA_INPUTS!F173</f>
        <v>8801.4560000000001</v>
      </c>
    </row>
    <row r="47" spans="1:6">
      <c r="B47" s="8" t="str">
        <f>RAW_DATA_INPUTS!B174</f>
        <v>60-64</v>
      </c>
      <c r="C47" s="300">
        <f>RAW_DATA_INPUTS!C174</f>
        <v>2915.5929999999998</v>
      </c>
      <c r="D47" s="300">
        <f>RAW_DATA_INPUTS!D174</f>
        <v>2861.0729999999999</v>
      </c>
      <c r="E47" s="300">
        <f>RAW_DATA_INPUTS!E174</f>
        <v>2878.433</v>
      </c>
      <c r="F47" s="300">
        <f>RAW_DATA_INPUTS!F174</f>
        <v>2709.2310000000002</v>
      </c>
    </row>
    <row r="48" spans="1:6">
      <c r="B48" s="8" t="str">
        <f>RAW_DATA_INPUTS!B175</f>
        <v>65 plus</v>
      </c>
      <c r="C48" s="300">
        <f>RAW_DATA_INPUTS!C175</f>
        <v>413.91800000000001</v>
      </c>
      <c r="D48" s="300">
        <f>RAW_DATA_INPUTS!D175</f>
        <v>471.73599999999999</v>
      </c>
      <c r="E48" s="300">
        <f>RAW_DATA_INPUTS!E175</f>
        <v>446.00900000000001</v>
      </c>
      <c r="F48" s="300">
        <f>RAW_DATA_INPUTS!F175</f>
        <v>477.56400000000002</v>
      </c>
    </row>
    <row r="49" spans="1:6">
      <c r="B49" s="8" t="str">
        <f>RAW_DATA_INPUTS!B176</f>
        <v>Total</v>
      </c>
      <c r="C49" s="300">
        <f>RAW_DATA_INPUTS!C176</f>
        <v>138245.65299999999</v>
      </c>
      <c r="D49" s="300">
        <f>RAW_DATA_INPUTS!D176</f>
        <v>137690.06800000003</v>
      </c>
      <c r="E49" s="300">
        <f>RAW_DATA_INPUTS!E176</f>
        <v>137196.59400000001</v>
      </c>
      <c r="F49" s="300">
        <f>RAW_DATA_INPUTS!F176</f>
        <v>135118.44899999999</v>
      </c>
    </row>
    <row r="50" spans="1:6">
      <c r="A50">
        <f>SUM(C50:F50)</f>
        <v>0</v>
      </c>
      <c r="C50">
        <f>SUM(C39:C48)-C49</f>
        <v>0</v>
      </c>
      <c r="D50">
        <f>SUM(D39:D48)-D49</f>
        <v>0</v>
      </c>
      <c r="E50">
        <f>SUM(E39:E48)-E49</f>
        <v>0</v>
      </c>
      <c r="F50">
        <f>SUM(F39:F48)-F49</f>
        <v>0</v>
      </c>
    </row>
    <row r="52" spans="1:6" ht="17.25" customHeight="1">
      <c r="B52" s="180" t="str">
        <f>Calculation_PRIM_wastage_rates!B52</f>
        <v>2. Calculation of wastage rates</v>
      </c>
    </row>
    <row r="54" spans="1:6">
      <c r="B54" s="75" t="s">
        <v>110</v>
      </c>
    </row>
    <row r="56" spans="1:6">
      <c r="B56" s="1241" t="str">
        <f>B37</f>
        <v>Age group</v>
      </c>
      <c r="C56" s="1292" t="str">
        <f>C37</f>
        <v>Year</v>
      </c>
      <c r="D56" s="1292"/>
      <c r="E56" s="1292"/>
      <c r="F56" s="1292"/>
    </row>
    <row r="57" spans="1:6">
      <c r="B57" s="1242"/>
      <c r="C57" s="8" t="str">
        <f>Calculation_PRIM_wastage_rates!C57</f>
        <v>2012/13</v>
      </c>
      <c r="D57" s="8" t="str">
        <f>Calculation_PRIM_wastage_rates!D57</f>
        <v>2013/14</v>
      </c>
      <c r="E57" s="8" t="str">
        <f>Calculation_PRIM_wastage_rates!E57</f>
        <v>2014/15</v>
      </c>
      <c r="F57" s="8" t="str">
        <f>Calculation_PRIM_wastage_rates!F57</f>
        <v>2015/16</v>
      </c>
    </row>
    <row r="58" spans="1:6">
      <c r="B58" s="8" t="str">
        <f t="shared" ref="B58:B68" si="0">B39</f>
        <v>20-24</v>
      </c>
      <c r="C58" s="300">
        <f>RAW_DATA_INPUTS!C149</f>
        <v>306.83300000000003</v>
      </c>
      <c r="D58" s="300">
        <f>RAW_DATA_INPUTS!D149</f>
        <v>385.41300000000001</v>
      </c>
      <c r="E58" s="300">
        <f>RAW_DATA_INPUTS!E149</f>
        <v>416.62900000000002</v>
      </c>
      <c r="F58" s="300">
        <f>RAW_DATA_INPUTS!F149</f>
        <v>435.005</v>
      </c>
    </row>
    <row r="59" spans="1:6">
      <c r="B59" s="8" t="str">
        <f t="shared" si="0"/>
        <v>25-29</v>
      </c>
      <c r="C59" s="300">
        <f>RAW_DATA_INPUTS!C150</f>
        <v>1098.6389999999999</v>
      </c>
      <c r="D59" s="300">
        <f>RAW_DATA_INPUTS!D150</f>
        <v>1190.2929999999999</v>
      </c>
      <c r="E59" s="300">
        <f>RAW_DATA_INPUTS!E150</f>
        <v>1371.136</v>
      </c>
      <c r="F59" s="300">
        <f>RAW_DATA_INPUTS!F150</f>
        <v>1272.221</v>
      </c>
    </row>
    <row r="60" spans="1:6">
      <c r="B60" s="8" t="str">
        <f t="shared" si="0"/>
        <v>30-34</v>
      </c>
      <c r="C60" s="300">
        <f>RAW_DATA_INPUTS!C151</f>
        <v>963.04700000000003</v>
      </c>
      <c r="D60" s="300">
        <f>RAW_DATA_INPUTS!D151</f>
        <v>1022.341</v>
      </c>
      <c r="E60" s="300">
        <f>RAW_DATA_INPUTS!E151</f>
        <v>1115.6600000000001</v>
      </c>
      <c r="F60" s="300">
        <f>RAW_DATA_INPUTS!F151</f>
        <v>1134.4639999999999</v>
      </c>
    </row>
    <row r="61" spans="1:6">
      <c r="B61" s="8" t="str">
        <f t="shared" si="0"/>
        <v>35-39</v>
      </c>
      <c r="C61" s="300">
        <f>RAW_DATA_INPUTS!C152</f>
        <v>747.83199999999999</v>
      </c>
      <c r="D61" s="300">
        <f>RAW_DATA_INPUTS!D152</f>
        <v>897.19600000000003</v>
      </c>
      <c r="E61" s="300">
        <f>RAW_DATA_INPUTS!E152</f>
        <v>946.89</v>
      </c>
      <c r="F61" s="300">
        <f>RAW_DATA_INPUTS!F152</f>
        <v>979.87199999999996</v>
      </c>
    </row>
    <row r="62" spans="1:6">
      <c r="B62" s="8" t="str">
        <f t="shared" si="0"/>
        <v>40-44</v>
      </c>
      <c r="C62" s="300">
        <f>RAW_DATA_INPUTS!C153</f>
        <v>747.71900000000005</v>
      </c>
      <c r="D62" s="300">
        <f>RAW_DATA_INPUTS!D153</f>
        <v>887.55499999999995</v>
      </c>
      <c r="E62" s="300">
        <f>RAW_DATA_INPUTS!E153</f>
        <v>946.26099999999997</v>
      </c>
      <c r="F62" s="300">
        <f>RAW_DATA_INPUTS!F153</f>
        <v>853.53599999999994</v>
      </c>
    </row>
    <row r="63" spans="1:6">
      <c r="B63" s="8" t="str">
        <f t="shared" si="0"/>
        <v>45-49</v>
      </c>
      <c r="C63" s="300">
        <f>RAW_DATA_INPUTS!C154</f>
        <v>672.13300000000004</v>
      </c>
      <c r="D63" s="300">
        <f>RAW_DATA_INPUTS!D154</f>
        <v>837.90599999999995</v>
      </c>
      <c r="E63" s="300">
        <f>RAW_DATA_INPUTS!E154</f>
        <v>842.52300000000002</v>
      </c>
      <c r="F63" s="300">
        <f>RAW_DATA_INPUTS!F154</f>
        <v>865.73599999999999</v>
      </c>
    </row>
    <row r="64" spans="1:6">
      <c r="B64" s="8" t="str">
        <f t="shared" si="0"/>
        <v>50-54</v>
      </c>
      <c r="C64" s="300">
        <f>RAW_DATA_INPUTS!C155</f>
        <v>539.80999999999995</v>
      </c>
      <c r="D64" s="300">
        <f>RAW_DATA_INPUTS!D155</f>
        <v>623.22699999999998</v>
      </c>
      <c r="E64" s="300">
        <f>RAW_DATA_INPUTS!E155</f>
        <v>705.80399999999997</v>
      </c>
      <c r="F64" s="300">
        <f>RAW_DATA_INPUTS!F155</f>
        <v>766.35</v>
      </c>
    </row>
    <row r="65" spans="1:7">
      <c r="B65" s="8" t="str">
        <f t="shared" si="0"/>
        <v>55-59</v>
      </c>
      <c r="C65" s="300">
        <f>RAW_DATA_INPUTS!C156</f>
        <v>210.18799999999999</v>
      </c>
      <c r="D65" s="300">
        <f>RAW_DATA_INPUTS!D156</f>
        <v>268.87200000000001</v>
      </c>
      <c r="E65" s="300">
        <f>RAW_DATA_INPUTS!E156</f>
        <v>345.41399999999999</v>
      </c>
      <c r="F65" s="300">
        <f>RAW_DATA_INPUTS!F156</f>
        <v>421.74400000000003</v>
      </c>
    </row>
    <row r="66" spans="1:7">
      <c r="B66" s="8" t="str">
        <f t="shared" si="0"/>
        <v>60-64</v>
      </c>
      <c r="C66" s="300">
        <f>RAW_DATA_INPUTS!C157</f>
        <v>140.93100000000001</v>
      </c>
      <c r="D66" s="300">
        <f>RAW_DATA_INPUTS!D157</f>
        <v>116.892</v>
      </c>
      <c r="E66" s="300">
        <f>RAW_DATA_INPUTS!E157</f>
        <v>126.139</v>
      </c>
      <c r="F66" s="300">
        <f>RAW_DATA_INPUTS!F157</f>
        <v>117.209</v>
      </c>
    </row>
    <row r="67" spans="1:7">
      <c r="B67" s="8" t="str">
        <f t="shared" si="0"/>
        <v>65 plus</v>
      </c>
      <c r="C67" s="300">
        <f>RAW_DATA_INPUTS!C158</f>
        <v>32.116</v>
      </c>
      <c r="D67" s="300">
        <f>RAW_DATA_INPUTS!D158</f>
        <v>45.816000000000003</v>
      </c>
      <c r="E67" s="300">
        <f>RAW_DATA_INPUTS!E158</f>
        <v>56.072000000000003</v>
      </c>
      <c r="F67" s="300">
        <f>RAW_DATA_INPUTS!F158</f>
        <v>54.985999999999997</v>
      </c>
    </row>
    <row r="68" spans="1:7">
      <c r="B68" s="8" t="str">
        <f t="shared" si="0"/>
        <v>Total</v>
      </c>
      <c r="C68" s="300">
        <f>RAW_DATA_INPUTS!C159</f>
        <v>5459.2480000000005</v>
      </c>
      <c r="D68" s="300">
        <f>RAW_DATA_INPUTS!D159</f>
        <v>6275.5109999999995</v>
      </c>
      <c r="E68" s="300">
        <f>RAW_DATA_INPUTS!E159</f>
        <v>6872.5280000000002</v>
      </c>
      <c r="F68" s="300">
        <f>RAW_DATA_INPUTS!F159</f>
        <v>6901.1229999999996</v>
      </c>
    </row>
    <row r="69" spans="1:7">
      <c r="A69">
        <f>SUM(C69:F69)</f>
        <v>0</v>
      </c>
      <c r="C69">
        <f>SUM(C58:C67)-C68</f>
        <v>0</v>
      </c>
      <c r="D69">
        <f>SUM(D58:D67)-D68</f>
        <v>0</v>
      </c>
      <c r="E69">
        <f>SUM(E58:E67)-E68</f>
        <v>0</v>
      </c>
      <c r="F69">
        <f>SUM(F58:F67)-F68</f>
        <v>0</v>
      </c>
    </row>
    <row r="71" spans="1:7">
      <c r="B71" s="75" t="s">
        <v>111</v>
      </c>
    </row>
    <row r="73" spans="1:7">
      <c r="B73" s="1241" t="str">
        <f>B56</f>
        <v>Age group</v>
      </c>
      <c r="C73" s="1292" t="str">
        <f>C56</f>
        <v>Year</v>
      </c>
      <c r="D73" s="1292"/>
      <c r="E73" s="1292"/>
      <c r="F73" s="1292"/>
    </row>
    <row r="74" spans="1:7">
      <c r="B74" s="1242"/>
      <c r="C74" s="8" t="str">
        <f>C57</f>
        <v>2012/13</v>
      </c>
      <c r="D74" s="8" t="str">
        <f>D57</f>
        <v>2013/14</v>
      </c>
      <c r="E74" s="8" t="str">
        <f>E57</f>
        <v>2014/15</v>
      </c>
      <c r="F74" s="8" t="str">
        <f>F57</f>
        <v>2015/16</v>
      </c>
    </row>
    <row r="75" spans="1:7">
      <c r="B75" s="8" t="str">
        <f t="shared" ref="B75:B85" si="1">B58</f>
        <v>20-24</v>
      </c>
      <c r="C75" s="300">
        <f>RAW_DATA_INPUTS!C183</f>
        <v>724.58799999999997</v>
      </c>
      <c r="D75" s="300">
        <f>RAW_DATA_INPUTS!D183</f>
        <v>746.19500000000005</v>
      </c>
      <c r="E75" s="300">
        <f>RAW_DATA_INPUTS!E183</f>
        <v>927.33500000000004</v>
      </c>
      <c r="F75" s="300">
        <f>RAW_DATA_INPUTS!F183</f>
        <v>901.11599999999999</v>
      </c>
      <c r="G75" s="5"/>
    </row>
    <row r="76" spans="1:7">
      <c r="B76" s="8" t="str">
        <f t="shared" si="1"/>
        <v>25-29</v>
      </c>
      <c r="C76" s="300">
        <f>RAW_DATA_INPUTS!C184</f>
        <v>2372.8560000000002</v>
      </c>
      <c r="D76" s="300">
        <f>RAW_DATA_INPUTS!D184</f>
        <v>2448.9560000000001</v>
      </c>
      <c r="E76" s="300">
        <f>RAW_DATA_INPUTS!E184</f>
        <v>2603.9059999999999</v>
      </c>
      <c r="F76" s="300">
        <f>RAW_DATA_INPUTS!F184</f>
        <v>2532.4639999999999</v>
      </c>
      <c r="G76" s="5"/>
    </row>
    <row r="77" spans="1:7">
      <c r="B77" s="8" t="str">
        <f t="shared" si="1"/>
        <v>30-34</v>
      </c>
      <c r="C77" s="300">
        <f>RAW_DATA_INPUTS!C185</f>
        <v>2164.2669999999998</v>
      </c>
      <c r="D77" s="300">
        <f>RAW_DATA_INPUTS!D185</f>
        <v>2215.326</v>
      </c>
      <c r="E77" s="300">
        <f>RAW_DATA_INPUTS!E185</f>
        <v>2479.7449999999999</v>
      </c>
      <c r="F77" s="300">
        <f>RAW_DATA_INPUTS!F185</f>
        <v>2246.1880000000001</v>
      </c>
      <c r="G77" s="5"/>
    </row>
    <row r="78" spans="1:7">
      <c r="B78" s="8" t="str">
        <f t="shared" si="1"/>
        <v>35-39</v>
      </c>
      <c r="C78" s="300">
        <f>RAW_DATA_INPUTS!C186</f>
        <v>1467.1590000000001</v>
      </c>
      <c r="D78" s="300">
        <f>RAW_DATA_INPUTS!D186</f>
        <v>1663.9559999999999</v>
      </c>
      <c r="E78" s="300">
        <f>RAW_DATA_INPUTS!E186</f>
        <v>1848.1030000000001</v>
      </c>
      <c r="F78" s="300">
        <f>RAW_DATA_INPUTS!F186</f>
        <v>1922.64</v>
      </c>
      <c r="G78" s="5"/>
    </row>
    <row r="79" spans="1:7">
      <c r="B79" s="8" t="str">
        <f t="shared" si="1"/>
        <v>40-44</v>
      </c>
      <c r="C79" s="300">
        <f>RAW_DATA_INPUTS!C187</f>
        <v>1205.376</v>
      </c>
      <c r="D79" s="300">
        <f>RAW_DATA_INPUTS!D187</f>
        <v>1332.09</v>
      </c>
      <c r="E79" s="300">
        <f>RAW_DATA_INPUTS!E187</f>
        <v>1572.6859999999999</v>
      </c>
      <c r="F79" s="300">
        <f>RAW_DATA_INPUTS!F187</f>
        <v>1523.4939999999999</v>
      </c>
      <c r="G79" s="5"/>
    </row>
    <row r="80" spans="1:7">
      <c r="B80" s="8" t="str">
        <f t="shared" si="1"/>
        <v>45-49</v>
      </c>
      <c r="C80" s="300">
        <f>RAW_DATA_INPUTS!C188</f>
        <v>1048.8130000000001</v>
      </c>
      <c r="D80" s="300">
        <f>RAW_DATA_INPUTS!D188</f>
        <v>1123.3679999999999</v>
      </c>
      <c r="E80" s="300">
        <f>RAW_DATA_INPUTS!E188</f>
        <v>1289.7940000000001</v>
      </c>
      <c r="F80" s="300">
        <f>RAW_DATA_INPUTS!F188</f>
        <v>1289.3009999999999</v>
      </c>
      <c r="G80" s="5"/>
    </row>
    <row r="81" spans="1:7">
      <c r="B81" s="8" t="str">
        <f t="shared" si="1"/>
        <v>50-54</v>
      </c>
      <c r="C81" s="300">
        <f>RAW_DATA_INPUTS!C189</f>
        <v>858.81600000000003</v>
      </c>
      <c r="D81" s="300">
        <f>RAW_DATA_INPUTS!D189</f>
        <v>859.649</v>
      </c>
      <c r="E81" s="300">
        <f>RAW_DATA_INPUTS!E189</f>
        <v>1142.32</v>
      </c>
      <c r="F81" s="300">
        <f>RAW_DATA_INPUTS!F189</f>
        <v>1173.5340000000001</v>
      </c>
      <c r="G81" s="5"/>
    </row>
    <row r="82" spans="1:7">
      <c r="B82" s="8" t="str">
        <f t="shared" si="1"/>
        <v>55-59</v>
      </c>
      <c r="C82" s="300">
        <f>RAW_DATA_INPUTS!C190</f>
        <v>295.77</v>
      </c>
      <c r="D82" s="300">
        <f>RAW_DATA_INPUTS!D190</f>
        <v>411.54300000000001</v>
      </c>
      <c r="E82" s="300">
        <f>RAW_DATA_INPUTS!E190</f>
        <v>556.71900000000005</v>
      </c>
      <c r="F82" s="300">
        <f>RAW_DATA_INPUTS!F190</f>
        <v>647.55700000000002</v>
      </c>
      <c r="G82" s="5"/>
    </row>
    <row r="83" spans="1:7">
      <c r="B83" s="8" t="str">
        <f t="shared" si="1"/>
        <v>60-64</v>
      </c>
      <c r="C83" s="300">
        <f>RAW_DATA_INPUTS!C191</f>
        <v>128.21</v>
      </c>
      <c r="D83" s="300">
        <f>RAW_DATA_INPUTS!D191</f>
        <v>131.48099999999999</v>
      </c>
      <c r="E83" s="300">
        <f>RAW_DATA_INPUTS!E191</f>
        <v>142.827</v>
      </c>
      <c r="F83" s="300">
        <f>RAW_DATA_INPUTS!F191</f>
        <v>160.30099999999999</v>
      </c>
      <c r="G83" s="5"/>
    </row>
    <row r="84" spans="1:7">
      <c r="B84" s="8" t="str">
        <f t="shared" si="1"/>
        <v>65 plus</v>
      </c>
      <c r="C84" s="300">
        <f>RAW_DATA_INPUTS!C192</f>
        <v>22.446999999999999</v>
      </c>
      <c r="D84" s="300">
        <f>RAW_DATA_INPUTS!D192</f>
        <v>47.499000000000002</v>
      </c>
      <c r="E84" s="300">
        <f>RAW_DATA_INPUTS!E192</f>
        <v>36.417999999999999</v>
      </c>
      <c r="F84" s="300">
        <f>RAW_DATA_INPUTS!F192</f>
        <v>32.216000000000001</v>
      </c>
      <c r="G84" s="5"/>
    </row>
    <row r="85" spans="1:7">
      <c r="B85" s="8" t="str">
        <f t="shared" si="1"/>
        <v>Total</v>
      </c>
      <c r="C85" s="300">
        <f>RAW_DATA_INPUTS!C193</f>
        <v>10288.302000000001</v>
      </c>
      <c r="D85" s="300">
        <f>RAW_DATA_INPUTS!D193</f>
        <v>10980.063</v>
      </c>
      <c r="E85" s="300">
        <f>RAW_DATA_INPUTS!E193</f>
        <v>12599.852999999999</v>
      </c>
      <c r="F85" s="300">
        <f>RAW_DATA_INPUTS!F193</f>
        <v>12428.811</v>
      </c>
      <c r="G85" s="5"/>
    </row>
    <row r="86" spans="1:7">
      <c r="A86">
        <f>SUM(C86:F86)</f>
        <v>0</v>
      </c>
      <c r="C86">
        <f>SUM(C75:C84)-C85</f>
        <v>0</v>
      </c>
      <c r="D86">
        <f>SUM(D75:D84)-D85</f>
        <v>0</v>
      </c>
      <c r="E86">
        <f>SUM(E75:E84)-E85</f>
        <v>0</v>
      </c>
      <c r="F86">
        <f>SUM(F75:F84)-F85</f>
        <v>0</v>
      </c>
    </row>
    <row r="88" spans="1:7">
      <c r="B88" s="75" t="s">
        <v>112</v>
      </c>
    </row>
    <row r="90" spans="1:7">
      <c r="B90" s="1205" t="str">
        <f>B73</f>
        <v>Age group</v>
      </c>
      <c r="C90" s="1292" t="str">
        <f>C73</f>
        <v>Year</v>
      </c>
      <c r="D90" s="1292"/>
      <c r="E90" s="1292"/>
      <c r="F90" s="1292"/>
    </row>
    <row r="91" spans="1:7">
      <c r="B91" s="1205"/>
      <c r="C91" s="8" t="str">
        <f>C74</f>
        <v>2012/13</v>
      </c>
      <c r="D91" s="8" t="str">
        <f>D74</f>
        <v>2013/14</v>
      </c>
      <c r="E91" s="8" t="str">
        <f>E74</f>
        <v>2014/15</v>
      </c>
      <c r="F91" s="8" t="str">
        <f>F74</f>
        <v>2015/16</v>
      </c>
    </row>
    <row r="92" spans="1:7">
      <c r="B92" s="8" t="str">
        <f t="shared" ref="B92:B102" si="2">B75</f>
        <v>20-24</v>
      </c>
      <c r="C92" s="160">
        <f t="shared" ref="C92:F102" si="3">C58/C22</f>
        <v>0.1164958270276181</v>
      </c>
      <c r="D92" s="160">
        <f t="shared" si="3"/>
        <v>0.14539936319188751</v>
      </c>
      <c r="E92" s="160">
        <f t="shared" si="3"/>
        <v>0.14969482848631555</v>
      </c>
      <c r="F92" s="160">
        <f t="shared" si="3"/>
        <v>0.15505562868631609</v>
      </c>
      <c r="G92" s="5"/>
    </row>
    <row r="93" spans="1:7">
      <c r="B93" s="8" t="str">
        <f t="shared" si="2"/>
        <v>25-29</v>
      </c>
      <c r="C93" s="160">
        <f t="shared" si="3"/>
        <v>9.154257766115434E-2</v>
      </c>
      <c r="D93" s="160">
        <f t="shared" si="3"/>
        <v>0.10197029214322116</v>
      </c>
      <c r="E93" s="160">
        <f t="shared" si="3"/>
        <v>0.12228854719472837</v>
      </c>
      <c r="F93" s="160">
        <f t="shared" si="3"/>
        <v>0.11763956892587564</v>
      </c>
      <c r="G93" s="5"/>
    </row>
    <row r="94" spans="1:7">
      <c r="B94" s="8" t="str">
        <f t="shared" si="2"/>
        <v>30-34</v>
      </c>
      <c r="C94" s="160">
        <f t="shared" si="3"/>
        <v>6.7973649814870835E-2</v>
      </c>
      <c r="D94" s="160">
        <f t="shared" si="3"/>
        <v>7.2037291878496293E-2</v>
      </c>
      <c r="E94" s="160">
        <f t="shared" si="3"/>
        <v>7.9551608612303384E-2</v>
      </c>
      <c r="F94" s="160">
        <f t="shared" si="3"/>
        <v>8.3651876810978659E-2</v>
      </c>
      <c r="G94" s="5"/>
    </row>
    <row r="95" spans="1:7">
      <c r="B95" s="8" t="str">
        <f t="shared" si="2"/>
        <v>35-39</v>
      </c>
      <c r="C95" s="160">
        <f t="shared" si="3"/>
        <v>6.1329963473410562E-2</v>
      </c>
      <c r="D95" s="160">
        <f t="shared" si="3"/>
        <v>7.3905683176324247E-2</v>
      </c>
      <c r="E95" s="160">
        <f t="shared" si="3"/>
        <v>7.6860830587897805E-2</v>
      </c>
      <c r="F95" s="160">
        <f t="shared" si="3"/>
        <v>7.7721812525411604E-2</v>
      </c>
      <c r="G95" s="5"/>
    </row>
    <row r="96" spans="1:7">
      <c r="B96" s="8" t="str">
        <f t="shared" si="2"/>
        <v>40-44</v>
      </c>
      <c r="C96" s="160">
        <f t="shared" si="3"/>
        <v>6.3221432747109021E-2</v>
      </c>
      <c r="D96" s="160">
        <f t="shared" si="3"/>
        <v>7.4375122187610943E-2</v>
      </c>
      <c r="E96" s="160">
        <f t="shared" si="3"/>
        <v>8.0229794112180841E-2</v>
      </c>
      <c r="F96" s="160">
        <f t="shared" si="3"/>
        <v>7.3585199920443392E-2</v>
      </c>
      <c r="G96" s="5"/>
    </row>
    <row r="97" spans="2:7">
      <c r="B97" s="8" t="str">
        <f t="shared" si="2"/>
        <v>45-49</v>
      </c>
      <c r="C97" s="160">
        <f t="shared" si="3"/>
        <v>7.1801394765218504E-2</v>
      </c>
      <c r="D97" s="160">
        <f t="shared" si="3"/>
        <v>8.9295240839656981E-2</v>
      </c>
      <c r="E97" s="160">
        <f t="shared" si="3"/>
        <v>8.9618503646921449E-2</v>
      </c>
      <c r="F97" s="160">
        <f t="shared" si="3"/>
        <v>9.0765314686311771E-2</v>
      </c>
      <c r="G97" s="5"/>
    </row>
    <row r="98" spans="2:7">
      <c r="B98" s="8" t="str">
        <f t="shared" si="2"/>
        <v>50-54</v>
      </c>
      <c r="C98" s="160">
        <f t="shared" si="3"/>
        <v>6.0259510734880027E-2</v>
      </c>
      <c r="D98" s="160">
        <f t="shared" si="3"/>
        <v>7.2286069702233044E-2</v>
      </c>
      <c r="E98" s="160">
        <f t="shared" si="3"/>
        <v>8.5741910537120575E-2</v>
      </c>
      <c r="F98" s="160">
        <f t="shared" si="3"/>
        <v>9.6243314552689932E-2</v>
      </c>
      <c r="G98" s="5"/>
    </row>
    <row r="99" spans="2:7">
      <c r="B99" s="8" t="str">
        <f t="shared" si="2"/>
        <v>55-59</v>
      </c>
      <c r="C99" s="160">
        <f t="shared" si="3"/>
        <v>2.8331603281531524E-2</v>
      </c>
      <c r="D99" s="160">
        <f t="shared" si="3"/>
        <v>4.081827841268526E-2</v>
      </c>
      <c r="E99" s="160">
        <f t="shared" si="3"/>
        <v>5.6985985876165261E-2</v>
      </c>
      <c r="F99" s="160">
        <f t="shared" si="3"/>
        <v>7.5419318600233307E-2</v>
      </c>
      <c r="G99" s="5"/>
    </row>
    <row r="100" spans="2:7">
      <c r="B100" s="8" t="str">
        <f t="shared" si="2"/>
        <v>60-64</v>
      </c>
      <c r="C100" s="160">
        <f t="shared" si="3"/>
        <v>5.722405415315051E-2</v>
      </c>
      <c r="D100" s="160">
        <f t="shared" si="3"/>
        <v>5.0073551901425886E-2</v>
      </c>
      <c r="E100" s="160">
        <f t="shared" si="3"/>
        <v>5.9498265367008717E-2</v>
      </c>
      <c r="F100" s="160">
        <f t="shared" si="3"/>
        <v>6.0646811707661355E-2</v>
      </c>
      <c r="G100" s="5"/>
    </row>
    <row r="101" spans="2:7">
      <c r="B101" s="8" t="str">
        <f t="shared" si="2"/>
        <v>65 plus</v>
      </c>
      <c r="C101" s="160">
        <f t="shared" si="3"/>
        <v>7.4096291032586123E-2</v>
      </c>
      <c r="D101" s="160">
        <f t="shared" si="3"/>
        <v>9.5333216809408469E-2</v>
      </c>
      <c r="E101" s="160">
        <f t="shared" si="3"/>
        <v>0.11554447386587263</v>
      </c>
      <c r="F101" s="160">
        <f t="shared" si="3"/>
        <v>0.11423051354495595</v>
      </c>
      <c r="G101" s="5"/>
    </row>
    <row r="102" spans="2:7">
      <c r="B102" s="8" t="str">
        <f t="shared" si="2"/>
        <v>Total</v>
      </c>
      <c r="C102" s="160">
        <f t="shared" si="3"/>
        <v>6.7019224890784129E-2</v>
      </c>
      <c r="D102" s="160">
        <f t="shared" si="3"/>
        <v>7.8447820677609206E-2</v>
      </c>
      <c r="E102" s="160">
        <f t="shared" si="3"/>
        <v>8.762243679598497E-2</v>
      </c>
      <c r="F102" s="160">
        <f t="shared" si="3"/>
        <v>8.9747010145496936E-2</v>
      </c>
      <c r="G102" s="5"/>
    </row>
    <row r="103" spans="2:7">
      <c r="B103" s="5"/>
      <c r="C103" s="5"/>
      <c r="D103" s="5"/>
      <c r="E103" s="5"/>
      <c r="F103" s="5"/>
      <c r="G103" s="5"/>
    </row>
    <row r="104" spans="2:7">
      <c r="B104" s="75" t="s">
        <v>113</v>
      </c>
      <c r="C104" s="5"/>
      <c r="D104" s="5"/>
      <c r="E104" s="5"/>
      <c r="F104" s="5"/>
      <c r="G104" s="5"/>
    </row>
    <row r="105" spans="2:7">
      <c r="B105" s="5"/>
      <c r="C105" s="5"/>
      <c r="D105" s="5"/>
      <c r="E105" s="5"/>
      <c r="F105" s="5"/>
      <c r="G105" s="5"/>
    </row>
    <row r="106" spans="2:7">
      <c r="B106" s="1205" t="str">
        <f>B90</f>
        <v>Age group</v>
      </c>
      <c r="C106" s="1292" t="str">
        <f>C90</f>
        <v>Year</v>
      </c>
      <c r="D106" s="1292"/>
      <c r="E106" s="1292"/>
      <c r="F106" s="1292"/>
      <c r="G106" s="5"/>
    </row>
    <row r="107" spans="2:7">
      <c r="B107" s="1205"/>
      <c r="C107" s="8" t="str">
        <f>C91</f>
        <v>2012/13</v>
      </c>
      <c r="D107" s="8" t="str">
        <f>D91</f>
        <v>2013/14</v>
      </c>
      <c r="E107" s="8" t="str">
        <f>E91</f>
        <v>2014/15</v>
      </c>
      <c r="F107" s="8" t="str">
        <f>F91</f>
        <v>2015/16</v>
      </c>
      <c r="G107" s="5"/>
    </row>
    <row r="108" spans="2:7">
      <c r="B108" s="8" t="str">
        <f>B92</f>
        <v>20-24</v>
      </c>
      <c r="C108" s="160">
        <f t="shared" ref="C108:F118" si="4">C75/C39</f>
        <v>0.10471206306990331</v>
      </c>
      <c r="D108" s="160">
        <f t="shared" si="4"/>
        <v>0.11435295516711934</v>
      </c>
      <c r="E108" s="160">
        <f t="shared" si="4"/>
        <v>0.13602997856724899</v>
      </c>
      <c r="F108" s="160">
        <f t="shared" si="4"/>
        <v>0.13092297533196906</v>
      </c>
      <c r="G108" s="5"/>
    </row>
    <row r="109" spans="2:7">
      <c r="B109" s="8" t="str">
        <f t="shared" ref="B109:B118" si="5">B93</f>
        <v>25-29</v>
      </c>
      <c r="C109" s="160">
        <f t="shared" si="4"/>
        <v>9.3275695701828601E-2</v>
      </c>
      <c r="D109" s="160">
        <f t="shared" si="4"/>
        <v>9.7762347718136314E-2</v>
      </c>
      <c r="E109" s="160">
        <f t="shared" si="4"/>
        <v>0.10706661025319042</v>
      </c>
      <c r="F109" s="160">
        <f t="shared" si="4"/>
        <v>0.10888895185595203</v>
      </c>
      <c r="G109" s="5"/>
    </row>
    <row r="110" spans="2:7">
      <c r="B110" s="8" t="str">
        <f t="shared" si="5"/>
        <v>30-34</v>
      </c>
      <c r="C110" s="160">
        <f t="shared" si="4"/>
        <v>8.0730713810571286E-2</v>
      </c>
      <c r="D110" s="160">
        <f t="shared" si="4"/>
        <v>8.1877120637996126E-2</v>
      </c>
      <c r="E110" s="160">
        <f t="shared" si="4"/>
        <v>9.3151552425074405E-2</v>
      </c>
      <c r="F110" s="160">
        <f t="shared" si="4"/>
        <v>8.7191245675786816E-2</v>
      </c>
      <c r="G110" s="5"/>
    </row>
    <row r="111" spans="2:7">
      <c r="B111" s="8" t="str">
        <f t="shared" si="5"/>
        <v>35-39</v>
      </c>
      <c r="C111" s="160">
        <f t="shared" si="4"/>
        <v>7.1530182173041579E-2</v>
      </c>
      <c r="D111" s="160">
        <f t="shared" si="4"/>
        <v>7.9082245286057867E-2</v>
      </c>
      <c r="E111" s="160">
        <f t="shared" si="4"/>
        <v>8.4213224384749139E-2</v>
      </c>
      <c r="F111" s="160">
        <f t="shared" si="4"/>
        <v>8.4365349564585829E-2</v>
      </c>
      <c r="G111" s="5"/>
    </row>
    <row r="112" spans="2:7">
      <c r="B112" s="8" t="str">
        <f t="shared" si="5"/>
        <v>40-44</v>
      </c>
      <c r="C112" s="160">
        <f t="shared" si="4"/>
        <v>7.2105230508932236E-2</v>
      </c>
      <c r="D112" s="160">
        <f t="shared" si="4"/>
        <v>7.5302640196750467E-2</v>
      </c>
      <c r="E112" s="160">
        <f t="shared" si="4"/>
        <v>8.5825128339096252E-2</v>
      </c>
      <c r="F112" s="160">
        <f t="shared" si="4"/>
        <v>8.2059971397664841E-2</v>
      </c>
      <c r="G112" s="5"/>
    </row>
    <row r="113" spans="2:7">
      <c r="B113" s="8" t="str">
        <f t="shared" si="5"/>
        <v>45-49</v>
      </c>
      <c r="C113" s="160">
        <f t="shared" si="4"/>
        <v>7.5435286705199001E-2</v>
      </c>
      <c r="D113" s="160">
        <f t="shared" si="4"/>
        <v>8.1412728634673845E-2</v>
      </c>
      <c r="E113" s="160">
        <f t="shared" si="4"/>
        <v>9.231761156665319E-2</v>
      </c>
      <c r="F113" s="160">
        <f t="shared" si="4"/>
        <v>9.1869475757963559E-2</v>
      </c>
      <c r="G113" s="5"/>
    </row>
    <row r="114" spans="2:7">
      <c r="B114" s="8" t="str">
        <f t="shared" si="5"/>
        <v>50-54</v>
      </c>
      <c r="C114" s="160">
        <f t="shared" si="4"/>
        <v>6.4104567021949735E-2</v>
      </c>
      <c r="D114" s="160">
        <f t="shared" si="4"/>
        <v>6.7981749095374716E-2</v>
      </c>
      <c r="E114" s="160">
        <f t="shared" si="4"/>
        <v>9.2938248687757352E-2</v>
      </c>
      <c r="F114" s="160">
        <f t="shared" si="4"/>
        <v>9.9121480560885475E-2</v>
      </c>
      <c r="G114" s="5"/>
    </row>
    <row r="115" spans="2:7">
      <c r="B115" s="8" t="str">
        <f t="shared" si="5"/>
        <v>55-59</v>
      </c>
      <c r="C115" s="160">
        <f t="shared" si="4"/>
        <v>2.6360610152270692E-2</v>
      </c>
      <c r="D115" s="160">
        <f t="shared" si="4"/>
        <v>3.9006182710702372E-2</v>
      </c>
      <c r="E115" s="160">
        <f t="shared" si="4"/>
        <v>5.8101865259829216E-2</v>
      </c>
      <c r="F115" s="160">
        <f t="shared" si="4"/>
        <v>7.3573849599429919E-2</v>
      </c>
      <c r="G115" s="5"/>
    </row>
    <row r="116" spans="2:7">
      <c r="B116" s="8" t="str">
        <f t="shared" si="5"/>
        <v>60-64</v>
      </c>
      <c r="C116" s="160">
        <f t="shared" si="4"/>
        <v>4.397390170713128E-2</v>
      </c>
      <c r="D116" s="160">
        <f t="shared" si="4"/>
        <v>4.5955136412108327E-2</v>
      </c>
      <c r="E116" s="160">
        <f t="shared" si="4"/>
        <v>4.9619706277686505E-2</v>
      </c>
      <c r="F116" s="160">
        <f t="shared" si="4"/>
        <v>5.9168450383152993E-2</v>
      </c>
      <c r="G116" s="5"/>
    </row>
    <row r="117" spans="2:7">
      <c r="B117" s="8" t="str">
        <f t="shared" si="5"/>
        <v>65 plus</v>
      </c>
      <c r="C117" s="160">
        <f t="shared" si="4"/>
        <v>5.4230548079571311E-2</v>
      </c>
      <c r="D117" s="160">
        <f t="shared" si="4"/>
        <v>0.10068979259585871</v>
      </c>
      <c r="E117" s="160">
        <f t="shared" si="4"/>
        <v>8.1653060812674177E-2</v>
      </c>
      <c r="F117" s="160">
        <f t="shared" si="4"/>
        <v>6.7459021199252872E-2</v>
      </c>
      <c r="G117" s="5"/>
    </row>
    <row r="118" spans="2:7">
      <c r="B118" s="8" t="str">
        <f t="shared" si="5"/>
        <v>Total</v>
      </c>
      <c r="C118" s="160">
        <f t="shared" si="4"/>
        <v>7.4420437653833521E-2</v>
      </c>
      <c r="D118" s="160">
        <f t="shared" si="4"/>
        <v>7.9744771423890928E-2</v>
      </c>
      <c r="E118" s="160">
        <f t="shared" si="4"/>
        <v>9.1837943148938506E-2</v>
      </c>
      <c r="F118" s="160">
        <f t="shared" si="4"/>
        <v>9.1984559414236625E-2</v>
      </c>
      <c r="G118" s="5"/>
    </row>
    <row r="119" spans="2:7">
      <c r="B119" s="5"/>
      <c r="C119" s="5"/>
      <c r="D119" s="5"/>
      <c r="E119" s="5"/>
      <c r="F119" s="5"/>
      <c r="G119" s="5"/>
    </row>
    <row r="120" spans="2:7">
      <c r="B120" s="75" t="s">
        <v>114</v>
      </c>
      <c r="C120" s="5"/>
      <c r="D120" s="5"/>
      <c r="E120" s="5"/>
      <c r="F120" s="5"/>
      <c r="G120" s="5"/>
    </row>
    <row r="121" spans="2:7">
      <c r="B121" s="5"/>
      <c r="C121" s="5"/>
      <c r="D121" s="5"/>
      <c r="E121" s="5"/>
      <c r="F121" s="5"/>
      <c r="G121" s="5"/>
    </row>
    <row r="122" spans="2:7">
      <c r="B122" s="1205" t="str">
        <f>B106</f>
        <v>Age group</v>
      </c>
      <c r="C122" s="1241" t="str">
        <f>C107</f>
        <v>2012/13</v>
      </c>
      <c r="D122" s="1241" t="str">
        <f>D107</f>
        <v>2013/14</v>
      </c>
      <c r="E122" s="1241" t="str">
        <f>E107</f>
        <v>2014/15</v>
      </c>
      <c r="F122" s="1241" t="str">
        <f>F107</f>
        <v>2015/16</v>
      </c>
      <c r="G122" s="1290" t="s">
        <v>8</v>
      </c>
    </row>
    <row r="123" spans="2:7">
      <c r="B123" s="1205"/>
      <c r="C123" s="1242"/>
      <c r="D123" s="1242"/>
      <c r="E123" s="1242"/>
      <c r="F123" s="1242"/>
      <c r="G123" s="1291"/>
    </row>
    <row r="124" spans="2:7">
      <c r="B124" s="138" t="str">
        <f>B108</f>
        <v>20-24</v>
      </c>
      <c r="C124" s="909">
        <f>C92*H$14</f>
        <v>1.1649582702761811E-2</v>
      </c>
      <c r="D124" s="909">
        <f t="shared" ref="D124:F134" si="6">D92*I$14</f>
        <v>2.9079872638377503E-2</v>
      </c>
      <c r="E124" s="909">
        <f t="shared" si="6"/>
        <v>4.4908448545894659E-2</v>
      </c>
      <c r="F124" s="909">
        <f t="shared" si="6"/>
        <v>6.2022251474526439E-2</v>
      </c>
      <c r="G124" s="907">
        <f>SUM(C124:F124)</f>
        <v>0.14766015536156041</v>
      </c>
    </row>
    <row r="125" spans="2:7">
      <c r="B125" s="138" t="str">
        <f t="shared" ref="B125:B132" si="7">B109</f>
        <v>25-29</v>
      </c>
      <c r="C125" s="909">
        <f t="shared" ref="C125:C134" si="8">C93*H$14</f>
        <v>9.154257766115434E-3</v>
      </c>
      <c r="D125" s="909">
        <f t="shared" si="6"/>
        <v>2.0394058428644234E-2</v>
      </c>
      <c r="E125" s="909">
        <f t="shared" si="6"/>
        <v>3.6686564158418512E-2</v>
      </c>
      <c r="F125" s="909">
        <f t="shared" si="6"/>
        <v>4.7055827570350262E-2</v>
      </c>
      <c r="G125" s="907">
        <f t="shared" ref="G125:G134" si="9">SUM(C125:F125)</f>
        <v>0.11329070792352844</v>
      </c>
    </row>
    <row r="126" spans="2:7">
      <c r="B126" s="138" t="str">
        <f t="shared" si="7"/>
        <v>30-34</v>
      </c>
      <c r="C126" s="909">
        <f t="shared" si="8"/>
        <v>6.7973649814870836E-3</v>
      </c>
      <c r="D126" s="909">
        <f t="shared" si="6"/>
        <v>1.440745837569926E-2</v>
      </c>
      <c r="E126" s="909">
        <f t="shared" si="6"/>
        <v>2.3865482583691016E-2</v>
      </c>
      <c r="F126" s="909">
        <f t="shared" si="6"/>
        <v>3.3460750724391468E-2</v>
      </c>
      <c r="G126" s="907">
        <f t="shared" si="9"/>
        <v>7.8531056665268828E-2</v>
      </c>
    </row>
    <row r="127" spans="2:7">
      <c r="B127" s="138" t="str">
        <f t="shared" si="7"/>
        <v>35-39</v>
      </c>
      <c r="C127" s="909">
        <f t="shared" si="8"/>
        <v>6.1329963473410569E-3</v>
      </c>
      <c r="D127" s="909">
        <f t="shared" si="6"/>
        <v>1.478113663526485E-2</v>
      </c>
      <c r="E127" s="909">
        <f t="shared" si="6"/>
        <v>2.3058249176369342E-2</v>
      </c>
      <c r="F127" s="909">
        <f t="shared" si="6"/>
        <v>3.1088725010164645E-2</v>
      </c>
      <c r="G127" s="907">
        <f t="shared" si="9"/>
        <v>7.5061107169139898E-2</v>
      </c>
    </row>
    <row r="128" spans="2:7">
      <c r="B128" s="138" t="str">
        <f t="shared" si="7"/>
        <v>40-44</v>
      </c>
      <c r="C128" s="909">
        <f t="shared" si="8"/>
        <v>6.3221432747109021E-3</v>
      </c>
      <c r="D128" s="909">
        <f t="shared" si="6"/>
        <v>1.4875024437522189E-2</v>
      </c>
      <c r="E128" s="909">
        <f t="shared" si="6"/>
        <v>2.406893823365425E-2</v>
      </c>
      <c r="F128" s="909">
        <f t="shared" si="6"/>
        <v>2.943407996817736E-2</v>
      </c>
      <c r="G128" s="907">
        <f t="shared" si="9"/>
        <v>7.4700185914064701E-2</v>
      </c>
    </row>
    <row r="129" spans="2:7">
      <c r="B129" s="138" t="str">
        <f t="shared" si="7"/>
        <v>45-49</v>
      </c>
      <c r="C129" s="909">
        <f t="shared" si="8"/>
        <v>7.1801394765218509E-3</v>
      </c>
      <c r="D129" s="909">
        <f t="shared" si="6"/>
        <v>1.7859048167931397E-2</v>
      </c>
      <c r="E129" s="909">
        <f t="shared" si="6"/>
        <v>2.6885551094076435E-2</v>
      </c>
      <c r="F129" s="909">
        <f t="shared" si="6"/>
        <v>3.6306125874524711E-2</v>
      </c>
      <c r="G129" s="907">
        <f t="shared" si="9"/>
        <v>8.8230864613054391E-2</v>
      </c>
    </row>
    <row r="130" spans="2:7">
      <c r="B130" s="138" t="str">
        <f t="shared" si="7"/>
        <v>50-54</v>
      </c>
      <c r="C130" s="909">
        <f t="shared" si="8"/>
        <v>6.0259510734880029E-3</v>
      </c>
      <c r="D130" s="909">
        <f t="shared" si="6"/>
        <v>1.4457213940446609E-2</v>
      </c>
      <c r="E130" s="909">
        <f t="shared" si="6"/>
        <v>2.5722573161136172E-2</v>
      </c>
      <c r="F130" s="909">
        <f t="shared" si="6"/>
        <v>3.8497325821075977E-2</v>
      </c>
      <c r="G130" s="907">
        <f t="shared" si="9"/>
        <v>8.4703063996146771E-2</v>
      </c>
    </row>
    <row r="131" spans="2:7">
      <c r="B131" s="138" t="str">
        <f t="shared" si="7"/>
        <v>55-59</v>
      </c>
      <c r="C131" s="909">
        <f t="shared" si="8"/>
        <v>2.8331603281531526E-3</v>
      </c>
      <c r="D131" s="909">
        <f t="shared" si="6"/>
        <v>8.1636556825370517E-3</v>
      </c>
      <c r="E131" s="909">
        <f t="shared" si="6"/>
        <v>1.7095795762849579E-2</v>
      </c>
      <c r="F131" s="909">
        <f t="shared" si="6"/>
        <v>3.0167727440093325E-2</v>
      </c>
      <c r="G131" s="907">
        <f t="shared" si="9"/>
        <v>5.8260339213633106E-2</v>
      </c>
    </row>
    <row r="132" spans="2:7">
      <c r="B132" s="138" t="str">
        <f t="shared" si="7"/>
        <v>60-64</v>
      </c>
      <c r="C132" s="909">
        <f t="shared" si="8"/>
        <v>5.7224054153150513E-3</v>
      </c>
      <c r="D132" s="909">
        <f t="shared" si="6"/>
        <v>1.0014710380285178E-2</v>
      </c>
      <c r="E132" s="909">
        <f t="shared" si="6"/>
        <v>1.7849479610102616E-2</v>
      </c>
      <c r="F132" s="909">
        <f t="shared" si="6"/>
        <v>2.4258724683064545E-2</v>
      </c>
      <c r="G132" s="907">
        <f t="shared" si="9"/>
        <v>5.7845320088767388E-2</v>
      </c>
    </row>
    <row r="133" spans="2:7">
      <c r="B133" s="138" t="str">
        <f>B117</f>
        <v>65 plus</v>
      </c>
      <c r="C133" s="909">
        <f t="shared" si="8"/>
        <v>7.4096291032586126E-3</v>
      </c>
      <c r="D133" s="909">
        <f t="shared" si="6"/>
        <v>1.9066643361881696E-2</v>
      </c>
      <c r="E133" s="909">
        <f t="shared" si="6"/>
        <v>3.4663342159761787E-2</v>
      </c>
      <c r="F133" s="909">
        <f t="shared" si="6"/>
        <v>4.5692205417982384E-2</v>
      </c>
      <c r="G133" s="907">
        <f t="shared" si="9"/>
        <v>0.10683182004288448</v>
      </c>
    </row>
    <row r="134" spans="2:7">
      <c r="B134" s="138" t="str">
        <f>B118</f>
        <v>Total</v>
      </c>
      <c r="C134" s="909">
        <f t="shared" si="8"/>
        <v>6.7019224890784131E-3</v>
      </c>
      <c r="D134" s="909">
        <f t="shared" si="6"/>
        <v>1.5689564135521843E-2</v>
      </c>
      <c r="E134" s="909">
        <f t="shared" si="6"/>
        <v>2.6286731038795492E-2</v>
      </c>
      <c r="F134" s="909">
        <f t="shared" si="6"/>
        <v>3.5898804058198779E-2</v>
      </c>
      <c r="G134" s="907">
        <f t="shared" si="9"/>
        <v>8.4577021721594536E-2</v>
      </c>
    </row>
    <row r="135" spans="2:7">
      <c r="B135" s="5"/>
      <c r="C135" s="5"/>
      <c r="D135" s="5"/>
      <c r="E135" s="5"/>
      <c r="F135" s="5"/>
      <c r="G135" s="5"/>
    </row>
    <row r="136" spans="2:7">
      <c r="B136" s="75" t="s">
        <v>116</v>
      </c>
      <c r="C136" s="5"/>
      <c r="D136" s="5"/>
      <c r="E136" s="5"/>
      <c r="F136" s="5"/>
      <c r="G136" s="5"/>
    </row>
    <row r="137" spans="2:7">
      <c r="B137" s="5"/>
      <c r="C137" s="5"/>
      <c r="D137" s="5"/>
      <c r="E137" s="5"/>
      <c r="F137" s="5"/>
      <c r="G137" s="5"/>
    </row>
    <row r="138" spans="2:7">
      <c r="B138" s="1205" t="str">
        <f>B122</f>
        <v>Age group</v>
      </c>
      <c r="C138" s="1241" t="str">
        <f>C122</f>
        <v>2012/13</v>
      </c>
      <c r="D138" s="1241" t="str">
        <f>D122</f>
        <v>2013/14</v>
      </c>
      <c r="E138" s="1241" t="str">
        <f>E122</f>
        <v>2014/15</v>
      </c>
      <c r="F138" s="1241" t="str">
        <f>F122</f>
        <v>2015/16</v>
      </c>
      <c r="G138" s="1290" t="s">
        <v>8</v>
      </c>
    </row>
    <row r="139" spans="2:7">
      <c r="B139" s="1205"/>
      <c r="C139" s="1242"/>
      <c r="D139" s="1242"/>
      <c r="E139" s="1242"/>
      <c r="F139" s="1242"/>
      <c r="G139" s="1291"/>
    </row>
    <row r="140" spans="2:7">
      <c r="B140" s="138" t="str">
        <f>B124</f>
        <v>20-24</v>
      </c>
      <c r="C140" s="909">
        <f>C108*H$14</f>
        <v>1.0471206306990333E-2</v>
      </c>
      <c r="D140" s="909">
        <f t="shared" ref="D140:F150" si="10">D108*I$14</f>
        <v>2.287059103342387E-2</v>
      </c>
      <c r="E140" s="909">
        <f t="shared" si="10"/>
        <v>4.0808993570174694E-2</v>
      </c>
      <c r="F140" s="909">
        <f t="shared" si="10"/>
        <v>5.2369190132787624E-2</v>
      </c>
      <c r="G140" s="907">
        <f>SUM(C140:F140)</f>
        <v>0.12651998104337653</v>
      </c>
    </row>
    <row r="141" spans="2:7">
      <c r="B141" s="138" t="str">
        <f t="shared" ref="B141:B148" si="11">B125</f>
        <v>25-29</v>
      </c>
      <c r="C141" s="909">
        <f t="shared" ref="C141:C150" si="12">C109*H$14</f>
        <v>9.3275695701828601E-3</v>
      </c>
      <c r="D141" s="909">
        <f t="shared" si="10"/>
        <v>1.9552469543627264E-2</v>
      </c>
      <c r="E141" s="909">
        <f t="shared" si="10"/>
        <v>3.2119983075957127E-2</v>
      </c>
      <c r="F141" s="909">
        <f t="shared" si="10"/>
        <v>4.3555580742380813E-2</v>
      </c>
      <c r="G141" s="907">
        <f t="shared" ref="G141:G150" si="13">SUM(C141:F141)</f>
        <v>0.10455560293214806</v>
      </c>
    </row>
    <row r="142" spans="2:7">
      <c r="B142" s="138" t="str">
        <f t="shared" si="11"/>
        <v>30-34</v>
      </c>
      <c r="C142" s="909">
        <f t="shared" si="12"/>
        <v>8.0730713810571297E-3</v>
      </c>
      <c r="D142" s="909">
        <f t="shared" si="10"/>
        <v>1.6375424127599226E-2</v>
      </c>
      <c r="E142" s="909">
        <f t="shared" si="10"/>
        <v>2.7945465727522319E-2</v>
      </c>
      <c r="F142" s="909">
        <f t="shared" si="10"/>
        <v>3.4876498270314728E-2</v>
      </c>
      <c r="G142" s="907">
        <f t="shared" si="13"/>
        <v>8.7270459506493397E-2</v>
      </c>
    </row>
    <row r="143" spans="2:7">
      <c r="B143" s="138" t="str">
        <f t="shared" si="11"/>
        <v>35-39</v>
      </c>
      <c r="C143" s="909">
        <f t="shared" si="12"/>
        <v>7.1530182173041579E-3</v>
      </c>
      <c r="D143" s="909">
        <f t="shared" si="10"/>
        <v>1.5816449057211576E-2</v>
      </c>
      <c r="E143" s="909">
        <f t="shared" si="10"/>
        <v>2.526396731542474E-2</v>
      </c>
      <c r="F143" s="909">
        <f t="shared" si="10"/>
        <v>3.3746139825834333E-2</v>
      </c>
      <c r="G143" s="907">
        <f t="shared" si="13"/>
        <v>8.1979574415774803E-2</v>
      </c>
    </row>
    <row r="144" spans="2:7">
      <c r="B144" s="138" t="str">
        <f t="shared" si="11"/>
        <v>40-44</v>
      </c>
      <c r="C144" s="909">
        <f t="shared" si="12"/>
        <v>7.2105230508932236E-3</v>
      </c>
      <c r="D144" s="909">
        <f t="shared" si="10"/>
        <v>1.5060528039350094E-2</v>
      </c>
      <c r="E144" s="909">
        <f t="shared" si="10"/>
        <v>2.5747538501728874E-2</v>
      </c>
      <c r="F144" s="909">
        <f t="shared" si="10"/>
        <v>3.2823988559065938E-2</v>
      </c>
      <c r="G144" s="907">
        <f t="shared" si="13"/>
        <v>8.0842578151038125E-2</v>
      </c>
    </row>
    <row r="145" spans="2:7">
      <c r="B145" s="138" t="str">
        <f t="shared" si="11"/>
        <v>45-49</v>
      </c>
      <c r="C145" s="909">
        <f t="shared" si="12"/>
        <v>7.5435286705199008E-3</v>
      </c>
      <c r="D145" s="909">
        <f t="shared" si="10"/>
        <v>1.6282545726934768E-2</v>
      </c>
      <c r="E145" s="909">
        <f t="shared" si="10"/>
        <v>2.7695283469995956E-2</v>
      </c>
      <c r="F145" s="909">
        <f t="shared" si="10"/>
        <v>3.6747790303185424E-2</v>
      </c>
      <c r="G145" s="907">
        <f t="shared" si="13"/>
        <v>8.8269148170636053E-2</v>
      </c>
    </row>
    <row r="146" spans="2:7">
      <c r="B146" s="138" t="str">
        <f t="shared" si="11"/>
        <v>50-54</v>
      </c>
      <c r="C146" s="909">
        <f t="shared" si="12"/>
        <v>6.4104567021949742E-3</v>
      </c>
      <c r="D146" s="909">
        <f t="shared" si="10"/>
        <v>1.3596349819074944E-2</v>
      </c>
      <c r="E146" s="909">
        <f t="shared" si="10"/>
        <v>2.7881474606327204E-2</v>
      </c>
      <c r="F146" s="909">
        <f t="shared" si="10"/>
        <v>3.9648592224354191E-2</v>
      </c>
      <c r="G146" s="907">
        <f t="shared" si="13"/>
        <v>8.7536873351951316E-2</v>
      </c>
    </row>
    <row r="147" spans="2:7">
      <c r="B147" s="138" t="str">
        <f t="shared" si="11"/>
        <v>55-59</v>
      </c>
      <c r="C147" s="909">
        <f t="shared" si="12"/>
        <v>2.6360610152270695E-3</v>
      </c>
      <c r="D147" s="909">
        <f t="shared" si="10"/>
        <v>7.8012365421404745E-3</v>
      </c>
      <c r="E147" s="909">
        <f t="shared" si="10"/>
        <v>1.7430559577948763E-2</v>
      </c>
      <c r="F147" s="909">
        <f t="shared" si="10"/>
        <v>2.9429539839771968E-2</v>
      </c>
      <c r="G147" s="907">
        <f t="shared" si="13"/>
        <v>5.7297396975088274E-2</v>
      </c>
    </row>
    <row r="148" spans="2:7">
      <c r="B148" s="138" t="str">
        <f t="shared" si="11"/>
        <v>60-64</v>
      </c>
      <c r="C148" s="909">
        <f t="shared" si="12"/>
        <v>4.3973901707131278E-3</v>
      </c>
      <c r="D148" s="909">
        <f t="shared" si="10"/>
        <v>9.1910272824216651E-3</v>
      </c>
      <c r="E148" s="909">
        <f t="shared" si="10"/>
        <v>1.4885911883305951E-2</v>
      </c>
      <c r="F148" s="909">
        <f t="shared" si="10"/>
        <v>2.3667380153261197E-2</v>
      </c>
      <c r="G148" s="907">
        <f t="shared" si="13"/>
        <v>5.214170948970194E-2</v>
      </c>
    </row>
    <row r="149" spans="2:7">
      <c r="B149" s="138" t="str">
        <f>B133</f>
        <v>65 plus</v>
      </c>
      <c r="C149" s="909">
        <f t="shared" si="12"/>
        <v>5.4230548079571318E-3</v>
      </c>
      <c r="D149" s="909">
        <f t="shared" si="10"/>
        <v>2.0137958519171745E-2</v>
      </c>
      <c r="E149" s="909">
        <f t="shared" si="10"/>
        <v>2.4495918243802251E-2</v>
      </c>
      <c r="F149" s="909">
        <f t="shared" si="10"/>
        <v>2.698360847970115E-2</v>
      </c>
      <c r="G149" s="907">
        <f t="shared" si="13"/>
        <v>7.7040540050632281E-2</v>
      </c>
    </row>
    <row r="150" spans="2:7">
      <c r="B150" s="138" t="str">
        <f>B134</f>
        <v>Total</v>
      </c>
      <c r="C150" s="909">
        <f t="shared" si="12"/>
        <v>7.4420437653833528E-3</v>
      </c>
      <c r="D150" s="909">
        <f t="shared" si="10"/>
        <v>1.5948954284778185E-2</v>
      </c>
      <c r="E150" s="909">
        <f t="shared" si="10"/>
        <v>2.7551382944681551E-2</v>
      </c>
      <c r="F150" s="909">
        <f t="shared" si="10"/>
        <v>3.679382376569465E-2</v>
      </c>
      <c r="G150" s="907">
        <f t="shared" si="13"/>
        <v>8.7736204760537742E-2</v>
      </c>
    </row>
    <row r="151" spans="2:7">
      <c r="B151" s="5"/>
      <c r="C151" s="5"/>
      <c r="D151" s="5"/>
      <c r="E151" s="5"/>
      <c r="F151" s="5"/>
      <c r="G151" s="5"/>
    </row>
    <row r="152" spans="2:7">
      <c r="B152" s="5"/>
      <c r="C152" s="5"/>
      <c r="D152" s="5"/>
      <c r="E152" s="5"/>
      <c r="F152" s="5"/>
      <c r="G152" s="5"/>
    </row>
    <row r="153" spans="2:7">
      <c r="B153" s="5"/>
      <c r="C153" s="5"/>
      <c r="D153" s="5"/>
      <c r="E153" s="5"/>
      <c r="F153" s="5"/>
      <c r="G153" s="5"/>
    </row>
  </sheetData>
  <mergeCells count="25">
    <mergeCell ref="F138:F139"/>
    <mergeCell ref="B122:B123"/>
    <mergeCell ref="C122:C123"/>
    <mergeCell ref="G138:G139"/>
    <mergeCell ref="E122:E123"/>
    <mergeCell ref="F122:F123"/>
    <mergeCell ref="G122:G123"/>
    <mergeCell ref="D122:D123"/>
    <mergeCell ref="B138:B139"/>
    <mergeCell ref="C138:C139"/>
    <mergeCell ref="D138:D139"/>
    <mergeCell ref="E138:E139"/>
    <mergeCell ref="B73:B74"/>
    <mergeCell ref="C73:F73"/>
    <mergeCell ref="B90:B91"/>
    <mergeCell ref="C90:F90"/>
    <mergeCell ref="B106:B107"/>
    <mergeCell ref="C106:F106"/>
    <mergeCell ref="B56:B57"/>
    <mergeCell ref="C56:F56"/>
    <mergeCell ref="A5:T5"/>
    <mergeCell ref="C20:F20"/>
    <mergeCell ref="B37:B38"/>
    <mergeCell ref="B20:B21"/>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P93"/>
  <sheetViews>
    <sheetView showGridLines="0" workbookViewId="0"/>
  </sheetViews>
  <sheetFormatPr defaultRowHeight="12.75"/>
  <cols>
    <col min="2" max="2" width="25.7109375" customWidth="1"/>
    <col min="3" max="17" width="12.7109375" customWidth="1"/>
  </cols>
  <sheetData>
    <row r="1" spans="1:15" s="65" customFormat="1" ht="15">
      <c r="A1" s="64" t="str">
        <f>ModelBanner</f>
        <v>TSM_201819 Publication</v>
      </c>
    </row>
    <row r="2" spans="1:15" s="65" customFormat="1" ht="15">
      <c r="A2" s="940" t="s">
        <v>13</v>
      </c>
      <c r="B2" s="940" t="s">
        <v>30</v>
      </c>
    </row>
    <row r="3" spans="1:15" s="65" customFormat="1" ht="15">
      <c r="A3" s="66"/>
    </row>
    <row r="4" spans="1:15" s="56" customFormat="1">
      <c r="A4" s="57" t="s">
        <v>26</v>
      </c>
      <c r="B4" s="57"/>
    </row>
    <row r="5" spans="1:15" s="68" customFormat="1" ht="13.15" customHeight="1">
      <c r="A5" s="53" t="s">
        <v>647</v>
      </c>
      <c r="B5" s="53"/>
      <c r="C5" s="53"/>
      <c r="D5" s="53"/>
      <c r="E5" s="53"/>
      <c r="F5" s="53"/>
      <c r="G5" s="53"/>
      <c r="H5" s="53"/>
      <c r="I5" s="53"/>
      <c r="J5" s="53"/>
      <c r="K5" s="53"/>
      <c r="L5" s="53"/>
      <c r="M5" s="53"/>
      <c r="N5" s="53"/>
      <c r="O5" s="53"/>
    </row>
    <row r="6" spans="1:15" s="45" customFormat="1" ht="13.5" customHeight="1">
      <c r="A6" s="55" t="s">
        <v>1392</v>
      </c>
      <c r="B6" s="60"/>
      <c r="C6" s="44"/>
      <c r="D6" s="44"/>
      <c r="E6" s="44"/>
      <c r="F6" s="44"/>
      <c r="G6" s="44"/>
      <c r="H6" s="44"/>
      <c r="I6" s="44"/>
    </row>
    <row r="7" spans="1:15" s="45" customFormat="1" ht="15" customHeight="1">
      <c r="A7" s="53" t="s">
        <v>186</v>
      </c>
      <c r="B7" s="55"/>
      <c r="C7" s="44"/>
      <c r="D7" s="44"/>
      <c r="E7" s="44"/>
      <c r="F7" s="44"/>
      <c r="G7" s="44"/>
      <c r="H7" s="44"/>
      <c r="I7" s="44"/>
    </row>
    <row r="8" spans="1:15" s="45" customFormat="1" ht="15.75" customHeight="1">
      <c r="A8" s="55" t="s">
        <v>24</v>
      </c>
      <c r="B8" s="60"/>
      <c r="C8" s="44"/>
      <c r="D8" s="44"/>
      <c r="E8" s="44"/>
      <c r="F8" s="44"/>
      <c r="G8" s="44"/>
      <c r="H8" s="44"/>
      <c r="I8" s="44"/>
    </row>
    <row r="9" spans="1:15" s="45" customFormat="1" ht="15.75" customHeight="1">
      <c r="A9" s="53" t="s">
        <v>1420</v>
      </c>
      <c r="B9" s="60"/>
      <c r="C9" s="44"/>
      <c r="D9" s="44"/>
      <c r="E9" s="44"/>
      <c r="F9" s="44"/>
      <c r="G9" s="44"/>
      <c r="H9" s="44"/>
      <c r="I9" s="44"/>
    </row>
    <row r="10" spans="1:15" s="49" customFormat="1" ht="13.5" customHeight="1">
      <c r="A10" s="54">
        <f>SUM(A13:A2224)</f>
        <v>0</v>
      </c>
      <c r="B10" s="72"/>
      <c r="C10" s="47"/>
      <c r="D10" s="71"/>
      <c r="E10" s="48"/>
      <c r="F10" s="48"/>
      <c r="G10" s="48"/>
      <c r="H10" s="48"/>
      <c r="I10" s="48"/>
    </row>
    <row r="12" spans="1:15" ht="18">
      <c r="B12" s="38" t="s">
        <v>1421</v>
      </c>
    </row>
    <row r="14" spans="1:15">
      <c r="B14" s="75" t="str">
        <f>Calculation_PRIM_wastage_rates!B120</f>
        <v>MALE weighted wastage rates</v>
      </c>
    </row>
    <row r="16" spans="1:15">
      <c r="B16" s="8" t="str">
        <f>Calculation_PRIM_wastage_rates!B122</f>
        <v>Age group</v>
      </c>
      <c r="C16" s="8" t="str">
        <f>Calculation_PRIM_wastage_rates!G122</f>
        <v>Total</v>
      </c>
    </row>
    <row r="17" spans="2:3">
      <c r="B17" s="8" t="str">
        <f>Calculation_PRIM_wastage_rates!B124</f>
        <v>20-24</v>
      </c>
      <c r="C17" s="159">
        <f>Calculation_PRIM_wastage_rates!G124</f>
        <v>0.12152304047694186</v>
      </c>
    </row>
    <row r="18" spans="2:3">
      <c r="B18" s="8" t="str">
        <f>Calculation_PRIM_wastage_rates!B125</f>
        <v>25-29</v>
      </c>
      <c r="C18" s="159">
        <f>Calculation_PRIM_wastage_rates!G125</f>
        <v>0.10899491455174873</v>
      </c>
    </row>
    <row r="19" spans="2:3">
      <c r="B19" s="8" t="str">
        <f>Calculation_PRIM_wastage_rates!B126</f>
        <v>30-34</v>
      </c>
      <c r="C19" s="159">
        <f>Calculation_PRIM_wastage_rates!G126</f>
        <v>8.8214966679192625E-2</v>
      </c>
    </row>
    <row r="20" spans="2:3">
      <c r="B20" s="8" t="str">
        <f>Calculation_PRIM_wastage_rates!B127</f>
        <v>35-39</v>
      </c>
      <c r="C20" s="159">
        <f>Calculation_PRIM_wastage_rates!G127</f>
        <v>7.4667709343540944E-2</v>
      </c>
    </row>
    <row r="21" spans="2:3">
      <c r="B21" s="8" t="str">
        <f>Calculation_PRIM_wastage_rates!B128</f>
        <v>40-44</v>
      </c>
      <c r="C21" s="159">
        <f>Calculation_PRIM_wastage_rates!G128</f>
        <v>8.2626584214150728E-2</v>
      </c>
    </row>
    <row r="22" spans="2:3">
      <c r="B22" s="8" t="str">
        <f>Calculation_PRIM_wastage_rates!B129</f>
        <v>45-49</v>
      </c>
      <c r="C22" s="159">
        <f>Calculation_PRIM_wastage_rates!G129</f>
        <v>8.7622478253827546E-2</v>
      </c>
    </row>
    <row r="23" spans="2:3">
      <c r="B23" s="8" t="str">
        <f>Calculation_PRIM_wastage_rates!B130</f>
        <v>50-54</v>
      </c>
      <c r="C23" s="159">
        <f>Calculation_PRIM_wastage_rates!G130</f>
        <v>8.5395655960684103E-2</v>
      </c>
    </row>
    <row r="24" spans="2:3">
      <c r="B24" s="8" t="str">
        <f>Calculation_PRIM_wastage_rates!B131</f>
        <v>55-59</v>
      </c>
      <c r="C24" s="159">
        <f>Calculation_PRIM_wastage_rates!G131</f>
        <v>5.7947856018546372E-2</v>
      </c>
    </row>
    <row r="25" spans="2:3">
      <c r="B25" s="8" t="str">
        <f>Calculation_PRIM_wastage_rates!B132</f>
        <v>60-64</v>
      </c>
      <c r="C25" s="159">
        <f>Calculation_PRIM_wastage_rates!G132</f>
        <v>5.7122251890471321E-2</v>
      </c>
    </row>
    <row r="26" spans="2:3">
      <c r="B26" s="8" t="str">
        <f>Calculation_PRIM_wastage_rates!B133</f>
        <v>65 plus</v>
      </c>
      <c r="C26" s="159">
        <f>Calculation_PRIM_wastage_rates!G133</f>
        <v>6.5106284347873078E-2</v>
      </c>
    </row>
    <row r="27" spans="2:3">
      <c r="B27" s="8" t="str">
        <f>Calculation_PRIM_wastage_rates!B134</f>
        <v>Total</v>
      </c>
      <c r="C27" s="159">
        <f>Calculation_PRIM_wastage_rates!G134</f>
        <v>8.8468371990190281E-2</v>
      </c>
    </row>
    <row r="29" spans="2:3">
      <c r="B29" s="75" t="str">
        <f>Calculation_PRIM_wastage_rates!B136</f>
        <v>FEMALE weighted wastage rates</v>
      </c>
    </row>
    <row r="31" spans="2:3">
      <c r="B31" s="8" t="str">
        <f>Calculation_PRIM_wastage_rates!B138</f>
        <v>Age group</v>
      </c>
      <c r="C31" s="8" t="str">
        <f>Calculation_PRIM_wastage_rates!G138</f>
        <v>Total</v>
      </c>
    </row>
    <row r="32" spans="2:3">
      <c r="B32" s="8" t="str">
        <f>Calculation_PRIM_wastage_rates!B140</f>
        <v>20-24</v>
      </c>
      <c r="C32" s="159">
        <f>Calculation_PRIM_wastage_rates!G140</f>
        <v>9.9022848364956784E-2</v>
      </c>
    </row>
    <row r="33" spans="2:9">
      <c r="B33" s="8" t="str">
        <f>Calculation_PRIM_wastage_rates!B141</f>
        <v>25-29</v>
      </c>
      <c r="C33" s="159">
        <f>Calculation_PRIM_wastage_rates!G141</f>
        <v>9.0726063084592523E-2</v>
      </c>
    </row>
    <row r="34" spans="2:9">
      <c r="B34" s="8" t="str">
        <f>Calculation_PRIM_wastage_rates!B142</f>
        <v>30-34</v>
      </c>
      <c r="C34" s="159">
        <f>Calculation_PRIM_wastage_rates!G142</f>
        <v>8.2141069873862022E-2</v>
      </c>
    </row>
    <row r="35" spans="2:9">
      <c r="B35" s="8" t="str">
        <f>Calculation_PRIM_wastage_rates!B143</f>
        <v>35-39</v>
      </c>
      <c r="C35" s="159">
        <f>Calculation_PRIM_wastage_rates!G143</f>
        <v>7.7971803709781712E-2</v>
      </c>
    </row>
    <row r="36" spans="2:9">
      <c r="B36" s="8" t="str">
        <f>Calculation_PRIM_wastage_rates!B144</f>
        <v>40-44</v>
      </c>
      <c r="C36" s="159">
        <f>Calculation_PRIM_wastage_rates!G144</f>
        <v>7.2406262687503026E-2</v>
      </c>
    </row>
    <row r="37" spans="2:9">
      <c r="B37" s="8" t="str">
        <f>Calculation_PRIM_wastage_rates!B145</f>
        <v>45-49</v>
      </c>
      <c r="C37" s="159">
        <f>Calculation_PRIM_wastage_rates!G145</f>
        <v>7.6586405128215976E-2</v>
      </c>
    </row>
    <row r="38" spans="2:9">
      <c r="B38" s="8" t="str">
        <f>Calculation_PRIM_wastage_rates!B146</f>
        <v>50-54</v>
      </c>
      <c r="C38" s="159">
        <f>Calculation_PRIM_wastage_rates!G146</f>
        <v>8.3295196484576964E-2</v>
      </c>
    </row>
    <row r="39" spans="2:9">
      <c r="B39" s="8" t="str">
        <f>Calculation_PRIM_wastage_rates!B147</f>
        <v>55-59</v>
      </c>
      <c r="C39" s="159">
        <f>Calculation_PRIM_wastage_rates!G147</f>
        <v>5.3038311893721754E-2</v>
      </c>
    </row>
    <row r="40" spans="2:9">
      <c r="B40" s="8" t="str">
        <f>Calculation_PRIM_wastage_rates!B148</f>
        <v>60-64</v>
      </c>
      <c r="C40" s="159">
        <f>Calculation_PRIM_wastage_rates!G148</f>
        <v>4.2213416409850574E-2</v>
      </c>
    </row>
    <row r="41" spans="2:9">
      <c r="B41" s="8" t="str">
        <f>Calculation_PRIM_wastage_rates!B149</f>
        <v>65 plus</v>
      </c>
      <c r="C41" s="159">
        <f>Calculation_PRIM_wastage_rates!G149</f>
        <v>7.3055045109373162E-2</v>
      </c>
    </row>
    <row r="42" spans="2:9">
      <c r="B42" s="8" t="str">
        <f>Calculation_PRIM_wastage_rates!B150</f>
        <v>Total</v>
      </c>
      <c r="C42" s="159">
        <f>Calculation_PRIM_wastage_rates!G150</f>
        <v>7.9200026808663129E-2</v>
      </c>
    </row>
    <row r="44" spans="2:9" ht="18">
      <c r="B44" s="38" t="s">
        <v>646</v>
      </c>
    </row>
    <row r="46" spans="2:9">
      <c r="B46" s="8"/>
      <c r="C46" s="8" t="str">
        <f>RAW_DATA_INPUTS!C205</f>
        <v>2015/16</v>
      </c>
      <c r="D46" s="8" t="str">
        <f>RAW_DATA_INPUTS!D205</f>
        <v>2016/17</v>
      </c>
      <c r="E46" s="8" t="str">
        <f>RAW_DATA_INPUTS!E205</f>
        <v>2017/18</v>
      </c>
      <c r="F46" s="8" t="str">
        <f>RAW_DATA_INPUTS!F205</f>
        <v>2018/19</v>
      </c>
      <c r="G46" s="8" t="str">
        <f>RAW_DATA_INPUTS!G205</f>
        <v>2019/20</v>
      </c>
      <c r="H46" s="8" t="str">
        <f>RAW_DATA_INPUTS!H205</f>
        <v>2020/21</v>
      </c>
      <c r="I46" s="8" t="str">
        <f>RAW_DATA_INPUTS!I205</f>
        <v>2021/22</v>
      </c>
    </row>
    <row r="47" spans="2:9">
      <c r="B47" s="8" t="str">
        <f>Data_selected_by_user_testing!C16</f>
        <v>Male scalar selected</v>
      </c>
      <c r="C47" s="255">
        <f>Data_selected_by_user_testing!D16</f>
        <v>1</v>
      </c>
      <c r="D47" s="255">
        <f>Data_selected_by_user_testing!E16</f>
        <v>1.04995184684276</v>
      </c>
      <c r="E47" s="255">
        <f>Data_selected_by_user_testing!F16</f>
        <v>1.04558216311712</v>
      </c>
      <c r="F47" s="255">
        <f>Data_selected_by_user_testing!G16</f>
        <v>1.0079887616902601</v>
      </c>
      <c r="G47" s="255">
        <f>Data_selected_by_user_testing!H16</f>
        <v>1.04581566263681</v>
      </c>
      <c r="H47" s="255">
        <f>Data_selected_by_user_testing!I16</f>
        <v>1.0261777775287699</v>
      </c>
      <c r="I47" s="255">
        <f>Data_selected_by_user_testing!J16</f>
        <v>1.0261777775287699</v>
      </c>
    </row>
    <row r="48" spans="2:9">
      <c r="B48" s="8" t="str">
        <f>Data_selected_by_user_testing!C17</f>
        <v>Female scalar selected</v>
      </c>
      <c r="C48" s="255">
        <f>Data_selected_by_user_testing!D17</f>
        <v>1</v>
      </c>
      <c r="D48" s="255">
        <f>Data_selected_by_user_testing!E17</f>
        <v>0.99076950608168002</v>
      </c>
      <c r="E48" s="255">
        <f>Data_selected_by_user_testing!F17</f>
        <v>1.0070122869873499</v>
      </c>
      <c r="F48" s="255">
        <f>Data_selected_by_user_testing!G17</f>
        <v>1.0119890708727699</v>
      </c>
      <c r="G48" s="255">
        <f>Data_selected_by_user_testing!H17</f>
        <v>1.02883528649933</v>
      </c>
      <c r="H48" s="255">
        <f>Data_selected_by_user_testing!I17</f>
        <v>1.04206143174539</v>
      </c>
      <c r="I48" s="255">
        <f>Data_selected_by_user_testing!J17</f>
        <v>1.04206143174539</v>
      </c>
    </row>
    <row r="50" spans="2:16" ht="18">
      <c r="B50" s="38" t="s">
        <v>156</v>
      </c>
    </row>
    <row r="52" spans="2:16">
      <c r="B52" s="75" t="s">
        <v>157</v>
      </c>
      <c r="C52" s="75"/>
      <c r="D52" s="256" t="s">
        <v>648</v>
      </c>
    </row>
    <row r="53" spans="2:16">
      <c r="B53" s="75"/>
      <c r="C53" s="75"/>
    </row>
    <row r="54" spans="2:16">
      <c r="B54" s="8" t="str">
        <f t="shared" ref="B54:B65" si="0">B16</f>
        <v>Age group</v>
      </c>
      <c r="C54" s="8" t="str">
        <f>C46</f>
        <v>2015/16</v>
      </c>
      <c r="D54" s="8" t="str">
        <f t="shared" ref="D54:I54" si="1">D46</f>
        <v>2016/17</v>
      </c>
      <c r="E54" s="8" t="str">
        <f t="shared" si="1"/>
        <v>2017/18</v>
      </c>
      <c r="F54" s="8" t="str">
        <f t="shared" si="1"/>
        <v>2018/19</v>
      </c>
      <c r="G54" s="8" t="str">
        <f t="shared" si="1"/>
        <v>2019/20</v>
      </c>
      <c r="H54" s="8" t="str">
        <f t="shared" si="1"/>
        <v>2020/21</v>
      </c>
      <c r="I54" s="8" t="str">
        <f t="shared" si="1"/>
        <v>2021/22</v>
      </c>
      <c r="J54" s="8" t="s">
        <v>153</v>
      </c>
      <c r="K54" s="1006" t="s">
        <v>154</v>
      </c>
      <c r="L54" s="1006" t="s">
        <v>183</v>
      </c>
      <c r="M54" s="1006" t="s">
        <v>184</v>
      </c>
      <c r="N54" s="1006" t="s">
        <v>185</v>
      </c>
      <c r="O54" s="1006" t="s">
        <v>1149</v>
      </c>
      <c r="P54" s="8" t="s">
        <v>1543</v>
      </c>
    </row>
    <row r="55" spans="2:16">
      <c r="B55" s="8" t="str">
        <f t="shared" si="0"/>
        <v>20-24</v>
      </c>
      <c r="C55" s="160">
        <f>C$47*$C17</f>
        <v>0.12152304047694186</v>
      </c>
      <c r="D55" s="160">
        <f t="shared" ref="D55:I55" si="2">D$47*$C17</f>
        <v>0.12759334078271259</v>
      </c>
      <c r="E55" s="160">
        <f t="shared" si="2"/>
        <v>0.12706232353045022</v>
      </c>
      <c r="F55" s="160">
        <f t="shared" si="2"/>
        <v>0.12249385908718798</v>
      </c>
      <c r="G55" s="160">
        <f t="shared" si="2"/>
        <v>0.12709069910203283</v>
      </c>
      <c r="H55" s="160">
        <f t="shared" si="2"/>
        <v>0.12470424359516695</v>
      </c>
      <c r="I55" s="160">
        <f t="shared" si="2"/>
        <v>0.12470424359516695</v>
      </c>
      <c r="J55" s="181">
        <f>I55</f>
        <v>0.12470424359516695</v>
      </c>
      <c r="K55" s="181">
        <f t="shared" ref="K55:P65" si="3">J55</f>
        <v>0.12470424359516695</v>
      </c>
      <c r="L55" s="181">
        <f t="shared" si="3"/>
        <v>0.12470424359516695</v>
      </c>
      <c r="M55" s="181">
        <f t="shared" si="3"/>
        <v>0.12470424359516695</v>
      </c>
      <c r="N55" s="181">
        <f t="shared" si="3"/>
        <v>0.12470424359516695</v>
      </c>
      <c r="O55" s="181">
        <f t="shared" si="3"/>
        <v>0.12470424359516695</v>
      </c>
      <c r="P55" s="181">
        <f t="shared" si="3"/>
        <v>0.12470424359516695</v>
      </c>
    </row>
    <row r="56" spans="2:16">
      <c r="B56" s="8" t="str">
        <f t="shared" si="0"/>
        <v>25-29</v>
      </c>
      <c r="C56" s="160">
        <f t="shared" ref="C56:I56" si="4">C$47*$C18</f>
        <v>0.10899491455174873</v>
      </c>
      <c r="D56" s="160">
        <f t="shared" si="4"/>
        <v>0.11443941183007739</v>
      </c>
      <c r="E56" s="160">
        <f t="shared" si="4"/>
        <v>0.1139631385257831</v>
      </c>
      <c r="F56" s="160">
        <f t="shared" si="4"/>
        <v>0.1098656489495529</v>
      </c>
      <c r="G56" s="160">
        <f t="shared" si="4"/>
        <v>0.11398858878597959</v>
      </c>
      <c r="H56" s="160">
        <f t="shared" si="4"/>
        <v>0.1118481591766517</v>
      </c>
      <c r="I56" s="160">
        <f t="shared" si="4"/>
        <v>0.1118481591766517</v>
      </c>
      <c r="J56" s="181">
        <f t="shared" ref="J56:J65" si="5">I56</f>
        <v>0.1118481591766517</v>
      </c>
      <c r="K56" s="181">
        <f t="shared" si="3"/>
        <v>0.1118481591766517</v>
      </c>
      <c r="L56" s="181">
        <f t="shared" si="3"/>
        <v>0.1118481591766517</v>
      </c>
      <c r="M56" s="181">
        <f t="shared" si="3"/>
        <v>0.1118481591766517</v>
      </c>
      <c r="N56" s="181">
        <f t="shared" si="3"/>
        <v>0.1118481591766517</v>
      </c>
      <c r="O56" s="181">
        <f t="shared" si="3"/>
        <v>0.1118481591766517</v>
      </c>
      <c r="P56" s="181">
        <f t="shared" si="3"/>
        <v>0.1118481591766517</v>
      </c>
    </row>
    <row r="57" spans="2:16">
      <c r="B57" s="8" t="str">
        <f t="shared" si="0"/>
        <v>30-34</v>
      </c>
      <c r="C57" s="160">
        <f t="shared" ref="C57:I57" si="6">C$47*$C19</f>
        <v>8.8214966679192625E-2</v>
      </c>
      <c r="D57" s="160">
        <f t="shared" si="6"/>
        <v>9.2621467183990835E-2</v>
      </c>
      <c r="E57" s="160">
        <f t="shared" si="6"/>
        <v>9.2235995679734895E-2</v>
      </c>
      <c r="F57" s="160">
        <f t="shared" si="6"/>
        <v>8.8919695025506923E-2</v>
      </c>
      <c r="G57" s="160">
        <f t="shared" si="6"/>
        <v>9.2256593832083955E-2</v>
      </c>
      <c r="H57" s="160">
        <f t="shared" si="6"/>
        <v>9.052423845162838E-2</v>
      </c>
      <c r="I57" s="160">
        <f t="shared" si="6"/>
        <v>9.052423845162838E-2</v>
      </c>
      <c r="J57" s="181">
        <f t="shared" si="5"/>
        <v>9.052423845162838E-2</v>
      </c>
      <c r="K57" s="181">
        <f t="shared" si="3"/>
        <v>9.052423845162838E-2</v>
      </c>
      <c r="L57" s="181">
        <f t="shared" si="3"/>
        <v>9.052423845162838E-2</v>
      </c>
      <c r="M57" s="181">
        <f t="shared" si="3"/>
        <v>9.052423845162838E-2</v>
      </c>
      <c r="N57" s="181">
        <f t="shared" si="3"/>
        <v>9.052423845162838E-2</v>
      </c>
      <c r="O57" s="181">
        <f t="shared" si="3"/>
        <v>9.052423845162838E-2</v>
      </c>
      <c r="P57" s="181">
        <f t="shared" si="3"/>
        <v>9.052423845162838E-2</v>
      </c>
    </row>
    <row r="58" spans="2:16" ht="12" customHeight="1">
      <c r="B58" s="8" t="str">
        <f t="shared" si="0"/>
        <v>35-39</v>
      </c>
      <c r="C58" s="160">
        <f t="shared" ref="C58:I58" si="7">C$47*$C20</f>
        <v>7.4667709343540944E-2</v>
      </c>
      <c r="D58" s="160">
        <f t="shared" si="7"/>
        <v>7.8397499324769221E-2</v>
      </c>
      <c r="E58" s="160">
        <f t="shared" si="7"/>
        <v>7.807122505041994E-2</v>
      </c>
      <c r="F58" s="160">
        <f t="shared" si="7"/>
        <v>7.5264211879444098E-2</v>
      </c>
      <c r="G58" s="160">
        <f t="shared" si="7"/>
        <v>7.8088659924687998E-2</v>
      </c>
      <c r="H58" s="160">
        <f t="shared" si="7"/>
        <v>7.6622344027319017E-2</v>
      </c>
      <c r="I58" s="160">
        <f t="shared" si="7"/>
        <v>7.6622344027319017E-2</v>
      </c>
      <c r="J58" s="181">
        <f t="shared" si="5"/>
        <v>7.6622344027319017E-2</v>
      </c>
      <c r="K58" s="181">
        <f t="shared" si="3"/>
        <v>7.6622344027319017E-2</v>
      </c>
      <c r="L58" s="181">
        <f t="shared" si="3"/>
        <v>7.6622344027319017E-2</v>
      </c>
      <c r="M58" s="181">
        <f t="shared" si="3"/>
        <v>7.6622344027319017E-2</v>
      </c>
      <c r="N58" s="181">
        <f t="shared" si="3"/>
        <v>7.6622344027319017E-2</v>
      </c>
      <c r="O58" s="181">
        <f t="shared" si="3"/>
        <v>7.6622344027319017E-2</v>
      </c>
      <c r="P58" s="181">
        <f t="shared" si="3"/>
        <v>7.6622344027319017E-2</v>
      </c>
    </row>
    <row r="59" spans="2:16">
      <c r="B59" s="8" t="str">
        <f t="shared" si="0"/>
        <v>40-44</v>
      </c>
      <c r="C59" s="160">
        <f t="shared" ref="C59:I59" si="8">C$47*$C21</f>
        <v>8.2626584214150728E-2</v>
      </c>
      <c r="D59" s="160">
        <f t="shared" si="8"/>
        <v>8.6753934693956397E-2</v>
      </c>
      <c r="E59" s="160">
        <f t="shared" si="8"/>
        <v>8.63928826536106E-2</v>
      </c>
      <c r="F59" s="160">
        <f t="shared" si="8"/>
        <v>8.3286668304717787E-2</v>
      </c>
      <c r="G59" s="160">
        <f t="shared" si="8"/>
        <v>8.6412175921338236E-2</v>
      </c>
      <c r="H59" s="160">
        <f t="shared" si="8"/>
        <v>8.478956455367094E-2</v>
      </c>
      <c r="I59" s="160">
        <f t="shared" si="8"/>
        <v>8.478956455367094E-2</v>
      </c>
      <c r="J59" s="181">
        <f t="shared" si="5"/>
        <v>8.478956455367094E-2</v>
      </c>
      <c r="K59" s="181">
        <f t="shared" si="3"/>
        <v>8.478956455367094E-2</v>
      </c>
      <c r="L59" s="181">
        <f t="shared" si="3"/>
        <v>8.478956455367094E-2</v>
      </c>
      <c r="M59" s="181">
        <f t="shared" si="3"/>
        <v>8.478956455367094E-2</v>
      </c>
      <c r="N59" s="181">
        <f t="shared" si="3"/>
        <v>8.478956455367094E-2</v>
      </c>
      <c r="O59" s="181">
        <f t="shared" si="3"/>
        <v>8.478956455367094E-2</v>
      </c>
      <c r="P59" s="181">
        <f t="shared" si="3"/>
        <v>8.478956455367094E-2</v>
      </c>
    </row>
    <row r="60" spans="2:16">
      <c r="B60" s="8" t="str">
        <f t="shared" si="0"/>
        <v>45-49</v>
      </c>
      <c r="C60" s="160">
        <f t="shared" ref="C60:I60" si="9">C$47*$C22</f>
        <v>8.7622478253827546E-2</v>
      </c>
      <c r="D60" s="160">
        <f t="shared" si="9"/>
        <v>9.1999382867545804E-2</v>
      </c>
      <c r="E60" s="160">
        <f t="shared" si="9"/>
        <v>9.1616500350319818E-2</v>
      </c>
      <c r="F60" s="160">
        <f t="shared" si="9"/>
        <v>8.8322473351307371E-2</v>
      </c>
      <c r="G60" s="160">
        <f t="shared" si="9"/>
        <v>9.163696015690613E-2</v>
      </c>
      <c r="H60" s="160">
        <f t="shared" si="9"/>
        <v>8.9916239996075731E-2</v>
      </c>
      <c r="I60" s="160">
        <f t="shared" si="9"/>
        <v>8.9916239996075731E-2</v>
      </c>
      <c r="J60" s="181">
        <f t="shared" si="5"/>
        <v>8.9916239996075731E-2</v>
      </c>
      <c r="K60" s="181">
        <f t="shared" si="3"/>
        <v>8.9916239996075731E-2</v>
      </c>
      <c r="L60" s="181">
        <f t="shared" si="3"/>
        <v>8.9916239996075731E-2</v>
      </c>
      <c r="M60" s="181">
        <f t="shared" si="3"/>
        <v>8.9916239996075731E-2</v>
      </c>
      <c r="N60" s="181">
        <f t="shared" si="3"/>
        <v>8.9916239996075731E-2</v>
      </c>
      <c r="O60" s="181">
        <f t="shared" si="3"/>
        <v>8.9916239996075731E-2</v>
      </c>
      <c r="P60" s="181">
        <f t="shared" si="3"/>
        <v>8.9916239996075731E-2</v>
      </c>
    </row>
    <row r="61" spans="2:16">
      <c r="B61" s="8" t="str">
        <f t="shared" si="0"/>
        <v>50-54</v>
      </c>
      <c r="C61" s="160">
        <f t="shared" ref="C61:I61" si="10">C$47*$C23</f>
        <v>8.5395655960684103E-2</v>
      </c>
      <c r="D61" s="160">
        <f t="shared" si="10"/>
        <v>8.9661326688269219E-2</v>
      </c>
      <c r="E61" s="160">
        <f t="shared" si="10"/>
        <v>8.9288174680177468E-2</v>
      </c>
      <c r="F61" s="160">
        <f t="shared" si="10"/>
        <v>8.6077861505537451E-2</v>
      </c>
      <c r="G61" s="160">
        <f t="shared" si="10"/>
        <v>8.9308114524827897E-2</v>
      </c>
      <c r="H61" s="160">
        <f t="shared" si="10"/>
        <v>8.7631124444346273E-2</v>
      </c>
      <c r="I61" s="160">
        <f t="shared" si="10"/>
        <v>8.7631124444346273E-2</v>
      </c>
      <c r="J61" s="181">
        <f t="shared" si="5"/>
        <v>8.7631124444346273E-2</v>
      </c>
      <c r="K61" s="181">
        <f t="shared" si="3"/>
        <v>8.7631124444346273E-2</v>
      </c>
      <c r="L61" s="181">
        <f t="shared" si="3"/>
        <v>8.7631124444346273E-2</v>
      </c>
      <c r="M61" s="181">
        <f t="shared" si="3"/>
        <v>8.7631124444346273E-2</v>
      </c>
      <c r="N61" s="181">
        <f t="shared" si="3"/>
        <v>8.7631124444346273E-2</v>
      </c>
      <c r="O61" s="181">
        <f t="shared" si="3"/>
        <v>8.7631124444346273E-2</v>
      </c>
      <c r="P61" s="181">
        <f t="shared" si="3"/>
        <v>8.7631124444346273E-2</v>
      </c>
    </row>
    <row r="62" spans="2:16">
      <c r="B62" s="8" t="str">
        <f t="shared" si="0"/>
        <v>55-59</v>
      </c>
      <c r="C62" s="160">
        <f t="shared" ref="C62:I62" si="11">C$47*$C24</f>
        <v>5.7947856018546372E-2</v>
      </c>
      <c r="D62" s="160">
        <f t="shared" si="11"/>
        <v>6.0842458447251106E-2</v>
      </c>
      <c r="E62" s="160">
        <f t="shared" si="11"/>
        <v>6.0589244643871137E-2</v>
      </c>
      <c r="F62" s="160">
        <f t="shared" si="11"/>
        <v>5.8410787630740042E-2</v>
      </c>
      <c r="G62" s="160">
        <f t="shared" si="11"/>
        <v>6.0602775440418533E-2</v>
      </c>
      <c r="H62" s="160">
        <f t="shared" si="11"/>
        <v>5.9464802101669073E-2</v>
      </c>
      <c r="I62" s="160">
        <f t="shared" si="11"/>
        <v>5.9464802101669073E-2</v>
      </c>
      <c r="J62" s="181">
        <f t="shared" si="5"/>
        <v>5.9464802101669073E-2</v>
      </c>
      <c r="K62" s="181">
        <f t="shared" si="3"/>
        <v>5.9464802101669073E-2</v>
      </c>
      <c r="L62" s="181">
        <f t="shared" si="3"/>
        <v>5.9464802101669073E-2</v>
      </c>
      <c r="M62" s="181">
        <f t="shared" si="3"/>
        <v>5.9464802101669073E-2</v>
      </c>
      <c r="N62" s="181">
        <f t="shared" si="3"/>
        <v>5.9464802101669073E-2</v>
      </c>
      <c r="O62" s="181">
        <f t="shared" si="3"/>
        <v>5.9464802101669073E-2</v>
      </c>
      <c r="P62" s="181">
        <f t="shared" si="3"/>
        <v>5.9464802101669073E-2</v>
      </c>
    </row>
    <row r="63" spans="2:16">
      <c r="B63" s="8" t="str">
        <f t="shared" si="0"/>
        <v>60-64</v>
      </c>
      <c r="C63" s="160">
        <f t="shared" ref="C63:I63" si="12">C$47*$C25</f>
        <v>5.7122251890471321E-2</v>
      </c>
      <c r="D63" s="160">
        <f t="shared" si="12"/>
        <v>5.9975613868217703E-2</v>
      </c>
      <c r="E63" s="160">
        <f t="shared" si="12"/>
        <v>5.9726007693760005E-2</v>
      </c>
      <c r="F63" s="160">
        <f t="shared" si="12"/>
        <v>5.7578587948035304E-2</v>
      </c>
      <c r="G63" s="160">
        <f t="shared" si="12"/>
        <v>5.9739345712140041E-2</v>
      </c>
      <c r="H63" s="160">
        <f t="shared" si="12"/>
        <v>5.8617585492402438E-2</v>
      </c>
      <c r="I63" s="160">
        <f t="shared" si="12"/>
        <v>5.8617585492402438E-2</v>
      </c>
      <c r="J63" s="181">
        <f t="shared" si="5"/>
        <v>5.8617585492402438E-2</v>
      </c>
      <c r="K63" s="181">
        <f t="shared" si="3"/>
        <v>5.8617585492402438E-2</v>
      </c>
      <c r="L63" s="181">
        <f t="shared" si="3"/>
        <v>5.8617585492402438E-2</v>
      </c>
      <c r="M63" s="181">
        <f t="shared" si="3"/>
        <v>5.8617585492402438E-2</v>
      </c>
      <c r="N63" s="181">
        <f t="shared" si="3"/>
        <v>5.8617585492402438E-2</v>
      </c>
      <c r="O63" s="181">
        <f t="shared" si="3"/>
        <v>5.8617585492402438E-2</v>
      </c>
      <c r="P63" s="181">
        <f t="shared" si="3"/>
        <v>5.8617585492402438E-2</v>
      </c>
    </row>
    <row r="64" spans="2:16">
      <c r="B64" s="8" t="str">
        <f t="shared" si="0"/>
        <v>65 plus</v>
      </c>
      <c r="C64" s="160">
        <f t="shared" ref="C64:I64" si="13">C$47*$C26</f>
        <v>6.5106284347873078E-2</v>
      </c>
      <c r="D64" s="160">
        <f t="shared" si="13"/>
        <v>6.8358463492119215E-2</v>
      </c>
      <c r="E64" s="160">
        <f t="shared" si="13"/>
        <v>6.8073969620967428E-2</v>
      </c>
      <c r="F64" s="160">
        <f t="shared" si="13"/>
        <v>6.5626402938066541E-2</v>
      </c>
      <c r="G64" s="160">
        <f t="shared" si="13"/>
        <v>6.8089171907091461E-2</v>
      </c>
      <c r="H64" s="160">
        <f t="shared" si="13"/>
        <v>6.6810622175256532E-2</v>
      </c>
      <c r="I64" s="160">
        <f t="shared" si="13"/>
        <v>6.6810622175256532E-2</v>
      </c>
      <c r="J64" s="181">
        <f t="shared" si="5"/>
        <v>6.6810622175256532E-2</v>
      </c>
      <c r="K64" s="181">
        <f t="shared" si="3"/>
        <v>6.6810622175256532E-2</v>
      </c>
      <c r="L64" s="181">
        <f t="shared" si="3"/>
        <v>6.6810622175256532E-2</v>
      </c>
      <c r="M64" s="181">
        <f t="shared" si="3"/>
        <v>6.6810622175256532E-2</v>
      </c>
      <c r="N64" s="181">
        <f t="shared" si="3"/>
        <v>6.6810622175256532E-2</v>
      </c>
      <c r="O64" s="181">
        <f t="shared" si="3"/>
        <v>6.6810622175256532E-2</v>
      </c>
      <c r="P64" s="181">
        <f t="shared" si="3"/>
        <v>6.6810622175256532E-2</v>
      </c>
    </row>
    <row r="65" spans="2:16">
      <c r="B65" s="8" t="str">
        <f t="shared" si="0"/>
        <v>Total</v>
      </c>
      <c r="C65" s="160">
        <f t="shared" ref="C65:I65" si="14">C$47*$C27</f>
        <v>8.8468371990190281E-2</v>
      </c>
      <c r="D65" s="160">
        <f t="shared" si="14"/>
        <v>9.2887530558272591E-2</v>
      </c>
      <c r="E65" s="160">
        <f t="shared" si="14"/>
        <v>9.2500951752953184E-2</v>
      </c>
      <c r="F65" s="160">
        <f t="shared" si="14"/>
        <v>8.9175124731145194E-2</v>
      </c>
      <c r="G65" s="160">
        <f t="shared" si="14"/>
        <v>9.2521609075320657E-2</v>
      </c>
      <c r="H65" s="160">
        <f t="shared" si="14"/>
        <v>9.0784277350481946E-2</v>
      </c>
      <c r="I65" s="160">
        <f t="shared" si="14"/>
        <v>9.0784277350481946E-2</v>
      </c>
      <c r="J65" s="181">
        <f t="shared" si="5"/>
        <v>9.0784277350481946E-2</v>
      </c>
      <c r="K65" s="181">
        <f t="shared" si="3"/>
        <v>9.0784277350481946E-2</v>
      </c>
      <c r="L65" s="181">
        <f t="shared" si="3"/>
        <v>9.0784277350481946E-2</v>
      </c>
      <c r="M65" s="181">
        <f t="shared" si="3"/>
        <v>9.0784277350481946E-2</v>
      </c>
      <c r="N65" s="181">
        <f t="shared" si="3"/>
        <v>9.0784277350481946E-2</v>
      </c>
      <c r="O65" s="181">
        <f t="shared" si="3"/>
        <v>9.0784277350481946E-2</v>
      </c>
      <c r="P65" s="181">
        <f t="shared" si="3"/>
        <v>9.0784277350481946E-2</v>
      </c>
    </row>
    <row r="66" spans="2:16">
      <c r="B66" s="75"/>
      <c r="C66" s="75"/>
    </row>
    <row r="67" spans="2:16">
      <c r="B67" s="75" t="s">
        <v>158</v>
      </c>
      <c r="C67" s="75"/>
    </row>
    <row r="68" spans="2:16">
      <c r="B68" s="75"/>
      <c r="C68" s="75"/>
    </row>
    <row r="69" spans="2:16">
      <c r="B69" s="138" t="str">
        <f t="shared" ref="B69:B80" si="15">B31</f>
        <v>Age group</v>
      </c>
      <c r="C69" s="138" t="str">
        <f>C54</f>
        <v>2015/16</v>
      </c>
      <c r="D69" s="138" t="str">
        <f t="shared" ref="D69:I69" si="16">D54</f>
        <v>2016/17</v>
      </c>
      <c r="E69" s="138" t="str">
        <f t="shared" si="16"/>
        <v>2017/18</v>
      </c>
      <c r="F69" s="138" t="str">
        <f t="shared" si="16"/>
        <v>2018/19</v>
      </c>
      <c r="G69" s="138" t="str">
        <f t="shared" si="16"/>
        <v>2019/20</v>
      </c>
      <c r="H69" s="138" t="str">
        <f t="shared" si="16"/>
        <v>2020/21</v>
      </c>
      <c r="I69" s="138" t="str">
        <f t="shared" si="16"/>
        <v>2021/22</v>
      </c>
      <c r="J69" s="182" t="str">
        <f>J54</f>
        <v>2022/23</v>
      </c>
      <c r="K69" s="182" t="str">
        <f t="shared" ref="K69:P69" si="17">K54</f>
        <v>2023/24</v>
      </c>
      <c r="L69" s="182" t="str">
        <f t="shared" si="17"/>
        <v>2024/25</v>
      </c>
      <c r="M69" s="182" t="str">
        <f t="shared" si="17"/>
        <v>2025/26</v>
      </c>
      <c r="N69" s="182" t="str">
        <f t="shared" si="17"/>
        <v>2026/27</v>
      </c>
      <c r="O69" s="182" t="str">
        <f t="shared" si="17"/>
        <v>2027/28</v>
      </c>
      <c r="P69" s="182" t="str">
        <f t="shared" si="17"/>
        <v>2028/29</v>
      </c>
    </row>
    <row r="70" spans="2:16">
      <c r="B70" s="138" t="str">
        <f t="shared" si="15"/>
        <v>20-24</v>
      </c>
      <c r="C70" s="161">
        <f>C$48*$C32</f>
        <v>9.9022848364956784E-2</v>
      </c>
      <c r="D70" s="161">
        <f t="shared" ref="D70:I70" si="18">D$48*$C32</f>
        <v>9.8108818565349323E-2</v>
      </c>
      <c r="E70" s="161">
        <f t="shared" si="18"/>
        <v>9.9717224995996695E-2</v>
      </c>
      <c r="F70" s="161">
        <f t="shared" si="18"/>
        <v>0.10021004031202779</v>
      </c>
      <c r="G70" s="161">
        <f t="shared" si="18"/>
        <v>0.10187820056754002</v>
      </c>
      <c r="H70" s="161">
        <f t="shared" si="18"/>
        <v>0.10318789114269351</v>
      </c>
      <c r="I70" s="161">
        <f t="shared" si="18"/>
        <v>0.10318789114269351</v>
      </c>
      <c r="J70" s="181">
        <f>I70</f>
        <v>0.10318789114269351</v>
      </c>
      <c r="K70" s="181">
        <f t="shared" ref="K70:P70" si="19">J70</f>
        <v>0.10318789114269351</v>
      </c>
      <c r="L70" s="181">
        <f t="shared" si="19"/>
        <v>0.10318789114269351</v>
      </c>
      <c r="M70" s="181">
        <f t="shared" si="19"/>
        <v>0.10318789114269351</v>
      </c>
      <c r="N70" s="181">
        <f t="shared" si="19"/>
        <v>0.10318789114269351</v>
      </c>
      <c r="O70" s="181">
        <f t="shared" si="19"/>
        <v>0.10318789114269351</v>
      </c>
      <c r="P70" s="181">
        <f t="shared" si="19"/>
        <v>0.10318789114269351</v>
      </c>
    </row>
    <row r="71" spans="2:16">
      <c r="B71" s="138" t="str">
        <f t="shared" si="15"/>
        <v>25-29</v>
      </c>
      <c r="C71" s="161">
        <f t="shared" ref="C71:I80" si="20">C$48*$C33</f>
        <v>9.0726063084592523E-2</v>
      </c>
      <c r="D71" s="161">
        <f t="shared" si="20"/>
        <v>8.9888616711057079E-2</v>
      </c>
      <c r="E71" s="161">
        <f t="shared" si="20"/>
        <v>9.1362260276174098E-2</v>
      </c>
      <c r="F71" s="161">
        <f t="shared" si="20"/>
        <v>9.1813784284921096E-2</v>
      </c>
      <c r="G71" s="161">
        <f t="shared" si="20"/>
        <v>9.3342175106593039E-2</v>
      </c>
      <c r="H71" s="161">
        <f t="shared" si="20"/>
        <v>9.4542131194553056E-2</v>
      </c>
      <c r="I71" s="161">
        <f t="shared" si="20"/>
        <v>9.4542131194553056E-2</v>
      </c>
      <c r="J71" s="181">
        <f t="shared" ref="J71:J80" si="21">I71</f>
        <v>9.4542131194553056E-2</v>
      </c>
      <c r="K71" s="181">
        <f t="shared" ref="K71:P80" si="22">J71</f>
        <v>9.4542131194553056E-2</v>
      </c>
      <c r="L71" s="181">
        <f t="shared" si="22"/>
        <v>9.4542131194553056E-2</v>
      </c>
      <c r="M71" s="181">
        <f t="shared" si="22"/>
        <v>9.4542131194553056E-2</v>
      </c>
      <c r="N71" s="181">
        <f t="shared" si="22"/>
        <v>9.4542131194553056E-2</v>
      </c>
      <c r="O71" s="181">
        <f t="shared" si="22"/>
        <v>9.4542131194553056E-2</v>
      </c>
      <c r="P71" s="181">
        <f t="shared" si="22"/>
        <v>9.4542131194553056E-2</v>
      </c>
    </row>
    <row r="72" spans="2:16">
      <c r="B72" s="138" t="str">
        <f t="shared" si="15"/>
        <v>30-34</v>
      </c>
      <c r="C72" s="161">
        <f t="shared" si="20"/>
        <v>8.2141069873862022E-2</v>
      </c>
      <c r="D72" s="161">
        <f t="shared" si="20"/>
        <v>8.1382867227947048E-2</v>
      </c>
      <c r="E72" s="161">
        <f t="shared" si="20"/>
        <v>8.2717066629265507E-2</v>
      </c>
      <c r="F72" s="161">
        <f t="shared" si="20"/>
        <v>8.3125864982144901E-2</v>
      </c>
      <c r="G72" s="161">
        <f t="shared" si="20"/>
        <v>8.4509631157036316E-2</v>
      </c>
      <c r="H72" s="161">
        <f t="shared" si="20"/>
        <v>8.5596040877854787E-2</v>
      </c>
      <c r="I72" s="161">
        <f t="shared" si="20"/>
        <v>8.5596040877854787E-2</v>
      </c>
      <c r="J72" s="181">
        <f t="shared" si="21"/>
        <v>8.5596040877854787E-2</v>
      </c>
      <c r="K72" s="181">
        <f t="shared" si="22"/>
        <v>8.5596040877854787E-2</v>
      </c>
      <c r="L72" s="181">
        <f t="shared" si="22"/>
        <v>8.5596040877854787E-2</v>
      </c>
      <c r="M72" s="181">
        <f t="shared" si="22"/>
        <v>8.5596040877854787E-2</v>
      </c>
      <c r="N72" s="181">
        <f t="shared" si="22"/>
        <v>8.5596040877854787E-2</v>
      </c>
      <c r="O72" s="181">
        <f t="shared" si="22"/>
        <v>8.5596040877854787E-2</v>
      </c>
      <c r="P72" s="181">
        <f t="shared" si="22"/>
        <v>8.5596040877854787E-2</v>
      </c>
    </row>
    <row r="73" spans="2:16">
      <c r="B73" s="138" t="str">
        <f t="shared" si="15"/>
        <v>35-39</v>
      </c>
      <c r="C73" s="161">
        <f t="shared" si="20"/>
        <v>7.7971803709781712E-2</v>
      </c>
      <c r="D73" s="161">
        <f t="shared" si="20"/>
        <v>7.7252085449838137E-2</v>
      </c>
      <c r="E73" s="161">
        <f t="shared" si="20"/>
        <v>7.8518564374316022E-2</v>
      </c>
      <c r="F73" s="161">
        <f t="shared" si="20"/>
        <v>7.890661319053599E-2</v>
      </c>
      <c r="G73" s="161">
        <f t="shared" si="20"/>
        <v>8.0220143008622791E-2</v>
      </c>
      <c r="H73" s="161">
        <f t="shared" si="20"/>
        <v>8.125140940958564E-2</v>
      </c>
      <c r="I73" s="161">
        <f t="shared" si="20"/>
        <v>8.125140940958564E-2</v>
      </c>
      <c r="J73" s="181">
        <f t="shared" si="21"/>
        <v>8.125140940958564E-2</v>
      </c>
      <c r="K73" s="181">
        <f t="shared" si="22"/>
        <v>8.125140940958564E-2</v>
      </c>
      <c r="L73" s="181">
        <f t="shared" si="22"/>
        <v>8.125140940958564E-2</v>
      </c>
      <c r="M73" s="181">
        <f t="shared" si="22"/>
        <v>8.125140940958564E-2</v>
      </c>
      <c r="N73" s="181">
        <f t="shared" si="22"/>
        <v>8.125140940958564E-2</v>
      </c>
      <c r="O73" s="181">
        <f t="shared" si="22"/>
        <v>8.125140940958564E-2</v>
      </c>
      <c r="P73" s="181">
        <f t="shared" si="22"/>
        <v>8.125140940958564E-2</v>
      </c>
    </row>
    <row r="74" spans="2:16">
      <c r="B74" s="138" t="str">
        <f t="shared" si="15"/>
        <v>40-44</v>
      </c>
      <c r="C74" s="161">
        <f t="shared" si="20"/>
        <v>7.2406262687503026E-2</v>
      </c>
      <c r="D74" s="161">
        <f t="shared" si="20"/>
        <v>7.1737917120117747E-2</v>
      </c>
      <c r="E74" s="161">
        <f t="shared" si="20"/>
        <v>7.2913996181149243E-2</v>
      </c>
      <c r="F74" s="161">
        <f t="shared" si="20"/>
        <v>7.3274346502495896E-2</v>
      </c>
      <c r="G74" s="161">
        <f t="shared" si="20"/>
        <v>7.4494118016442928E-2</v>
      </c>
      <c r="H74" s="161">
        <f t="shared" si="20"/>
        <v>7.5451773763472216E-2</v>
      </c>
      <c r="I74" s="161">
        <f t="shared" si="20"/>
        <v>7.5451773763472216E-2</v>
      </c>
      <c r="J74" s="181">
        <f t="shared" si="21"/>
        <v>7.5451773763472216E-2</v>
      </c>
      <c r="K74" s="181">
        <f t="shared" si="22"/>
        <v>7.5451773763472216E-2</v>
      </c>
      <c r="L74" s="181">
        <f t="shared" si="22"/>
        <v>7.5451773763472216E-2</v>
      </c>
      <c r="M74" s="181">
        <f t="shared" si="22"/>
        <v>7.5451773763472216E-2</v>
      </c>
      <c r="N74" s="181">
        <f t="shared" si="22"/>
        <v>7.5451773763472216E-2</v>
      </c>
      <c r="O74" s="181">
        <f t="shared" si="22"/>
        <v>7.5451773763472216E-2</v>
      </c>
      <c r="P74" s="181">
        <f t="shared" si="22"/>
        <v>7.5451773763472216E-2</v>
      </c>
    </row>
    <row r="75" spans="2:16">
      <c r="B75" s="138" t="str">
        <f t="shared" si="15"/>
        <v>45-49</v>
      </c>
      <c r="C75" s="161">
        <f t="shared" si="20"/>
        <v>7.6586405128215976E-2</v>
      </c>
      <c r="D75" s="161">
        <f t="shared" si="20"/>
        <v>7.5879474781453987E-2</v>
      </c>
      <c r="E75" s="161">
        <f t="shared" si="20"/>
        <v>7.7123450980304473E-2</v>
      </c>
      <c r="F75" s="161">
        <f t="shared" si="20"/>
        <v>7.750460496718882E-2</v>
      </c>
      <c r="G75" s="161">
        <f t="shared" si="20"/>
        <v>7.8794796062041844E-2</v>
      </c>
      <c r="H75" s="161">
        <f t="shared" si="20"/>
        <v>7.9807738980141221E-2</v>
      </c>
      <c r="I75" s="161">
        <f t="shared" si="20"/>
        <v>7.9807738980141221E-2</v>
      </c>
      <c r="J75" s="181">
        <f t="shared" si="21"/>
        <v>7.9807738980141221E-2</v>
      </c>
      <c r="K75" s="181">
        <f t="shared" si="22"/>
        <v>7.9807738980141221E-2</v>
      </c>
      <c r="L75" s="181">
        <f t="shared" si="22"/>
        <v>7.9807738980141221E-2</v>
      </c>
      <c r="M75" s="181">
        <f t="shared" si="22"/>
        <v>7.9807738980141221E-2</v>
      </c>
      <c r="N75" s="181">
        <f t="shared" si="22"/>
        <v>7.9807738980141221E-2</v>
      </c>
      <c r="O75" s="181">
        <f t="shared" si="22"/>
        <v>7.9807738980141221E-2</v>
      </c>
      <c r="P75" s="181">
        <f t="shared" si="22"/>
        <v>7.9807738980141221E-2</v>
      </c>
    </row>
    <row r="76" spans="2:16">
      <c r="B76" s="138" t="str">
        <f t="shared" si="15"/>
        <v>50-54</v>
      </c>
      <c r="C76" s="161">
        <f t="shared" si="20"/>
        <v>8.3295196484576964E-2</v>
      </c>
      <c r="D76" s="161">
        <f t="shared" si="20"/>
        <v>8.2526340680000809E-2</v>
      </c>
      <c r="E76" s="161">
        <f t="shared" si="20"/>
        <v>8.387928630699451E-2</v>
      </c>
      <c r="F76" s="161">
        <f t="shared" si="20"/>
        <v>8.429382849859185E-2</v>
      </c>
      <c r="G76" s="161">
        <f t="shared" si="20"/>
        <v>8.5697037339227719E-2</v>
      </c>
      <c r="H76" s="161">
        <f t="shared" si="20"/>
        <v>8.6798711706231851E-2</v>
      </c>
      <c r="I76" s="161">
        <f t="shared" si="20"/>
        <v>8.6798711706231851E-2</v>
      </c>
      <c r="J76" s="181">
        <f t="shared" si="21"/>
        <v>8.6798711706231851E-2</v>
      </c>
      <c r="K76" s="181">
        <f t="shared" si="22"/>
        <v>8.6798711706231851E-2</v>
      </c>
      <c r="L76" s="181">
        <f t="shared" si="22"/>
        <v>8.6798711706231851E-2</v>
      </c>
      <c r="M76" s="181">
        <f t="shared" si="22"/>
        <v>8.6798711706231851E-2</v>
      </c>
      <c r="N76" s="181">
        <f t="shared" si="22"/>
        <v>8.6798711706231851E-2</v>
      </c>
      <c r="O76" s="181">
        <f t="shared" si="22"/>
        <v>8.6798711706231851E-2</v>
      </c>
      <c r="P76" s="181">
        <f t="shared" si="22"/>
        <v>8.6798711706231851E-2</v>
      </c>
    </row>
    <row r="77" spans="2:16">
      <c r="B77" s="138" t="str">
        <f t="shared" si="15"/>
        <v>55-59</v>
      </c>
      <c r="C77" s="161">
        <f t="shared" si="20"/>
        <v>5.3038311893721754E-2</v>
      </c>
      <c r="D77" s="161">
        <f t="shared" si="20"/>
        <v>5.2548742078348795E-2</v>
      </c>
      <c r="E77" s="161">
        <f t="shared" si="20"/>
        <v>5.3410231758045101E-2</v>
      </c>
      <c r="F77" s="161">
        <f t="shared" si="20"/>
        <v>5.3674191973987657E-2</v>
      </c>
      <c r="G77" s="161">
        <f t="shared" si="20"/>
        <v>5.4567686812618039E-2</v>
      </c>
      <c r="H77" s="161">
        <f t="shared" si="20"/>
        <v>5.5269179229330237E-2</v>
      </c>
      <c r="I77" s="161">
        <f t="shared" si="20"/>
        <v>5.5269179229330237E-2</v>
      </c>
      <c r="J77" s="181">
        <f t="shared" si="21"/>
        <v>5.5269179229330237E-2</v>
      </c>
      <c r="K77" s="181">
        <f t="shared" si="22"/>
        <v>5.5269179229330237E-2</v>
      </c>
      <c r="L77" s="181">
        <f t="shared" si="22"/>
        <v>5.5269179229330237E-2</v>
      </c>
      <c r="M77" s="181">
        <f t="shared" si="22"/>
        <v>5.5269179229330237E-2</v>
      </c>
      <c r="N77" s="181">
        <f t="shared" si="22"/>
        <v>5.5269179229330237E-2</v>
      </c>
      <c r="O77" s="181">
        <f t="shared" si="22"/>
        <v>5.5269179229330237E-2</v>
      </c>
      <c r="P77" s="181">
        <f t="shared" si="22"/>
        <v>5.5269179229330237E-2</v>
      </c>
    </row>
    <row r="78" spans="2:16">
      <c r="B78" s="138" t="str">
        <f t="shared" si="15"/>
        <v>60-64</v>
      </c>
      <c r="C78" s="161">
        <f t="shared" si="20"/>
        <v>4.2213416409850574E-2</v>
      </c>
      <c r="D78" s="161">
        <f t="shared" si="20"/>
        <v>4.182376572640794E-2</v>
      </c>
      <c r="E78" s="161">
        <f t="shared" si="20"/>
        <v>4.2509429000432954E-2</v>
      </c>
      <c r="F78" s="161">
        <f t="shared" si="20"/>
        <v>4.2719516050970019E-2</v>
      </c>
      <c r="G78" s="161">
        <f t="shared" si="20"/>
        <v>4.3430652366144136E-2</v>
      </c>
      <c r="H78" s="161">
        <f t="shared" si="20"/>
        <v>4.3988973142913231E-2</v>
      </c>
      <c r="I78" s="161">
        <f t="shared" si="20"/>
        <v>4.3988973142913231E-2</v>
      </c>
      <c r="J78" s="181">
        <f t="shared" si="21"/>
        <v>4.3988973142913231E-2</v>
      </c>
      <c r="K78" s="181">
        <f t="shared" si="22"/>
        <v>4.3988973142913231E-2</v>
      </c>
      <c r="L78" s="181">
        <f t="shared" si="22"/>
        <v>4.3988973142913231E-2</v>
      </c>
      <c r="M78" s="181">
        <f t="shared" si="22"/>
        <v>4.3988973142913231E-2</v>
      </c>
      <c r="N78" s="181">
        <f t="shared" si="22"/>
        <v>4.3988973142913231E-2</v>
      </c>
      <c r="O78" s="181">
        <f t="shared" si="22"/>
        <v>4.3988973142913231E-2</v>
      </c>
      <c r="P78" s="181">
        <f t="shared" si="22"/>
        <v>4.3988973142913231E-2</v>
      </c>
    </row>
    <row r="79" spans="2:16">
      <c r="B79" s="138" t="str">
        <f t="shared" si="15"/>
        <v>65 plus</v>
      </c>
      <c r="C79" s="161">
        <f t="shared" si="20"/>
        <v>7.3055045109373162E-2</v>
      </c>
      <c r="D79" s="161">
        <f t="shared" si="20"/>
        <v>7.23807109597885E-2</v>
      </c>
      <c r="E79" s="161">
        <f t="shared" si="20"/>
        <v>7.3567328051553874E-2</v>
      </c>
      <c r="F79" s="161">
        <f t="shared" si="20"/>
        <v>7.3930907222802836E-2</v>
      </c>
      <c r="G79" s="161">
        <f t="shared" si="20"/>
        <v>7.5161608265323407E-2</v>
      </c>
      <c r="H79" s="161">
        <f t="shared" si="20"/>
        <v>7.6127844902897451E-2</v>
      </c>
      <c r="I79" s="161">
        <f t="shared" si="20"/>
        <v>7.6127844902897451E-2</v>
      </c>
      <c r="J79" s="181">
        <f t="shared" si="21"/>
        <v>7.6127844902897451E-2</v>
      </c>
      <c r="K79" s="181">
        <f t="shared" si="22"/>
        <v>7.6127844902897451E-2</v>
      </c>
      <c r="L79" s="181">
        <f t="shared" si="22"/>
        <v>7.6127844902897451E-2</v>
      </c>
      <c r="M79" s="181">
        <f t="shared" si="22"/>
        <v>7.6127844902897451E-2</v>
      </c>
      <c r="N79" s="181">
        <f t="shared" si="22"/>
        <v>7.6127844902897451E-2</v>
      </c>
      <c r="O79" s="181">
        <f t="shared" si="22"/>
        <v>7.6127844902897451E-2</v>
      </c>
      <c r="P79" s="181">
        <f t="shared" si="22"/>
        <v>7.6127844902897451E-2</v>
      </c>
    </row>
    <row r="80" spans="2:16">
      <c r="B80" s="138" t="str">
        <f t="shared" si="15"/>
        <v>Total</v>
      </c>
      <c r="C80" s="161">
        <f t="shared" si="20"/>
        <v>7.9200026808663129E-2</v>
      </c>
      <c r="D80" s="161">
        <f t="shared" si="20"/>
        <v>7.8468971442874985E-2</v>
      </c>
      <c r="E80" s="161">
        <f t="shared" si="20"/>
        <v>7.9755400126051285E-2</v>
      </c>
      <c r="F80" s="161">
        <f t="shared" si="20"/>
        <v>8.0149561543197467E-2</v>
      </c>
      <c r="G80" s="161">
        <f t="shared" si="20"/>
        <v>8.1483782272445543E-2</v>
      </c>
      <c r="H80" s="161">
        <f t="shared" si="20"/>
        <v>8.2531293330508779E-2</v>
      </c>
      <c r="I80" s="161">
        <f t="shared" si="20"/>
        <v>8.2531293330508779E-2</v>
      </c>
      <c r="J80" s="181">
        <f t="shared" si="21"/>
        <v>8.2531293330508779E-2</v>
      </c>
      <c r="K80" s="181">
        <f t="shared" si="22"/>
        <v>8.2531293330508779E-2</v>
      </c>
      <c r="L80" s="181">
        <f t="shared" si="22"/>
        <v>8.2531293330508779E-2</v>
      </c>
      <c r="M80" s="181">
        <f t="shared" si="22"/>
        <v>8.2531293330508779E-2</v>
      </c>
      <c r="N80" s="181">
        <f t="shared" si="22"/>
        <v>8.2531293330508779E-2</v>
      </c>
      <c r="O80" s="181">
        <f t="shared" si="22"/>
        <v>8.2531293330508779E-2</v>
      </c>
      <c r="P80" s="181">
        <f t="shared" si="22"/>
        <v>8.2531293330508779E-2</v>
      </c>
    </row>
    <row r="83" spans="5:6">
      <c r="E83" s="442"/>
      <c r="F83" s="442"/>
    </row>
    <row r="84" spans="5:6">
      <c r="E84" s="442"/>
      <c r="F84" s="442"/>
    </row>
    <row r="85" spans="5:6">
      <c r="E85" s="442"/>
      <c r="F85" s="442"/>
    </row>
    <row r="86" spans="5:6">
      <c r="E86" s="442"/>
      <c r="F86" s="442"/>
    </row>
    <row r="87" spans="5:6">
      <c r="E87" s="442"/>
      <c r="F87" s="442"/>
    </row>
    <row r="88" spans="5:6">
      <c r="E88" s="442"/>
      <c r="F88" s="442"/>
    </row>
    <row r="89" spans="5:6">
      <c r="E89" s="442"/>
      <c r="F89" s="442"/>
    </row>
    <row r="90" spans="5:6">
      <c r="E90" s="442"/>
      <c r="F90" s="442"/>
    </row>
    <row r="91" spans="5:6">
      <c r="E91" s="442"/>
      <c r="F91" s="442"/>
    </row>
    <row r="92" spans="5:6">
      <c r="E92" s="442"/>
      <c r="F92" s="442"/>
    </row>
    <row r="93" spans="5:6">
      <c r="E93" s="442"/>
      <c r="F93" s="442"/>
    </row>
  </sheetData>
  <hyperlinks>
    <hyperlink ref="A2" location="'Title_&amp;_Contents'!A1" display="Contents"/>
    <hyperlink ref="B2" location="Map_of_sheets!A1" display="Map of shee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80"/>
  <sheetViews>
    <sheetView showGridLines="0" workbookViewId="0"/>
  </sheetViews>
  <sheetFormatPr defaultRowHeight="12.75"/>
  <cols>
    <col min="2" max="2" width="25.7109375" customWidth="1"/>
    <col min="3" max="18" width="12.7109375" customWidth="1"/>
  </cols>
  <sheetData>
    <row r="1" spans="1:15" s="65" customFormat="1" ht="15">
      <c r="A1" s="64" t="str">
        <f>ModelBanner</f>
        <v>TSM_201819 Publication</v>
      </c>
    </row>
    <row r="2" spans="1:15" s="65" customFormat="1" ht="15">
      <c r="A2" s="940" t="s">
        <v>13</v>
      </c>
      <c r="B2" s="940" t="s">
        <v>30</v>
      </c>
    </row>
    <row r="3" spans="1:15" s="65" customFormat="1" ht="15">
      <c r="A3" s="66"/>
    </row>
    <row r="4" spans="1:15" s="56" customFormat="1">
      <c r="A4" s="57" t="s">
        <v>26</v>
      </c>
      <c r="B4" s="57"/>
    </row>
    <row r="5" spans="1:15" s="46" customFormat="1">
      <c r="A5" s="59" t="s">
        <v>647</v>
      </c>
      <c r="B5" s="59"/>
      <c r="C5" s="59"/>
      <c r="D5" s="59"/>
      <c r="E5" s="59"/>
      <c r="F5" s="59"/>
      <c r="G5" s="59"/>
      <c r="H5" s="59"/>
      <c r="I5" s="59"/>
      <c r="J5" s="59"/>
      <c r="K5" s="59"/>
      <c r="L5" s="59"/>
      <c r="M5" s="59"/>
      <c r="N5" s="59"/>
      <c r="O5" s="59"/>
    </row>
    <row r="6" spans="1:15" s="45" customFormat="1">
      <c r="A6" s="55" t="s">
        <v>1392</v>
      </c>
      <c r="B6" s="60"/>
      <c r="C6" s="44"/>
      <c r="D6" s="44"/>
      <c r="E6" s="44"/>
      <c r="F6" s="44"/>
      <c r="G6" s="44"/>
      <c r="H6" s="44"/>
      <c r="I6" s="44"/>
    </row>
    <row r="7" spans="1:15" s="45" customFormat="1">
      <c r="A7" s="53" t="s">
        <v>180</v>
      </c>
      <c r="B7" s="55"/>
      <c r="C7" s="44"/>
      <c r="D7" s="44"/>
      <c r="E7" s="44"/>
      <c r="F7" s="44"/>
      <c r="G7" s="44"/>
      <c r="H7" s="44"/>
      <c r="I7" s="44"/>
    </row>
    <row r="8" spans="1:15" s="45" customFormat="1">
      <c r="A8" s="55" t="s">
        <v>24</v>
      </c>
      <c r="B8" s="60"/>
      <c r="C8" s="44"/>
      <c r="D8" s="44"/>
      <c r="E8" s="44"/>
      <c r="F8" s="44"/>
      <c r="G8" s="44"/>
      <c r="H8" s="44"/>
      <c r="I8" s="44"/>
    </row>
    <row r="9" spans="1:15" s="45" customFormat="1">
      <c r="A9" s="53" t="s">
        <v>1450</v>
      </c>
      <c r="B9" s="60"/>
      <c r="C9" s="44"/>
      <c r="D9" s="44"/>
      <c r="E9" s="44"/>
      <c r="F9" s="44"/>
      <c r="G9" s="44"/>
      <c r="H9" s="44"/>
      <c r="I9" s="44"/>
    </row>
    <row r="10" spans="1:15" s="49" customFormat="1">
      <c r="A10" s="54">
        <f>SUM(A13:A2226)</f>
        <v>0</v>
      </c>
      <c r="B10" s="72"/>
      <c r="C10" s="47"/>
      <c r="D10" s="71"/>
      <c r="E10" s="48"/>
      <c r="F10" s="48"/>
      <c r="G10" s="48"/>
      <c r="H10" s="48"/>
      <c r="I10" s="48"/>
    </row>
    <row r="12" spans="1:15" ht="18">
      <c r="B12" s="38" t="s">
        <v>1451</v>
      </c>
    </row>
    <row r="14" spans="1:15">
      <c r="B14" s="75" t="str">
        <f>Calculation_PRIM_wastage_rates!B120</f>
        <v>MALE weighted wastage rates</v>
      </c>
    </row>
    <row r="16" spans="1:15">
      <c r="B16" s="8" t="str">
        <f>Calculation_PRIM_wastage_rates!B122</f>
        <v>Age group</v>
      </c>
      <c r="C16" s="8" t="str">
        <f>Calculation_PRIM_wastage_rates!G122</f>
        <v>Total</v>
      </c>
    </row>
    <row r="17" spans="2:3">
      <c r="B17" s="8" t="str">
        <f>Calculation_PRIM_wastage_rates!B124</f>
        <v>20-24</v>
      </c>
      <c r="C17" s="159">
        <f>Calculation_SEC_wastage_rates!G124</f>
        <v>0.14766015536156041</v>
      </c>
    </row>
    <row r="18" spans="2:3">
      <c r="B18" s="8" t="str">
        <f>Calculation_PRIM_wastage_rates!B125</f>
        <v>25-29</v>
      </c>
      <c r="C18" s="159">
        <f>Calculation_SEC_wastage_rates!G125</f>
        <v>0.11329070792352844</v>
      </c>
    </row>
    <row r="19" spans="2:3">
      <c r="B19" s="8" t="str">
        <f>Calculation_PRIM_wastage_rates!B126</f>
        <v>30-34</v>
      </c>
      <c r="C19" s="159">
        <f>Calculation_SEC_wastage_rates!G126</f>
        <v>7.8531056665268828E-2</v>
      </c>
    </row>
    <row r="20" spans="2:3">
      <c r="B20" s="8" t="str">
        <f>Calculation_PRIM_wastage_rates!B127</f>
        <v>35-39</v>
      </c>
      <c r="C20" s="159">
        <f>Calculation_SEC_wastage_rates!G127</f>
        <v>7.5061107169139898E-2</v>
      </c>
    </row>
    <row r="21" spans="2:3">
      <c r="B21" s="8" t="str">
        <f>Calculation_PRIM_wastage_rates!B128</f>
        <v>40-44</v>
      </c>
      <c r="C21" s="159">
        <f>Calculation_SEC_wastage_rates!G128</f>
        <v>7.4700185914064701E-2</v>
      </c>
    </row>
    <row r="22" spans="2:3">
      <c r="B22" s="8" t="str">
        <f>Calculation_PRIM_wastage_rates!B129</f>
        <v>45-49</v>
      </c>
      <c r="C22" s="159">
        <f>Calculation_SEC_wastage_rates!G129</f>
        <v>8.8230864613054391E-2</v>
      </c>
    </row>
    <row r="23" spans="2:3">
      <c r="B23" s="8" t="str">
        <f>Calculation_PRIM_wastage_rates!B130</f>
        <v>50-54</v>
      </c>
      <c r="C23" s="159">
        <f>Calculation_SEC_wastage_rates!G130</f>
        <v>8.4703063996146771E-2</v>
      </c>
    </row>
    <row r="24" spans="2:3">
      <c r="B24" s="8" t="str">
        <f>Calculation_PRIM_wastage_rates!B131</f>
        <v>55-59</v>
      </c>
      <c r="C24" s="159">
        <f>Calculation_SEC_wastage_rates!G131</f>
        <v>5.8260339213633106E-2</v>
      </c>
    </row>
    <row r="25" spans="2:3">
      <c r="B25" s="8" t="str">
        <f>Calculation_PRIM_wastage_rates!B132</f>
        <v>60-64</v>
      </c>
      <c r="C25" s="159">
        <f>Calculation_SEC_wastage_rates!G132</f>
        <v>5.7845320088767388E-2</v>
      </c>
    </row>
    <row r="26" spans="2:3">
      <c r="B26" s="8" t="str">
        <f>Calculation_PRIM_wastage_rates!B133</f>
        <v>65 plus</v>
      </c>
      <c r="C26" s="159">
        <f>Calculation_SEC_wastage_rates!G133</f>
        <v>0.10683182004288448</v>
      </c>
    </row>
    <row r="27" spans="2:3">
      <c r="B27" s="8" t="str">
        <f>Calculation_PRIM_wastage_rates!B134</f>
        <v>Total</v>
      </c>
      <c r="C27" s="159">
        <f>Calculation_SEC_wastage_rates!G134</f>
        <v>8.4577021721594536E-2</v>
      </c>
    </row>
    <row r="29" spans="2:3">
      <c r="B29" s="75" t="str">
        <f>Calculation_PRIM_wastage_rates!B136</f>
        <v>FEMALE weighted wastage rates</v>
      </c>
    </row>
    <row r="31" spans="2:3">
      <c r="B31" s="8" t="str">
        <f>Calculation_PRIM_wastage_rates!B138</f>
        <v>Age group</v>
      </c>
      <c r="C31" s="8" t="str">
        <f>Calculation_PRIM_wastage_rates!G138</f>
        <v>Total</v>
      </c>
    </row>
    <row r="32" spans="2:3">
      <c r="B32" s="8" t="str">
        <f>Calculation_PRIM_wastage_rates!B140</f>
        <v>20-24</v>
      </c>
      <c r="C32" s="159">
        <f>Calculation_SEC_wastage_rates!G140</f>
        <v>0.12651998104337653</v>
      </c>
    </row>
    <row r="33" spans="2:9">
      <c r="B33" s="8" t="str">
        <f>Calculation_PRIM_wastage_rates!B141</f>
        <v>25-29</v>
      </c>
      <c r="C33" s="159">
        <f>Calculation_SEC_wastage_rates!G141</f>
        <v>0.10455560293214806</v>
      </c>
    </row>
    <row r="34" spans="2:9">
      <c r="B34" s="8" t="str">
        <f>Calculation_PRIM_wastage_rates!B142</f>
        <v>30-34</v>
      </c>
      <c r="C34" s="159">
        <f>Calculation_SEC_wastage_rates!G142</f>
        <v>8.7270459506493397E-2</v>
      </c>
    </row>
    <row r="35" spans="2:9">
      <c r="B35" s="8" t="str">
        <f>Calculation_PRIM_wastage_rates!B143</f>
        <v>35-39</v>
      </c>
      <c r="C35" s="159">
        <f>Calculation_SEC_wastage_rates!G143</f>
        <v>8.1979574415774803E-2</v>
      </c>
    </row>
    <row r="36" spans="2:9">
      <c r="B36" s="8" t="str">
        <f>Calculation_PRIM_wastage_rates!B144</f>
        <v>40-44</v>
      </c>
      <c r="C36" s="159">
        <f>Calculation_SEC_wastage_rates!G144</f>
        <v>8.0842578151038125E-2</v>
      </c>
    </row>
    <row r="37" spans="2:9">
      <c r="B37" s="8" t="str">
        <f>Calculation_PRIM_wastage_rates!B145</f>
        <v>45-49</v>
      </c>
      <c r="C37" s="159">
        <f>Calculation_SEC_wastage_rates!G145</f>
        <v>8.8269148170636053E-2</v>
      </c>
    </row>
    <row r="38" spans="2:9">
      <c r="B38" s="8" t="str">
        <f>Calculation_PRIM_wastage_rates!B146</f>
        <v>50-54</v>
      </c>
      <c r="C38" s="159">
        <f>Calculation_SEC_wastage_rates!G146</f>
        <v>8.7536873351951316E-2</v>
      </c>
    </row>
    <row r="39" spans="2:9">
      <c r="B39" s="8" t="str">
        <f>Calculation_PRIM_wastage_rates!B147</f>
        <v>55-59</v>
      </c>
      <c r="C39" s="159">
        <f>Calculation_SEC_wastage_rates!G147</f>
        <v>5.7297396975088274E-2</v>
      </c>
    </row>
    <row r="40" spans="2:9">
      <c r="B40" s="8" t="str">
        <f>Calculation_PRIM_wastage_rates!B148</f>
        <v>60-64</v>
      </c>
      <c r="C40" s="159">
        <f>Calculation_SEC_wastage_rates!G148</f>
        <v>5.214170948970194E-2</v>
      </c>
    </row>
    <row r="41" spans="2:9">
      <c r="B41" s="8" t="str">
        <f>Calculation_PRIM_wastage_rates!B149</f>
        <v>65 plus</v>
      </c>
      <c r="C41" s="159">
        <f>Calculation_SEC_wastage_rates!G149</f>
        <v>7.7040540050632281E-2</v>
      </c>
    </row>
    <row r="42" spans="2:9">
      <c r="B42" s="8" t="str">
        <f>Calculation_PRIM_wastage_rates!B150</f>
        <v>Total</v>
      </c>
      <c r="C42" s="159">
        <f>Calculation_SEC_wastage_rates!G150</f>
        <v>8.7736204760537742E-2</v>
      </c>
    </row>
    <row r="44" spans="2:9" ht="18">
      <c r="B44" s="38" t="s">
        <v>646</v>
      </c>
    </row>
    <row r="46" spans="2:9">
      <c r="B46" s="8"/>
      <c r="C46" s="8" t="str">
        <f>RAW_DATA_INPUTS!C205</f>
        <v>2015/16</v>
      </c>
      <c r="D46" s="8" t="str">
        <f>RAW_DATA_INPUTS!D205</f>
        <v>2016/17</v>
      </c>
      <c r="E46" s="8" t="str">
        <f>RAW_DATA_INPUTS!E205</f>
        <v>2017/18</v>
      </c>
      <c r="F46" s="8" t="str">
        <f>RAW_DATA_INPUTS!F205</f>
        <v>2018/19</v>
      </c>
      <c r="G46" s="8" t="str">
        <f>RAW_DATA_INPUTS!G205</f>
        <v>2019/20</v>
      </c>
      <c r="H46" s="8" t="str">
        <f>RAW_DATA_INPUTS!H205</f>
        <v>2020/21</v>
      </c>
      <c r="I46" s="8" t="str">
        <f>RAW_DATA_INPUTS!I205</f>
        <v>2021/22</v>
      </c>
    </row>
    <row r="47" spans="2:9">
      <c r="B47" s="8" t="str">
        <f>Projected_PRIM_wastage_rates!B47</f>
        <v>Male scalar selected</v>
      </c>
      <c r="C47" s="255">
        <f>Projected_PRIM_wastage_rates!C47</f>
        <v>1</v>
      </c>
      <c r="D47" s="255">
        <f>Projected_PRIM_wastage_rates!D47</f>
        <v>1.04995184684276</v>
      </c>
      <c r="E47" s="255">
        <f>Projected_PRIM_wastage_rates!E47</f>
        <v>1.04558216311712</v>
      </c>
      <c r="F47" s="255">
        <f>Projected_PRIM_wastage_rates!F47</f>
        <v>1.0079887616902601</v>
      </c>
      <c r="G47" s="255">
        <f>Projected_PRIM_wastage_rates!G47</f>
        <v>1.04581566263681</v>
      </c>
      <c r="H47" s="255">
        <f>Projected_PRIM_wastage_rates!H47</f>
        <v>1.0261777775287699</v>
      </c>
      <c r="I47" s="255">
        <f>Projected_PRIM_wastage_rates!I47</f>
        <v>1.0261777775287699</v>
      </c>
    </row>
    <row r="48" spans="2:9">
      <c r="B48" s="8" t="str">
        <f>Projected_PRIM_wastage_rates!B48</f>
        <v>Female scalar selected</v>
      </c>
      <c r="C48" s="255">
        <f>Projected_PRIM_wastage_rates!C48</f>
        <v>1</v>
      </c>
      <c r="D48" s="255">
        <f>Projected_PRIM_wastage_rates!D48</f>
        <v>0.99076950608168002</v>
      </c>
      <c r="E48" s="255">
        <f>Projected_PRIM_wastage_rates!E48</f>
        <v>1.0070122869873499</v>
      </c>
      <c r="F48" s="255">
        <f>Projected_PRIM_wastage_rates!F48</f>
        <v>1.0119890708727699</v>
      </c>
      <c r="G48" s="255">
        <f>Projected_PRIM_wastage_rates!G48</f>
        <v>1.02883528649933</v>
      </c>
      <c r="H48" s="255">
        <f>Projected_PRIM_wastage_rates!H48</f>
        <v>1.04206143174539</v>
      </c>
      <c r="I48" s="255">
        <f>Projected_PRIM_wastage_rates!I48</f>
        <v>1.04206143174539</v>
      </c>
    </row>
    <row r="50" spans="2:16" ht="18">
      <c r="B50" s="38" t="s">
        <v>156</v>
      </c>
    </row>
    <row r="52" spans="2:16">
      <c r="B52" s="75" t="s">
        <v>157</v>
      </c>
      <c r="C52" s="75"/>
      <c r="D52" s="256" t="s">
        <v>648</v>
      </c>
    </row>
    <row r="53" spans="2:16">
      <c r="B53" s="75"/>
      <c r="C53" s="75"/>
    </row>
    <row r="54" spans="2:16" s="5" customFormat="1">
      <c r="B54" s="8" t="str">
        <f t="shared" ref="B54:B65" si="0">B16</f>
        <v>Age group</v>
      </c>
      <c r="C54" s="8" t="str">
        <f>C46</f>
        <v>2015/16</v>
      </c>
      <c r="D54" s="8" t="str">
        <f t="shared" ref="D54:I54" si="1">D46</f>
        <v>2016/17</v>
      </c>
      <c r="E54" s="8" t="str">
        <f t="shared" si="1"/>
        <v>2017/18</v>
      </c>
      <c r="F54" s="8" t="str">
        <f t="shared" si="1"/>
        <v>2018/19</v>
      </c>
      <c r="G54" s="8" t="str">
        <f t="shared" si="1"/>
        <v>2019/20</v>
      </c>
      <c r="H54" s="8" t="str">
        <f t="shared" si="1"/>
        <v>2020/21</v>
      </c>
      <c r="I54" s="8" t="str">
        <f t="shared" si="1"/>
        <v>2021/22</v>
      </c>
      <c r="J54" s="8" t="str">
        <f>Projected_PRIM_wastage_rates!J54</f>
        <v>2022/23</v>
      </c>
      <c r="K54" s="8" t="str">
        <f>Projected_PRIM_wastage_rates!K54</f>
        <v>2023/24</v>
      </c>
      <c r="L54" s="8" t="str">
        <f>Projected_PRIM_wastage_rates!L54</f>
        <v>2024/25</v>
      </c>
      <c r="M54" s="8" t="str">
        <f>Projected_PRIM_wastage_rates!M54</f>
        <v>2025/26</v>
      </c>
      <c r="N54" s="8" t="str">
        <f>Projected_PRIM_wastage_rates!N54</f>
        <v>2026/27</v>
      </c>
      <c r="O54" s="8" t="str">
        <f>Projected_PRIM_wastage_rates!O54</f>
        <v>2027/28</v>
      </c>
      <c r="P54" s="8" t="str">
        <f>Projected_PRIM_wastage_rates!P54</f>
        <v>2028/29</v>
      </c>
    </row>
    <row r="55" spans="2:16">
      <c r="B55" s="8" t="str">
        <f t="shared" si="0"/>
        <v>20-24</v>
      </c>
      <c r="C55" s="160">
        <f>C$47*$C17</f>
        <v>0.14766015536156041</v>
      </c>
      <c r="D55" s="160">
        <f t="shared" ref="D55:I55" si="2">D$47*$C17</f>
        <v>0.15503605282695923</v>
      </c>
      <c r="E55" s="160">
        <f t="shared" si="2"/>
        <v>0.15439082464915035</v>
      </c>
      <c r="F55" s="160">
        <f t="shared" si="2"/>
        <v>0.14883977715389068</v>
      </c>
      <c r="G55" s="160">
        <f t="shared" si="2"/>
        <v>0.15442530322450462</v>
      </c>
      <c r="H55" s="160">
        <f t="shared" si="2"/>
        <v>0.15152557005847894</v>
      </c>
      <c r="I55" s="160">
        <f t="shared" si="2"/>
        <v>0.15152557005847894</v>
      </c>
      <c r="J55" s="181">
        <f>I55</f>
        <v>0.15152557005847894</v>
      </c>
      <c r="K55" s="181">
        <f t="shared" ref="K55:P55" si="3">J55</f>
        <v>0.15152557005847894</v>
      </c>
      <c r="L55" s="181">
        <f t="shared" si="3"/>
        <v>0.15152557005847894</v>
      </c>
      <c r="M55" s="181">
        <f t="shared" si="3"/>
        <v>0.15152557005847894</v>
      </c>
      <c r="N55" s="181">
        <f t="shared" si="3"/>
        <v>0.15152557005847894</v>
      </c>
      <c r="O55" s="181">
        <f t="shared" si="3"/>
        <v>0.15152557005847894</v>
      </c>
      <c r="P55" s="181">
        <f t="shared" si="3"/>
        <v>0.15152557005847894</v>
      </c>
    </row>
    <row r="56" spans="2:16">
      <c r="B56" s="8" t="str">
        <f t="shared" si="0"/>
        <v>25-29</v>
      </c>
      <c r="C56" s="160">
        <f t="shared" ref="C56:I65" si="4">C$47*$C18</f>
        <v>0.11329070792352844</v>
      </c>
      <c r="D56" s="160">
        <f t="shared" si="4"/>
        <v>0.11894978801443239</v>
      </c>
      <c r="E56" s="160">
        <f t="shared" si="4"/>
        <v>0.11845474345175272</v>
      </c>
      <c r="F56" s="160">
        <f t="shared" si="4"/>
        <v>0.11419576039085037</v>
      </c>
      <c r="G56" s="160">
        <f t="shared" si="4"/>
        <v>0.1184811967776382</v>
      </c>
      <c r="H56" s="160">
        <f t="shared" si="4"/>
        <v>0.11625640687162742</v>
      </c>
      <c r="I56" s="160">
        <f t="shared" si="4"/>
        <v>0.11625640687162742</v>
      </c>
      <c r="J56" s="181">
        <f t="shared" ref="J56:J65" si="5">I56</f>
        <v>0.11625640687162742</v>
      </c>
      <c r="K56" s="181">
        <f t="shared" ref="K56:K65" si="6">J56</f>
        <v>0.11625640687162742</v>
      </c>
      <c r="L56" s="181">
        <f t="shared" ref="L56:P65" si="7">K56</f>
        <v>0.11625640687162742</v>
      </c>
      <c r="M56" s="181">
        <f t="shared" si="7"/>
        <v>0.11625640687162742</v>
      </c>
      <c r="N56" s="181">
        <f t="shared" si="7"/>
        <v>0.11625640687162742</v>
      </c>
      <c r="O56" s="181">
        <f t="shared" si="7"/>
        <v>0.11625640687162742</v>
      </c>
      <c r="P56" s="181">
        <f t="shared" si="7"/>
        <v>0.11625640687162742</v>
      </c>
    </row>
    <row r="57" spans="2:16">
      <c r="B57" s="8" t="str">
        <f t="shared" si="0"/>
        <v>30-34</v>
      </c>
      <c r="C57" s="160">
        <f t="shared" si="4"/>
        <v>7.8531056665268828E-2</v>
      </c>
      <c r="D57" s="160">
        <f t="shared" si="4"/>
        <v>8.2453827980212446E-2</v>
      </c>
      <c r="E57" s="160">
        <f t="shared" si="4"/>
        <v>8.2110672099944909E-2</v>
      </c>
      <c r="F57" s="160">
        <f t="shared" si="4"/>
        <v>7.9158422562251973E-2</v>
      </c>
      <c r="G57" s="160">
        <f t="shared" si="4"/>
        <v>8.2129009063956995E-2</v>
      </c>
      <c r="H57" s="160">
        <f t="shared" si="4"/>
        <v>8.0586825195751458E-2</v>
      </c>
      <c r="I57" s="160">
        <f t="shared" si="4"/>
        <v>8.0586825195751458E-2</v>
      </c>
      <c r="J57" s="181">
        <f t="shared" si="5"/>
        <v>8.0586825195751458E-2</v>
      </c>
      <c r="K57" s="181">
        <f t="shared" si="6"/>
        <v>8.0586825195751458E-2</v>
      </c>
      <c r="L57" s="181">
        <f t="shared" si="7"/>
        <v>8.0586825195751458E-2</v>
      </c>
      <c r="M57" s="181">
        <f t="shared" si="7"/>
        <v>8.0586825195751458E-2</v>
      </c>
      <c r="N57" s="181">
        <f t="shared" si="7"/>
        <v>8.0586825195751458E-2</v>
      </c>
      <c r="O57" s="181">
        <f t="shared" si="7"/>
        <v>8.0586825195751458E-2</v>
      </c>
      <c r="P57" s="181">
        <f t="shared" si="7"/>
        <v>8.0586825195751458E-2</v>
      </c>
    </row>
    <row r="58" spans="2:16" ht="12" customHeight="1">
      <c r="B58" s="8" t="str">
        <f t="shared" si="0"/>
        <v>35-39</v>
      </c>
      <c r="C58" s="160">
        <f t="shared" si="4"/>
        <v>7.5061107169139898E-2</v>
      </c>
      <c r="D58" s="160">
        <f t="shared" si="4"/>
        <v>7.8810548098300764E-2</v>
      </c>
      <c r="E58" s="160">
        <f t="shared" si="4"/>
        <v>7.8482554799875259E-2</v>
      </c>
      <c r="F58" s="160">
        <f t="shared" si="4"/>
        <v>7.5660752466521236E-2</v>
      </c>
      <c r="G58" s="160">
        <f t="shared" si="4"/>
        <v>7.8500081532346652E-2</v>
      </c>
      <c r="H58" s="160">
        <f t="shared" si="4"/>
        <v>7.7026040133676796E-2</v>
      </c>
      <c r="I58" s="160">
        <f t="shared" si="4"/>
        <v>7.7026040133676796E-2</v>
      </c>
      <c r="J58" s="181">
        <f t="shared" si="5"/>
        <v>7.7026040133676796E-2</v>
      </c>
      <c r="K58" s="181">
        <f t="shared" si="6"/>
        <v>7.7026040133676796E-2</v>
      </c>
      <c r="L58" s="181">
        <f t="shared" si="7"/>
        <v>7.7026040133676796E-2</v>
      </c>
      <c r="M58" s="181">
        <f t="shared" si="7"/>
        <v>7.7026040133676796E-2</v>
      </c>
      <c r="N58" s="181">
        <f t="shared" si="7"/>
        <v>7.7026040133676796E-2</v>
      </c>
      <c r="O58" s="181">
        <f t="shared" si="7"/>
        <v>7.7026040133676796E-2</v>
      </c>
      <c r="P58" s="181">
        <f t="shared" si="7"/>
        <v>7.7026040133676796E-2</v>
      </c>
    </row>
    <row r="59" spans="2:16">
      <c r="B59" s="8" t="str">
        <f t="shared" si="0"/>
        <v>40-44</v>
      </c>
      <c r="C59" s="160">
        <f t="shared" si="4"/>
        <v>7.4700185914064701E-2</v>
      </c>
      <c r="D59" s="160">
        <f t="shared" si="4"/>
        <v>7.8431598159969765E-2</v>
      </c>
      <c r="E59" s="160">
        <f t="shared" si="4"/>
        <v>7.8105181973278787E-2</v>
      </c>
      <c r="F59" s="160">
        <f t="shared" si="4"/>
        <v>7.5296947897550287E-2</v>
      </c>
      <c r="G59" s="160">
        <f t="shared" si="4"/>
        <v>7.8122624430810472E-2</v>
      </c>
      <c r="H59" s="160">
        <f t="shared" si="4"/>
        <v>7.6655670762280845E-2</v>
      </c>
      <c r="I59" s="160">
        <f t="shared" si="4"/>
        <v>7.6655670762280845E-2</v>
      </c>
      <c r="J59" s="181">
        <f t="shared" si="5"/>
        <v>7.6655670762280845E-2</v>
      </c>
      <c r="K59" s="181">
        <f t="shared" si="6"/>
        <v>7.6655670762280845E-2</v>
      </c>
      <c r="L59" s="181">
        <f t="shared" si="7"/>
        <v>7.6655670762280845E-2</v>
      </c>
      <c r="M59" s="181">
        <f t="shared" si="7"/>
        <v>7.6655670762280845E-2</v>
      </c>
      <c r="N59" s="181">
        <f t="shared" si="7"/>
        <v>7.6655670762280845E-2</v>
      </c>
      <c r="O59" s="181">
        <f t="shared" si="7"/>
        <v>7.6655670762280845E-2</v>
      </c>
      <c r="P59" s="181">
        <f t="shared" si="7"/>
        <v>7.6655670762280845E-2</v>
      </c>
    </row>
    <row r="60" spans="2:16">
      <c r="B60" s="8" t="str">
        <f t="shared" si="0"/>
        <v>45-49</v>
      </c>
      <c r="C60" s="160">
        <f t="shared" si="4"/>
        <v>8.8230864613054391E-2</v>
      </c>
      <c r="D60" s="160">
        <f t="shared" si="4"/>
        <v>9.2638159249009977E-2</v>
      </c>
      <c r="E60" s="160">
        <f t="shared" si="4"/>
        <v>9.2252618275811174E-2</v>
      </c>
      <c r="F60" s="160">
        <f t="shared" si="4"/>
        <v>8.8935719964173682E-2</v>
      </c>
      <c r="G60" s="160">
        <f t="shared" si="4"/>
        <v>9.2273220140320147E-2</v>
      </c>
      <c r="H60" s="160">
        <f t="shared" si="4"/>
        <v>9.0540552558065951E-2</v>
      </c>
      <c r="I60" s="160">
        <f t="shared" si="4"/>
        <v>9.0540552558065951E-2</v>
      </c>
      <c r="J60" s="181">
        <f t="shared" si="5"/>
        <v>9.0540552558065951E-2</v>
      </c>
      <c r="K60" s="181">
        <f t="shared" si="6"/>
        <v>9.0540552558065951E-2</v>
      </c>
      <c r="L60" s="181">
        <f t="shared" si="7"/>
        <v>9.0540552558065951E-2</v>
      </c>
      <c r="M60" s="181">
        <f t="shared" si="7"/>
        <v>9.0540552558065951E-2</v>
      </c>
      <c r="N60" s="181">
        <f t="shared" si="7"/>
        <v>9.0540552558065951E-2</v>
      </c>
      <c r="O60" s="181">
        <f t="shared" si="7"/>
        <v>9.0540552558065951E-2</v>
      </c>
      <c r="P60" s="181">
        <f t="shared" si="7"/>
        <v>9.0540552558065951E-2</v>
      </c>
    </row>
    <row r="61" spans="2:16">
      <c r="B61" s="8" t="str">
        <f t="shared" si="0"/>
        <v>50-54</v>
      </c>
      <c r="C61" s="160">
        <f t="shared" si="4"/>
        <v>8.4703063996146771E-2</v>
      </c>
      <c r="D61" s="160">
        <f t="shared" si="4"/>
        <v>8.8934138475994795E-2</v>
      </c>
      <c r="E61" s="160">
        <f t="shared" si="4"/>
        <v>8.8564012875738993E-2</v>
      </c>
      <c r="F61" s="160">
        <f t="shared" si="4"/>
        <v>8.537973658884683E-2</v>
      </c>
      <c r="G61" s="160">
        <f t="shared" si="4"/>
        <v>8.858379100049836E-2</v>
      </c>
      <c r="H61" s="160">
        <f t="shared" si="4"/>
        <v>8.6920401961443058E-2</v>
      </c>
      <c r="I61" s="160">
        <f t="shared" si="4"/>
        <v>8.6920401961443058E-2</v>
      </c>
      <c r="J61" s="181">
        <f t="shared" si="5"/>
        <v>8.6920401961443058E-2</v>
      </c>
      <c r="K61" s="181">
        <f t="shared" si="6"/>
        <v>8.6920401961443058E-2</v>
      </c>
      <c r="L61" s="181">
        <f t="shared" si="7"/>
        <v>8.6920401961443058E-2</v>
      </c>
      <c r="M61" s="181">
        <f t="shared" si="7"/>
        <v>8.6920401961443058E-2</v>
      </c>
      <c r="N61" s="181">
        <f t="shared" si="7"/>
        <v>8.6920401961443058E-2</v>
      </c>
      <c r="O61" s="181">
        <f t="shared" si="7"/>
        <v>8.6920401961443058E-2</v>
      </c>
      <c r="P61" s="181">
        <f t="shared" si="7"/>
        <v>8.6920401961443058E-2</v>
      </c>
    </row>
    <row r="62" spans="2:16">
      <c r="B62" s="8" t="str">
        <f t="shared" si="0"/>
        <v>55-59</v>
      </c>
      <c r="C62" s="160">
        <f t="shared" si="4"/>
        <v>5.8260339213633106E-2</v>
      </c>
      <c r="D62" s="160">
        <f t="shared" si="4"/>
        <v>6.117055075503975E-2</v>
      </c>
      <c r="E62" s="160">
        <f t="shared" si="4"/>
        <v>6.0915971498927676E-2</v>
      </c>
      <c r="F62" s="160">
        <f t="shared" si="4"/>
        <v>5.8725767179604538E-2</v>
      </c>
      <c r="G62" s="160">
        <f t="shared" si="4"/>
        <v>6.0929575260151032E-2</v>
      </c>
      <c r="H62" s="160">
        <f t="shared" si="4"/>
        <v>5.9785465412318266E-2</v>
      </c>
      <c r="I62" s="160">
        <f t="shared" si="4"/>
        <v>5.9785465412318266E-2</v>
      </c>
      <c r="J62" s="181">
        <f t="shared" si="5"/>
        <v>5.9785465412318266E-2</v>
      </c>
      <c r="K62" s="181">
        <f t="shared" si="6"/>
        <v>5.9785465412318266E-2</v>
      </c>
      <c r="L62" s="181">
        <f t="shared" si="7"/>
        <v>5.9785465412318266E-2</v>
      </c>
      <c r="M62" s="181">
        <f t="shared" si="7"/>
        <v>5.9785465412318266E-2</v>
      </c>
      <c r="N62" s="181">
        <f t="shared" si="7"/>
        <v>5.9785465412318266E-2</v>
      </c>
      <c r="O62" s="181">
        <f t="shared" si="7"/>
        <v>5.9785465412318266E-2</v>
      </c>
      <c r="P62" s="181">
        <f t="shared" si="7"/>
        <v>5.9785465412318266E-2</v>
      </c>
    </row>
    <row r="63" spans="2:16">
      <c r="B63" s="8" t="str">
        <f t="shared" si="0"/>
        <v>60-64</v>
      </c>
      <c r="C63" s="160">
        <f t="shared" si="4"/>
        <v>5.7845320088767388E-2</v>
      </c>
      <c r="D63" s="160">
        <f t="shared" si="4"/>
        <v>6.0734800658411928E-2</v>
      </c>
      <c r="E63" s="160">
        <f t="shared" si="4"/>
        <v>6.0482034904615602E-2</v>
      </c>
      <c r="F63" s="160">
        <f t="shared" si="4"/>
        <v>5.8307432565853363E-2</v>
      </c>
      <c r="G63" s="160">
        <f t="shared" si="4"/>
        <v>6.0495541759072645E-2</v>
      </c>
      <c r="H63" s="160">
        <f t="shared" si="4"/>
        <v>5.9359582009131627E-2</v>
      </c>
      <c r="I63" s="160">
        <f t="shared" si="4"/>
        <v>5.9359582009131627E-2</v>
      </c>
      <c r="J63" s="181">
        <f t="shared" si="5"/>
        <v>5.9359582009131627E-2</v>
      </c>
      <c r="K63" s="181">
        <f t="shared" si="6"/>
        <v>5.9359582009131627E-2</v>
      </c>
      <c r="L63" s="181">
        <f t="shared" si="7"/>
        <v>5.9359582009131627E-2</v>
      </c>
      <c r="M63" s="181">
        <f t="shared" si="7"/>
        <v>5.9359582009131627E-2</v>
      </c>
      <c r="N63" s="181">
        <f t="shared" si="7"/>
        <v>5.9359582009131627E-2</v>
      </c>
      <c r="O63" s="181">
        <f t="shared" si="7"/>
        <v>5.9359582009131627E-2</v>
      </c>
      <c r="P63" s="181">
        <f t="shared" si="7"/>
        <v>5.9359582009131627E-2</v>
      </c>
    </row>
    <row r="64" spans="2:16">
      <c r="B64" s="8" t="str">
        <f t="shared" si="0"/>
        <v>65 plus</v>
      </c>
      <c r="C64" s="160">
        <f t="shared" si="4"/>
        <v>0.10683182004288448</v>
      </c>
      <c r="D64" s="160">
        <f t="shared" si="4"/>
        <v>0.11216826675559995</v>
      </c>
      <c r="E64" s="160">
        <f t="shared" si="4"/>
        <v>0.11170144549017806</v>
      </c>
      <c r="F64" s="160">
        <f t="shared" si="4"/>
        <v>0.10768527399414383</v>
      </c>
      <c r="G64" s="160">
        <f t="shared" si="4"/>
        <v>0.11172639066884568</v>
      </c>
      <c r="H64" s="160">
        <f t="shared" si="4"/>
        <v>0.1096284396609607</v>
      </c>
      <c r="I64" s="160">
        <f t="shared" si="4"/>
        <v>0.1096284396609607</v>
      </c>
      <c r="J64" s="181">
        <f t="shared" si="5"/>
        <v>0.1096284396609607</v>
      </c>
      <c r="K64" s="181">
        <f t="shared" si="6"/>
        <v>0.1096284396609607</v>
      </c>
      <c r="L64" s="181">
        <f t="shared" si="7"/>
        <v>0.1096284396609607</v>
      </c>
      <c r="M64" s="181">
        <f t="shared" si="7"/>
        <v>0.1096284396609607</v>
      </c>
      <c r="N64" s="181">
        <f t="shared" si="7"/>
        <v>0.1096284396609607</v>
      </c>
      <c r="O64" s="181">
        <f t="shared" si="7"/>
        <v>0.1096284396609607</v>
      </c>
      <c r="P64" s="181">
        <f t="shared" si="7"/>
        <v>0.1096284396609607</v>
      </c>
    </row>
    <row r="65" spans="2:16">
      <c r="B65" s="8" t="str">
        <f t="shared" si="0"/>
        <v>Total</v>
      </c>
      <c r="C65" s="160">
        <f t="shared" si="4"/>
        <v>8.4577021721594536E-2</v>
      </c>
      <c r="D65" s="160">
        <f t="shared" si="4"/>
        <v>8.8801800157048416E-2</v>
      </c>
      <c r="E65" s="160">
        <f t="shared" si="4"/>
        <v>8.8432225321668459E-2</v>
      </c>
      <c r="F65" s="160">
        <f t="shared" si="4"/>
        <v>8.5252687392600307E-2</v>
      </c>
      <c r="G65" s="160">
        <f t="shared" si="4"/>
        <v>8.845197401561726E-2</v>
      </c>
      <c r="H65" s="160">
        <f t="shared" si="4"/>
        <v>8.6791060180268387E-2</v>
      </c>
      <c r="I65" s="160">
        <f t="shared" si="4"/>
        <v>8.6791060180268387E-2</v>
      </c>
      <c r="J65" s="181">
        <f t="shared" si="5"/>
        <v>8.6791060180268387E-2</v>
      </c>
      <c r="K65" s="181">
        <f t="shared" si="6"/>
        <v>8.6791060180268387E-2</v>
      </c>
      <c r="L65" s="181">
        <f t="shared" si="7"/>
        <v>8.6791060180268387E-2</v>
      </c>
      <c r="M65" s="181">
        <f t="shared" si="7"/>
        <v>8.6791060180268387E-2</v>
      </c>
      <c r="N65" s="181">
        <f t="shared" si="7"/>
        <v>8.6791060180268387E-2</v>
      </c>
      <c r="O65" s="181">
        <f t="shared" si="7"/>
        <v>8.6791060180268387E-2</v>
      </c>
      <c r="P65" s="181">
        <f t="shared" si="7"/>
        <v>8.6791060180268387E-2</v>
      </c>
    </row>
    <row r="66" spans="2:16">
      <c r="B66" s="75"/>
      <c r="C66" s="75"/>
    </row>
    <row r="67" spans="2:16">
      <c r="B67" s="75" t="s">
        <v>158</v>
      </c>
      <c r="C67" s="75"/>
    </row>
    <row r="68" spans="2:16">
      <c r="B68" s="75"/>
      <c r="C68" s="75"/>
    </row>
    <row r="69" spans="2:16" s="5" customFormat="1">
      <c r="B69" s="138" t="str">
        <f>B31</f>
        <v>Age group</v>
      </c>
      <c r="C69" s="138" t="str">
        <f>C54</f>
        <v>2015/16</v>
      </c>
      <c r="D69" s="138" t="str">
        <f t="shared" ref="D69:P69" si="8">D54</f>
        <v>2016/17</v>
      </c>
      <c r="E69" s="138" t="str">
        <f t="shared" si="8"/>
        <v>2017/18</v>
      </c>
      <c r="F69" s="138" t="str">
        <f t="shared" si="8"/>
        <v>2018/19</v>
      </c>
      <c r="G69" s="138" t="str">
        <f t="shared" si="8"/>
        <v>2019/20</v>
      </c>
      <c r="H69" s="138" t="str">
        <f t="shared" si="8"/>
        <v>2020/21</v>
      </c>
      <c r="I69" s="138" t="str">
        <f t="shared" si="8"/>
        <v>2021/22</v>
      </c>
      <c r="J69" s="138" t="str">
        <f t="shared" si="8"/>
        <v>2022/23</v>
      </c>
      <c r="K69" s="138" t="str">
        <f t="shared" si="8"/>
        <v>2023/24</v>
      </c>
      <c r="L69" s="138" t="str">
        <f t="shared" si="8"/>
        <v>2024/25</v>
      </c>
      <c r="M69" s="138" t="str">
        <f t="shared" si="8"/>
        <v>2025/26</v>
      </c>
      <c r="N69" s="138" t="str">
        <f t="shared" si="8"/>
        <v>2026/27</v>
      </c>
      <c r="O69" s="138" t="str">
        <f t="shared" si="8"/>
        <v>2027/28</v>
      </c>
      <c r="P69" s="138" t="str">
        <f t="shared" si="8"/>
        <v>2028/29</v>
      </c>
    </row>
    <row r="70" spans="2:16">
      <c r="B70" s="138" t="str">
        <f t="shared" ref="B70:B80" si="9">B32</f>
        <v>20-24</v>
      </c>
      <c r="C70" s="161">
        <f>C$48*$C32</f>
        <v>0.12651998104337653</v>
      </c>
      <c r="D70" s="161">
        <f t="shared" ref="D70:I70" si="10">D$48*$C32</f>
        <v>0.12535213912780968</v>
      </c>
      <c r="E70" s="161">
        <f t="shared" si="10"/>
        <v>0.12740717546008676</v>
      </c>
      <c r="F70" s="161">
        <f t="shared" si="10"/>
        <v>0.12803683806292707</v>
      </c>
      <c r="G70" s="161">
        <f t="shared" si="10"/>
        <v>0.13016822094465208</v>
      </c>
      <c r="H70" s="161">
        <f t="shared" si="10"/>
        <v>0.13184159259046055</v>
      </c>
      <c r="I70" s="161">
        <f t="shared" si="10"/>
        <v>0.13184159259046055</v>
      </c>
      <c r="J70" s="254">
        <f>I70</f>
        <v>0.13184159259046055</v>
      </c>
      <c r="K70" s="254">
        <f t="shared" ref="K70:P70" si="11">J70</f>
        <v>0.13184159259046055</v>
      </c>
      <c r="L70" s="254">
        <f t="shared" si="11"/>
        <v>0.13184159259046055</v>
      </c>
      <c r="M70" s="254">
        <f t="shared" si="11"/>
        <v>0.13184159259046055</v>
      </c>
      <c r="N70" s="254">
        <f t="shared" si="11"/>
        <v>0.13184159259046055</v>
      </c>
      <c r="O70" s="254">
        <f t="shared" si="11"/>
        <v>0.13184159259046055</v>
      </c>
      <c r="P70" s="254">
        <f t="shared" si="11"/>
        <v>0.13184159259046055</v>
      </c>
    </row>
    <row r="71" spans="2:16">
      <c r="B71" s="138" t="str">
        <f t="shared" si="9"/>
        <v>25-29</v>
      </c>
      <c r="C71" s="161">
        <f t="shared" ref="C71:I80" si="12">C$48*$C33</f>
        <v>0.10455560293214806</v>
      </c>
      <c r="D71" s="161">
        <f t="shared" si="12"/>
        <v>0.10359050307515659</v>
      </c>
      <c r="E71" s="161">
        <f t="shared" si="12"/>
        <v>0.10528877682604369</v>
      </c>
      <c r="F71" s="161">
        <f t="shared" si="12"/>
        <v>0.10580912746584678</v>
      </c>
      <c r="G71" s="161">
        <f t="shared" si="12"/>
        <v>0.10757049369780675</v>
      </c>
      <c r="H71" s="161">
        <f t="shared" si="12"/>
        <v>0.10895336128847671</v>
      </c>
      <c r="I71" s="161">
        <f t="shared" si="12"/>
        <v>0.10895336128847671</v>
      </c>
      <c r="J71" s="254">
        <f t="shared" ref="J71:J80" si="13">I71</f>
        <v>0.10895336128847671</v>
      </c>
      <c r="K71" s="254">
        <f t="shared" ref="K71:N80" si="14">J71</f>
        <v>0.10895336128847671</v>
      </c>
      <c r="L71" s="254">
        <f t="shared" si="14"/>
        <v>0.10895336128847671</v>
      </c>
      <c r="M71" s="254">
        <f t="shared" si="14"/>
        <v>0.10895336128847671</v>
      </c>
      <c r="N71" s="254">
        <f t="shared" si="14"/>
        <v>0.10895336128847671</v>
      </c>
      <c r="O71" s="254">
        <f t="shared" ref="O71:O80" si="15">N71</f>
        <v>0.10895336128847671</v>
      </c>
      <c r="P71" s="254">
        <f t="shared" ref="P71:P80" si="16">O71</f>
        <v>0.10895336128847671</v>
      </c>
    </row>
    <row r="72" spans="2:16">
      <c r="B72" s="138" t="str">
        <f t="shared" si="9"/>
        <v>30-34</v>
      </c>
      <c r="C72" s="161">
        <f t="shared" si="12"/>
        <v>8.7270459506493397E-2</v>
      </c>
      <c r="D72" s="161">
        <f t="shared" si="12"/>
        <v>8.6464910060769715E-2</v>
      </c>
      <c r="E72" s="161">
        <f t="shared" si="12"/>
        <v>8.7882425014070828E-2</v>
      </c>
      <c r="F72" s="161">
        <f t="shared" si="12"/>
        <v>8.8316751230615942E-2</v>
      </c>
      <c r="G72" s="161">
        <f t="shared" si="12"/>
        <v>8.9786928209291308E-2</v>
      </c>
      <c r="H72" s="161">
        <f t="shared" si="12"/>
        <v>9.0941179982414591E-2</v>
      </c>
      <c r="I72" s="161">
        <f t="shared" si="12"/>
        <v>9.0941179982414591E-2</v>
      </c>
      <c r="J72" s="254">
        <f t="shared" si="13"/>
        <v>9.0941179982414591E-2</v>
      </c>
      <c r="K72" s="254">
        <f t="shared" si="14"/>
        <v>9.0941179982414591E-2</v>
      </c>
      <c r="L72" s="254">
        <f t="shared" si="14"/>
        <v>9.0941179982414591E-2</v>
      </c>
      <c r="M72" s="254">
        <f t="shared" si="14"/>
        <v>9.0941179982414591E-2</v>
      </c>
      <c r="N72" s="254">
        <f t="shared" si="14"/>
        <v>9.0941179982414591E-2</v>
      </c>
      <c r="O72" s="254">
        <f t="shared" si="15"/>
        <v>9.0941179982414591E-2</v>
      </c>
      <c r="P72" s="254">
        <f t="shared" si="16"/>
        <v>9.0941179982414591E-2</v>
      </c>
    </row>
    <row r="73" spans="2:16">
      <c r="B73" s="138" t="str">
        <f t="shared" si="9"/>
        <v>35-39</v>
      </c>
      <c r="C73" s="161">
        <f t="shared" si="12"/>
        <v>8.1979574415774803E-2</v>
      </c>
      <c r="D73" s="161">
        <f t="shared" si="12"/>
        <v>8.1222862452703534E-2</v>
      </c>
      <c r="E73" s="161">
        <f t="shared" si="12"/>
        <v>8.2554438718679027E-2</v>
      </c>
      <c r="F73" s="161">
        <f t="shared" si="12"/>
        <v>8.296243334356504E-2</v>
      </c>
      <c r="G73" s="161">
        <f t="shared" si="12"/>
        <v>8.4343478931146812E-2</v>
      </c>
      <c r="H73" s="161">
        <f t="shared" si="12"/>
        <v>8.5427752689580042E-2</v>
      </c>
      <c r="I73" s="161">
        <f t="shared" si="12"/>
        <v>8.5427752689580042E-2</v>
      </c>
      <c r="J73" s="254">
        <f t="shared" si="13"/>
        <v>8.5427752689580042E-2</v>
      </c>
      <c r="K73" s="254">
        <f t="shared" si="14"/>
        <v>8.5427752689580042E-2</v>
      </c>
      <c r="L73" s="254">
        <f t="shared" si="14"/>
        <v>8.5427752689580042E-2</v>
      </c>
      <c r="M73" s="254">
        <f t="shared" si="14"/>
        <v>8.5427752689580042E-2</v>
      </c>
      <c r="N73" s="254">
        <f t="shared" si="14"/>
        <v>8.5427752689580042E-2</v>
      </c>
      <c r="O73" s="254">
        <f t="shared" si="15"/>
        <v>8.5427752689580042E-2</v>
      </c>
      <c r="P73" s="254">
        <f t="shared" si="16"/>
        <v>8.5427752689580042E-2</v>
      </c>
    </row>
    <row r="74" spans="2:16">
      <c r="B74" s="138" t="str">
        <f t="shared" si="9"/>
        <v>40-44</v>
      </c>
      <c r="C74" s="161">
        <f t="shared" si="12"/>
        <v>8.0842578151038125E-2</v>
      </c>
      <c r="D74" s="161">
        <f t="shared" si="12"/>
        <v>8.0096361225073659E-2</v>
      </c>
      <c r="E74" s="161">
        <f t="shared" si="12"/>
        <v>8.1409469509830468E-2</v>
      </c>
      <c r="F74" s="161">
        <f t="shared" si="12"/>
        <v>8.1811805550028358E-2</v>
      </c>
      <c r="G74" s="161">
        <f t="shared" si="12"/>
        <v>8.3173697053367787E-2</v>
      </c>
      <c r="H74" s="161">
        <f t="shared" si="12"/>
        <v>8.4242932734059375E-2</v>
      </c>
      <c r="I74" s="161">
        <f t="shared" si="12"/>
        <v>8.4242932734059375E-2</v>
      </c>
      <c r="J74" s="254">
        <f t="shared" si="13"/>
        <v>8.4242932734059375E-2</v>
      </c>
      <c r="K74" s="254">
        <f t="shared" si="14"/>
        <v>8.4242932734059375E-2</v>
      </c>
      <c r="L74" s="254">
        <f t="shared" si="14"/>
        <v>8.4242932734059375E-2</v>
      </c>
      <c r="M74" s="254">
        <f t="shared" si="14"/>
        <v>8.4242932734059375E-2</v>
      </c>
      <c r="N74" s="254">
        <f t="shared" si="14"/>
        <v>8.4242932734059375E-2</v>
      </c>
      <c r="O74" s="254">
        <f t="shared" si="15"/>
        <v>8.4242932734059375E-2</v>
      </c>
      <c r="P74" s="254">
        <f t="shared" si="16"/>
        <v>8.4242932734059375E-2</v>
      </c>
    </row>
    <row r="75" spans="2:16">
      <c r="B75" s="138" t="str">
        <f t="shared" si="9"/>
        <v>45-49</v>
      </c>
      <c r="C75" s="161">
        <f t="shared" si="12"/>
        <v>8.8269148170636053E-2</v>
      </c>
      <c r="D75" s="161">
        <f t="shared" si="12"/>
        <v>8.7454380335271711E-2</v>
      </c>
      <c r="E75" s="161">
        <f t="shared" si="12"/>
        <v>8.8888116769737457E-2</v>
      </c>
      <c r="F75" s="161">
        <f t="shared" si="12"/>
        <v>8.9327413243932841E-2</v>
      </c>
      <c r="G75" s="161">
        <f t="shared" si="12"/>
        <v>9.0814414347188149E-2</v>
      </c>
      <c r="H75" s="161">
        <f t="shared" si="12"/>
        <v>9.1981874921638979E-2</v>
      </c>
      <c r="I75" s="161">
        <f t="shared" si="12"/>
        <v>9.1981874921638979E-2</v>
      </c>
      <c r="J75" s="254">
        <f t="shared" si="13"/>
        <v>9.1981874921638979E-2</v>
      </c>
      <c r="K75" s="254">
        <f t="shared" si="14"/>
        <v>9.1981874921638979E-2</v>
      </c>
      <c r="L75" s="254">
        <f t="shared" si="14"/>
        <v>9.1981874921638979E-2</v>
      </c>
      <c r="M75" s="254">
        <f t="shared" si="14"/>
        <v>9.1981874921638979E-2</v>
      </c>
      <c r="N75" s="254">
        <f t="shared" si="14"/>
        <v>9.1981874921638979E-2</v>
      </c>
      <c r="O75" s="254">
        <f t="shared" si="15"/>
        <v>9.1981874921638979E-2</v>
      </c>
      <c r="P75" s="254">
        <f t="shared" si="16"/>
        <v>9.1981874921638979E-2</v>
      </c>
    </row>
    <row r="76" spans="2:16">
      <c r="B76" s="138" t="str">
        <f t="shared" si="9"/>
        <v>50-54</v>
      </c>
      <c r="C76" s="161">
        <f t="shared" si="12"/>
        <v>8.7536873351951316E-2</v>
      </c>
      <c r="D76" s="161">
        <f t="shared" si="12"/>
        <v>8.6728864774847383E-2</v>
      </c>
      <c r="E76" s="161">
        <f t="shared" si="12"/>
        <v>8.8150707029870504E-2</v>
      </c>
      <c r="F76" s="161">
        <f t="shared" si="12"/>
        <v>8.8586359130548548E-2</v>
      </c>
      <c r="G76" s="161">
        <f t="shared" si="12"/>
        <v>9.0061024174310403E-2</v>
      </c>
      <c r="H76" s="161">
        <f t="shared" si="12"/>
        <v>9.1218799575649268E-2</v>
      </c>
      <c r="I76" s="161">
        <f t="shared" si="12"/>
        <v>9.1218799575649268E-2</v>
      </c>
      <c r="J76" s="254">
        <f t="shared" si="13"/>
        <v>9.1218799575649268E-2</v>
      </c>
      <c r="K76" s="254">
        <f t="shared" si="14"/>
        <v>9.1218799575649268E-2</v>
      </c>
      <c r="L76" s="254">
        <f t="shared" si="14"/>
        <v>9.1218799575649268E-2</v>
      </c>
      <c r="M76" s="254">
        <f t="shared" si="14"/>
        <v>9.1218799575649268E-2</v>
      </c>
      <c r="N76" s="254">
        <f t="shared" si="14"/>
        <v>9.1218799575649268E-2</v>
      </c>
      <c r="O76" s="254">
        <f t="shared" si="15"/>
        <v>9.1218799575649268E-2</v>
      </c>
      <c r="P76" s="254">
        <f t="shared" si="16"/>
        <v>9.1218799575649268E-2</v>
      </c>
    </row>
    <row r="77" spans="2:16">
      <c r="B77" s="138" t="str">
        <f t="shared" si="9"/>
        <v>55-59</v>
      </c>
      <c r="C77" s="161">
        <f t="shared" si="12"/>
        <v>5.7297396975088274E-2</v>
      </c>
      <c r="D77" s="161">
        <f t="shared" si="12"/>
        <v>5.6768513700774154E-2</v>
      </c>
      <c r="E77" s="161">
        <f t="shared" si="12"/>
        <v>5.7699182766305708E-2</v>
      </c>
      <c r="F77" s="161">
        <f t="shared" si="12"/>
        <v>5.7984339528247837E-2</v>
      </c>
      <c r="G77" s="161">
        <f t="shared" si="12"/>
        <v>5.8949583832530787E-2</v>
      </c>
      <c r="H77" s="161">
        <f t="shared" si="12"/>
        <v>5.9707407527144464E-2</v>
      </c>
      <c r="I77" s="161">
        <f t="shared" si="12"/>
        <v>5.9707407527144464E-2</v>
      </c>
      <c r="J77" s="254">
        <f t="shared" si="13"/>
        <v>5.9707407527144464E-2</v>
      </c>
      <c r="K77" s="254">
        <f t="shared" si="14"/>
        <v>5.9707407527144464E-2</v>
      </c>
      <c r="L77" s="254">
        <f t="shared" si="14"/>
        <v>5.9707407527144464E-2</v>
      </c>
      <c r="M77" s="254">
        <f t="shared" si="14"/>
        <v>5.9707407527144464E-2</v>
      </c>
      <c r="N77" s="254">
        <f t="shared" si="14"/>
        <v>5.9707407527144464E-2</v>
      </c>
      <c r="O77" s="254">
        <f t="shared" si="15"/>
        <v>5.9707407527144464E-2</v>
      </c>
      <c r="P77" s="254">
        <f t="shared" si="16"/>
        <v>5.9707407527144464E-2</v>
      </c>
    </row>
    <row r="78" spans="2:16">
      <c r="B78" s="138" t="str">
        <f t="shared" si="9"/>
        <v>60-64</v>
      </c>
      <c r="C78" s="161">
        <f t="shared" si="12"/>
        <v>5.214170948970194E-2</v>
      </c>
      <c r="D78" s="161">
        <f t="shared" si="12"/>
        <v>5.1660415757366442E-2</v>
      </c>
      <c r="E78" s="161">
        <f t="shared" si="12"/>
        <v>5.2507342120654756E-2</v>
      </c>
      <c r="F78" s="161">
        <f t="shared" si="12"/>
        <v>5.2766840140201353E-2</v>
      </c>
      <c r="G78" s="161">
        <f t="shared" si="12"/>
        <v>5.3645230621402328E-2</v>
      </c>
      <c r="H78" s="161">
        <f t="shared" si="12"/>
        <v>5.4334864444490996E-2</v>
      </c>
      <c r="I78" s="161">
        <f t="shared" si="12"/>
        <v>5.4334864444490996E-2</v>
      </c>
      <c r="J78" s="254">
        <f t="shared" si="13"/>
        <v>5.4334864444490996E-2</v>
      </c>
      <c r="K78" s="254">
        <f t="shared" si="14"/>
        <v>5.4334864444490996E-2</v>
      </c>
      <c r="L78" s="254">
        <f t="shared" si="14"/>
        <v>5.4334864444490996E-2</v>
      </c>
      <c r="M78" s="254">
        <f t="shared" si="14"/>
        <v>5.4334864444490996E-2</v>
      </c>
      <c r="N78" s="254">
        <f t="shared" si="14"/>
        <v>5.4334864444490996E-2</v>
      </c>
      <c r="O78" s="254">
        <f t="shared" si="15"/>
        <v>5.4334864444490996E-2</v>
      </c>
      <c r="P78" s="254">
        <f t="shared" si="16"/>
        <v>5.4334864444490996E-2</v>
      </c>
    </row>
    <row r="79" spans="2:16">
      <c r="B79" s="138" t="str">
        <f t="shared" si="9"/>
        <v>65 plus</v>
      </c>
      <c r="C79" s="161">
        <f t="shared" si="12"/>
        <v>7.7040540050632281E-2</v>
      </c>
      <c r="D79" s="161">
        <f t="shared" si="12"/>
        <v>7.6329417814230832E-2</v>
      </c>
      <c r="E79" s="161">
        <f t="shared" si="12"/>
        <v>7.7580770427127743E-2</v>
      </c>
      <c r="F79" s="161">
        <f t="shared" si="12"/>
        <v>7.7964184545375778E-2</v>
      </c>
      <c r="G79" s="161">
        <f t="shared" si="12"/>
        <v>7.9262026095055366E-2</v>
      </c>
      <c r="H79" s="161">
        <f t="shared" si="12"/>
        <v>8.0280975467599935E-2</v>
      </c>
      <c r="I79" s="161">
        <f t="shared" si="12"/>
        <v>8.0280975467599935E-2</v>
      </c>
      <c r="J79" s="254">
        <f t="shared" si="13"/>
        <v>8.0280975467599935E-2</v>
      </c>
      <c r="K79" s="254">
        <f t="shared" si="14"/>
        <v>8.0280975467599935E-2</v>
      </c>
      <c r="L79" s="254">
        <f t="shared" si="14"/>
        <v>8.0280975467599935E-2</v>
      </c>
      <c r="M79" s="254">
        <f t="shared" si="14"/>
        <v>8.0280975467599935E-2</v>
      </c>
      <c r="N79" s="254">
        <f t="shared" si="14"/>
        <v>8.0280975467599935E-2</v>
      </c>
      <c r="O79" s="254">
        <f t="shared" si="15"/>
        <v>8.0280975467599935E-2</v>
      </c>
      <c r="P79" s="254">
        <f t="shared" si="16"/>
        <v>8.0280975467599935E-2</v>
      </c>
    </row>
    <row r="80" spans="2:16">
      <c r="B80" s="138" t="str">
        <f t="shared" si="9"/>
        <v>Total</v>
      </c>
      <c r="C80" s="161">
        <f t="shared" si="12"/>
        <v>8.7736204760537742E-2</v>
      </c>
      <c r="D80" s="161">
        <f t="shared" si="12"/>
        <v>8.6926356256079126E-2</v>
      </c>
      <c r="E80" s="161">
        <f t="shared" si="12"/>
        <v>8.8351436207499523E-2</v>
      </c>
      <c r="F80" s="161">
        <f t="shared" si="12"/>
        <v>8.8788080337519684E-2</v>
      </c>
      <c r="G80" s="161">
        <f t="shared" si="12"/>
        <v>9.0266103361171732E-2</v>
      </c>
      <c r="H80" s="161">
        <f t="shared" si="12"/>
        <v>9.1426515148672657E-2</v>
      </c>
      <c r="I80" s="161">
        <f t="shared" si="12"/>
        <v>9.1426515148672657E-2</v>
      </c>
      <c r="J80" s="254">
        <f t="shared" si="13"/>
        <v>9.1426515148672657E-2</v>
      </c>
      <c r="K80" s="254">
        <f t="shared" si="14"/>
        <v>9.1426515148672657E-2</v>
      </c>
      <c r="L80" s="254">
        <f t="shared" si="14"/>
        <v>9.1426515148672657E-2</v>
      </c>
      <c r="M80" s="254">
        <f t="shared" si="14"/>
        <v>9.1426515148672657E-2</v>
      </c>
      <c r="N80" s="254">
        <f t="shared" si="14"/>
        <v>9.1426515148672657E-2</v>
      </c>
      <c r="O80" s="254">
        <f t="shared" si="15"/>
        <v>9.1426515148672657E-2</v>
      </c>
      <c r="P80" s="254">
        <f t="shared" si="16"/>
        <v>9.1426515148672657E-2</v>
      </c>
    </row>
  </sheetData>
  <hyperlinks>
    <hyperlink ref="A2" location="'Title_&amp;_Contents'!A1" display="Contents"/>
    <hyperlink ref="B2" location="Map_of_sheets!A1" display="Map of shee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0"/>
  <sheetViews>
    <sheetView showGridLines="0" workbookViewId="0"/>
  </sheetViews>
  <sheetFormatPr defaultRowHeight="12.75"/>
  <cols>
    <col min="2" max="2" width="15.7109375" customWidth="1"/>
    <col min="3" max="16" width="12.7109375" customWidth="1"/>
  </cols>
  <sheetData>
    <row r="1" spans="1:16" s="65" customFormat="1" ht="15">
      <c r="A1" s="64" t="str">
        <f>ModelBanner</f>
        <v>TSM_201819 Publication</v>
      </c>
    </row>
    <row r="2" spans="1:16" s="65" customFormat="1" ht="15">
      <c r="A2" s="940" t="s">
        <v>13</v>
      </c>
      <c r="B2" s="940" t="s">
        <v>30</v>
      </c>
    </row>
    <row r="3" spans="1:16" s="65" customFormat="1" ht="15">
      <c r="A3" s="66"/>
    </row>
    <row r="4" spans="1:16" s="56" customFormat="1">
      <c r="A4" s="57" t="s">
        <v>26</v>
      </c>
      <c r="B4" s="57"/>
    </row>
    <row r="5" spans="1:16" s="46" customFormat="1" ht="28.5" customHeight="1">
      <c r="A5" s="1296" t="s">
        <v>1452</v>
      </c>
      <c r="B5" s="1296"/>
      <c r="C5" s="1296"/>
      <c r="D5" s="1296"/>
      <c r="E5" s="1296"/>
      <c r="F5" s="1296"/>
      <c r="G5" s="1296"/>
      <c r="H5" s="1296"/>
      <c r="I5" s="1296"/>
      <c r="J5" s="1296"/>
      <c r="K5" s="1296"/>
      <c r="L5" s="1296"/>
      <c r="M5" s="1296"/>
      <c r="N5" s="1296"/>
      <c r="O5" s="1296"/>
      <c r="P5" s="1296"/>
    </row>
    <row r="6" spans="1:16" s="45" customFormat="1">
      <c r="A6" s="55" t="s">
        <v>1392</v>
      </c>
      <c r="B6" s="60"/>
      <c r="C6" s="44"/>
      <c r="D6" s="44"/>
      <c r="E6" s="44"/>
      <c r="F6" s="44"/>
      <c r="G6" s="44"/>
      <c r="H6" s="44"/>
      <c r="I6" s="44"/>
    </row>
    <row r="7" spans="1:16" s="45" customFormat="1">
      <c r="A7" s="53" t="s">
        <v>237</v>
      </c>
      <c r="B7" s="55"/>
      <c r="C7" s="44"/>
      <c r="D7" s="44"/>
      <c r="E7" s="44"/>
      <c r="F7" s="44"/>
      <c r="G7" s="44"/>
      <c r="H7" s="44"/>
      <c r="I7" s="44"/>
    </row>
    <row r="8" spans="1:16" s="45" customFormat="1">
      <c r="A8" s="55" t="s">
        <v>24</v>
      </c>
      <c r="B8" s="60"/>
      <c r="C8" s="44"/>
      <c r="D8" s="44"/>
      <c r="E8" s="44"/>
      <c r="F8" s="44"/>
      <c r="G8" s="44"/>
      <c r="H8" s="44"/>
      <c r="I8" s="44"/>
    </row>
    <row r="9" spans="1:16" s="45" customFormat="1">
      <c r="A9" s="53" t="s">
        <v>1450</v>
      </c>
      <c r="B9" s="60"/>
      <c r="C9" s="44"/>
      <c r="D9" s="44"/>
      <c r="E9" s="44"/>
      <c r="F9" s="44"/>
      <c r="G9" s="44"/>
      <c r="H9" s="44"/>
      <c r="I9" s="44"/>
    </row>
    <row r="10" spans="1:16" s="49" customFormat="1">
      <c r="A10" s="54">
        <f>SUM(A12:A2222)</f>
        <v>0</v>
      </c>
      <c r="B10" s="72"/>
      <c r="C10" s="47"/>
      <c r="D10" s="71"/>
      <c r="E10" s="48"/>
      <c r="F10" s="48"/>
      <c r="G10" s="48"/>
      <c r="H10" s="48"/>
      <c r="I10" s="48"/>
    </row>
    <row r="12" spans="1:16" ht="18">
      <c r="B12" s="38" t="s">
        <v>432</v>
      </c>
    </row>
    <row r="14" spans="1:16">
      <c r="B14" s="1004" t="s">
        <v>1748</v>
      </c>
    </row>
    <row r="16" spans="1:16">
      <c r="B16" s="12" t="s">
        <v>433</v>
      </c>
    </row>
    <row r="18" spans="2:8">
      <c r="B18" t="str">
        <f>RAW_DATA_INPUTS!C397</f>
        <v xml:space="preserve">Group 1 subjects comprise Biology, Chemistry, Computing, Mathematics, and Physics. Group 2 subjects comprise Classics, English, Geography, History, and Modern Foreign Languages. All other subjects fall into Group 3. </v>
      </c>
    </row>
    <row r="20" spans="2:8">
      <c r="B20" s="12" t="s">
        <v>1453</v>
      </c>
    </row>
    <row r="22" spans="2:8">
      <c r="B22" s="1294"/>
      <c r="C22" s="1231" t="str">
        <f>RAW_DATA_INPUTS!C400</f>
        <v>Assumed wastage conversion rates</v>
      </c>
      <c r="D22" s="1232"/>
      <c r="E22" s="1232"/>
      <c r="F22" s="1232"/>
      <c r="G22" s="1232"/>
      <c r="H22" s="1233"/>
    </row>
    <row r="23" spans="2:8">
      <c r="B23" s="1295"/>
      <c r="C23" s="1231" t="str">
        <f>RAW_DATA_INPUTS!C401</f>
        <v>Male</v>
      </c>
      <c r="D23" s="1232"/>
      <c r="E23" s="1233"/>
      <c r="F23" s="1231" t="str">
        <f>RAW_DATA_INPUTS!F401</f>
        <v>Female</v>
      </c>
      <c r="G23" s="1232"/>
      <c r="H23" s="1233"/>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55">
        <f>RAW_DATA_INPUTS!C403</f>
        <v>1.194</v>
      </c>
      <c r="D25" s="255">
        <f>RAW_DATA_INPUTS!D403</f>
        <v>0.90100000000000002</v>
      </c>
      <c r="E25" s="255">
        <f>RAW_DATA_INPUTS!E403</f>
        <v>0.79300000000000004</v>
      </c>
      <c r="F25" s="255">
        <f>RAW_DATA_INPUTS!F403</f>
        <v>1.141</v>
      </c>
      <c r="G25" s="255">
        <f>RAW_DATA_INPUTS!G403</f>
        <v>0.94099999999999995</v>
      </c>
      <c r="H25" s="255">
        <f>RAW_DATA_INPUTS!H403</f>
        <v>0.91600000000000004</v>
      </c>
    </row>
    <row r="26" spans="2:8">
      <c r="B26" s="8" t="str">
        <f>RAW_DATA_INPUTS!B404</f>
        <v>25-29</v>
      </c>
      <c r="C26" s="255">
        <f>RAW_DATA_INPUTS!C404</f>
        <v>1.1179999999999999</v>
      </c>
      <c r="D26" s="255">
        <f>RAW_DATA_INPUTS!D404</f>
        <v>1.0980000000000001</v>
      </c>
      <c r="E26" s="255">
        <f>RAW_DATA_INPUTS!E404</f>
        <v>0.81200000000000006</v>
      </c>
      <c r="F26" s="255">
        <f>RAW_DATA_INPUTS!F404</f>
        <v>1.101</v>
      </c>
      <c r="G26" s="255">
        <f>RAW_DATA_INPUTS!G404</f>
        <v>1.0469999999999999</v>
      </c>
      <c r="H26" s="255">
        <f>RAW_DATA_INPUTS!H404</f>
        <v>0.88400000000000001</v>
      </c>
    </row>
    <row r="27" spans="2:8">
      <c r="B27" s="8" t="str">
        <f>RAW_DATA_INPUTS!B405</f>
        <v>30-34</v>
      </c>
      <c r="C27" s="255">
        <f>RAW_DATA_INPUTS!C405</f>
        <v>1.141</v>
      </c>
      <c r="D27" s="255">
        <f>RAW_DATA_INPUTS!D405</f>
        <v>1.028</v>
      </c>
      <c r="E27" s="255">
        <f>RAW_DATA_INPUTS!E405</f>
        <v>0.86499999999999999</v>
      </c>
      <c r="F27" s="255">
        <f>RAW_DATA_INPUTS!F405</f>
        <v>1.0620000000000001</v>
      </c>
      <c r="G27" s="255">
        <f>RAW_DATA_INPUTS!G405</f>
        <v>1.0589999999999999</v>
      </c>
      <c r="H27" s="255">
        <f>RAW_DATA_INPUTS!H405</f>
        <v>0.91200000000000003</v>
      </c>
    </row>
    <row r="28" spans="2:8">
      <c r="B28" s="8" t="str">
        <f>RAW_DATA_INPUTS!B406</f>
        <v>35-39</v>
      </c>
      <c r="C28" s="255">
        <f>RAW_DATA_INPUTS!C406</f>
        <v>1.1539999999999999</v>
      </c>
      <c r="D28" s="255">
        <f>RAW_DATA_INPUTS!D406</f>
        <v>0.93600000000000005</v>
      </c>
      <c r="E28" s="255">
        <f>RAW_DATA_INPUTS!E406</f>
        <v>0.90300000000000002</v>
      </c>
      <c r="F28" s="255">
        <f>RAW_DATA_INPUTS!F406</f>
        <v>1.0449999999999999</v>
      </c>
      <c r="G28" s="255">
        <f>RAW_DATA_INPUTS!G406</f>
        <v>1.028</v>
      </c>
      <c r="H28" s="255">
        <f>RAW_DATA_INPUTS!H406</f>
        <v>0.94399999999999995</v>
      </c>
    </row>
    <row r="29" spans="2:8">
      <c r="B29" s="8" t="str">
        <f>RAW_DATA_INPUTS!B407</f>
        <v>40-44</v>
      </c>
      <c r="C29" s="255">
        <f>RAW_DATA_INPUTS!C407</f>
        <v>1.0289999999999999</v>
      </c>
      <c r="D29" s="255">
        <f>RAW_DATA_INPUTS!D407</f>
        <v>0.94699999999999995</v>
      </c>
      <c r="E29" s="255">
        <f>RAW_DATA_INPUTS!E407</f>
        <v>1.0029999999999999</v>
      </c>
      <c r="F29" s="255">
        <f>RAW_DATA_INPUTS!F407</f>
        <v>1.0489999999999999</v>
      </c>
      <c r="G29" s="255">
        <f>RAW_DATA_INPUTS!G407</f>
        <v>0.996</v>
      </c>
      <c r="H29" s="255">
        <f>RAW_DATA_INPUTS!H407</f>
        <v>0.96599999999999997</v>
      </c>
    </row>
    <row r="30" spans="2:8">
      <c r="B30" s="8" t="str">
        <f>RAW_DATA_INPUTS!B408</f>
        <v>45-49</v>
      </c>
      <c r="C30" s="255">
        <f>RAW_DATA_INPUTS!C408</f>
        <v>1.091</v>
      </c>
      <c r="D30" s="255">
        <f>RAW_DATA_INPUTS!D408</f>
        <v>0.96199999999999997</v>
      </c>
      <c r="E30" s="255">
        <f>RAW_DATA_INPUTS!E408</f>
        <v>0.91700000000000004</v>
      </c>
      <c r="F30" s="255">
        <f>RAW_DATA_INPUTS!F408</f>
        <v>1.052</v>
      </c>
      <c r="G30" s="255">
        <f>RAW_DATA_INPUTS!G408</f>
        <v>0.96799999999999997</v>
      </c>
      <c r="H30" s="255">
        <f>RAW_DATA_INPUTS!H408</f>
        <v>0.99</v>
      </c>
    </row>
    <row r="31" spans="2:8">
      <c r="B31" s="8" t="str">
        <f>RAW_DATA_INPUTS!B409</f>
        <v>50-54</v>
      </c>
      <c r="C31" s="255">
        <f>RAW_DATA_INPUTS!C409</f>
        <v>1.163</v>
      </c>
      <c r="D31" s="255">
        <f>RAW_DATA_INPUTS!D409</f>
        <v>0.753</v>
      </c>
      <c r="E31" s="255">
        <f>RAW_DATA_INPUTS!E409</f>
        <v>0.96199999999999997</v>
      </c>
      <c r="F31" s="255">
        <f>RAW_DATA_INPUTS!F409</f>
        <v>1.073</v>
      </c>
      <c r="G31" s="255">
        <f>RAW_DATA_INPUTS!G409</f>
        <v>0.95399999999999996</v>
      </c>
      <c r="H31" s="255">
        <f>RAW_DATA_INPUTS!H409</f>
        <v>0.98599999999999999</v>
      </c>
    </row>
    <row r="32" spans="2:8">
      <c r="B32" s="8" t="str">
        <f>RAW_DATA_INPUTS!B410</f>
        <v>55-59</v>
      </c>
      <c r="C32" s="255">
        <f>RAW_DATA_INPUTS!C410</f>
        <v>1.204</v>
      </c>
      <c r="D32" s="255">
        <f>RAW_DATA_INPUTS!D410</f>
        <v>0.93799999999999994</v>
      </c>
      <c r="E32" s="255">
        <f>RAW_DATA_INPUTS!E410</f>
        <v>0.83299999999999996</v>
      </c>
      <c r="F32" s="255">
        <f>RAW_DATA_INPUTS!F410</f>
        <v>1.1200000000000001</v>
      </c>
      <c r="G32" s="255">
        <f>RAW_DATA_INPUTS!G410</f>
        <v>0.90400000000000003</v>
      </c>
      <c r="H32" s="255">
        <f>RAW_DATA_INPUTS!H410</f>
        <v>1.0189999999999999</v>
      </c>
    </row>
    <row r="33" spans="2:18">
      <c r="B33" s="8" t="str">
        <f>RAW_DATA_INPUTS!B411</f>
        <v>60-64</v>
      </c>
      <c r="C33" s="255">
        <f>RAW_DATA_INPUTS!C411</f>
        <v>1.294</v>
      </c>
      <c r="D33" s="255">
        <f>RAW_DATA_INPUTS!D411</f>
        <v>0.64300000000000002</v>
      </c>
      <c r="E33" s="255">
        <f>RAW_DATA_INPUTS!E411</f>
        <v>0.89300000000000002</v>
      </c>
      <c r="F33" s="255">
        <f>RAW_DATA_INPUTS!F411</f>
        <v>1.0740000000000001</v>
      </c>
      <c r="G33" s="255">
        <f>RAW_DATA_INPUTS!G411</f>
        <v>1.012</v>
      </c>
      <c r="H33" s="255">
        <f>RAW_DATA_INPUTS!H411</f>
        <v>0.94</v>
      </c>
    </row>
    <row r="34" spans="2:18">
      <c r="B34" s="8" t="str">
        <f>RAW_DATA_INPUTS!B412</f>
        <v>65 plus</v>
      </c>
      <c r="C34" s="255">
        <f>RAW_DATA_INPUTS!C412</f>
        <v>1.079</v>
      </c>
      <c r="D34" s="255">
        <f>RAW_DATA_INPUTS!D412</f>
        <v>1.117</v>
      </c>
      <c r="E34" s="255">
        <f>RAW_DATA_INPUTS!E412</f>
        <v>0.82799999999999996</v>
      </c>
      <c r="F34" s="255">
        <f>RAW_DATA_INPUTS!F412</f>
        <v>0.85499999999999998</v>
      </c>
      <c r="G34" s="255">
        <f>RAW_DATA_INPUTS!G412</f>
        <v>1.1200000000000001</v>
      </c>
      <c r="H34" s="255">
        <f>RAW_DATA_INPUTS!H412</f>
        <v>0.98499999999999999</v>
      </c>
    </row>
    <row r="35" spans="2:18">
      <c r="B35" s="8" t="str">
        <f>RAW_DATA_INPUTS!B413</f>
        <v>Total</v>
      </c>
      <c r="C35" s="255">
        <f>RAW_DATA_INPUTS!C413</f>
        <v>1.1360000000000001</v>
      </c>
      <c r="D35" s="255">
        <f>RAW_DATA_INPUTS!D413</f>
        <v>0.96899999999999997</v>
      </c>
      <c r="E35" s="255">
        <f>RAW_DATA_INPUTS!E413</f>
        <v>0.88</v>
      </c>
      <c r="F35" s="255">
        <f>RAW_DATA_INPUTS!F413</f>
        <v>1.0840000000000001</v>
      </c>
      <c r="G35" s="255">
        <f>RAW_DATA_INPUTS!G413</f>
        <v>1.0069999999999999</v>
      </c>
      <c r="H35" s="255">
        <f>RAW_DATA_INPUTS!H413</f>
        <v>0.93300000000000005</v>
      </c>
    </row>
    <row r="37" spans="2:18" ht="18">
      <c r="B37" s="38" t="s">
        <v>1454</v>
      </c>
    </row>
    <row r="39" spans="2:18">
      <c r="B39" s="5" t="str">
        <f>Projected_SEC_wastage_rates!B52</f>
        <v>Male projected wastage rates</v>
      </c>
      <c r="C39" s="12"/>
      <c r="E39" s="12"/>
      <c r="F39" s="256"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2015/16</v>
      </c>
      <c r="D41" s="8" t="str">
        <f>Projected_SEC_wastage_rates!D54</f>
        <v>2016/17</v>
      </c>
      <c r="E41" s="8" t="str">
        <f>Projected_SEC_wastage_rates!E54</f>
        <v>2017/18</v>
      </c>
      <c r="F41" s="8" t="str">
        <f>Projected_SEC_wastage_rates!F54</f>
        <v>2018/19</v>
      </c>
      <c r="G41" s="8" t="str">
        <f>Projected_SEC_wastage_rates!G54</f>
        <v>2019/20</v>
      </c>
      <c r="H41" s="8" t="str">
        <f>Projected_SEC_wastage_rates!H54</f>
        <v>2020/21</v>
      </c>
      <c r="I41" s="8" t="str">
        <f>Projected_SEC_wastage_rates!I54</f>
        <v>2021/22</v>
      </c>
      <c r="J41" s="8" t="str">
        <f>Projected_SEC_wastage_rates!J54</f>
        <v>2022/23</v>
      </c>
      <c r="K41" s="8" t="str">
        <f>Projected_SEC_wastage_rates!K54</f>
        <v>2023/24</v>
      </c>
      <c r="L41" s="8" t="str">
        <f>Projected_SEC_wastage_rates!L54</f>
        <v>2024/25</v>
      </c>
      <c r="M41" s="8" t="str">
        <f>Projected_SEC_wastage_rates!M54</f>
        <v>2025/26</v>
      </c>
      <c r="N41" s="8" t="str">
        <f>Projected_SEC_wastage_rates!N54</f>
        <v>2026/27</v>
      </c>
      <c r="O41" s="8" t="str">
        <f>Projected_SEC_wastage_rates!O54</f>
        <v>2027/28</v>
      </c>
      <c r="P41" s="8" t="str">
        <f>Projected_SEC_wastage_rates!P54</f>
        <v>2028/29</v>
      </c>
      <c r="Q41" s="12"/>
      <c r="R41" s="12"/>
    </row>
    <row r="42" spans="2:18">
      <c r="B42" s="8" t="str">
        <f>Projected_SEC_wastage_rates!B55</f>
        <v>20-24</v>
      </c>
      <c r="C42" s="908">
        <f>Projected_SEC_wastage_rates!C55</f>
        <v>0.14766015536156041</v>
      </c>
      <c r="D42" s="908">
        <f>Projected_SEC_wastage_rates!D55</f>
        <v>0.15503605282695923</v>
      </c>
      <c r="E42" s="908">
        <f>Projected_SEC_wastage_rates!E55</f>
        <v>0.15439082464915035</v>
      </c>
      <c r="F42" s="908">
        <f>Projected_SEC_wastage_rates!F55</f>
        <v>0.14883977715389068</v>
      </c>
      <c r="G42" s="908">
        <f>Projected_SEC_wastage_rates!G55</f>
        <v>0.15442530322450462</v>
      </c>
      <c r="H42" s="908">
        <f>Projected_SEC_wastage_rates!H55</f>
        <v>0.15152557005847894</v>
      </c>
      <c r="I42" s="908">
        <f>Projected_SEC_wastage_rates!I55</f>
        <v>0.15152557005847894</v>
      </c>
      <c r="J42" s="908">
        <f>Projected_SEC_wastage_rates!J55</f>
        <v>0.15152557005847894</v>
      </c>
      <c r="K42" s="908">
        <f>Projected_SEC_wastage_rates!K55</f>
        <v>0.15152557005847894</v>
      </c>
      <c r="L42" s="908">
        <f>Projected_SEC_wastage_rates!L55</f>
        <v>0.15152557005847894</v>
      </c>
      <c r="M42" s="908">
        <f>Projected_SEC_wastage_rates!M55</f>
        <v>0.15152557005847894</v>
      </c>
      <c r="N42" s="908">
        <f>Projected_SEC_wastage_rates!N55</f>
        <v>0.15152557005847894</v>
      </c>
      <c r="O42" s="908">
        <f>Projected_SEC_wastage_rates!O55</f>
        <v>0.15152557005847894</v>
      </c>
      <c r="P42" s="908">
        <f>Projected_SEC_wastage_rates!P55</f>
        <v>0.15152557005847894</v>
      </c>
      <c r="Q42" s="12"/>
      <c r="R42" s="12"/>
    </row>
    <row r="43" spans="2:18">
      <c r="B43" s="8" t="str">
        <f>Projected_SEC_wastage_rates!B56</f>
        <v>25-29</v>
      </c>
      <c r="C43" s="908">
        <f>Projected_SEC_wastage_rates!C56</f>
        <v>0.11329070792352844</v>
      </c>
      <c r="D43" s="908">
        <f>Projected_SEC_wastage_rates!D56</f>
        <v>0.11894978801443239</v>
      </c>
      <c r="E43" s="908">
        <f>Projected_SEC_wastage_rates!E56</f>
        <v>0.11845474345175272</v>
      </c>
      <c r="F43" s="908">
        <f>Projected_SEC_wastage_rates!F56</f>
        <v>0.11419576039085037</v>
      </c>
      <c r="G43" s="908">
        <f>Projected_SEC_wastage_rates!G56</f>
        <v>0.1184811967776382</v>
      </c>
      <c r="H43" s="908">
        <f>Projected_SEC_wastage_rates!H56</f>
        <v>0.11625640687162742</v>
      </c>
      <c r="I43" s="908">
        <f>Projected_SEC_wastage_rates!I56</f>
        <v>0.11625640687162742</v>
      </c>
      <c r="J43" s="908">
        <f>Projected_SEC_wastage_rates!J56</f>
        <v>0.11625640687162742</v>
      </c>
      <c r="K43" s="908">
        <f>Projected_SEC_wastage_rates!K56</f>
        <v>0.11625640687162742</v>
      </c>
      <c r="L43" s="908">
        <f>Projected_SEC_wastage_rates!L56</f>
        <v>0.11625640687162742</v>
      </c>
      <c r="M43" s="908">
        <f>Projected_SEC_wastage_rates!M56</f>
        <v>0.11625640687162742</v>
      </c>
      <c r="N43" s="908">
        <f>Projected_SEC_wastage_rates!N56</f>
        <v>0.11625640687162742</v>
      </c>
      <c r="O43" s="908">
        <f>Projected_SEC_wastage_rates!O56</f>
        <v>0.11625640687162742</v>
      </c>
      <c r="P43" s="908">
        <f>Projected_SEC_wastage_rates!P56</f>
        <v>0.11625640687162742</v>
      </c>
      <c r="Q43" s="12"/>
      <c r="R43" s="12"/>
    </row>
    <row r="44" spans="2:18">
      <c r="B44" s="8" t="str">
        <f>Projected_SEC_wastage_rates!B57</f>
        <v>30-34</v>
      </c>
      <c r="C44" s="908">
        <f>Projected_SEC_wastage_rates!C57</f>
        <v>7.8531056665268828E-2</v>
      </c>
      <c r="D44" s="908">
        <f>Projected_SEC_wastage_rates!D57</f>
        <v>8.2453827980212446E-2</v>
      </c>
      <c r="E44" s="908">
        <f>Projected_SEC_wastage_rates!E57</f>
        <v>8.2110672099944909E-2</v>
      </c>
      <c r="F44" s="908">
        <f>Projected_SEC_wastage_rates!F57</f>
        <v>7.9158422562251973E-2</v>
      </c>
      <c r="G44" s="908">
        <f>Projected_SEC_wastage_rates!G57</f>
        <v>8.2129009063956995E-2</v>
      </c>
      <c r="H44" s="908">
        <f>Projected_SEC_wastage_rates!H57</f>
        <v>8.0586825195751458E-2</v>
      </c>
      <c r="I44" s="908">
        <f>Projected_SEC_wastage_rates!I57</f>
        <v>8.0586825195751458E-2</v>
      </c>
      <c r="J44" s="908">
        <f>Projected_SEC_wastage_rates!J57</f>
        <v>8.0586825195751458E-2</v>
      </c>
      <c r="K44" s="908">
        <f>Projected_SEC_wastage_rates!K57</f>
        <v>8.0586825195751458E-2</v>
      </c>
      <c r="L44" s="908">
        <f>Projected_SEC_wastage_rates!L57</f>
        <v>8.0586825195751458E-2</v>
      </c>
      <c r="M44" s="908">
        <f>Projected_SEC_wastage_rates!M57</f>
        <v>8.0586825195751458E-2</v>
      </c>
      <c r="N44" s="908">
        <f>Projected_SEC_wastage_rates!N57</f>
        <v>8.0586825195751458E-2</v>
      </c>
      <c r="O44" s="908">
        <f>Projected_SEC_wastage_rates!O57</f>
        <v>8.0586825195751458E-2</v>
      </c>
      <c r="P44" s="908">
        <f>Projected_SEC_wastage_rates!P57</f>
        <v>8.0586825195751458E-2</v>
      </c>
      <c r="Q44" s="12"/>
      <c r="R44" s="12"/>
    </row>
    <row r="45" spans="2:18">
      <c r="B45" s="8" t="str">
        <f>Projected_SEC_wastage_rates!B58</f>
        <v>35-39</v>
      </c>
      <c r="C45" s="908">
        <f>Projected_SEC_wastage_rates!C58</f>
        <v>7.5061107169139898E-2</v>
      </c>
      <c r="D45" s="908">
        <f>Projected_SEC_wastage_rates!D58</f>
        <v>7.8810548098300764E-2</v>
      </c>
      <c r="E45" s="908">
        <f>Projected_SEC_wastage_rates!E58</f>
        <v>7.8482554799875259E-2</v>
      </c>
      <c r="F45" s="908">
        <f>Projected_SEC_wastage_rates!F58</f>
        <v>7.5660752466521236E-2</v>
      </c>
      <c r="G45" s="908">
        <f>Projected_SEC_wastage_rates!G58</f>
        <v>7.8500081532346652E-2</v>
      </c>
      <c r="H45" s="908">
        <f>Projected_SEC_wastage_rates!H58</f>
        <v>7.7026040133676796E-2</v>
      </c>
      <c r="I45" s="908">
        <f>Projected_SEC_wastage_rates!I58</f>
        <v>7.7026040133676796E-2</v>
      </c>
      <c r="J45" s="908">
        <f>Projected_SEC_wastage_rates!J58</f>
        <v>7.7026040133676796E-2</v>
      </c>
      <c r="K45" s="908">
        <f>Projected_SEC_wastage_rates!K58</f>
        <v>7.7026040133676796E-2</v>
      </c>
      <c r="L45" s="908">
        <f>Projected_SEC_wastage_rates!L58</f>
        <v>7.7026040133676796E-2</v>
      </c>
      <c r="M45" s="908">
        <f>Projected_SEC_wastage_rates!M58</f>
        <v>7.7026040133676796E-2</v>
      </c>
      <c r="N45" s="908">
        <f>Projected_SEC_wastage_rates!N58</f>
        <v>7.7026040133676796E-2</v>
      </c>
      <c r="O45" s="908">
        <f>Projected_SEC_wastage_rates!O58</f>
        <v>7.7026040133676796E-2</v>
      </c>
      <c r="P45" s="908">
        <f>Projected_SEC_wastage_rates!P58</f>
        <v>7.7026040133676796E-2</v>
      </c>
      <c r="Q45" s="12"/>
      <c r="R45" s="12"/>
    </row>
    <row r="46" spans="2:18">
      <c r="B46" s="8" t="str">
        <f>Projected_SEC_wastage_rates!B59</f>
        <v>40-44</v>
      </c>
      <c r="C46" s="908">
        <f>Projected_SEC_wastage_rates!C59</f>
        <v>7.4700185914064701E-2</v>
      </c>
      <c r="D46" s="908">
        <f>Projected_SEC_wastage_rates!D59</f>
        <v>7.8431598159969765E-2</v>
      </c>
      <c r="E46" s="908">
        <f>Projected_SEC_wastage_rates!E59</f>
        <v>7.8105181973278787E-2</v>
      </c>
      <c r="F46" s="908">
        <f>Projected_SEC_wastage_rates!F59</f>
        <v>7.5296947897550287E-2</v>
      </c>
      <c r="G46" s="908">
        <f>Projected_SEC_wastage_rates!G59</f>
        <v>7.8122624430810472E-2</v>
      </c>
      <c r="H46" s="908">
        <f>Projected_SEC_wastage_rates!H59</f>
        <v>7.6655670762280845E-2</v>
      </c>
      <c r="I46" s="908">
        <f>Projected_SEC_wastage_rates!I59</f>
        <v>7.6655670762280845E-2</v>
      </c>
      <c r="J46" s="908">
        <f>Projected_SEC_wastage_rates!J59</f>
        <v>7.6655670762280845E-2</v>
      </c>
      <c r="K46" s="908">
        <f>Projected_SEC_wastage_rates!K59</f>
        <v>7.6655670762280845E-2</v>
      </c>
      <c r="L46" s="908">
        <f>Projected_SEC_wastage_rates!L59</f>
        <v>7.6655670762280845E-2</v>
      </c>
      <c r="M46" s="908">
        <f>Projected_SEC_wastage_rates!M59</f>
        <v>7.6655670762280845E-2</v>
      </c>
      <c r="N46" s="908">
        <f>Projected_SEC_wastage_rates!N59</f>
        <v>7.6655670762280845E-2</v>
      </c>
      <c r="O46" s="908">
        <f>Projected_SEC_wastage_rates!O59</f>
        <v>7.6655670762280845E-2</v>
      </c>
      <c r="P46" s="908">
        <f>Projected_SEC_wastage_rates!P59</f>
        <v>7.6655670762280845E-2</v>
      </c>
      <c r="Q46" s="12"/>
      <c r="R46" s="12"/>
    </row>
    <row r="47" spans="2:18">
      <c r="B47" s="8" t="str">
        <f>Projected_SEC_wastage_rates!B60</f>
        <v>45-49</v>
      </c>
      <c r="C47" s="908">
        <f>Projected_SEC_wastage_rates!C60</f>
        <v>8.8230864613054391E-2</v>
      </c>
      <c r="D47" s="908">
        <f>Projected_SEC_wastage_rates!D60</f>
        <v>9.2638159249009977E-2</v>
      </c>
      <c r="E47" s="908">
        <f>Projected_SEC_wastage_rates!E60</f>
        <v>9.2252618275811174E-2</v>
      </c>
      <c r="F47" s="908">
        <f>Projected_SEC_wastage_rates!F60</f>
        <v>8.8935719964173682E-2</v>
      </c>
      <c r="G47" s="908">
        <f>Projected_SEC_wastage_rates!G60</f>
        <v>9.2273220140320147E-2</v>
      </c>
      <c r="H47" s="908">
        <f>Projected_SEC_wastage_rates!H60</f>
        <v>9.0540552558065951E-2</v>
      </c>
      <c r="I47" s="908">
        <f>Projected_SEC_wastage_rates!I60</f>
        <v>9.0540552558065951E-2</v>
      </c>
      <c r="J47" s="908">
        <f>Projected_SEC_wastage_rates!J60</f>
        <v>9.0540552558065951E-2</v>
      </c>
      <c r="K47" s="908">
        <f>Projected_SEC_wastage_rates!K60</f>
        <v>9.0540552558065951E-2</v>
      </c>
      <c r="L47" s="908">
        <f>Projected_SEC_wastage_rates!L60</f>
        <v>9.0540552558065951E-2</v>
      </c>
      <c r="M47" s="908">
        <f>Projected_SEC_wastage_rates!M60</f>
        <v>9.0540552558065951E-2</v>
      </c>
      <c r="N47" s="908">
        <f>Projected_SEC_wastage_rates!N60</f>
        <v>9.0540552558065951E-2</v>
      </c>
      <c r="O47" s="908">
        <f>Projected_SEC_wastage_rates!O60</f>
        <v>9.0540552558065951E-2</v>
      </c>
      <c r="P47" s="908">
        <f>Projected_SEC_wastage_rates!P60</f>
        <v>9.0540552558065951E-2</v>
      </c>
      <c r="Q47" s="12"/>
      <c r="R47" s="12"/>
    </row>
    <row r="48" spans="2:18">
      <c r="B48" s="8" t="str">
        <f>Projected_SEC_wastage_rates!B61</f>
        <v>50-54</v>
      </c>
      <c r="C48" s="908">
        <f>Projected_SEC_wastage_rates!C61</f>
        <v>8.4703063996146771E-2</v>
      </c>
      <c r="D48" s="908">
        <f>Projected_SEC_wastage_rates!D61</f>
        <v>8.8934138475994795E-2</v>
      </c>
      <c r="E48" s="908">
        <f>Projected_SEC_wastage_rates!E61</f>
        <v>8.8564012875738993E-2</v>
      </c>
      <c r="F48" s="908">
        <f>Projected_SEC_wastage_rates!F61</f>
        <v>8.537973658884683E-2</v>
      </c>
      <c r="G48" s="908">
        <f>Projected_SEC_wastage_rates!G61</f>
        <v>8.858379100049836E-2</v>
      </c>
      <c r="H48" s="908">
        <f>Projected_SEC_wastage_rates!H61</f>
        <v>8.6920401961443058E-2</v>
      </c>
      <c r="I48" s="908">
        <f>Projected_SEC_wastage_rates!I61</f>
        <v>8.6920401961443058E-2</v>
      </c>
      <c r="J48" s="908">
        <f>Projected_SEC_wastage_rates!J61</f>
        <v>8.6920401961443058E-2</v>
      </c>
      <c r="K48" s="908">
        <f>Projected_SEC_wastage_rates!K61</f>
        <v>8.6920401961443058E-2</v>
      </c>
      <c r="L48" s="908">
        <f>Projected_SEC_wastage_rates!L61</f>
        <v>8.6920401961443058E-2</v>
      </c>
      <c r="M48" s="908">
        <f>Projected_SEC_wastage_rates!M61</f>
        <v>8.6920401961443058E-2</v>
      </c>
      <c r="N48" s="908">
        <f>Projected_SEC_wastage_rates!N61</f>
        <v>8.6920401961443058E-2</v>
      </c>
      <c r="O48" s="908">
        <f>Projected_SEC_wastage_rates!O61</f>
        <v>8.6920401961443058E-2</v>
      </c>
      <c r="P48" s="908">
        <f>Projected_SEC_wastage_rates!P61</f>
        <v>8.6920401961443058E-2</v>
      </c>
      <c r="Q48" s="12"/>
      <c r="R48" s="12"/>
    </row>
    <row r="49" spans="2:18">
      <c r="B49" s="8" t="str">
        <f>Projected_SEC_wastage_rates!B62</f>
        <v>55-59</v>
      </c>
      <c r="C49" s="908">
        <f>Projected_SEC_wastage_rates!C62</f>
        <v>5.8260339213633106E-2</v>
      </c>
      <c r="D49" s="908">
        <f>Projected_SEC_wastage_rates!D62</f>
        <v>6.117055075503975E-2</v>
      </c>
      <c r="E49" s="908">
        <f>Projected_SEC_wastage_rates!E62</f>
        <v>6.0915971498927676E-2</v>
      </c>
      <c r="F49" s="908">
        <f>Projected_SEC_wastage_rates!F62</f>
        <v>5.8725767179604538E-2</v>
      </c>
      <c r="G49" s="908">
        <f>Projected_SEC_wastage_rates!G62</f>
        <v>6.0929575260151032E-2</v>
      </c>
      <c r="H49" s="908">
        <f>Projected_SEC_wastage_rates!H62</f>
        <v>5.9785465412318266E-2</v>
      </c>
      <c r="I49" s="908">
        <f>Projected_SEC_wastage_rates!I62</f>
        <v>5.9785465412318266E-2</v>
      </c>
      <c r="J49" s="908">
        <f>Projected_SEC_wastage_rates!J62</f>
        <v>5.9785465412318266E-2</v>
      </c>
      <c r="K49" s="908">
        <f>Projected_SEC_wastage_rates!K62</f>
        <v>5.9785465412318266E-2</v>
      </c>
      <c r="L49" s="908">
        <f>Projected_SEC_wastage_rates!L62</f>
        <v>5.9785465412318266E-2</v>
      </c>
      <c r="M49" s="908">
        <f>Projected_SEC_wastage_rates!M62</f>
        <v>5.9785465412318266E-2</v>
      </c>
      <c r="N49" s="908">
        <f>Projected_SEC_wastage_rates!N62</f>
        <v>5.9785465412318266E-2</v>
      </c>
      <c r="O49" s="908">
        <f>Projected_SEC_wastage_rates!O62</f>
        <v>5.9785465412318266E-2</v>
      </c>
      <c r="P49" s="908">
        <f>Projected_SEC_wastage_rates!P62</f>
        <v>5.9785465412318266E-2</v>
      </c>
      <c r="Q49" s="12"/>
      <c r="R49" s="12"/>
    </row>
    <row r="50" spans="2:18">
      <c r="B50" s="8" t="str">
        <f>Projected_SEC_wastage_rates!B63</f>
        <v>60-64</v>
      </c>
      <c r="C50" s="908">
        <f>Projected_SEC_wastage_rates!C63</f>
        <v>5.7845320088767388E-2</v>
      </c>
      <c r="D50" s="908">
        <f>Projected_SEC_wastage_rates!D63</f>
        <v>6.0734800658411928E-2</v>
      </c>
      <c r="E50" s="908">
        <f>Projected_SEC_wastage_rates!E63</f>
        <v>6.0482034904615602E-2</v>
      </c>
      <c r="F50" s="908">
        <f>Projected_SEC_wastage_rates!F63</f>
        <v>5.8307432565853363E-2</v>
      </c>
      <c r="G50" s="908">
        <f>Projected_SEC_wastage_rates!G63</f>
        <v>6.0495541759072645E-2</v>
      </c>
      <c r="H50" s="908">
        <f>Projected_SEC_wastage_rates!H63</f>
        <v>5.9359582009131627E-2</v>
      </c>
      <c r="I50" s="908">
        <f>Projected_SEC_wastage_rates!I63</f>
        <v>5.9359582009131627E-2</v>
      </c>
      <c r="J50" s="908">
        <f>Projected_SEC_wastage_rates!J63</f>
        <v>5.9359582009131627E-2</v>
      </c>
      <c r="K50" s="908">
        <f>Projected_SEC_wastage_rates!K63</f>
        <v>5.9359582009131627E-2</v>
      </c>
      <c r="L50" s="908">
        <f>Projected_SEC_wastage_rates!L63</f>
        <v>5.9359582009131627E-2</v>
      </c>
      <c r="M50" s="908">
        <f>Projected_SEC_wastage_rates!M63</f>
        <v>5.9359582009131627E-2</v>
      </c>
      <c r="N50" s="908">
        <f>Projected_SEC_wastage_rates!N63</f>
        <v>5.9359582009131627E-2</v>
      </c>
      <c r="O50" s="908">
        <f>Projected_SEC_wastage_rates!O63</f>
        <v>5.9359582009131627E-2</v>
      </c>
      <c r="P50" s="908">
        <f>Projected_SEC_wastage_rates!P63</f>
        <v>5.9359582009131627E-2</v>
      </c>
      <c r="Q50" s="12"/>
      <c r="R50" s="12"/>
    </row>
    <row r="51" spans="2:18">
      <c r="B51" s="8" t="str">
        <f>Projected_SEC_wastage_rates!B64</f>
        <v>65 plus</v>
      </c>
      <c r="C51" s="908">
        <f>Projected_SEC_wastage_rates!C64</f>
        <v>0.10683182004288448</v>
      </c>
      <c r="D51" s="908">
        <f>Projected_SEC_wastage_rates!D64</f>
        <v>0.11216826675559995</v>
      </c>
      <c r="E51" s="908">
        <f>Projected_SEC_wastage_rates!E64</f>
        <v>0.11170144549017806</v>
      </c>
      <c r="F51" s="908">
        <f>Projected_SEC_wastage_rates!F64</f>
        <v>0.10768527399414383</v>
      </c>
      <c r="G51" s="908">
        <f>Projected_SEC_wastage_rates!G64</f>
        <v>0.11172639066884568</v>
      </c>
      <c r="H51" s="908">
        <f>Projected_SEC_wastage_rates!H64</f>
        <v>0.1096284396609607</v>
      </c>
      <c r="I51" s="908">
        <f>Projected_SEC_wastage_rates!I64</f>
        <v>0.1096284396609607</v>
      </c>
      <c r="J51" s="908">
        <f>Projected_SEC_wastage_rates!J64</f>
        <v>0.1096284396609607</v>
      </c>
      <c r="K51" s="908">
        <f>Projected_SEC_wastage_rates!K64</f>
        <v>0.1096284396609607</v>
      </c>
      <c r="L51" s="908">
        <f>Projected_SEC_wastage_rates!L64</f>
        <v>0.1096284396609607</v>
      </c>
      <c r="M51" s="908">
        <f>Projected_SEC_wastage_rates!M64</f>
        <v>0.1096284396609607</v>
      </c>
      <c r="N51" s="908">
        <f>Projected_SEC_wastage_rates!N64</f>
        <v>0.1096284396609607</v>
      </c>
      <c r="O51" s="908">
        <f>Projected_SEC_wastage_rates!O64</f>
        <v>0.1096284396609607</v>
      </c>
      <c r="P51" s="908">
        <f>Projected_SEC_wastage_rates!P64</f>
        <v>0.1096284396609607</v>
      </c>
      <c r="Q51" s="12"/>
      <c r="R51" s="12"/>
    </row>
    <row r="52" spans="2:18">
      <c r="B52" s="8" t="str">
        <f>Projected_SEC_wastage_rates!B65</f>
        <v>Total</v>
      </c>
      <c r="C52" s="908">
        <f>Projected_SEC_wastage_rates!C65</f>
        <v>8.4577021721594536E-2</v>
      </c>
      <c r="D52" s="908">
        <f>Projected_SEC_wastage_rates!D65</f>
        <v>8.8801800157048416E-2</v>
      </c>
      <c r="E52" s="908">
        <f>Projected_SEC_wastage_rates!E65</f>
        <v>8.8432225321668459E-2</v>
      </c>
      <c r="F52" s="908">
        <f>Projected_SEC_wastage_rates!F65</f>
        <v>8.5252687392600307E-2</v>
      </c>
      <c r="G52" s="908">
        <f>Projected_SEC_wastage_rates!G65</f>
        <v>8.845197401561726E-2</v>
      </c>
      <c r="H52" s="908">
        <f>Projected_SEC_wastage_rates!H65</f>
        <v>8.6791060180268387E-2</v>
      </c>
      <c r="I52" s="908">
        <f>Projected_SEC_wastage_rates!I65</f>
        <v>8.6791060180268387E-2</v>
      </c>
      <c r="J52" s="908">
        <f>Projected_SEC_wastage_rates!J65</f>
        <v>8.6791060180268387E-2</v>
      </c>
      <c r="K52" s="908">
        <f>Projected_SEC_wastage_rates!K65</f>
        <v>8.6791060180268387E-2</v>
      </c>
      <c r="L52" s="908">
        <f>Projected_SEC_wastage_rates!L65</f>
        <v>8.6791060180268387E-2</v>
      </c>
      <c r="M52" s="908">
        <f>Projected_SEC_wastage_rates!M65</f>
        <v>8.6791060180268387E-2</v>
      </c>
      <c r="N52" s="908">
        <f>Projected_SEC_wastage_rates!N65</f>
        <v>8.6791060180268387E-2</v>
      </c>
      <c r="O52" s="908">
        <f>Projected_SEC_wastage_rates!O65</f>
        <v>8.6791060180268387E-2</v>
      </c>
      <c r="P52" s="908">
        <f>Projected_SEC_wastage_rates!P65</f>
        <v>8.6791060180268387E-2</v>
      </c>
      <c r="Q52" s="12"/>
      <c r="R52" s="12"/>
    </row>
    <row r="53" spans="2:18">
      <c r="B53" s="12"/>
      <c r="C53" s="12"/>
      <c r="D53" s="12"/>
      <c r="E53" s="12"/>
      <c r="F53" s="12"/>
      <c r="G53" s="12"/>
      <c r="H53" s="12"/>
      <c r="I53" s="12"/>
      <c r="J53" s="12"/>
      <c r="K53" s="12"/>
      <c r="L53" s="12"/>
      <c r="M53" s="12"/>
      <c r="N53" s="12"/>
      <c r="O53" s="12"/>
      <c r="P53" s="12"/>
      <c r="Q53" s="12"/>
      <c r="R53" s="12"/>
    </row>
    <row r="54" spans="2:18">
      <c r="B54" s="5" t="str">
        <f>Projected_SEC_wastage_rates!B67</f>
        <v>Female projected wastage rates</v>
      </c>
      <c r="C54" s="12"/>
      <c r="D54" s="12"/>
      <c r="E54" s="12"/>
      <c r="F54" s="12"/>
      <c r="G54" s="12"/>
      <c r="H54" s="12"/>
      <c r="I54" s="12"/>
      <c r="J54" s="12"/>
      <c r="K54" s="12"/>
      <c r="L54" s="12"/>
      <c r="M54" s="12"/>
      <c r="N54" s="12"/>
      <c r="O54" s="12"/>
      <c r="P54" s="12"/>
      <c r="Q54" s="12"/>
      <c r="R54" s="12"/>
    </row>
    <row r="55" spans="2:18">
      <c r="B55" s="12"/>
      <c r="C55" s="12"/>
      <c r="D55" s="12"/>
      <c r="E55" s="12"/>
      <c r="F55" s="12"/>
      <c r="G55" s="12"/>
      <c r="H55" s="12"/>
      <c r="I55" s="12"/>
      <c r="J55" s="12"/>
      <c r="K55" s="12"/>
      <c r="L55" s="12"/>
      <c r="M55" s="12"/>
      <c r="N55" s="12"/>
      <c r="O55" s="12"/>
      <c r="P55" s="12"/>
      <c r="Q55" s="12"/>
      <c r="R55" s="12"/>
    </row>
    <row r="56" spans="2:18">
      <c r="B56" s="8" t="str">
        <f>Projected_SEC_wastage_rates!B69</f>
        <v>Age group</v>
      </c>
      <c r="C56" s="8" t="str">
        <f>Projected_SEC_wastage_rates!C69</f>
        <v>2015/16</v>
      </c>
      <c r="D56" s="8" t="str">
        <f>Projected_SEC_wastage_rates!D69</f>
        <v>2016/17</v>
      </c>
      <c r="E56" s="8" t="str">
        <f>Projected_SEC_wastage_rates!E69</f>
        <v>2017/18</v>
      </c>
      <c r="F56" s="8" t="str">
        <f>Projected_SEC_wastage_rates!F69</f>
        <v>2018/19</v>
      </c>
      <c r="G56" s="8" t="str">
        <f>Projected_SEC_wastage_rates!G69</f>
        <v>2019/20</v>
      </c>
      <c r="H56" s="8" t="str">
        <f>Projected_SEC_wastage_rates!H69</f>
        <v>2020/21</v>
      </c>
      <c r="I56" s="8" t="str">
        <f>Projected_SEC_wastage_rates!I69</f>
        <v>2021/22</v>
      </c>
      <c r="J56" s="8" t="str">
        <f>Projected_SEC_wastage_rates!J69</f>
        <v>2022/23</v>
      </c>
      <c r="K56" s="8" t="str">
        <f>Projected_SEC_wastage_rates!K69</f>
        <v>2023/24</v>
      </c>
      <c r="L56" s="8" t="str">
        <f>Projected_SEC_wastage_rates!L69</f>
        <v>2024/25</v>
      </c>
      <c r="M56" s="8" t="str">
        <f>Projected_SEC_wastage_rates!M69</f>
        <v>2025/26</v>
      </c>
      <c r="N56" s="8" t="str">
        <f>Projected_SEC_wastage_rates!N69</f>
        <v>2026/27</v>
      </c>
      <c r="O56" s="8" t="str">
        <f>Projected_SEC_wastage_rates!O69</f>
        <v>2027/28</v>
      </c>
      <c r="P56" s="8" t="str">
        <f>Projected_SEC_wastage_rates!P69</f>
        <v>2028/29</v>
      </c>
      <c r="Q56" s="12"/>
      <c r="R56" s="12"/>
    </row>
    <row r="57" spans="2:18">
      <c r="B57" s="8" t="str">
        <f>Projected_SEC_wastage_rates!B70</f>
        <v>20-24</v>
      </c>
      <c r="C57" s="908">
        <f>Projected_SEC_wastage_rates!C70</f>
        <v>0.12651998104337653</v>
      </c>
      <c r="D57" s="908">
        <f>Projected_SEC_wastage_rates!D70</f>
        <v>0.12535213912780968</v>
      </c>
      <c r="E57" s="908">
        <f>Projected_SEC_wastage_rates!E70</f>
        <v>0.12740717546008676</v>
      </c>
      <c r="F57" s="908">
        <f>Projected_SEC_wastage_rates!F70</f>
        <v>0.12803683806292707</v>
      </c>
      <c r="G57" s="908">
        <f>Projected_SEC_wastage_rates!G70</f>
        <v>0.13016822094465208</v>
      </c>
      <c r="H57" s="908">
        <f>Projected_SEC_wastage_rates!H70</f>
        <v>0.13184159259046055</v>
      </c>
      <c r="I57" s="908">
        <f>Projected_SEC_wastage_rates!I70</f>
        <v>0.13184159259046055</v>
      </c>
      <c r="J57" s="908">
        <f>Projected_SEC_wastage_rates!J70</f>
        <v>0.13184159259046055</v>
      </c>
      <c r="K57" s="908">
        <f>Projected_SEC_wastage_rates!K70</f>
        <v>0.13184159259046055</v>
      </c>
      <c r="L57" s="908">
        <f>Projected_SEC_wastage_rates!L70</f>
        <v>0.13184159259046055</v>
      </c>
      <c r="M57" s="908">
        <f>Projected_SEC_wastage_rates!M70</f>
        <v>0.13184159259046055</v>
      </c>
      <c r="N57" s="908">
        <f>Projected_SEC_wastage_rates!N70</f>
        <v>0.13184159259046055</v>
      </c>
      <c r="O57" s="908">
        <f>Projected_SEC_wastage_rates!O70</f>
        <v>0.13184159259046055</v>
      </c>
      <c r="P57" s="908">
        <f>Projected_SEC_wastage_rates!P70</f>
        <v>0.13184159259046055</v>
      </c>
      <c r="Q57" s="12"/>
      <c r="R57" s="12"/>
    </row>
    <row r="58" spans="2:18">
      <c r="B58" s="8" t="str">
        <f>Projected_SEC_wastage_rates!B71</f>
        <v>25-29</v>
      </c>
      <c r="C58" s="908">
        <f>Projected_SEC_wastage_rates!C71</f>
        <v>0.10455560293214806</v>
      </c>
      <c r="D58" s="908">
        <f>Projected_SEC_wastage_rates!D71</f>
        <v>0.10359050307515659</v>
      </c>
      <c r="E58" s="908">
        <f>Projected_SEC_wastage_rates!E71</f>
        <v>0.10528877682604369</v>
      </c>
      <c r="F58" s="908">
        <f>Projected_SEC_wastage_rates!F71</f>
        <v>0.10580912746584678</v>
      </c>
      <c r="G58" s="908">
        <f>Projected_SEC_wastage_rates!G71</f>
        <v>0.10757049369780675</v>
      </c>
      <c r="H58" s="908">
        <f>Projected_SEC_wastage_rates!H71</f>
        <v>0.10895336128847671</v>
      </c>
      <c r="I58" s="908">
        <f>Projected_SEC_wastage_rates!I71</f>
        <v>0.10895336128847671</v>
      </c>
      <c r="J58" s="908">
        <f>Projected_SEC_wastage_rates!J71</f>
        <v>0.10895336128847671</v>
      </c>
      <c r="K58" s="908">
        <f>Projected_SEC_wastage_rates!K71</f>
        <v>0.10895336128847671</v>
      </c>
      <c r="L58" s="908">
        <f>Projected_SEC_wastage_rates!L71</f>
        <v>0.10895336128847671</v>
      </c>
      <c r="M58" s="908">
        <f>Projected_SEC_wastage_rates!M71</f>
        <v>0.10895336128847671</v>
      </c>
      <c r="N58" s="908">
        <f>Projected_SEC_wastage_rates!N71</f>
        <v>0.10895336128847671</v>
      </c>
      <c r="O58" s="908">
        <f>Projected_SEC_wastage_rates!O71</f>
        <v>0.10895336128847671</v>
      </c>
      <c r="P58" s="908">
        <f>Projected_SEC_wastage_rates!P71</f>
        <v>0.10895336128847671</v>
      </c>
      <c r="Q58" s="12"/>
      <c r="R58" s="12"/>
    </row>
    <row r="59" spans="2:18">
      <c r="B59" s="8" t="str">
        <f>Projected_SEC_wastage_rates!B72</f>
        <v>30-34</v>
      </c>
      <c r="C59" s="908">
        <f>Projected_SEC_wastage_rates!C72</f>
        <v>8.7270459506493397E-2</v>
      </c>
      <c r="D59" s="908">
        <f>Projected_SEC_wastage_rates!D72</f>
        <v>8.6464910060769715E-2</v>
      </c>
      <c r="E59" s="908">
        <f>Projected_SEC_wastage_rates!E72</f>
        <v>8.7882425014070828E-2</v>
      </c>
      <c r="F59" s="908">
        <f>Projected_SEC_wastage_rates!F72</f>
        <v>8.8316751230615942E-2</v>
      </c>
      <c r="G59" s="908">
        <f>Projected_SEC_wastage_rates!G72</f>
        <v>8.9786928209291308E-2</v>
      </c>
      <c r="H59" s="908">
        <f>Projected_SEC_wastage_rates!H72</f>
        <v>9.0941179982414591E-2</v>
      </c>
      <c r="I59" s="908">
        <f>Projected_SEC_wastage_rates!I72</f>
        <v>9.0941179982414591E-2</v>
      </c>
      <c r="J59" s="908">
        <f>Projected_SEC_wastage_rates!J72</f>
        <v>9.0941179982414591E-2</v>
      </c>
      <c r="K59" s="908">
        <f>Projected_SEC_wastage_rates!K72</f>
        <v>9.0941179982414591E-2</v>
      </c>
      <c r="L59" s="908">
        <f>Projected_SEC_wastage_rates!L72</f>
        <v>9.0941179982414591E-2</v>
      </c>
      <c r="M59" s="908">
        <f>Projected_SEC_wastage_rates!M72</f>
        <v>9.0941179982414591E-2</v>
      </c>
      <c r="N59" s="908">
        <f>Projected_SEC_wastage_rates!N72</f>
        <v>9.0941179982414591E-2</v>
      </c>
      <c r="O59" s="908">
        <f>Projected_SEC_wastage_rates!O72</f>
        <v>9.0941179982414591E-2</v>
      </c>
      <c r="P59" s="908">
        <f>Projected_SEC_wastage_rates!P72</f>
        <v>9.0941179982414591E-2</v>
      </c>
      <c r="Q59" s="12"/>
      <c r="R59" s="12"/>
    </row>
    <row r="60" spans="2:18">
      <c r="B60" s="8" t="str">
        <f>Projected_SEC_wastage_rates!B73</f>
        <v>35-39</v>
      </c>
      <c r="C60" s="908">
        <f>Projected_SEC_wastage_rates!C73</f>
        <v>8.1979574415774803E-2</v>
      </c>
      <c r="D60" s="908">
        <f>Projected_SEC_wastage_rates!D73</f>
        <v>8.1222862452703534E-2</v>
      </c>
      <c r="E60" s="908">
        <f>Projected_SEC_wastage_rates!E73</f>
        <v>8.2554438718679027E-2</v>
      </c>
      <c r="F60" s="908">
        <f>Projected_SEC_wastage_rates!F73</f>
        <v>8.296243334356504E-2</v>
      </c>
      <c r="G60" s="908">
        <f>Projected_SEC_wastage_rates!G73</f>
        <v>8.4343478931146812E-2</v>
      </c>
      <c r="H60" s="908">
        <f>Projected_SEC_wastage_rates!H73</f>
        <v>8.5427752689580042E-2</v>
      </c>
      <c r="I60" s="908">
        <f>Projected_SEC_wastage_rates!I73</f>
        <v>8.5427752689580042E-2</v>
      </c>
      <c r="J60" s="908">
        <f>Projected_SEC_wastage_rates!J73</f>
        <v>8.5427752689580042E-2</v>
      </c>
      <c r="K60" s="908">
        <f>Projected_SEC_wastage_rates!K73</f>
        <v>8.5427752689580042E-2</v>
      </c>
      <c r="L60" s="908">
        <f>Projected_SEC_wastage_rates!L73</f>
        <v>8.5427752689580042E-2</v>
      </c>
      <c r="M60" s="908">
        <f>Projected_SEC_wastage_rates!M73</f>
        <v>8.5427752689580042E-2</v>
      </c>
      <c r="N60" s="908">
        <f>Projected_SEC_wastage_rates!N73</f>
        <v>8.5427752689580042E-2</v>
      </c>
      <c r="O60" s="908">
        <f>Projected_SEC_wastage_rates!O73</f>
        <v>8.5427752689580042E-2</v>
      </c>
      <c r="P60" s="908">
        <f>Projected_SEC_wastage_rates!P73</f>
        <v>8.5427752689580042E-2</v>
      </c>
      <c r="Q60" s="12"/>
      <c r="R60" s="12"/>
    </row>
    <row r="61" spans="2:18">
      <c r="B61" s="8" t="str">
        <f>Projected_SEC_wastage_rates!B74</f>
        <v>40-44</v>
      </c>
      <c r="C61" s="908">
        <f>Projected_SEC_wastage_rates!C74</f>
        <v>8.0842578151038125E-2</v>
      </c>
      <c r="D61" s="908">
        <f>Projected_SEC_wastage_rates!D74</f>
        <v>8.0096361225073659E-2</v>
      </c>
      <c r="E61" s="908">
        <f>Projected_SEC_wastage_rates!E74</f>
        <v>8.1409469509830468E-2</v>
      </c>
      <c r="F61" s="908">
        <f>Projected_SEC_wastage_rates!F74</f>
        <v>8.1811805550028358E-2</v>
      </c>
      <c r="G61" s="908">
        <f>Projected_SEC_wastage_rates!G74</f>
        <v>8.3173697053367787E-2</v>
      </c>
      <c r="H61" s="908">
        <f>Projected_SEC_wastage_rates!H74</f>
        <v>8.4242932734059375E-2</v>
      </c>
      <c r="I61" s="908">
        <f>Projected_SEC_wastage_rates!I74</f>
        <v>8.4242932734059375E-2</v>
      </c>
      <c r="J61" s="908">
        <f>Projected_SEC_wastage_rates!J74</f>
        <v>8.4242932734059375E-2</v>
      </c>
      <c r="K61" s="908">
        <f>Projected_SEC_wastage_rates!K74</f>
        <v>8.4242932734059375E-2</v>
      </c>
      <c r="L61" s="908">
        <f>Projected_SEC_wastage_rates!L74</f>
        <v>8.4242932734059375E-2</v>
      </c>
      <c r="M61" s="908">
        <f>Projected_SEC_wastage_rates!M74</f>
        <v>8.4242932734059375E-2</v>
      </c>
      <c r="N61" s="908">
        <f>Projected_SEC_wastage_rates!N74</f>
        <v>8.4242932734059375E-2</v>
      </c>
      <c r="O61" s="908">
        <f>Projected_SEC_wastage_rates!O74</f>
        <v>8.4242932734059375E-2</v>
      </c>
      <c r="P61" s="908">
        <f>Projected_SEC_wastage_rates!P74</f>
        <v>8.4242932734059375E-2</v>
      </c>
      <c r="Q61" s="12"/>
      <c r="R61" s="12"/>
    </row>
    <row r="62" spans="2:18">
      <c r="B62" s="8" t="str">
        <f>Projected_SEC_wastage_rates!B75</f>
        <v>45-49</v>
      </c>
      <c r="C62" s="908">
        <f>Projected_SEC_wastage_rates!C75</f>
        <v>8.8269148170636053E-2</v>
      </c>
      <c r="D62" s="908">
        <f>Projected_SEC_wastage_rates!D75</f>
        <v>8.7454380335271711E-2</v>
      </c>
      <c r="E62" s="908">
        <f>Projected_SEC_wastage_rates!E75</f>
        <v>8.8888116769737457E-2</v>
      </c>
      <c r="F62" s="908">
        <f>Projected_SEC_wastage_rates!F75</f>
        <v>8.9327413243932841E-2</v>
      </c>
      <c r="G62" s="908">
        <f>Projected_SEC_wastage_rates!G75</f>
        <v>9.0814414347188149E-2</v>
      </c>
      <c r="H62" s="908">
        <f>Projected_SEC_wastage_rates!H75</f>
        <v>9.1981874921638979E-2</v>
      </c>
      <c r="I62" s="908">
        <f>Projected_SEC_wastage_rates!I75</f>
        <v>9.1981874921638979E-2</v>
      </c>
      <c r="J62" s="908">
        <f>Projected_SEC_wastage_rates!J75</f>
        <v>9.1981874921638979E-2</v>
      </c>
      <c r="K62" s="908">
        <f>Projected_SEC_wastage_rates!K75</f>
        <v>9.1981874921638979E-2</v>
      </c>
      <c r="L62" s="908">
        <f>Projected_SEC_wastage_rates!L75</f>
        <v>9.1981874921638979E-2</v>
      </c>
      <c r="M62" s="908">
        <f>Projected_SEC_wastage_rates!M75</f>
        <v>9.1981874921638979E-2</v>
      </c>
      <c r="N62" s="908">
        <f>Projected_SEC_wastage_rates!N75</f>
        <v>9.1981874921638979E-2</v>
      </c>
      <c r="O62" s="908">
        <f>Projected_SEC_wastage_rates!O75</f>
        <v>9.1981874921638979E-2</v>
      </c>
      <c r="P62" s="908">
        <f>Projected_SEC_wastage_rates!P75</f>
        <v>9.1981874921638979E-2</v>
      </c>
      <c r="Q62" s="12"/>
      <c r="R62" s="12"/>
    </row>
    <row r="63" spans="2:18">
      <c r="B63" s="8" t="str">
        <f>Projected_SEC_wastage_rates!B76</f>
        <v>50-54</v>
      </c>
      <c r="C63" s="908">
        <f>Projected_SEC_wastage_rates!C76</f>
        <v>8.7536873351951316E-2</v>
      </c>
      <c r="D63" s="908">
        <f>Projected_SEC_wastage_rates!D76</f>
        <v>8.6728864774847383E-2</v>
      </c>
      <c r="E63" s="908">
        <f>Projected_SEC_wastage_rates!E76</f>
        <v>8.8150707029870504E-2</v>
      </c>
      <c r="F63" s="908">
        <f>Projected_SEC_wastage_rates!F76</f>
        <v>8.8586359130548548E-2</v>
      </c>
      <c r="G63" s="908">
        <f>Projected_SEC_wastage_rates!G76</f>
        <v>9.0061024174310403E-2</v>
      </c>
      <c r="H63" s="908">
        <f>Projected_SEC_wastage_rates!H76</f>
        <v>9.1218799575649268E-2</v>
      </c>
      <c r="I63" s="908">
        <f>Projected_SEC_wastage_rates!I76</f>
        <v>9.1218799575649268E-2</v>
      </c>
      <c r="J63" s="908">
        <f>Projected_SEC_wastage_rates!J76</f>
        <v>9.1218799575649268E-2</v>
      </c>
      <c r="K63" s="908">
        <f>Projected_SEC_wastage_rates!K76</f>
        <v>9.1218799575649268E-2</v>
      </c>
      <c r="L63" s="908">
        <f>Projected_SEC_wastage_rates!L76</f>
        <v>9.1218799575649268E-2</v>
      </c>
      <c r="M63" s="908">
        <f>Projected_SEC_wastage_rates!M76</f>
        <v>9.1218799575649268E-2</v>
      </c>
      <c r="N63" s="908">
        <f>Projected_SEC_wastage_rates!N76</f>
        <v>9.1218799575649268E-2</v>
      </c>
      <c r="O63" s="908">
        <f>Projected_SEC_wastage_rates!O76</f>
        <v>9.1218799575649268E-2</v>
      </c>
      <c r="P63" s="908">
        <f>Projected_SEC_wastage_rates!P76</f>
        <v>9.1218799575649268E-2</v>
      </c>
      <c r="Q63" s="12"/>
      <c r="R63" s="12"/>
    </row>
    <row r="64" spans="2:18">
      <c r="B64" s="8" t="str">
        <f>Projected_SEC_wastage_rates!B77</f>
        <v>55-59</v>
      </c>
      <c r="C64" s="908">
        <f>Projected_SEC_wastage_rates!C77</f>
        <v>5.7297396975088274E-2</v>
      </c>
      <c r="D64" s="908">
        <f>Projected_SEC_wastage_rates!D77</f>
        <v>5.6768513700774154E-2</v>
      </c>
      <c r="E64" s="908">
        <f>Projected_SEC_wastage_rates!E77</f>
        <v>5.7699182766305708E-2</v>
      </c>
      <c r="F64" s="908">
        <f>Projected_SEC_wastage_rates!F77</f>
        <v>5.7984339528247837E-2</v>
      </c>
      <c r="G64" s="908">
        <f>Projected_SEC_wastage_rates!G77</f>
        <v>5.8949583832530787E-2</v>
      </c>
      <c r="H64" s="908">
        <f>Projected_SEC_wastage_rates!H77</f>
        <v>5.9707407527144464E-2</v>
      </c>
      <c r="I64" s="908">
        <f>Projected_SEC_wastage_rates!I77</f>
        <v>5.9707407527144464E-2</v>
      </c>
      <c r="J64" s="908">
        <f>Projected_SEC_wastage_rates!J77</f>
        <v>5.9707407527144464E-2</v>
      </c>
      <c r="K64" s="908">
        <f>Projected_SEC_wastage_rates!K77</f>
        <v>5.9707407527144464E-2</v>
      </c>
      <c r="L64" s="908">
        <f>Projected_SEC_wastage_rates!L77</f>
        <v>5.9707407527144464E-2</v>
      </c>
      <c r="M64" s="908">
        <f>Projected_SEC_wastage_rates!M77</f>
        <v>5.9707407527144464E-2</v>
      </c>
      <c r="N64" s="908">
        <f>Projected_SEC_wastage_rates!N77</f>
        <v>5.9707407527144464E-2</v>
      </c>
      <c r="O64" s="908">
        <f>Projected_SEC_wastage_rates!O77</f>
        <v>5.9707407527144464E-2</v>
      </c>
      <c r="P64" s="908">
        <f>Projected_SEC_wastage_rates!P77</f>
        <v>5.9707407527144464E-2</v>
      </c>
      <c r="Q64" s="12"/>
      <c r="R64" s="12"/>
    </row>
    <row r="65" spans="2:18">
      <c r="B65" s="8" t="str">
        <f>Projected_SEC_wastage_rates!B78</f>
        <v>60-64</v>
      </c>
      <c r="C65" s="908">
        <f>Projected_SEC_wastage_rates!C78</f>
        <v>5.214170948970194E-2</v>
      </c>
      <c r="D65" s="908">
        <f>Projected_SEC_wastage_rates!D78</f>
        <v>5.1660415757366442E-2</v>
      </c>
      <c r="E65" s="908">
        <f>Projected_SEC_wastage_rates!E78</f>
        <v>5.2507342120654756E-2</v>
      </c>
      <c r="F65" s="908">
        <f>Projected_SEC_wastage_rates!F78</f>
        <v>5.2766840140201353E-2</v>
      </c>
      <c r="G65" s="908">
        <f>Projected_SEC_wastage_rates!G78</f>
        <v>5.3645230621402328E-2</v>
      </c>
      <c r="H65" s="908">
        <f>Projected_SEC_wastage_rates!H78</f>
        <v>5.4334864444490996E-2</v>
      </c>
      <c r="I65" s="908">
        <f>Projected_SEC_wastage_rates!I78</f>
        <v>5.4334864444490996E-2</v>
      </c>
      <c r="J65" s="908">
        <f>Projected_SEC_wastage_rates!J78</f>
        <v>5.4334864444490996E-2</v>
      </c>
      <c r="K65" s="908">
        <f>Projected_SEC_wastage_rates!K78</f>
        <v>5.4334864444490996E-2</v>
      </c>
      <c r="L65" s="908">
        <f>Projected_SEC_wastage_rates!L78</f>
        <v>5.4334864444490996E-2</v>
      </c>
      <c r="M65" s="908">
        <f>Projected_SEC_wastage_rates!M78</f>
        <v>5.4334864444490996E-2</v>
      </c>
      <c r="N65" s="908">
        <f>Projected_SEC_wastage_rates!N78</f>
        <v>5.4334864444490996E-2</v>
      </c>
      <c r="O65" s="908">
        <f>Projected_SEC_wastage_rates!O78</f>
        <v>5.4334864444490996E-2</v>
      </c>
      <c r="P65" s="908">
        <f>Projected_SEC_wastage_rates!P78</f>
        <v>5.4334864444490996E-2</v>
      </c>
      <c r="Q65" s="12"/>
      <c r="R65" s="12"/>
    </row>
    <row r="66" spans="2:18">
      <c r="B66" s="8" t="str">
        <f>Projected_SEC_wastage_rates!B79</f>
        <v>65 plus</v>
      </c>
      <c r="C66" s="908">
        <f>Projected_SEC_wastage_rates!C79</f>
        <v>7.7040540050632281E-2</v>
      </c>
      <c r="D66" s="908">
        <f>Projected_SEC_wastage_rates!D79</f>
        <v>7.6329417814230832E-2</v>
      </c>
      <c r="E66" s="908">
        <f>Projected_SEC_wastage_rates!E79</f>
        <v>7.7580770427127743E-2</v>
      </c>
      <c r="F66" s="908">
        <f>Projected_SEC_wastage_rates!F79</f>
        <v>7.7964184545375778E-2</v>
      </c>
      <c r="G66" s="908">
        <f>Projected_SEC_wastage_rates!G79</f>
        <v>7.9262026095055366E-2</v>
      </c>
      <c r="H66" s="908">
        <f>Projected_SEC_wastage_rates!H79</f>
        <v>8.0280975467599935E-2</v>
      </c>
      <c r="I66" s="908">
        <f>Projected_SEC_wastage_rates!I79</f>
        <v>8.0280975467599935E-2</v>
      </c>
      <c r="J66" s="908">
        <f>Projected_SEC_wastage_rates!J79</f>
        <v>8.0280975467599935E-2</v>
      </c>
      <c r="K66" s="908">
        <f>Projected_SEC_wastage_rates!K79</f>
        <v>8.0280975467599935E-2</v>
      </c>
      <c r="L66" s="908">
        <f>Projected_SEC_wastage_rates!L79</f>
        <v>8.0280975467599935E-2</v>
      </c>
      <c r="M66" s="908">
        <f>Projected_SEC_wastage_rates!M79</f>
        <v>8.0280975467599935E-2</v>
      </c>
      <c r="N66" s="908">
        <f>Projected_SEC_wastage_rates!N79</f>
        <v>8.0280975467599935E-2</v>
      </c>
      <c r="O66" s="908">
        <f>Projected_SEC_wastage_rates!O79</f>
        <v>8.0280975467599935E-2</v>
      </c>
      <c r="P66" s="908">
        <f>Projected_SEC_wastage_rates!P79</f>
        <v>8.0280975467599935E-2</v>
      </c>
      <c r="Q66" s="12"/>
      <c r="R66" s="12"/>
    </row>
    <row r="67" spans="2:18">
      <c r="B67" s="8" t="str">
        <f>Projected_SEC_wastage_rates!B80</f>
        <v>Total</v>
      </c>
      <c r="C67" s="908">
        <f>Projected_SEC_wastage_rates!C80</f>
        <v>8.7736204760537742E-2</v>
      </c>
      <c r="D67" s="908">
        <f>Projected_SEC_wastage_rates!D80</f>
        <v>8.6926356256079126E-2</v>
      </c>
      <c r="E67" s="908">
        <f>Projected_SEC_wastage_rates!E80</f>
        <v>8.8351436207499523E-2</v>
      </c>
      <c r="F67" s="908">
        <f>Projected_SEC_wastage_rates!F80</f>
        <v>8.8788080337519684E-2</v>
      </c>
      <c r="G67" s="908">
        <f>Projected_SEC_wastage_rates!G80</f>
        <v>9.0266103361171732E-2</v>
      </c>
      <c r="H67" s="908">
        <f>Projected_SEC_wastage_rates!H80</f>
        <v>9.1426515148672657E-2</v>
      </c>
      <c r="I67" s="908">
        <f>Projected_SEC_wastage_rates!I80</f>
        <v>9.1426515148672657E-2</v>
      </c>
      <c r="J67" s="908">
        <f>Projected_SEC_wastage_rates!J80</f>
        <v>9.1426515148672657E-2</v>
      </c>
      <c r="K67" s="908">
        <f>Projected_SEC_wastage_rates!K80</f>
        <v>9.1426515148672657E-2</v>
      </c>
      <c r="L67" s="908">
        <f>Projected_SEC_wastage_rates!L80</f>
        <v>9.1426515148672657E-2</v>
      </c>
      <c r="M67" s="908">
        <f>Projected_SEC_wastage_rates!M80</f>
        <v>9.1426515148672657E-2</v>
      </c>
      <c r="N67" s="908">
        <f>Projected_SEC_wastage_rates!N80</f>
        <v>9.1426515148672657E-2</v>
      </c>
      <c r="O67" s="908">
        <f>Projected_SEC_wastage_rates!O80</f>
        <v>9.1426515148672657E-2</v>
      </c>
      <c r="P67" s="908">
        <f>Projected_SEC_wastage_rates!P80</f>
        <v>9.1426515148672657E-2</v>
      </c>
      <c r="Q67" s="12"/>
      <c r="R67" s="12"/>
    </row>
    <row r="69" spans="2:18" ht="18">
      <c r="B69" s="38" t="s">
        <v>1455</v>
      </c>
    </row>
    <row r="71" spans="2:18">
      <c r="B71" s="5" t="s">
        <v>434</v>
      </c>
      <c r="C71" s="12"/>
      <c r="E71" s="12"/>
      <c r="F71" s="256" t="str">
        <f>F39</f>
        <v>As the Econometric Wastage Model only forecasts wastage 6 years into the future, the rate beyond that is considered to be constant.</v>
      </c>
      <c r="G71" s="12"/>
      <c r="H71" s="12"/>
      <c r="I71" s="12"/>
      <c r="J71" s="12"/>
      <c r="K71" s="12"/>
      <c r="L71" s="12"/>
      <c r="M71" s="12"/>
      <c r="N71" s="12"/>
      <c r="O71" s="12"/>
      <c r="P71" s="12"/>
    </row>
    <row r="72" spans="2:18">
      <c r="B72" s="12"/>
      <c r="C72" s="12"/>
      <c r="D72" s="12"/>
      <c r="E72" s="12"/>
      <c r="F72" s="12"/>
      <c r="G72" s="12"/>
      <c r="H72" s="12"/>
      <c r="I72" s="12"/>
      <c r="J72" s="12"/>
      <c r="K72" s="12"/>
      <c r="L72" s="12"/>
      <c r="M72" s="12"/>
      <c r="N72" s="12"/>
      <c r="O72" s="12"/>
      <c r="P72" s="12"/>
    </row>
    <row r="73" spans="2:18">
      <c r="B73" s="8" t="str">
        <f>B56</f>
        <v>Age group</v>
      </c>
      <c r="C73" s="8" t="str">
        <f t="shared" ref="C73:P73" si="0">C56</f>
        <v>2015/16</v>
      </c>
      <c r="D73" s="8" t="str">
        <f t="shared" si="0"/>
        <v>2016/17</v>
      </c>
      <c r="E73" s="8" t="str">
        <f t="shared" si="0"/>
        <v>2017/18</v>
      </c>
      <c r="F73" s="8" t="str">
        <f t="shared" si="0"/>
        <v>2018/19</v>
      </c>
      <c r="G73" s="8" t="str">
        <f t="shared" si="0"/>
        <v>2019/20</v>
      </c>
      <c r="H73" s="8" t="str">
        <f t="shared" si="0"/>
        <v>2020/21</v>
      </c>
      <c r="I73" s="8" t="str">
        <f t="shared" si="0"/>
        <v>2021/22</v>
      </c>
      <c r="J73" s="8" t="str">
        <f t="shared" si="0"/>
        <v>2022/23</v>
      </c>
      <c r="K73" s="8" t="str">
        <f t="shared" si="0"/>
        <v>2023/24</v>
      </c>
      <c r="L73" s="8" t="str">
        <f t="shared" si="0"/>
        <v>2024/25</v>
      </c>
      <c r="M73" s="8" t="str">
        <f t="shared" si="0"/>
        <v>2025/26</v>
      </c>
      <c r="N73" s="8" t="str">
        <f t="shared" si="0"/>
        <v>2026/27</v>
      </c>
      <c r="O73" s="8" t="str">
        <f t="shared" si="0"/>
        <v>2027/28</v>
      </c>
      <c r="P73" s="8" t="str">
        <f t="shared" si="0"/>
        <v>2028/29</v>
      </c>
    </row>
    <row r="74" spans="2:18">
      <c r="B74" s="8" t="str">
        <f t="shared" ref="B74:B84" si="1">B57</f>
        <v>20-24</v>
      </c>
      <c r="C74" s="160">
        <f>C42*$C25</f>
        <v>0.17630622550170311</v>
      </c>
      <c r="D74" s="160">
        <f t="shared" ref="D74:P74" si="2">D42*$C25</f>
        <v>0.18511304707538931</v>
      </c>
      <c r="E74" s="160">
        <f t="shared" si="2"/>
        <v>0.18434264463108552</v>
      </c>
      <c r="F74" s="160">
        <f t="shared" si="2"/>
        <v>0.17771469392174546</v>
      </c>
      <c r="G74" s="160">
        <f t="shared" si="2"/>
        <v>0.18438381205005852</v>
      </c>
      <c r="H74" s="160">
        <f t="shared" si="2"/>
        <v>0.18092153064982386</v>
      </c>
      <c r="I74" s="160">
        <f t="shared" si="2"/>
        <v>0.18092153064982386</v>
      </c>
      <c r="J74" s="160">
        <f t="shared" si="2"/>
        <v>0.18092153064982386</v>
      </c>
      <c r="K74" s="160">
        <f t="shared" si="2"/>
        <v>0.18092153064982386</v>
      </c>
      <c r="L74" s="160">
        <f t="shared" si="2"/>
        <v>0.18092153064982386</v>
      </c>
      <c r="M74" s="160">
        <f t="shared" si="2"/>
        <v>0.18092153064982386</v>
      </c>
      <c r="N74" s="160">
        <f t="shared" si="2"/>
        <v>0.18092153064982386</v>
      </c>
      <c r="O74" s="160">
        <f t="shared" si="2"/>
        <v>0.18092153064982386</v>
      </c>
      <c r="P74" s="160">
        <f t="shared" si="2"/>
        <v>0.18092153064982386</v>
      </c>
    </row>
    <row r="75" spans="2:18">
      <c r="B75" s="8" t="str">
        <f t="shared" si="1"/>
        <v>25-29</v>
      </c>
      <c r="C75" s="160">
        <f t="shared" ref="C75:P84" si="3">C43*$C26</f>
        <v>0.12665901145850478</v>
      </c>
      <c r="D75" s="160">
        <f t="shared" si="3"/>
        <v>0.1329858630001354</v>
      </c>
      <c r="E75" s="160">
        <f t="shared" si="3"/>
        <v>0.13243240317905952</v>
      </c>
      <c r="F75" s="160">
        <f t="shared" si="3"/>
        <v>0.12767086011697071</v>
      </c>
      <c r="G75" s="160">
        <f t="shared" si="3"/>
        <v>0.1324619779973995</v>
      </c>
      <c r="H75" s="160">
        <f t="shared" si="3"/>
        <v>0.12997466288247944</v>
      </c>
      <c r="I75" s="160">
        <f t="shared" si="3"/>
        <v>0.12997466288247944</v>
      </c>
      <c r="J75" s="160">
        <f t="shared" si="3"/>
        <v>0.12997466288247944</v>
      </c>
      <c r="K75" s="160">
        <f t="shared" si="3"/>
        <v>0.12997466288247944</v>
      </c>
      <c r="L75" s="160">
        <f t="shared" si="3"/>
        <v>0.12997466288247944</v>
      </c>
      <c r="M75" s="160">
        <f t="shared" si="3"/>
        <v>0.12997466288247944</v>
      </c>
      <c r="N75" s="160">
        <f t="shared" si="3"/>
        <v>0.12997466288247944</v>
      </c>
      <c r="O75" s="160">
        <f t="shared" si="3"/>
        <v>0.12997466288247944</v>
      </c>
      <c r="P75" s="160">
        <f t="shared" si="3"/>
        <v>0.12997466288247944</v>
      </c>
    </row>
    <row r="76" spans="2:18">
      <c r="B76" s="8" t="str">
        <f t="shared" si="1"/>
        <v>30-34</v>
      </c>
      <c r="C76" s="160">
        <f t="shared" si="3"/>
        <v>8.9603935655071729E-2</v>
      </c>
      <c r="D76" s="160">
        <f t="shared" si="3"/>
        <v>9.4079817725422399E-2</v>
      </c>
      <c r="E76" s="160">
        <f t="shared" si="3"/>
        <v>9.3688276866037146E-2</v>
      </c>
      <c r="F76" s="160">
        <f t="shared" si="3"/>
        <v>9.0319760143529507E-2</v>
      </c>
      <c r="G76" s="160">
        <f t="shared" si="3"/>
        <v>9.3709199341974928E-2</v>
      </c>
      <c r="H76" s="160">
        <f t="shared" si="3"/>
        <v>9.1949567548352415E-2</v>
      </c>
      <c r="I76" s="160">
        <f t="shared" si="3"/>
        <v>9.1949567548352415E-2</v>
      </c>
      <c r="J76" s="160">
        <f t="shared" si="3"/>
        <v>9.1949567548352415E-2</v>
      </c>
      <c r="K76" s="160">
        <f t="shared" si="3"/>
        <v>9.1949567548352415E-2</v>
      </c>
      <c r="L76" s="160">
        <f t="shared" si="3"/>
        <v>9.1949567548352415E-2</v>
      </c>
      <c r="M76" s="160">
        <f t="shared" si="3"/>
        <v>9.1949567548352415E-2</v>
      </c>
      <c r="N76" s="160">
        <f t="shared" si="3"/>
        <v>9.1949567548352415E-2</v>
      </c>
      <c r="O76" s="160">
        <f t="shared" si="3"/>
        <v>9.1949567548352415E-2</v>
      </c>
      <c r="P76" s="160">
        <f t="shared" si="3"/>
        <v>9.1949567548352415E-2</v>
      </c>
    </row>
    <row r="77" spans="2:18">
      <c r="B77" s="8" t="str">
        <f t="shared" si="1"/>
        <v>35-39</v>
      </c>
      <c r="C77" s="160">
        <f t="shared" si="3"/>
        <v>8.662051767318743E-2</v>
      </c>
      <c r="D77" s="160">
        <f t="shared" si="3"/>
        <v>9.0947372505439078E-2</v>
      </c>
      <c r="E77" s="160">
        <f t="shared" si="3"/>
        <v>9.0568868239056036E-2</v>
      </c>
      <c r="F77" s="160">
        <f t="shared" si="3"/>
        <v>8.7312508346365503E-2</v>
      </c>
      <c r="G77" s="160">
        <f t="shared" si="3"/>
        <v>9.0589094088328034E-2</v>
      </c>
      <c r="H77" s="160">
        <f t="shared" si="3"/>
        <v>8.8888050314263015E-2</v>
      </c>
      <c r="I77" s="160">
        <f t="shared" si="3"/>
        <v>8.8888050314263015E-2</v>
      </c>
      <c r="J77" s="160">
        <f t="shared" si="3"/>
        <v>8.8888050314263015E-2</v>
      </c>
      <c r="K77" s="160">
        <f t="shared" si="3"/>
        <v>8.8888050314263015E-2</v>
      </c>
      <c r="L77" s="160">
        <f t="shared" si="3"/>
        <v>8.8888050314263015E-2</v>
      </c>
      <c r="M77" s="160">
        <f t="shared" si="3"/>
        <v>8.8888050314263015E-2</v>
      </c>
      <c r="N77" s="160">
        <f t="shared" si="3"/>
        <v>8.8888050314263015E-2</v>
      </c>
      <c r="O77" s="160">
        <f t="shared" si="3"/>
        <v>8.8888050314263015E-2</v>
      </c>
      <c r="P77" s="160">
        <f t="shared" si="3"/>
        <v>8.8888050314263015E-2</v>
      </c>
    </row>
    <row r="78" spans="2:18">
      <c r="B78" s="8" t="str">
        <f t="shared" si="1"/>
        <v>40-44</v>
      </c>
      <c r="C78" s="160">
        <f t="shared" si="3"/>
        <v>7.6866491305572576E-2</v>
      </c>
      <c r="D78" s="160">
        <f t="shared" si="3"/>
        <v>8.0706114506608875E-2</v>
      </c>
      <c r="E78" s="160">
        <f t="shared" si="3"/>
        <v>8.0370232250503867E-2</v>
      </c>
      <c r="F78" s="160">
        <f t="shared" si="3"/>
        <v>7.7480559386579245E-2</v>
      </c>
      <c r="G78" s="160">
        <f t="shared" si="3"/>
        <v>8.0388180539303966E-2</v>
      </c>
      <c r="H78" s="160">
        <f t="shared" si="3"/>
        <v>7.8878685214386984E-2</v>
      </c>
      <c r="I78" s="160">
        <f t="shared" si="3"/>
        <v>7.8878685214386984E-2</v>
      </c>
      <c r="J78" s="160">
        <f t="shared" si="3"/>
        <v>7.8878685214386984E-2</v>
      </c>
      <c r="K78" s="160">
        <f t="shared" si="3"/>
        <v>7.8878685214386984E-2</v>
      </c>
      <c r="L78" s="160">
        <f t="shared" si="3"/>
        <v>7.8878685214386984E-2</v>
      </c>
      <c r="M78" s="160">
        <f t="shared" si="3"/>
        <v>7.8878685214386984E-2</v>
      </c>
      <c r="N78" s="160">
        <f t="shared" si="3"/>
        <v>7.8878685214386984E-2</v>
      </c>
      <c r="O78" s="160">
        <f t="shared" si="3"/>
        <v>7.8878685214386984E-2</v>
      </c>
      <c r="P78" s="160">
        <f t="shared" si="3"/>
        <v>7.8878685214386984E-2</v>
      </c>
    </row>
    <row r="79" spans="2:18">
      <c r="B79" s="8" t="str">
        <f t="shared" si="1"/>
        <v>45-49</v>
      </c>
      <c r="C79" s="160">
        <f t="shared" si="3"/>
        <v>9.6259873292842343E-2</v>
      </c>
      <c r="D79" s="160">
        <f t="shared" si="3"/>
        <v>0.10106823174066988</v>
      </c>
      <c r="E79" s="160">
        <f t="shared" si="3"/>
        <v>0.10064760653890999</v>
      </c>
      <c r="F79" s="160">
        <f t="shared" si="3"/>
        <v>9.7028870480913479E-2</v>
      </c>
      <c r="G79" s="160">
        <f t="shared" si="3"/>
        <v>0.10067008317308927</v>
      </c>
      <c r="H79" s="160">
        <f t="shared" si="3"/>
        <v>9.8779742840849949E-2</v>
      </c>
      <c r="I79" s="160">
        <f t="shared" si="3"/>
        <v>9.8779742840849949E-2</v>
      </c>
      <c r="J79" s="160">
        <f t="shared" si="3"/>
        <v>9.8779742840849949E-2</v>
      </c>
      <c r="K79" s="160">
        <f t="shared" si="3"/>
        <v>9.8779742840849949E-2</v>
      </c>
      <c r="L79" s="160">
        <f t="shared" si="3"/>
        <v>9.8779742840849949E-2</v>
      </c>
      <c r="M79" s="160">
        <f t="shared" si="3"/>
        <v>9.8779742840849949E-2</v>
      </c>
      <c r="N79" s="160">
        <f t="shared" si="3"/>
        <v>9.8779742840849949E-2</v>
      </c>
      <c r="O79" s="160">
        <f t="shared" si="3"/>
        <v>9.8779742840849949E-2</v>
      </c>
      <c r="P79" s="160">
        <f t="shared" si="3"/>
        <v>9.8779742840849949E-2</v>
      </c>
    </row>
    <row r="80" spans="2:18">
      <c r="B80" s="8" t="str">
        <f t="shared" si="1"/>
        <v>50-54</v>
      </c>
      <c r="C80" s="160">
        <f t="shared" si="3"/>
        <v>9.8509663427518698E-2</v>
      </c>
      <c r="D80" s="160">
        <f t="shared" si="3"/>
        <v>0.10343040304758196</v>
      </c>
      <c r="E80" s="160">
        <f t="shared" si="3"/>
        <v>0.10299994697448445</v>
      </c>
      <c r="F80" s="160">
        <f t="shared" si="3"/>
        <v>9.929663365282887E-2</v>
      </c>
      <c r="G80" s="160">
        <f t="shared" si="3"/>
        <v>0.10302294893357959</v>
      </c>
      <c r="H80" s="160">
        <f t="shared" si="3"/>
        <v>0.10108842748115827</v>
      </c>
      <c r="I80" s="160">
        <f t="shared" si="3"/>
        <v>0.10108842748115827</v>
      </c>
      <c r="J80" s="160">
        <f t="shared" si="3"/>
        <v>0.10108842748115827</v>
      </c>
      <c r="K80" s="160">
        <f t="shared" si="3"/>
        <v>0.10108842748115827</v>
      </c>
      <c r="L80" s="160">
        <f t="shared" si="3"/>
        <v>0.10108842748115827</v>
      </c>
      <c r="M80" s="160">
        <f t="shared" si="3"/>
        <v>0.10108842748115827</v>
      </c>
      <c r="N80" s="160">
        <f t="shared" si="3"/>
        <v>0.10108842748115827</v>
      </c>
      <c r="O80" s="160">
        <f t="shared" si="3"/>
        <v>0.10108842748115827</v>
      </c>
      <c r="P80" s="160">
        <f t="shared" si="3"/>
        <v>0.10108842748115827</v>
      </c>
    </row>
    <row r="81" spans="2:16">
      <c r="B81" s="8" t="str">
        <f t="shared" si="1"/>
        <v>55-59</v>
      </c>
      <c r="C81" s="160">
        <f t="shared" si="3"/>
        <v>7.0145448413214254E-2</v>
      </c>
      <c r="D81" s="160">
        <f t="shared" si="3"/>
        <v>7.3649343109067858E-2</v>
      </c>
      <c r="E81" s="160">
        <f t="shared" si="3"/>
        <v>7.3342829684708913E-2</v>
      </c>
      <c r="F81" s="160">
        <f t="shared" si="3"/>
        <v>7.0705823684243857E-2</v>
      </c>
      <c r="G81" s="160">
        <f t="shared" si="3"/>
        <v>7.3359208613221843E-2</v>
      </c>
      <c r="H81" s="160">
        <f t="shared" si="3"/>
        <v>7.1981700356431186E-2</v>
      </c>
      <c r="I81" s="160">
        <f t="shared" si="3"/>
        <v>7.1981700356431186E-2</v>
      </c>
      <c r="J81" s="160">
        <f t="shared" si="3"/>
        <v>7.1981700356431186E-2</v>
      </c>
      <c r="K81" s="160">
        <f t="shared" si="3"/>
        <v>7.1981700356431186E-2</v>
      </c>
      <c r="L81" s="160">
        <f t="shared" si="3"/>
        <v>7.1981700356431186E-2</v>
      </c>
      <c r="M81" s="160">
        <f t="shared" si="3"/>
        <v>7.1981700356431186E-2</v>
      </c>
      <c r="N81" s="160">
        <f t="shared" si="3"/>
        <v>7.1981700356431186E-2</v>
      </c>
      <c r="O81" s="160">
        <f t="shared" si="3"/>
        <v>7.1981700356431186E-2</v>
      </c>
      <c r="P81" s="160">
        <f t="shared" si="3"/>
        <v>7.1981700356431186E-2</v>
      </c>
    </row>
    <row r="82" spans="2:16">
      <c r="B82" s="8" t="str">
        <f t="shared" si="1"/>
        <v>60-64</v>
      </c>
      <c r="C82" s="160">
        <f t="shared" si="3"/>
        <v>7.4851844194865E-2</v>
      </c>
      <c r="D82" s="160">
        <f t="shared" si="3"/>
        <v>7.8590832051985041E-2</v>
      </c>
      <c r="E82" s="160">
        <f t="shared" si="3"/>
        <v>7.8263753166572594E-2</v>
      </c>
      <c r="F82" s="160">
        <f t="shared" si="3"/>
        <v>7.5449817740214253E-2</v>
      </c>
      <c r="G82" s="160">
        <f t="shared" si="3"/>
        <v>7.8281231036240004E-2</v>
      </c>
      <c r="H82" s="160">
        <f t="shared" si="3"/>
        <v>7.6811299119816323E-2</v>
      </c>
      <c r="I82" s="160">
        <f t="shared" si="3"/>
        <v>7.6811299119816323E-2</v>
      </c>
      <c r="J82" s="160">
        <f t="shared" si="3"/>
        <v>7.6811299119816323E-2</v>
      </c>
      <c r="K82" s="160">
        <f t="shared" si="3"/>
        <v>7.6811299119816323E-2</v>
      </c>
      <c r="L82" s="160">
        <f t="shared" si="3"/>
        <v>7.6811299119816323E-2</v>
      </c>
      <c r="M82" s="160">
        <f t="shared" si="3"/>
        <v>7.6811299119816323E-2</v>
      </c>
      <c r="N82" s="160">
        <f t="shared" si="3"/>
        <v>7.6811299119816323E-2</v>
      </c>
      <c r="O82" s="160">
        <f t="shared" si="3"/>
        <v>7.6811299119816323E-2</v>
      </c>
      <c r="P82" s="160">
        <f t="shared" si="3"/>
        <v>7.6811299119816323E-2</v>
      </c>
    </row>
    <row r="83" spans="2:16">
      <c r="B83" s="8" t="str">
        <f t="shared" si="1"/>
        <v>65 plus</v>
      </c>
      <c r="C83" s="160">
        <f t="shared" si="3"/>
        <v>0.11527153382627235</v>
      </c>
      <c r="D83" s="160">
        <f t="shared" si="3"/>
        <v>0.12102955982929234</v>
      </c>
      <c r="E83" s="160">
        <f t="shared" si="3"/>
        <v>0.12052585968390213</v>
      </c>
      <c r="F83" s="160">
        <f t="shared" si="3"/>
        <v>0.11619241063968119</v>
      </c>
      <c r="G83" s="160">
        <f t="shared" si="3"/>
        <v>0.12055277553168449</v>
      </c>
      <c r="H83" s="160">
        <f t="shared" si="3"/>
        <v>0.11828908639417658</v>
      </c>
      <c r="I83" s="160">
        <f t="shared" si="3"/>
        <v>0.11828908639417658</v>
      </c>
      <c r="J83" s="160">
        <f t="shared" si="3"/>
        <v>0.11828908639417658</v>
      </c>
      <c r="K83" s="160">
        <f t="shared" si="3"/>
        <v>0.11828908639417658</v>
      </c>
      <c r="L83" s="160">
        <f t="shared" si="3"/>
        <v>0.11828908639417658</v>
      </c>
      <c r="M83" s="160">
        <f t="shared" si="3"/>
        <v>0.11828908639417658</v>
      </c>
      <c r="N83" s="160">
        <f t="shared" si="3"/>
        <v>0.11828908639417658</v>
      </c>
      <c r="O83" s="160">
        <f t="shared" si="3"/>
        <v>0.11828908639417658</v>
      </c>
      <c r="P83" s="160">
        <f t="shared" si="3"/>
        <v>0.11828908639417658</v>
      </c>
    </row>
    <row r="84" spans="2:16">
      <c r="B84" s="8" t="str">
        <f t="shared" si="1"/>
        <v>Total</v>
      </c>
      <c r="C84" s="160">
        <f t="shared" si="3"/>
        <v>9.6079496675731402E-2</v>
      </c>
      <c r="D84" s="160">
        <f t="shared" si="3"/>
        <v>0.10087884497840702</v>
      </c>
      <c r="E84" s="160">
        <f t="shared" si="3"/>
        <v>0.10045900796541538</v>
      </c>
      <c r="F84" s="160">
        <f t="shared" si="3"/>
        <v>9.6847052877993958E-2</v>
      </c>
      <c r="G84" s="160">
        <f t="shared" si="3"/>
        <v>0.10048144248174122</v>
      </c>
      <c r="H84" s="160">
        <f t="shared" si="3"/>
        <v>9.8594644364784892E-2</v>
      </c>
      <c r="I84" s="160">
        <f t="shared" si="3"/>
        <v>9.8594644364784892E-2</v>
      </c>
      <c r="J84" s="160">
        <f t="shared" si="3"/>
        <v>9.8594644364784892E-2</v>
      </c>
      <c r="K84" s="160">
        <f t="shared" si="3"/>
        <v>9.8594644364784892E-2</v>
      </c>
      <c r="L84" s="160">
        <f t="shared" si="3"/>
        <v>9.8594644364784892E-2</v>
      </c>
      <c r="M84" s="160">
        <f t="shared" si="3"/>
        <v>9.8594644364784892E-2</v>
      </c>
      <c r="N84" s="160">
        <f t="shared" si="3"/>
        <v>9.8594644364784892E-2</v>
      </c>
      <c r="O84" s="160">
        <f t="shared" si="3"/>
        <v>9.8594644364784892E-2</v>
      </c>
      <c r="P84" s="160">
        <f t="shared" si="3"/>
        <v>9.8594644364784892E-2</v>
      </c>
    </row>
    <row r="85" spans="2:16">
      <c r="B85" s="12"/>
      <c r="C85" s="12"/>
      <c r="D85" s="12"/>
      <c r="E85" s="12"/>
      <c r="F85" s="12"/>
      <c r="G85" s="12"/>
      <c r="H85" s="12"/>
      <c r="I85" s="12"/>
      <c r="J85" s="12"/>
      <c r="K85" s="12"/>
      <c r="L85" s="12"/>
      <c r="M85" s="12"/>
      <c r="N85" s="12"/>
      <c r="O85" s="12"/>
      <c r="P85" s="12"/>
    </row>
    <row r="86" spans="2:16">
      <c r="B86" s="5" t="s">
        <v>435</v>
      </c>
      <c r="C86" s="12"/>
      <c r="D86" s="12"/>
      <c r="E86" s="12"/>
      <c r="F86" s="12"/>
      <c r="G86" s="12"/>
      <c r="H86" s="12"/>
      <c r="I86" s="12"/>
      <c r="J86" s="12"/>
      <c r="K86" s="12"/>
      <c r="L86" s="12"/>
      <c r="M86" s="12"/>
      <c r="N86" s="12"/>
      <c r="O86" s="12"/>
      <c r="P86" s="12"/>
    </row>
    <row r="87" spans="2:16">
      <c r="B87" s="12"/>
      <c r="C87" s="12"/>
      <c r="D87" s="12"/>
      <c r="E87" s="12"/>
      <c r="F87" s="12"/>
      <c r="G87" s="12"/>
      <c r="H87" s="12"/>
      <c r="I87" s="12"/>
      <c r="J87" s="12"/>
      <c r="K87" s="12"/>
      <c r="L87" s="12"/>
      <c r="M87" s="12"/>
      <c r="N87" s="12"/>
      <c r="O87" s="12"/>
      <c r="P87" s="12"/>
    </row>
    <row r="88" spans="2:16">
      <c r="B88" s="8" t="str">
        <f>B73</f>
        <v>Age group</v>
      </c>
      <c r="C88" s="8" t="str">
        <f>C73</f>
        <v>2015/16</v>
      </c>
      <c r="D88" s="8" t="str">
        <f t="shared" ref="D88:P88" si="4">D73</f>
        <v>2016/17</v>
      </c>
      <c r="E88" s="8" t="str">
        <f t="shared" si="4"/>
        <v>2017/18</v>
      </c>
      <c r="F88" s="8" t="str">
        <f t="shared" si="4"/>
        <v>2018/19</v>
      </c>
      <c r="G88" s="8" t="str">
        <f t="shared" si="4"/>
        <v>2019/20</v>
      </c>
      <c r="H88" s="8" t="str">
        <f t="shared" si="4"/>
        <v>2020/21</v>
      </c>
      <c r="I88" s="8" t="str">
        <f t="shared" si="4"/>
        <v>2021/22</v>
      </c>
      <c r="J88" s="8" t="str">
        <f t="shared" si="4"/>
        <v>2022/23</v>
      </c>
      <c r="K88" s="8" t="str">
        <f t="shared" si="4"/>
        <v>2023/24</v>
      </c>
      <c r="L88" s="8" t="str">
        <f t="shared" si="4"/>
        <v>2024/25</v>
      </c>
      <c r="M88" s="8" t="str">
        <f t="shared" si="4"/>
        <v>2025/26</v>
      </c>
      <c r="N88" s="8" t="str">
        <f t="shared" si="4"/>
        <v>2026/27</v>
      </c>
      <c r="O88" s="8" t="str">
        <f t="shared" si="4"/>
        <v>2027/28</v>
      </c>
      <c r="P88" s="8" t="str">
        <f t="shared" si="4"/>
        <v>2028/29</v>
      </c>
    </row>
    <row r="89" spans="2:16">
      <c r="B89" s="8" t="str">
        <f t="shared" ref="B89:B99" si="5">B74</f>
        <v>20-24</v>
      </c>
      <c r="C89" s="160">
        <f>C57*$F25</f>
        <v>0.14435929837049263</v>
      </c>
      <c r="D89" s="160">
        <f t="shared" ref="D89:P89" si="6">D57*$F25</f>
        <v>0.14302679074483085</v>
      </c>
      <c r="E89" s="160">
        <f t="shared" si="6"/>
        <v>0.14537158719995899</v>
      </c>
      <c r="F89" s="160">
        <f t="shared" si="6"/>
        <v>0.14609003222979977</v>
      </c>
      <c r="G89" s="160">
        <f t="shared" si="6"/>
        <v>0.14852194009784803</v>
      </c>
      <c r="H89" s="160">
        <f t="shared" si="6"/>
        <v>0.15043125714571548</v>
      </c>
      <c r="I89" s="160">
        <f t="shared" si="6"/>
        <v>0.15043125714571548</v>
      </c>
      <c r="J89" s="160">
        <f t="shared" si="6"/>
        <v>0.15043125714571548</v>
      </c>
      <c r="K89" s="160">
        <f t="shared" si="6"/>
        <v>0.15043125714571548</v>
      </c>
      <c r="L89" s="160">
        <f t="shared" si="6"/>
        <v>0.15043125714571548</v>
      </c>
      <c r="M89" s="160">
        <f t="shared" si="6"/>
        <v>0.15043125714571548</v>
      </c>
      <c r="N89" s="160">
        <f t="shared" si="6"/>
        <v>0.15043125714571548</v>
      </c>
      <c r="O89" s="160">
        <f t="shared" si="6"/>
        <v>0.15043125714571548</v>
      </c>
      <c r="P89" s="160">
        <f t="shared" si="6"/>
        <v>0.15043125714571548</v>
      </c>
    </row>
    <row r="90" spans="2:16">
      <c r="B90" s="8" t="str">
        <f t="shared" si="5"/>
        <v>25-29</v>
      </c>
      <c r="C90" s="160">
        <f t="shared" ref="C90:P99" si="7">C58*$F26</f>
        <v>0.11511571882829502</v>
      </c>
      <c r="D90" s="160">
        <f t="shared" si="7"/>
        <v>0.1140531438857474</v>
      </c>
      <c r="E90" s="160">
        <f t="shared" si="7"/>
        <v>0.1159229432854741</v>
      </c>
      <c r="F90" s="160">
        <f t="shared" si="7"/>
        <v>0.1164958493398973</v>
      </c>
      <c r="G90" s="160">
        <f t="shared" si="7"/>
        <v>0.11843511356128522</v>
      </c>
      <c r="H90" s="160">
        <f t="shared" si="7"/>
        <v>0.11995765077861285</v>
      </c>
      <c r="I90" s="160">
        <f t="shared" si="7"/>
        <v>0.11995765077861285</v>
      </c>
      <c r="J90" s="160">
        <f t="shared" si="7"/>
        <v>0.11995765077861285</v>
      </c>
      <c r="K90" s="160">
        <f t="shared" si="7"/>
        <v>0.11995765077861285</v>
      </c>
      <c r="L90" s="160">
        <f t="shared" si="7"/>
        <v>0.11995765077861285</v>
      </c>
      <c r="M90" s="160">
        <f t="shared" si="7"/>
        <v>0.11995765077861285</v>
      </c>
      <c r="N90" s="160">
        <f t="shared" si="7"/>
        <v>0.11995765077861285</v>
      </c>
      <c r="O90" s="160">
        <f t="shared" si="7"/>
        <v>0.11995765077861285</v>
      </c>
      <c r="P90" s="160">
        <f t="shared" si="7"/>
        <v>0.11995765077861285</v>
      </c>
    </row>
    <row r="91" spans="2:16">
      <c r="B91" s="8" t="str">
        <f t="shared" si="5"/>
        <v>30-34</v>
      </c>
      <c r="C91" s="160">
        <f t="shared" si="7"/>
        <v>9.2681227995895996E-2</v>
      </c>
      <c r="D91" s="160">
        <f t="shared" si="7"/>
        <v>9.1825734484537444E-2</v>
      </c>
      <c r="E91" s="160">
        <f t="shared" si="7"/>
        <v>9.3331135364943224E-2</v>
      </c>
      <c r="F91" s="160">
        <f t="shared" si="7"/>
        <v>9.3792389806914137E-2</v>
      </c>
      <c r="G91" s="160">
        <f t="shared" si="7"/>
        <v>9.535371775826737E-2</v>
      </c>
      <c r="H91" s="160">
        <f t="shared" si="7"/>
        <v>9.6579533141324295E-2</v>
      </c>
      <c r="I91" s="160">
        <f t="shared" si="7"/>
        <v>9.6579533141324295E-2</v>
      </c>
      <c r="J91" s="160">
        <f t="shared" si="7"/>
        <v>9.6579533141324295E-2</v>
      </c>
      <c r="K91" s="160">
        <f t="shared" si="7"/>
        <v>9.6579533141324295E-2</v>
      </c>
      <c r="L91" s="160">
        <f t="shared" si="7"/>
        <v>9.6579533141324295E-2</v>
      </c>
      <c r="M91" s="160">
        <f t="shared" si="7"/>
        <v>9.6579533141324295E-2</v>
      </c>
      <c r="N91" s="160">
        <f t="shared" si="7"/>
        <v>9.6579533141324295E-2</v>
      </c>
      <c r="O91" s="160">
        <f t="shared" si="7"/>
        <v>9.6579533141324295E-2</v>
      </c>
      <c r="P91" s="160">
        <f t="shared" si="7"/>
        <v>9.6579533141324295E-2</v>
      </c>
    </row>
    <row r="92" spans="2:16">
      <c r="B92" s="8" t="str">
        <f t="shared" si="5"/>
        <v>35-39</v>
      </c>
      <c r="C92" s="160">
        <f t="shared" si="7"/>
        <v>8.5668655264484667E-2</v>
      </c>
      <c r="D92" s="160">
        <f t="shared" si="7"/>
        <v>8.4877891263075184E-2</v>
      </c>
      <c r="E92" s="160">
        <f t="shared" si="7"/>
        <v>8.6269388461019572E-2</v>
      </c>
      <c r="F92" s="160">
        <f t="shared" si="7"/>
        <v>8.6695742844025467E-2</v>
      </c>
      <c r="G92" s="160">
        <f t="shared" si="7"/>
        <v>8.8138935483048408E-2</v>
      </c>
      <c r="H92" s="160">
        <f t="shared" si="7"/>
        <v>8.9272001560611131E-2</v>
      </c>
      <c r="I92" s="160">
        <f t="shared" si="7"/>
        <v>8.9272001560611131E-2</v>
      </c>
      <c r="J92" s="160">
        <f t="shared" si="7"/>
        <v>8.9272001560611131E-2</v>
      </c>
      <c r="K92" s="160">
        <f t="shared" si="7"/>
        <v>8.9272001560611131E-2</v>
      </c>
      <c r="L92" s="160">
        <f t="shared" si="7"/>
        <v>8.9272001560611131E-2</v>
      </c>
      <c r="M92" s="160">
        <f t="shared" si="7"/>
        <v>8.9272001560611131E-2</v>
      </c>
      <c r="N92" s="160">
        <f t="shared" si="7"/>
        <v>8.9272001560611131E-2</v>
      </c>
      <c r="O92" s="160">
        <f t="shared" si="7"/>
        <v>8.9272001560611131E-2</v>
      </c>
      <c r="P92" s="160">
        <f t="shared" si="7"/>
        <v>8.9272001560611131E-2</v>
      </c>
    </row>
    <row r="93" spans="2:16">
      <c r="B93" s="8" t="str">
        <f t="shared" si="5"/>
        <v>40-44</v>
      </c>
      <c r="C93" s="160">
        <f t="shared" si="7"/>
        <v>8.4803864480438987E-2</v>
      </c>
      <c r="D93" s="160">
        <f t="shared" si="7"/>
        <v>8.402108292510227E-2</v>
      </c>
      <c r="E93" s="160">
        <f t="shared" si="7"/>
        <v>8.5398533515812156E-2</v>
      </c>
      <c r="F93" s="160">
        <f t="shared" si="7"/>
        <v>8.5820584021979743E-2</v>
      </c>
      <c r="G93" s="160">
        <f t="shared" si="7"/>
        <v>8.7249208208982798E-2</v>
      </c>
      <c r="H93" s="160">
        <f t="shared" si="7"/>
        <v>8.8370836438028275E-2</v>
      </c>
      <c r="I93" s="160">
        <f t="shared" si="7"/>
        <v>8.8370836438028275E-2</v>
      </c>
      <c r="J93" s="160">
        <f t="shared" si="7"/>
        <v>8.8370836438028275E-2</v>
      </c>
      <c r="K93" s="160">
        <f t="shared" si="7"/>
        <v>8.8370836438028275E-2</v>
      </c>
      <c r="L93" s="160">
        <f t="shared" si="7"/>
        <v>8.8370836438028275E-2</v>
      </c>
      <c r="M93" s="160">
        <f t="shared" si="7"/>
        <v>8.8370836438028275E-2</v>
      </c>
      <c r="N93" s="160">
        <f t="shared" si="7"/>
        <v>8.8370836438028275E-2</v>
      </c>
      <c r="O93" s="160">
        <f t="shared" si="7"/>
        <v>8.8370836438028275E-2</v>
      </c>
      <c r="P93" s="160">
        <f t="shared" si="7"/>
        <v>8.8370836438028275E-2</v>
      </c>
    </row>
    <row r="94" spans="2:16">
      <c r="B94" s="8" t="str">
        <f t="shared" si="5"/>
        <v>45-49</v>
      </c>
      <c r="C94" s="160">
        <f t="shared" si="7"/>
        <v>9.2859143875509129E-2</v>
      </c>
      <c r="D94" s="160">
        <f t="shared" si="7"/>
        <v>9.2002008112705841E-2</v>
      </c>
      <c r="E94" s="160">
        <f t="shared" si="7"/>
        <v>9.3510298841763803E-2</v>
      </c>
      <c r="F94" s="160">
        <f t="shared" si="7"/>
        <v>9.3972438732617347E-2</v>
      </c>
      <c r="G94" s="160">
        <f t="shared" si="7"/>
        <v>9.5536763893241936E-2</v>
      </c>
      <c r="H94" s="160">
        <f t="shared" si="7"/>
        <v>9.6764932417564203E-2</v>
      </c>
      <c r="I94" s="160">
        <f t="shared" si="7"/>
        <v>9.6764932417564203E-2</v>
      </c>
      <c r="J94" s="160">
        <f t="shared" si="7"/>
        <v>9.6764932417564203E-2</v>
      </c>
      <c r="K94" s="160">
        <f t="shared" si="7"/>
        <v>9.6764932417564203E-2</v>
      </c>
      <c r="L94" s="160">
        <f t="shared" si="7"/>
        <v>9.6764932417564203E-2</v>
      </c>
      <c r="M94" s="160">
        <f t="shared" si="7"/>
        <v>9.6764932417564203E-2</v>
      </c>
      <c r="N94" s="160">
        <f t="shared" si="7"/>
        <v>9.6764932417564203E-2</v>
      </c>
      <c r="O94" s="160">
        <f t="shared" si="7"/>
        <v>9.6764932417564203E-2</v>
      </c>
      <c r="P94" s="160">
        <f t="shared" si="7"/>
        <v>9.6764932417564203E-2</v>
      </c>
    </row>
    <row r="95" spans="2:16">
      <c r="B95" s="8" t="str">
        <f t="shared" si="5"/>
        <v>50-54</v>
      </c>
      <c r="C95" s="160">
        <f t="shared" si="7"/>
        <v>9.3927065106643753E-2</v>
      </c>
      <c r="D95" s="160">
        <f t="shared" si="7"/>
        <v>9.3060071903411243E-2</v>
      </c>
      <c r="E95" s="160">
        <f t="shared" si="7"/>
        <v>9.4585708643051047E-2</v>
      </c>
      <c r="F95" s="160">
        <f t="shared" si="7"/>
        <v>9.5053163347078584E-2</v>
      </c>
      <c r="G95" s="160">
        <f t="shared" si="7"/>
        <v>9.6635478939035055E-2</v>
      </c>
      <c r="H95" s="160">
        <f t="shared" si="7"/>
        <v>9.7877771944671663E-2</v>
      </c>
      <c r="I95" s="160">
        <f t="shared" si="7"/>
        <v>9.7877771944671663E-2</v>
      </c>
      <c r="J95" s="160">
        <f t="shared" si="7"/>
        <v>9.7877771944671663E-2</v>
      </c>
      <c r="K95" s="160">
        <f t="shared" si="7"/>
        <v>9.7877771944671663E-2</v>
      </c>
      <c r="L95" s="160">
        <f t="shared" si="7"/>
        <v>9.7877771944671663E-2</v>
      </c>
      <c r="M95" s="160">
        <f t="shared" si="7"/>
        <v>9.7877771944671663E-2</v>
      </c>
      <c r="N95" s="160">
        <f t="shared" si="7"/>
        <v>9.7877771944671663E-2</v>
      </c>
      <c r="O95" s="160">
        <f t="shared" si="7"/>
        <v>9.7877771944671663E-2</v>
      </c>
      <c r="P95" s="160">
        <f t="shared" si="7"/>
        <v>9.7877771944671663E-2</v>
      </c>
    </row>
    <row r="96" spans="2:16">
      <c r="B96" s="8" t="str">
        <f t="shared" si="5"/>
        <v>55-59</v>
      </c>
      <c r="C96" s="160">
        <f t="shared" si="7"/>
        <v>6.4173084612098877E-2</v>
      </c>
      <c r="D96" s="160">
        <f t="shared" si="7"/>
        <v>6.3580735344867065E-2</v>
      </c>
      <c r="E96" s="160">
        <f t="shared" si="7"/>
        <v>6.4623084698262404E-2</v>
      </c>
      <c r="F96" s="160">
        <f t="shared" si="7"/>
        <v>6.4942460271637581E-2</v>
      </c>
      <c r="G96" s="160">
        <f t="shared" si="7"/>
        <v>6.6023533892434483E-2</v>
      </c>
      <c r="H96" s="160">
        <f t="shared" si="7"/>
        <v>6.6872296430401809E-2</v>
      </c>
      <c r="I96" s="160">
        <f t="shared" si="7"/>
        <v>6.6872296430401809E-2</v>
      </c>
      <c r="J96" s="160">
        <f t="shared" si="7"/>
        <v>6.6872296430401809E-2</v>
      </c>
      <c r="K96" s="160">
        <f t="shared" si="7"/>
        <v>6.6872296430401809E-2</v>
      </c>
      <c r="L96" s="160">
        <f t="shared" si="7"/>
        <v>6.6872296430401809E-2</v>
      </c>
      <c r="M96" s="160">
        <f t="shared" si="7"/>
        <v>6.6872296430401809E-2</v>
      </c>
      <c r="N96" s="160">
        <f t="shared" si="7"/>
        <v>6.6872296430401809E-2</v>
      </c>
      <c r="O96" s="160">
        <f t="shared" si="7"/>
        <v>6.6872296430401809E-2</v>
      </c>
      <c r="P96" s="160">
        <f t="shared" si="7"/>
        <v>6.6872296430401809E-2</v>
      </c>
    </row>
    <row r="97" spans="2:16">
      <c r="B97" s="8" t="str">
        <f t="shared" si="5"/>
        <v>60-64</v>
      </c>
      <c r="C97" s="160">
        <f t="shared" si="7"/>
        <v>5.6000195991939887E-2</v>
      </c>
      <c r="D97" s="160">
        <f t="shared" si="7"/>
        <v>5.5483286523411564E-2</v>
      </c>
      <c r="E97" s="160">
        <f t="shared" si="7"/>
        <v>5.6392885437583209E-2</v>
      </c>
      <c r="F97" s="160">
        <f t="shared" si="7"/>
        <v>5.6671586310576255E-2</v>
      </c>
      <c r="G97" s="160">
        <f t="shared" si="7"/>
        <v>5.7614977687386104E-2</v>
      </c>
      <c r="H97" s="160">
        <f t="shared" si="7"/>
        <v>5.8355644413383333E-2</v>
      </c>
      <c r="I97" s="160">
        <f t="shared" si="7"/>
        <v>5.8355644413383333E-2</v>
      </c>
      <c r="J97" s="160">
        <f t="shared" si="7"/>
        <v>5.8355644413383333E-2</v>
      </c>
      <c r="K97" s="160">
        <f t="shared" si="7"/>
        <v>5.8355644413383333E-2</v>
      </c>
      <c r="L97" s="160">
        <f t="shared" si="7"/>
        <v>5.8355644413383333E-2</v>
      </c>
      <c r="M97" s="160">
        <f t="shared" si="7"/>
        <v>5.8355644413383333E-2</v>
      </c>
      <c r="N97" s="160">
        <f t="shared" si="7"/>
        <v>5.8355644413383333E-2</v>
      </c>
      <c r="O97" s="160">
        <f t="shared" si="7"/>
        <v>5.8355644413383333E-2</v>
      </c>
      <c r="P97" s="160">
        <f t="shared" si="7"/>
        <v>5.8355644413383333E-2</v>
      </c>
    </row>
    <row r="98" spans="2:16">
      <c r="B98" s="8" t="str">
        <f t="shared" si="5"/>
        <v>65 plus</v>
      </c>
      <c r="C98" s="160">
        <f t="shared" si="7"/>
        <v>6.5869661743290592E-2</v>
      </c>
      <c r="D98" s="160">
        <f t="shared" si="7"/>
        <v>6.5261652231167366E-2</v>
      </c>
      <c r="E98" s="160">
        <f t="shared" si="7"/>
        <v>6.6331558715194222E-2</v>
      </c>
      <c r="F98" s="160">
        <f t="shared" si="7"/>
        <v>6.6659377786296284E-2</v>
      </c>
      <c r="G98" s="160">
        <f t="shared" si="7"/>
        <v>6.7769032311272334E-2</v>
      </c>
      <c r="H98" s="160">
        <f t="shared" si="7"/>
        <v>6.864023402479795E-2</v>
      </c>
      <c r="I98" s="160">
        <f t="shared" si="7"/>
        <v>6.864023402479795E-2</v>
      </c>
      <c r="J98" s="160">
        <f t="shared" si="7"/>
        <v>6.864023402479795E-2</v>
      </c>
      <c r="K98" s="160">
        <f t="shared" si="7"/>
        <v>6.864023402479795E-2</v>
      </c>
      <c r="L98" s="160">
        <f t="shared" si="7"/>
        <v>6.864023402479795E-2</v>
      </c>
      <c r="M98" s="160">
        <f t="shared" si="7"/>
        <v>6.864023402479795E-2</v>
      </c>
      <c r="N98" s="160">
        <f t="shared" si="7"/>
        <v>6.864023402479795E-2</v>
      </c>
      <c r="O98" s="160">
        <f t="shared" si="7"/>
        <v>6.864023402479795E-2</v>
      </c>
      <c r="P98" s="160">
        <f t="shared" si="7"/>
        <v>6.864023402479795E-2</v>
      </c>
    </row>
    <row r="99" spans="2:16">
      <c r="B99" s="8" t="str">
        <f t="shared" si="5"/>
        <v>Total</v>
      </c>
      <c r="C99" s="160">
        <f t="shared" si="7"/>
        <v>9.5106045960422922E-2</v>
      </c>
      <c r="D99" s="160">
        <f t="shared" si="7"/>
        <v>9.4228170181589785E-2</v>
      </c>
      <c r="E99" s="160">
        <f t="shared" si="7"/>
        <v>9.5772956848929489E-2</v>
      </c>
      <c r="F99" s="160">
        <f t="shared" si="7"/>
        <v>9.6246279085871342E-2</v>
      </c>
      <c r="G99" s="160">
        <f t="shared" si="7"/>
        <v>9.7848456043510168E-2</v>
      </c>
      <c r="H99" s="160">
        <f t="shared" si="7"/>
        <v>9.9106342421161162E-2</v>
      </c>
      <c r="I99" s="160">
        <f t="shared" si="7"/>
        <v>9.9106342421161162E-2</v>
      </c>
      <c r="J99" s="160">
        <f t="shared" si="7"/>
        <v>9.9106342421161162E-2</v>
      </c>
      <c r="K99" s="160">
        <f t="shared" si="7"/>
        <v>9.9106342421161162E-2</v>
      </c>
      <c r="L99" s="160">
        <f t="shared" si="7"/>
        <v>9.9106342421161162E-2</v>
      </c>
      <c r="M99" s="160">
        <f t="shared" si="7"/>
        <v>9.9106342421161162E-2</v>
      </c>
      <c r="N99" s="160">
        <f t="shared" si="7"/>
        <v>9.9106342421161162E-2</v>
      </c>
      <c r="O99" s="160">
        <f t="shared" si="7"/>
        <v>9.9106342421161162E-2</v>
      </c>
      <c r="P99" s="160">
        <f t="shared" si="7"/>
        <v>9.9106342421161162E-2</v>
      </c>
    </row>
    <row r="102" spans="2:16">
      <c r="B102" s="75" t="s">
        <v>1312</v>
      </c>
    </row>
    <row r="104" spans="2:16">
      <c r="B104" s="1113"/>
      <c r="C104" s="1113" t="str">
        <f>C88</f>
        <v>2015/16</v>
      </c>
      <c r="D104" s="1113" t="str">
        <f t="shared" ref="D104:P104" si="8">D88</f>
        <v>2016/17</v>
      </c>
      <c r="E104" s="1113" t="str">
        <f t="shared" si="8"/>
        <v>2017/18</v>
      </c>
      <c r="F104" s="1113" t="str">
        <f t="shared" si="8"/>
        <v>2018/19</v>
      </c>
      <c r="G104" s="1113" t="str">
        <f t="shared" si="8"/>
        <v>2019/20</v>
      </c>
      <c r="H104" s="1113" t="str">
        <f t="shared" si="8"/>
        <v>2020/21</v>
      </c>
      <c r="I104" s="1113" t="str">
        <f t="shared" si="8"/>
        <v>2021/22</v>
      </c>
      <c r="J104" s="1113" t="str">
        <f t="shared" si="8"/>
        <v>2022/23</v>
      </c>
      <c r="K104" s="1113" t="str">
        <f t="shared" si="8"/>
        <v>2023/24</v>
      </c>
      <c r="L104" s="1113" t="str">
        <f t="shared" si="8"/>
        <v>2024/25</v>
      </c>
      <c r="M104" s="1113" t="str">
        <f t="shared" si="8"/>
        <v>2025/26</v>
      </c>
      <c r="N104" s="1113" t="str">
        <f t="shared" si="8"/>
        <v>2026/27</v>
      </c>
      <c r="O104" s="1113" t="str">
        <f t="shared" si="8"/>
        <v>2027/28</v>
      </c>
      <c r="P104" s="1113" t="str">
        <f t="shared" si="8"/>
        <v>2028/29</v>
      </c>
    </row>
    <row r="105" spans="2:16">
      <c r="B105" s="397" t="s">
        <v>1107</v>
      </c>
      <c r="C105" s="918">
        <f>C84</f>
        <v>9.6079496675731402E-2</v>
      </c>
      <c r="D105" s="918">
        <f t="shared" ref="D105:P105" si="9">D84</f>
        <v>0.10087884497840702</v>
      </c>
      <c r="E105" s="918">
        <f t="shared" si="9"/>
        <v>0.10045900796541538</v>
      </c>
      <c r="F105" s="918">
        <f t="shared" si="9"/>
        <v>9.6847052877993958E-2</v>
      </c>
      <c r="G105" s="918">
        <f t="shared" si="9"/>
        <v>0.10048144248174122</v>
      </c>
      <c r="H105" s="918">
        <f t="shared" si="9"/>
        <v>9.8594644364784892E-2</v>
      </c>
      <c r="I105" s="918">
        <f t="shared" si="9"/>
        <v>9.8594644364784892E-2</v>
      </c>
      <c r="J105" s="918">
        <f t="shared" si="9"/>
        <v>9.8594644364784892E-2</v>
      </c>
      <c r="K105" s="918">
        <f t="shared" si="9"/>
        <v>9.8594644364784892E-2</v>
      </c>
      <c r="L105" s="918">
        <f t="shared" si="9"/>
        <v>9.8594644364784892E-2</v>
      </c>
      <c r="M105" s="918">
        <f t="shared" si="9"/>
        <v>9.8594644364784892E-2</v>
      </c>
      <c r="N105" s="918">
        <f t="shared" si="9"/>
        <v>9.8594644364784892E-2</v>
      </c>
      <c r="O105" s="918">
        <f t="shared" si="9"/>
        <v>9.8594644364784892E-2</v>
      </c>
      <c r="P105" s="918">
        <f t="shared" si="9"/>
        <v>9.8594644364784892E-2</v>
      </c>
    </row>
    <row r="106" spans="2:16">
      <c r="B106" s="397" t="s">
        <v>1108</v>
      </c>
      <c r="C106" s="918">
        <f>C99</f>
        <v>9.5106045960422922E-2</v>
      </c>
      <c r="D106" s="918">
        <f t="shared" ref="D106:P106" si="10">D99</f>
        <v>9.4228170181589785E-2</v>
      </c>
      <c r="E106" s="918">
        <f t="shared" si="10"/>
        <v>9.5772956848929489E-2</v>
      </c>
      <c r="F106" s="918">
        <f t="shared" si="10"/>
        <v>9.6246279085871342E-2</v>
      </c>
      <c r="G106" s="918">
        <f t="shared" si="10"/>
        <v>9.7848456043510168E-2</v>
      </c>
      <c r="H106" s="918">
        <f t="shared" si="10"/>
        <v>9.9106342421161162E-2</v>
      </c>
      <c r="I106" s="918">
        <f t="shared" si="10"/>
        <v>9.9106342421161162E-2</v>
      </c>
      <c r="J106" s="918">
        <f t="shared" si="10"/>
        <v>9.9106342421161162E-2</v>
      </c>
      <c r="K106" s="918">
        <f t="shared" si="10"/>
        <v>9.9106342421161162E-2</v>
      </c>
      <c r="L106" s="918">
        <f t="shared" si="10"/>
        <v>9.9106342421161162E-2</v>
      </c>
      <c r="M106" s="918">
        <f t="shared" si="10"/>
        <v>9.9106342421161162E-2</v>
      </c>
      <c r="N106" s="918">
        <f t="shared" si="10"/>
        <v>9.9106342421161162E-2</v>
      </c>
      <c r="O106" s="918">
        <f t="shared" si="10"/>
        <v>9.9106342421161162E-2</v>
      </c>
      <c r="P106" s="918">
        <f t="shared" si="10"/>
        <v>9.9106342421161162E-2</v>
      </c>
    </row>
    <row r="107" spans="2:16">
      <c r="B107" s="397" t="s">
        <v>1109</v>
      </c>
      <c r="C107" s="918">
        <f>Group_2_rates!C84</f>
        <v>8.1955134048225103E-2</v>
      </c>
      <c r="D107" s="918">
        <f>Group_2_rates!D84</f>
        <v>8.6048944352179912E-2</v>
      </c>
      <c r="E107" s="918">
        <f>Group_2_rates!E84</f>
        <v>8.5690826336696738E-2</v>
      </c>
      <c r="F107" s="918">
        <f>Group_2_rates!F84</f>
        <v>8.260985408342969E-2</v>
      </c>
      <c r="G107" s="918">
        <f>Group_2_rates!G84</f>
        <v>8.570996282113312E-2</v>
      </c>
      <c r="H107" s="918">
        <f>Group_2_rates!H84</f>
        <v>8.4100537314680063E-2</v>
      </c>
      <c r="I107" s="918">
        <f>Group_2_rates!I84</f>
        <v>8.4100537314680063E-2</v>
      </c>
      <c r="J107" s="918">
        <f>Group_2_rates!J84</f>
        <v>8.4100537314680063E-2</v>
      </c>
      <c r="K107" s="918">
        <f>Group_2_rates!K84</f>
        <v>8.4100537314680063E-2</v>
      </c>
      <c r="L107" s="918">
        <f>Group_2_rates!L84</f>
        <v>8.4100537314680063E-2</v>
      </c>
      <c r="M107" s="918">
        <f>Group_2_rates!M84</f>
        <v>8.4100537314680063E-2</v>
      </c>
      <c r="N107" s="918">
        <f>Group_2_rates!N84</f>
        <v>8.4100537314680063E-2</v>
      </c>
      <c r="O107" s="918">
        <f>Group_2_rates!O84</f>
        <v>8.4100537314680063E-2</v>
      </c>
      <c r="P107" s="918">
        <f>Group_2_rates!P84</f>
        <v>8.4100537314680063E-2</v>
      </c>
    </row>
    <row r="108" spans="2:16">
      <c r="B108" s="397" t="s">
        <v>1110</v>
      </c>
      <c r="C108" s="918">
        <f>Group_2_rates!C99</f>
        <v>8.83503581938615E-2</v>
      </c>
      <c r="D108" s="918">
        <f>Group_2_rates!D99</f>
        <v>8.7534840749871667E-2</v>
      </c>
      <c r="E108" s="918">
        <f>Group_2_rates!E99</f>
        <v>8.8969896260952017E-2</v>
      </c>
      <c r="F108" s="918">
        <f>Group_2_rates!F99</f>
        <v>8.9409596899882315E-2</v>
      </c>
      <c r="G108" s="918">
        <f>Group_2_rates!G99</f>
        <v>9.0897966084699924E-2</v>
      </c>
      <c r="H108" s="918">
        <f>Group_2_rates!H99</f>
        <v>9.2066500754713357E-2</v>
      </c>
      <c r="I108" s="918">
        <f>Group_2_rates!I99</f>
        <v>9.2066500754713357E-2</v>
      </c>
      <c r="J108" s="918">
        <f>Group_2_rates!J99</f>
        <v>9.2066500754713357E-2</v>
      </c>
      <c r="K108" s="918">
        <f>Group_2_rates!K99</f>
        <v>9.2066500754713357E-2</v>
      </c>
      <c r="L108" s="918">
        <f>Group_2_rates!L99</f>
        <v>9.2066500754713357E-2</v>
      </c>
      <c r="M108" s="918">
        <f>Group_2_rates!M99</f>
        <v>9.2066500754713357E-2</v>
      </c>
      <c r="N108" s="918">
        <f>Group_2_rates!N99</f>
        <v>9.2066500754713357E-2</v>
      </c>
      <c r="O108" s="918">
        <f>Group_2_rates!O99</f>
        <v>9.2066500754713357E-2</v>
      </c>
      <c r="P108" s="918">
        <f>Group_2_rates!P99</f>
        <v>9.2066500754713357E-2</v>
      </c>
    </row>
    <row r="109" spans="2:16">
      <c r="B109" s="397" t="s">
        <v>1111</v>
      </c>
      <c r="C109" s="918">
        <f>Group_3_rates!C84</f>
        <v>7.4427779115003187E-2</v>
      </c>
      <c r="D109" s="918">
        <f>Group_3_rates!D84</f>
        <v>7.8145584138202606E-2</v>
      </c>
      <c r="E109" s="918">
        <f>Group_3_rates!E84</f>
        <v>7.7820358283068242E-2</v>
      </c>
      <c r="F109" s="918">
        <f>Group_3_rates!F84</f>
        <v>7.5022364905488276E-2</v>
      </c>
      <c r="G109" s="918">
        <f>Group_3_rates!G84</f>
        <v>7.7837737133743187E-2</v>
      </c>
      <c r="H109" s="918">
        <f>Group_3_rates!H84</f>
        <v>7.6376132958636184E-2</v>
      </c>
      <c r="I109" s="918">
        <f>Group_3_rates!I84</f>
        <v>7.6376132958636184E-2</v>
      </c>
      <c r="J109" s="918">
        <f>Group_3_rates!J84</f>
        <v>7.6376132958636184E-2</v>
      </c>
      <c r="K109" s="918">
        <f>Group_3_rates!K84</f>
        <v>7.6376132958636184E-2</v>
      </c>
      <c r="L109" s="918">
        <f>Group_3_rates!L84</f>
        <v>7.6376132958636184E-2</v>
      </c>
      <c r="M109" s="918">
        <f>Group_3_rates!M84</f>
        <v>7.6376132958636184E-2</v>
      </c>
      <c r="N109" s="918">
        <f>Group_3_rates!N84</f>
        <v>7.6376132958636184E-2</v>
      </c>
      <c r="O109" s="918">
        <f>Group_3_rates!O84</f>
        <v>7.6376132958636184E-2</v>
      </c>
      <c r="P109" s="918">
        <f>Group_3_rates!P84</f>
        <v>7.6376132958636184E-2</v>
      </c>
    </row>
    <row r="110" spans="2:16">
      <c r="B110" s="397" t="s">
        <v>1112</v>
      </c>
      <c r="C110" s="918">
        <f>Group_3_rates!C99</f>
        <v>8.1857879041581719E-2</v>
      </c>
      <c r="D110" s="918">
        <f>Group_3_rates!D99</f>
        <v>8.1102290386921835E-2</v>
      </c>
      <c r="E110" s="918">
        <f>Group_3_rates!E99</f>
        <v>8.2431889981597062E-2</v>
      </c>
      <c r="F110" s="918">
        <f>Group_3_rates!F99</f>
        <v>8.2839278954905865E-2</v>
      </c>
      <c r="G110" s="918">
        <f>Group_3_rates!G99</f>
        <v>8.4218274435973225E-2</v>
      </c>
      <c r="H110" s="918">
        <f>Group_3_rates!H99</f>
        <v>8.530093863371159E-2</v>
      </c>
      <c r="I110" s="918">
        <f>Group_3_rates!I99</f>
        <v>8.530093863371159E-2</v>
      </c>
      <c r="J110" s="918">
        <f>Group_3_rates!J99</f>
        <v>8.530093863371159E-2</v>
      </c>
      <c r="K110" s="918">
        <f>Group_3_rates!K99</f>
        <v>8.530093863371159E-2</v>
      </c>
      <c r="L110" s="918">
        <f>Group_3_rates!L99</f>
        <v>8.530093863371159E-2</v>
      </c>
      <c r="M110" s="918">
        <f>Group_3_rates!M99</f>
        <v>8.530093863371159E-2</v>
      </c>
      <c r="N110" s="918">
        <f>Group_3_rates!N99</f>
        <v>8.530093863371159E-2</v>
      </c>
      <c r="O110" s="918">
        <f>Group_3_rates!O99</f>
        <v>8.530093863371159E-2</v>
      </c>
      <c r="P110" s="918">
        <f>Group_3_rates!P99</f>
        <v>8.530093863371159E-2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9"/>
  <sheetViews>
    <sheetView showGridLines="0" workbookViewId="0"/>
  </sheetViews>
  <sheetFormatPr defaultRowHeight="12.75"/>
  <cols>
    <col min="2" max="2" width="15.7109375" customWidth="1"/>
    <col min="3" max="20" width="12.7109375" customWidth="1"/>
  </cols>
  <sheetData>
    <row r="1" spans="1:16" s="65" customFormat="1" ht="15">
      <c r="A1" s="64" t="str">
        <f>ModelBanner</f>
        <v>TSM_201819 Publication</v>
      </c>
    </row>
    <row r="2" spans="1:16" s="65" customFormat="1" ht="15">
      <c r="A2" s="940" t="s">
        <v>13</v>
      </c>
      <c r="B2" s="940" t="s">
        <v>30</v>
      </c>
    </row>
    <row r="3" spans="1:16" s="65" customFormat="1" ht="15">
      <c r="A3" s="66"/>
    </row>
    <row r="4" spans="1:16" s="56" customFormat="1">
      <c r="A4" s="57" t="s">
        <v>26</v>
      </c>
      <c r="B4" s="57"/>
    </row>
    <row r="5" spans="1:16" s="46" customFormat="1" ht="28.5" customHeight="1">
      <c r="A5" s="1296" t="s">
        <v>1452</v>
      </c>
      <c r="B5" s="1296"/>
      <c r="C5" s="1296"/>
      <c r="D5" s="1296"/>
      <c r="E5" s="1296"/>
      <c r="F5" s="1296"/>
      <c r="G5" s="1296"/>
      <c r="H5" s="1296"/>
      <c r="I5" s="1296"/>
      <c r="J5" s="1296"/>
      <c r="K5" s="1296"/>
      <c r="L5" s="1296"/>
      <c r="M5" s="1296"/>
      <c r="N5" s="1296"/>
      <c r="O5" s="1296"/>
      <c r="P5" s="1296"/>
    </row>
    <row r="6" spans="1:16" s="45" customFormat="1">
      <c r="A6" s="55" t="s">
        <v>1392</v>
      </c>
      <c r="B6" s="60"/>
      <c r="C6" s="44"/>
      <c r="D6" s="44"/>
      <c r="E6" s="44"/>
      <c r="F6" s="44"/>
      <c r="G6" s="44"/>
      <c r="H6" s="44"/>
      <c r="I6" s="44"/>
    </row>
    <row r="7" spans="1:16" s="45" customFormat="1">
      <c r="A7" s="53" t="s">
        <v>237</v>
      </c>
      <c r="B7" s="55"/>
      <c r="C7" s="44"/>
      <c r="D7" s="44"/>
      <c r="E7" s="44"/>
      <c r="F7" s="44"/>
      <c r="G7" s="44"/>
      <c r="H7" s="44"/>
      <c r="I7" s="44"/>
    </row>
    <row r="8" spans="1:16" s="45" customFormat="1">
      <c r="A8" s="55" t="s">
        <v>24</v>
      </c>
      <c r="B8" s="60"/>
      <c r="C8" s="44"/>
      <c r="D8" s="44"/>
      <c r="E8" s="44"/>
      <c r="F8" s="44"/>
      <c r="G8" s="44"/>
      <c r="H8" s="44"/>
      <c r="I8" s="44"/>
    </row>
    <row r="9" spans="1:16" s="45" customFormat="1">
      <c r="A9" s="53" t="s">
        <v>1450</v>
      </c>
      <c r="B9" s="60"/>
      <c r="C9" s="44"/>
      <c r="D9" s="44"/>
      <c r="E9" s="44"/>
      <c r="F9" s="44"/>
      <c r="G9" s="44"/>
      <c r="H9" s="44"/>
      <c r="I9" s="44"/>
    </row>
    <row r="10" spans="1:16" s="49" customFormat="1">
      <c r="A10" s="54">
        <f>SUM(A12:A2224)</f>
        <v>0</v>
      </c>
      <c r="B10" s="72"/>
      <c r="C10" s="47"/>
      <c r="D10" s="71"/>
      <c r="E10" s="48"/>
      <c r="F10" s="48"/>
      <c r="G10" s="48"/>
      <c r="H10" s="48"/>
      <c r="I10" s="48"/>
    </row>
    <row r="12" spans="1:16" ht="18">
      <c r="B12" s="38" t="s">
        <v>432</v>
      </c>
    </row>
    <row r="14" spans="1:16">
      <c r="B14" s="1004" t="s">
        <v>1748</v>
      </c>
    </row>
    <row r="16" spans="1:16">
      <c r="B16" s="12" t="s">
        <v>433</v>
      </c>
    </row>
    <row r="18" spans="2:8">
      <c r="B18" t="str">
        <f>RAW_DATA_INPUTS!C397</f>
        <v xml:space="preserve">Group 1 subjects comprise Biology, Chemistry, Computing, Mathematics, and Physics. Group 2 subjects comprise Classics, English, Geography, History, and Modern Foreign Languages. All other subjects fall into Group 3. </v>
      </c>
    </row>
    <row r="20" spans="2:8">
      <c r="B20" s="12" t="s">
        <v>1453</v>
      </c>
    </row>
    <row r="22" spans="2:8">
      <c r="B22" s="1294"/>
      <c r="C22" s="1231" t="str">
        <f>RAW_DATA_INPUTS!C400</f>
        <v>Assumed wastage conversion rates</v>
      </c>
      <c r="D22" s="1232"/>
      <c r="E22" s="1232"/>
      <c r="F22" s="1232"/>
      <c r="G22" s="1232"/>
      <c r="H22" s="1233"/>
    </row>
    <row r="23" spans="2:8">
      <c r="B23" s="1295"/>
      <c r="C23" s="1231" t="str">
        <f>RAW_DATA_INPUTS!C401</f>
        <v>Male</v>
      </c>
      <c r="D23" s="1232"/>
      <c r="E23" s="1233"/>
      <c r="F23" s="1231" t="str">
        <f>RAW_DATA_INPUTS!F401</f>
        <v>Female</v>
      </c>
      <c r="G23" s="1232"/>
      <c r="H23" s="1233"/>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55">
        <f>RAW_DATA_INPUTS!C403</f>
        <v>1.194</v>
      </c>
      <c r="D25" s="255">
        <f>RAW_DATA_INPUTS!D403</f>
        <v>0.90100000000000002</v>
      </c>
      <c r="E25" s="255">
        <f>RAW_DATA_INPUTS!E403</f>
        <v>0.79300000000000004</v>
      </c>
      <c r="F25" s="255">
        <f>RAW_DATA_INPUTS!F403</f>
        <v>1.141</v>
      </c>
      <c r="G25" s="255">
        <f>RAW_DATA_INPUTS!G403</f>
        <v>0.94099999999999995</v>
      </c>
      <c r="H25" s="255">
        <f>RAW_DATA_INPUTS!H403</f>
        <v>0.91600000000000004</v>
      </c>
    </row>
    <row r="26" spans="2:8">
      <c r="B26" s="8" t="str">
        <f>RAW_DATA_INPUTS!B404</f>
        <v>25-29</v>
      </c>
      <c r="C26" s="255">
        <f>RAW_DATA_INPUTS!C404</f>
        <v>1.1179999999999999</v>
      </c>
      <c r="D26" s="255">
        <f>RAW_DATA_INPUTS!D404</f>
        <v>1.0980000000000001</v>
      </c>
      <c r="E26" s="255">
        <f>RAW_DATA_INPUTS!E404</f>
        <v>0.81200000000000006</v>
      </c>
      <c r="F26" s="255">
        <f>RAW_DATA_INPUTS!F404</f>
        <v>1.101</v>
      </c>
      <c r="G26" s="255">
        <f>RAW_DATA_INPUTS!G404</f>
        <v>1.0469999999999999</v>
      </c>
      <c r="H26" s="255">
        <f>RAW_DATA_INPUTS!H404</f>
        <v>0.88400000000000001</v>
      </c>
    </row>
    <row r="27" spans="2:8">
      <c r="B27" s="8" t="str">
        <f>RAW_DATA_INPUTS!B405</f>
        <v>30-34</v>
      </c>
      <c r="C27" s="255">
        <f>RAW_DATA_INPUTS!C405</f>
        <v>1.141</v>
      </c>
      <c r="D27" s="255">
        <f>RAW_DATA_INPUTS!D405</f>
        <v>1.028</v>
      </c>
      <c r="E27" s="255">
        <f>RAW_DATA_INPUTS!E405</f>
        <v>0.86499999999999999</v>
      </c>
      <c r="F27" s="255">
        <f>RAW_DATA_INPUTS!F405</f>
        <v>1.0620000000000001</v>
      </c>
      <c r="G27" s="255">
        <f>RAW_DATA_INPUTS!G405</f>
        <v>1.0589999999999999</v>
      </c>
      <c r="H27" s="255">
        <f>RAW_DATA_INPUTS!H405</f>
        <v>0.91200000000000003</v>
      </c>
    </row>
    <row r="28" spans="2:8">
      <c r="B28" s="8" t="str">
        <f>RAW_DATA_INPUTS!B406</f>
        <v>35-39</v>
      </c>
      <c r="C28" s="255">
        <f>RAW_DATA_INPUTS!C406</f>
        <v>1.1539999999999999</v>
      </c>
      <c r="D28" s="255">
        <f>RAW_DATA_INPUTS!D406</f>
        <v>0.93600000000000005</v>
      </c>
      <c r="E28" s="255">
        <f>RAW_DATA_INPUTS!E406</f>
        <v>0.90300000000000002</v>
      </c>
      <c r="F28" s="255">
        <f>RAW_DATA_INPUTS!F406</f>
        <v>1.0449999999999999</v>
      </c>
      <c r="G28" s="255">
        <f>RAW_DATA_INPUTS!G406</f>
        <v>1.028</v>
      </c>
      <c r="H28" s="255">
        <f>RAW_DATA_INPUTS!H406</f>
        <v>0.94399999999999995</v>
      </c>
    </row>
    <row r="29" spans="2:8">
      <c r="B29" s="8" t="str">
        <f>RAW_DATA_INPUTS!B407</f>
        <v>40-44</v>
      </c>
      <c r="C29" s="255">
        <f>RAW_DATA_INPUTS!C407</f>
        <v>1.0289999999999999</v>
      </c>
      <c r="D29" s="255">
        <f>RAW_DATA_INPUTS!D407</f>
        <v>0.94699999999999995</v>
      </c>
      <c r="E29" s="255">
        <f>RAW_DATA_INPUTS!E407</f>
        <v>1.0029999999999999</v>
      </c>
      <c r="F29" s="255">
        <f>RAW_DATA_INPUTS!F407</f>
        <v>1.0489999999999999</v>
      </c>
      <c r="G29" s="255">
        <f>RAW_DATA_INPUTS!G407</f>
        <v>0.996</v>
      </c>
      <c r="H29" s="255">
        <f>RAW_DATA_INPUTS!H407</f>
        <v>0.96599999999999997</v>
      </c>
    </row>
    <row r="30" spans="2:8">
      <c r="B30" s="8" t="str">
        <f>RAW_DATA_INPUTS!B408</f>
        <v>45-49</v>
      </c>
      <c r="C30" s="255">
        <f>RAW_DATA_INPUTS!C408</f>
        <v>1.091</v>
      </c>
      <c r="D30" s="255">
        <f>RAW_DATA_INPUTS!D408</f>
        <v>0.96199999999999997</v>
      </c>
      <c r="E30" s="255">
        <f>RAW_DATA_INPUTS!E408</f>
        <v>0.91700000000000004</v>
      </c>
      <c r="F30" s="255">
        <f>RAW_DATA_INPUTS!F408</f>
        <v>1.052</v>
      </c>
      <c r="G30" s="255">
        <f>RAW_DATA_INPUTS!G408</f>
        <v>0.96799999999999997</v>
      </c>
      <c r="H30" s="255">
        <f>RAW_DATA_INPUTS!H408</f>
        <v>0.99</v>
      </c>
    </row>
    <row r="31" spans="2:8">
      <c r="B31" s="8" t="str">
        <f>RAW_DATA_INPUTS!B409</f>
        <v>50-54</v>
      </c>
      <c r="C31" s="255">
        <f>RAW_DATA_INPUTS!C409</f>
        <v>1.163</v>
      </c>
      <c r="D31" s="255">
        <f>RAW_DATA_INPUTS!D409</f>
        <v>0.753</v>
      </c>
      <c r="E31" s="255">
        <f>RAW_DATA_INPUTS!E409</f>
        <v>0.96199999999999997</v>
      </c>
      <c r="F31" s="255">
        <f>RAW_DATA_INPUTS!F409</f>
        <v>1.073</v>
      </c>
      <c r="G31" s="255">
        <f>RAW_DATA_INPUTS!G409</f>
        <v>0.95399999999999996</v>
      </c>
      <c r="H31" s="255">
        <f>RAW_DATA_INPUTS!H409</f>
        <v>0.98599999999999999</v>
      </c>
    </row>
    <row r="32" spans="2:8">
      <c r="B32" s="8" t="str">
        <f>RAW_DATA_INPUTS!B410</f>
        <v>55-59</v>
      </c>
      <c r="C32" s="255">
        <f>RAW_DATA_INPUTS!C410</f>
        <v>1.204</v>
      </c>
      <c r="D32" s="255">
        <f>RAW_DATA_INPUTS!D410</f>
        <v>0.93799999999999994</v>
      </c>
      <c r="E32" s="255">
        <f>RAW_DATA_INPUTS!E410</f>
        <v>0.83299999999999996</v>
      </c>
      <c r="F32" s="255">
        <f>RAW_DATA_INPUTS!F410</f>
        <v>1.1200000000000001</v>
      </c>
      <c r="G32" s="255">
        <f>RAW_DATA_INPUTS!G410</f>
        <v>0.90400000000000003</v>
      </c>
      <c r="H32" s="255">
        <f>RAW_DATA_INPUTS!H410</f>
        <v>1.0189999999999999</v>
      </c>
    </row>
    <row r="33" spans="2:18">
      <c r="B33" s="8" t="str">
        <f>RAW_DATA_INPUTS!B411</f>
        <v>60-64</v>
      </c>
      <c r="C33" s="255">
        <f>RAW_DATA_INPUTS!C411</f>
        <v>1.294</v>
      </c>
      <c r="D33" s="255">
        <f>RAW_DATA_INPUTS!D411</f>
        <v>0.64300000000000002</v>
      </c>
      <c r="E33" s="255">
        <f>RAW_DATA_INPUTS!E411</f>
        <v>0.89300000000000002</v>
      </c>
      <c r="F33" s="255">
        <f>RAW_DATA_INPUTS!F411</f>
        <v>1.0740000000000001</v>
      </c>
      <c r="G33" s="255">
        <f>RAW_DATA_INPUTS!G411</f>
        <v>1.012</v>
      </c>
      <c r="H33" s="255">
        <f>RAW_DATA_INPUTS!H411</f>
        <v>0.94</v>
      </c>
    </row>
    <row r="34" spans="2:18">
      <c r="B34" s="8" t="str">
        <f>RAW_DATA_INPUTS!B412</f>
        <v>65 plus</v>
      </c>
      <c r="C34" s="255">
        <f>RAW_DATA_INPUTS!C412</f>
        <v>1.079</v>
      </c>
      <c r="D34" s="255">
        <f>RAW_DATA_INPUTS!D412</f>
        <v>1.117</v>
      </c>
      <c r="E34" s="255">
        <f>RAW_DATA_INPUTS!E412</f>
        <v>0.82799999999999996</v>
      </c>
      <c r="F34" s="255">
        <f>RAW_DATA_INPUTS!F412</f>
        <v>0.85499999999999998</v>
      </c>
      <c r="G34" s="255">
        <f>RAW_DATA_INPUTS!G412</f>
        <v>1.1200000000000001</v>
      </c>
      <c r="H34" s="255">
        <f>RAW_DATA_INPUTS!H412</f>
        <v>0.98499999999999999</v>
      </c>
    </row>
    <row r="35" spans="2:18">
      <c r="B35" s="8" t="str">
        <f>RAW_DATA_INPUTS!B413</f>
        <v>Total</v>
      </c>
      <c r="C35" s="255">
        <f>RAW_DATA_INPUTS!C413</f>
        <v>1.1360000000000001</v>
      </c>
      <c r="D35" s="255">
        <f>RAW_DATA_INPUTS!D413</f>
        <v>0.96899999999999997</v>
      </c>
      <c r="E35" s="255">
        <f>RAW_DATA_INPUTS!E413</f>
        <v>0.88</v>
      </c>
      <c r="F35" s="255">
        <f>RAW_DATA_INPUTS!F413</f>
        <v>1.0840000000000001</v>
      </c>
      <c r="G35" s="255">
        <f>RAW_DATA_INPUTS!G413</f>
        <v>1.0069999999999999</v>
      </c>
      <c r="H35" s="255">
        <f>RAW_DATA_INPUTS!H413</f>
        <v>0.93300000000000005</v>
      </c>
    </row>
    <row r="37" spans="2:18" ht="18">
      <c r="B37" s="38" t="s">
        <v>1454</v>
      </c>
    </row>
    <row r="39" spans="2:18">
      <c r="B39" s="5" t="str">
        <f>Projected_SEC_wastage_rates!B52</f>
        <v>Male projected wastage rates</v>
      </c>
      <c r="C39" s="12"/>
      <c r="E39" s="12"/>
      <c r="F39" s="256"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2015/16</v>
      </c>
      <c r="D41" s="8" t="str">
        <f>Projected_SEC_wastage_rates!D54</f>
        <v>2016/17</v>
      </c>
      <c r="E41" s="8" t="str">
        <f>Projected_SEC_wastage_rates!E54</f>
        <v>2017/18</v>
      </c>
      <c r="F41" s="8" t="str">
        <f>Projected_SEC_wastage_rates!F54</f>
        <v>2018/19</v>
      </c>
      <c r="G41" s="8" t="str">
        <f>Projected_SEC_wastage_rates!G54</f>
        <v>2019/20</v>
      </c>
      <c r="H41" s="8" t="str">
        <f>Projected_SEC_wastage_rates!H54</f>
        <v>2020/21</v>
      </c>
      <c r="I41" s="8" t="str">
        <f>Projected_SEC_wastage_rates!I54</f>
        <v>2021/22</v>
      </c>
      <c r="J41" s="8" t="str">
        <f>Projected_SEC_wastage_rates!J54</f>
        <v>2022/23</v>
      </c>
      <c r="K41" s="8" t="str">
        <f>Projected_SEC_wastage_rates!K54</f>
        <v>2023/24</v>
      </c>
      <c r="L41" s="8" t="str">
        <f>Projected_SEC_wastage_rates!L54</f>
        <v>2024/25</v>
      </c>
      <c r="M41" s="8" t="str">
        <f>Projected_SEC_wastage_rates!M54</f>
        <v>2025/26</v>
      </c>
      <c r="N41" s="8" t="str">
        <f>Projected_SEC_wastage_rates!N54</f>
        <v>2026/27</v>
      </c>
      <c r="O41" s="8" t="str">
        <f>Projected_SEC_wastage_rates!O54</f>
        <v>2027/28</v>
      </c>
      <c r="P41" s="8" t="str">
        <f>Projected_SEC_wastage_rates!P54</f>
        <v>2028/29</v>
      </c>
      <c r="Q41" s="12"/>
      <c r="R41" s="12"/>
    </row>
    <row r="42" spans="2:18">
      <c r="B42" s="8" t="str">
        <f>Projected_SEC_wastage_rates!B55</f>
        <v>20-24</v>
      </c>
      <c r="C42" s="908">
        <f>Projected_SEC_wastage_rates!C55</f>
        <v>0.14766015536156041</v>
      </c>
      <c r="D42" s="908">
        <f>Projected_SEC_wastage_rates!D55</f>
        <v>0.15503605282695923</v>
      </c>
      <c r="E42" s="908">
        <f>Projected_SEC_wastage_rates!E55</f>
        <v>0.15439082464915035</v>
      </c>
      <c r="F42" s="908">
        <f>Projected_SEC_wastage_rates!F55</f>
        <v>0.14883977715389068</v>
      </c>
      <c r="G42" s="908">
        <f>Projected_SEC_wastage_rates!G55</f>
        <v>0.15442530322450462</v>
      </c>
      <c r="H42" s="908">
        <f>Projected_SEC_wastage_rates!H55</f>
        <v>0.15152557005847894</v>
      </c>
      <c r="I42" s="908">
        <f>Projected_SEC_wastage_rates!I55</f>
        <v>0.15152557005847894</v>
      </c>
      <c r="J42" s="908">
        <f>Projected_SEC_wastage_rates!J55</f>
        <v>0.15152557005847894</v>
      </c>
      <c r="K42" s="908">
        <f>Projected_SEC_wastage_rates!K55</f>
        <v>0.15152557005847894</v>
      </c>
      <c r="L42" s="908">
        <f>Projected_SEC_wastage_rates!L55</f>
        <v>0.15152557005847894</v>
      </c>
      <c r="M42" s="908">
        <f>Projected_SEC_wastage_rates!M55</f>
        <v>0.15152557005847894</v>
      </c>
      <c r="N42" s="908">
        <f>Projected_SEC_wastage_rates!N55</f>
        <v>0.15152557005847894</v>
      </c>
      <c r="O42" s="908">
        <f>Projected_SEC_wastage_rates!O55</f>
        <v>0.15152557005847894</v>
      </c>
      <c r="P42" s="908">
        <f>Projected_SEC_wastage_rates!P55</f>
        <v>0.15152557005847894</v>
      </c>
      <c r="Q42" s="12"/>
      <c r="R42" s="12"/>
    </row>
    <row r="43" spans="2:18">
      <c r="B43" s="8" t="str">
        <f>Projected_SEC_wastage_rates!B56</f>
        <v>25-29</v>
      </c>
      <c r="C43" s="908">
        <f>Projected_SEC_wastage_rates!C56</f>
        <v>0.11329070792352844</v>
      </c>
      <c r="D43" s="908">
        <f>Projected_SEC_wastage_rates!D56</f>
        <v>0.11894978801443239</v>
      </c>
      <c r="E43" s="908">
        <f>Projected_SEC_wastage_rates!E56</f>
        <v>0.11845474345175272</v>
      </c>
      <c r="F43" s="908">
        <f>Projected_SEC_wastage_rates!F56</f>
        <v>0.11419576039085037</v>
      </c>
      <c r="G43" s="908">
        <f>Projected_SEC_wastage_rates!G56</f>
        <v>0.1184811967776382</v>
      </c>
      <c r="H43" s="908">
        <f>Projected_SEC_wastage_rates!H56</f>
        <v>0.11625640687162742</v>
      </c>
      <c r="I43" s="908">
        <f>Projected_SEC_wastage_rates!I56</f>
        <v>0.11625640687162742</v>
      </c>
      <c r="J43" s="908">
        <f>Projected_SEC_wastage_rates!J56</f>
        <v>0.11625640687162742</v>
      </c>
      <c r="K43" s="908">
        <f>Projected_SEC_wastage_rates!K56</f>
        <v>0.11625640687162742</v>
      </c>
      <c r="L43" s="908">
        <f>Projected_SEC_wastage_rates!L56</f>
        <v>0.11625640687162742</v>
      </c>
      <c r="M43" s="908">
        <f>Projected_SEC_wastage_rates!M56</f>
        <v>0.11625640687162742</v>
      </c>
      <c r="N43" s="908">
        <f>Projected_SEC_wastage_rates!N56</f>
        <v>0.11625640687162742</v>
      </c>
      <c r="O43" s="908">
        <f>Projected_SEC_wastage_rates!O56</f>
        <v>0.11625640687162742</v>
      </c>
      <c r="P43" s="908">
        <f>Projected_SEC_wastage_rates!P56</f>
        <v>0.11625640687162742</v>
      </c>
      <c r="Q43" s="12"/>
      <c r="R43" s="12"/>
    </row>
    <row r="44" spans="2:18">
      <c r="B44" s="8" t="str">
        <f>Projected_SEC_wastage_rates!B57</f>
        <v>30-34</v>
      </c>
      <c r="C44" s="908">
        <f>Projected_SEC_wastage_rates!C57</f>
        <v>7.8531056665268828E-2</v>
      </c>
      <c r="D44" s="908">
        <f>Projected_SEC_wastage_rates!D57</f>
        <v>8.2453827980212446E-2</v>
      </c>
      <c r="E44" s="908">
        <f>Projected_SEC_wastage_rates!E57</f>
        <v>8.2110672099944909E-2</v>
      </c>
      <c r="F44" s="908">
        <f>Projected_SEC_wastage_rates!F57</f>
        <v>7.9158422562251973E-2</v>
      </c>
      <c r="G44" s="908">
        <f>Projected_SEC_wastage_rates!G57</f>
        <v>8.2129009063956995E-2</v>
      </c>
      <c r="H44" s="908">
        <f>Projected_SEC_wastage_rates!H57</f>
        <v>8.0586825195751458E-2</v>
      </c>
      <c r="I44" s="908">
        <f>Projected_SEC_wastage_rates!I57</f>
        <v>8.0586825195751458E-2</v>
      </c>
      <c r="J44" s="908">
        <f>Projected_SEC_wastage_rates!J57</f>
        <v>8.0586825195751458E-2</v>
      </c>
      <c r="K44" s="908">
        <f>Projected_SEC_wastage_rates!K57</f>
        <v>8.0586825195751458E-2</v>
      </c>
      <c r="L44" s="908">
        <f>Projected_SEC_wastage_rates!L57</f>
        <v>8.0586825195751458E-2</v>
      </c>
      <c r="M44" s="908">
        <f>Projected_SEC_wastage_rates!M57</f>
        <v>8.0586825195751458E-2</v>
      </c>
      <c r="N44" s="908">
        <f>Projected_SEC_wastage_rates!N57</f>
        <v>8.0586825195751458E-2</v>
      </c>
      <c r="O44" s="908">
        <f>Projected_SEC_wastage_rates!O57</f>
        <v>8.0586825195751458E-2</v>
      </c>
      <c r="P44" s="908">
        <f>Projected_SEC_wastage_rates!P57</f>
        <v>8.0586825195751458E-2</v>
      </c>
      <c r="Q44" s="12"/>
      <c r="R44" s="12"/>
    </row>
    <row r="45" spans="2:18">
      <c r="B45" s="8" t="str">
        <f>Projected_SEC_wastage_rates!B58</f>
        <v>35-39</v>
      </c>
      <c r="C45" s="908">
        <f>Projected_SEC_wastage_rates!C58</f>
        <v>7.5061107169139898E-2</v>
      </c>
      <c r="D45" s="908">
        <f>Projected_SEC_wastage_rates!D58</f>
        <v>7.8810548098300764E-2</v>
      </c>
      <c r="E45" s="908">
        <f>Projected_SEC_wastage_rates!E58</f>
        <v>7.8482554799875259E-2</v>
      </c>
      <c r="F45" s="908">
        <f>Projected_SEC_wastage_rates!F58</f>
        <v>7.5660752466521236E-2</v>
      </c>
      <c r="G45" s="908">
        <f>Projected_SEC_wastage_rates!G58</f>
        <v>7.8500081532346652E-2</v>
      </c>
      <c r="H45" s="908">
        <f>Projected_SEC_wastage_rates!H58</f>
        <v>7.7026040133676796E-2</v>
      </c>
      <c r="I45" s="908">
        <f>Projected_SEC_wastage_rates!I58</f>
        <v>7.7026040133676796E-2</v>
      </c>
      <c r="J45" s="908">
        <f>Projected_SEC_wastage_rates!J58</f>
        <v>7.7026040133676796E-2</v>
      </c>
      <c r="K45" s="908">
        <f>Projected_SEC_wastage_rates!K58</f>
        <v>7.7026040133676796E-2</v>
      </c>
      <c r="L45" s="908">
        <f>Projected_SEC_wastage_rates!L58</f>
        <v>7.7026040133676796E-2</v>
      </c>
      <c r="M45" s="908">
        <f>Projected_SEC_wastage_rates!M58</f>
        <v>7.7026040133676796E-2</v>
      </c>
      <c r="N45" s="908">
        <f>Projected_SEC_wastage_rates!N58</f>
        <v>7.7026040133676796E-2</v>
      </c>
      <c r="O45" s="908">
        <f>Projected_SEC_wastage_rates!O58</f>
        <v>7.7026040133676796E-2</v>
      </c>
      <c r="P45" s="908">
        <f>Projected_SEC_wastage_rates!P58</f>
        <v>7.7026040133676796E-2</v>
      </c>
      <c r="Q45" s="12"/>
      <c r="R45" s="12"/>
    </row>
    <row r="46" spans="2:18">
      <c r="B46" s="8" t="str">
        <f>Projected_SEC_wastage_rates!B59</f>
        <v>40-44</v>
      </c>
      <c r="C46" s="908">
        <f>Projected_SEC_wastage_rates!C59</f>
        <v>7.4700185914064701E-2</v>
      </c>
      <c r="D46" s="908">
        <f>Projected_SEC_wastage_rates!D59</f>
        <v>7.8431598159969765E-2</v>
      </c>
      <c r="E46" s="908">
        <f>Projected_SEC_wastage_rates!E59</f>
        <v>7.8105181973278787E-2</v>
      </c>
      <c r="F46" s="908">
        <f>Projected_SEC_wastage_rates!F59</f>
        <v>7.5296947897550287E-2</v>
      </c>
      <c r="G46" s="908">
        <f>Projected_SEC_wastage_rates!G59</f>
        <v>7.8122624430810472E-2</v>
      </c>
      <c r="H46" s="908">
        <f>Projected_SEC_wastage_rates!H59</f>
        <v>7.6655670762280845E-2</v>
      </c>
      <c r="I46" s="908">
        <f>Projected_SEC_wastage_rates!I59</f>
        <v>7.6655670762280845E-2</v>
      </c>
      <c r="J46" s="908">
        <f>Projected_SEC_wastage_rates!J59</f>
        <v>7.6655670762280845E-2</v>
      </c>
      <c r="K46" s="908">
        <f>Projected_SEC_wastage_rates!K59</f>
        <v>7.6655670762280845E-2</v>
      </c>
      <c r="L46" s="908">
        <f>Projected_SEC_wastage_rates!L59</f>
        <v>7.6655670762280845E-2</v>
      </c>
      <c r="M46" s="908">
        <f>Projected_SEC_wastage_rates!M59</f>
        <v>7.6655670762280845E-2</v>
      </c>
      <c r="N46" s="908">
        <f>Projected_SEC_wastage_rates!N59</f>
        <v>7.6655670762280845E-2</v>
      </c>
      <c r="O46" s="908">
        <f>Projected_SEC_wastage_rates!O59</f>
        <v>7.6655670762280845E-2</v>
      </c>
      <c r="P46" s="908">
        <f>Projected_SEC_wastage_rates!P59</f>
        <v>7.6655670762280845E-2</v>
      </c>
      <c r="Q46" s="12"/>
      <c r="R46" s="12"/>
    </row>
    <row r="47" spans="2:18">
      <c r="B47" s="8" t="str">
        <f>Projected_SEC_wastage_rates!B60</f>
        <v>45-49</v>
      </c>
      <c r="C47" s="908">
        <f>Projected_SEC_wastage_rates!C60</f>
        <v>8.8230864613054391E-2</v>
      </c>
      <c r="D47" s="908">
        <f>Projected_SEC_wastage_rates!D60</f>
        <v>9.2638159249009977E-2</v>
      </c>
      <c r="E47" s="908">
        <f>Projected_SEC_wastage_rates!E60</f>
        <v>9.2252618275811174E-2</v>
      </c>
      <c r="F47" s="908">
        <f>Projected_SEC_wastage_rates!F60</f>
        <v>8.8935719964173682E-2</v>
      </c>
      <c r="G47" s="908">
        <f>Projected_SEC_wastage_rates!G60</f>
        <v>9.2273220140320147E-2</v>
      </c>
      <c r="H47" s="908">
        <f>Projected_SEC_wastage_rates!H60</f>
        <v>9.0540552558065951E-2</v>
      </c>
      <c r="I47" s="908">
        <f>Projected_SEC_wastage_rates!I60</f>
        <v>9.0540552558065951E-2</v>
      </c>
      <c r="J47" s="908">
        <f>Projected_SEC_wastage_rates!J60</f>
        <v>9.0540552558065951E-2</v>
      </c>
      <c r="K47" s="908">
        <f>Projected_SEC_wastage_rates!K60</f>
        <v>9.0540552558065951E-2</v>
      </c>
      <c r="L47" s="908">
        <f>Projected_SEC_wastage_rates!L60</f>
        <v>9.0540552558065951E-2</v>
      </c>
      <c r="M47" s="908">
        <f>Projected_SEC_wastage_rates!M60</f>
        <v>9.0540552558065951E-2</v>
      </c>
      <c r="N47" s="908">
        <f>Projected_SEC_wastage_rates!N60</f>
        <v>9.0540552558065951E-2</v>
      </c>
      <c r="O47" s="908">
        <f>Projected_SEC_wastage_rates!O60</f>
        <v>9.0540552558065951E-2</v>
      </c>
      <c r="P47" s="908">
        <f>Projected_SEC_wastage_rates!P60</f>
        <v>9.0540552558065951E-2</v>
      </c>
      <c r="Q47" s="12"/>
      <c r="R47" s="12"/>
    </row>
    <row r="48" spans="2:18">
      <c r="B48" s="8" t="str">
        <f>Projected_SEC_wastage_rates!B61</f>
        <v>50-54</v>
      </c>
      <c r="C48" s="908">
        <f>Projected_SEC_wastage_rates!C61</f>
        <v>8.4703063996146771E-2</v>
      </c>
      <c r="D48" s="908">
        <f>Projected_SEC_wastage_rates!D61</f>
        <v>8.8934138475994795E-2</v>
      </c>
      <c r="E48" s="908">
        <f>Projected_SEC_wastage_rates!E61</f>
        <v>8.8564012875738993E-2</v>
      </c>
      <c r="F48" s="908">
        <f>Projected_SEC_wastage_rates!F61</f>
        <v>8.537973658884683E-2</v>
      </c>
      <c r="G48" s="908">
        <f>Projected_SEC_wastage_rates!G61</f>
        <v>8.858379100049836E-2</v>
      </c>
      <c r="H48" s="908">
        <f>Projected_SEC_wastage_rates!H61</f>
        <v>8.6920401961443058E-2</v>
      </c>
      <c r="I48" s="908">
        <f>Projected_SEC_wastage_rates!I61</f>
        <v>8.6920401961443058E-2</v>
      </c>
      <c r="J48" s="908">
        <f>Projected_SEC_wastage_rates!J61</f>
        <v>8.6920401961443058E-2</v>
      </c>
      <c r="K48" s="908">
        <f>Projected_SEC_wastage_rates!K61</f>
        <v>8.6920401961443058E-2</v>
      </c>
      <c r="L48" s="908">
        <f>Projected_SEC_wastage_rates!L61</f>
        <v>8.6920401961443058E-2</v>
      </c>
      <c r="M48" s="908">
        <f>Projected_SEC_wastage_rates!M61</f>
        <v>8.6920401961443058E-2</v>
      </c>
      <c r="N48" s="908">
        <f>Projected_SEC_wastage_rates!N61</f>
        <v>8.6920401961443058E-2</v>
      </c>
      <c r="O48" s="908">
        <f>Projected_SEC_wastage_rates!O61</f>
        <v>8.6920401961443058E-2</v>
      </c>
      <c r="P48" s="908">
        <f>Projected_SEC_wastage_rates!P61</f>
        <v>8.6920401961443058E-2</v>
      </c>
      <c r="Q48" s="12"/>
      <c r="R48" s="12"/>
    </row>
    <row r="49" spans="2:18">
      <c r="B49" s="8" t="str">
        <f>Projected_SEC_wastage_rates!B62</f>
        <v>55-59</v>
      </c>
      <c r="C49" s="908">
        <f>Projected_SEC_wastage_rates!C62</f>
        <v>5.8260339213633106E-2</v>
      </c>
      <c r="D49" s="908">
        <f>Projected_SEC_wastage_rates!D62</f>
        <v>6.117055075503975E-2</v>
      </c>
      <c r="E49" s="908">
        <f>Projected_SEC_wastage_rates!E62</f>
        <v>6.0915971498927676E-2</v>
      </c>
      <c r="F49" s="908">
        <f>Projected_SEC_wastage_rates!F62</f>
        <v>5.8725767179604538E-2</v>
      </c>
      <c r="G49" s="908">
        <f>Projected_SEC_wastage_rates!G62</f>
        <v>6.0929575260151032E-2</v>
      </c>
      <c r="H49" s="908">
        <f>Projected_SEC_wastage_rates!H62</f>
        <v>5.9785465412318266E-2</v>
      </c>
      <c r="I49" s="908">
        <f>Projected_SEC_wastage_rates!I62</f>
        <v>5.9785465412318266E-2</v>
      </c>
      <c r="J49" s="908">
        <f>Projected_SEC_wastage_rates!J62</f>
        <v>5.9785465412318266E-2</v>
      </c>
      <c r="K49" s="908">
        <f>Projected_SEC_wastage_rates!K62</f>
        <v>5.9785465412318266E-2</v>
      </c>
      <c r="L49" s="908">
        <f>Projected_SEC_wastage_rates!L62</f>
        <v>5.9785465412318266E-2</v>
      </c>
      <c r="M49" s="908">
        <f>Projected_SEC_wastage_rates!M62</f>
        <v>5.9785465412318266E-2</v>
      </c>
      <c r="N49" s="908">
        <f>Projected_SEC_wastage_rates!N62</f>
        <v>5.9785465412318266E-2</v>
      </c>
      <c r="O49" s="908">
        <f>Projected_SEC_wastage_rates!O62</f>
        <v>5.9785465412318266E-2</v>
      </c>
      <c r="P49" s="908">
        <f>Projected_SEC_wastage_rates!P62</f>
        <v>5.9785465412318266E-2</v>
      </c>
      <c r="Q49" s="12"/>
      <c r="R49" s="12"/>
    </row>
    <row r="50" spans="2:18">
      <c r="B50" s="8" t="str">
        <f>Projected_SEC_wastage_rates!B63</f>
        <v>60-64</v>
      </c>
      <c r="C50" s="908">
        <f>Projected_SEC_wastage_rates!C63</f>
        <v>5.7845320088767388E-2</v>
      </c>
      <c r="D50" s="908">
        <f>Projected_SEC_wastage_rates!D63</f>
        <v>6.0734800658411928E-2</v>
      </c>
      <c r="E50" s="908">
        <f>Projected_SEC_wastage_rates!E63</f>
        <v>6.0482034904615602E-2</v>
      </c>
      <c r="F50" s="908">
        <f>Projected_SEC_wastage_rates!F63</f>
        <v>5.8307432565853363E-2</v>
      </c>
      <c r="G50" s="908">
        <f>Projected_SEC_wastage_rates!G63</f>
        <v>6.0495541759072645E-2</v>
      </c>
      <c r="H50" s="908">
        <f>Projected_SEC_wastage_rates!H63</f>
        <v>5.9359582009131627E-2</v>
      </c>
      <c r="I50" s="908">
        <f>Projected_SEC_wastage_rates!I63</f>
        <v>5.9359582009131627E-2</v>
      </c>
      <c r="J50" s="908">
        <f>Projected_SEC_wastage_rates!J63</f>
        <v>5.9359582009131627E-2</v>
      </c>
      <c r="K50" s="908">
        <f>Projected_SEC_wastage_rates!K63</f>
        <v>5.9359582009131627E-2</v>
      </c>
      <c r="L50" s="908">
        <f>Projected_SEC_wastage_rates!L63</f>
        <v>5.9359582009131627E-2</v>
      </c>
      <c r="M50" s="908">
        <f>Projected_SEC_wastage_rates!M63</f>
        <v>5.9359582009131627E-2</v>
      </c>
      <c r="N50" s="908">
        <f>Projected_SEC_wastage_rates!N63</f>
        <v>5.9359582009131627E-2</v>
      </c>
      <c r="O50" s="908">
        <f>Projected_SEC_wastage_rates!O63</f>
        <v>5.9359582009131627E-2</v>
      </c>
      <c r="P50" s="908">
        <f>Projected_SEC_wastage_rates!P63</f>
        <v>5.9359582009131627E-2</v>
      </c>
      <c r="Q50" s="12"/>
      <c r="R50" s="12"/>
    </row>
    <row r="51" spans="2:18">
      <c r="B51" s="8" t="str">
        <f>Projected_SEC_wastage_rates!B64</f>
        <v>65 plus</v>
      </c>
      <c r="C51" s="908">
        <f>Projected_SEC_wastage_rates!C64</f>
        <v>0.10683182004288448</v>
      </c>
      <c r="D51" s="908">
        <f>Projected_SEC_wastage_rates!D64</f>
        <v>0.11216826675559995</v>
      </c>
      <c r="E51" s="908">
        <f>Projected_SEC_wastage_rates!E64</f>
        <v>0.11170144549017806</v>
      </c>
      <c r="F51" s="908">
        <f>Projected_SEC_wastage_rates!F64</f>
        <v>0.10768527399414383</v>
      </c>
      <c r="G51" s="908">
        <f>Projected_SEC_wastage_rates!G64</f>
        <v>0.11172639066884568</v>
      </c>
      <c r="H51" s="908">
        <f>Projected_SEC_wastage_rates!H64</f>
        <v>0.1096284396609607</v>
      </c>
      <c r="I51" s="908">
        <f>Projected_SEC_wastage_rates!I64</f>
        <v>0.1096284396609607</v>
      </c>
      <c r="J51" s="908">
        <f>Projected_SEC_wastage_rates!J64</f>
        <v>0.1096284396609607</v>
      </c>
      <c r="K51" s="908">
        <f>Projected_SEC_wastage_rates!K64</f>
        <v>0.1096284396609607</v>
      </c>
      <c r="L51" s="908">
        <f>Projected_SEC_wastage_rates!L64</f>
        <v>0.1096284396609607</v>
      </c>
      <c r="M51" s="908">
        <f>Projected_SEC_wastage_rates!M64</f>
        <v>0.1096284396609607</v>
      </c>
      <c r="N51" s="908">
        <f>Projected_SEC_wastage_rates!N64</f>
        <v>0.1096284396609607</v>
      </c>
      <c r="O51" s="908">
        <f>Projected_SEC_wastage_rates!O64</f>
        <v>0.1096284396609607</v>
      </c>
      <c r="P51" s="908">
        <f>Projected_SEC_wastage_rates!P64</f>
        <v>0.1096284396609607</v>
      </c>
      <c r="Q51" s="12"/>
      <c r="R51" s="12"/>
    </row>
    <row r="52" spans="2:18">
      <c r="B52" s="8" t="str">
        <f>Projected_SEC_wastage_rates!B65</f>
        <v>Total</v>
      </c>
      <c r="C52" s="908">
        <f>Projected_SEC_wastage_rates!C65</f>
        <v>8.4577021721594536E-2</v>
      </c>
      <c r="D52" s="908">
        <f>Projected_SEC_wastage_rates!D65</f>
        <v>8.8801800157048416E-2</v>
      </c>
      <c r="E52" s="908">
        <f>Projected_SEC_wastage_rates!E65</f>
        <v>8.8432225321668459E-2</v>
      </c>
      <c r="F52" s="908">
        <f>Projected_SEC_wastage_rates!F65</f>
        <v>8.5252687392600307E-2</v>
      </c>
      <c r="G52" s="908">
        <f>Projected_SEC_wastage_rates!G65</f>
        <v>8.845197401561726E-2</v>
      </c>
      <c r="H52" s="908">
        <f>Projected_SEC_wastage_rates!H65</f>
        <v>8.6791060180268387E-2</v>
      </c>
      <c r="I52" s="908">
        <f>Projected_SEC_wastage_rates!I65</f>
        <v>8.6791060180268387E-2</v>
      </c>
      <c r="J52" s="908">
        <f>Projected_SEC_wastage_rates!J65</f>
        <v>8.6791060180268387E-2</v>
      </c>
      <c r="K52" s="908">
        <f>Projected_SEC_wastage_rates!K65</f>
        <v>8.6791060180268387E-2</v>
      </c>
      <c r="L52" s="908">
        <f>Projected_SEC_wastage_rates!L65</f>
        <v>8.6791060180268387E-2</v>
      </c>
      <c r="M52" s="908">
        <f>Projected_SEC_wastage_rates!M65</f>
        <v>8.6791060180268387E-2</v>
      </c>
      <c r="N52" s="908">
        <f>Projected_SEC_wastage_rates!N65</f>
        <v>8.6791060180268387E-2</v>
      </c>
      <c r="O52" s="908">
        <f>Projected_SEC_wastage_rates!O65</f>
        <v>8.6791060180268387E-2</v>
      </c>
      <c r="P52" s="908">
        <f>Projected_SEC_wastage_rates!P65</f>
        <v>8.6791060180268387E-2</v>
      </c>
      <c r="Q52" s="12"/>
      <c r="R52" s="12"/>
    </row>
    <row r="53" spans="2:18">
      <c r="B53" s="12"/>
      <c r="C53" s="910"/>
      <c r="D53" s="910"/>
      <c r="E53" s="910"/>
      <c r="F53" s="910"/>
      <c r="G53" s="910"/>
      <c r="H53" s="910"/>
      <c r="I53" s="910"/>
      <c r="J53" s="910"/>
      <c r="K53" s="910"/>
      <c r="L53" s="910"/>
      <c r="M53" s="910"/>
      <c r="N53" s="910"/>
      <c r="O53" s="910"/>
      <c r="P53" s="910"/>
      <c r="Q53" s="12"/>
      <c r="R53" s="12"/>
    </row>
    <row r="54" spans="2:18">
      <c r="B54" s="5" t="str">
        <f>Projected_SEC_wastage_rates!B67</f>
        <v>Female projected wastage rates</v>
      </c>
      <c r="C54" s="910"/>
      <c r="D54" s="910"/>
      <c r="E54" s="910"/>
      <c r="F54" s="910"/>
      <c r="G54" s="910"/>
      <c r="H54" s="910"/>
      <c r="I54" s="910"/>
      <c r="J54" s="910"/>
      <c r="K54" s="910"/>
      <c r="L54" s="910"/>
      <c r="M54" s="910"/>
      <c r="N54" s="910"/>
      <c r="O54" s="910"/>
      <c r="P54" s="910"/>
      <c r="Q54" s="12"/>
      <c r="R54" s="12"/>
    </row>
    <row r="55" spans="2:18">
      <c r="B55" s="12"/>
      <c r="C55" s="910"/>
      <c r="D55" s="910"/>
      <c r="E55" s="910"/>
      <c r="F55" s="910"/>
      <c r="G55" s="910"/>
      <c r="H55" s="910"/>
      <c r="I55" s="910"/>
      <c r="J55" s="910"/>
      <c r="K55" s="910"/>
      <c r="L55" s="910"/>
      <c r="M55" s="910"/>
      <c r="N55" s="910"/>
      <c r="O55" s="910"/>
      <c r="P55" s="910"/>
      <c r="Q55" s="12"/>
      <c r="R55" s="12"/>
    </row>
    <row r="56" spans="2:18">
      <c r="B56" s="8" t="str">
        <f>Projected_SEC_wastage_rates!B69</f>
        <v>Age group</v>
      </c>
      <c r="C56" s="911" t="str">
        <f>Projected_SEC_wastage_rates!C69</f>
        <v>2015/16</v>
      </c>
      <c r="D56" s="911" t="str">
        <f>Projected_SEC_wastage_rates!D69</f>
        <v>2016/17</v>
      </c>
      <c r="E56" s="911" t="str">
        <f>Projected_SEC_wastage_rates!E69</f>
        <v>2017/18</v>
      </c>
      <c r="F56" s="911" t="str">
        <f>Projected_SEC_wastage_rates!F69</f>
        <v>2018/19</v>
      </c>
      <c r="G56" s="911" t="str">
        <f>Projected_SEC_wastage_rates!G69</f>
        <v>2019/20</v>
      </c>
      <c r="H56" s="911" t="str">
        <f>Projected_SEC_wastage_rates!H69</f>
        <v>2020/21</v>
      </c>
      <c r="I56" s="911" t="str">
        <f>Projected_SEC_wastage_rates!I69</f>
        <v>2021/22</v>
      </c>
      <c r="J56" s="911" t="str">
        <f>Projected_SEC_wastage_rates!J69</f>
        <v>2022/23</v>
      </c>
      <c r="K56" s="911" t="str">
        <f>Projected_SEC_wastage_rates!K69</f>
        <v>2023/24</v>
      </c>
      <c r="L56" s="911" t="str">
        <f>Projected_SEC_wastage_rates!L69</f>
        <v>2024/25</v>
      </c>
      <c r="M56" s="911" t="str">
        <f>Projected_SEC_wastage_rates!M69</f>
        <v>2025/26</v>
      </c>
      <c r="N56" s="911" t="str">
        <f>Projected_SEC_wastage_rates!N69</f>
        <v>2026/27</v>
      </c>
      <c r="O56" s="911" t="str">
        <f>Projected_SEC_wastage_rates!O69</f>
        <v>2027/28</v>
      </c>
      <c r="P56" s="911" t="str">
        <f>Projected_SEC_wastage_rates!P69</f>
        <v>2028/29</v>
      </c>
      <c r="Q56" s="12"/>
      <c r="R56" s="12"/>
    </row>
    <row r="57" spans="2:18">
      <c r="B57" s="8" t="str">
        <f>Projected_SEC_wastage_rates!B70</f>
        <v>20-24</v>
      </c>
      <c r="C57" s="908">
        <f>Projected_SEC_wastage_rates!C70</f>
        <v>0.12651998104337653</v>
      </c>
      <c r="D57" s="908">
        <f>Projected_SEC_wastage_rates!D70</f>
        <v>0.12535213912780968</v>
      </c>
      <c r="E57" s="908">
        <f>Projected_SEC_wastage_rates!E70</f>
        <v>0.12740717546008676</v>
      </c>
      <c r="F57" s="908">
        <f>Projected_SEC_wastage_rates!F70</f>
        <v>0.12803683806292707</v>
      </c>
      <c r="G57" s="908">
        <f>Projected_SEC_wastage_rates!G70</f>
        <v>0.13016822094465208</v>
      </c>
      <c r="H57" s="908">
        <f>Projected_SEC_wastage_rates!H70</f>
        <v>0.13184159259046055</v>
      </c>
      <c r="I57" s="908">
        <f>Projected_SEC_wastage_rates!I70</f>
        <v>0.13184159259046055</v>
      </c>
      <c r="J57" s="908">
        <f>Projected_SEC_wastage_rates!J70</f>
        <v>0.13184159259046055</v>
      </c>
      <c r="K57" s="908">
        <f>Projected_SEC_wastage_rates!K70</f>
        <v>0.13184159259046055</v>
      </c>
      <c r="L57" s="908">
        <f>Projected_SEC_wastage_rates!L70</f>
        <v>0.13184159259046055</v>
      </c>
      <c r="M57" s="908">
        <f>Projected_SEC_wastage_rates!M70</f>
        <v>0.13184159259046055</v>
      </c>
      <c r="N57" s="908">
        <f>Projected_SEC_wastage_rates!N70</f>
        <v>0.13184159259046055</v>
      </c>
      <c r="O57" s="908">
        <f>Projected_SEC_wastage_rates!O70</f>
        <v>0.13184159259046055</v>
      </c>
      <c r="P57" s="908">
        <f>Projected_SEC_wastage_rates!P70</f>
        <v>0.13184159259046055</v>
      </c>
      <c r="Q57" s="12"/>
      <c r="R57" s="12"/>
    </row>
    <row r="58" spans="2:18">
      <c r="B58" s="8" t="str">
        <f>Projected_SEC_wastage_rates!B71</f>
        <v>25-29</v>
      </c>
      <c r="C58" s="908">
        <f>Projected_SEC_wastage_rates!C71</f>
        <v>0.10455560293214806</v>
      </c>
      <c r="D58" s="908">
        <f>Projected_SEC_wastage_rates!D71</f>
        <v>0.10359050307515659</v>
      </c>
      <c r="E58" s="908">
        <f>Projected_SEC_wastage_rates!E71</f>
        <v>0.10528877682604369</v>
      </c>
      <c r="F58" s="908">
        <f>Projected_SEC_wastage_rates!F71</f>
        <v>0.10580912746584678</v>
      </c>
      <c r="G58" s="908">
        <f>Projected_SEC_wastage_rates!G71</f>
        <v>0.10757049369780675</v>
      </c>
      <c r="H58" s="908">
        <f>Projected_SEC_wastage_rates!H71</f>
        <v>0.10895336128847671</v>
      </c>
      <c r="I58" s="908">
        <f>Projected_SEC_wastage_rates!I71</f>
        <v>0.10895336128847671</v>
      </c>
      <c r="J58" s="908">
        <f>Projected_SEC_wastage_rates!J71</f>
        <v>0.10895336128847671</v>
      </c>
      <c r="K58" s="908">
        <f>Projected_SEC_wastage_rates!K71</f>
        <v>0.10895336128847671</v>
      </c>
      <c r="L58" s="908">
        <f>Projected_SEC_wastage_rates!L71</f>
        <v>0.10895336128847671</v>
      </c>
      <c r="M58" s="908">
        <f>Projected_SEC_wastage_rates!M71</f>
        <v>0.10895336128847671</v>
      </c>
      <c r="N58" s="908">
        <f>Projected_SEC_wastage_rates!N71</f>
        <v>0.10895336128847671</v>
      </c>
      <c r="O58" s="908">
        <f>Projected_SEC_wastage_rates!O71</f>
        <v>0.10895336128847671</v>
      </c>
      <c r="P58" s="908">
        <f>Projected_SEC_wastage_rates!P71</f>
        <v>0.10895336128847671</v>
      </c>
      <c r="Q58" s="12"/>
      <c r="R58" s="12"/>
    </row>
    <row r="59" spans="2:18">
      <c r="B59" s="8" t="str">
        <f>Projected_SEC_wastage_rates!B72</f>
        <v>30-34</v>
      </c>
      <c r="C59" s="908">
        <f>Projected_SEC_wastage_rates!C72</f>
        <v>8.7270459506493397E-2</v>
      </c>
      <c r="D59" s="908">
        <f>Projected_SEC_wastage_rates!D72</f>
        <v>8.6464910060769715E-2</v>
      </c>
      <c r="E59" s="908">
        <f>Projected_SEC_wastage_rates!E72</f>
        <v>8.7882425014070828E-2</v>
      </c>
      <c r="F59" s="908">
        <f>Projected_SEC_wastage_rates!F72</f>
        <v>8.8316751230615942E-2</v>
      </c>
      <c r="G59" s="908">
        <f>Projected_SEC_wastage_rates!G72</f>
        <v>8.9786928209291308E-2</v>
      </c>
      <c r="H59" s="908">
        <f>Projected_SEC_wastage_rates!H72</f>
        <v>9.0941179982414591E-2</v>
      </c>
      <c r="I59" s="908">
        <f>Projected_SEC_wastage_rates!I72</f>
        <v>9.0941179982414591E-2</v>
      </c>
      <c r="J59" s="908">
        <f>Projected_SEC_wastage_rates!J72</f>
        <v>9.0941179982414591E-2</v>
      </c>
      <c r="K59" s="908">
        <f>Projected_SEC_wastage_rates!K72</f>
        <v>9.0941179982414591E-2</v>
      </c>
      <c r="L59" s="908">
        <f>Projected_SEC_wastage_rates!L72</f>
        <v>9.0941179982414591E-2</v>
      </c>
      <c r="M59" s="908">
        <f>Projected_SEC_wastage_rates!M72</f>
        <v>9.0941179982414591E-2</v>
      </c>
      <c r="N59" s="908">
        <f>Projected_SEC_wastage_rates!N72</f>
        <v>9.0941179982414591E-2</v>
      </c>
      <c r="O59" s="908">
        <f>Projected_SEC_wastage_rates!O72</f>
        <v>9.0941179982414591E-2</v>
      </c>
      <c r="P59" s="908">
        <f>Projected_SEC_wastage_rates!P72</f>
        <v>9.0941179982414591E-2</v>
      </c>
      <c r="Q59" s="12"/>
      <c r="R59" s="12"/>
    </row>
    <row r="60" spans="2:18">
      <c r="B60" s="8" t="str">
        <f>Projected_SEC_wastage_rates!B73</f>
        <v>35-39</v>
      </c>
      <c r="C60" s="908">
        <f>Projected_SEC_wastage_rates!C73</f>
        <v>8.1979574415774803E-2</v>
      </c>
      <c r="D60" s="908">
        <f>Projected_SEC_wastage_rates!D73</f>
        <v>8.1222862452703534E-2</v>
      </c>
      <c r="E60" s="908">
        <f>Projected_SEC_wastage_rates!E73</f>
        <v>8.2554438718679027E-2</v>
      </c>
      <c r="F60" s="908">
        <f>Projected_SEC_wastage_rates!F73</f>
        <v>8.296243334356504E-2</v>
      </c>
      <c r="G60" s="908">
        <f>Projected_SEC_wastage_rates!G73</f>
        <v>8.4343478931146812E-2</v>
      </c>
      <c r="H60" s="908">
        <f>Projected_SEC_wastage_rates!H73</f>
        <v>8.5427752689580042E-2</v>
      </c>
      <c r="I60" s="908">
        <f>Projected_SEC_wastage_rates!I73</f>
        <v>8.5427752689580042E-2</v>
      </c>
      <c r="J60" s="908">
        <f>Projected_SEC_wastage_rates!J73</f>
        <v>8.5427752689580042E-2</v>
      </c>
      <c r="K60" s="908">
        <f>Projected_SEC_wastage_rates!K73</f>
        <v>8.5427752689580042E-2</v>
      </c>
      <c r="L60" s="908">
        <f>Projected_SEC_wastage_rates!L73</f>
        <v>8.5427752689580042E-2</v>
      </c>
      <c r="M60" s="908">
        <f>Projected_SEC_wastage_rates!M73</f>
        <v>8.5427752689580042E-2</v>
      </c>
      <c r="N60" s="908">
        <f>Projected_SEC_wastage_rates!N73</f>
        <v>8.5427752689580042E-2</v>
      </c>
      <c r="O60" s="908">
        <f>Projected_SEC_wastage_rates!O73</f>
        <v>8.5427752689580042E-2</v>
      </c>
      <c r="P60" s="908">
        <f>Projected_SEC_wastage_rates!P73</f>
        <v>8.5427752689580042E-2</v>
      </c>
      <c r="Q60" s="12"/>
      <c r="R60" s="12"/>
    </row>
    <row r="61" spans="2:18">
      <c r="B61" s="8" t="str">
        <f>Projected_SEC_wastage_rates!B74</f>
        <v>40-44</v>
      </c>
      <c r="C61" s="908">
        <f>Projected_SEC_wastage_rates!C74</f>
        <v>8.0842578151038125E-2</v>
      </c>
      <c r="D61" s="908">
        <f>Projected_SEC_wastage_rates!D74</f>
        <v>8.0096361225073659E-2</v>
      </c>
      <c r="E61" s="908">
        <f>Projected_SEC_wastage_rates!E74</f>
        <v>8.1409469509830468E-2</v>
      </c>
      <c r="F61" s="908">
        <f>Projected_SEC_wastage_rates!F74</f>
        <v>8.1811805550028358E-2</v>
      </c>
      <c r="G61" s="908">
        <f>Projected_SEC_wastage_rates!G74</f>
        <v>8.3173697053367787E-2</v>
      </c>
      <c r="H61" s="908">
        <f>Projected_SEC_wastage_rates!H74</f>
        <v>8.4242932734059375E-2</v>
      </c>
      <c r="I61" s="908">
        <f>Projected_SEC_wastage_rates!I74</f>
        <v>8.4242932734059375E-2</v>
      </c>
      <c r="J61" s="908">
        <f>Projected_SEC_wastage_rates!J74</f>
        <v>8.4242932734059375E-2</v>
      </c>
      <c r="K61" s="908">
        <f>Projected_SEC_wastage_rates!K74</f>
        <v>8.4242932734059375E-2</v>
      </c>
      <c r="L61" s="908">
        <f>Projected_SEC_wastage_rates!L74</f>
        <v>8.4242932734059375E-2</v>
      </c>
      <c r="M61" s="908">
        <f>Projected_SEC_wastage_rates!M74</f>
        <v>8.4242932734059375E-2</v>
      </c>
      <c r="N61" s="908">
        <f>Projected_SEC_wastage_rates!N74</f>
        <v>8.4242932734059375E-2</v>
      </c>
      <c r="O61" s="908">
        <f>Projected_SEC_wastage_rates!O74</f>
        <v>8.4242932734059375E-2</v>
      </c>
      <c r="P61" s="908">
        <f>Projected_SEC_wastage_rates!P74</f>
        <v>8.4242932734059375E-2</v>
      </c>
      <c r="Q61" s="12"/>
      <c r="R61" s="12"/>
    </row>
    <row r="62" spans="2:18">
      <c r="B62" s="8" t="str">
        <f>Projected_SEC_wastage_rates!B75</f>
        <v>45-49</v>
      </c>
      <c r="C62" s="908">
        <f>Projected_SEC_wastage_rates!C75</f>
        <v>8.8269148170636053E-2</v>
      </c>
      <c r="D62" s="908">
        <f>Projected_SEC_wastage_rates!D75</f>
        <v>8.7454380335271711E-2</v>
      </c>
      <c r="E62" s="908">
        <f>Projected_SEC_wastage_rates!E75</f>
        <v>8.8888116769737457E-2</v>
      </c>
      <c r="F62" s="908">
        <f>Projected_SEC_wastage_rates!F75</f>
        <v>8.9327413243932841E-2</v>
      </c>
      <c r="G62" s="908">
        <f>Projected_SEC_wastage_rates!G75</f>
        <v>9.0814414347188149E-2</v>
      </c>
      <c r="H62" s="908">
        <f>Projected_SEC_wastage_rates!H75</f>
        <v>9.1981874921638979E-2</v>
      </c>
      <c r="I62" s="908">
        <f>Projected_SEC_wastage_rates!I75</f>
        <v>9.1981874921638979E-2</v>
      </c>
      <c r="J62" s="908">
        <f>Projected_SEC_wastage_rates!J75</f>
        <v>9.1981874921638979E-2</v>
      </c>
      <c r="K62" s="908">
        <f>Projected_SEC_wastage_rates!K75</f>
        <v>9.1981874921638979E-2</v>
      </c>
      <c r="L62" s="908">
        <f>Projected_SEC_wastage_rates!L75</f>
        <v>9.1981874921638979E-2</v>
      </c>
      <c r="M62" s="908">
        <f>Projected_SEC_wastage_rates!M75</f>
        <v>9.1981874921638979E-2</v>
      </c>
      <c r="N62" s="908">
        <f>Projected_SEC_wastage_rates!N75</f>
        <v>9.1981874921638979E-2</v>
      </c>
      <c r="O62" s="908">
        <f>Projected_SEC_wastage_rates!O75</f>
        <v>9.1981874921638979E-2</v>
      </c>
      <c r="P62" s="908">
        <f>Projected_SEC_wastage_rates!P75</f>
        <v>9.1981874921638979E-2</v>
      </c>
      <c r="Q62" s="12"/>
      <c r="R62" s="12"/>
    </row>
    <row r="63" spans="2:18">
      <c r="B63" s="8" t="str">
        <f>Projected_SEC_wastage_rates!B76</f>
        <v>50-54</v>
      </c>
      <c r="C63" s="908">
        <f>Projected_SEC_wastage_rates!C76</f>
        <v>8.7536873351951316E-2</v>
      </c>
      <c r="D63" s="908">
        <f>Projected_SEC_wastage_rates!D76</f>
        <v>8.6728864774847383E-2</v>
      </c>
      <c r="E63" s="908">
        <f>Projected_SEC_wastage_rates!E76</f>
        <v>8.8150707029870504E-2</v>
      </c>
      <c r="F63" s="908">
        <f>Projected_SEC_wastage_rates!F76</f>
        <v>8.8586359130548548E-2</v>
      </c>
      <c r="G63" s="908">
        <f>Projected_SEC_wastage_rates!G76</f>
        <v>9.0061024174310403E-2</v>
      </c>
      <c r="H63" s="908">
        <f>Projected_SEC_wastage_rates!H76</f>
        <v>9.1218799575649268E-2</v>
      </c>
      <c r="I63" s="908">
        <f>Projected_SEC_wastage_rates!I76</f>
        <v>9.1218799575649268E-2</v>
      </c>
      <c r="J63" s="908">
        <f>Projected_SEC_wastage_rates!J76</f>
        <v>9.1218799575649268E-2</v>
      </c>
      <c r="K63" s="908">
        <f>Projected_SEC_wastage_rates!K76</f>
        <v>9.1218799575649268E-2</v>
      </c>
      <c r="L63" s="908">
        <f>Projected_SEC_wastage_rates!L76</f>
        <v>9.1218799575649268E-2</v>
      </c>
      <c r="M63" s="908">
        <f>Projected_SEC_wastage_rates!M76</f>
        <v>9.1218799575649268E-2</v>
      </c>
      <c r="N63" s="908">
        <f>Projected_SEC_wastage_rates!N76</f>
        <v>9.1218799575649268E-2</v>
      </c>
      <c r="O63" s="908">
        <f>Projected_SEC_wastage_rates!O76</f>
        <v>9.1218799575649268E-2</v>
      </c>
      <c r="P63" s="908">
        <f>Projected_SEC_wastage_rates!P76</f>
        <v>9.1218799575649268E-2</v>
      </c>
      <c r="Q63" s="12"/>
      <c r="R63" s="12"/>
    </row>
    <row r="64" spans="2:18">
      <c r="B64" s="8" t="str">
        <f>Projected_SEC_wastage_rates!B77</f>
        <v>55-59</v>
      </c>
      <c r="C64" s="908">
        <f>Projected_SEC_wastage_rates!C77</f>
        <v>5.7297396975088274E-2</v>
      </c>
      <c r="D64" s="908">
        <f>Projected_SEC_wastage_rates!D77</f>
        <v>5.6768513700774154E-2</v>
      </c>
      <c r="E64" s="908">
        <f>Projected_SEC_wastage_rates!E77</f>
        <v>5.7699182766305708E-2</v>
      </c>
      <c r="F64" s="908">
        <f>Projected_SEC_wastage_rates!F77</f>
        <v>5.7984339528247837E-2</v>
      </c>
      <c r="G64" s="908">
        <f>Projected_SEC_wastage_rates!G77</f>
        <v>5.8949583832530787E-2</v>
      </c>
      <c r="H64" s="908">
        <f>Projected_SEC_wastage_rates!H77</f>
        <v>5.9707407527144464E-2</v>
      </c>
      <c r="I64" s="908">
        <f>Projected_SEC_wastage_rates!I77</f>
        <v>5.9707407527144464E-2</v>
      </c>
      <c r="J64" s="908">
        <f>Projected_SEC_wastage_rates!J77</f>
        <v>5.9707407527144464E-2</v>
      </c>
      <c r="K64" s="908">
        <f>Projected_SEC_wastage_rates!K77</f>
        <v>5.9707407527144464E-2</v>
      </c>
      <c r="L64" s="908">
        <f>Projected_SEC_wastage_rates!L77</f>
        <v>5.9707407527144464E-2</v>
      </c>
      <c r="M64" s="908">
        <f>Projected_SEC_wastage_rates!M77</f>
        <v>5.9707407527144464E-2</v>
      </c>
      <c r="N64" s="908">
        <f>Projected_SEC_wastage_rates!N77</f>
        <v>5.9707407527144464E-2</v>
      </c>
      <c r="O64" s="908">
        <f>Projected_SEC_wastage_rates!O77</f>
        <v>5.9707407527144464E-2</v>
      </c>
      <c r="P64" s="908">
        <f>Projected_SEC_wastage_rates!P77</f>
        <v>5.9707407527144464E-2</v>
      </c>
      <c r="Q64" s="12"/>
      <c r="R64" s="12"/>
    </row>
    <row r="65" spans="2:18">
      <c r="B65" s="8" t="str">
        <f>Projected_SEC_wastage_rates!B78</f>
        <v>60-64</v>
      </c>
      <c r="C65" s="908">
        <f>Projected_SEC_wastage_rates!C78</f>
        <v>5.214170948970194E-2</v>
      </c>
      <c r="D65" s="908">
        <f>Projected_SEC_wastage_rates!D78</f>
        <v>5.1660415757366442E-2</v>
      </c>
      <c r="E65" s="908">
        <f>Projected_SEC_wastage_rates!E78</f>
        <v>5.2507342120654756E-2</v>
      </c>
      <c r="F65" s="908">
        <f>Projected_SEC_wastage_rates!F78</f>
        <v>5.2766840140201353E-2</v>
      </c>
      <c r="G65" s="908">
        <f>Projected_SEC_wastage_rates!G78</f>
        <v>5.3645230621402328E-2</v>
      </c>
      <c r="H65" s="908">
        <f>Projected_SEC_wastage_rates!H78</f>
        <v>5.4334864444490996E-2</v>
      </c>
      <c r="I65" s="908">
        <f>Projected_SEC_wastage_rates!I78</f>
        <v>5.4334864444490996E-2</v>
      </c>
      <c r="J65" s="908">
        <f>Projected_SEC_wastage_rates!J78</f>
        <v>5.4334864444490996E-2</v>
      </c>
      <c r="K65" s="908">
        <f>Projected_SEC_wastage_rates!K78</f>
        <v>5.4334864444490996E-2</v>
      </c>
      <c r="L65" s="908">
        <f>Projected_SEC_wastage_rates!L78</f>
        <v>5.4334864444490996E-2</v>
      </c>
      <c r="M65" s="908">
        <f>Projected_SEC_wastage_rates!M78</f>
        <v>5.4334864444490996E-2</v>
      </c>
      <c r="N65" s="908">
        <f>Projected_SEC_wastage_rates!N78</f>
        <v>5.4334864444490996E-2</v>
      </c>
      <c r="O65" s="908">
        <f>Projected_SEC_wastage_rates!O78</f>
        <v>5.4334864444490996E-2</v>
      </c>
      <c r="P65" s="908">
        <f>Projected_SEC_wastage_rates!P78</f>
        <v>5.4334864444490996E-2</v>
      </c>
      <c r="Q65" s="12"/>
      <c r="R65" s="12"/>
    </row>
    <row r="66" spans="2:18">
      <c r="B66" s="8" t="str">
        <f>Projected_SEC_wastage_rates!B79</f>
        <v>65 plus</v>
      </c>
      <c r="C66" s="908">
        <f>Projected_SEC_wastage_rates!C79</f>
        <v>7.7040540050632281E-2</v>
      </c>
      <c r="D66" s="908">
        <f>Projected_SEC_wastage_rates!D79</f>
        <v>7.6329417814230832E-2</v>
      </c>
      <c r="E66" s="908">
        <f>Projected_SEC_wastage_rates!E79</f>
        <v>7.7580770427127743E-2</v>
      </c>
      <c r="F66" s="908">
        <f>Projected_SEC_wastage_rates!F79</f>
        <v>7.7964184545375778E-2</v>
      </c>
      <c r="G66" s="908">
        <f>Projected_SEC_wastage_rates!G79</f>
        <v>7.9262026095055366E-2</v>
      </c>
      <c r="H66" s="908">
        <f>Projected_SEC_wastage_rates!H79</f>
        <v>8.0280975467599935E-2</v>
      </c>
      <c r="I66" s="908">
        <f>Projected_SEC_wastage_rates!I79</f>
        <v>8.0280975467599935E-2</v>
      </c>
      <c r="J66" s="908">
        <f>Projected_SEC_wastage_rates!J79</f>
        <v>8.0280975467599935E-2</v>
      </c>
      <c r="K66" s="908">
        <f>Projected_SEC_wastage_rates!K79</f>
        <v>8.0280975467599935E-2</v>
      </c>
      <c r="L66" s="908">
        <f>Projected_SEC_wastage_rates!L79</f>
        <v>8.0280975467599935E-2</v>
      </c>
      <c r="M66" s="908">
        <f>Projected_SEC_wastage_rates!M79</f>
        <v>8.0280975467599935E-2</v>
      </c>
      <c r="N66" s="908">
        <f>Projected_SEC_wastage_rates!N79</f>
        <v>8.0280975467599935E-2</v>
      </c>
      <c r="O66" s="908">
        <f>Projected_SEC_wastage_rates!O79</f>
        <v>8.0280975467599935E-2</v>
      </c>
      <c r="P66" s="908">
        <f>Projected_SEC_wastage_rates!P79</f>
        <v>8.0280975467599935E-2</v>
      </c>
      <c r="Q66" s="12"/>
      <c r="R66" s="12"/>
    </row>
    <row r="67" spans="2:18">
      <c r="B67" s="8" t="str">
        <f>Projected_SEC_wastage_rates!B80</f>
        <v>Total</v>
      </c>
      <c r="C67" s="908">
        <f>Projected_SEC_wastage_rates!C80</f>
        <v>8.7736204760537742E-2</v>
      </c>
      <c r="D67" s="908">
        <f>Projected_SEC_wastage_rates!D80</f>
        <v>8.6926356256079126E-2</v>
      </c>
      <c r="E67" s="908">
        <f>Projected_SEC_wastage_rates!E80</f>
        <v>8.8351436207499523E-2</v>
      </c>
      <c r="F67" s="908">
        <f>Projected_SEC_wastage_rates!F80</f>
        <v>8.8788080337519684E-2</v>
      </c>
      <c r="G67" s="908">
        <f>Projected_SEC_wastage_rates!G80</f>
        <v>9.0266103361171732E-2</v>
      </c>
      <c r="H67" s="908">
        <f>Projected_SEC_wastage_rates!H80</f>
        <v>9.1426515148672657E-2</v>
      </c>
      <c r="I67" s="908">
        <f>Projected_SEC_wastage_rates!I80</f>
        <v>9.1426515148672657E-2</v>
      </c>
      <c r="J67" s="908">
        <f>Projected_SEC_wastage_rates!J80</f>
        <v>9.1426515148672657E-2</v>
      </c>
      <c r="K67" s="908">
        <f>Projected_SEC_wastage_rates!K80</f>
        <v>9.1426515148672657E-2</v>
      </c>
      <c r="L67" s="908">
        <f>Projected_SEC_wastage_rates!L80</f>
        <v>9.1426515148672657E-2</v>
      </c>
      <c r="M67" s="908">
        <f>Projected_SEC_wastage_rates!M80</f>
        <v>9.1426515148672657E-2</v>
      </c>
      <c r="N67" s="908">
        <f>Projected_SEC_wastage_rates!N80</f>
        <v>9.1426515148672657E-2</v>
      </c>
      <c r="O67" s="908">
        <f>Projected_SEC_wastage_rates!O80</f>
        <v>9.1426515148672657E-2</v>
      </c>
      <c r="P67" s="908">
        <f>Projected_SEC_wastage_rates!P80</f>
        <v>9.1426515148672657E-2</v>
      </c>
      <c r="Q67" s="12"/>
      <c r="R67" s="12"/>
    </row>
    <row r="69" spans="2:18" ht="18">
      <c r="B69" s="38" t="s">
        <v>1456</v>
      </c>
    </row>
    <row r="71" spans="2:18">
      <c r="B71" s="5" t="s">
        <v>436</v>
      </c>
      <c r="C71" s="12"/>
      <c r="E71" s="12"/>
      <c r="F71" s="256" t="str">
        <f>F39</f>
        <v>As the Econometric Wastage Model only forecasts wastage 6 years into the future, the rate beyond that is considered to be constant.</v>
      </c>
      <c r="G71" s="12"/>
      <c r="H71" s="12"/>
      <c r="I71" s="12"/>
      <c r="J71" s="12"/>
      <c r="K71" s="12"/>
      <c r="L71" s="12"/>
      <c r="M71" s="12"/>
      <c r="N71" s="12"/>
      <c r="O71" s="12"/>
      <c r="P71" s="12"/>
    </row>
    <row r="72" spans="2:18">
      <c r="B72" s="12"/>
      <c r="C72" s="12"/>
      <c r="D72" s="12"/>
      <c r="E72" s="12"/>
      <c r="F72" s="12"/>
      <c r="G72" s="12"/>
      <c r="H72" s="12"/>
      <c r="I72" s="12"/>
      <c r="J72" s="12"/>
      <c r="K72" s="12"/>
      <c r="L72" s="12"/>
      <c r="M72" s="12"/>
      <c r="N72" s="12"/>
      <c r="O72" s="12"/>
      <c r="P72" s="12"/>
    </row>
    <row r="73" spans="2:18">
      <c r="B73" s="8" t="str">
        <f>B56</f>
        <v>Age group</v>
      </c>
      <c r="C73" s="8" t="str">
        <f t="shared" ref="C73:P73" si="0">C56</f>
        <v>2015/16</v>
      </c>
      <c r="D73" s="8" t="str">
        <f t="shared" si="0"/>
        <v>2016/17</v>
      </c>
      <c r="E73" s="8" t="str">
        <f t="shared" si="0"/>
        <v>2017/18</v>
      </c>
      <c r="F73" s="8" t="str">
        <f t="shared" si="0"/>
        <v>2018/19</v>
      </c>
      <c r="G73" s="8" t="str">
        <f t="shared" si="0"/>
        <v>2019/20</v>
      </c>
      <c r="H73" s="8" t="str">
        <f t="shared" si="0"/>
        <v>2020/21</v>
      </c>
      <c r="I73" s="8" t="str">
        <f t="shared" si="0"/>
        <v>2021/22</v>
      </c>
      <c r="J73" s="8" t="str">
        <f t="shared" si="0"/>
        <v>2022/23</v>
      </c>
      <c r="K73" s="8" t="str">
        <f t="shared" si="0"/>
        <v>2023/24</v>
      </c>
      <c r="L73" s="8" t="str">
        <f t="shared" si="0"/>
        <v>2024/25</v>
      </c>
      <c r="M73" s="8" t="str">
        <f t="shared" si="0"/>
        <v>2025/26</v>
      </c>
      <c r="N73" s="8" t="str">
        <f t="shared" si="0"/>
        <v>2026/27</v>
      </c>
      <c r="O73" s="8" t="str">
        <f t="shared" si="0"/>
        <v>2027/28</v>
      </c>
      <c r="P73" s="8" t="str">
        <f t="shared" si="0"/>
        <v>2028/29</v>
      </c>
    </row>
    <row r="74" spans="2:18">
      <c r="B74" s="8" t="str">
        <f t="shared" ref="B74:B84" si="1">B57</f>
        <v>20-24</v>
      </c>
      <c r="C74" s="160">
        <f>C42*$D25</f>
        <v>0.13304179998076593</v>
      </c>
      <c r="D74" s="160">
        <f t="shared" ref="D74:P74" si="2">D42*$D25</f>
        <v>0.13968748359709027</v>
      </c>
      <c r="E74" s="160">
        <f t="shared" si="2"/>
        <v>0.13910613300888447</v>
      </c>
      <c r="F74" s="160">
        <f t="shared" si="2"/>
        <v>0.13410463921565552</v>
      </c>
      <c r="G74" s="160">
        <f t="shared" si="2"/>
        <v>0.13913719820527867</v>
      </c>
      <c r="H74" s="160">
        <f t="shared" si="2"/>
        <v>0.13652453862268954</v>
      </c>
      <c r="I74" s="160">
        <f t="shared" si="2"/>
        <v>0.13652453862268954</v>
      </c>
      <c r="J74" s="160">
        <f t="shared" si="2"/>
        <v>0.13652453862268954</v>
      </c>
      <c r="K74" s="160">
        <f t="shared" si="2"/>
        <v>0.13652453862268954</v>
      </c>
      <c r="L74" s="160">
        <f t="shared" si="2"/>
        <v>0.13652453862268954</v>
      </c>
      <c r="M74" s="160">
        <f t="shared" si="2"/>
        <v>0.13652453862268954</v>
      </c>
      <c r="N74" s="160">
        <f t="shared" si="2"/>
        <v>0.13652453862268954</v>
      </c>
      <c r="O74" s="160">
        <f t="shared" si="2"/>
        <v>0.13652453862268954</v>
      </c>
      <c r="P74" s="160">
        <f t="shared" si="2"/>
        <v>0.13652453862268954</v>
      </c>
    </row>
    <row r="75" spans="2:18">
      <c r="B75" s="8" t="str">
        <f t="shared" si="1"/>
        <v>25-29</v>
      </c>
      <c r="C75" s="160">
        <f t="shared" ref="C75:P84" si="3">C43*$D26</f>
        <v>0.12439319730003423</v>
      </c>
      <c r="D75" s="160">
        <f t="shared" si="3"/>
        <v>0.13060686723984677</v>
      </c>
      <c r="E75" s="160">
        <f t="shared" si="3"/>
        <v>0.13006330831002449</v>
      </c>
      <c r="F75" s="160">
        <f t="shared" si="3"/>
        <v>0.12538694490915372</v>
      </c>
      <c r="G75" s="160">
        <f t="shared" si="3"/>
        <v>0.13009235406184674</v>
      </c>
      <c r="H75" s="160">
        <f t="shared" si="3"/>
        <v>0.12764953474504692</v>
      </c>
      <c r="I75" s="160">
        <f t="shared" si="3"/>
        <v>0.12764953474504692</v>
      </c>
      <c r="J75" s="160">
        <f t="shared" si="3"/>
        <v>0.12764953474504692</v>
      </c>
      <c r="K75" s="160">
        <f t="shared" si="3"/>
        <v>0.12764953474504692</v>
      </c>
      <c r="L75" s="160">
        <f t="shared" si="3"/>
        <v>0.12764953474504692</v>
      </c>
      <c r="M75" s="160">
        <f t="shared" si="3"/>
        <v>0.12764953474504692</v>
      </c>
      <c r="N75" s="160">
        <f t="shared" si="3"/>
        <v>0.12764953474504692</v>
      </c>
      <c r="O75" s="160">
        <f t="shared" si="3"/>
        <v>0.12764953474504692</v>
      </c>
      <c r="P75" s="160">
        <f t="shared" si="3"/>
        <v>0.12764953474504692</v>
      </c>
    </row>
    <row r="76" spans="2:18">
      <c r="B76" s="8" t="str">
        <f t="shared" si="1"/>
        <v>30-34</v>
      </c>
      <c r="C76" s="160">
        <f t="shared" si="3"/>
        <v>8.0729926251896358E-2</v>
      </c>
      <c r="D76" s="160">
        <f t="shared" si="3"/>
        <v>8.4762535163658392E-2</v>
      </c>
      <c r="E76" s="160">
        <f t="shared" si="3"/>
        <v>8.4409770918743368E-2</v>
      </c>
      <c r="F76" s="160">
        <f t="shared" si="3"/>
        <v>8.1374858393995025E-2</v>
      </c>
      <c r="G76" s="160">
        <f t="shared" si="3"/>
        <v>8.4428621317747796E-2</v>
      </c>
      <c r="H76" s="160">
        <f t="shared" si="3"/>
        <v>8.2843256301232501E-2</v>
      </c>
      <c r="I76" s="160">
        <f t="shared" si="3"/>
        <v>8.2843256301232501E-2</v>
      </c>
      <c r="J76" s="160">
        <f t="shared" si="3"/>
        <v>8.2843256301232501E-2</v>
      </c>
      <c r="K76" s="160">
        <f t="shared" si="3"/>
        <v>8.2843256301232501E-2</v>
      </c>
      <c r="L76" s="160">
        <f t="shared" si="3"/>
        <v>8.2843256301232501E-2</v>
      </c>
      <c r="M76" s="160">
        <f t="shared" si="3"/>
        <v>8.2843256301232501E-2</v>
      </c>
      <c r="N76" s="160">
        <f t="shared" si="3"/>
        <v>8.2843256301232501E-2</v>
      </c>
      <c r="O76" s="160">
        <f t="shared" si="3"/>
        <v>8.2843256301232501E-2</v>
      </c>
      <c r="P76" s="160">
        <f t="shared" si="3"/>
        <v>8.2843256301232501E-2</v>
      </c>
    </row>
    <row r="77" spans="2:18">
      <c r="B77" s="8" t="str">
        <f t="shared" si="1"/>
        <v>35-39</v>
      </c>
      <c r="C77" s="160">
        <f t="shared" si="3"/>
        <v>7.0257196310314948E-2</v>
      </c>
      <c r="D77" s="160">
        <f t="shared" si="3"/>
        <v>7.3766673020009527E-2</v>
      </c>
      <c r="E77" s="160">
        <f t="shared" si="3"/>
        <v>7.3459671292683243E-2</v>
      </c>
      <c r="F77" s="160">
        <f t="shared" si="3"/>
        <v>7.0818464308663884E-2</v>
      </c>
      <c r="G77" s="160">
        <f t="shared" si="3"/>
        <v>7.3476076314276467E-2</v>
      </c>
      <c r="H77" s="160">
        <f t="shared" si="3"/>
        <v>7.2096373565121483E-2</v>
      </c>
      <c r="I77" s="160">
        <f t="shared" si="3"/>
        <v>7.2096373565121483E-2</v>
      </c>
      <c r="J77" s="160">
        <f t="shared" si="3"/>
        <v>7.2096373565121483E-2</v>
      </c>
      <c r="K77" s="160">
        <f t="shared" si="3"/>
        <v>7.2096373565121483E-2</v>
      </c>
      <c r="L77" s="160">
        <f t="shared" si="3"/>
        <v>7.2096373565121483E-2</v>
      </c>
      <c r="M77" s="160">
        <f t="shared" si="3"/>
        <v>7.2096373565121483E-2</v>
      </c>
      <c r="N77" s="160">
        <f t="shared" si="3"/>
        <v>7.2096373565121483E-2</v>
      </c>
      <c r="O77" s="160">
        <f t="shared" si="3"/>
        <v>7.2096373565121483E-2</v>
      </c>
      <c r="P77" s="160">
        <f t="shared" si="3"/>
        <v>7.2096373565121483E-2</v>
      </c>
    </row>
    <row r="78" spans="2:18">
      <c r="B78" s="8" t="str">
        <f t="shared" si="1"/>
        <v>40-44</v>
      </c>
      <c r="C78" s="160">
        <f t="shared" si="3"/>
        <v>7.0741076060619273E-2</v>
      </c>
      <c r="D78" s="160">
        <f t="shared" si="3"/>
        <v>7.4274723457491365E-2</v>
      </c>
      <c r="E78" s="160">
        <f t="shared" si="3"/>
        <v>7.3965607328695004E-2</v>
      </c>
      <c r="F78" s="160">
        <f t="shared" si="3"/>
        <v>7.1306209658980116E-2</v>
      </c>
      <c r="G78" s="160">
        <f t="shared" si="3"/>
        <v>7.3982125335977519E-2</v>
      </c>
      <c r="H78" s="160">
        <f t="shared" si="3"/>
        <v>7.2592920211879963E-2</v>
      </c>
      <c r="I78" s="160">
        <f t="shared" si="3"/>
        <v>7.2592920211879963E-2</v>
      </c>
      <c r="J78" s="160">
        <f t="shared" si="3"/>
        <v>7.2592920211879963E-2</v>
      </c>
      <c r="K78" s="160">
        <f t="shared" si="3"/>
        <v>7.2592920211879963E-2</v>
      </c>
      <c r="L78" s="160">
        <f t="shared" si="3"/>
        <v>7.2592920211879963E-2</v>
      </c>
      <c r="M78" s="160">
        <f t="shared" si="3"/>
        <v>7.2592920211879963E-2</v>
      </c>
      <c r="N78" s="160">
        <f t="shared" si="3"/>
        <v>7.2592920211879963E-2</v>
      </c>
      <c r="O78" s="160">
        <f t="shared" si="3"/>
        <v>7.2592920211879963E-2</v>
      </c>
      <c r="P78" s="160">
        <f t="shared" si="3"/>
        <v>7.2592920211879963E-2</v>
      </c>
    </row>
    <row r="79" spans="2:18">
      <c r="B79" s="8" t="str">
        <f t="shared" si="1"/>
        <v>45-49</v>
      </c>
      <c r="C79" s="160">
        <f t="shared" si="3"/>
        <v>8.4878091757758317E-2</v>
      </c>
      <c r="D79" s="160">
        <f t="shared" si="3"/>
        <v>8.9117909197547598E-2</v>
      </c>
      <c r="E79" s="160">
        <f t="shared" si="3"/>
        <v>8.8747018781330345E-2</v>
      </c>
      <c r="F79" s="160">
        <f t="shared" si="3"/>
        <v>8.5556162605535085E-2</v>
      </c>
      <c r="G79" s="160">
        <f t="shared" si="3"/>
        <v>8.8766837774987978E-2</v>
      </c>
      <c r="H79" s="160">
        <f t="shared" si="3"/>
        <v>8.7100011560859447E-2</v>
      </c>
      <c r="I79" s="160">
        <f t="shared" si="3"/>
        <v>8.7100011560859447E-2</v>
      </c>
      <c r="J79" s="160">
        <f t="shared" si="3"/>
        <v>8.7100011560859447E-2</v>
      </c>
      <c r="K79" s="160">
        <f t="shared" si="3"/>
        <v>8.7100011560859447E-2</v>
      </c>
      <c r="L79" s="160">
        <f t="shared" si="3"/>
        <v>8.7100011560859447E-2</v>
      </c>
      <c r="M79" s="160">
        <f t="shared" si="3"/>
        <v>8.7100011560859447E-2</v>
      </c>
      <c r="N79" s="160">
        <f t="shared" si="3"/>
        <v>8.7100011560859447E-2</v>
      </c>
      <c r="O79" s="160">
        <f t="shared" si="3"/>
        <v>8.7100011560859447E-2</v>
      </c>
      <c r="P79" s="160">
        <f t="shared" si="3"/>
        <v>8.7100011560859447E-2</v>
      </c>
    </row>
    <row r="80" spans="2:18">
      <c r="B80" s="8" t="str">
        <f t="shared" si="1"/>
        <v>50-54</v>
      </c>
      <c r="C80" s="160">
        <f t="shared" si="3"/>
        <v>6.3781407189098513E-2</v>
      </c>
      <c r="D80" s="160">
        <f t="shared" si="3"/>
        <v>6.6967406272424077E-2</v>
      </c>
      <c r="E80" s="160">
        <f t="shared" si="3"/>
        <v>6.6688701695431465E-2</v>
      </c>
      <c r="F80" s="160">
        <f t="shared" si="3"/>
        <v>6.4290941651401659E-2</v>
      </c>
      <c r="G80" s="160">
        <f t="shared" si="3"/>
        <v>6.6703594623375259E-2</v>
      </c>
      <c r="H80" s="160">
        <f t="shared" si="3"/>
        <v>6.5451062676966626E-2</v>
      </c>
      <c r="I80" s="160">
        <f t="shared" si="3"/>
        <v>6.5451062676966626E-2</v>
      </c>
      <c r="J80" s="160">
        <f t="shared" si="3"/>
        <v>6.5451062676966626E-2</v>
      </c>
      <c r="K80" s="160">
        <f t="shared" si="3"/>
        <v>6.5451062676966626E-2</v>
      </c>
      <c r="L80" s="160">
        <f t="shared" si="3"/>
        <v>6.5451062676966626E-2</v>
      </c>
      <c r="M80" s="160">
        <f t="shared" si="3"/>
        <v>6.5451062676966626E-2</v>
      </c>
      <c r="N80" s="160">
        <f t="shared" si="3"/>
        <v>6.5451062676966626E-2</v>
      </c>
      <c r="O80" s="160">
        <f t="shared" si="3"/>
        <v>6.5451062676966626E-2</v>
      </c>
      <c r="P80" s="160">
        <f t="shared" si="3"/>
        <v>6.5451062676966626E-2</v>
      </c>
    </row>
    <row r="81" spans="2:16">
      <c r="B81" s="8" t="str">
        <f t="shared" si="1"/>
        <v>55-59</v>
      </c>
      <c r="C81" s="160">
        <f t="shared" si="3"/>
        <v>5.464819818238785E-2</v>
      </c>
      <c r="D81" s="160">
        <f t="shared" si="3"/>
        <v>5.7377976608227285E-2</v>
      </c>
      <c r="E81" s="160">
        <f t="shared" si="3"/>
        <v>5.7139181265994154E-2</v>
      </c>
      <c r="F81" s="160">
        <f t="shared" si="3"/>
        <v>5.5084769614469051E-2</v>
      </c>
      <c r="G81" s="160">
        <f t="shared" si="3"/>
        <v>5.7151941594021663E-2</v>
      </c>
      <c r="H81" s="160">
        <f t="shared" si="3"/>
        <v>5.6078766556754527E-2</v>
      </c>
      <c r="I81" s="160">
        <f t="shared" si="3"/>
        <v>5.6078766556754527E-2</v>
      </c>
      <c r="J81" s="160">
        <f t="shared" si="3"/>
        <v>5.6078766556754527E-2</v>
      </c>
      <c r="K81" s="160">
        <f t="shared" si="3"/>
        <v>5.6078766556754527E-2</v>
      </c>
      <c r="L81" s="160">
        <f t="shared" si="3"/>
        <v>5.6078766556754527E-2</v>
      </c>
      <c r="M81" s="160">
        <f t="shared" si="3"/>
        <v>5.6078766556754527E-2</v>
      </c>
      <c r="N81" s="160">
        <f t="shared" si="3"/>
        <v>5.6078766556754527E-2</v>
      </c>
      <c r="O81" s="160">
        <f t="shared" si="3"/>
        <v>5.6078766556754527E-2</v>
      </c>
      <c r="P81" s="160">
        <f t="shared" si="3"/>
        <v>5.6078766556754527E-2</v>
      </c>
    </row>
    <row r="82" spans="2:16">
      <c r="B82" s="8" t="str">
        <f t="shared" si="1"/>
        <v>60-64</v>
      </c>
      <c r="C82" s="160">
        <f t="shared" si="3"/>
        <v>3.7194540817077432E-2</v>
      </c>
      <c r="D82" s="160">
        <f t="shared" si="3"/>
        <v>3.905247682335887E-2</v>
      </c>
      <c r="E82" s="160">
        <f t="shared" si="3"/>
        <v>3.8889948443667832E-2</v>
      </c>
      <c r="F82" s="160">
        <f t="shared" si="3"/>
        <v>3.7491679139843713E-2</v>
      </c>
      <c r="G82" s="160">
        <f t="shared" si="3"/>
        <v>3.8898633351083713E-2</v>
      </c>
      <c r="H82" s="160">
        <f t="shared" si="3"/>
        <v>3.816821123187164E-2</v>
      </c>
      <c r="I82" s="160">
        <f t="shared" si="3"/>
        <v>3.816821123187164E-2</v>
      </c>
      <c r="J82" s="160">
        <f t="shared" si="3"/>
        <v>3.816821123187164E-2</v>
      </c>
      <c r="K82" s="160">
        <f t="shared" si="3"/>
        <v>3.816821123187164E-2</v>
      </c>
      <c r="L82" s="160">
        <f t="shared" si="3"/>
        <v>3.816821123187164E-2</v>
      </c>
      <c r="M82" s="160">
        <f t="shared" si="3"/>
        <v>3.816821123187164E-2</v>
      </c>
      <c r="N82" s="160">
        <f t="shared" si="3"/>
        <v>3.816821123187164E-2</v>
      </c>
      <c r="O82" s="160">
        <f t="shared" si="3"/>
        <v>3.816821123187164E-2</v>
      </c>
      <c r="P82" s="160">
        <f t="shared" si="3"/>
        <v>3.816821123187164E-2</v>
      </c>
    </row>
    <row r="83" spans="2:16">
      <c r="B83" s="8" t="str">
        <f t="shared" si="1"/>
        <v>65 plus</v>
      </c>
      <c r="C83" s="160">
        <f t="shared" si="3"/>
        <v>0.11933114298790197</v>
      </c>
      <c r="D83" s="160">
        <f t="shared" si="3"/>
        <v>0.12529195396600515</v>
      </c>
      <c r="E83" s="160">
        <f t="shared" si="3"/>
        <v>0.12477051461252889</v>
      </c>
      <c r="F83" s="160">
        <f t="shared" si="3"/>
        <v>0.12028445105145866</v>
      </c>
      <c r="G83" s="160">
        <f t="shared" si="3"/>
        <v>0.12479837837710063</v>
      </c>
      <c r="H83" s="160">
        <f t="shared" si="3"/>
        <v>0.1224549671012931</v>
      </c>
      <c r="I83" s="160">
        <f t="shared" si="3"/>
        <v>0.1224549671012931</v>
      </c>
      <c r="J83" s="160">
        <f t="shared" si="3"/>
        <v>0.1224549671012931</v>
      </c>
      <c r="K83" s="160">
        <f t="shared" si="3"/>
        <v>0.1224549671012931</v>
      </c>
      <c r="L83" s="160">
        <f t="shared" si="3"/>
        <v>0.1224549671012931</v>
      </c>
      <c r="M83" s="160">
        <f t="shared" si="3"/>
        <v>0.1224549671012931</v>
      </c>
      <c r="N83" s="160">
        <f t="shared" si="3"/>
        <v>0.1224549671012931</v>
      </c>
      <c r="O83" s="160">
        <f t="shared" si="3"/>
        <v>0.1224549671012931</v>
      </c>
      <c r="P83" s="160">
        <f t="shared" si="3"/>
        <v>0.1224549671012931</v>
      </c>
    </row>
    <row r="84" spans="2:16">
      <c r="B84" s="8" t="str">
        <f t="shared" si="1"/>
        <v>Total</v>
      </c>
      <c r="C84" s="160">
        <f t="shared" si="3"/>
        <v>8.1955134048225103E-2</v>
      </c>
      <c r="D84" s="160">
        <f t="shared" si="3"/>
        <v>8.6048944352179912E-2</v>
      </c>
      <c r="E84" s="160">
        <f t="shared" si="3"/>
        <v>8.5690826336696738E-2</v>
      </c>
      <c r="F84" s="160">
        <f t="shared" si="3"/>
        <v>8.260985408342969E-2</v>
      </c>
      <c r="G84" s="160">
        <f t="shared" si="3"/>
        <v>8.570996282113312E-2</v>
      </c>
      <c r="H84" s="160">
        <f t="shared" si="3"/>
        <v>8.4100537314680063E-2</v>
      </c>
      <c r="I84" s="160">
        <f t="shared" si="3"/>
        <v>8.4100537314680063E-2</v>
      </c>
      <c r="J84" s="160">
        <f t="shared" si="3"/>
        <v>8.4100537314680063E-2</v>
      </c>
      <c r="K84" s="160">
        <f t="shared" si="3"/>
        <v>8.4100537314680063E-2</v>
      </c>
      <c r="L84" s="160">
        <f t="shared" si="3"/>
        <v>8.4100537314680063E-2</v>
      </c>
      <c r="M84" s="160">
        <f t="shared" si="3"/>
        <v>8.4100537314680063E-2</v>
      </c>
      <c r="N84" s="160">
        <f t="shared" si="3"/>
        <v>8.4100537314680063E-2</v>
      </c>
      <c r="O84" s="160">
        <f t="shared" si="3"/>
        <v>8.4100537314680063E-2</v>
      </c>
      <c r="P84" s="160">
        <f t="shared" si="3"/>
        <v>8.4100537314680063E-2</v>
      </c>
    </row>
    <row r="85" spans="2:16">
      <c r="B85" s="12"/>
      <c r="C85" s="910"/>
      <c r="D85" s="910"/>
      <c r="E85" s="910"/>
      <c r="F85" s="910"/>
      <c r="G85" s="910"/>
      <c r="H85" s="910"/>
      <c r="I85" s="910"/>
      <c r="J85" s="910"/>
      <c r="K85" s="910"/>
      <c r="L85" s="910"/>
      <c r="M85" s="910"/>
      <c r="N85" s="910"/>
      <c r="O85" s="910"/>
      <c r="P85" s="910"/>
    </row>
    <row r="86" spans="2:16">
      <c r="B86" s="5" t="s">
        <v>437</v>
      </c>
      <c r="C86" s="910"/>
      <c r="D86" s="910"/>
      <c r="E86" s="910"/>
      <c r="F86" s="910"/>
      <c r="G86" s="910"/>
      <c r="H86" s="910"/>
      <c r="I86" s="910"/>
      <c r="J86" s="910"/>
      <c r="K86" s="910"/>
      <c r="L86" s="910"/>
      <c r="M86" s="910"/>
      <c r="N86" s="910"/>
      <c r="O86" s="910"/>
      <c r="P86" s="910"/>
    </row>
    <row r="87" spans="2:16">
      <c r="B87" s="12"/>
      <c r="C87" s="910"/>
      <c r="D87" s="910"/>
      <c r="E87" s="910"/>
      <c r="F87" s="910"/>
      <c r="G87" s="910"/>
      <c r="H87" s="910"/>
      <c r="I87" s="910"/>
      <c r="J87" s="910"/>
      <c r="K87" s="910"/>
      <c r="L87" s="910"/>
      <c r="M87" s="910"/>
      <c r="N87" s="910"/>
      <c r="O87" s="910"/>
      <c r="P87" s="910"/>
    </row>
    <row r="88" spans="2:16">
      <c r="B88" s="8" t="str">
        <f>B73</f>
        <v>Age group</v>
      </c>
      <c r="C88" s="911" t="str">
        <f>C73</f>
        <v>2015/16</v>
      </c>
      <c r="D88" s="911" t="str">
        <f t="shared" ref="D88:P88" si="4">D73</f>
        <v>2016/17</v>
      </c>
      <c r="E88" s="911" t="str">
        <f t="shared" si="4"/>
        <v>2017/18</v>
      </c>
      <c r="F88" s="911" t="str">
        <f t="shared" si="4"/>
        <v>2018/19</v>
      </c>
      <c r="G88" s="911" t="str">
        <f t="shared" si="4"/>
        <v>2019/20</v>
      </c>
      <c r="H88" s="911" t="str">
        <f t="shared" si="4"/>
        <v>2020/21</v>
      </c>
      <c r="I88" s="911" t="str">
        <f t="shared" si="4"/>
        <v>2021/22</v>
      </c>
      <c r="J88" s="911" t="str">
        <f t="shared" si="4"/>
        <v>2022/23</v>
      </c>
      <c r="K88" s="911" t="str">
        <f t="shared" si="4"/>
        <v>2023/24</v>
      </c>
      <c r="L88" s="911" t="str">
        <f t="shared" si="4"/>
        <v>2024/25</v>
      </c>
      <c r="M88" s="911" t="str">
        <f t="shared" si="4"/>
        <v>2025/26</v>
      </c>
      <c r="N88" s="911" t="str">
        <f t="shared" si="4"/>
        <v>2026/27</v>
      </c>
      <c r="O88" s="911" t="str">
        <f t="shared" si="4"/>
        <v>2027/28</v>
      </c>
      <c r="P88" s="911" t="str">
        <f t="shared" si="4"/>
        <v>2028/29</v>
      </c>
    </row>
    <row r="89" spans="2:16">
      <c r="B89" s="8" t="str">
        <f t="shared" ref="B89:B99" si="5">B74</f>
        <v>20-24</v>
      </c>
      <c r="C89" s="160">
        <f>C57*$G25</f>
        <v>0.11905530216181731</v>
      </c>
      <c r="D89" s="160">
        <f t="shared" ref="D89:P89" si="6">D57*$G25</f>
        <v>0.11795636291926891</v>
      </c>
      <c r="E89" s="160">
        <f t="shared" si="6"/>
        <v>0.11989015210794163</v>
      </c>
      <c r="F89" s="160">
        <f t="shared" si="6"/>
        <v>0.12048266461721437</v>
      </c>
      <c r="G89" s="160">
        <f t="shared" si="6"/>
        <v>0.1224882959089176</v>
      </c>
      <c r="H89" s="160">
        <f t="shared" si="6"/>
        <v>0.12406293862762337</v>
      </c>
      <c r="I89" s="160">
        <f t="shared" si="6"/>
        <v>0.12406293862762337</v>
      </c>
      <c r="J89" s="160">
        <f t="shared" si="6"/>
        <v>0.12406293862762337</v>
      </c>
      <c r="K89" s="160">
        <f t="shared" si="6"/>
        <v>0.12406293862762337</v>
      </c>
      <c r="L89" s="160">
        <f t="shared" si="6"/>
        <v>0.12406293862762337</v>
      </c>
      <c r="M89" s="160">
        <f t="shared" si="6"/>
        <v>0.12406293862762337</v>
      </c>
      <c r="N89" s="160">
        <f t="shared" si="6"/>
        <v>0.12406293862762337</v>
      </c>
      <c r="O89" s="160">
        <f t="shared" si="6"/>
        <v>0.12406293862762337</v>
      </c>
      <c r="P89" s="160">
        <f t="shared" si="6"/>
        <v>0.12406293862762337</v>
      </c>
    </row>
    <row r="90" spans="2:16">
      <c r="B90" s="8" t="str">
        <f t="shared" si="5"/>
        <v>25-29</v>
      </c>
      <c r="C90" s="160">
        <f t="shared" ref="C90:P99" si="7">C58*$G26</f>
        <v>0.10946971626995902</v>
      </c>
      <c r="D90" s="160">
        <f t="shared" si="7"/>
        <v>0.10845925671968894</v>
      </c>
      <c r="E90" s="160">
        <f t="shared" si="7"/>
        <v>0.11023734933686774</v>
      </c>
      <c r="F90" s="160">
        <f t="shared" si="7"/>
        <v>0.11078215645674157</v>
      </c>
      <c r="G90" s="160">
        <f t="shared" si="7"/>
        <v>0.11262630690160366</v>
      </c>
      <c r="H90" s="160">
        <f t="shared" si="7"/>
        <v>0.11407416926903512</v>
      </c>
      <c r="I90" s="160">
        <f t="shared" si="7"/>
        <v>0.11407416926903512</v>
      </c>
      <c r="J90" s="160">
        <f t="shared" si="7"/>
        <v>0.11407416926903512</v>
      </c>
      <c r="K90" s="160">
        <f t="shared" si="7"/>
        <v>0.11407416926903512</v>
      </c>
      <c r="L90" s="160">
        <f t="shared" si="7"/>
        <v>0.11407416926903512</v>
      </c>
      <c r="M90" s="160">
        <f t="shared" si="7"/>
        <v>0.11407416926903512</v>
      </c>
      <c r="N90" s="160">
        <f t="shared" si="7"/>
        <v>0.11407416926903512</v>
      </c>
      <c r="O90" s="160">
        <f t="shared" si="7"/>
        <v>0.11407416926903512</v>
      </c>
      <c r="P90" s="160">
        <f t="shared" si="7"/>
        <v>0.11407416926903512</v>
      </c>
    </row>
    <row r="91" spans="2:16">
      <c r="B91" s="8" t="str">
        <f t="shared" si="5"/>
        <v>30-34</v>
      </c>
      <c r="C91" s="160">
        <f t="shared" si="7"/>
        <v>9.2419416617376501E-2</v>
      </c>
      <c r="D91" s="160">
        <f t="shared" si="7"/>
        <v>9.1566339754355117E-2</v>
      </c>
      <c r="E91" s="160">
        <f t="shared" si="7"/>
        <v>9.3067488089901007E-2</v>
      </c>
      <c r="F91" s="160">
        <f t="shared" si="7"/>
        <v>9.3527439553222277E-2</v>
      </c>
      <c r="G91" s="160">
        <f t="shared" si="7"/>
        <v>9.5084356973639497E-2</v>
      </c>
      <c r="H91" s="160">
        <f t="shared" si="7"/>
        <v>9.630670960137705E-2</v>
      </c>
      <c r="I91" s="160">
        <f t="shared" si="7"/>
        <v>9.630670960137705E-2</v>
      </c>
      <c r="J91" s="160">
        <f t="shared" si="7"/>
        <v>9.630670960137705E-2</v>
      </c>
      <c r="K91" s="160">
        <f t="shared" si="7"/>
        <v>9.630670960137705E-2</v>
      </c>
      <c r="L91" s="160">
        <f t="shared" si="7"/>
        <v>9.630670960137705E-2</v>
      </c>
      <c r="M91" s="160">
        <f t="shared" si="7"/>
        <v>9.630670960137705E-2</v>
      </c>
      <c r="N91" s="160">
        <f t="shared" si="7"/>
        <v>9.630670960137705E-2</v>
      </c>
      <c r="O91" s="160">
        <f t="shared" si="7"/>
        <v>9.630670960137705E-2</v>
      </c>
      <c r="P91" s="160">
        <f t="shared" si="7"/>
        <v>9.630670960137705E-2</v>
      </c>
    </row>
    <row r="92" spans="2:16">
      <c r="B92" s="8" t="str">
        <f t="shared" si="5"/>
        <v>35-39</v>
      </c>
      <c r="C92" s="160">
        <f t="shared" si="7"/>
        <v>8.4275002499416496E-2</v>
      </c>
      <c r="D92" s="160">
        <f t="shared" si="7"/>
        <v>8.3497102601379242E-2</v>
      </c>
      <c r="E92" s="160">
        <f t="shared" si="7"/>
        <v>8.4865963002802039E-2</v>
      </c>
      <c r="F92" s="160">
        <f t="shared" si="7"/>
        <v>8.5285381477184868E-2</v>
      </c>
      <c r="G92" s="160">
        <f t="shared" si="7"/>
        <v>8.6705096341218924E-2</v>
      </c>
      <c r="H92" s="160">
        <f t="shared" si="7"/>
        <v>8.7819729764888291E-2</v>
      </c>
      <c r="I92" s="160">
        <f t="shared" si="7"/>
        <v>8.7819729764888291E-2</v>
      </c>
      <c r="J92" s="160">
        <f t="shared" si="7"/>
        <v>8.7819729764888291E-2</v>
      </c>
      <c r="K92" s="160">
        <f t="shared" si="7"/>
        <v>8.7819729764888291E-2</v>
      </c>
      <c r="L92" s="160">
        <f t="shared" si="7"/>
        <v>8.7819729764888291E-2</v>
      </c>
      <c r="M92" s="160">
        <f t="shared" si="7"/>
        <v>8.7819729764888291E-2</v>
      </c>
      <c r="N92" s="160">
        <f t="shared" si="7"/>
        <v>8.7819729764888291E-2</v>
      </c>
      <c r="O92" s="160">
        <f t="shared" si="7"/>
        <v>8.7819729764888291E-2</v>
      </c>
      <c r="P92" s="160">
        <f t="shared" si="7"/>
        <v>8.7819729764888291E-2</v>
      </c>
    </row>
    <row r="93" spans="2:16">
      <c r="B93" s="8" t="str">
        <f t="shared" si="5"/>
        <v>40-44</v>
      </c>
      <c r="C93" s="160">
        <f t="shared" si="7"/>
        <v>8.051920783843397E-2</v>
      </c>
      <c r="D93" s="160">
        <f t="shared" si="7"/>
        <v>7.9775975780173369E-2</v>
      </c>
      <c r="E93" s="160">
        <f t="shared" si="7"/>
        <v>8.1083831631791142E-2</v>
      </c>
      <c r="F93" s="160">
        <f t="shared" si="7"/>
        <v>8.1484558327828249E-2</v>
      </c>
      <c r="G93" s="160">
        <f t="shared" si="7"/>
        <v>8.2841002265154312E-2</v>
      </c>
      <c r="H93" s="160">
        <f t="shared" si="7"/>
        <v>8.3905961003123142E-2</v>
      </c>
      <c r="I93" s="160">
        <f t="shared" si="7"/>
        <v>8.3905961003123142E-2</v>
      </c>
      <c r="J93" s="160">
        <f t="shared" si="7"/>
        <v>8.3905961003123142E-2</v>
      </c>
      <c r="K93" s="160">
        <f t="shared" si="7"/>
        <v>8.3905961003123142E-2</v>
      </c>
      <c r="L93" s="160">
        <f t="shared" si="7"/>
        <v>8.3905961003123142E-2</v>
      </c>
      <c r="M93" s="160">
        <f t="shared" si="7"/>
        <v>8.3905961003123142E-2</v>
      </c>
      <c r="N93" s="160">
        <f t="shared" si="7"/>
        <v>8.3905961003123142E-2</v>
      </c>
      <c r="O93" s="160">
        <f t="shared" si="7"/>
        <v>8.3905961003123142E-2</v>
      </c>
      <c r="P93" s="160">
        <f t="shared" si="7"/>
        <v>8.3905961003123142E-2</v>
      </c>
    </row>
    <row r="94" spans="2:16">
      <c r="B94" s="8" t="str">
        <f t="shared" si="5"/>
        <v>45-49</v>
      </c>
      <c r="C94" s="160">
        <f t="shared" si="7"/>
        <v>8.5444535429175697E-2</v>
      </c>
      <c r="D94" s="160">
        <f t="shared" si="7"/>
        <v>8.4655840164543014E-2</v>
      </c>
      <c r="E94" s="160">
        <f t="shared" si="7"/>
        <v>8.6043697033105854E-2</v>
      </c>
      <c r="F94" s="160">
        <f t="shared" si="7"/>
        <v>8.6468936020126994E-2</v>
      </c>
      <c r="G94" s="160">
        <f t="shared" si="7"/>
        <v>8.7908353088078123E-2</v>
      </c>
      <c r="H94" s="160">
        <f t="shared" si="7"/>
        <v>8.9038454924146526E-2</v>
      </c>
      <c r="I94" s="160">
        <f t="shared" si="7"/>
        <v>8.9038454924146526E-2</v>
      </c>
      <c r="J94" s="160">
        <f t="shared" si="7"/>
        <v>8.9038454924146526E-2</v>
      </c>
      <c r="K94" s="160">
        <f t="shared" si="7"/>
        <v>8.9038454924146526E-2</v>
      </c>
      <c r="L94" s="160">
        <f t="shared" si="7"/>
        <v>8.9038454924146526E-2</v>
      </c>
      <c r="M94" s="160">
        <f t="shared" si="7"/>
        <v>8.9038454924146526E-2</v>
      </c>
      <c r="N94" s="160">
        <f t="shared" si="7"/>
        <v>8.9038454924146526E-2</v>
      </c>
      <c r="O94" s="160">
        <f t="shared" si="7"/>
        <v>8.9038454924146526E-2</v>
      </c>
      <c r="P94" s="160">
        <f t="shared" si="7"/>
        <v>8.9038454924146526E-2</v>
      </c>
    </row>
    <row r="95" spans="2:16">
      <c r="B95" s="8" t="str">
        <f t="shared" si="5"/>
        <v>50-54</v>
      </c>
      <c r="C95" s="160">
        <f t="shared" si="7"/>
        <v>8.3510177177761546E-2</v>
      </c>
      <c r="D95" s="160">
        <f t="shared" si="7"/>
        <v>8.2739336995204402E-2</v>
      </c>
      <c r="E95" s="160">
        <f t="shared" si="7"/>
        <v>8.4095774506496454E-2</v>
      </c>
      <c r="F95" s="160">
        <f t="shared" si="7"/>
        <v>8.4511386610543304E-2</v>
      </c>
      <c r="G95" s="160">
        <f t="shared" si="7"/>
        <v>8.5918217062292121E-2</v>
      </c>
      <c r="H95" s="160">
        <f t="shared" si="7"/>
        <v>8.7022734795169393E-2</v>
      </c>
      <c r="I95" s="160">
        <f t="shared" si="7"/>
        <v>8.7022734795169393E-2</v>
      </c>
      <c r="J95" s="160">
        <f t="shared" si="7"/>
        <v>8.7022734795169393E-2</v>
      </c>
      <c r="K95" s="160">
        <f t="shared" si="7"/>
        <v>8.7022734795169393E-2</v>
      </c>
      <c r="L95" s="160">
        <f t="shared" si="7"/>
        <v>8.7022734795169393E-2</v>
      </c>
      <c r="M95" s="160">
        <f t="shared" si="7"/>
        <v>8.7022734795169393E-2</v>
      </c>
      <c r="N95" s="160">
        <f t="shared" si="7"/>
        <v>8.7022734795169393E-2</v>
      </c>
      <c r="O95" s="160">
        <f t="shared" si="7"/>
        <v>8.7022734795169393E-2</v>
      </c>
      <c r="P95" s="160">
        <f t="shared" si="7"/>
        <v>8.7022734795169393E-2</v>
      </c>
    </row>
    <row r="96" spans="2:16">
      <c r="B96" s="8" t="str">
        <f t="shared" si="5"/>
        <v>55-59</v>
      </c>
      <c r="C96" s="160">
        <f t="shared" si="7"/>
        <v>5.1796846865479799E-2</v>
      </c>
      <c r="D96" s="160">
        <f t="shared" si="7"/>
        <v>5.1318736385499837E-2</v>
      </c>
      <c r="E96" s="160">
        <f t="shared" si="7"/>
        <v>5.2160061220740364E-2</v>
      </c>
      <c r="F96" s="160">
        <f t="shared" si="7"/>
        <v>5.2417842933536046E-2</v>
      </c>
      <c r="G96" s="160">
        <f t="shared" si="7"/>
        <v>5.3290423784607834E-2</v>
      </c>
      <c r="H96" s="160">
        <f t="shared" si="7"/>
        <v>5.3975496404538595E-2</v>
      </c>
      <c r="I96" s="160">
        <f t="shared" si="7"/>
        <v>5.3975496404538595E-2</v>
      </c>
      <c r="J96" s="160">
        <f t="shared" si="7"/>
        <v>5.3975496404538595E-2</v>
      </c>
      <c r="K96" s="160">
        <f t="shared" si="7"/>
        <v>5.3975496404538595E-2</v>
      </c>
      <c r="L96" s="160">
        <f t="shared" si="7"/>
        <v>5.3975496404538595E-2</v>
      </c>
      <c r="M96" s="160">
        <f t="shared" si="7"/>
        <v>5.3975496404538595E-2</v>
      </c>
      <c r="N96" s="160">
        <f t="shared" si="7"/>
        <v>5.3975496404538595E-2</v>
      </c>
      <c r="O96" s="160">
        <f t="shared" si="7"/>
        <v>5.3975496404538595E-2</v>
      </c>
      <c r="P96" s="160">
        <f t="shared" si="7"/>
        <v>5.3975496404538595E-2</v>
      </c>
    </row>
    <row r="97" spans="2:16">
      <c r="B97" s="8" t="str">
        <f t="shared" si="5"/>
        <v>60-64</v>
      </c>
      <c r="C97" s="160">
        <f t="shared" si="7"/>
        <v>5.2767410003578361E-2</v>
      </c>
      <c r="D97" s="160">
        <f t="shared" si="7"/>
        <v>5.2280340746454837E-2</v>
      </c>
      <c r="E97" s="160">
        <f t="shared" si="7"/>
        <v>5.3137430226102615E-2</v>
      </c>
      <c r="F97" s="160">
        <f t="shared" si="7"/>
        <v>5.340004222188377E-2</v>
      </c>
      <c r="G97" s="160">
        <f t="shared" si="7"/>
        <v>5.4288973388859157E-2</v>
      </c>
      <c r="H97" s="160">
        <f t="shared" si="7"/>
        <v>5.4986882817824892E-2</v>
      </c>
      <c r="I97" s="160">
        <f t="shared" si="7"/>
        <v>5.4986882817824892E-2</v>
      </c>
      <c r="J97" s="160">
        <f t="shared" si="7"/>
        <v>5.4986882817824892E-2</v>
      </c>
      <c r="K97" s="160">
        <f t="shared" si="7"/>
        <v>5.4986882817824892E-2</v>
      </c>
      <c r="L97" s="160">
        <f t="shared" si="7"/>
        <v>5.4986882817824892E-2</v>
      </c>
      <c r="M97" s="160">
        <f t="shared" si="7"/>
        <v>5.4986882817824892E-2</v>
      </c>
      <c r="N97" s="160">
        <f t="shared" si="7"/>
        <v>5.4986882817824892E-2</v>
      </c>
      <c r="O97" s="160">
        <f t="shared" si="7"/>
        <v>5.4986882817824892E-2</v>
      </c>
      <c r="P97" s="160">
        <f t="shared" si="7"/>
        <v>5.4986882817824892E-2</v>
      </c>
    </row>
    <row r="98" spans="2:16">
      <c r="B98" s="8" t="str">
        <f t="shared" si="5"/>
        <v>65 plus</v>
      </c>
      <c r="C98" s="160">
        <f t="shared" si="7"/>
        <v>8.6285404856708159E-2</v>
      </c>
      <c r="D98" s="160">
        <f t="shared" si="7"/>
        <v>8.5488947951938538E-2</v>
      </c>
      <c r="E98" s="160">
        <f t="shared" si="7"/>
        <v>8.6890462878383076E-2</v>
      </c>
      <c r="F98" s="160">
        <f t="shared" si="7"/>
        <v>8.7319886690820886E-2</v>
      </c>
      <c r="G98" s="160">
        <f t="shared" si="7"/>
        <v>8.8773469226462023E-2</v>
      </c>
      <c r="H98" s="160">
        <f t="shared" si="7"/>
        <v>8.9914692523711939E-2</v>
      </c>
      <c r="I98" s="160">
        <f t="shared" si="7"/>
        <v>8.9914692523711939E-2</v>
      </c>
      <c r="J98" s="160">
        <f t="shared" si="7"/>
        <v>8.9914692523711939E-2</v>
      </c>
      <c r="K98" s="160">
        <f t="shared" si="7"/>
        <v>8.9914692523711939E-2</v>
      </c>
      <c r="L98" s="160">
        <f t="shared" si="7"/>
        <v>8.9914692523711939E-2</v>
      </c>
      <c r="M98" s="160">
        <f t="shared" si="7"/>
        <v>8.9914692523711939E-2</v>
      </c>
      <c r="N98" s="160">
        <f t="shared" si="7"/>
        <v>8.9914692523711939E-2</v>
      </c>
      <c r="O98" s="160">
        <f t="shared" si="7"/>
        <v>8.9914692523711939E-2</v>
      </c>
      <c r="P98" s="160">
        <f t="shared" si="7"/>
        <v>8.9914692523711939E-2</v>
      </c>
    </row>
    <row r="99" spans="2:16">
      <c r="B99" s="8" t="str">
        <f t="shared" si="5"/>
        <v>Total</v>
      </c>
      <c r="C99" s="160">
        <f t="shared" si="7"/>
        <v>8.83503581938615E-2</v>
      </c>
      <c r="D99" s="160">
        <f t="shared" si="7"/>
        <v>8.7534840749871667E-2</v>
      </c>
      <c r="E99" s="160">
        <f t="shared" si="7"/>
        <v>8.8969896260952017E-2</v>
      </c>
      <c r="F99" s="160">
        <f t="shared" si="7"/>
        <v>8.9409596899882315E-2</v>
      </c>
      <c r="G99" s="160">
        <f t="shared" si="7"/>
        <v>9.0897966084699924E-2</v>
      </c>
      <c r="H99" s="160">
        <f t="shared" si="7"/>
        <v>9.2066500754713357E-2</v>
      </c>
      <c r="I99" s="160">
        <f t="shared" si="7"/>
        <v>9.2066500754713357E-2</v>
      </c>
      <c r="J99" s="160">
        <f t="shared" si="7"/>
        <v>9.2066500754713357E-2</v>
      </c>
      <c r="K99" s="160">
        <f t="shared" si="7"/>
        <v>9.2066500754713357E-2</v>
      </c>
      <c r="L99" s="160">
        <f t="shared" si="7"/>
        <v>9.2066500754713357E-2</v>
      </c>
      <c r="M99" s="160">
        <f t="shared" si="7"/>
        <v>9.2066500754713357E-2</v>
      </c>
      <c r="N99" s="160">
        <f t="shared" si="7"/>
        <v>9.2066500754713357E-2</v>
      </c>
      <c r="O99" s="160">
        <f t="shared" si="7"/>
        <v>9.2066500754713357E-2</v>
      </c>
      <c r="P99" s="160">
        <f t="shared" si="7"/>
        <v>9.2066500754713357E-2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9"/>
  <sheetViews>
    <sheetView showGridLines="0" workbookViewId="0"/>
  </sheetViews>
  <sheetFormatPr defaultRowHeight="12.75"/>
  <cols>
    <col min="2" max="2" width="15.7109375" customWidth="1"/>
    <col min="3" max="18" width="12.7109375" customWidth="1"/>
  </cols>
  <sheetData>
    <row r="1" spans="1:16" s="65" customFormat="1" ht="15">
      <c r="A1" s="64" t="str">
        <f>ModelBanner</f>
        <v>TSM_201819 Publication</v>
      </c>
    </row>
    <row r="2" spans="1:16" s="65" customFormat="1" ht="15">
      <c r="A2" s="940" t="s">
        <v>13</v>
      </c>
      <c r="B2" s="940" t="s">
        <v>30</v>
      </c>
    </row>
    <row r="3" spans="1:16" s="65" customFormat="1" ht="15">
      <c r="A3" s="66"/>
    </row>
    <row r="4" spans="1:16" s="56" customFormat="1">
      <c r="A4" s="57" t="s">
        <v>26</v>
      </c>
      <c r="B4" s="57"/>
    </row>
    <row r="5" spans="1:16" s="46" customFormat="1" ht="28.5" customHeight="1">
      <c r="A5" s="1296" t="s">
        <v>1452</v>
      </c>
      <c r="B5" s="1296"/>
      <c r="C5" s="1296"/>
      <c r="D5" s="1296"/>
      <c r="E5" s="1296"/>
      <c r="F5" s="1296"/>
      <c r="G5" s="1296"/>
      <c r="H5" s="1296"/>
      <c r="I5" s="1296"/>
      <c r="J5" s="1296"/>
      <c r="K5" s="1296"/>
      <c r="L5" s="1296"/>
      <c r="M5" s="1296"/>
      <c r="N5" s="1296"/>
      <c r="O5" s="1296"/>
      <c r="P5" s="1296"/>
    </row>
    <row r="6" spans="1:16" s="45" customFormat="1">
      <c r="A6" s="55" t="s">
        <v>1392</v>
      </c>
      <c r="B6" s="60"/>
      <c r="C6" s="44"/>
      <c r="D6" s="44"/>
      <c r="E6" s="44"/>
      <c r="F6" s="44"/>
      <c r="G6" s="44"/>
      <c r="H6" s="44"/>
      <c r="I6" s="44"/>
    </row>
    <row r="7" spans="1:16" s="45" customFormat="1">
      <c r="A7" s="53" t="s">
        <v>237</v>
      </c>
      <c r="B7" s="55"/>
      <c r="C7" s="44"/>
      <c r="D7" s="44"/>
      <c r="E7" s="44"/>
      <c r="F7" s="44"/>
      <c r="G7" s="44"/>
      <c r="H7" s="44"/>
      <c r="I7" s="44"/>
    </row>
    <row r="8" spans="1:16" s="45" customFormat="1">
      <c r="A8" s="55" t="s">
        <v>24</v>
      </c>
      <c r="B8" s="60"/>
      <c r="C8" s="44"/>
      <c r="D8" s="44"/>
      <c r="E8" s="44"/>
      <c r="F8" s="44"/>
      <c r="G8" s="44"/>
      <c r="H8" s="44"/>
      <c r="I8" s="44"/>
    </row>
    <row r="9" spans="1:16" s="45" customFormat="1">
      <c r="A9" s="53" t="s">
        <v>1450</v>
      </c>
      <c r="B9" s="60"/>
      <c r="C9" s="44"/>
      <c r="D9" s="44"/>
      <c r="E9" s="44"/>
      <c r="F9" s="44"/>
      <c r="G9" s="44"/>
      <c r="H9" s="44"/>
      <c r="I9" s="44"/>
    </row>
    <row r="10" spans="1:16" s="49" customFormat="1" ht="13.5" customHeight="1">
      <c r="A10" s="54">
        <f>SUM(A12:A2224)</f>
        <v>0</v>
      </c>
      <c r="B10" s="72"/>
      <c r="C10" s="47"/>
      <c r="D10" s="71"/>
      <c r="E10" s="48"/>
      <c r="F10" s="48"/>
      <c r="G10" s="48"/>
      <c r="H10" s="48"/>
      <c r="I10" s="48"/>
    </row>
    <row r="12" spans="1:16" ht="18">
      <c r="B12" s="38" t="s">
        <v>432</v>
      </c>
    </row>
    <row r="14" spans="1:16">
      <c r="B14" s="1004" t="s">
        <v>1748</v>
      </c>
    </row>
    <row r="16" spans="1:16">
      <c r="B16" s="12" t="s">
        <v>433</v>
      </c>
    </row>
    <row r="18" spans="2:8">
      <c r="B18" t="str">
        <f>RAW_DATA_INPUTS!C397</f>
        <v xml:space="preserve">Group 1 subjects comprise Biology, Chemistry, Computing, Mathematics, and Physics. Group 2 subjects comprise Classics, English, Geography, History, and Modern Foreign Languages. All other subjects fall into Group 3. </v>
      </c>
    </row>
    <row r="20" spans="2:8">
      <c r="B20" s="12" t="s">
        <v>1453</v>
      </c>
    </row>
    <row r="22" spans="2:8">
      <c r="B22" s="1294"/>
      <c r="C22" s="1231" t="str">
        <f>RAW_DATA_INPUTS!C400</f>
        <v>Assumed wastage conversion rates</v>
      </c>
      <c r="D22" s="1232"/>
      <c r="E22" s="1232"/>
      <c r="F22" s="1232"/>
      <c r="G22" s="1232"/>
      <c r="H22" s="1233"/>
    </row>
    <row r="23" spans="2:8">
      <c r="B23" s="1295"/>
      <c r="C23" s="1231" t="str">
        <f>RAW_DATA_INPUTS!C401</f>
        <v>Male</v>
      </c>
      <c r="D23" s="1232"/>
      <c r="E23" s="1233"/>
      <c r="F23" s="1231" t="str">
        <f>RAW_DATA_INPUTS!F401</f>
        <v>Female</v>
      </c>
      <c r="G23" s="1232"/>
      <c r="H23" s="1233"/>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55">
        <f>RAW_DATA_INPUTS!C403</f>
        <v>1.194</v>
      </c>
      <c r="D25" s="255">
        <f>RAW_DATA_INPUTS!D403</f>
        <v>0.90100000000000002</v>
      </c>
      <c r="E25" s="255">
        <f>RAW_DATA_INPUTS!E403</f>
        <v>0.79300000000000004</v>
      </c>
      <c r="F25" s="255">
        <f>RAW_DATA_INPUTS!F403</f>
        <v>1.141</v>
      </c>
      <c r="G25" s="255">
        <f>RAW_DATA_INPUTS!G403</f>
        <v>0.94099999999999995</v>
      </c>
      <c r="H25" s="255">
        <f>RAW_DATA_INPUTS!H403</f>
        <v>0.91600000000000004</v>
      </c>
    </row>
    <row r="26" spans="2:8">
      <c r="B26" s="8" t="str">
        <f>RAW_DATA_INPUTS!B404</f>
        <v>25-29</v>
      </c>
      <c r="C26" s="255">
        <f>RAW_DATA_INPUTS!C404</f>
        <v>1.1179999999999999</v>
      </c>
      <c r="D26" s="255">
        <f>RAW_DATA_INPUTS!D404</f>
        <v>1.0980000000000001</v>
      </c>
      <c r="E26" s="255">
        <f>RAW_DATA_INPUTS!E404</f>
        <v>0.81200000000000006</v>
      </c>
      <c r="F26" s="255">
        <f>RAW_DATA_INPUTS!F404</f>
        <v>1.101</v>
      </c>
      <c r="G26" s="255">
        <f>RAW_DATA_INPUTS!G404</f>
        <v>1.0469999999999999</v>
      </c>
      <c r="H26" s="255">
        <f>RAW_DATA_INPUTS!H404</f>
        <v>0.88400000000000001</v>
      </c>
    </row>
    <row r="27" spans="2:8">
      <c r="B27" s="8" t="str">
        <f>RAW_DATA_INPUTS!B405</f>
        <v>30-34</v>
      </c>
      <c r="C27" s="255">
        <f>RAW_DATA_INPUTS!C405</f>
        <v>1.141</v>
      </c>
      <c r="D27" s="255">
        <f>RAW_DATA_INPUTS!D405</f>
        <v>1.028</v>
      </c>
      <c r="E27" s="255">
        <f>RAW_DATA_INPUTS!E405</f>
        <v>0.86499999999999999</v>
      </c>
      <c r="F27" s="255">
        <f>RAW_DATA_INPUTS!F405</f>
        <v>1.0620000000000001</v>
      </c>
      <c r="G27" s="255">
        <f>RAW_DATA_INPUTS!G405</f>
        <v>1.0589999999999999</v>
      </c>
      <c r="H27" s="255">
        <f>RAW_DATA_INPUTS!H405</f>
        <v>0.91200000000000003</v>
      </c>
    </row>
    <row r="28" spans="2:8">
      <c r="B28" s="8" t="str">
        <f>RAW_DATA_INPUTS!B406</f>
        <v>35-39</v>
      </c>
      <c r="C28" s="255">
        <f>RAW_DATA_INPUTS!C406</f>
        <v>1.1539999999999999</v>
      </c>
      <c r="D28" s="255">
        <f>RAW_DATA_INPUTS!D406</f>
        <v>0.93600000000000005</v>
      </c>
      <c r="E28" s="255">
        <f>RAW_DATA_INPUTS!E406</f>
        <v>0.90300000000000002</v>
      </c>
      <c r="F28" s="255">
        <f>RAW_DATA_INPUTS!F406</f>
        <v>1.0449999999999999</v>
      </c>
      <c r="G28" s="255">
        <f>RAW_DATA_INPUTS!G406</f>
        <v>1.028</v>
      </c>
      <c r="H28" s="255">
        <f>RAW_DATA_INPUTS!H406</f>
        <v>0.94399999999999995</v>
      </c>
    </row>
    <row r="29" spans="2:8">
      <c r="B29" s="8" t="str">
        <f>RAW_DATA_INPUTS!B407</f>
        <v>40-44</v>
      </c>
      <c r="C29" s="255">
        <f>RAW_DATA_INPUTS!C407</f>
        <v>1.0289999999999999</v>
      </c>
      <c r="D29" s="255">
        <f>RAW_DATA_INPUTS!D407</f>
        <v>0.94699999999999995</v>
      </c>
      <c r="E29" s="255">
        <f>RAW_DATA_INPUTS!E407</f>
        <v>1.0029999999999999</v>
      </c>
      <c r="F29" s="255">
        <f>RAW_DATA_INPUTS!F407</f>
        <v>1.0489999999999999</v>
      </c>
      <c r="G29" s="255">
        <f>RAW_DATA_INPUTS!G407</f>
        <v>0.996</v>
      </c>
      <c r="H29" s="255">
        <f>RAW_DATA_INPUTS!H407</f>
        <v>0.96599999999999997</v>
      </c>
    </row>
    <row r="30" spans="2:8">
      <c r="B30" s="8" t="str">
        <f>RAW_DATA_INPUTS!B408</f>
        <v>45-49</v>
      </c>
      <c r="C30" s="255">
        <f>RAW_DATA_INPUTS!C408</f>
        <v>1.091</v>
      </c>
      <c r="D30" s="255">
        <f>RAW_DATA_INPUTS!D408</f>
        <v>0.96199999999999997</v>
      </c>
      <c r="E30" s="255">
        <f>RAW_DATA_INPUTS!E408</f>
        <v>0.91700000000000004</v>
      </c>
      <c r="F30" s="255">
        <f>RAW_DATA_INPUTS!F408</f>
        <v>1.052</v>
      </c>
      <c r="G30" s="255">
        <f>RAW_DATA_INPUTS!G408</f>
        <v>0.96799999999999997</v>
      </c>
      <c r="H30" s="255">
        <f>RAW_DATA_INPUTS!H408</f>
        <v>0.99</v>
      </c>
    </row>
    <row r="31" spans="2:8">
      <c r="B31" s="8" t="str">
        <f>RAW_DATA_INPUTS!B409</f>
        <v>50-54</v>
      </c>
      <c r="C31" s="255">
        <f>RAW_DATA_INPUTS!C409</f>
        <v>1.163</v>
      </c>
      <c r="D31" s="255">
        <f>RAW_DATA_INPUTS!D409</f>
        <v>0.753</v>
      </c>
      <c r="E31" s="255">
        <f>RAW_DATA_INPUTS!E409</f>
        <v>0.96199999999999997</v>
      </c>
      <c r="F31" s="255">
        <f>RAW_DATA_INPUTS!F409</f>
        <v>1.073</v>
      </c>
      <c r="G31" s="255">
        <f>RAW_DATA_INPUTS!G409</f>
        <v>0.95399999999999996</v>
      </c>
      <c r="H31" s="255">
        <f>RAW_DATA_INPUTS!H409</f>
        <v>0.98599999999999999</v>
      </c>
    </row>
    <row r="32" spans="2:8">
      <c r="B32" s="8" t="str">
        <f>RAW_DATA_INPUTS!B410</f>
        <v>55-59</v>
      </c>
      <c r="C32" s="255">
        <f>RAW_DATA_INPUTS!C410</f>
        <v>1.204</v>
      </c>
      <c r="D32" s="255">
        <f>RAW_DATA_INPUTS!D410</f>
        <v>0.93799999999999994</v>
      </c>
      <c r="E32" s="255">
        <f>RAW_DATA_INPUTS!E410</f>
        <v>0.83299999999999996</v>
      </c>
      <c r="F32" s="255">
        <f>RAW_DATA_INPUTS!F410</f>
        <v>1.1200000000000001</v>
      </c>
      <c r="G32" s="255">
        <f>RAW_DATA_INPUTS!G410</f>
        <v>0.90400000000000003</v>
      </c>
      <c r="H32" s="255">
        <f>RAW_DATA_INPUTS!H410</f>
        <v>1.0189999999999999</v>
      </c>
    </row>
    <row r="33" spans="2:18">
      <c r="B33" s="8" t="str">
        <f>RAW_DATA_INPUTS!B411</f>
        <v>60-64</v>
      </c>
      <c r="C33" s="255">
        <f>RAW_DATA_INPUTS!C411</f>
        <v>1.294</v>
      </c>
      <c r="D33" s="255">
        <f>RAW_DATA_INPUTS!D411</f>
        <v>0.64300000000000002</v>
      </c>
      <c r="E33" s="255">
        <f>RAW_DATA_INPUTS!E411</f>
        <v>0.89300000000000002</v>
      </c>
      <c r="F33" s="255">
        <f>RAW_DATA_INPUTS!F411</f>
        <v>1.0740000000000001</v>
      </c>
      <c r="G33" s="255">
        <f>RAW_DATA_INPUTS!G411</f>
        <v>1.012</v>
      </c>
      <c r="H33" s="255">
        <f>RAW_DATA_INPUTS!H411</f>
        <v>0.94</v>
      </c>
    </row>
    <row r="34" spans="2:18">
      <c r="B34" s="8" t="str">
        <f>RAW_DATA_INPUTS!B412</f>
        <v>65 plus</v>
      </c>
      <c r="C34" s="255">
        <f>RAW_DATA_INPUTS!C412</f>
        <v>1.079</v>
      </c>
      <c r="D34" s="255">
        <f>RAW_DATA_INPUTS!D412</f>
        <v>1.117</v>
      </c>
      <c r="E34" s="255">
        <f>RAW_DATA_INPUTS!E412</f>
        <v>0.82799999999999996</v>
      </c>
      <c r="F34" s="255">
        <f>RAW_DATA_INPUTS!F412</f>
        <v>0.85499999999999998</v>
      </c>
      <c r="G34" s="255">
        <f>RAW_DATA_INPUTS!G412</f>
        <v>1.1200000000000001</v>
      </c>
      <c r="H34" s="255">
        <f>RAW_DATA_INPUTS!H412</f>
        <v>0.98499999999999999</v>
      </c>
    </row>
    <row r="35" spans="2:18">
      <c r="B35" s="8" t="str">
        <f>RAW_DATA_INPUTS!B413</f>
        <v>Total</v>
      </c>
      <c r="C35" s="255">
        <f>RAW_DATA_INPUTS!C413</f>
        <v>1.1360000000000001</v>
      </c>
      <c r="D35" s="255">
        <f>RAW_DATA_INPUTS!D413</f>
        <v>0.96899999999999997</v>
      </c>
      <c r="E35" s="255">
        <f>RAW_DATA_INPUTS!E413</f>
        <v>0.88</v>
      </c>
      <c r="F35" s="255">
        <f>RAW_DATA_INPUTS!F413</f>
        <v>1.0840000000000001</v>
      </c>
      <c r="G35" s="255">
        <f>RAW_DATA_INPUTS!G413</f>
        <v>1.0069999999999999</v>
      </c>
      <c r="H35" s="255">
        <f>RAW_DATA_INPUTS!H413</f>
        <v>0.93300000000000005</v>
      </c>
    </row>
    <row r="37" spans="2:18" ht="18">
      <c r="B37" s="38" t="s">
        <v>1454</v>
      </c>
    </row>
    <row r="39" spans="2:18">
      <c r="B39" s="5" t="str">
        <f>Projected_SEC_wastage_rates!B52</f>
        <v>Male projected wastage rates</v>
      </c>
      <c r="C39" s="12"/>
      <c r="E39" s="12"/>
      <c r="F39" s="256"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2015/16</v>
      </c>
      <c r="D41" s="8" t="str">
        <f>Projected_SEC_wastage_rates!D54</f>
        <v>2016/17</v>
      </c>
      <c r="E41" s="8" t="str">
        <f>Projected_SEC_wastage_rates!E54</f>
        <v>2017/18</v>
      </c>
      <c r="F41" s="8" t="str">
        <f>Projected_SEC_wastage_rates!F54</f>
        <v>2018/19</v>
      </c>
      <c r="G41" s="8" t="str">
        <f>Projected_SEC_wastage_rates!G54</f>
        <v>2019/20</v>
      </c>
      <c r="H41" s="8" t="str">
        <f>Projected_SEC_wastage_rates!H54</f>
        <v>2020/21</v>
      </c>
      <c r="I41" s="8" t="str">
        <f>Projected_SEC_wastage_rates!I54</f>
        <v>2021/22</v>
      </c>
      <c r="J41" s="8" t="str">
        <f>Projected_SEC_wastage_rates!J54</f>
        <v>2022/23</v>
      </c>
      <c r="K41" s="8" t="str">
        <f>Projected_SEC_wastage_rates!K54</f>
        <v>2023/24</v>
      </c>
      <c r="L41" s="8" t="str">
        <f>Projected_SEC_wastage_rates!L54</f>
        <v>2024/25</v>
      </c>
      <c r="M41" s="8" t="str">
        <f>Projected_SEC_wastage_rates!M54</f>
        <v>2025/26</v>
      </c>
      <c r="N41" s="8" t="str">
        <f>Projected_SEC_wastage_rates!N54</f>
        <v>2026/27</v>
      </c>
      <c r="O41" s="8" t="str">
        <f>Projected_SEC_wastage_rates!O54</f>
        <v>2027/28</v>
      </c>
      <c r="P41" s="8" t="str">
        <f>Projected_SEC_wastage_rates!P54</f>
        <v>2028/29</v>
      </c>
      <c r="Q41" s="12"/>
      <c r="R41" s="12"/>
    </row>
    <row r="42" spans="2:18">
      <c r="B42" s="8" t="str">
        <f>Projected_SEC_wastage_rates!B55</f>
        <v>20-24</v>
      </c>
      <c r="C42" s="908">
        <f>Projected_SEC_wastage_rates!C55</f>
        <v>0.14766015536156041</v>
      </c>
      <c r="D42" s="908">
        <f>Projected_SEC_wastage_rates!D55</f>
        <v>0.15503605282695923</v>
      </c>
      <c r="E42" s="908">
        <f>Projected_SEC_wastage_rates!E55</f>
        <v>0.15439082464915035</v>
      </c>
      <c r="F42" s="908">
        <f>Projected_SEC_wastage_rates!F55</f>
        <v>0.14883977715389068</v>
      </c>
      <c r="G42" s="908">
        <f>Projected_SEC_wastage_rates!G55</f>
        <v>0.15442530322450462</v>
      </c>
      <c r="H42" s="908">
        <f>Projected_SEC_wastage_rates!H55</f>
        <v>0.15152557005847894</v>
      </c>
      <c r="I42" s="908">
        <f>Projected_SEC_wastage_rates!I55</f>
        <v>0.15152557005847894</v>
      </c>
      <c r="J42" s="908">
        <f>Projected_SEC_wastage_rates!J55</f>
        <v>0.15152557005847894</v>
      </c>
      <c r="K42" s="908">
        <f>Projected_SEC_wastage_rates!K55</f>
        <v>0.15152557005847894</v>
      </c>
      <c r="L42" s="908">
        <f>Projected_SEC_wastage_rates!L55</f>
        <v>0.15152557005847894</v>
      </c>
      <c r="M42" s="908">
        <f>Projected_SEC_wastage_rates!M55</f>
        <v>0.15152557005847894</v>
      </c>
      <c r="N42" s="908">
        <f>Projected_SEC_wastage_rates!N55</f>
        <v>0.15152557005847894</v>
      </c>
      <c r="O42" s="908">
        <f>Projected_SEC_wastage_rates!O55</f>
        <v>0.15152557005847894</v>
      </c>
      <c r="P42" s="908">
        <f>Projected_SEC_wastage_rates!P55</f>
        <v>0.15152557005847894</v>
      </c>
      <c r="Q42" s="12"/>
      <c r="R42" s="12"/>
    </row>
    <row r="43" spans="2:18">
      <c r="B43" s="8" t="str">
        <f>Projected_SEC_wastage_rates!B56</f>
        <v>25-29</v>
      </c>
      <c r="C43" s="908">
        <f>Projected_SEC_wastage_rates!C56</f>
        <v>0.11329070792352844</v>
      </c>
      <c r="D43" s="908">
        <f>Projected_SEC_wastage_rates!D56</f>
        <v>0.11894978801443239</v>
      </c>
      <c r="E43" s="908">
        <f>Projected_SEC_wastage_rates!E56</f>
        <v>0.11845474345175272</v>
      </c>
      <c r="F43" s="908">
        <f>Projected_SEC_wastage_rates!F56</f>
        <v>0.11419576039085037</v>
      </c>
      <c r="G43" s="908">
        <f>Projected_SEC_wastage_rates!G56</f>
        <v>0.1184811967776382</v>
      </c>
      <c r="H43" s="908">
        <f>Projected_SEC_wastage_rates!H56</f>
        <v>0.11625640687162742</v>
      </c>
      <c r="I43" s="908">
        <f>Projected_SEC_wastage_rates!I56</f>
        <v>0.11625640687162742</v>
      </c>
      <c r="J43" s="908">
        <f>Projected_SEC_wastage_rates!J56</f>
        <v>0.11625640687162742</v>
      </c>
      <c r="K43" s="908">
        <f>Projected_SEC_wastage_rates!K56</f>
        <v>0.11625640687162742</v>
      </c>
      <c r="L43" s="908">
        <f>Projected_SEC_wastage_rates!L56</f>
        <v>0.11625640687162742</v>
      </c>
      <c r="M43" s="908">
        <f>Projected_SEC_wastage_rates!M56</f>
        <v>0.11625640687162742</v>
      </c>
      <c r="N43" s="908">
        <f>Projected_SEC_wastage_rates!N56</f>
        <v>0.11625640687162742</v>
      </c>
      <c r="O43" s="908">
        <f>Projected_SEC_wastage_rates!O56</f>
        <v>0.11625640687162742</v>
      </c>
      <c r="P43" s="908">
        <f>Projected_SEC_wastage_rates!P56</f>
        <v>0.11625640687162742</v>
      </c>
      <c r="Q43" s="12"/>
      <c r="R43" s="12"/>
    </row>
    <row r="44" spans="2:18">
      <c r="B44" s="8" t="str">
        <f>Projected_SEC_wastage_rates!B57</f>
        <v>30-34</v>
      </c>
      <c r="C44" s="908">
        <f>Projected_SEC_wastage_rates!C57</f>
        <v>7.8531056665268828E-2</v>
      </c>
      <c r="D44" s="908">
        <f>Projected_SEC_wastage_rates!D57</f>
        <v>8.2453827980212446E-2</v>
      </c>
      <c r="E44" s="908">
        <f>Projected_SEC_wastage_rates!E57</f>
        <v>8.2110672099944909E-2</v>
      </c>
      <c r="F44" s="908">
        <f>Projected_SEC_wastage_rates!F57</f>
        <v>7.9158422562251973E-2</v>
      </c>
      <c r="G44" s="908">
        <f>Projected_SEC_wastage_rates!G57</f>
        <v>8.2129009063956995E-2</v>
      </c>
      <c r="H44" s="908">
        <f>Projected_SEC_wastage_rates!H57</f>
        <v>8.0586825195751458E-2</v>
      </c>
      <c r="I44" s="908">
        <f>Projected_SEC_wastage_rates!I57</f>
        <v>8.0586825195751458E-2</v>
      </c>
      <c r="J44" s="908">
        <f>Projected_SEC_wastage_rates!J57</f>
        <v>8.0586825195751458E-2</v>
      </c>
      <c r="K44" s="908">
        <f>Projected_SEC_wastage_rates!K57</f>
        <v>8.0586825195751458E-2</v>
      </c>
      <c r="L44" s="908">
        <f>Projected_SEC_wastage_rates!L57</f>
        <v>8.0586825195751458E-2</v>
      </c>
      <c r="M44" s="908">
        <f>Projected_SEC_wastage_rates!M57</f>
        <v>8.0586825195751458E-2</v>
      </c>
      <c r="N44" s="908">
        <f>Projected_SEC_wastage_rates!N57</f>
        <v>8.0586825195751458E-2</v>
      </c>
      <c r="O44" s="908">
        <f>Projected_SEC_wastage_rates!O57</f>
        <v>8.0586825195751458E-2</v>
      </c>
      <c r="P44" s="908">
        <f>Projected_SEC_wastage_rates!P57</f>
        <v>8.0586825195751458E-2</v>
      </c>
      <c r="Q44" s="12"/>
      <c r="R44" s="12"/>
    </row>
    <row r="45" spans="2:18">
      <c r="B45" s="8" t="str">
        <f>Projected_SEC_wastage_rates!B58</f>
        <v>35-39</v>
      </c>
      <c r="C45" s="908">
        <f>Projected_SEC_wastage_rates!C58</f>
        <v>7.5061107169139898E-2</v>
      </c>
      <c r="D45" s="908">
        <f>Projected_SEC_wastage_rates!D58</f>
        <v>7.8810548098300764E-2</v>
      </c>
      <c r="E45" s="908">
        <f>Projected_SEC_wastage_rates!E58</f>
        <v>7.8482554799875259E-2</v>
      </c>
      <c r="F45" s="908">
        <f>Projected_SEC_wastage_rates!F58</f>
        <v>7.5660752466521236E-2</v>
      </c>
      <c r="G45" s="908">
        <f>Projected_SEC_wastage_rates!G58</f>
        <v>7.8500081532346652E-2</v>
      </c>
      <c r="H45" s="908">
        <f>Projected_SEC_wastage_rates!H58</f>
        <v>7.7026040133676796E-2</v>
      </c>
      <c r="I45" s="908">
        <f>Projected_SEC_wastage_rates!I58</f>
        <v>7.7026040133676796E-2</v>
      </c>
      <c r="J45" s="908">
        <f>Projected_SEC_wastage_rates!J58</f>
        <v>7.7026040133676796E-2</v>
      </c>
      <c r="K45" s="908">
        <f>Projected_SEC_wastage_rates!K58</f>
        <v>7.7026040133676796E-2</v>
      </c>
      <c r="L45" s="908">
        <f>Projected_SEC_wastage_rates!L58</f>
        <v>7.7026040133676796E-2</v>
      </c>
      <c r="M45" s="908">
        <f>Projected_SEC_wastage_rates!M58</f>
        <v>7.7026040133676796E-2</v>
      </c>
      <c r="N45" s="908">
        <f>Projected_SEC_wastage_rates!N58</f>
        <v>7.7026040133676796E-2</v>
      </c>
      <c r="O45" s="908">
        <f>Projected_SEC_wastage_rates!O58</f>
        <v>7.7026040133676796E-2</v>
      </c>
      <c r="P45" s="908">
        <f>Projected_SEC_wastage_rates!P58</f>
        <v>7.7026040133676796E-2</v>
      </c>
      <c r="Q45" s="12"/>
      <c r="R45" s="12"/>
    </row>
    <row r="46" spans="2:18">
      <c r="B46" s="8" t="str">
        <f>Projected_SEC_wastage_rates!B59</f>
        <v>40-44</v>
      </c>
      <c r="C46" s="908">
        <f>Projected_SEC_wastage_rates!C59</f>
        <v>7.4700185914064701E-2</v>
      </c>
      <c r="D46" s="908">
        <f>Projected_SEC_wastage_rates!D59</f>
        <v>7.8431598159969765E-2</v>
      </c>
      <c r="E46" s="908">
        <f>Projected_SEC_wastage_rates!E59</f>
        <v>7.8105181973278787E-2</v>
      </c>
      <c r="F46" s="908">
        <f>Projected_SEC_wastage_rates!F59</f>
        <v>7.5296947897550287E-2</v>
      </c>
      <c r="G46" s="908">
        <f>Projected_SEC_wastage_rates!G59</f>
        <v>7.8122624430810472E-2</v>
      </c>
      <c r="H46" s="908">
        <f>Projected_SEC_wastage_rates!H59</f>
        <v>7.6655670762280845E-2</v>
      </c>
      <c r="I46" s="908">
        <f>Projected_SEC_wastage_rates!I59</f>
        <v>7.6655670762280845E-2</v>
      </c>
      <c r="J46" s="908">
        <f>Projected_SEC_wastage_rates!J59</f>
        <v>7.6655670762280845E-2</v>
      </c>
      <c r="K46" s="908">
        <f>Projected_SEC_wastage_rates!K59</f>
        <v>7.6655670762280845E-2</v>
      </c>
      <c r="L46" s="908">
        <f>Projected_SEC_wastage_rates!L59</f>
        <v>7.6655670762280845E-2</v>
      </c>
      <c r="M46" s="908">
        <f>Projected_SEC_wastage_rates!M59</f>
        <v>7.6655670762280845E-2</v>
      </c>
      <c r="N46" s="908">
        <f>Projected_SEC_wastage_rates!N59</f>
        <v>7.6655670762280845E-2</v>
      </c>
      <c r="O46" s="908">
        <f>Projected_SEC_wastage_rates!O59</f>
        <v>7.6655670762280845E-2</v>
      </c>
      <c r="P46" s="908">
        <f>Projected_SEC_wastage_rates!P59</f>
        <v>7.6655670762280845E-2</v>
      </c>
      <c r="Q46" s="12"/>
      <c r="R46" s="12"/>
    </row>
    <row r="47" spans="2:18">
      <c r="B47" s="8" t="str">
        <f>Projected_SEC_wastage_rates!B60</f>
        <v>45-49</v>
      </c>
      <c r="C47" s="908">
        <f>Projected_SEC_wastage_rates!C60</f>
        <v>8.8230864613054391E-2</v>
      </c>
      <c r="D47" s="908">
        <f>Projected_SEC_wastage_rates!D60</f>
        <v>9.2638159249009977E-2</v>
      </c>
      <c r="E47" s="908">
        <f>Projected_SEC_wastage_rates!E60</f>
        <v>9.2252618275811174E-2</v>
      </c>
      <c r="F47" s="908">
        <f>Projected_SEC_wastage_rates!F60</f>
        <v>8.8935719964173682E-2</v>
      </c>
      <c r="G47" s="908">
        <f>Projected_SEC_wastage_rates!G60</f>
        <v>9.2273220140320147E-2</v>
      </c>
      <c r="H47" s="908">
        <f>Projected_SEC_wastage_rates!H60</f>
        <v>9.0540552558065951E-2</v>
      </c>
      <c r="I47" s="908">
        <f>Projected_SEC_wastage_rates!I60</f>
        <v>9.0540552558065951E-2</v>
      </c>
      <c r="J47" s="908">
        <f>Projected_SEC_wastage_rates!J60</f>
        <v>9.0540552558065951E-2</v>
      </c>
      <c r="K47" s="908">
        <f>Projected_SEC_wastage_rates!K60</f>
        <v>9.0540552558065951E-2</v>
      </c>
      <c r="L47" s="908">
        <f>Projected_SEC_wastage_rates!L60</f>
        <v>9.0540552558065951E-2</v>
      </c>
      <c r="M47" s="908">
        <f>Projected_SEC_wastage_rates!M60</f>
        <v>9.0540552558065951E-2</v>
      </c>
      <c r="N47" s="908">
        <f>Projected_SEC_wastage_rates!N60</f>
        <v>9.0540552558065951E-2</v>
      </c>
      <c r="O47" s="908">
        <f>Projected_SEC_wastage_rates!O60</f>
        <v>9.0540552558065951E-2</v>
      </c>
      <c r="P47" s="908">
        <f>Projected_SEC_wastage_rates!P60</f>
        <v>9.0540552558065951E-2</v>
      </c>
      <c r="Q47" s="12"/>
      <c r="R47" s="12"/>
    </row>
    <row r="48" spans="2:18">
      <c r="B48" s="8" t="str">
        <f>Projected_SEC_wastage_rates!B61</f>
        <v>50-54</v>
      </c>
      <c r="C48" s="908">
        <f>Projected_SEC_wastage_rates!C61</f>
        <v>8.4703063996146771E-2</v>
      </c>
      <c r="D48" s="908">
        <f>Projected_SEC_wastage_rates!D61</f>
        <v>8.8934138475994795E-2</v>
      </c>
      <c r="E48" s="908">
        <f>Projected_SEC_wastage_rates!E61</f>
        <v>8.8564012875738993E-2</v>
      </c>
      <c r="F48" s="908">
        <f>Projected_SEC_wastage_rates!F61</f>
        <v>8.537973658884683E-2</v>
      </c>
      <c r="G48" s="908">
        <f>Projected_SEC_wastage_rates!G61</f>
        <v>8.858379100049836E-2</v>
      </c>
      <c r="H48" s="908">
        <f>Projected_SEC_wastage_rates!H61</f>
        <v>8.6920401961443058E-2</v>
      </c>
      <c r="I48" s="908">
        <f>Projected_SEC_wastage_rates!I61</f>
        <v>8.6920401961443058E-2</v>
      </c>
      <c r="J48" s="908">
        <f>Projected_SEC_wastage_rates!J61</f>
        <v>8.6920401961443058E-2</v>
      </c>
      <c r="K48" s="908">
        <f>Projected_SEC_wastage_rates!K61</f>
        <v>8.6920401961443058E-2</v>
      </c>
      <c r="L48" s="908">
        <f>Projected_SEC_wastage_rates!L61</f>
        <v>8.6920401961443058E-2</v>
      </c>
      <c r="M48" s="908">
        <f>Projected_SEC_wastage_rates!M61</f>
        <v>8.6920401961443058E-2</v>
      </c>
      <c r="N48" s="908">
        <f>Projected_SEC_wastage_rates!N61</f>
        <v>8.6920401961443058E-2</v>
      </c>
      <c r="O48" s="908">
        <f>Projected_SEC_wastage_rates!O61</f>
        <v>8.6920401961443058E-2</v>
      </c>
      <c r="P48" s="908">
        <f>Projected_SEC_wastage_rates!P61</f>
        <v>8.6920401961443058E-2</v>
      </c>
      <c r="Q48" s="12"/>
      <c r="R48" s="12"/>
    </row>
    <row r="49" spans="2:18">
      <c r="B49" s="8" t="str">
        <f>Projected_SEC_wastage_rates!B62</f>
        <v>55-59</v>
      </c>
      <c r="C49" s="908">
        <f>Projected_SEC_wastage_rates!C62</f>
        <v>5.8260339213633106E-2</v>
      </c>
      <c r="D49" s="908">
        <f>Projected_SEC_wastage_rates!D62</f>
        <v>6.117055075503975E-2</v>
      </c>
      <c r="E49" s="908">
        <f>Projected_SEC_wastage_rates!E62</f>
        <v>6.0915971498927676E-2</v>
      </c>
      <c r="F49" s="908">
        <f>Projected_SEC_wastage_rates!F62</f>
        <v>5.8725767179604538E-2</v>
      </c>
      <c r="G49" s="908">
        <f>Projected_SEC_wastage_rates!G62</f>
        <v>6.0929575260151032E-2</v>
      </c>
      <c r="H49" s="908">
        <f>Projected_SEC_wastage_rates!H62</f>
        <v>5.9785465412318266E-2</v>
      </c>
      <c r="I49" s="908">
        <f>Projected_SEC_wastage_rates!I62</f>
        <v>5.9785465412318266E-2</v>
      </c>
      <c r="J49" s="908">
        <f>Projected_SEC_wastage_rates!J62</f>
        <v>5.9785465412318266E-2</v>
      </c>
      <c r="K49" s="908">
        <f>Projected_SEC_wastage_rates!K62</f>
        <v>5.9785465412318266E-2</v>
      </c>
      <c r="L49" s="908">
        <f>Projected_SEC_wastage_rates!L62</f>
        <v>5.9785465412318266E-2</v>
      </c>
      <c r="M49" s="908">
        <f>Projected_SEC_wastage_rates!M62</f>
        <v>5.9785465412318266E-2</v>
      </c>
      <c r="N49" s="908">
        <f>Projected_SEC_wastage_rates!N62</f>
        <v>5.9785465412318266E-2</v>
      </c>
      <c r="O49" s="908">
        <f>Projected_SEC_wastage_rates!O62</f>
        <v>5.9785465412318266E-2</v>
      </c>
      <c r="P49" s="908">
        <f>Projected_SEC_wastage_rates!P62</f>
        <v>5.9785465412318266E-2</v>
      </c>
      <c r="Q49" s="12"/>
      <c r="R49" s="12"/>
    </row>
    <row r="50" spans="2:18">
      <c r="B50" s="8" t="str">
        <f>Projected_SEC_wastage_rates!B63</f>
        <v>60-64</v>
      </c>
      <c r="C50" s="908">
        <f>Projected_SEC_wastage_rates!C63</f>
        <v>5.7845320088767388E-2</v>
      </c>
      <c r="D50" s="908">
        <f>Projected_SEC_wastage_rates!D63</f>
        <v>6.0734800658411928E-2</v>
      </c>
      <c r="E50" s="908">
        <f>Projected_SEC_wastage_rates!E63</f>
        <v>6.0482034904615602E-2</v>
      </c>
      <c r="F50" s="908">
        <f>Projected_SEC_wastage_rates!F63</f>
        <v>5.8307432565853363E-2</v>
      </c>
      <c r="G50" s="908">
        <f>Projected_SEC_wastage_rates!G63</f>
        <v>6.0495541759072645E-2</v>
      </c>
      <c r="H50" s="908">
        <f>Projected_SEC_wastage_rates!H63</f>
        <v>5.9359582009131627E-2</v>
      </c>
      <c r="I50" s="908">
        <f>Projected_SEC_wastage_rates!I63</f>
        <v>5.9359582009131627E-2</v>
      </c>
      <c r="J50" s="908">
        <f>Projected_SEC_wastage_rates!J63</f>
        <v>5.9359582009131627E-2</v>
      </c>
      <c r="K50" s="908">
        <f>Projected_SEC_wastage_rates!K63</f>
        <v>5.9359582009131627E-2</v>
      </c>
      <c r="L50" s="908">
        <f>Projected_SEC_wastage_rates!L63</f>
        <v>5.9359582009131627E-2</v>
      </c>
      <c r="M50" s="908">
        <f>Projected_SEC_wastage_rates!M63</f>
        <v>5.9359582009131627E-2</v>
      </c>
      <c r="N50" s="908">
        <f>Projected_SEC_wastage_rates!N63</f>
        <v>5.9359582009131627E-2</v>
      </c>
      <c r="O50" s="908">
        <f>Projected_SEC_wastage_rates!O63</f>
        <v>5.9359582009131627E-2</v>
      </c>
      <c r="P50" s="908">
        <f>Projected_SEC_wastage_rates!P63</f>
        <v>5.9359582009131627E-2</v>
      </c>
      <c r="Q50" s="12"/>
      <c r="R50" s="12"/>
    </row>
    <row r="51" spans="2:18">
      <c r="B51" s="8" t="str">
        <f>Projected_SEC_wastage_rates!B64</f>
        <v>65 plus</v>
      </c>
      <c r="C51" s="908">
        <f>Projected_SEC_wastage_rates!C64</f>
        <v>0.10683182004288448</v>
      </c>
      <c r="D51" s="908">
        <f>Projected_SEC_wastage_rates!D64</f>
        <v>0.11216826675559995</v>
      </c>
      <c r="E51" s="908">
        <f>Projected_SEC_wastage_rates!E64</f>
        <v>0.11170144549017806</v>
      </c>
      <c r="F51" s="908">
        <f>Projected_SEC_wastage_rates!F64</f>
        <v>0.10768527399414383</v>
      </c>
      <c r="G51" s="908">
        <f>Projected_SEC_wastage_rates!G64</f>
        <v>0.11172639066884568</v>
      </c>
      <c r="H51" s="908">
        <f>Projected_SEC_wastage_rates!H64</f>
        <v>0.1096284396609607</v>
      </c>
      <c r="I51" s="908">
        <f>Projected_SEC_wastage_rates!I64</f>
        <v>0.1096284396609607</v>
      </c>
      <c r="J51" s="908">
        <f>Projected_SEC_wastage_rates!J64</f>
        <v>0.1096284396609607</v>
      </c>
      <c r="K51" s="908">
        <f>Projected_SEC_wastage_rates!K64</f>
        <v>0.1096284396609607</v>
      </c>
      <c r="L51" s="908">
        <f>Projected_SEC_wastage_rates!L64</f>
        <v>0.1096284396609607</v>
      </c>
      <c r="M51" s="908">
        <f>Projected_SEC_wastage_rates!M64</f>
        <v>0.1096284396609607</v>
      </c>
      <c r="N51" s="908">
        <f>Projected_SEC_wastage_rates!N64</f>
        <v>0.1096284396609607</v>
      </c>
      <c r="O51" s="908">
        <f>Projected_SEC_wastage_rates!O64</f>
        <v>0.1096284396609607</v>
      </c>
      <c r="P51" s="908">
        <f>Projected_SEC_wastage_rates!P64</f>
        <v>0.1096284396609607</v>
      </c>
      <c r="Q51" s="12"/>
      <c r="R51" s="12"/>
    </row>
    <row r="52" spans="2:18">
      <c r="B52" s="8" t="str">
        <f>Projected_SEC_wastage_rates!B65</f>
        <v>Total</v>
      </c>
      <c r="C52" s="908">
        <f>Projected_SEC_wastage_rates!C65</f>
        <v>8.4577021721594536E-2</v>
      </c>
      <c r="D52" s="908">
        <f>Projected_SEC_wastage_rates!D65</f>
        <v>8.8801800157048416E-2</v>
      </c>
      <c r="E52" s="908">
        <f>Projected_SEC_wastage_rates!E65</f>
        <v>8.8432225321668459E-2</v>
      </c>
      <c r="F52" s="908">
        <f>Projected_SEC_wastage_rates!F65</f>
        <v>8.5252687392600307E-2</v>
      </c>
      <c r="G52" s="908">
        <f>Projected_SEC_wastage_rates!G65</f>
        <v>8.845197401561726E-2</v>
      </c>
      <c r="H52" s="908">
        <f>Projected_SEC_wastage_rates!H65</f>
        <v>8.6791060180268387E-2</v>
      </c>
      <c r="I52" s="908">
        <f>Projected_SEC_wastage_rates!I65</f>
        <v>8.6791060180268387E-2</v>
      </c>
      <c r="J52" s="908">
        <f>Projected_SEC_wastage_rates!J65</f>
        <v>8.6791060180268387E-2</v>
      </c>
      <c r="K52" s="908">
        <f>Projected_SEC_wastage_rates!K65</f>
        <v>8.6791060180268387E-2</v>
      </c>
      <c r="L52" s="908">
        <f>Projected_SEC_wastage_rates!L65</f>
        <v>8.6791060180268387E-2</v>
      </c>
      <c r="M52" s="908">
        <f>Projected_SEC_wastage_rates!M65</f>
        <v>8.6791060180268387E-2</v>
      </c>
      <c r="N52" s="908">
        <f>Projected_SEC_wastage_rates!N65</f>
        <v>8.6791060180268387E-2</v>
      </c>
      <c r="O52" s="908">
        <f>Projected_SEC_wastage_rates!O65</f>
        <v>8.6791060180268387E-2</v>
      </c>
      <c r="P52" s="908">
        <f>Projected_SEC_wastage_rates!P65</f>
        <v>8.6791060180268387E-2</v>
      </c>
      <c r="Q52" s="12"/>
      <c r="R52" s="12"/>
    </row>
    <row r="53" spans="2:18">
      <c r="B53" s="12"/>
      <c r="C53" s="910"/>
      <c r="D53" s="910"/>
      <c r="E53" s="910"/>
      <c r="F53" s="910"/>
      <c r="G53" s="910"/>
      <c r="H53" s="910"/>
      <c r="I53" s="910"/>
      <c r="J53" s="910"/>
      <c r="K53" s="910"/>
      <c r="L53" s="910"/>
      <c r="M53" s="910"/>
      <c r="N53" s="910"/>
      <c r="O53" s="910"/>
      <c r="P53" s="910"/>
      <c r="Q53" s="12"/>
      <c r="R53" s="12"/>
    </row>
    <row r="54" spans="2:18">
      <c r="B54" s="5" t="str">
        <f>Projected_SEC_wastage_rates!B67</f>
        <v>Female projected wastage rates</v>
      </c>
      <c r="C54" s="910"/>
      <c r="D54" s="910"/>
      <c r="E54" s="910"/>
      <c r="F54" s="910"/>
      <c r="G54" s="910"/>
      <c r="H54" s="910"/>
      <c r="I54" s="910"/>
      <c r="J54" s="910"/>
      <c r="K54" s="910"/>
      <c r="L54" s="910"/>
      <c r="M54" s="910"/>
      <c r="N54" s="910"/>
      <c r="O54" s="910"/>
      <c r="P54" s="910"/>
      <c r="Q54" s="12"/>
      <c r="R54" s="12"/>
    </row>
    <row r="55" spans="2:18">
      <c r="B55" s="12"/>
      <c r="C55" s="910"/>
      <c r="D55" s="910"/>
      <c r="E55" s="910"/>
      <c r="F55" s="910"/>
      <c r="G55" s="910"/>
      <c r="H55" s="910"/>
      <c r="I55" s="910"/>
      <c r="J55" s="910"/>
      <c r="K55" s="910"/>
      <c r="L55" s="910"/>
      <c r="M55" s="910"/>
      <c r="N55" s="910"/>
      <c r="O55" s="910"/>
      <c r="P55" s="910"/>
      <c r="Q55" s="12"/>
      <c r="R55" s="12"/>
    </row>
    <row r="56" spans="2:18">
      <c r="B56" s="8" t="str">
        <f>Projected_SEC_wastage_rates!B69</f>
        <v>Age group</v>
      </c>
      <c r="C56" s="911" t="str">
        <f>Projected_SEC_wastage_rates!C69</f>
        <v>2015/16</v>
      </c>
      <c r="D56" s="911" t="str">
        <f>Projected_SEC_wastage_rates!D69</f>
        <v>2016/17</v>
      </c>
      <c r="E56" s="911" t="str">
        <f>Projected_SEC_wastage_rates!E69</f>
        <v>2017/18</v>
      </c>
      <c r="F56" s="911" t="str">
        <f>Projected_SEC_wastage_rates!F69</f>
        <v>2018/19</v>
      </c>
      <c r="G56" s="911" t="str">
        <f>Projected_SEC_wastage_rates!G69</f>
        <v>2019/20</v>
      </c>
      <c r="H56" s="911" t="str">
        <f>Projected_SEC_wastage_rates!H69</f>
        <v>2020/21</v>
      </c>
      <c r="I56" s="911" t="str">
        <f>Projected_SEC_wastage_rates!I69</f>
        <v>2021/22</v>
      </c>
      <c r="J56" s="911" t="str">
        <f>Projected_SEC_wastage_rates!J69</f>
        <v>2022/23</v>
      </c>
      <c r="K56" s="911" t="str">
        <f>Projected_SEC_wastage_rates!K69</f>
        <v>2023/24</v>
      </c>
      <c r="L56" s="911" t="str">
        <f>Projected_SEC_wastage_rates!L69</f>
        <v>2024/25</v>
      </c>
      <c r="M56" s="911" t="str">
        <f>Projected_SEC_wastage_rates!M69</f>
        <v>2025/26</v>
      </c>
      <c r="N56" s="911" t="str">
        <f>Projected_SEC_wastage_rates!N69</f>
        <v>2026/27</v>
      </c>
      <c r="O56" s="911" t="str">
        <f>Projected_SEC_wastage_rates!O69</f>
        <v>2027/28</v>
      </c>
      <c r="P56" s="911" t="str">
        <f>Projected_SEC_wastage_rates!P69</f>
        <v>2028/29</v>
      </c>
      <c r="Q56" s="12"/>
      <c r="R56" s="12"/>
    </row>
    <row r="57" spans="2:18">
      <c r="B57" s="8" t="str">
        <f>Projected_SEC_wastage_rates!B70</f>
        <v>20-24</v>
      </c>
      <c r="C57" s="908">
        <f>Projected_SEC_wastage_rates!C70</f>
        <v>0.12651998104337653</v>
      </c>
      <c r="D57" s="908">
        <f>Projected_SEC_wastage_rates!D70</f>
        <v>0.12535213912780968</v>
      </c>
      <c r="E57" s="908">
        <f>Projected_SEC_wastage_rates!E70</f>
        <v>0.12740717546008676</v>
      </c>
      <c r="F57" s="908">
        <f>Projected_SEC_wastage_rates!F70</f>
        <v>0.12803683806292707</v>
      </c>
      <c r="G57" s="908">
        <f>Projected_SEC_wastage_rates!G70</f>
        <v>0.13016822094465208</v>
      </c>
      <c r="H57" s="908">
        <f>Projected_SEC_wastage_rates!H70</f>
        <v>0.13184159259046055</v>
      </c>
      <c r="I57" s="908">
        <f>Projected_SEC_wastage_rates!I70</f>
        <v>0.13184159259046055</v>
      </c>
      <c r="J57" s="908">
        <f>Projected_SEC_wastage_rates!J70</f>
        <v>0.13184159259046055</v>
      </c>
      <c r="K57" s="908">
        <f>Projected_SEC_wastage_rates!K70</f>
        <v>0.13184159259046055</v>
      </c>
      <c r="L57" s="908">
        <f>Projected_SEC_wastage_rates!L70</f>
        <v>0.13184159259046055</v>
      </c>
      <c r="M57" s="908">
        <f>Projected_SEC_wastage_rates!M70</f>
        <v>0.13184159259046055</v>
      </c>
      <c r="N57" s="908">
        <f>Projected_SEC_wastage_rates!N70</f>
        <v>0.13184159259046055</v>
      </c>
      <c r="O57" s="908">
        <f>Projected_SEC_wastage_rates!O70</f>
        <v>0.13184159259046055</v>
      </c>
      <c r="P57" s="908">
        <f>Projected_SEC_wastage_rates!P70</f>
        <v>0.13184159259046055</v>
      </c>
      <c r="Q57" s="12"/>
      <c r="R57" s="12"/>
    </row>
    <row r="58" spans="2:18">
      <c r="B58" s="8" t="str">
        <f>Projected_SEC_wastage_rates!B71</f>
        <v>25-29</v>
      </c>
      <c r="C58" s="908">
        <f>Projected_SEC_wastage_rates!C71</f>
        <v>0.10455560293214806</v>
      </c>
      <c r="D58" s="908">
        <f>Projected_SEC_wastage_rates!D71</f>
        <v>0.10359050307515659</v>
      </c>
      <c r="E58" s="908">
        <f>Projected_SEC_wastage_rates!E71</f>
        <v>0.10528877682604369</v>
      </c>
      <c r="F58" s="908">
        <f>Projected_SEC_wastage_rates!F71</f>
        <v>0.10580912746584678</v>
      </c>
      <c r="G58" s="908">
        <f>Projected_SEC_wastage_rates!G71</f>
        <v>0.10757049369780675</v>
      </c>
      <c r="H58" s="908">
        <f>Projected_SEC_wastage_rates!H71</f>
        <v>0.10895336128847671</v>
      </c>
      <c r="I58" s="908">
        <f>Projected_SEC_wastage_rates!I71</f>
        <v>0.10895336128847671</v>
      </c>
      <c r="J58" s="908">
        <f>Projected_SEC_wastage_rates!J71</f>
        <v>0.10895336128847671</v>
      </c>
      <c r="K58" s="908">
        <f>Projected_SEC_wastage_rates!K71</f>
        <v>0.10895336128847671</v>
      </c>
      <c r="L58" s="908">
        <f>Projected_SEC_wastage_rates!L71</f>
        <v>0.10895336128847671</v>
      </c>
      <c r="M58" s="908">
        <f>Projected_SEC_wastage_rates!M71</f>
        <v>0.10895336128847671</v>
      </c>
      <c r="N58" s="908">
        <f>Projected_SEC_wastage_rates!N71</f>
        <v>0.10895336128847671</v>
      </c>
      <c r="O58" s="908">
        <f>Projected_SEC_wastage_rates!O71</f>
        <v>0.10895336128847671</v>
      </c>
      <c r="P58" s="908">
        <f>Projected_SEC_wastage_rates!P71</f>
        <v>0.10895336128847671</v>
      </c>
      <c r="Q58" s="12"/>
      <c r="R58" s="12"/>
    </row>
    <row r="59" spans="2:18">
      <c r="B59" s="8" t="str">
        <f>Projected_SEC_wastage_rates!B72</f>
        <v>30-34</v>
      </c>
      <c r="C59" s="908">
        <f>Projected_SEC_wastage_rates!C72</f>
        <v>8.7270459506493397E-2</v>
      </c>
      <c r="D59" s="908">
        <f>Projected_SEC_wastage_rates!D72</f>
        <v>8.6464910060769715E-2</v>
      </c>
      <c r="E59" s="908">
        <f>Projected_SEC_wastage_rates!E72</f>
        <v>8.7882425014070828E-2</v>
      </c>
      <c r="F59" s="908">
        <f>Projected_SEC_wastage_rates!F72</f>
        <v>8.8316751230615942E-2</v>
      </c>
      <c r="G59" s="908">
        <f>Projected_SEC_wastage_rates!G72</f>
        <v>8.9786928209291308E-2</v>
      </c>
      <c r="H59" s="908">
        <f>Projected_SEC_wastage_rates!H72</f>
        <v>9.0941179982414591E-2</v>
      </c>
      <c r="I59" s="908">
        <f>Projected_SEC_wastage_rates!I72</f>
        <v>9.0941179982414591E-2</v>
      </c>
      <c r="J59" s="908">
        <f>Projected_SEC_wastage_rates!J72</f>
        <v>9.0941179982414591E-2</v>
      </c>
      <c r="K59" s="908">
        <f>Projected_SEC_wastage_rates!K72</f>
        <v>9.0941179982414591E-2</v>
      </c>
      <c r="L59" s="908">
        <f>Projected_SEC_wastage_rates!L72</f>
        <v>9.0941179982414591E-2</v>
      </c>
      <c r="M59" s="908">
        <f>Projected_SEC_wastage_rates!M72</f>
        <v>9.0941179982414591E-2</v>
      </c>
      <c r="N59" s="908">
        <f>Projected_SEC_wastage_rates!N72</f>
        <v>9.0941179982414591E-2</v>
      </c>
      <c r="O59" s="908">
        <f>Projected_SEC_wastage_rates!O72</f>
        <v>9.0941179982414591E-2</v>
      </c>
      <c r="P59" s="908">
        <f>Projected_SEC_wastage_rates!P72</f>
        <v>9.0941179982414591E-2</v>
      </c>
      <c r="Q59" s="12"/>
      <c r="R59" s="12"/>
    </row>
    <row r="60" spans="2:18">
      <c r="B60" s="8" t="str">
        <f>Projected_SEC_wastage_rates!B73</f>
        <v>35-39</v>
      </c>
      <c r="C60" s="908">
        <f>Projected_SEC_wastage_rates!C73</f>
        <v>8.1979574415774803E-2</v>
      </c>
      <c r="D60" s="908">
        <f>Projected_SEC_wastage_rates!D73</f>
        <v>8.1222862452703534E-2</v>
      </c>
      <c r="E60" s="908">
        <f>Projected_SEC_wastage_rates!E73</f>
        <v>8.2554438718679027E-2</v>
      </c>
      <c r="F60" s="908">
        <f>Projected_SEC_wastage_rates!F73</f>
        <v>8.296243334356504E-2</v>
      </c>
      <c r="G60" s="908">
        <f>Projected_SEC_wastage_rates!G73</f>
        <v>8.4343478931146812E-2</v>
      </c>
      <c r="H60" s="908">
        <f>Projected_SEC_wastage_rates!H73</f>
        <v>8.5427752689580042E-2</v>
      </c>
      <c r="I60" s="908">
        <f>Projected_SEC_wastage_rates!I73</f>
        <v>8.5427752689580042E-2</v>
      </c>
      <c r="J60" s="908">
        <f>Projected_SEC_wastage_rates!J73</f>
        <v>8.5427752689580042E-2</v>
      </c>
      <c r="K60" s="908">
        <f>Projected_SEC_wastage_rates!K73</f>
        <v>8.5427752689580042E-2</v>
      </c>
      <c r="L60" s="908">
        <f>Projected_SEC_wastage_rates!L73</f>
        <v>8.5427752689580042E-2</v>
      </c>
      <c r="M60" s="908">
        <f>Projected_SEC_wastage_rates!M73</f>
        <v>8.5427752689580042E-2</v>
      </c>
      <c r="N60" s="908">
        <f>Projected_SEC_wastage_rates!N73</f>
        <v>8.5427752689580042E-2</v>
      </c>
      <c r="O60" s="908">
        <f>Projected_SEC_wastage_rates!O73</f>
        <v>8.5427752689580042E-2</v>
      </c>
      <c r="P60" s="908">
        <f>Projected_SEC_wastage_rates!P73</f>
        <v>8.5427752689580042E-2</v>
      </c>
      <c r="Q60" s="12"/>
      <c r="R60" s="12"/>
    </row>
    <row r="61" spans="2:18">
      <c r="B61" s="8" t="str">
        <f>Projected_SEC_wastage_rates!B74</f>
        <v>40-44</v>
      </c>
      <c r="C61" s="908">
        <f>Projected_SEC_wastage_rates!C74</f>
        <v>8.0842578151038125E-2</v>
      </c>
      <c r="D61" s="908">
        <f>Projected_SEC_wastage_rates!D74</f>
        <v>8.0096361225073659E-2</v>
      </c>
      <c r="E61" s="908">
        <f>Projected_SEC_wastage_rates!E74</f>
        <v>8.1409469509830468E-2</v>
      </c>
      <c r="F61" s="908">
        <f>Projected_SEC_wastage_rates!F74</f>
        <v>8.1811805550028358E-2</v>
      </c>
      <c r="G61" s="908">
        <f>Projected_SEC_wastage_rates!G74</f>
        <v>8.3173697053367787E-2</v>
      </c>
      <c r="H61" s="908">
        <f>Projected_SEC_wastage_rates!H74</f>
        <v>8.4242932734059375E-2</v>
      </c>
      <c r="I61" s="908">
        <f>Projected_SEC_wastage_rates!I74</f>
        <v>8.4242932734059375E-2</v>
      </c>
      <c r="J61" s="908">
        <f>Projected_SEC_wastage_rates!J74</f>
        <v>8.4242932734059375E-2</v>
      </c>
      <c r="K61" s="908">
        <f>Projected_SEC_wastage_rates!K74</f>
        <v>8.4242932734059375E-2</v>
      </c>
      <c r="L61" s="908">
        <f>Projected_SEC_wastage_rates!L74</f>
        <v>8.4242932734059375E-2</v>
      </c>
      <c r="M61" s="908">
        <f>Projected_SEC_wastage_rates!M74</f>
        <v>8.4242932734059375E-2</v>
      </c>
      <c r="N61" s="908">
        <f>Projected_SEC_wastage_rates!N74</f>
        <v>8.4242932734059375E-2</v>
      </c>
      <c r="O61" s="908">
        <f>Projected_SEC_wastage_rates!O74</f>
        <v>8.4242932734059375E-2</v>
      </c>
      <c r="P61" s="908">
        <f>Projected_SEC_wastage_rates!P74</f>
        <v>8.4242932734059375E-2</v>
      </c>
      <c r="Q61" s="12"/>
      <c r="R61" s="12"/>
    </row>
    <row r="62" spans="2:18">
      <c r="B62" s="8" t="str">
        <f>Projected_SEC_wastage_rates!B75</f>
        <v>45-49</v>
      </c>
      <c r="C62" s="908">
        <f>Projected_SEC_wastage_rates!C75</f>
        <v>8.8269148170636053E-2</v>
      </c>
      <c r="D62" s="908">
        <f>Projected_SEC_wastage_rates!D75</f>
        <v>8.7454380335271711E-2</v>
      </c>
      <c r="E62" s="908">
        <f>Projected_SEC_wastage_rates!E75</f>
        <v>8.8888116769737457E-2</v>
      </c>
      <c r="F62" s="908">
        <f>Projected_SEC_wastage_rates!F75</f>
        <v>8.9327413243932841E-2</v>
      </c>
      <c r="G62" s="908">
        <f>Projected_SEC_wastage_rates!G75</f>
        <v>9.0814414347188149E-2</v>
      </c>
      <c r="H62" s="908">
        <f>Projected_SEC_wastage_rates!H75</f>
        <v>9.1981874921638979E-2</v>
      </c>
      <c r="I62" s="908">
        <f>Projected_SEC_wastage_rates!I75</f>
        <v>9.1981874921638979E-2</v>
      </c>
      <c r="J62" s="908">
        <f>Projected_SEC_wastage_rates!J75</f>
        <v>9.1981874921638979E-2</v>
      </c>
      <c r="K62" s="908">
        <f>Projected_SEC_wastage_rates!K75</f>
        <v>9.1981874921638979E-2</v>
      </c>
      <c r="L62" s="908">
        <f>Projected_SEC_wastage_rates!L75</f>
        <v>9.1981874921638979E-2</v>
      </c>
      <c r="M62" s="908">
        <f>Projected_SEC_wastage_rates!M75</f>
        <v>9.1981874921638979E-2</v>
      </c>
      <c r="N62" s="908">
        <f>Projected_SEC_wastage_rates!N75</f>
        <v>9.1981874921638979E-2</v>
      </c>
      <c r="O62" s="908">
        <f>Projected_SEC_wastage_rates!O75</f>
        <v>9.1981874921638979E-2</v>
      </c>
      <c r="P62" s="908">
        <f>Projected_SEC_wastage_rates!P75</f>
        <v>9.1981874921638979E-2</v>
      </c>
      <c r="Q62" s="12"/>
      <c r="R62" s="12"/>
    </row>
    <row r="63" spans="2:18">
      <c r="B63" s="8" t="str">
        <f>Projected_SEC_wastage_rates!B76</f>
        <v>50-54</v>
      </c>
      <c r="C63" s="908">
        <f>Projected_SEC_wastage_rates!C76</f>
        <v>8.7536873351951316E-2</v>
      </c>
      <c r="D63" s="908">
        <f>Projected_SEC_wastage_rates!D76</f>
        <v>8.6728864774847383E-2</v>
      </c>
      <c r="E63" s="908">
        <f>Projected_SEC_wastage_rates!E76</f>
        <v>8.8150707029870504E-2</v>
      </c>
      <c r="F63" s="908">
        <f>Projected_SEC_wastage_rates!F76</f>
        <v>8.8586359130548548E-2</v>
      </c>
      <c r="G63" s="908">
        <f>Projected_SEC_wastage_rates!G76</f>
        <v>9.0061024174310403E-2</v>
      </c>
      <c r="H63" s="908">
        <f>Projected_SEC_wastage_rates!H76</f>
        <v>9.1218799575649268E-2</v>
      </c>
      <c r="I63" s="908">
        <f>Projected_SEC_wastage_rates!I76</f>
        <v>9.1218799575649268E-2</v>
      </c>
      <c r="J63" s="908">
        <f>Projected_SEC_wastage_rates!J76</f>
        <v>9.1218799575649268E-2</v>
      </c>
      <c r="K63" s="908">
        <f>Projected_SEC_wastage_rates!K76</f>
        <v>9.1218799575649268E-2</v>
      </c>
      <c r="L63" s="908">
        <f>Projected_SEC_wastage_rates!L76</f>
        <v>9.1218799575649268E-2</v>
      </c>
      <c r="M63" s="908">
        <f>Projected_SEC_wastage_rates!M76</f>
        <v>9.1218799575649268E-2</v>
      </c>
      <c r="N63" s="908">
        <f>Projected_SEC_wastage_rates!N76</f>
        <v>9.1218799575649268E-2</v>
      </c>
      <c r="O63" s="908">
        <f>Projected_SEC_wastage_rates!O76</f>
        <v>9.1218799575649268E-2</v>
      </c>
      <c r="P63" s="908">
        <f>Projected_SEC_wastage_rates!P76</f>
        <v>9.1218799575649268E-2</v>
      </c>
      <c r="Q63" s="12"/>
      <c r="R63" s="12"/>
    </row>
    <row r="64" spans="2:18">
      <c r="B64" s="8" t="str">
        <f>Projected_SEC_wastage_rates!B77</f>
        <v>55-59</v>
      </c>
      <c r="C64" s="908">
        <f>Projected_SEC_wastage_rates!C77</f>
        <v>5.7297396975088274E-2</v>
      </c>
      <c r="D64" s="908">
        <f>Projected_SEC_wastage_rates!D77</f>
        <v>5.6768513700774154E-2</v>
      </c>
      <c r="E64" s="908">
        <f>Projected_SEC_wastage_rates!E77</f>
        <v>5.7699182766305708E-2</v>
      </c>
      <c r="F64" s="908">
        <f>Projected_SEC_wastage_rates!F77</f>
        <v>5.7984339528247837E-2</v>
      </c>
      <c r="G64" s="908">
        <f>Projected_SEC_wastage_rates!G77</f>
        <v>5.8949583832530787E-2</v>
      </c>
      <c r="H64" s="908">
        <f>Projected_SEC_wastage_rates!H77</f>
        <v>5.9707407527144464E-2</v>
      </c>
      <c r="I64" s="908">
        <f>Projected_SEC_wastage_rates!I77</f>
        <v>5.9707407527144464E-2</v>
      </c>
      <c r="J64" s="908">
        <f>Projected_SEC_wastage_rates!J77</f>
        <v>5.9707407527144464E-2</v>
      </c>
      <c r="K64" s="908">
        <f>Projected_SEC_wastage_rates!K77</f>
        <v>5.9707407527144464E-2</v>
      </c>
      <c r="L64" s="908">
        <f>Projected_SEC_wastage_rates!L77</f>
        <v>5.9707407527144464E-2</v>
      </c>
      <c r="M64" s="908">
        <f>Projected_SEC_wastage_rates!M77</f>
        <v>5.9707407527144464E-2</v>
      </c>
      <c r="N64" s="908">
        <f>Projected_SEC_wastage_rates!N77</f>
        <v>5.9707407527144464E-2</v>
      </c>
      <c r="O64" s="908">
        <f>Projected_SEC_wastage_rates!O77</f>
        <v>5.9707407527144464E-2</v>
      </c>
      <c r="P64" s="908">
        <f>Projected_SEC_wastage_rates!P77</f>
        <v>5.9707407527144464E-2</v>
      </c>
      <c r="Q64" s="12"/>
      <c r="R64" s="12"/>
    </row>
    <row r="65" spans="2:18">
      <c r="B65" s="8" t="str">
        <f>Projected_SEC_wastage_rates!B78</f>
        <v>60-64</v>
      </c>
      <c r="C65" s="908">
        <f>Projected_SEC_wastage_rates!C78</f>
        <v>5.214170948970194E-2</v>
      </c>
      <c r="D65" s="908">
        <f>Projected_SEC_wastage_rates!D78</f>
        <v>5.1660415757366442E-2</v>
      </c>
      <c r="E65" s="908">
        <f>Projected_SEC_wastage_rates!E78</f>
        <v>5.2507342120654756E-2</v>
      </c>
      <c r="F65" s="908">
        <f>Projected_SEC_wastage_rates!F78</f>
        <v>5.2766840140201353E-2</v>
      </c>
      <c r="G65" s="908">
        <f>Projected_SEC_wastage_rates!G78</f>
        <v>5.3645230621402328E-2</v>
      </c>
      <c r="H65" s="908">
        <f>Projected_SEC_wastage_rates!H78</f>
        <v>5.4334864444490996E-2</v>
      </c>
      <c r="I65" s="908">
        <f>Projected_SEC_wastage_rates!I78</f>
        <v>5.4334864444490996E-2</v>
      </c>
      <c r="J65" s="908">
        <f>Projected_SEC_wastage_rates!J78</f>
        <v>5.4334864444490996E-2</v>
      </c>
      <c r="K65" s="908">
        <f>Projected_SEC_wastage_rates!K78</f>
        <v>5.4334864444490996E-2</v>
      </c>
      <c r="L65" s="908">
        <f>Projected_SEC_wastage_rates!L78</f>
        <v>5.4334864444490996E-2</v>
      </c>
      <c r="M65" s="908">
        <f>Projected_SEC_wastage_rates!M78</f>
        <v>5.4334864444490996E-2</v>
      </c>
      <c r="N65" s="908">
        <f>Projected_SEC_wastage_rates!N78</f>
        <v>5.4334864444490996E-2</v>
      </c>
      <c r="O65" s="908">
        <f>Projected_SEC_wastage_rates!O78</f>
        <v>5.4334864444490996E-2</v>
      </c>
      <c r="P65" s="908">
        <f>Projected_SEC_wastage_rates!P78</f>
        <v>5.4334864444490996E-2</v>
      </c>
      <c r="Q65" s="12"/>
      <c r="R65" s="12"/>
    </row>
    <row r="66" spans="2:18">
      <c r="B66" s="8" t="str">
        <f>Projected_SEC_wastage_rates!B79</f>
        <v>65 plus</v>
      </c>
      <c r="C66" s="908">
        <f>Projected_SEC_wastage_rates!C79</f>
        <v>7.7040540050632281E-2</v>
      </c>
      <c r="D66" s="908">
        <f>Projected_SEC_wastage_rates!D79</f>
        <v>7.6329417814230832E-2</v>
      </c>
      <c r="E66" s="908">
        <f>Projected_SEC_wastage_rates!E79</f>
        <v>7.7580770427127743E-2</v>
      </c>
      <c r="F66" s="908">
        <f>Projected_SEC_wastage_rates!F79</f>
        <v>7.7964184545375778E-2</v>
      </c>
      <c r="G66" s="908">
        <f>Projected_SEC_wastage_rates!G79</f>
        <v>7.9262026095055366E-2</v>
      </c>
      <c r="H66" s="908">
        <f>Projected_SEC_wastage_rates!H79</f>
        <v>8.0280975467599935E-2</v>
      </c>
      <c r="I66" s="908">
        <f>Projected_SEC_wastage_rates!I79</f>
        <v>8.0280975467599935E-2</v>
      </c>
      <c r="J66" s="908">
        <f>Projected_SEC_wastage_rates!J79</f>
        <v>8.0280975467599935E-2</v>
      </c>
      <c r="K66" s="908">
        <f>Projected_SEC_wastage_rates!K79</f>
        <v>8.0280975467599935E-2</v>
      </c>
      <c r="L66" s="908">
        <f>Projected_SEC_wastage_rates!L79</f>
        <v>8.0280975467599935E-2</v>
      </c>
      <c r="M66" s="908">
        <f>Projected_SEC_wastage_rates!M79</f>
        <v>8.0280975467599935E-2</v>
      </c>
      <c r="N66" s="908">
        <f>Projected_SEC_wastage_rates!N79</f>
        <v>8.0280975467599935E-2</v>
      </c>
      <c r="O66" s="908">
        <f>Projected_SEC_wastage_rates!O79</f>
        <v>8.0280975467599935E-2</v>
      </c>
      <c r="P66" s="908">
        <f>Projected_SEC_wastage_rates!P79</f>
        <v>8.0280975467599935E-2</v>
      </c>
      <c r="Q66" s="12"/>
      <c r="R66" s="12"/>
    </row>
    <row r="67" spans="2:18">
      <c r="B67" s="8" t="str">
        <f>Projected_SEC_wastage_rates!B80</f>
        <v>Total</v>
      </c>
      <c r="C67" s="908">
        <f>Projected_SEC_wastage_rates!C80</f>
        <v>8.7736204760537742E-2</v>
      </c>
      <c r="D67" s="908">
        <f>Projected_SEC_wastage_rates!D80</f>
        <v>8.6926356256079126E-2</v>
      </c>
      <c r="E67" s="908">
        <f>Projected_SEC_wastage_rates!E80</f>
        <v>8.8351436207499523E-2</v>
      </c>
      <c r="F67" s="908">
        <f>Projected_SEC_wastage_rates!F80</f>
        <v>8.8788080337519684E-2</v>
      </c>
      <c r="G67" s="908">
        <f>Projected_SEC_wastage_rates!G80</f>
        <v>9.0266103361171732E-2</v>
      </c>
      <c r="H67" s="908">
        <f>Projected_SEC_wastage_rates!H80</f>
        <v>9.1426515148672657E-2</v>
      </c>
      <c r="I67" s="908">
        <f>Projected_SEC_wastage_rates!I80</f>
        <v>9.1426515148672657E-2</v>
      </c>
      <c r="J67" s="908">
        <f>Projected_SEC_wastage_rates!J80</f>
        <v>9.1426515148672657E-2</v>
      </c>
      <c r="K67" s="908">
        <f>Projected_SEC_wastage_rates!K80</f>
        <v>9.1426515148672657E-2</v>
      </c>
      <c r="L67" s="908">
        <f>Projected_SEC_wastage_rates!L80</f>
        <v>9.1426515148672657E-2</v>
      </c>
      <c r="M67" s="908">
        <f>Projected_SEC_wastage_rates!M80</f>
        <v>9.1426515148672657E-2</v>
      </c>
      <c r="N67" s="908">
        <f>Projected_SEC_wastage_rates!N80</f>
        <v>9.1426515148672657E-2</v>
      </c>
      <c r="O67" s="908">
        <f>Projected_SEC_wastage_rates!O80</f>
        <v>9.1426515148672657E-2</v>
      </c>
      <c r="P67" s="908">
        <f>Projected_SEC_wastage_rates!P80</f>
        <v>9.1426515148672657E-2</v>
      </c>
      <c r="Q67" s="12"/>
      <c r="R67" s="12"/>
    </row>
    <row r="68" spans="2:18">
      <c r="C68" s="442"/>
      <c r="D68" s="442"/>
      <c r="E68" s="442"/>
      <c r="F68" s="442"/>
      <c r="G68" s="442"/>
      <c r="H68" s="442"/>
      <c r="I68" s="442"/>
      <c r="J68" s="442"/>
      <c r="K68" s="442"/>
      <c r="L68" s="442"/>
      <c r="M68" s="442"/>
      <c r="N68" s="442"/>
      <c r="O68" s="442"/>
      <c r="P68" s="442"/>
    </row>
    <row r="69" spans="2:18" ht="18">
      <c r="B69" s="38" t="s">
        <v>1457</v>
      </c>
      <c r="C69" s="442"/>
      <c r="D69" s="442"/>
      <c r="E69" s="442"/>
      <c r="F69" s="442"/>
      <c r="G69" s="442"/>
      <c r="H69" s="442"/>
      <c r="I69" s="442"/>
      <c r="J69" s="442"/>
      <c r="K69" s="442"/>
      <c r="L69" s="442"/>
      <c r="M69" s="442"/>
      <c r="N69" s="442"/>
      <c r="O69" s="442"/>
      <c r="P69" s="442"/>
    </row>
    <row r="70" spans="2:18">
      <c r="C70" s="442"/>
      <c r="D70" s="442"/>
      <c r="E70" s="442"/>
      <c r="F70" s="442"/>
      <c r="G70" s="442"/>
      <c r="H70" s="442"/>
      <c r="I70" s="442"/>
      <c r="J70" s="442"/>
      <c r="K70" s="442"/>
      <c r="L70" s="442"/>
      <c r="M70" s="442"/>
      <c r="N70" s="442"/>
      <c r="O70" s="442"/>
      <c r="P70" s="442"/>
    </row>
    <row r="71" spans="2:18">
      <c r="B71" s="5" t="s">
        <v>438</v>
      </c>
      <c r="C71" s="910"/>
      <c r="D71" s="442"/>
      <c r="E71" s="910"/>
      <c r="F71" s="912" t="str">
        <f>F39</f>
        <v>As the Econometric Wastage Model only forecasts wastage 6 years into the future, the rate beyond that is considered to be constant.</v>
      </c>
      <c r="G71" s="910"/>
      <c r="H71" s="910"/>
      <c r="I71" s="910"/>
      <c r="J71" s="910"/>
      <c r="K71" s="910"/>
      <c r="L71" s="910"/>
      <c r="M71" s="910"/>
      <c r="N71" s="910"/>
      <c r="O71" s="910"/>
      <c r="P71" s="910"/>
    </row>
    <row r="72" spans="2:18">
      <c r="B72" s="12"/>
      <c r="C72" s="910"/>
      <c r="D72" s="910"/>
      <c r="E72" s="910"/>
      <c r="F72" s="910"/>
      <c r="G72" s="910"/>
      <c r="H72" s="910"/>
      <c r="I72" s="910"/>
      <c r="J72" s="910"/>
      <c r="K72" s="910"/>
      <c r="L72" s="910"/>
      <c r="M72" s="910"/>
      <c r="N72" s="910"/>
      <c r="O72" s="910"/>
      <c r="P72" s="910"/>
    </row>
    <row r="73" spans="2:18">
      <c r="B73" s="8" t="str">
        <f>B56</f>
        <v>Age group</v>
      </c>
      <c r="C73" s="911" t="str">
        <f t="shared" ref="C73:P73" si="0">C56</f>
        <v>2015/16</v>
      </c>
      <c r="D73" s="911" t="str">
        <f t="shared" si="0"/>
        <v>2016/17</v>
      </c>
      <c r="E73" s="911" t="str">
        <f t="shared" si="0"/>
        <v>2017/18</v>
      </c>
      <c r="F73" s="911" t="str">
        <f t="shared" si="0"/>
        <v>2018/19</v>
      </c>
      <c r="G73" s="911" t="str">
        <f t="shared" si="0"/>
        <v>2019/20</v>
      </c>
      <c r="H73" s="911" t="str">
        <f t="shared" si="0"/>
        <v>2020/21</v>
      </c>
      <c r="I73" s="911" t="str">
        <f t="shared" si="0"/>
        <v>2021/22</v>
      </c>
      <c r="J73" s="911" t="str">
        <f t="shared" si="0"/>
        <v>2022/23</v>
      </c>
      <c r="K73" s="911" t="str">
        <f t="shared" si="0"/>
        <v>2023/24</v>
      </c>
      <c r="L73" s="911" t="str">
        <f t="shared" si="0"/>
        <v>2024/25</v>
      </c>
      <c r="M73" s="911" t="str">
        <f t="shared" si="0"/>
        <v>2025/26</v>
      </c>
      <c r="N73" s="911" t="str">
        <f t="shared" si="0"/>
        <v>2026/27</v>
      </c>
      <c r="O73" s="911" t="str">
        <f t="shared" si="0"/>
        <v>2027/28</v>
      </c>
      <c r="P73" s="911" t="str">
        <f t="shared" si="0"/>
        <v>2028/29</v>
      </c>
    </row>
    <row r="74" spans="2:18">
      <c r="B74" s="8" t="str">
        <f t="shared" ref="B74:B84" si="1">B57</f>
        <v>20-24</v>
      </c>
      <c r="C74" s="160">
        <f>C42*$E25</f>
        <v>0.11709450320171741</v>
      </c>
      <c r="D74" s="160">
        <f t="shared" ref="D74:P74" si="2">D42*$E25</f>
        <v>0.12294358989177867</v>
      </c>
      <c r="E74" s="160">
        <f t="shared" si="2"/>
        <v>0.12243192394677624</v>
      </c>
      <c r="F74" s="160">
        <f t="shared" si="2"/>
        <v>0.11802994328303532</v>
      </c>
      <c r="G74" s="160">
        <f t="shared" si="2"/>
        <v>0.12245926545703217</v>
      </c>
      <c r="H74" s="160">
        <f t="shared" si="2"/>
        <v>0.1201597770563738</v>
      </c>
      <c r="I74" s="160">
        <f t="shared" si="2"/>
        <v>0.1201597770563738</v>
      </c>
      <c r="J74" s="160">
        <f t="shared" si="2"/>
        <v>0.1201597770563738</v>
      </c>
      <c r="K74" s="160">
        <f t="shared" si="2"/>
        <v>0.1201597770563738</v>
      </c>
      <c r="L74" s="160">
        <f t="shared" si="2"/>
        <v>0.1201597770563738</v>
      </c>
      <c r="M74" s="160">
        <f t="shared" si="2"/>
        <v>0.1201597770563738</v>
      </c>
      <c r="N74" s="160">
        <f t="shared" si="2"/>
        <v>0.1201597770563738</v>
      </c>
      <c r="O74" s="160">
        <f t="shared" si="2"/>
        <v>0.1201597770563738</v>
      </c>
      <c r="P74" s="160">
        <f t="shared" si="2"/>
        <v>0.1201597770563738</v>
      </c>
    </row>
    <row r="75" spans="2:18">
      <c r="B75" s="8" t="str">
        <f t="shared" si="1"/>
        <v>25-29</v>
      </c>
      <c r="C75" s="160">
        <f t="shared" ref="C75:P84" si="3">C43*$E26</f>
        <v>9.1992054833905101E-2</v>
      </c>
      <c r="D75" s="160">
        <f t="shared" si="3"/>
        <v>9.6587227867719103E-2</v>
      </c>
      <c r="E75" s="160">
        <f t="shared" si="3"/>
        <v>9.6185251682823214E-2</v>
      </c>
      <c r="F75" s="160">
        <f t="shared" si="3"/>
        <v>9.2726957437370514E-2</v>
      </c>
      <c r="G75" s="160">
        <f t="shared" si="3"/>
        <v>9.6206731783442231E-2</v>
      </c>
      <c r="H75" s="160">
        <f t="shared" si="3"/>
        <v>9.4400202379761475E-2</v>
      </c>
      <c r="I75" s="160">
        <f t="shared" si="3"/>
        <v>9.4400202379761475E-2</v>
      </c>
      <c r="J75" s="160">
        <f t="shared" si="3"/>
        <v>9.4400202379761475E-2</v>
      </c>
      <c r="K75" s="160">
        <f t="shared" si="3"/>
        <v>9.4400202379761475E-2</v>
      </c>
      <c r="L75" s="160">
        <f t="shared" si="3"/>
        <v>9.4400202379761475E-2</v>
      </c>
      <c r="M75" s="160">
        <f t="shared" si="3"/>
        <v>9.4400202379761475E-2</v>
      </c>
      <c r="N75" s="160">
        <f t="shared" si="3"/>
        <v>9.4400202379761475E-2</v>
      </c>
      <c r="O75" s="160">
        <f t="shared" si="3"/>
        <v>9.4400202379761475E-2</v>
      </c>
      <c r="P75" s="160">
        <f t="shared" si="3"/>
        <v>9.4400202379761475E-2</v>
      </c>
    </row>
    <row r="76" spans="2:18">
      <c r="B76" s="8" t="str">
        <f t="shared" si="1"/>
        <v>30-34</v>
      </c>
      <c r="C76" s="160">
        <f t="shared" si="3"/>
        <v>6.792936401545753E-2</v>
      </c>
      <c r="D76" s="160">
        <f t="shared" si="3"/>
        <v>7.1322561202883772E-2</v>
      </c>
      <c r="E76" s="160">
        <f t="shared" si="3"/>
        <v>7.1025731366452349E-2</v>
      </c>
      <c r="F76" s="160">
        <f t="shared" si="3"/>
        <v>6.8472035516347951E-2</v>
      </c>
      <c r="G76" s="160">
        <f t="shared" si="3"/>
        <v>7.1041592840322798E-2</v>
      </c>
      <c r="H76" s="160">
        <f t="shared" si="3"/>
        <v>6.9707603794325015E-2</v>
      </c>
      <c r="I76" s="160">
        <f t="shared" si="3"/>
        <v>6.9707603794325015E-2</v>
      </c>
      <c r="J76" s="160">
        <f t="shared" si="3"/>
        <v>6.9707603794325015E-2</v>
      </c>
      <c r="K76" s="160">
        <f t="shared" si="3"/>
        <v>6.9707603794325015E-2</v>
      </c>
      <c r="L76" s="160">
        <f t="shared" si="3"/>
        <v>6.9707603794325015E-2</v>
      </c>
      <c r="M76" s="160">
        <f t="shared" si="3"/>
        <v>6.9707603794325015E-2</v>
      </c>
      <c r="N76" s="160">
        <f t="shared" si="3"/>
        <v>6.9707603794325015E-2</v>
      </c>
      <c r="O76" s="160">
        <f t="shared" si="3"/>
        <v>6.9707603794325015E-2</v>
      </c>
      <c r="P76" s="160">
        <f t="shared" si="3"/>
        <v>6.9707603794325015E-2</v>
      </c>
    </row>
    <row r="77" spans="2:18">
      <c r="B77" s="8" t="str">
        <f t="shared" si="1"/>
        <v>35-39</v>
      </c>
      <c r="C77" s="160">
        <f t="shared" si="3"/>
        <v>6.7780179773733323E-2</v>
      </c>
      <c r="D77" s="160">
        <f t="shared" si="3"/>
        <v>7.1165924932765592E-2</v>
      </c>
      <c r="E77" s="160">
        <f t="shared" si="3"/>
        <v>7.0869746984287357E-2</v>
      </c>
      <c r="F77" s="160">
        <f t="shared" si="3"/>
        <v>6.8321659477268676E-2</v>
      </c>
      <c r="G77" s="160">
        <f t="shared" si="3"/>
        <v>7.0885573623709022E-2</v>
      </c>
      <c r="H77" s="160">
        <f t="shared" si="3"/>
        <v>6.9554514240710144E-2</v>
      </c>
      <c r="I77" s="160">
        <f t="shared" si="3"/>
        <v>6.9554514240710144E-2</v>
      </c>
      <c r="J77" s="160">
        <f t="shared" si="3"/>
        <v>6.9554514240710144E-2</v>
      </c>
      <c r="K77" s="160">
        <f t="shared" si="3"/>
        <v>6.9554514240710144E-2</v>
      </c>
      <c r="L77" s="160">
        <f t="shared" si="3"/>
        <v>6.9554514240710144E-2</v>
      </c>
      <c r="M77" s="160">
        <f t="shared" si="3"/>
        <v>6.9554514240710144E-2</v>
      </c>
      <c r="N77" s="160">
        <f t="shared" si="3"/>
        <v>6.9554514240710144E-2</v>
      </c>
      <c r="O77" s="160">
        <f t="shared" si="3"/>
        <v>6.9554514240710144E-2</v>
      </c>
      <c r="P77" s="160">
        <f t="shared" si="3"/>
        <v>6.9554514240710144E-2</v>
      </c>
    </row>
    <row r="78" spans="2:18">
      <c r="B78" s="8" t="str">
        <f t="shared" si="1"/>
        <v>40-44</v>
      </c>
      <c r="C78" s="160">
        <f t="shared" si="3"/>
        <v>7.4924286471806892E-2</v>
      </c>
      <c r="D78" s="160">
        <f t="shared" si="3"/>
        <v>7.866689295444966E-2</v>
      </c>
      <c r="E78" s="160">
        <f t="shared" si="3"/>
        <v>7.8339497519198609E-2</v>
      </c>
      <c r="F78" s="160">
        <f t="shared" si="3"/>
        <v>7.5522838741242923E-2</v>
      </c>
      <c r="G78" s="160">
        <f t="shared" si="3"/>
        <v>7.8356992304102896E-2</v>
      </c>
      <c r="H78" s="160">
        <f t="shared" si="3"/>
        <v>7.6885637774567681E-2</v>
      </c>
      <c r="I78" s="160">
        <f t="shared" si="3"/>
        <v>7.6885637774567681E-2</v>
      </c>
      <c r="J78" s="160">
        <f t="shared" si="3"/>
        <v>7.6885637774567681E-2</v>
      </c>
      <c r="K78" s="160">
        <f t="shared" si="3"/>
        <v>7.6885637774567681E-2</v>
      </c>
      <c r="L78" s="160">
        <f t="shared" si="3"/>
        <v>7.6885637774567681E-2</v>
      </c>
      <c r="M78" s="160">
        <f t="shared" si="3"/>
        <v>7.6885637774567681E-2</v>
      </c>
      <c r="N78" s="160">
        <f t="shared" si="3"/>
        <v>7.6885637774567681E-2</v>
      </c>
      <c r="O78" s="160">
        <f t="shared" si="3"/>
        <v>7.6885637774567681E-2</v>
      </c>
      <c r="P78" s="160">
        <f t="shared" si="3"/>
        <v>7.6885637774567681E-2</v>
      </c>
    </row>
    <row r="79" spans="2:18">
      <c r="B79" s="8" t="str">
        <f t="shared" si="1"/>
        <v>45-49</v>
      </c>
      <c r="C79" s="160">
        <f t="shared" si="3"/>
        <v>8.0907702850170876E-2</v>
      </c>
      <c r="D79" s="160">
        <f t="shared" si="3"/>
        <v>8.4949192031342158E-2</v>
      </c>
      <c r="E79" s="160">
        <f t="shared" si="3"/>
        <v>8.4595650958918855E-2</v>
      </c>
      <c r="F79" s="160">
        <f t="shared" si="3"/>
        <v>8.1554055207147272E-2</v>
      </c>
      <c r="G79" s="160">
        <f t="shared" si="3"/>
        <v>8.4614542868673578E-2</v>
      </c>
      <c r="H79" s="160">
        <f t="shared" si="3"/>
        <v>8.3025686695746476E-2</v>
      </c>
      <c r="I79" s="160">
        <f t="shared" si="3"/>
        <v>8.3025686695746476E-2</v>
      </c>
      <c r="J79" s="160">
        <f t="shared" si="3"/>
        <v>8.3025686695746476E-2</v>
      </c>
      <c r="K79" s="160">
        <f t="shared" si="3"/>
        <v>8.3025686695746476E-2</v>
      </c>
      <c r="L79" s="160">
        <f t="shared" si="3"/>
        <v>8.3025686695746476E-2</v>
      </c>
      <c r="M79" s="160">
        <f t="shared" si="3"/>
        <v>8.3025686695746476E-2</v>
      </c>
      <c r="N79" s="160">
        <f t="shared" si="3"/>
        <v>8.3025686695746476E-2</v>
      </c>
      <c r="O79" s="160">
        <f t="shared" si="3"/>
        <v>8.3025686695746476E-2</v>
      </c>
      <c r="P79" s="160">
        <f t="shared" si="3"/>
        <v>8.3025686695746476E-2</v>
      </c>
    </row>
    <row r="80" spans="2:18">
      <c r="B80" s="8" t="str">
        <f t="shared" si="1"/>
        <v>50-54</v>
      </c>
      <c r="C80" s="160">
        <f t="shared" si="3"/>
        <v>8.1484347564293194E-2</v>
      </c>
      <c r="D80" s="160">
        <f t="shared" si="3"/>
        <v>8.555464121390699E-2</v>
      </c>
      <c r="E80" s="160">
        <f t="shared" si="3"/>
        <v>8.5198580386460915E-2</v>
      </c>
      <c r="F80" s="160">
        <f t="shared" si="3"/>
        <v>8.2135306598470653E-2</v>
      </c>
      <c r="G80" s="160">
        <f t="shared" si="3"/>
        <v>8.5217606942479415E-2</v>
      </c>
      <c r="H80" s="160">
        <f t="shared" si="3"/>
        <v>8.3617426686908219E-2</v>
      </c>
      <c r="I80" s="160">
        <f t="shared" si="3"/>
        <v>8.3617426686908219E-2</v>
      </c>
      <c r="J80" s="160">
        <f t="shared" si="3"/>
        <v>8.3617426686908219E-2</v>
      </c>
      <c r="K80" s="160">
        <f t="shared" si="3"/>
        <v>8.3617426686908219E-2</v>
      </c>
      <c r="L80" s="160">
        <f t="shared" si="3"/>
        <v>8.3617426686908219E-2</v>
      </c>
      <c r="M80" s="160">
        <f t="shared" si="3"/>
        <v>8.3617426686908219E-2</v>
      </c>
      <c r="N80" s="160">
        <f t="shared" si="3"/>
        <v>8.3617426686908219E-2</v>
      </c>
      <c r="O80" s="160">
        <f t="shared" si="3"/>
        <v>8.3617426686908219E-2</v>
      </c>
      <c r="P80" s="160">
        <f t="shared" si="3"/>
        <v>8.3617426686908219E-2</v>
      </c>
    </row>
    <row r="81" spans="2:16">
      <c r="B81" s="8" t="str">
        <f t="shared" si="1"/>
        <v>55-59</v>
      </c>
      <c r="C81" s="160">
        <f t="shared" si="3"/>
        <v>4.8530862564956374E-2</v>
      </c>
      <c r="D81" s="160">
        <f t="shared" si="3"/>
        <v>5.0955068778948107E-2</v>
      </c>
      <c r="E81" s="160">
        <f t="shared" si="3"/>
        <v>5.0743004258606755E-2</v>
      </c>
      <c r="F81" s="160">
        <f t="shared" si="3"/>
        <v>4.8918564060610577E-2</v>
      </c>
      <c r="G81" s="160">
        <f t="shared" si="3"/>
        <v>5.0754336191705808E-2</v>
      </c>
      <c r="H81" s="160">
        <f t="shared" si="3"/>
        <v>4.9801292688461112E-2</v>
      </c>
      <c r="I81" s="160">
        <f t="shared" si="3"/>
        <v>4.9801292688461112E-2</v>
      </c>
      <c r="J81" s="160">
        <f t="shared" si="3"/>
        <v>4.9801292688461112E-2</v>
      </c>
      <c r="K81" s="160">
        <f t="shared" si="3"/>
        <v>4.9801292688461112E-2</v>
      </c>
      <c r="L81" s="160">
        <f t="shared" si="3"/>
        <v>4.9801292688461112E-2</v>
      </c>
      <c r="M81" s="160">
        <f t="shared" si="3"/>
        <v>4.9801292688461112E-2</v>
      </c>
      <c r="N81" s="160">
        <f t="shared" si="3"/>
        <v>4.9801292688461112E-2</v>
      </c>
      <c r="O81" s="160">
        <f t="shared" si="3"/>
        <v>4.9801292688461112E-2</v>
      </c>
      <c r="P81" s="160">
        <f t="shared" si="3"/>
        <v>4.9801292688461112E-2</v>
      </c>
    </row>
    <row r="82" spans="2:16">
      <c r="B82" s="8" t="str">
        <f t="shared" si="1"/>
        <v>60-64</v>
      </c>
      <c r="C82" s="160">
        <f t="shared" si="3"/>
        <v>5.1655870839269279E-2</v>
      </c>
      <c r="D82" s="160">
        <f t="shared" si="3"/>
        <v>5.4236176987961855E-2</v>
      </c>
      <c r="E82" s="160">
        <f t="shared" si="3"/>
        <v>5.4010457169821731E-2</v>
      </c>
      <c r="F82" s="160">
        <f t="shared" si="3"/>
        <v>5.2068537281307052E-2</v>
      </c>
      <c r="G82" s="160">
        <f t="shared" si="3"/>
        <v>5.4022518790851876E-2</v>
      </c>
      <c r="H82" s="160">
        <f t="shared" si="3"/>
        <v>5.3008106734154542E-2</v>
      </c>
      <c r="I82" s="160">
        <f t="shared" si="3"/>
        <v>5.3008106734154542E-2</v>
      </c>
      <c r="J82" s="160">
        <f t="shared" si="3"/>
        <v>5.3008106734154542E-2</v>
      </c>
      <c r="K82" s="160">
        <f t="shared" si="3"/>
        <v>5.3008106734154542E-2</v>
      </c>
      <c r="L82" s="160">
        <f t="shared" si="3"/>
        <v>5.3008106734154542E-2</v>
      </c>
      <c r="M82" s="160">
        <f t="shared" si="3"/>
        <v>5.3008106734154542E-2</v>
      </c>
      <c r="N82" s="160">
        <f t="shared" si="3"/>
        <v>5.3008106734154542E-2</v>
      </c>
      <c r="O82" s="160">
        <f t="shared" si="3"/>
        <v>5.3008106734154542E-2</v>
      </c>
      <c r="P82" s="160">
        <f t="shared" si="3"/>
        <v>5.3008106734154542E-2</v>
      </c>
    </row>
    <row r="83" spans="2:16">
      <c r="B83" s="8" t="str">
        <f t="shared" si="1"/>
        <v>65 plus</v>
      </c>
      <c r="C83" s="160">
        <f t="shared" si="3"/>
        <v>8.8456746995508345E-2</v>
      </c>
      <c r="D83" s="160">
        <f t="shared" si="3"/>
        <v>9.2875324873636755E-2</v>
      </c>
      <c r="E83" s="160">
        <f t="shared" si="3"/>
        <v>9.2488796865867431E-2</v>
      </c>
      <c r="F83" s="160">
        <f t="shared" si="3"/>
        <v>8.9163406867151088E-2</v>
      </c>
      <c r="G83" s="160">
        <f t="shared" si="3"/>
        <v>9.2509451473804225E-2</v>
      </c>
      <c r="H83" s="160">
        <f t="shared" si="3"/>
        <v>9.0772348039275447E-2</v>
      </c>
      <c r="I83" s="160">
        <f t="shared" si="3"/>
        <v>9.0772348039275447E-2</v>
      </c>
      <c r="J83" s="160">
        <f t="shared" si="3"/>
        <v>9.0772348039275447E-2</v>
      </c>
      <c r="K83" s="160">
        <f t="shared" si="3"/>
        <v>9.0772348039275447E-2</v>
      </c>
      <c r="L83" s="160">
        <f t="shared" si="3"/>
        <v>9.0772348039275447E-2</v>
      </c>
      <c r="M83" s="160">
        <f t="shared" si="3"/>
        <v>9.0772348039275447E-2</v>
      </c>
      <c r="N83" s="160">
        <f t="shared" si="3"/>
        <v>9.0772348039275447E-2</v>
      </c>
      <c r="O83" s="160">
        <f t="shared" si="3"/>
        <v>9.0772348039275447E-2</v>
      </c>
      <c r="P83" s="160">
        <f t="shared" si="3"/>
        <v>9.0772348039275447E-2</v>
      </c>
    </row>
    <row r="84" spans="2:16">
      <c r="B84" s="8" t="str">
        <f t="shared" si="1"/>
        <v>Total</v>
      </c>
      <c r="C84" s="160">
        <f t="shared" si="3"/>
        <v>7.4427779115003187E-2</v>
      </c>
      <c r="D84" s="160">
        <f t="shared" si="3"/>
        <v>7.8145584138202606E-2</v>
      </c>
      <c r="E84" s="160">
        <f t="shared" si="3"/>
        <v>7.7820358283068242E-2</v>
      </c>
      <c r="F84" s="160">
        <f t="shared" si="3"/>
        <v>7.5022364905488276E-2</v>
      </c>
      <c r="G84" s="160">
        <f t="shared" si="3"/>
        <v>7.7837737133743187E-2</v>
      </c>
      <c r="H84" s="160">
        <f t="shared" si="3"/>
        <v>7.6376132958636184E-2</v>
      </c>
      <c r="I84" s="160">
        <f t="shared" si="3"/>
        <v>7.6376132958636184E-2</v>
      </c>
      <c r="J84" s="160">
        <f t="shared" si="3"/>
        <v>7.6376132958636184E-2</v>
      </c>
      <c r="K84" s="160">
        <f t="shared" si="3"/>
        <v>7.6376132958636184E-2</v>
      </c>
      <c r="L84" s="160">
        <f t="shared" si="3"/>
        <v>7.6376132958636184E-2</v>
      </c>
      <c r="M84" s="160">
        <f t="shared" si="3"/>
        <v>7.6376132958636184E-2</v>
      </c>
      <c r="N84" s="160">
        <f t="shared" si="3"/>
        <v>7.6376132958636184E-2</v>
      </c>
      <c r="O84" s="160">
        <f t="shared" si="3"/>
        <v>7.6376132958636184E-2</v>
      </c>
      <c r="P84" s="160">
        <f t="shared" si="3"/>
        <v>7.6376132958636184E-2</v>
      </c>
    </row>
    <row r="85" spans="2:16">
      <c r="B85" s="12"/>
      <c r="C85" s="910"/>
      <c r="D85" s="910"/>
      <c r="E85" s="910"/>
      <c r="F85" s="910"/>
      <c r="G85" s="910"/>
      <c r="H85" s="910"/>
      <c r="I85" s="910"/>
      <c r="J85" s="910"/>
      <c r="K85" s="910"/>
      <c r="L85" s="910"/>
      <c r="M85" s="910"/>
      <c r="N85" s="910"/>
      <c r="O85" s="910"/>
      <c r="P85" s="910"/>
    </row>
    <row r="86" spans="2:16">
      <c r="B86" s="5" t="s">
        <v>439</v>
      </c>
      <c r="C86" s="910"/>
      <c r="D86" s="910"/>
      <c r="E86" s="910"/>
      <c r="F86" s="910"/>
      <c r="G86" s="910"/>
      <c r="H86" s="910"/>
      <c r="I86" s="910"/>
      <c r="J86" s="910"/>
      <c r="K86" s="910"/>
      <c r="L86" s="910"/>
      <c r="M86" s="910"/>
      <c r="N86" s="910"/>
      <c r="O86" s="910"/>
      <c r="P86" s="910"/>
    </row>
    <row r="87" spans="2:16">
      <c r="B87" s="12"/>
      <c r="C87" s="910"/>
      <c r="D87" s="910"/>
      <c r="E87" s="910"/>
      <c r="F87" s="910"/>
      <c r="G87" s="910"/>
      <c r="H87" s="910"/>
      <c r="I87" s="910"/>
      <c r="J87" s="910"/>
      <c r="K87" s="910"/>
      <c r="L87" s="910"/>
      <c r="M87" s="910"/>
      <c r="N87" s="910"/>
      <c r="O87" s="910"/>
      <c r="P87" s="910"/>
    </row>
    <row r="88" spans="2:16">
      <c r="B88" s="8" t="str">
        <f>B73</f>
        <v>Age group</v>
      </c>
      <c r="C88" s="911" t="str">
        <f>C73</f>
        <v>2015/16</v>
      </c>
      <c r="D88" s="911" t="str">
        <f t="shared" ref="D88:P88" si="4">D73</f>
        <v>2016/17</v>
      </c>
      <c r="E88" s="911" t="str">
        <f t="shared" si="4"/>
        <v>2017/18</v>
      </c>
      <c r="F88" s="911" t="str">
        <f t="shared" si="4"/>
        <v>2018/19</v>
      </c>
      <c r="G88" s="911" t="str">
        <f t="shared" si="4"/>
        <v>2019/20</v>
      </c>
      <c r="H88" s="911" t="str">
        <f t="shared" si="4"/>
        <v>2020/21</v>
      </c>
      <c r="I88" s="911" t="str">
        <f t="shared" si="4"/>
        <v>2021/22</v>
      </c>
      <c r="J88" s="911" t="str">
        <f t="shared" si="4"/>
        <v>2022/23</v>
      </c>
      <c r="K88" s="911" t="str">
        <f t="shared" si="4"/>
        <v>2023/24</v>
      </c>
      <c r="L88" s="911" t="str">
        <f t="shared" si="4"/>
        <v>2024/25</v>
      </c>
      <c r="M88" s="911" t="str">
        <f t="shared" si="4"/>
        <v>2025/26</v>
      </c>
      <c r="N88" s="911" t="str">
        <f t="shared" si="4"/>
        <v>2026/27</v>
      </c>
      <c r="O88" s="911" t="str">
        <f t="shared" si="4"/>
        <v>2027/28</v>
      </c>
      <c r="P88" s="911" t="str">
        <f t="shared" si="4"/>
        <v>2028/29</v>
      </c>
    </row>
    <row r="89" spans="2:16">
      <c r="B89" s="8" t="str">
        <f t="shared" ref="B89:B99" si="5">B74</f>
        <v>20-24</v>
      </c>
      <c r="C89" s="160">
        <f>C57*$H25</f>
        <v>0.1158923026357329</v>
      </c>
      <c r="D89" s="160">
        <f t="shared" ref="D89:P89" si="6">D57*$H25</f>
        <v>0.11482255944107367</v>
      </c>
      <c r="E89" s="160">
        <f t="shared" si="6"/>
        <v>0.11670497272143948</v>
      </c>
      <c r="F89" s="160">
        <f t="shared" si="6"/>
        <v>0.1172817436656412</v>
      </c>
      <c r="G89" s="160">
        <f t="shared" si="6"/>
        <v>0.11923409038530131</v>
      </c>
      <c r="H89" s="160">
        <f t="shared" si="6"/>
        <v>0.12076689881286187</v>
      </c>
      <c r="I89" s="160">
        <f t="shared" si="6"/>
        <v>0.12076689881286187</v>
      </c>
      <c r="J89" s="160">
        <f t="shared" si="6"/>
        <v>0.12076689881286187</v>
      </c>
      <c r="K89" s="160">
        <f t="shared" si="6"/>
        <v>0.12076689881286187</v>
      </c>
      <c r="L89" s="160">
        <f t="shared" si="6"/>
        <v>0.12076689881286187</v>
      </c>
      <c r="M89" s="160">
        <f t="shared" si="6"/>
        <v>0.12076689881286187</v>
      </c>
      <c r="N89" s="160">
        <f t="shared" si="6"/>
        <v>0.12076689881286187</v>
      </c>
      <c r="O89" s="160">
        <f t="shared" si="6"/>
        <v>0.12076689881286187</v>
      </c>
      <c r="P89" s="160">
        <f t="shared" si="6"/>
        <v>0.12076689881286187</v>
      </c>
    </row>
    <row r="90" spans="2:16">
      <c r="B90" s="8" t="str">
        <f t="shared" si="5"/>
        <v>25-29</v>
      </c>
      <c r="C90" s="160">
        <f t="shared" ref="C90:P99" si="7">C58*$H26</f>
        <v>9.2427152992018896E-2</v>
      </c>
      <c r="D90" s="160">
        <f t="shared" si="7"/>
        <v>9.157400471843842E-2</v>
      </c>
      <c r="E90" s="160">
        <f t="shared" si="7"/>
        <v>9.3075278714222623E-2</v>
      </c>
      <c r="F90" s="160">
        <f t="shared" si="7"/>
        <v>9.3535268679808561E-2</v>
      </c>
      <c r="G90" s="160">
        <f t="shared" si="7"/>
        <v>9.5092316428861165E-2</v>
      </c>
      <c r="H90" s="160">
        <f t="shared" si="7"/>
        <v>9.6314771379013411E-2</v>
      </c>
      <c r="I90" s="160">
        <f t="shared" si="7"/>
        <v>9.6314771379013411E-2</v>
      </c>
      <c r="J90" s="160">
        <f t="shared" si="7"/>
        <v>9.6314771379013411E-2</v>
      </c>
      <c r="K90" s="160">
        <f t="shared" si="7"/>
        <v>9.6314771379013411E-2</v>
      </c>
      <c r="L90" s="160">
        <f t="shared" si="7"/>
        <v>9.6314771379013411E-2</v>
      </c>
      <c r="M90" s="160">
        <f t="shared" si="7"/>
        <v>9.6314771379013411E-2</v>
      </c>
      <c r="N90" s="160">
        <f t="shared" si="7"/>
        <v>9.6314771379013411E-2</v>
      </c>
      <c r="O90" s="160">
        <f t="shared" si="7"/>
        <v>9.6314771379013411E-2</v>
      </c>
      <c r="P90" s="160">
        <f t="shared" si="7"/>
        <v>9.6314771379013411E-2</v>
      </c>
    </row>
    <row r="91" spans="2:16">
      <c r="B91" s="8" t="str">
        <f t="shared" si="5"/>
        <v>30-34</v>
      </c>
      <c r="C91" s="160">
        <f t="shared" si="7"/>
        <v>7.9590659069921979E-2</v>
      </c>
      <c r="D91" s="160">
        <f t="shared" si="7"/>
        <v>7.8855997975421976E-2</v>
      </c>
      <c r="E91" s="160">
        <f t="shared" si="7"/>
        <v>8.0148771612832598E-2</v>
      </c>
      <c r="F91" s="160">
        <f t="shared" si="7"/>
        <v>8.0544877122321737E-2</v>
      </c>
      <c r="G91" s="160">
        <f t="shared" si="7"/>
        <v>8.1885678526873673E-2</v>
      </c>
      <c r="H91" s="160">
        <f t="shared" si="7"/>
        <v>8.2938356143962111E-2</v>
      </c>
      <c r="I91" s="160">
        <f t="shared" si="7"/>
        <v>8.2938356143962111E-2</v>
      </c>
      <c r="J91" s="160">
        <f t="shared" si="7"/>
        <v>8.2938356143962111E-2</v>
      </c>
      <c r="K91" s="160">
        <f t="shared" si="7"/>
        <v>8.2938356143962111E-2</v>
      </c>
      <c r="L91" s="160">
        <f t="shared" si="7"/>
        <v>8.2938356143962111E-2</v>
      </c>
      <c r="M91" s="160">
        <f t="shared" si="7"/>
        <v>8.2938356143962111E-2</v>
      </c>
      <c r="N91" s="160">
        <f t="shared" si="7"/>
        <v>8.2938356143962111E-2</v>
      </c>
      <c r="O91" s="160">
        <f t="shared" si="7"/>
        <v>8.2938356143962111E-2</v>
      </c>
      <c r="P91" s="160">
        <f t="shared" si="7"/>
        <v>8.2938356143962111E-2</v>
      </c>
    </row>
    <row r="92" spans="2:16">
      <c r="B92" s="8" t="str">
        <f t="shared" si="5"/>
        <v>35-39</v>
      </c>
      <c r="C92" s="160">
        <f t="shared" si="7"/>
        <v>7.7388718248491403E-2</v>
      </c>
      <c r="D92" s="160">
        <f t="shared" si="7"/>
        <v>7.6674382155352133E-2</v>
      </c>
      <c r="E92" s="160">
        <f t="shared" si="7"/>
        <v>7.7931390150433003E-2</v>
      </c>
      <c r="F92" s="160">
        <f t="shared" si="7"/>
        <v>7.8316537076325396E-2</v>
      </c>
      <c r="G92" s="160">
        <f t="shared" si="7"/>
        <v>7.9620244111002589E-2</v>
      </c>
      <c r="H92" s="160">
        <f t="shared" si="7"/>
        <v>8.0643798538963557E-2</v>
      </c>
      <c r="I92" s="160">
        <f t="shared" si="7"/>
        <v>8.0643798538963557E-2</v>
      </c>
      <c r="J92" s="160">
        <f t="shared" si="7"/>
        <v>8.0643798538963557E-2</v>
      </c>
      <c r="K92" s="160">
        <f t="shared" si="7"/>
        <v>8.0643798538963557E-2</v>
      </c>
      <c r="L92" s="160">
        <f t="shared" si="7"/>
        <v>8.0643798538963557E-2</v>
      </c>
      <c r="M92" s="160">
        <f t="shared" si="7"/>
        <v>8.0643798538963557E-2</v>
      </c>
      <c r="N92" s="160">
        <f t="shared" si="7"/>
        <v>8.0643798538963557E-2</v>
      </c>
      <c r="O92" s="160">
        <f t="shared" si="7"/>
        <v>8.0643798538963557E-2</v>
      </c>
      <c r="P92" s="160">
        <f t="shared" si="7"/>
        <v>8.0643798538963557E-2</v>
      </c>
    </row>
    <row r="93" spans="2:16">
      <c r="B93" s="8" t="str">
        <f t="shared" si="5"/>
        <v>40-44</v>
      </c>
      <c r="C93" s="160">
        <f t="shared" si="7"/>
        <v>7.8093930493902827E-2</v>
      </c>
      <c r="D93" s="160">
        <f t="shared" si="7"/>
        <v>7.7373084943421155E-2</v>
      </c>
      <c r="E93" s="160">
        <f t="shared" si="7"/>
        <v>7.8641547546496229E-2</v>
      </c>
      <c r="F93" s="160">
        <f t="shared" si="7"/>
        <v>7.9030204161327389E-2</v>
      </c>
      <c r="G93" s="160">
        <f t="shared" si="7"/>
        <v>8.0345791353553284E-2</v>
      </c>
      <c r="H93" s="160">
        <f t="shared" si="7"/>
        <v>8.1378673021101355E-2</v>
      </c>
      <c r="I93" s="160">
        <f t="shared" si="7"/>
        <v>8.1378673021101355E-2</v>
      </c>
      <c r="J93" s="160">
        <f t="shared" si="7"/>
        <v>8.1378673021101355E-2</v>
      </c>
      <c r="K93" s="160">
        <f t="shared" si="7"/>
        <v>8.1378673021101355E-2</v>
      </c>
      <c r="L93" s="160">
        <f t="shared" si="7"/>
        <v>8.1378673021101355E-2</v>
      </c>
      <c r="M93" s="160">
        <f t="shared" si="7"/>
        <v>8.1378673021101355E-2</v>
      </c>
      <c r="N93" s="160">
        <f t="shared" si="7"/>
        <v>8.1378673021101355E-2</v>
      </c>
      <c r="O93" s="160">
        <f t="shared" si="7"/>
        <v>8.1378673021101355E-2</v>
      </c>
      <c r="P93" s="160">
        <f t="shared" si="7"/>
        <v>8.1378673021101355E-2</v>
      </c>
    </row>
    <row r="94" spans="2:16">
      <c r="B94" s="8" t="str">
        <f t="shared" si="5"/>
        <v>45-49</v>
      </c>
      <c r="C94" s="160">
        <f t="shared" si="7"/>
        <v>8.7386456688929692E-2</v>
      </c>
      <c r="D94" s="160">
        <f t="shared" si="7"/>
        <v>8.6579836531918988E-2</v>
      </c>
      <c r="E94" s="160">
        <f t="shared" si="7"/>
        <v>8.799923560204008E-2</v>
      </c>
      <c r="F94" s="160">
        <f t="shared" si="7"/>
        <v>8.8434139111493518E-2</v>
      </c>
      <c r="G94" s="160">
        <f t="shared" si="7"/>
        <v>8.9906270203716263E-2</v>
      </c>
      <c r="H94" s="160">
        <f t="shared" si="7"/>
        <v>9.1062056172422592E-2</v>
      </c>
      <c r="I94" s="160">
        <f t="shared" si="7"/>
        <v>9.1062056172422592E-2</v>
      </c>
      <c r="J94" s="160">
        <f t="shared" si="7"/>
        <v>9.1062056172422592E-2</v>
      </c>
      <c r="K94" s="160">
        <f t="shared" si="7"/>
        <v>9.1062056172422592E-2</v>
      </c>
      <c r="L94" s="160">
        <f t="shared" si="7"/>
        <v>9.1062056172422592E-2</v>
      </c>
      <c r="M94" s="160">
        <f t="shared" si="7"/>
        <v>9.1062056172422592E-2</v>
      </c>
      <c r="N94" s="160">
        <f t="shared" si="7"/>
        <v>9.1062056172422592E-2</v>
      </c>
      <c r="O94" s="160">
        <f t="shared" si="7"/>
        <v>9.1062056172422592E-2</v>
      </c>
      <c r="P94" s="160">
        <f t="shared" si="7"/>
        <v>9.1062056172422592E-2</v>
      </c>
    </row>
    <row r="95" spans="2:16">
      <c r="B95" s="8" t="str">
        <f t="shared" si="5"/>
        <v>50-54</v>
      </c>
      <c r="C95" s="160">
        <f t="shared" si="7"/>
        <v>8.6311357125023996E-2</v>
      </c>
      <c r="D95" s="160">
        <f t="shared" si="7"/>
        <v>8.5514660667999523E-2</v>
      </c>
      <c r="E95" s="160">
        <f t="shared" si="7"/>
        <v>8.6916597131452319E-2</v>
      </c>
      <c r="F95" s="160">
        <f t="shared" si="7"/>
        <v>8.7346150102720871E-2</v>
      </c>
      <c r="G95" s="160">
        <f t="shared" si="7"/>
        <v>8.8800169835870052E-2</v>
      </c>
      <c r="H95" s="160">
        <f t="shared" si="7"/>
        <v>8.994173638159017E-2</v>
      </c>
      <c r="I95" s="160">
        <f t="shared" si="7"/>
        <v>8.994173638159017E-2</v>
      </c>
      <c r="J95" s="160">
        <f t="shared" si="7"/>
        <v>8.994173638159017E-2</v>
      </c>
      <c r="K95" s="160">
        <f t="shared" si="7"/>
        <v>8.994173638159017E-2</v>
      </c>
      <c r="L95" s="160">
        <f t="shared" si="7"/>
        <v>8.994173638159017E-2</v>
      </c>
      <c r="M95" s="160">
        <f t="shared" si="7"/>
        <v>8.994173638159017E-2</v>
      </c>
      <c r="N95" s="160">
        <f t="shared" si="7"/>
        <v>8.994173638159017E-2</v>
      </c>
      <c r="O95" s="160">
        <f t="shared" si="7"/>
        <v>8.994173638159017E-2</v>
      </c>
      <c r="P95" s="160">
        <f t="shared" si="7"/>
        <v>8.994173638159017E-2</v>
      </c>
    </row>
    <row r="96" spans="2:16">
      <c r="B96" s="8" t="str">
        <f t="shared" si="5"/>
        <v>55-59</v>
      </c>
      <c r="C96" s="160">
        <f t="shared" si="7"/>
        <v>5.8386047517614947E-2</v>
      </c>
      <c r="D96" s="160">
        <f t="shared" si="7"/>
        <v>5.7847115461088859E-2</v>
      </c>
      <c r="E96" s="160">
        <f t="shared" si="7"/>
        <v>5.8795467238865508E-2</v>
      </c>
      <c r="F96" s="160">
        <f t="shared" si="7"/>
        <v>5.9086041979284541E-2</v>
      </c>
      <c r="G96" s="160">
        <f t="shared" si="7"/>
        <v>6.0069625925348868E-2</v>
      </c>
      <c r="H96" s="160">
        <f t="shared" si="7"/>
        <v>6.0841848270160204E-2</v>
      </c>
      <c r="I96" s="160">
        <f t="shared" si="7"/>
        <v>6.0841848270160204E-2</v>
      </c>
      <c r="J96" s="160">
        <f t="shared" si="7"/>
        <v>6.0841848270160204E-2</v>
      </c>
      <c r="K96" s="160">
        <f t="shared" si="7"/>
        <v>6.0841848270160204E-2</v>
      </c>
      <c r="L96" s="160">
        <f t="shared" si="7"/>
        <v>6.0841848270160204E-2</v>
      </c>
      <c r="M96" s="160">
        <f t="shared" si="7"/>
        <v>6.0841848270160204E-2</v>
      </c>
      <c r="N96" s="160">
        <f t="shared" si="7"/>
        <v>6.0841848270160204E-2</v>
      </c>
      <c r="O96" s="160">
        <f t="shared" si="7"/>
        <v>6.0841848270160204E-2</v>
      </c>
      <c r="P96" s="160">
        <f t="shared" si="7"/>
        <v>6.0841848270160204E-2</v>
      </c>
    </row>
    <row r="97" spans="2:16">
      <c r="B97" s="8" t="str">
        <f t="shared" si="5"/>
        <v>60-64</v>
      </c>
      <c r="C97" s="160">
        <f t="shared" si="7"/>
        <v>4.9013206920319824E-2</v>
      </c>
      <c r="D97" s="160">
        <f t="shared" si="7"/>
        <v>4.8560790811924451E-2</v>
      </c>
      <c r="E97" s="160">
        <f t="shared" si="7"/>
        <v>4.9356901593415464E-2</v>
      </c>
      <c r="F97" s="160">
        <f t="shared" si="7"/>
        <v>4.9600829731789267E-2</v>
      </c>
      <c r="G97" s="160">
        <f t="shared" si="7"/>
        <v>5.0426516784118185E-2</v>
      </c>
      <c r="H97" s="160">
        <f t="shared" si="7"/>
        <v>5.1074772577821531E-2</v>
      </c>
      <c r="I97" s="160">
        <f t="shared" si="7"/>
        <v>5.1074772577821531E-2</v>
      </c>
      <c r="J97" s="160">
        <f t="shared" si="7"/>
        <v>5.1074772577821531E-2</v>
      </c>
      <c r="K97" s="160">
        <f t="shared" si="7"/>
        <v>5.1074772577821531E-2</v>
      </c>
      <c r="L97" s="160">
        <f t="shared" si="7"/>
        <v>5.1074772577821531E-2</v>
      </c>
      <c r="M97" s="160">
        <f t="shared" si="7"/>
        <v>5.1074772577821531E-2</v>
      </c>
      <c r="N97" s="160">
        <f t="shared" si="7"/>
        <v>5.1074772577821531E-2</v>
      </c>
      <c r="O97" s="160">
        <f t="shared" si="7"/>
        <v>5.1074772577821531E-2</v>
      </c>
      <c r="P97" s="160">
        <f t="shared" si="7"/>
        <v>5.1074772577821531E-2</v>
      </c>
    </row>
    <row r="98" spans="2:16">
      <c r="B98" s="8" t="str">
        <f t="shared" si="5"/>
        <v>65 plus</v>
      </c>
      <c r="C98" s="160">
        <f t="shared" si="7"/>
        <v>7.5884931949872794E-2</v>
      </c>
      <c r="D98" s="160">
        <f t="shared" si="7"/>
        <v>7.5184476547017362E-2</v>
      </c>
      <c r="E98" s="160">
        <f t="shared" si="7"/>
        <v>7.6417058870720825E-2</v>
      </c>
      <c r="F98" s="160">
        <f t="shared" si="7"/>
        <v>7.6794721777195138E-2</v>
      </c>
      <c r="G98" s="160">
        <f t="shared" si="7"/>
        <v>7.8073095703629539E-2</v>
      </c>
      <c r="H98" s="160">
        <f t="shared" si="7"/>
        <v>7.907676083558593E-2</v>
      </c>
      <c r="I98" s="160">
        <f t="shared" si="7"/>
        <v>7.907676083558593E-2</v>
      </c>
      <c r="J98" s="160">
        <f t="shared" si="7"/>
        <v>7.907676083558593E-2</v>
      </c>
      <c r="K98" s="160">
        <f t="shared" si="7"/>
        <v>7.907676083558593E-2</v>
      </c>
      <c r="L98" s="160">
        <f t="shared" si="7"/>
        <v>7.907676083558593E-2</v>
      </c>
      <c r="M98" s="160">
        <f t="shared" si="7"/>
        <v>7.907676083558593E-2</v>
      </c>
      <c r="N98" s="160">
        <f t="shared" si="7"/>
        <v>7.907676083558593E-2</v>
      </c>
      <c r="O98" s="160">
        <f t="shared" si="7"/>
        <v>7.907676083558593E-2</v>
      </c>
      <c r="P98" s="160">
        <f t="shared" si="7"/>
        <v>7.907676083558593E-2</v>
      </c>
    </row>
    <row r="99" spans="2:16">
      <c r="B99" s="8" t="str">
        <f t="shared" si="5"/>
        <v>Total</v>
      </c>
      <c r="C99" s="160">
        <f t="shared" si="7"/>
        <v>8.1857879041581719E-2</v>
      </c>
      <c r="D99" s="160">
        <f t="shared" si="7"/>
        <v>8.1102290386921835E-2</v>
      </c>
      <c r="E99" s="160">
        <f t="shared" si="7"/>
        <v>8.2431889981597062E-2</v>
      </c>
      <c r="F99" s="160">
        <f t="shared" si="7"/>
        <v>8.2839278954905865E-2</v>
      </c>
      <c r="G99" s="160">
        <f t="shared" si="7"/>
        <v>8.4218274435973225E-2</v>
      </c>
      <c r="H99" s="160">
        <f t="shared" si="7"/>
        <v>8.530093863371159E-2</v>
      </c>
      <c r="I99" s="160">
        <f t="shared" si="7"/>
        <v>8.530093863371159E-2</v>
      </c>
      <c r="J99" s="160">
        <f t="shared" si="7"/>
        <v>8.530093863371159E-2</v>
      </c>
      <c r="K99" s="160">
        <f t="shared" si="7"/>
        <v>8.530093863371159E-2</v>
      </c>
      <c r="L99" s="160">
        <f t="shared" si="7"/>
        <v>8.530093863371159E-2</v>
      </c>
      <c r="M99" s="160">
        <f t="shared" si="7"/>
        <v>8.530093863371159E-2</v>
      </c>
      <c r="N99" s="160">
        <f t="shared" si="7"/>
        <v>8.530093863371159E-2</v>
      </c>
      <c r="O99" s="160">
        <f t="shared" si="7"/>
        <v>8.530093863371159E-2</v>
      </c>
      <c r="P99" s="160">
        <f t="shared" si="7"/>
        <v>8.530093863371159E-2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N66"/>
  <sheetViews>
    <sheetView showGridLines="0" workbookViewId="0"/>
  </sheetViews>
  <sheetFormatPr defaultRowHeight="12.75"/>
  <cols>
    <col min="2" max="2" width="25.7109375" customWidth="1"/>
    <col min="3" max="40" width="12.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c r="L4" s="57"/>
    </row>
    <row r="5" spans="1:17" s="46" customFormat="1" ht="26.25" customHeight="1">
      <c r="A5" s="1293" t="s">
        <v>649</v>
      </c>
      <c r="B5" s="1293"/>
      <c r="C5" s="1293"/>
      <c r="D5" s="1293"/>
      <c r="E5" s="1293"/>
      <c r="F5" s="1293"/>
      <c r="G5" s="1293"/>
      <c r="H5" s="1293"/>
      <c r="I5" s="1293"/>
      <c r="J5" s="1293"/>
      <c r="K5" s="1293"/>
      <c r="L5" s="1293"/>
      <c r="M5" s="1293"/>
      <c r="N5" s="1293"/>
      <c r="O5" s="1293"/>
      <c r="P5" s="58"/>
      <c r="Q5" s="58"/>
    </row>
    <row r="6" spans="1:17" s="45" customFormat="1">
      <c r="A6" s="55" t="s">
        <v>1392</v>
      </c>
      <c r="B6" s="60"/>
      <c r="C6" s="60"/>
      <c r="D6" s="60"/>
      <c r="E6" s="285"/>
      <c r="F6" s="60"/>
      <c r="G6" s="60"/>
      <c r="H6" s="60"/>
      <c r="I6" s="60"/>
      <c r="J6" s="60"/>
      <c r="K6" s="60"/>
      <c r="L6" s="60"/>
      <c r="M6" s="44"/>
      <c r="N6" s="44"/>
      <c r="O6" s="44"/>
      <c r="P6" s="44"/>
      <c r="Q6" s="44"/>
    </row>
    <row r="7" spans="1:17" s="45" customFormat="1">
      <c r="A7" s="53" t="s">
        <v>179</v>
      </c>
      <c r="B7" s="55"/>
      <c r="C7" s="60"/>
      <c r="D7" s="60"/>
      <c r="E7" s="285"/>
      <c r="F7" s="60"/>
      <c r="G7" s="60"/>
      <c r="H7" s="60"/>
      <c r="I7" s="60"/>
      <c r="J7" s="60"/>
      <c r="K7" s="60"/>
      <c r="L7" s="60"/>
      <c r="M7" s="44"/>
      <c r="N7" s="44"/>
      <c r="O7" s="44"/>
      <c r="P7" s="44"/>
      <c r="Q7" s="44"/>
    </row>
    <row r="8" spans="1:17" s="45" customFormat="1">
      <c r="A8" s="55" t="s">
        <v>24</v>
      </c>
      <c r="B8" s="60"/>
      <c r="C8" s="60"/>
      <c r="D8" s="60"/>
      <c r="E8" s="285"/>
      <c r="F8" s="60"/>
      <c r="G8" s="60"/>
      <c r="H8" s="60"/>
      <c r="I8" s="60"/>
      <c r="J8" s="60"/>
      <c r="K8" s="60"/>
      <c r="L8" s="60"/>
      <c r="M8" s="44"/>
      <c r="N8" s="44"/>
      <c r="O8" s="44"/>
      <c r="P8" s="44"/>
      <c r="Q8" s="44"/>
    </row>
    <row r="9" spans="1:17" s="45" customFormat="1">
      <c r="A9" s="53" t="s">
        <v>349</v>
      </c>
      <c r="B9" s="60"/>
      <c r="C9" s="60"/>
      <c r="D9" s="60"/>
      <c r="E9" s="285"/>
      <c r="F9" s="60"/>
      <c r="G9" s="60"/>
      <c r="H9" s="60"/>
      <c r="I9" s="60"/>
      <c r="J9" s="60"/>
      <c r="K9" s="60"/>
      <c r="L9" s="60"/>
      <c r="M9" s="44"/>
      <c r="N9" s="44"/>
      <c r="O9" s="44"/>
      <c r="P9" s="44"/>
      <c r="Q9" s="44"/>
    </row>
    <row r="10" spans="1:17" s="49" customFormat="1" ht="13.5" customHeight="1">
      <c r="A10" s="54">
        <f>SUM(A13:A2211)</f>
        <v>0</v>
      </c>
      <c r="B10" s="72"/>
      <c r="C10" s="70"/>
      <c r="D10" s="47"/>
      <c r="E10" s="47"/>
      <c r="F10" s="47"/>
      <c r="G10" s="71"/>
      <c r="H10" s="47"/>
      <c r="I10" s="47"/>
      <c r="J10" s="71"/>
      <c r="K10" s="48"/>
      <c r="L10" s="48"/>
      <c r="M10" s="48"/>
      <c r="N10" s="48"/>
      <c r="O10" s="48"/>
      <c r="P10" s="48"/>
      <c r="Q10" s="48"/>
    </row>
    <row r="12" spans="1:17" ht="15.75">
      <c r="B12" s="77" t="s">
        <v>1422</v>
      </c>
    </row>
    <row r="14" spans="1:17">
      <c r="B14" s="8" t="s">
        <v>67</v>
      </c>
      <c r="C14" s="447">
        <f>RAW_DATA_INPUTS!AQ50+RAW_DATA_INPUTS!AR50</f>
        <v>241507.71000000002</v>
      </c>
    </row>
    <row r="15" spans="1:17">
      <c r="B15" s="179" t="s">
        <v>98</v>
      </c>
      <c r="C15" s="447">
        <f>RAW_DATA_INPUTS!AQ66+RAW_DATA_INPUTS!AR66</f>
        <v>8721.2699999999986</v>
      </c>
    </row>
    <row r="16" spans="1:17">
      <c r="B16" s="8" t="s">
        <v>101</v>
      </c>
      <c r="C16" s="447">
        <f>C14*RAW_DATA_INPUTS!$C$389</f>
        <v>214941.86190000002</v>
      </c>
    </row>
    <row r="17" spans="2:40">
      <c r="B17" s="8" t="s">
        <v>102</v>
      </c>
      <c r="C17" s="447">
        <f>C15*RAW_DATA_INPUTS!$C$389</f>
        <v>7761.9302999999991</v>
      </c>
    </row>
    <row r="19" spans="2:40" ht="15.75">
      <c r="B19" s="77" t="s">
        <v>99</v>
      </c>
    </row>
    <row r="22" spans="2:40" s="148" customFormat="1" ht="38.25" customHeight="1">
      <c r="B22" s="1241" t="s">
        <v>59</v>
      </c>
      <c r="C22" s="1171" t="str">
        <f>RAW_DATA_INPUTS!C38:D38</f>
        <v>Art &amp; Design</v>
      </c>
      <c r="D22" s="1171"/>
      <c r="E22" s="1171" t="str">
        <f>RAW_DATA_INPUTS!E38:F38</f>
        <v>Biology</v>
      </c>
      <c r="F22" s="1171"/>
      <c r="G22" s="1171" t="str">
        <f>RAW_DATA_INPUTS!G38:H38</f>
        <v>Business Studies</v>
      </c>
      <c r="H22" s="1171"/>
      <c r="I22" s="1171" t="str">
        <f>RAW_DATA_INPUTS!I38:J38</f>
        <v>Chemistry</v>
      </c>
      <c r="J22" s="1171"/>
      <c r="K22" s="1171" t="str">
        <f>RAW_DATA_INPUTS!K38:L38</f>
        <v>Classics</v>
      </c>
      <c r="L22" s="1171"/>
      <c r="M22" s="1171" t="str">
        <f>RAW_DATA_INPUTS!M38:N38</f>
        <v>Computing</v>
      </c>
      <c r="N22" s="1171"/>
      <c r="O22" s="1171" t="str">
        <f>RAW_DATA_INPUTS!O38:P38</f>
        <v>Design &amp; Technology</v>
      </c>
      <c r="P22" s="1171"/>
      <c r="Q22" s="1171" t="str">
        <f>RAW_DATA_INPUTS!Q38:R38</f>
        <v>Drama</v>
      </c>
      <c r="R22" s="1171"/>
      <c r="S22" s="1171" t="str">
        <f>RAW_DATA_INPUTS!S38:T38</f>
        <v>English</v>
      </c>
      <c r="T22" s="1171"/>
      <c r="U22" s="1171" t="str">
        <f>RAW_DATA_INPUTS!U38:V38</f>
        <v>Food</v>
      </c>
      <c r="V22" s="1171"/>
      <c r="W22" s="1171" t="str">
        <f>RAW_DATA_INPUTS!W38:X38</f>
        <v>Geography</v>
      </c>
      <c r="X22" s="1171"/>
      <c r="Y22" s="1171" t="str">
        <f>RAW_DATA_INPUTS!Y38:Z38</f>
        <v>History</v>
      </c>
      <c r="Z22" s="1171"/>
      <c r="AA22" s="1171" t="str">
        <f>RAW_DATA_INPUTS!AA38:AB38</f>
        <v>Mathematics</v>
      </c>
      <c r="AB22" s="1171"/>
      <c r="AC22" s="1171" t="str">
        <f>RAW_DATA_INPUTS!AC38:AD38</f>
        <v>Modern Foreign Languages</v>
      </c>
      <c r="AD22" s="1171"/>
      <c r="AE22" s="1171" t="str">
        <f>RAW_DATA_INPUTS!AE38:AF38</f>
        <v>Music</v>
      </c>
      <c r="AF22" s="1171"/>
      <c r="AG22" s="1171" t="str">
        <f>RAW_DATA_INPUTS!AG38:AH38</f>
        <v>Others</v>
      </c>
      <c r="AH22" s="1171"/>
      <c r="AI22" s="1171" t="str">
        <f>RAW_DATA_INPUTS!AI38:AJ38</f>
        <v>Physical Education</v>
      </c>
      <c r="AJ22" s="1171"/>
      <c r="AK22" s="1171" t="str">
        <f>RAW_DATA_INPUTS!AK38:AL38</f>
        <v>Physics</v>
      </c>
      <c r="AL22" s="1171"/>
      <c r="AM22" s="1171" t="str">
        <f>RAW_DATA_INPUTS!AM38:AN38</f>
        <v>Religious Education</v>
      </c>
      <c r="AN22" s="1171"/>
    </row>
    <row r="23" spans="2:40" s="5" customFormat="1">
      <c r="B23" s="1242"/>
      <c r="C23" s="76" t="s">
        <v>46</v>
      </c>
      <c r="D23" s="76" t="s">
        <v>47</v>
      </c>
      <c r="E23" s="76" t="s">
        <v>46</v>
      </c>
      <c r="F23" s="76" t="s">
        <v>47</v>
      </c>
      <c r="G23" s="76" t="s">
        <v>46</v>
      </c>
      <c r="H23" s="76" t="s">
        <v>47</v>
      </c>
      <c r="I23" s="76" t="s">
        <v>46</v>
      </c>
      <c r="J23" s="76" t="s">
        <v>47</v>
      </c>
      <c r="K23" s="76" t="s">
        <v>46</v>
      </c>
      <c r="L23" s="76" t="s">
        <v>47</v>
      </c>
      <c r="M23" s="76" t="s">
        <v>46</v>
      </c>
      <c r="N23" s="76" t="s">
        <v>47</v>
      </c>
      <c r="O23" s="76" t="s">
        <v>46</v>
      </c>
      <c r="P23" s="76" t="s">
        <v>47</v>
      </c>
      <c r="Q23" s="76" t="s">
        <v>46</v>
      </c>
      <c r="R23" s="76" t="s">
        <v>47</v>
      </c>
      <c r="S23" s="76" t="s">
        <v>46</v>
      </c>
      <c r="T23" s="76" t="s">
        <v>47</v>
      </c>
      <c r="U23" s="76" t="s">
        <v>46</v>
      </c>
      <c r="V23" s="76" t="s">
        <v>47</v>
      </c>
      <c r="W23" s="76" t="s">
        <v>46</v>
      </c>
      <c r="X23" s="76" t="s">
        <v>47</v>
      </c>
      <c r="Y23" s="76" t="s">
        <v>46</v>
      </c>
      <c r="Z23" s="76" t="s">
        <v>47</v>
      </c>
      <c r="AA23" s="76" t="s">
        <v>46</v>
      </c>
      <c r="AB23" s="76" t="s">
        <v>47</v>
      </c>
      <c r="AC23" s="76" t="s">
        <v>46</v>
      </c>
      <c r="AD23" s="76" t="s">
        <v>47</v>
      </c>
      <c r="AE23" s="76" t="s">
        <v>46</v>
      </c>
      <c r="AF23" s="76" t="s">
        <v>47</v>
      </c>
      <c r="AG23" s="76" t="s">
        <v>46</v>
      </c>
      <c r="AH23" s="76" t="s">
        <v>47</v>
      </c>
      <c r="AI23" s="76" t="s">
        <v>46</v>
      </c>
      <c r="AJ23" s="76" t="s">
        <v>47</v>
      </c>
      <c r="AK23" s="76" t="s">
        <v>46</v>
      </c>
      <c r="AL23" s="76" t="s">
        <v>47</v>
      </c>
      <c r="AM23" s="76" t="s">
        <v>46</v>
      </c>
      <c r="AN23" s="76" t="s">
        <v>47</v>
      </c>
    </row>
    <row r="24" spans="2:40" s="5" customFormat="1">
      <c r="B24" s="8" t="s">
        <v>89</v>
      </c>
      <c r="C24" s="300">
        <f>RAW_DATA_INPUTS!C50</f>
        <v>1831.0575870063851</v>
      </c>
      <c r="D24" s="300">
        <f>RAW_DATA_INPUTS!D50</f>
        <v>6360.2295568902382</v>
      </c>
      <c r="E24" s="300">
        <f>RAW_DATA_INPUTS!E50</f>
        <v>3585.3540044071283</v>
      </c>
      <c r="F24" s="300">
        <f>RAW_DATA_INPUTS!F50</f>
        <v>8394.4879630288942</v>
      </c>
      <c r="G24" s="300">
        <f>RAW_DATA_INPUTS!G50</f>
        <v>1737.3013379019462</v>
      </c>
      <c r="H24" s="300">
        <f>RAW_DATA_INPUTS!H50</f>
        <v>2306.8434010845654</v>
      </c>
      <c r="I24" s="300">
        <f>RAW_DATA_INPUTS!I50</f>
        <v>4332.0383550318666</v>
      </c>
      <c r="J24" s="300">
        <f>RAW_DATA_INPUTS!J50</f>
        <v>6278.8694425425228</v>
      </c>
      <c r="K24" s="300">
        <f>RAW_DATA_INPUTS!K50</f>
        <v>129.28509105887397</v>
      </c>
      <c r="L24" s="300">
        <f>RAW_DATA_INPUTS!L50</f>
        <v>176.77153439640753</v>
      </c>
      <c r="M24" s="300">
        <f>RAW_DATA_INPUTS!M50</f>
        <v>4177.3233906794067</v>
      </c>
      <c r="N24" s="300">
        <f>RAW_DATA_INPUTS!N50</f>
        <v>2826.7440078886066</v>
      </c>
      <c r="O24" s="300">
        <f>RAW_DATA_INPUTS!O50</f>
        <v>4198.3141046331775</v>
      </c>
      <c r="P24" s="300">
        <f>RAW_DATA_INPUTS!P50</f>
        <v>5548.3860986133568</v>
      </c>
      <c r="Q24" s="300">
        <f>RAW_DATA_INPUTS!Q50</f>
        <v>1100.5509123867062</v>
      </c>
      <c r="R24" s="300">
        <f>RAW_DATA_INPUTS!R50</f>
        <v>3714.2701243652145</v>
      </c>
      <c r="S24" s="300">
        <f>RAW_DATA_INPUTS!S50</f>
        <v>6199.1101138835011</v>
      </c>
      <c r="T24" s="300">
        <f>RAW_DATA_INPUTS!T50</f>
        <v>23471.39848631046</v>
      </c>
      <c r="U24" s="300">
        <f>RAW_DATA_INPUTS!U50</f>
        <v>199.78071304829831</v>
      </c>
      <c r="V24" s="300">
        <f>RAW_DATA_INPUTS!V50</f>
        <v>1798.4571856228583</v>
      </c>
      <c r="W24" s="300">
        <f>RAW_DATA_INPUTS!W50</f>
        <v>4637.5750423959253</v>
      </c>
      <c r="X24" s="300">
        <f>RAW_DATA_INPUTS!X50</f>
        <v>6035.0451001562524</v>
      </c>
      <c r="Y24" s="300">
        <f>RAW_DATA_INPUTS!Y50</f>
        <v>5012.1646366540344</v>
      </c>
      <c r="Z24" s="300">
        <f>RAW_DATA_INPUTS!Z50</f>
        <v>6344.3370991885904</v>
      </c>
      <c r="AA24" s="300">
        <f>RAW_DATA_INPUTS!AA50</f>
        <v>14096.167938966257</v>
      </c>
      <c r="AB24" s="300">
        <f>RAW_DATA_INPUTS!AB50</f>
        <v>16311.328621354438</v>
      </c>
      <c r="AC24" s="300">
        <f>RAW_DATA_INPUTS!AC50</f>
        <v>2727.7156035215648</v>
      </c>
      <c r="AD24" s="300">
        <f>RAW_DATA_INPUTS!AD50</f>
        <v>12097.786247064096</v>
      </c>
      <c r="AE24" s="300">
        <f>RAW_DATA_INPUTS!AE50</f>
        <v>2161.096128646454</v>
      </c>
      <c r="AF24" s="300">
        <f>RAW_DATA_INPUTS!AF50</f>
        <v>2850.728624623102</v>
      </c>
      <c r="AG24" s="300">
        <f>RAW_DATA_INPUTS!AG50</f>
        <v>4771.8742537653734</v>
      </c>
      <c r="AH24" s="300">
        <f>RAW_DATA_INPUTS!AH50</f>
        <v>9107.9000233383231</v>
      </c>
      <c r="AI24" s="300">
        <f>RAW_DATA_INPUTS!AI50</f>
        <v>8731.2915200372008</v>
      </c>
      <c r="AJ24" s="300">
        <f>RAW_DATA_INPUTS!AJ50</f>
        <v>7964.7415886362551</v>
      </c>
      <c r="AK24" s="300">
        <f>RAW_DATA_INPUTS!AK50</f>
        <v>6587.6919410603441</v>
      </c>
      <c r="AL24" s="300">
        <f>RAW_DATA_INPUTS!AL50</f>
        <v>3785.3605026257333</v>
      </c>
      <c r="AM24" s="300">
        <f>RAW_DATA_INPUTS!AM50</f>
        <v>2263.5217116082654</v>
      </c>
      <c r="AN24" s="300">
        <f>RAW_DATA_INPUTS!AN50</f>
        <v>5051.1210093438867</v>
      </c>
    </row>
    <row r="25" spans="2:40" s="13" customFormat="1">
      <c r="B25" s="14" t="s">
        <v>90</v>
      </c>
      <c r="C25" s="300">
        <f>RAW_DATA_INPUTS!C66</f>
        <v>109.21564047484347</v>
      </c>
      <c r="D25" s="300">
        <f>RAW_DATA_INPUTS!D66</f>
        <v>376.41419926358429</v>
      </c>
      <c r="E25" s="300">
        <f>RAW_DATA_INPUTS!E66</f>
        <v>193.33272804318383</v>
      </c>
      <c r="F25" s="300">
        <f>RAW_DATA_INPUTS!F66</f>
        <v>436.81360800747512</v>
      </c>
      <c r="G25" s="300">
        <f>RAW_DATA_INPUTS!G66</f>
        <v>151.13891387103831</v>
      </c>
      <c r="H25" s="300">
        <f>RAW_DATA_INPUTS!H66</f>
        <v>256.60571242927864</v>
      </c>
      <c r="I25" s="300">
        <f>RAW_DATA_INPUTS!I66</f>
        <v>187.16919606621744</v>
      </c>
      <c r="J25" s="300">
        <f>RAW_DATA_INPUTS!J66</f>
        <v>335.12361087377911</v>
      </c>
      <c r="K25" s="300">
        <f>RAW_DATA_INPUTS!K66</f>
        <v>5</v>
      </c>
      <c r="L25" s="300">
        <f>RAW_DATA_INPUTS!L66</f>
        <v>17.078124453370222</v>
      </c>
      <c r="M25" s="300">
        <f>RAW_DATA_INPUTS!M66</f>
        <v>199.39167179374388</v>
      </c>
      <c r="N25" s="300">
        <f>RAW_DATA_INPUTS!N66</f>
        <v>210.89295851089744</v>
      </c>
      <c r="O25" s="300">
        <f>RAW_DATA_INPUTS!O66</f>
        <v>386.66855773021882</v>
      </c>
      <c r="P25" s="300">
        <f>RAW_DATA_INPUTS!P66</f>
        <v>371.0629209557452</v>
      </c>
      <c r="Q25" s="300">
        <f>RAW_DATA_INPUTS!Q66</f>
        <v>121.72294766523227</v>
      </c>
      <c r="R25" s="300">
        <f>RAW_DATA_INPUTS!R66</f>
        <v>346.44254276942416</v>
      </c>
      <c r="S25" s="300">
        <f>RAW_DATA_INPUTS!S66</f>
        <v>654.8110372192823</v>
      </c>
      <c r="T25" s="300">
        <f>RAW_DATA_INPUTS!T66</f>
        <v>2198.6789701145112</v>
      </c>
      <c r="U25" s="300">
        <f>RAW_DATA_INPUTS!U66</f>
        <v>42.161436417446048</v>
      </c>
      <c r="V25" s="300">
        <f>RAW_DATA_INPUTS!V66</f>
        <v>180.09600285680307</v>
      </c>
      <c r="W25" s="300">
        <f>RAW_DATA_INPUTS!W66</f>
        <v>230.38105796099572</v>
      </c>
      <c r="X25" s="300">
        <f>RAW_DATA_INPUTS!X66</f>
        <v>350.645172970337</v>
      </c>
      <c r="Y25" s="300">
        <f>RAW_DATA_INPUTS!Y66</f>
        <v>314.4147984450359</v>
      </c>
      <c r="Z25" s="300">
        <f>RAW_DATA_INPUTS!Z66</f>
        <v>330.0967439731856</v>
      </c>
      <c r="AA25" s="300">
        <f>RAW_DATA_INPUTS!AA66</f>
        <v>853.79311104382452</v>
      </c>
      <c r="AB25" s="300">
        <f>RAW_DATA_INPUTS!AB66</f>
        <v>1256.7530795385062</v>
      </c>
      <c r="AC25" s="300">
        <f>RAW_DATA_INPUTS!AC66</f>
        <v>115.39871417031267</v>
      </c>
      <c r="AD25" s="300">
        <f>RAW_DATA_INPUTS!AD66</f>
        <v>485.87333628869709</v>
      </c>
      <c r="AE25" s="300">
        <f>RAW_DATA_INPUTS!AE66</f>
        <v>169.31152365017195</v>
      </c>
      <c r="AF25" s="300">
        <f>RAW_DATA_INPUTS!AF66</f>
        <v>108.07438077125242</v>
      </c>
      <c r="AG25" s="300">
        <f>RAW_DATA_INPUTS!AG66</f>
        <v>580.76633411506828</v>
      </c>
      <c r="AH25" s="300">
        <f>RAW_DATA_INPUTS!AH66</f>
        <v>1646.3273045270034</v>
      </c>
      <c r="AI25" s="300">
        <f>RAW_DATA_INPUTS!AI66</f>
        <v>406.53511035373674</v>
      </c>
      <c r="AJ25" s="300">
        <f>RAW_DATA_INPUTS!AJ66</f>
        <v>299.60509579949326</v>
      </c>
      <c r="AK25" s="300">
        <f>RAW_DATA_INPUTS!AK66</f>
        <v>265.33280014243428</v>
      </c>
      <c r="AL25" s="300">
        <f>RAW_DATA_INPUTS!AL66</f>
        <v>190.04394169277276</v>
      </c>
      <c r="AM25" s="300">
        <f>RAW_DATA_INPUTS!AM66</f>
        <v>170.22644734653588</v>
      </c>
      <c r="AN25" s="300">
        <f>RAW_DATA_INPUTS!AN66</f>
        <v>298.09066697131169</v>
      </c>
    </row>
    <row r="26" spans="2:40" s="2" customFormat="1">
      <c r="B26" s="122"/>
      <c r="C26" s="145"/>
      <c r="D26" s="145"/>
      <c r="E26" s="145"/>
      <c r="F26" s="145"/>
      <c r="G26" s="145"/>
      <c r="H26" s="145"/>
      <c r="I26" s="145"/>
      <c r="J26" s="145"/>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row>
    <row r="27" spans="2:40" s="2" customFormat="1" ht="15.75">
      <c r="B27" s="77" t="s">
        <v>100</v>
      </c>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row>
    <row r="28" spans="2:40" s="2" customFormat="1">
      <c r="B28" s="122"/>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row>
    <row r="30" spans="2:40" s="151" customFormat="1" ht="50.25" customHeight="1">
      <c r="B30" s="150"/>
      <c r="C30" s="149" t="str">
        <f>RAW_DATA_INPUTS!C38:D38</f>
        <v>Art &amp; Design</v>
      </c>
      <c r="D30" s="149" t="str">
        <f>RAW_DATA_INPUTS!E38</f>
        <v>Biology</v>
      </c>
      <c r="E30" s="149" t="str">
        <f>RAW_DATA_INPUTS!G38</f>
        <v>Business Studies</v>
      </c>
      <c r="F30" s="149" t="str">
        <f>RAW_DATA_INPUTS!I38</f>
        <v>Chemistry</v>
      </c>
      <c r="G30" s="149" t="str">
        <f>RAW_DATA_INPUTS!K38</f>
        <v>Classics</v>
      </c>
      <c r="H30" s="149" t="str">
        <f>RAW_DATA_INPUTS!M38</f>
        <v>Computing</v>
      </c>
      <c r="I30" s="149" t="str">
        <f>RAW_DATA_INPUTS!O38</f>
        <v>Design &amp; Technology</v>
      </c>
      <c r="J30" s="149" t="str">
        <f>RAW_DATA_INPUTS!Q38</f>
        <v>Drama</v>
      </c>
      <c r="K30" s="149" t="str">
        <f>RAW_DATA_INPUTS!S38</f>
        <v>English</v>
      </c>
      <c r="L30" s="149" t="str">
        <f>RAW_DATA_INPUTS!U38</f>
        <v>Food</v>
      </c>
      <c r="M30" s="149" t="str">
        <f>RAW_DATA_INPUTS!W38</f>
        <v>Geography</v>
      </c>
      <c r="N30" s="149" t="str">
        <f>RAW_DATA_INPUTS!Y38</f>
        <v>History</v>
      </c>
      <c r="O30" s="149" t="str">
        <f>RAW_DATA_INPUTS!AA38</f>
        <v>Mathematics</v>
      </c>
      <c r="P30" s="149" t="str">
        <f>RAW_DATA_INPUTS!AC38</f>
        <v>Modern Foreign Languages</v>
      </c>
      <c r="Q30" s="149" t="str">
        <f>RAW_DATA_INPUTS!AE38</f>
        <v>Music</v>
      </c>
      <c r="R30" s="149" t="str">
        <f>RAW_DATA_INPUTS!AG38</f>
        <v>Others</v>
      </c>
      <c r="S30" s="149" t="str">
        <f>RAW_DATA_INPUTS!AI38</f>
        <v>Physical Education</v>
      </c>
      <c r="T30" s="149" t="str">
        <f>RAW_DATA_INPUTS!AK38</f>
        <v>Physics</v>
      </c>
      <c r="U30" s="149" t="str">
        <f>RAW_DATA_INPUTS!AM38</f>
        <v>Religious Education</v>
      </c>
    </row>
    <row r="31" spans="2:40" s="500" customFormat="1" ht="12.75" customHeight="1">
      <c r="B31" s="149" t="s">
        <v>92</v>
      </c>
      <c r="C31" s="499">
        <f>RAW_DATA_INPUTS!$D$389</f>
        <v>0.93100000000000005</v>
      </c>
      <c r="D31" s="499">
        <f>RAW_DATA_INPUTS!$D$389</f>
        <v>0.93100000000000005</v>
      </c>
      <c r="E31" s="499">
        <f>RAW_DATA_INPUTS!$D$389</f>
        <v>0.93100000000000005</v>
      </c>
      <c r="F31" s="499">
        <f>RAW_DATA_INPUTS!$D$389</f>
        <v>0.93100000000000005</v>
      </c>
      <c r="G31" s="499">
        <f>RAW_DATA_INPUTS!$D$389</f>
        <v>0.93100000000000005</v>
      </c>
      <c r="H31" s="499">
        <f>RAW_DATA_INPUTS!$D$389</f>
        <v>0.93100000000000005</v>
      </c>
      <c r="I31" s="499">
        <f>RAW_DATA_INPUTS!$D$389</f>
        <v>0.93100000000000005</v>
      </c>
      <c r="J31" s="499">
        <f>RAW_DATA_INPUTS!$D$389</f>
        <v>0.93100000000000005</v>
      </c>
      <c r="K31" s="499">
        <f>RAW_DATA_INPUTS!$D$389</f>
        <v>0.93100000000000005</v>
      </c>
      <c r="L31" s="499">
        <f>RAW_DATA_INPUTS!$D$389</f>
        <v>0.93100000000000005</v>
      </c>
      <c r="M31" s="499">
        <f>RAW_DATA_INPUTS!$D$389</f>
        <v>0.93100000000000005</v>
      </c>
      <c r="N31" s="499">
        <f>RAW_DATA_INPUTS!$D$389</f>
        <v>0.93100000000000005</v>
      </c>
      <c r="O31" s="499">
        <f>RAW_DATA_INPUTS!$D$389</f>
        <v>0.93100000000000005</v>
      </c>
      <c r="P31" s="499">
        <f>RAW_DATA_INPUTS!$D$389</f>
        <v>0.93100000000000005</v>
      </c>
      <c r="Q31" s="499">
        <f>RAW_DATA_INPUTS!$D$389</f>
        <v>0.93100000000000005</v>
      </c>
      <c r="R31" s="499">
        <f>RAW_DATA_INPUTS!$D$389</f>
        <v>0.93100000000000005</v>
      </c>
      <c r="S31" s="499">
        <f>RAW_DATA_INPUTS!$D$389</f>
        <v>0.93100000000000005</v>
      </c>
      <c r="T31" s="499">
        <f>RAW_DATA_INPUTS!$D$389</f>
        <v>0.93100000000000005</v>
      </c>
      <c r="U31" s="499">
        <f>RAW_DATA_INPUTS!$D$389</f>
        <v>0.93100000000000005</v>
      </c>
    </row>
    <row r="32" spans="2:40" s="500" customFormat="1">
      <c r="B32" s="149" t="s">
        <v>91</v>
      </c>
      <c r="C32" s="501">
        <f>C24+D24</f>
        <v>8191.2871438966231</v>
      </c>
      <c r="D32" s="501">
        <f>E24+F24</f>
        <v>11979.841967436023</v>
      </c>
      <c r="E32" s="501">
        <f>G24+H24</f>
        <v>4044.1447389865116</v>
      </c>
      <c r="F32" s="501">
        <f>I24+J24</f>
        <v>10610.907797574389</v>
      </c>
      <c r="G32" s="501">
        <f>K24+L24</f>
        <v>306.05662545528151</v>
      </c>
      <c r="H32" s="501">
        <f>M24+N24</f>
        <v>7004.0673985680132</v>
      </c>
      <c r="I32" s="501">
        <f>O24+P24</f>
        <v>9746.7002032465352</v>
      </c>
      <c r="J32" s="501">
        <f>Q24+R24</f>
        <v>4814.8210367519205</v>
      </c>
      <c r="K32" s="501">
        <f>S24+T24</f>
        <v>29670.50860019396</v>
      </c>
      <c r="L32" s="501">
        <f>U24+V24</f>
        <v>1998.2378986711567</v>
      </c>
      <c r="M32" s="501">
        <f>X24+W24</f>
        <v>10672.620142552178</v>
      </c>
      <c r="N32" s="501">
        <f>Y24+Z24</f>
        <v>11356.501735842625</v>
      </c>
      <c r="O32" s="501">
        <f>AB24+AA24</f>
        <v>30407.496560320695</v>
      </c>
      <c r="P32" s="501">
        <f>AC24+AD24</f>
        <v>14825.501850585661</v>
      </c>
      <c r="Q32" s="501">
        <f>AF24+AE24</f>
        <v>5011.8247532695559</v>
      </c>
      <c r="R32" s="501">
        <f>AG24+AH24</f>
        <v>13879.774277103697</v>
      </c>
      <c r="S32" s="501">
        <f>AJ24+AI24</f>
        <v>16696.033108673455</v>
      </c>
      <c r="T32" s="501">
        <f>AK24+AL24</f>
        <v>10373.052443686078</v>
      </c>
      <c r="U32" s="501">
        <f>AN24+AM24</f>
        <v>7314.6427209521516</v>
      </c>
    </row>
    <row r="33" spans="1:21" s="500" customFormat="1" ht="25.5">
      <c r="B33" s="149" t="s">
        <v>96</v>
      </c>
      <c r="C33" s="501">
        <f>C25+D25</f>
        <v>485.62983973842779</v>
      </c>
      <c r="D33" s="501">
        <f>E25+F25</f>
        <v>630.14633605065899</v>
      </c>
      <c r="E33" s="501">
        <f>G25+H25</f>
        <v>407.74462630031695</v>
      </c>
      <c r="F33" s="501">
        <f>I25+J25</f>
        <v>522.29280693999658</v>
      </c>
      <c r="G33" s="501">
        <f>K25+L25</f>
        <v>22.078124453370222</v>
      </c>
      <c r="H33" s="501">
        <f>M25+N25</f>
        <v>410.28463030464133</v>
      </c>
      <c r="I33" s="501">
        <f>O25+P25</f>
        <v>757.73147868596402</v>
      </c>
      <c r="J33" s="501">
        <f>Q25+R25</f>
        <v>468.16549043465642</v>
      </c>
      <c r="K33" s="501">
        <f>S25+T25</f>
        <v>2853.4900073337935</v>
      </c>
      <c r="L33" s="501">
        <f>U25+V25</f>
        <v>222.25743927424912</v>
      </c>
      <c r="M33" s="501">
        <f>X25+W25</f>
        <v>581.02623093133275</v>
      </c>
      <c r="N33" s="501">
        <f>Y25+Z25</f>
        <v>644.51154241822155</v>
      </c>
      <c r="O33" s="501">
        <f>AB25+AA25</f>
        <v>2110.5461905823308</v>
      </c>
      <c r="P33" s="501">
        <f>AC25+AD25</f>
        <v>601.27205045900973</v>
      </c>
      <c r="Q33" s="501">
        <f>AF25+AE25</f>
        <v>277.38590442142436</v>
      </c>
      <c r="R33" s="501">
        <f>AG25+AH25</f>
        <v>2227.0936386420717</v>
      </c>
      <c r="S33" s="501">
        <f>AJ25+AI25</f>
        <v>706.14020615323</v>
      </c>
      <c r="T33" s="501">
        <f>AK25+AL25</f>
        <v>455.37674183520704</v>
      </c>
      <c r="U33" s="501">
        <f>AN25+AM25</f>
        <v>468.31711431784754</v>
      </c>
    </row>
    <row r="34" spans="1:21" s="500" customFormat="1" ht="25.5">
      <c r="B34" s="149" t="s">
        <v>93</v>
      </c>
      <c r="C34" s="501">
        <f>C32*C31</f>
        <v>7626.0883309677565</v>
      </c>
      <c r="D34" s="501">
        <f t="shared" ref="D34:U34" si="0">D32*D31</f>
        <v>11153.232871682938</v>
      </c>
      <c r="E34" s="501">
        <f t="shared" si="0"/>
        <v>3765.0987519964424</v>
      </c>
      <c r="F34" s="501">
        <f t="shared" si="0"/>
        <v>9878.7551595417572</v>
      </c>
      <c r="G34" s="501">
        <f t="shared" si="0"/>
        <v>284.93871829886712</v>
      </c>
      <c r="H34" s="501">
        <f t="shared" si="0"/>
        <v>6520.786748066821</v>
      </c>
      <c r="I34" s="501">
        <f t="shared" si="0"/>
        <v>9074.1778892225248</v>
      </c>
      <c r="J34" s="501">
        <f t="shared" si="0"/>
        <v>4482.598385216038</v>
      </c>
      <c r="K34" s="501">
        <f t="shared" si="0"/>
        <v>27623.243506780578</v>
      </c>
      <c r="L34" s="501">
        <f t="shared" si="0"/>
        <v>1860.359483662847</v>
      </c>
      <c r="M34" s="501">
        <f t="shared" si="0"/>
        <v>9936.2093527160778</v>
      </c>
      <c r="N34" s="501">
        <f t="shared" si="0"/>
        <v>10572.903116069485</v>
      </c>
      <c r="O34" s="501">
        <f t="shared" si="0"/>
        <v>28309.379297658568</v>
      </c>
      <c r="P34" s="501">
        <f t="shared" si="0"/>
        <v>13802.54222289525</v>
      </c>
      <c r="Q34" s="501">
        <f t="shared" si="0"/>
        <v>4666.0088452939572</v>
      </c>
      <c r="R34" s="501">
        <f t="shared" si="0"/>
        <v>12922.069851983542</v>
      </c>
      <c r="S34" s="501">
        <f t="shared" si="0"/>
        <v>15544.006824174987</v>
      </c>
      <c r="T34" s="501">
        <f t="shared" si="0"/>
        <v>9657.3118250717398</v>
      </c>
      <c r="U34" s="501">
        <f t="shared" si="0"/>
        <v>6809.9323732064531</v>
      </c>
    </row>
    <row r="35" spans="1:21" s="500" customFormat="1" ht="25.5">
      <c r="B35" s="149" t="s">
        <v>97</v>
      </c>
      <c r="C35" s="501">
        <f>C33*C31</f>
        <v>452.12138079647627</v>
      </c>
      <c r="D35" s="501">
        <f t="shared" ref="D35:U35" si="1">D33*D31</f>
        <v>586.66623886316358</v>
      </c>
      <c r="E35" s="501">
        <f t="shared" si="1"/>
        <v>379.61024708559512</v>
      </c>
      <c r="F35" s="501">
        <f t="shared" si="1"/>
        <v>486.25460326113682</v>
      </c>
      <c r="G35" s="501">
        <f t="shared" si="1"/>
        <v>20.554733866087677</v>
      </c>
      <c r="H35" s="501">
        <f t="shared" si="1"/>
        <v>381.9749908136211</v>
      </c>
      <c r="I35" s="501">
        <f t="shared" si="1"/>
        <v>705.44800665663251</v>
      </c>
      <c r="J35" s="501">
        <f t="shared" si="1"/>
        <v>435.86207159466517</v>
      </c>
      <c r="K35" s="501">
        <f t="shared" si="1"/>
        <v>2656.5991968277617</v>
      </c>
      <c r="L35" s="501">
        <f t="shared" si="1"/>
        <v>206.92167596432594</v>
      </c>
      <c r="M35" s="501">
        <f t="shared" si="1"/>
        <v>540.93542099707076</v>
      </c>
      <c r="N35" s="501">
        <f t="shared" si="1"/>
        <v>600.04024599136426</v>
      </c>
      <c r="O35" s="501">
        <f t="shared" si="1"/>
        <v>1964.9185034321501</v>
      </c>
      <c r="P35" s="501">
        <f t="shared" si="1"/>
        <v>559.78427897733809</v>
      </c>
      <c r="Q35" s="501">
        <f t="shared" si="1"/>
        <v>258.24627701634608</v>
      </c>
      <c r="R35" s="501">
        <f t="shared" si="1"/>
        <v>2073.4241775757687</v>
      </c>
      <c r="S35" s="501">
        <f t="shared" si="1"/>
        <v>657.41653192865715</v>
      </c>
      <c r="T35" s="501">
        <f t="shared" si="1"/>
        <v>423.95574664857776</v>
      </c>
      <c r="U35" s="501">
        <f t="shared" si="1"/>
        <v>436.00323342991607</v>
      </c>
    </row>
    <row r="36" spans="1:21" s="500" customFormat="1">
      <c r="B36" s="149" t="s">
        <v>105</v>
      </c>
      <c r="C36" s="502">
        <f>C35/(C34+C35)</f>
        <v>5.5968017287055014E-2</v>
      </c>
      <c r="D36" s="502">
        <f t="shared" ref="D36:U36" si="2">D35/(D34+D35)</f>
        <v>4.9972000043522848E-2</v>
      </c>
      <c r="E36" s="502">
        <f t="shared" si="2"/>
        <v>9.1589119325306181E-2</v>
      </c>
      <c r="F36" s="502">
        <f t="shared" si="2"/>
        <v>4.6913086855563599E-2</v>
      </c>
      <c r="G36" s="502">
        <f t="shared" si="2"/>
        <v>6.7283713351043953E-2</v>
      </c>
      <c r="H36" s="502">
        <f t="shared" si="2"/>
        <v>5.5336545757057175E-2</v>
      </c>
      <c r="I36" s="502">
        <f t="shared" si="2"/>
        <v>7.213445730617235E-2</v>
      </c>
      <c r="J36" s="502">
        <f t="shared" si="2"/>
        <v>8.8617581745750768E-2</v>
      </c>
      <c r="K36" s="502">
        <f t="shared" si="2"/>
        <v>8.773490743765272E-2</v>
      </c>
      <c r="L36" s="502">
        <f t="shared" si="2"/>
        <v>0.10009363022572292</v>
      </c>
      <c r="M36" s="502">
        <f t="shared" si="2"/>
        <v>5.1630041645913109E-2</v>
      </c>
      <c r="N36" s="502">
        <f t="shared" si="2"/>
        <v>5.3704760379335428E-2</v>
      </c>
      <c r="O36" s="502">
        <f t="shared" si="2"/>
        <v>6.49038506637587E-2</v>
      </c>
      <c r="P36" s="502">
        <f t="shared" si="2"/>
        <v>3.8975877543540892E-2</v>
      </c>
      <c r="Q36" s="502">
        <f t="shared" si="2"/>
        <v>5.2443724096728997E-2</v>
      </c>
      <c r="R36" s="502">
        <f t="shared" si="2"/>
        <v>0.13826981448484513</v>
      </c>
      <c r="S36" s="502">
        <f t="shared" si="2"/>
        <v>4.057770218571477E-2</v>
      </c>
      <c r="T36" s="502">
        <f t="shared" si="2"/>
        <v>4.205381353410817E-2</v>
      </c>
      <c r="U36" s="502">
        <f t="shared" si="2"/>
        <v>6.0172109869509709E-2</v>
      </c>
    </row>
    <row r="38" spans="1:21">
      <c r="A38" s="302">
        <f>F38</f>
        <v>0</v>
      </c>
      <c r="B38" s="152" t="s">
        <v>94</v>
      </c>
      <c r="E38" s="308">
        <f>SUM(C34:U34)</f>
        <v>194489.64355450662</v>
      </c>
      <c r="F38" s="302">
        <f>SUM(C24:AN24)-SUM(C32:U32)</f>
        <v>0</v>
      </c>
    </row>
    <row r="39" spans="1:21">
      <c r="A39" s="302">
        <f>F39</f>
        <v>0</v>
      </c>
      <c r="B39" s="152" t="s">
        <v>95</v>
      </c>
      <c r="E39" s="308">
        <f>SUM(C35:U35)</f>
        <v>13826.737561726655</v>
      </c>
      <c r="F39" s="302">
        <f>SUM(C25:AN25)-SUM(C33:U33)</f>
        <v>0</v>
      </c>
    </row>
    <row r="41" spans="1:21" ht="15.75">
      <c r="B41" s="77" t="s">
        <v>168</v>
      </c>
    </row>
    <row r="43" spans="1:21" ht="51">
      <c r="B43" s="149" t="s">
        <v>59</v>
      </c>
      <c r="C43" s="149" t="s">
        <v>88</v>
      </c>
      <c r="D43" s="149" t="s">
        <v>105</v>
      </c>
      <c r="E43" s="165" t="s">
        <v>169</v>
      </c>
      <c r="G43" s="1205" t="str">
        <f t="shared" ref="G43:G62" si="3">B43</f>
        <v>Subject</v>
      </c>
      <c r="H43" s="1205"/>
      <c r="I43" s="149" t="str">
        <f>D43</f>
        <v>Unqualified teacher rate</v>
      </c>
    </row>
    <row r="44" spans="1:21">
      <c r="B44" s="149" t="str">
        <f>Teacher_need_by_subject!B573</f>
        <v>Art &amp; Design</v>
      </c>
      <c r="C44" s="502">
        <f>C31</f>
        <v>0.93100000000000005</v>
      </c>
      <c r="D44" s="502">
        <f>C36</f>
        <v>5.5968017287055014E-2</v>
      </c>
      <c r="E44" s="450">
        <f>C24+D24</f>
        <v>8191.2871438966231</v>
      </c>
      <c r="F44" s="476"/>
      <c r="G44" s="1171" t="str">
        <f t="shared" si="3"/>
        <v>Art &amp; Design</v>
      </c>
      <c r="H44" s="1171"/>
      <c r="I44" s="479">
        <f>D44</f>
        <v>5.5968017287055014E-2</v>
      </c>
      <c r="J44" s="302">
        <f>C33</f>
        <v>485.62983973842779</v>
      </c>
    </row>
    <row r="45" spans="1:21">
      <c r="B45" s="149" t="str">
        <f>Teacher_need_by_subject!B574</f>
        <v>Biology</v>
      </c>
      <c r="C45" s="502">
        <f>D31</f>
        <v>0.93100000000000005</v>
      </c>
      <c r="D45" s="502">
        <f>D36</f>
        <v>4.9972000043522848E-2</v>
      </c>
      <c r="E45" s="450">
        <f>E24+F24</f>
        <v>11979.841967436023</v>
      </c>
      <c r="F45" s="476"/>
      <c r="G45" s="1171" t="str">
        <f t="shared" si="3"/>
        <v>Biology</v>
      </c>
      <c r="H45" s="1171"/>
      <c r="I45" s="479">
        <f t="shared" ref="I45:I62" si="4">D45</f>
        <v>4.9972000043522848E-2</v>
      </c>
      <c r="J45" s="302">
        <f>D33</f>
        <v>630.14633605065899</v>
      </c>
    </row>
    <row r="46" spans="1:21">
      <c r="B46" s="149" t="str">
        <f>Teacher_need_by_subject!B575</f>
        <v>Business Studies</v>
      </c>
      <c r="C46" s="502">
        <f>E31</f>
        <v>0.93100000000000005</v>
      </c>
      <c r="D46" s="502">
        <f>E36</f>
        <v>9.1589119325306181E-2</v>
      </c>
      <c r="E46" s="450">
        <f>G24+H24</f>
        <v>4044.1447389865116</v>
      </c>
      <c r="F46" s="476"/>
      <c r="G46" s="1171" t="str">
        <f t="shared" si="3"/>
        <v>Business Studies</v>
      </c>
      <c r="H46" s="1171"/>
      <c r="I46" s="479">
        <f t="shared" si="4"/>
        <v>9.1589119325306181E-2</v>
      </c>
      <c r="J46" s="302">
        <f>E33</f>
        <v>407.74462630031695</v>
      </c>
    </row>
    <row r="47" spans="1:21">
      <c r="B47" s="149" t="str">
        <f>Teacher_need_by_subject!B576</f>
        <v>Chemistry</v>
      </c>
      <c r="C47" s="502">
        <f>F31</f>
        <v>0.93100000000000005</v>
      </c>
      <c r="D47" s="502">
        <f>F36</f>
        <v>4.6913086855563599E-2</v>
      </c>
      <c r="E47" s="450">
        <f>I24+J24</f>
        <v>10610.907797574389</v>
      </c>
      <c r="F47" s="207"/>
      <c r="G47" s="1171" t="str">
        <f t="shared" si="3"/>
        <v>Chemistry</v>
      </c>
      <c r="H47" s="1171"/>
      <c r="I47" s="479">
        <f t="shared" si="4"/>
        <v>4.6913086855563599E-2</v>
      </c>
      <c r="J47" s="302">
        <f>F33</f>
        <v>522.29280693999658</v>
      </c>
    </row>
    <row r="48" spans="1:21">
      <c r="B48" s="149" t="str">
        <f>Teacher_need_by_subject!B577</f>
        <v>Classics</v>
      </c>
      <c r="C48" s="502">
        <f>G31</f>
        <v>0.93100000000000005</v>
      </c>
      <c r="D48" s="502">
        <f>G36</f>
        <v>6.7283713351043953E-2</v>
      </c>
      <c r="E48" s="450">
        <f>K24+L24</f>
        <v>306.05662545528151</v>
      </c>
      <c r="F48" s="476"/>
      <c r="G48" s="1171" t="str">
        <f t="shared" si="3"/>
        <v>Classics</v>
      </c>
      <c r="H48" s="1171"/>
      <c r="I48" s="479">
        <f t="shared" si="4"/>
        <v>6.7283713351043953E-2</v>
      </c>
      <c r="J48" s="302">
        <f>G33</f>
        <v>22.078124453370222</v>
      </c>
    </row>
    <row r="49" spans="2:10">
      <c r="B49" s="149" t="str">
        <f>Teacher_need_by_subject!B578</f>
        <v>Computing</v>
      </c>
      <c r="C49" s="502">
        <f>H31</f>
        <v>0.93100000000000005</v>
      </c>
      <c r="D49" s="502">
        <f>H36</f>
        <v>5.5336545757057175E-2</v>
      </c>
      <c r="E49" s="450">
        <f>M24+N24</f>
        <v>7004.0673985680132</v>
      </c>
      <c r="F49" s="476"/>
      <c r="G49" s="1171" t="str">
        <f t="shared" si="3"/>
        <v>Computing</v>
      </c>
      <c r="H49" s="1171"/>
      <c r="I49" s="479">
        <f t="shared" si="4"/>
        <v>5.5336545757057175E-2</v>
      </c>
      <c r="J49" s="302">
        <f>H33</f>
        <v>410.28463030464133</v>
      </c>
    </row>
    <row r="50" spans="2:10">
      <c r="B50" s="149" t="str">
        <f>Teacher_need_by_subject!B579</f>
        <v>Design &amp; Technology</v>
      </c>
      <c r="C50" s="502">
        <f>I31</f>
        <v>0.93100000000000005</v>
      </c>
      <c r="D50" s="502">
        <f>I36</f>
        <v>7.213445730617235E-2</v>
      </c>
      <c r="E50" s="450">
        <f>O24+P24</f>
        <v>9746.7002032465352</v>
      </c>
      <c r="F50" s="476"/>
      <c r="G50" s="1171" t="str">
        <f t="shared" si="3"/>
        <v>Design &amp; Technology</v>
      </c>
      <c r="H50" s="1171"/>
      <c r="I50" s="479">
        <f t="shared" si="4"/>
        <v>7.213445730617235E-2</v>
      </c>
      <c r="J50" s="302">
        <f>I33</f>
        <v>757.73147868596402</v>
      </c>
    </row>
    <row r="51" spans="2:10">
      <c r="B51" s="149" t="str">
        <f>Teacher_need_by_subject!B580</f>
        <v>Drama</v>
      </c>
      <c r="C51" s="502">
        <f>J31</f>
        <v>0.93100000000000005</v>
      </c>
      <c r="D51" s="502">
        <f>J36</f>
        <v>8.8617581745750768E-2</v>
      </c>
      <c r="E51" s="450">
        <f>Q24+R24</f>
        <v>4814.8210367519205</v>
      </c>
      <c r="F51" s="476"/>
      <c r="G51" s="1171" t="str">
        <f t="shared" si="3"/>
        <v>Drama</v>
      </c>
      <c r="H51" s="1171"/>
      <c r="I51" s="479">
        <f t="shared" si="4"/>
        <v>8.8617581745750768E-2</v>
      </c>
      <c r="J51" s="302">
        <f>J33</f>
        <v>468.16549043465642</v>
      </c>
    </row>
    <row r="52" spans="2:10">
      <c r="B52" s="149" t="str">
        <f>Teacher_need_by_subject!B581</f>
        <v>English</v>
      </c>
      <c r="C52" s="502">
        <f>K31</f>
        <v>0.93100000000000005</v>
      </c>
      <c r="D52" s="502">
        <f>K36</f>
        <v>8.773490743765272E-2</v>
      </c>
      <c r="E52" s="450">
        <f>S24+T24</f>
        <v>29670.50860019396</v>
      </c>
      <c r="F52" s="476"/>
      <c r="G52" s="1171" t="str">
        <f t="shared" si="3"/>
        <v>English</v>
      </c>
      <c r="H52" s="1171"/>
      <c r="I52" s="479">
        <f t="shared" si="4"/>
        <v>8.773490743765272E-2</v>
      </c>
      <c r="J52" s="302">
        <f>K33</f>
        <v>2853.4900073337935</v>
      </c>
    </row>
    <row r="53" spans="2:10">
      <c r="B53" s="149" t="str">
        <f>Teacher_need_by_subject!B582</f>
        <v>Food</v>
      </c>
      <c r="C53" s="502">
        <f>L31</f>
        <v>0.93100000000000005</v>
      </c>
      <c r="D53" s="502">
        <f>L36</f>
        <v>0.10009363022572292</v>
      </c>
      <c r="E53" s="450">
        <f>U24+V24</f>
        <v>1998.2378986711567</v>
      </c>
      <c r="F53" s="476"/>
      <c r="G53" s="1171" t="str">
        <f t="shared" si="3"/>
        <v>Food</v>
      </c>
      <c r="H53" s="1171"/>
      <c r="I53" s="479">
        <f t="shared" si="4"/>
        <v>0.10009363022572292</v>
      </c>
      <c r="J53" s="302">
        <f>L33</f>
        <v>222.25743927424912</v>
      </c>
    </row>
    <row r="54" spans="2:10">
      <c r="B54" s="149" t="str">
        <f>Teacher_need_by_subject!B583</f>
        <v>Geography</v>
      </c>
      <c r="C54" s="502">
        <f>M31</f>
        <v>0.93100000000000005</v>
      </c>
      <c r="D54" s="502">
        <f>M36</f>
        <v>5.1630041645913109E-2</v>
      </c>
      <c r="E54" s="450">
        <f>W24+X24</f>
        <v>10672.620142552178</v>
      </c>
      <c r="F54" s="476"/>
      <c r="G54" s="1171" t="str">
        <f t="shared" si="3"/>
        <v>Geography</v>
      </c>
      <c r="H54" s="1171"/>
      <c r="I54" s="479">
        <f t="shared" si="4"/>
        <v>5.1630041645913109E-2</v>
      </c>
      <c r="J54" s="302">
        <f>M33</f>
        <v>581.02623093133275</v>
      </c>
    </row>
    <row r="55" spans="2:10">
      <c r="B55" s="149" t="str">
        <f>Teacher_need_by_subject!B584</f>
        <v>History</v>
      </c>
      <c r="C55" s="502">
        <f>N31</f>
        <v>0.93100000000000005</v>
      </c>
      <c r="D55" s="502">
        <f>N36</f>
        <v>5.3704760379335428E-2</v>
      </c>
      <c r="E55" s="450">
        <f>Y24+Z24</f>
        <v>11356.501735842625</v>
      </c>
      <c r="F55" s="476"/>
      <c r="G55" s="1171" t="str">
        <f t="shared" si="3"/>
        <v>History</v>
      </c>
      <c r="H55" s="1171"/>
      <c r="I55" s="479">
        <f t="shared" si="4"/>
        <v>5.3704760379335428E-2</v>
      </c>
      <c r="J55" s="302">
        <f>N33</f>
        <v>644.51154241822155</v>
      </c>
    </row>
    <row r="56" spans="2:10">
      <c r="B56" s="149" t="str">
        <f>Teacher_need_by_subject!B585</f>
        <v>Mathematics</v>
      </c>
      <c r="C56" s="502">
        <f>O31</f>
        <v>0.93100000000000005</v>
      </c>
      <c r="D56" s="502">
        <f>O36</f>
        <v>6.49038506637587E-2</v>
      </c>
      <c r="E56" s="450">
        <f>AA24+AB24</f>
        <v>30407.496560320695</v>
      </c>
      <c r="F56" s="476"/>
      <c r="G56" s="1171" t="str">
        <f t="shared" si="3"/>
        <v>Mathematics</v>
      </c>
      <c r="H56" s="1171"/>
      <c r="I56" s="479">
        <f t="shared" si="4"/>
        <v>6.49038506637587E-2</v>
      </c>
      <c r="J56" s="302">
        <f>O33</f>
        <v>2110.5461905823308</v>
      </c>
    </row>
    <row r="57" spans="2:10" ht="25.5">
      <c r="B57" s="149" t="str">
        <f>Teacher_need_by_subject!B586</f>
        <v>Modern Foreign Languages</v>
      </c>
      <c r="C57" s="502">
        <f>P31</f>
        <v>0.93100000000000005</v>
      </c>
      <c r="D57" s="502">
        <f>P36</f>
        <v>3.8975877543540892E-2</v>
      </c>
      <c r="E57" s="450">
        <f>AD24+AC24</f>
        <v>14825.501850585661</v>
      </c>
      <c r="F57" s="476"/>
      <c r="G57" s="1171" t="str">
        <f t="shared" si="3"/>
        <v>Modern Foreign Languages</v>
      </c>
      <c r="H57" s="1171"/>
      <c r="I57" s="479">
        <f t="shared" si="4"/>
        <v>3.8975877543540892E-2</v>
      </c>
      <c r="J57" s="302">
        <f>P33</f>
        <v>601.27205045900973</v>
      </c>
    </row>
    <row r="58" spans="2:10">
      <c r="B58" s="149" t="str">
        <f>Teacher_need_by_subject!B587</f>
        <v>Music</v>
      </c>
      <c r="C58" s="502">
        <f>Q31</f>
        <v>0.93100000000000005</v>
      </c>
      <c r="D58" s="502">
        <f>Q36</f>
        <v>5.2443724096728997E-2</v>
      </c>
      <c r="E58" s="450">
        <f>AE24+AF24</f>
        <v>5011.8247532695559</v>
      </c>
      <c r="F58" s="476"/>
      <c r="G58" s="1171" t="str">
        <f t="shared" si="3"/>
        <v>Music</v>
      </c>
      <c r="H58" s="1171"/>
      <c r="I58" s="479">
        <f t="shared" si="4"/>
        <v>5.2443724096728997E-2</v>
      </c>
      <c r="J58" s="302">
        <f>Q33</f>
        <v>277.38590442142436</v>
      </c>
    </row>
    <row r="59" spans="2:10">
      <c r="B59" s="149" t="str">
        <f>Teacher_need_by_subject!B588</f>
        <v>Others</v>
      </c>
      <c r="C59" s="502">
        <f>R31</f>
        <v>0.93100000000000005</v>
      </c>
      <c r="D59" s="502">
        <f>R36</f>
        <v>0.13826981448484513</v>
      </c>
      <c r="E59" s="450">
        <f>AG24+AH24</f>
        <v>13879.774277103697</v>
      </c>
      <c r="F59" s="476"/>
      <c r="G59" s="1171" t="str">
        <f t="shared" si="3"/>
        <v>Others</v>
      </c>
      <c r="H59" s="1171"/>
      <c r="I59" s="479">
        <f t="shared" si="4"/>
        <v>0.13826981448484513</v>
      </c>
      <c r="J59" s="302">
        <f>R33</f>
        <v>2227.0936386420717</v>
      </c>
    </row>
    <row r="60" spans="2:10">
      <c r="B60" s="149" t="str">
        <f>Teacher_need_by_subject!B589</f>
        <v>Physical Education</v>
      </c>
      <c r="C60" s="502">
        <f>S31</f>
        <v>0.93100000000000005</v>
      </c>
      <c r="D60" s="502">
        <f>S36</f>
        <v>4.057770218571477E-2</v>
      </c>
      <c r="E60" s="450">
        <f>AI24+AJ24</f>
        <v>16696.033108673455</v>
      </c>
      <c r="F60" s="476"/>
      <c r="G60" s="1171" t="str">
        <f t="shared" si="3"/>
        <v>Physical Education</v>
      </c>
      <c r="H60" s="1171"/>
      <c r="I60" s="479">
        <f t="shared" si="4"/>
        <v>4.057770218571477E-2</v>
      </c>
      <c r="J60" s="302">
        <f>S33</f>
        <v>706.14020615323</v>
      </c>
    </row>
    <row r="61" spans="2:10">
      <c r="B61" s="149" t="str">
        <f>Teacher_need_by_subject!B590</f>
        <v>Physics</v>
      </c>
      <c r="C61" s="502">
        <f>T31</f>
        <v>0.93100000000000005</v>
      </c>
      <c r="D61" s="502">
        <f>T36</f>
        <v>4.205381353410817E-2</v>
      </c>
      <c r="E61" s="450">
        <f>AK24+AL24</f>
        <v>10373.052443686078</v>
      </c>
      <c r="F61" s="476"/>
      <c r="G61" s="1171" t="str">
        <f t="shared" si="3"/>
        <v>Physics</v>
      </c>
      <c r="H61" s="1171"/>
      <c r="I61" s="479">
        <f t="shared" si="4"/>
        <v>4.205381353410817E-2</v>
      </c>
      <c r="J61" s="302">
        <f>T33</f>
        <v>455.37674183520704</v>
      </c>
    </row>
    <row r="62" spans="2:10">
      <c r="B62" s="149" t="str">
        <f>Teacher_need_by_subject!B591</f>
        <v>Religious Education</v>
      </c>
      <c r="C62" s="502">
        <f>U31</f>
        <v>0.93100000000000005</v>
      </c>
      <c r="D62" s="449">
        <f>U36</f>
        <v>6.0172109869509709E-2</v>
      </c>
      <c r="E62" s="450">
        <f>AN24+AM24</f>
        <v>7314.6427209521516</v>
      </c>
      <c r="F62" s="476"/>
      <c r="G62" s="1171" t="str">
        <f t="shared" si="3"/>
        <v>Religious Education</v>
      </c>
      <c r="H62" s="1171"/>
      <c r="I62" s="479">
        <f t="shared" si="4"/>
        <v>6.0172109869509709E-2</v>
      </c>
      <c r="J62" s="302">
        <f>U33</f>
        <v>468.31711431784754</v>
      </c>
    </row>
    <row r="64" spans="2:10">
      <c r="E64" s="738">
        <f>SUM(E44:E62)</f>
        <v>208904.02100376654</v>
      </c>
    </row>
    <row r="65" spans="1:5">
      <c r="E65" s="738">
        <f>SUM(C24:AN24)</f>
        <v>208904.02100376648</v>
      </c>
    </row>
    <row r="66" spans="1:5">
      <c r="A66">
        <f>E66</f>
        <v>0</v>
      </c>
      <c r="E66" s="10">
        <f>E64-E65</f>
        <v>0</v>
      </c>
    </row>
  </sheetData>
  <mergeCells count="41">
    <mergeCell ref="G48:H48"/>
    <mergeCell ref="G49:H49"/>
    <mergeCell ref="G50:H50"/>
    <mergeCell ref="G51:H51"/>
    <mergeCell ref="G62:H62"/>
    <mergeCell ref="G61:H61"/>
    <mergeCell ref="G60:H60"/>
    <mergeCell ref="G59:H59"/>
    <mergeCell ref="G58:H58"/>
    <mergeCell ref="G57:H57"/>
    <mergeCell ref="G56:H56"/>
    <mergeCell ref="G55:H55"/>
    <mergeCell ref="G54:H54"/>
    <mergeCell ref="G53:H53"/>
    <mergeCell ref="G52:H52"/>
    <mergeCell ref="G43:H43"/>
    <mergeCell ref="G44:H44"/>
    <mergeCell ref="G45:H45"/>
    <mergeCell ref="G46:H46"/>
    <mergeCell ref="G47:H47"/>
    <mergeCell ref="AM22:AN22"/>
    <mergeCell ref="U22:V22"/>
    <mergeCell ref="AG22:AH22"/>
    <mergeCell ref="Y22:Z22"/>
    <mergeCell ref="AK22:AL22"/>
    <mergeCell ref="AA22:AB22"/>
    <mergeCell ref="A5:O5"/>
    <mergeCell ref="AI22:AJ22"/>
    <mergeCell ref="W22:X22"/>
    <mergeCell ref="S22:T22"/>
    <mergeCell ref="AC22:AD22"/>
    <mergeCell ref="B22:B23"/>
    <mergeCell ref="C22:D22"/>
    <mergeCell ref="G22:H22"/>
    <mergeCell ref="O22:P22"/>
    <mergeCell ref="AE22:AF22"/>
    <mergeCell ref="K22:L22"/>
    <mergeCell ref="Q22:R22"/>
    <mergeCell ref="I22:J22"/>
    <mergeCell ref="E22:F22"/>
    <mergeCell ref="M22:N22"/>
  </mergeCells>
  <hyperlinks>
    <hyperlink ref="A2" location="'Title_&amp;_Contents'!A1" display="Contents"/>
    <hyperlink ref="B2" location="Map_of_sheets!A1" display="Map of shee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R102"/>
  <sheetViews>
    <sheetView showGridLines="0" zoomScaleNormal="100" workbookViewId="0"/>
  </sheetViews>
  <sheetFormatPr defaultColWidth="9.140625" defaultRowHeight="12.75"/>
  <cols>
    <col min="1" max="1" width="8.42578125" style="4" customWidth="1"/>
    <col min="2" max="2" width="32.7109375" style="4" customWidth="1"/>
    <col min="3" max="46" width="14.7109375" style="4" customWidth="1"/>
    <col min="47" max="16384" width="9.140625" style="4"/>
  </cols>
  <sheetData>
    <row r="1" spans="1:17" s="65" customFormat="1" ht="15">
      <c r="A1" s="64" t="str">
        <f>ModelBanner</f>
        <v>TSM_201819 Publication</v>
      </c>
    </row>
    <row r="2" spans="1:17" s="79" customFormat="1">
      <c r="A2" s="940" t="s">
        <v>13</v>
      </c>
      <c r="B2" s="940" t="s">
        <v>30</v>
      </c>
    </row>
    <row r="3" spans="1:17" s="79" customFormat="1" ht="12">
      <c r="A3" s="78"/>
    </row>
    <row r="4" spans="1:17" s="81" customFormat="1">
      <c r="A4" s="292" t="s">
        <v>26</v>
      </c>
      <c r="B4" s="80"/>
    </row>
    <row r="5" spans="1:17" s="82" customFormat="1">
      <c r="A5" s="59" t="s">
        <v>1458</v>
      </c>
      <c r="C5" s="83"/>
      <c r="D5" s="83"/>
      <c r="E5" s="83"/>
      <c r="G5" s="83"/>
      <c r="H5" s="83"/>
      <c r="I5" s="83"/>
      <c r="J5" s="83"/>
      <c r="K5" s="83"/>
      <c r="L5" s="83"/>
      <c r="M5" s="83"/>
      <c r="N5" s="83"/>
      <c r="O5" s="83"/>
      <c r="P5" s="83"/>
      <c r="Q5" s="83"/>
    </row>
    <row r="6" spans="1:17" s="86" customFormat="1">
      <c r="A6" s="293" t="s">
        <v>1392</v>
      </c>
      <c r="B6" s="83"/>
      <c r="C6" s="85"/>
      <c r="D6" s="85"/>
      <c r="E6" s="85"/>
      <c r="F6" s="85"/>
      <c r="G6" s="85"/>
      <c r="H6" s="85"/>
      <c r="I6" s="85"/>
      <c r="J6" s="85"/>
      <c r="K6" s="85"/>
      <c r="L6" s="85"/>
      <c r="M6" s="85"/>
      <c r="N6" s="85"/>
      <c r="O6" s="85"/>
      <c r="P6" s="85"/>
      <c r="Q6" s="85"/>
    </row>
    <row r="7" spans="1:17" s="86" customFormat="1">
      <c r="A7" s="59" t="s">
        <v>179</v>
      </c>
      <c r="B7" s="84"/>
      <c r="C7" s="85"/>
      <c r="D7" s="85"/>
      <c r="E7" s="85"/>
      <c r="F7" s="85"/>
      <c r="G7" s="85"/>
      <c r="H7" s="85"/>
      <c r="I7" s="85"/>
      <c r="J7" s="85"/>
      <c r="K7" s="85"/>
      <c r="L7" s="85"/>
      <c r="M7" s="85"/>
      <c r="N7" s="85"/>
      <c r="O7" s="85"/>
      <c r="P7" s="85"/>
      <c r="Q7" s="85"/>
    </row>
    <row r="8" spans="1:17" s="86" customFormat="1">
      <c r="A8" s="293" t="s">
        <v>24</v>
      </c>
      <c r="B8" s="83"/>
      <c r="C8" s="85"/>
      <c r="D8" s="85"/>
      <c r="E8" s="85"/>
      <c r="F8" s="85"/>
      <c r="G8" s="85"/>
      <c r="H8" s="85"/>
      <c r="I8" s="85"/>
      <c r="J8" s="85"/>
      <c r="K8" s="85"/>
      <c r="L8" s="85"/>
      <c r="M8" s="85"/>
      <c r="N8" s="85"/>
      <c r="O8" s="85"/>
      <c r="P8" s="85"/>
      <c r="Q8" s="85"/>
    </row>
    <row r="9" spans="1:17" s="86" customFormat="1">
      <c r="A9" s="59" t="s">
        <v>350</v>
      </c>
      <c r="B9" s="83"/>
      <c r="C9" s="85"/>
      <c r="D9" s="85"/>
      <c r="E9" s="85"/>
      <c r="F9" s="85"/>
      <c r="G9" s="85"/>
      <c r="H9" s="85"/>
      <c r="I9" s="85"/>
      <c r="J9" s="85"/>
      <c r="K9" s="85"/>
      <c r="L9" s="85"/>
      <c r="M9" s="85"/>
      <c r="N9" s="85"/>
      <c r="O9" s="85"/>
      <c r="P9" s="85"/>
      <c r="Q9" s="85"/>
    </row>
    <row r="10" spans="1:17" s="93" customFormat="1" ht="13.5" customHeight="1">
      <c r="A10" s="87">
        <f>SUM(A11:A2224)</f>
        <v>0</v>
      </c>
      <c r="B10" s="88"/>
      <c r="C10" s="89"/>
      <c r="D10" s="90"/>
      <c r="E10" s="91"/>
      <c r="F10" s="90"/>
      <c r="G10" s="92"/>
      <c r="H10" s="90"/>
      <c r="I10" s="90"/>
      <c r="J10" s="92"/>
      <c r="M10" s="92"/>
      <c r="N10" s="94"/>
      <c r="O10" s="94"/>
      <c r="P10" s="94"/>
      <c r="Q10" s="94"/>
    </row>
    <row r="12" spans="1:17" ht="15.75">
      <c r="A12" s="175"/>
      <c r="B12" s="137" t="s">
        <v>66</v>
      </c>
      <c r="H12" s="50" t="s">
        <v>1406</v>
      </c>
      <c r="J12" s="457" t="str">
        <f>RAW_DATA_INPUTS!L26</f>
        <v>2016/17</v>
      </c>
    </row>
    <row r="13" spans="1:17">
      <c r="B13" s="132"/>
    </row>
    <row r="14" spans="1:17">
      <c r="B14" s="133" t="s">
        <v>1395</v>
      </c>
    </row>
    <row r="15" spans="1:17">
      <c r="B15" s="132"/>
    </row>
    <row r="16" spans="1:17">
      <c r="B16" s="132" t="s">
        <v>67</v>
      </c>
    </row>
    <row r="18" spans="1:44" s="482" customFormat="1" ht="38.25" customHeight="1">
      <c r="B18" s="1298" t="str">
        <f>RAW_DATA_INPUTS!B39</f>
        <v>Age group</v>
      </c>
      <c r="C18" s="1300" t="str">
        <f>RAW_DATA_INPUTS!C38</f>
        <v>Art &amp; Design</v>
      </c>
      <c r="D18" s="1300"/>
      <c r="E18" s="1301" t="str">
        <f>RAW_DATA_INPUTS!E38</f>
        <v>Biology</v>
      </c>
      <c r="F18" s="1302"/>
      <c r="G18" s="1301" t="str">
        <f>RAW_DATA_INPUTS!G38</f>
        <v>Business Studies</v>
      </c>
      <c r="H18" s="1302"/>
      <c r="I18" s="1301" t="str">
        <f>RAW_DATA_INPUTS!I38</f>
        <v>Chemistry</v>
      </c>
      <c r="J18" s="1302"/>
      <c r="K18" s="1301" t="str">
        <f>RAW_DATA_INPUTS!K38</f>
        <v>Classics</v>
      </c>
      <c r="L18" s="1302"/>
      <c r="M18" s="1301" t="str">
        <f>RAW_DATA_INPUTS!M38</f>
        <v>Computing</v>
      </c>
      <c r="N18" s="1302"/>
      <c r="O18" s="1301" t="str">
        <f>RAW_DATA_INPUTS!O38</f>
        <v>Design &amp; Technology</v>
      </c>
      <c r="P18" s="1302"/>
      <c r="Q18" s="1301" t="str">
        <f>RAW_DATA_INPUTS!Q38</f>
        <v>Drama</v>
      </c>
      <c r="R18" s="1302"/>
      <c r="S18" s="1301" t="str">
        <f>RAW_DATA_INPUTS!S38</f>
        <v>English</v>
      </c>
      <c r="T18" s="1302"/>
      <c r="U18" s="1301" t="str">
        <f>RAW_DATA_INPUTS!U38</f>
        <v>Food</v>
      </c>
      <c r="V18" s="1302"/>
      <c r="W18" s="1301" t="str">
        <f>RAW_DATA_INPUTS!W38</f>
        <v>Geography</v>
      </c>
      <c r="X18" s="1302"/>
      <c r="Y18" s="1301" t="str">
        <f>RAW_DATA_INPUTS!Y38</f>
        <v>History</v>
      </c>
      <c r="Z18" s="1302"/>
      <c r="AA18" s="1301" t="str">
        <f>RAW_DATA_INPUTS!AA38</f>
        <v>Mathematics</v>
      </c>
      <c r="AB18" s="1302"/>
      <c r="AC18" s="1301" t="str">
        <f>RAW_DATA_INPUTS!AC38</f>
        <v>Modern Foreign Languages</v>
      </c>
      <c r="AD18" s="1302"/>
      <c r="AE18" s="1301" t="str">
        <f>RAW_DATA_INPUTS!AE38</f>
        <v>Music</v>
      </c>
      <c r="AF18" s="1302"/>
      <c r="AG18" s="1301" t="str">
        <f>RAW_DATA_INPUTS!AG38</f>
        <v>Others</v>
      </c>
      <c r="AH18" s="1302"/>
      <c r="AI18" s="1301" t="str">
        <f>RAW_DATA_INPUTS!AI38</f>
        <v>Physical Education</v>
      </c>
      <c r="AJ18" s="1302"/>
      <c r="AK18" s="1301" t="str">
        <f>RAW_DATA_INPUTS!AK38</f>
        <v>Physics</v>
      </c>
      <c r="AL18" s="1302"/>
      <c r="AM18" s="1301" t="str">
        <f>RAW_DATA_INPUTS!AM38</f>
        <v>Religious Education</v>
      </c>
      <c r="AN18" s="1302"/>
      <c r="AO18" s="1301" t="str">
        <f>RAW_DATA_INPUTS!AO38</f>
        <v>Secondary total</v>
      </c>
      <c r="AP18" s="1302"/>
      <c r="AQ18" s="1301" t="str">
        <f>RAW_DATA_INPUTS!AQ38</f>
        <v>Primary</v>
      </c>
      <c r="AR18" s="1302"/>
    </row>
    <row r="19" spans="1:44" s="482" customFormat="1">
      <c r="B19" s="1299"/>
      <c r="C19" s="484" t="str">
        <f>RAW_DATA_INPUTS!C39</f>
        <v>Male</v>
      </c>
      <c r="D19" s="484" t="str">
        <f>RAW_DATA_INPUTS!D39</f>
        <v>Female</v>
      </c>
      <c r="E19" s="484" t="str">
        <f>RAW_DATA_INPUTS!E39</f>
        <v>Male</v>
      </c>
      <c r="F19" s="484" t="str">
        <f>RAW_DATA_INPUTS!F39</f>
        <v>Female</v>
      </c>
      <c r="G19" s="484" t="str">
        <f>RAW_DATA_INPUTS!G39</f>
        <v>Male</v>
      </c>
      <c r="H19" s="484" t="str">
        <f>RAW_DATA_INPUTS!H39</f>
        <v>Female</v>
      </c>
      <c r="I19" s="484" t="str">
        <f>RAW_DATA_INPUTS!I39</f>
        <v>Male</v>
      </c>
      <c r="J19" s="484" t="str">
        <f>RAW_DATA_INPUTS!J39</f>
        <v>Female</v>
      </c>
      <c r="K19" s="484" t="str">
        <f>RAW_DATA_INPUTS!K39</f>
        <v>Male</v>
      </c>
      <c r="L19" s="484" t="str">
        <f>RAW_DATA_INPUTS!L39</f>
        <v>Female</v>
      </c>
      <c r="M19" s="484" t="str">
        <f>RAW_DATA_INPUTS!M39</f>
        <v>Male</v>
      </c>
      <c r="N19" s="484" t="str">
        <f>RAW_DATA_INPUTS!N39</f>
        <v>Female</v>
      </c>
      <c r="O19" s="484" t="str">
        <f>RAW_DATA_INPUTS!O39</f>
        <v>Male</v>
      </c>
      <c r="P19" s="484" t="str">
        <f>RAW_DATA_INPUTS!P39</f>
        <v>Female</v>
      </c>
      <c r="Q19" s="484" t="str">
        <f>RAW_DATA_INPUTS!Q39</f>
        <v>Male</v>
      </c>
      <c r="R19" s="484" t="str">
        <f>RAW_DATA_INPUTS!R39</f>
        <v>Female</v>
      </c>
      <c r="S19" s="484" t="str">
        <f>RAW_DATA_INPUTS!S39</f>
        <v>Male</v>
      </c>
      <c r="T19" s="484" t="str">
        <f>RAW_DATA_INPUTS!T39</f>
        <v>Female</v>
      </c>
      <c r="U19" s="484" t="str">
        <f>RAW_DATA_INPUTS!U39</f>
        <v>Male</v>
      </c>
      <c r="V19" s="484" t="str">
        <f>RAW_DATA_INPUTS!V39</f>
        <v>Female</v>
      </c>
      <c r="W19" s="484" t="str">
        <f>RAW_DATA_INPUTS!W39</f>
        <v>Male</v>
      </c>
      <c r="X19" s="484" t="str">
        <f>RAW_DATA_INPUTS!X39</f>
        <v>Female</v>
      </c>
      <c r="Y19" s="484" t="str">
        <f>RAW_DATA_INPUTS!Y39</f>
        <v>Male</v>
      </c>
      <c r="Z19" s="484" t="str">
        <f>RAW_DATA_INPUTS!Z39</f>
        <v>Female</v>
      </c>
      <c r="AA19" s="484" t="str">
        <f>RAW_DATA_INPUTS!AA39</f>
        <v>Male</v>
      </c>
      <c r="AB19" s="484" t="str">
        <f>RAW_DATA_INPUTS!AB39</f>
        <v>Female</v>
      </c>
      <c r="AC19" s="484" t="str">
        <f>RAW_DATA_INPUTS!AC39</f>
        <v>Male</v>
      </c>
      <c r="AD19" s="484" t="str">
        <f>RAW_DATA_INPUTS!AD39</f>
        <v>Female</v>
      </c>
      <c r="AE19" s="484" t="str">
        <f>RAW_DATA_INPUTS!AE39</f>
        <v>Male</v>
      </c>
      <c r="AF19" s="484" t="str">
        <f>RAW_DATA_INPUTS!AF39</f>
        <v>Female</v>
      </c>
      <c r="AG19" s="484" t="str">
        <f>RAW_DATA_INPUTS!AG39</f>
        <v>Male</v>
      </c>
      <c r="AH19" s="484" t="str">
        <f>RAW_DATA_INPUTS!AH39</f>
        <v>Female</v>
      </c>
      <c r="AI19" s="484" t="str">
        <f>RAW_DATA_INPUTS!AI39</f>
        <v>Male</v>
      </c>
      <c r="AJ19" s="484" t="str">
        <f>RAW_DATA_INPUTS!AJ39</f>
        <v>Female</v>
      </c>
      <c r="AK19" s="484" t="str">
        <f>RAW_DATA_INPUTS!AK39</f>
        <v>Male</v>
      </c>
      <c r="AL19" s="484" t="str">
        <f>RAW_DATA_INPUTS!AL39</f>
        <v>Female</v>
      </c>
      <c r="AM19" s="484" t="str">
        <f>RAW_DATA_INPUTS!AM39</f>
        <v>Male</v>
      </c>
      <c r="AN19" s="484" t="str">
        <f>RAW_DATA_INPUTS!AN39</f>
        <v>Female</v>
      </c>
      <c r="AO19" s="484" t="str">
        <f>RAW_DATA_INPUTS!AO39</f>
        <v>Male</v>
      </c>
      <c r="AP19" s="484" t="str">
        <f>RAW_DATA_INPUTS!AP39</f>
        <v>Female</v>
      </c>
      <c r="AQ19" s="484" t="str">
        <f>RAW_DATA_INPUTS!AQ39</f>
        <v>Male</v>
      </c>
      <c r="AR19" s="484" t="str">
        <f>RAW_DATA_INPUTS!AR39</f>
        <v>Female</v>
      </c>
    </row>
    <row r="20" spans="1:44" s="482" customFormat="1">
      <c r="B20" s="484" t="str">
        <f>RAW_DATA_INPUTS!B40</f>
        <v>20-24</v>
      </c>
      <c r="C20" s="506">
        <f>RAW_DATA_INPUTS!C40</f>
        <v>12.876218922468533</v>
      </c>
      <c r="D20" s="506">
        <f>RAW_DATA_INPUTS!D40</f>
        <v>147.11060099923219</v>
      </c>
      <c r="E20" s="506">
        <f>RAW_DATA_INPUTS!E40</f>
        <v>151.08241180297935</v>
      </c>
      <c r="F20" s="506">
        <f>RAW_DATA_INPUTS!F40</f>
        <v>416.40402224268672</v>
      </c>
      <c r="G20" s="506">
        <f>RAW_DATA_INPUTS!G40</f>
        <v>33.761467769180427</v>
      </c>
      <c r="H20" s="506">
        <f>RAW_DATA_INPUTS!H40</f>
        <v>55.889651038563471</v>
      </c>
      <c r="I20" s="506">
        <f>RAW_DATA_INPUTS!I40</f>
        <v>168.38817055919839</v>
      </c>
      <c r="J20" s="506">
        <f>RAW_DATA_INPUTS!J40</f>
        <v>351.25525971594135</v>
      </c>
      <c r="K20" s="506">
        <f>RAW_DATA_INPUTS!K40</f>
        <v>5.0307057490736229</v>
      </c>
      <c r="L20" s="506">
        <f>RAW_DATA_INPUTS!L40</f>
        <v>5.2405039152705442</v>
      </c>
      <c r="M20" s="506">
        <f>RAW_DATA_INPUTS!M40</f>
        <v>108.51949494053673</v>
      </c>
      <c r="N20" s="506">
        <f>RAW_DATA_INPUTS!N40</f>
        <v>78.119662251245785</v>
      </c>
      <c r="O20" s="506">
        <f>RAW_DATA_INPUTS!O40</f>
        <v>44.014232714016984</v>
      </c>
      <c r="P20" s="506">
        <f>RAW_DATA_INPUTS!P40</f>
        <v>152.44407213832213</v>
      </c>
      <c r="Q20" s="506">
        <f>RAW_DATA_INPUTS!Q40</f>
        <v>33.019052557592673</v>
      </c>
      <c r="R20" s="506">
        <f>RAW_DATA_INPUTS!R40</f>
        <v>150.29847135557381</v>
      </c>
      <c r="S20" s="506">
        <f>RAW_DATA_INPUTS!S40</f>
        <v>287.95548097426826</v>
      </c>
      <c r="T20" s="506">
        <f>RAW_DATA_INPUTS!T40</f>
        <v>1307.2156166531688</v>
      </c>
      <c r="U20" s="506">
        <f>RAW_DATA_INPUTS!U40</f>
        <v>5.3841822637082801</v>
      </c>
      <c r="V20" s="506">
        <f>RAW_DATA_INPUTS!V40</f>
        <v>32.073284195807958</v>
      </c>
      <c r="W20" s="506">
        <f>RAW_DATA_INPUTS!W40</f>
        <v>202.70613310384064</v>
      </c>
      <c r="X20" s="506">
        <f>RAW_DATA_INPUTS!X40</f>
        <v>465.18886228739836</v>
      </c>
      <c r="Y20" s="506">
        <f>RAW_DATA_INPUTS!Y40</f>
        <v>248.46633076271962</v>
      </c>
      <c r="Z20" s="506">
        <f>RAW_DATA_INPUTS!Z40</f>
        <v>442.14496559668606</v>
      </c>
      <c r="AA20" s="506">
        <f>RAW_DATA_INPUTS!AA40</f>
        <v>712.63790669584978</v>
      </c>
      <c r="AB20" s="506">
        <f>RAW_DATA_INPUTS!AB40</f>
        <v>1175.8696482537703</v>
      </c>
      <c r="AC20" s="506">
        <f>RAW_DATA_INPUTS!AC40</f>
        <v>84.301529484628063</v>
      </c>
      <c r="AD20" s="506">
        <f>RAW_DATA_INPUTS!AD40</f>
        <v>326.36956958571091</v>
      </c>
      <c r="AE20" s="506">
        <f>RAW_DATA_INPUTS!AE40</f>
        <v>80.95666232759298</v>
      </c>
      <c r="AF20" s="506">
        <f>RAW_DATA_INPUTS!AF40</f>
        <v>123.68779464698812</v>
      </c>
      <c r="AG20" s="506">
        <f>RAW_DATA_INPUTS!AG40</f>
        <v>111.89991357043156</v>
      </c>
      <c r="AH20" s="506">
        <f>RAW_DATA_INPUTS!AH40</f>
        <v>364.64992612534934</v>
      </c>
      <c r="AI20" s="506">
        <f>RAW_DATA_INPUTS!AI40</f>
        <v>368.35269213933157</v>
      </c>
      <c r="AJ20" s="506">
        <f>RAW_DATA_INPUTS!AJ40</f>
        <v>605.23482714830379</v>
      </c>
      <c r="AK20" s="506">
        <f>RAW_DATA_INPUTS!AK40</f>
        <v>257.15877019016506</v>
      </c>
      <c r="AL20" s="506">
        <f>RAW_DATA_INPUTS!AL40</f>
        <v>209.7520018952097</v>
      </c>
      <c r="AM20" s="506">
        <f>RAW_DATA_INPUTS!AM40</f>
        <v>84.13304740290053</v>
      </c>
      <c r="AN20" s="506">
        <f>RAW_DATA_INPUTS!AN40</f>
        <v>296.41350982058594</v>
      </c>
      <c r="AO20" s="506">
        <f>RAW_DATA_INPUTS!AO40</f>
        <v>2993.6444039304824</v>
      </c>
      <c r="AP20" s="506">
        <f>RAW_DATA_INPUTS!AP40</f>
        <v>6705.362249865816</v>
      </c>
      <c r="AQ20" s="506">
        <f>RAW_DATA_INPUTS!AQ40</f>
        <v>2077.39</v>
      </c>
      <c r="AR20" s="506">
        <f>RAW_DATA_INPUTS!AR40</f>
        <v>15356.2</v>
      </c>
    </row>
    <row r="21" spans="1:44" s="482" customFormat="1">
      <c r="B21" s="484" t="str">
        <f>RAW_DATA_INPUTS!B41</f>
        <v>25-29</v>
      </c>
      <c r="C21" s="506">
        <f>RAW_DATA_INPUTS!C41</f>
        <v>125.46405945559843</v>
      </c>
      <c r="D21" s="506">
        <f>RAW_DATA_INPUTS!D41</f>
        <v>725.98692724102784</v>
      </c>
      <c r="E21" s="506">
        <f>RAW_DATA_INPUTS!E41</f>
        <v>513.51755639254691</v>
      </c>
      <c r="F21" s="506">
        <f>RAW_DATA_INPUTS!F41</f>
        <v>1401.7797042874154</v>
      </c>
      <c r="G21" s="506">
        <f>RAW_DATA_INPUTS!G41</f>
        <v>161.6697301570899</v>
      </c>
      <c r="H21" s="506">
        <f>RAW_DATA_INPUTS!H41</f>
        <v>271.17625160895625</v>
      </c>
      <c r="I21" s="506">
        <f>RAW_DATA_INPUTS!I41</f>
        <v>705.84001963376693</v>
      </c>
      <c r="J21" s="506">
        <f>RAW_DATA_INPUTS!J41</f>
        <v>1204.2423604741414</v>
      </c>
      <c r="K21" s="506">
        <f>RAW_DATA_INPUTS!K41</f>
        <v>19.125398048080552</v>
      </c>
      <c r="L21" s="506">
        <f>RAW_DATA_INPUTS!L41</f>
        <v>31.264074578835508</v>
      </c>
      <c r="M21" s="506">
        <f>RAW_DATA_INPUTS!M41</f>
        <v>436.00987561629023</v>
      </c>
      <c r="N21" s="506">
        <f>RAW_DATA_INPUTS!N41</f>
        <v>300.26165993771946</v>
      </c>
      <c r="O21" s="506">
        <f>RAW_DATA_INPUTS!O41</f>
        <v>316.11084905495659</v>
      </c>
      <c r="P21" s="506">
        <f>RAW_DATA_INPUTS!P41</f>
        <v>730.27843188857128</v>
      </c>
      <c r="Q21" s="506">
        <f>RAW_DATA_INPUTS!Q41</f>
        <v>138.0508202481976</v>
      </c>
      <c r="R21" s="506">
        <f>RAW_DATA_INPUTS!R41</f>
        <v>647.84295375059355</v>
      </c>
      <c r="S21" s="506">
        <f>RAW_DATA_INPUTS!S41</f>
        <v>956.96172459085551</v>
      </c>
      <c r="T21" s="506">
        <f>RAW_DATA_INPUTS!T41</f>
        <v>4516.8184572356195</v>
      </c>
      <c r="U21" s="506">
        <f>RAW_DATA_INPUTS!U41</f>
        <v>15.050383662755035</v>
      </c>
      <c r="V21" s="506">
        <f>RAW_DATA_INPUTS!V41</f>
        <v>199.15350658912959</v>
      </c>
      <c r="W21" s="506">
        <f>RAW_DATA_INPUTS!W41</f>
        <v>637.79191854672547</v>
      </c>
      <c r="X21" s="506">
        <f>RAW_DATA_INPUTS!X41</f>
        <v>1185.1774804804156</v>
      </c>
      <c r="Y21" s="506">
        <f>RAW_DATA_INPUTS!Y41</f>
        <v>787.51318537977943</v>
      </c>
      <c r="Z21" s="506">
        <f>RAW_DATA_INPUTS!Z41</f>
        <v>1295.8398855962216</v>
      </c>
      <c r="AA21" s="506">
        <f>RAW_DATA_INPUTS!AA41</f>
        <v>2170.4229126970768</v>
      </c>
      <c r="AB21" s="506">
        <f>RAW_DATA_INPUTS!AB41</f>
        <v>3059.8446186500482</v>
      </c>
      <c r="AC21" s="506">
        <f>RAW_DATA_INPUTS!AC41</f>
        <v>396.60664269755426</v>
      </c>
      <c r="AD21" s="506">
        <f>RAW_DATA_INPUTS!AD41</f>
        <v>1640.2915340317595</v>
      </c>
      <c r="AE21" s="506">
        <f>RAW_DATA_INPUTS!AE41</f>
        <v>369.78179039466823</v>
      </c>
      <c r="AF21" s="506">
        <f>RAW_DATA_INPUTS!AF41</f>
        <v>504.65248997804804</v>
      </c>
      <c r="AG21" s="506">
        <f>RAW_DATA_INPUTS!AG41</f>
        <v>520.53798564941474</v>
      </c>
      <c r="AH21" s="506">
        <f>RAW_DATA_INPUTS!AH41</f>
        <v>1405.2807698178535</v>
      </c>
      <c r="AI21" s="506">
        <f>RAW_DATA_INPUTS!AI41</f>
        <v>1575.9287974705626</v>
      </c>
      <c r="AJ21" s="506">
        <f>RAW_DATA_INPUTS!AJ41</f>
        <v>1751.2085077968386</v>
      </c>
      <c r="AK21" s="506">
        <f>RAW_DATA_INPUTS!AK41</f>
        <v>1001.3281889868051</v>
      </c>
      <c r="AL21" s="506">
        <f>RAW_DATA_INPUTS!AL41</f>
        <v>621.65216367535334</v>
      </c>
      <c r="AM21" s="506">
        <f>RAW_DATA_INPUTS!AM41</f>
        <v>293.362404717625</v>
      </c>
      <c r="AN21" s="506">
        <f>RAW_DATA_INPUTS!AN41</f>
        <v>927.01859435089614</v>
      </c>
      <c r="AO21" s="506">
        <f>RAW_DATA_INPUTS!AO41</f>
        <v>11148.074243400348</v>
      </c>
      <c r="AP21" s="506">
        <f>RAW_DATA_INPUTS!AP41</f>
        <v>22419.770371969444</v>
      </c>
      <c r="AQ21" s="506">
        <f>RAW_DATA_INPUTS!AQ41</f>
        <v>6637.76</v>
      </c>
      <c r="AR21" s="506">
        <f>RAW_DATA_INPUTS!AR41</f>
        <v>36949.53</v>
      </c>
    </row>
    <row r="22" spans="1:44" s="482" customFormat="1">
      <c r="B22" s="484" t="str">
        <f>RAW_DATA_INPUTS!B42</f>
        <v>30-34</v>
      </c>
      <c r="C22" s="506">
        <f>RAW_DATA_INPUTS!C42</f>
        <v>256.2621806834166</v>
      </c>
      <c r="D22" s="506">
        <f>RAW_DATA_INPUTS!D42</f>
        <v>1131.5437815052085</v>
      </c>
      <c r="E22" s="506">
        <f>RAW_DATA_INPUTS!E42</f>
        <v>662.87037623243725</v>
      </c>
      <c r="F22" s="506">
        <f>RAW_DATA_INPUTS!F42</f>
        <v>1707.9094697473804</v>
      </c>
      <c r="G22" s="506">
        <f>RAW_DATA_INPUTS!G42</f>
        <v>337.20362167002759</v>
      </c>
      <c r="H22" s="506">
        <f>RAW_DATA_INPUTS!H42</f>
        <v>424.88227019851763</v>
      </c>
      <c r="I22" s="506">
        <f>RAW_DATA_INPUTS!I42</f>
        <v>610.50853581483204</v>
      </c>
      <c r="J22" s="506">
        <f>RAW_DATA_INPUTS!J42</f>
        <v>1051.1524620519406</v>
      </c>
      <c r="K22" s="506">
        <f>RAW_DATA_INPUTS!K42</f>
        <v>17.538992882393444</v>
      </c>
      <c r="L22" s="506">
        <f>RAW_DATA_INPUTS!L42</f>
        <v>23.497291878008181</v>
      </c>
      <c r="M22" s="506">
        <f>RAW_DATA_INPUTS!M42</f>
        <v>834.25969563369597</v>
      </c>
      <c r="N22" s="506">
        <f>RAW_DATA_INPUTS!N42</f>
        <v>504.67926389915948</v>
      </c>
      <c r="O22" s="506">
        <f>RAW_DATA_INPUTS!O42</f>
        <v>554.69727654679582</v>
      </c>
      <c r="P22" s="506">
        <f>RAW_DATA_INPUTS!P42</f>
        <v>963.79525137937742</v>
      </c>
      <c r="Q22" s="506">
        <f>RAW_DATA_INPUTS!Q42</f>
        <v>197.24397456113488</v>
      </c>
      <c r="R22" s="506">
        <f>RAW_DATA_INPUTS!R42</f>
        <v>909.73767827743507</v>
      </c>
      <c r="S22" s="506">
        <f>RAW_DATA_INPUTS!S42</f>
        <v>1185.7888110371855</v>
      </c>
      <c r="T22" s="506">
        <f>RAW_DATA_INPUTS!T42</f>
        <v>4344.8091266721876</v>
      </c>
      <c r="U22" s="506">
        <f>RAW_DATA_INPUTS!U42</f>
        <v>35.87740604275362</v>
      </c>
      <c r="V22" s="506">
        <f>RAW_DATA_INPUTS!V42</f>
        <v>203.72642999413424</v>
      </c>
      <c r="W22" s="506">
        <f>RAW_DATA_INPUTS!W42</f>
        <v>765.84314201202017</v>
      </c>
      <c r="X22" s="506">
        <f>RAW_DATA_INPUTS!X42</f>
        <v>1137.0650256381166</v>
      </c>
      <c r="Y22" s="506">
        <f>RAW_DATA_INPUTS!Y42</f>
        <v>940.81962056051793</v>
      </c>
      <c r="Z22" s="506">
        <f>RAW_DATA_INPUTS!Z42</f>
        <v>1187.718157228684</v>
      </c>
      <c r="AA22" s="506">
        <f>RAW_DATA_INPUTS!AA42</f>
        <v>2194.58702906806</v>
      </c>
      <c r="AB22" s="506">
        <f>RAW_DATA_INPUTS!AB42</f>
        <v>2229.4955311090675</v>
      </c>
      <c r="AC22" s="506">
        <f>RAW_DATA_INPUTS!AC42</f>
        <v>374.43031312672434</v>
      </c>
      <c r="AD22" s="506">
        <f>RAW_DATA_INPUTS!AD42</f>
        <v>1603.099417432566</v>
      </c>
      <c r="AE22" s="506">
        <f>RAW_DATA_INPUTS!AE42</f>
        <v>409.68941193237976</v>
      </c>
      <c r="AF22" s="506">
        <f>RAW_DATA_INPUTS!AF42</f>
        <v>612.31736156146064</v>
      </c>
      <c r="AG22" s="506">
        <f>RAW_DATA_INPUTS!AG42</f>
        <v>814.36493012552717</v>
      </c>
      <c r="AH22" s="506">
        <f>RAW_DATA_INPUTS!AH42</f>
        <v>1824.0037642276413</v>
      </c>
      <c r="AI22" s="506">
        <f>RAW_DATA_INPUTS!AI42</f>
        <v>2132.4704173501123</v>
      </c>
      <c r="AJ22" s="506">
        <f>RAW_DATA_INPUTS!AJ42</f>
        <v>1884.1784585026062</v>
      </c>
      <c r="AK22" s="506">
        <f>RAW_DATA_INPUTS!AK42</f>
        <v>1053.7854796502093</v>
      </c>
      <c r="AL22" s="506">
        <f>RAW_DATA_INPUTS!AL42</f>
        <v>677.43538365242455</v>
      </c>
      <c r="AM22" s="506">
        <f>RAW_DATA_INPUTS!AM42</f>
        <v>387.42630388890353</v>
      </c>
      <c r="AN22" s="506">
        <f>RAW_DATA_INPUTS!AN42</f>
        <v>928.21842216934488</v>
      </c>
      <c r="AO22" s="506">
        <f>RAW_DATA_INPUTS!AO42</f>
        <v>13765.667518819128</v>
      </c>
      <c r="AP22" s="506">
        <f>RAW_DATA_INPUTS!AP42</f>
        <v>23349.264547125262</v>
      </c>
      <c r="AQ22" s="506">
        <f>RAW_DATA_INPUTS!AQ42</f>
        <v>6187.76</v>
      </c>
      <c r="AR22" s="506">
        <f>RAW_DATA_INPUTS!AR42</f>
        <v>33583.74</v>
      </c>
    </row>
    <row r="23" spans="1:44" s="482" customFormat="1">
      <c r="B23" s="484" t="str">
        <f>RAW_DATA_INPUTS!B43</f>
        <v>35-39</v>
      </c>
      <c r="C23" s="506">
        <f>RAW_DATA_INPUTS!C43</f>
        <v>297.68548944332315</v>
      </c>
      <c r="D23" s="506">
        <f>RAW_DATA_INPUTS!D43</f>
        <v>1224.2327389398718</v>
      </c>
      <c r="E23" s="506">
        <f>RAW_DATA_INPUTS!E43</f>
        <v>676.25243055252679</v>
      </c>
      <c r="F23" s="506">
        <f>RAW_DATA_INPUTS!F43</f>
        <v>1527.17462086094</v>
      </c>
      <c r="G23" s="506">
        <f>RAW_DATA_INPUTS!G43</f>
        <v>315.04051859296931</v>
      </c>
      <c r="H23" s="506">
        <f>RAW_DATA_INPUTS!H43</f>
        <v>449.27724784041698</v>
      </c>
      <c r="I23" s="506">
        <f>RAW_DATA_INPUTS!I43</f>
        <v>661.19326497113445</v>
      </c>
      <c r="J23" s="506">
        <f>RAW_DATA_INPUTS!J43</f>
        <v>987.13771223177628</v>
      </c>
      <c r="K23" s="506">
        <f>RAW_DATA_INPUTS!K43</f>
        <v>11.326766379247475</v>
      </c>
      <c r="L23" s="506">
        <f>RAW_DATA_INPUTS!L43</f>
        <v>31.822915038323536</v>
      </c>
      <c r="M23" s="506">
        <f>RAW_DATA_INPUTS!M43</f>
        <v>813.27410154969914</v>
      </c>
      <c r="N23" s="506">
        <f>RAW_DATA_INPUTS!N43</f>
        <v>565.03649509767331</v>
      </c>
      <c r="O23" s="506">
        <f>RAW_DATA_INPUTS!O43</f>
        <v>628.43848314857439</v>
      </c>
      <c r="P23" s="506">
        <f>RAW_DATA_INPUTS!P43</f>
        <v>878.1296710685441</v>
      </c>
      <c r="Q23" s="506">
        <f>RAW_DATA_INPUTS!Q43</f>
        <v>226.29758682457015</v>
      </c>
      <c r="R23" s="506">
        <f>RAW_DATA_INPUTS!R43</f>
        <v>761.30465064443365</v>
      </c>
      <c r="S23" s="506">
        <f>RAW_DATA_INPUTS!S43</f>
        <v>1058.1227820215711</v>
      </c>
      <c r="T23" s="506">
        <f>RAW_DATA_INPUTS!T43</f>
        <v>3847.8102173869411</v>
      </c>
      <c r="U23" s="506">
        <f>RAW_DATA_INPUTS!U43</f>
        <v>32.931829126403038</v>
      </c>
      <c r="V23" s="506">
        <f>RAW_DATA_INPUTS!V43</f>
        <v>239.50711262426566</v>
      </c>
      <c r="W23" s="506">
        <f>RAW_DATA_INPUTS!W43</f>
        <v>903.63801372019543</v>
      </c>
      <c r="X23" s="506">
        <f>RAW_DATA_INPUTS!X43</f>
        <v>1148.6821057854706</v>
      </c>
      <c r="Y23" s="506">
        <f>RAW_DATA_INPUTS!Y43</f>
        <v>843.60937867863549</v>
      </c>
      <c r="Z23" s="506">
        <f>RAW_DATA_INPUTS!Z43</f>
        <v>1156.4103303290228</v>
      </c>
      <c r="AA23" s="506">
        <f>RAW_DATA_INPUTS!AA43</f>
        <v>2063.1500780530114</v>
      </c>
      <c r="AB23" s="506">
        <f>RAW_DATA_INPUTS!AB43</f>
        <v>2222.3966155839967</v>
      </c>
      <c r="AC23" s="506">
        <f>RAW_DATA_INPUTS!AC43</f>
        <v>473.33461780610332</v>
      </c>
      <c r="AD23" s="506">
        <f>RAW_DATA_INPUTS!AD43</f>
        <v>1951.1420837238798</v>
      </c>
      <c r="AE23" s="506">
        <f>RAW_DATA_INPUTS!AE43</f>
        <v>384.38795184261187</v>
      </c>
      <c r="AF23" s="506">
        <f>RAW_DATA_INPUTS!AF43</f>
        <v>546.57862135117591</v>
      </c>
      <c r="AG23" s="506">
        <f>RAW_DATA_INPUTS!AG43</f>
        <v>803.48613065754887</v>
      </c>
      <c r="AH23" s="506">
        <f>RAW_DATA_INPUTS!AH43</f>
        <v>1607.323991611167</v>
      </c>
      <c r="AI23" s="506">
        <f>RAW_DATA_INPUTS!AI43</f>
        <v>2056.0274039835467</v>
      </c>
      <c r="AJ23" s="506">
        <f>RAW_DATA_INPUTS!AJ43</f>
        <v>1616.5757937611231</v>
      </c>
      <c r="AK23" s="506">
        <f>RAW_DATA_INPUTS!AK43</f>
        <v>965.35624425263734</v>
      </c>
      <c r="AL23" s="506">
        <f>RAW_DATA_INPUTS!AL43</f>
        <v>588.09424838277153</v>
      </c>
      <c r="AM23" s="506">
        <f>RAW_DATA_INPUTS!AM43</f>
        <v>375.4940712724042</v>
      </c>
      <c r="AN23" s="506">
        <f>RAW_DATA_INPUTS!AN43</f>
        <v>829.55334842823527</v>
      </c>
      <c r="AO23" s="506">
        <f>RAW_DATA_INPUTS!AO43</f>
        <v>13589.047142876714</v>
      </c>
      <c r="AP23" s="506">
        <f>RAW_DATA_INPUTS!AP43</f>
        <v>22178.190520690026</v>
      </c>
      <c r="AQ23" s="506">
        <f>RAW_DATA_INPUTS!AQ43</f>
        <v>5219.1499999999996</v>
      </c>
      <c r="AR23" s="506">
        <f>RAW_DATA_INPUTS!AR43</f>
        <v>31089.49</v>
      </c>
    </row>
    <row r="24" spans="1:44" s="482" customFormat="1">
      <c r="B24" s="484" t="str">
        <f>RAW_DATA_INPUTS!B44</f>
        <v>40-44</v>
      </c>
      <c r="C24" s="506">
        <f>RAW_DATA_INPUTS!C44</f>
        <v>348.9641504661825</v>
      </c>
      <c r="D24" s="506">
        <f>RAW_DATA_INPUTS!D44</f>
        <v>1123.1788435749327</v>
      </c>
      <c r="E24" s="506">
        <f>RAW_DATA_INPUTS!E44</f>
        <v>572.26359308673977</v>
      </c>
      <c r="F24" s="506">
        <f>RAW_DATA_INPUTS!F44</f>
        <v>1269.7508461021355</v>
      </c>
      <c r="G24" s="506">
        <f>RAW_DATA_INPUTS!G44</f>
        <v>275.55719090900863</v>
      </c>
      <c r="H24" s="506">
        <f>RAW_DATA_INPUTS!H44</f>
        <v>390.10912571554695</v>
      </c>
      <c r="I24" s="506">
        <f>RAW_DATA_INPUTS!I44</f>
        <v>672.61313013409574</v>
      </c>
      <c r="J24" s="506">
        <f>RAW_DATA_INPUTS!J44</f>
        <v>923.82812731598233</v>
      </c>
      <c r="K24" s="506">
        <f>RAW_DATA_INPUTS!K44</f>
        <v>18.679667237090829</v>
      </c>
      <c r="L24" s="506">
        <f>RAW_DATA_INPUTS!L44</f>
        <v>20.044277661422058</v>
      </c>
      <c r="M24" s="506">
        <f>RAW_DATA_INPUTS!M44</f>
        <v>642.29931649340267</v>
      </c>
      <c r="N24" s="506">
        <f>RAW_DATA_INPUTS!N44</f>
        <v>446.21689220939857</v>
      </c>
      <c r="O24" s="506">
        <f>RAW_DATA_INPUTS!O44</f>
        <v>643.02160237867565</v>
      </c>
      <c r="P24" s="506">
        <f>RAW_DATA_INPUTS!P44</f>
        <v>814.01492240405867</v>
      </c>
      <c r="Q24" s="506">
        <f>RAW_DATA_INPUTS!Q44</f>
        <v>156.67631265425638</v>
      </c>
      <c r="R24" s="506">
        <f>RAW_DATA_INPUTS!R44</f>
        <v>507.92668977982356</v>
      </c>
      <c r="S24" s="506">
        <f>RAW_DATA_INPUTS!S44</f>
        <v>898.13875357280153</v>
      </c>
      <c r="T24" s="506">
        <f>RAW_DATA_INPUTS!T44</f>
        <v>3061.8916470275958</v>
      </c>
      <c r="U24" s="506">
        <f>RAW_DATA_INPUTS!U44</f>
        <v>43.123684800749473</v>
      </c>
      <c r="V24" s="506">
        <f>RAW_DATA_INPUTS!V44</f>
        <v>242.61921335409983</v>
      </c>
      <c r="W24" s="506">
        <f>RAW_DATA_INPUTS!W44</f>
        <v>767.90682087632763</v>
      </c>
      <c r="X24" s="506">
        <f>RAW_DATA_INPUTS!X44</f>
        <v>859.33149937437042</v>
      </c>
      <c r="Y24" s="506">
        <f>RAW_DATA_INPUTS!Y44</f>
        <v>752.37697749827146</v>
      </c>
      <c r="Z24" s="506">
        <f>RAW_DATA_INPUTS!Z44</f>
        <v>868.99643017907079</v>
      </c>
      <c r="AA24" s="506">
        <f>RAW_DATA_INPUTS!AA44</f>
        <v>1948.9773535515974</v>
      </c>
      <c r="AB24" s="506">
        <f>RAW_DATA_INPUTS!AB44</f>
        <v>2123.5138629827347</v>
      </c>
      <c r="AC24" s="506">
        <f>RAW_DATA_INPUTS!AC44</f>
        <v>452.6840261254643</v>
      </c>
      <c r="AD24" s="506">
        <f>RAW_DATA_INPUTS!AD44</f>
        <v>2197.1166944938677</v>
      </c>
      <c r="AE24" s="506">
        <f>RAW_DATA_INPUTS!AE44</f>
        <v>305.39172714286872</v>
      </c>
      <c r="AF24" s="506">
        <f>RAW_DATA_INPUTS!AF44</f>
        <v>437.36582506262766</v>
      </c>
      <c r="AG24" s="506">
        <f>RAW_DATA_INPUTS!AG44</f>
        <v>719.66005752621913</v>
      </c>
      <c r="AH24" s="506">
        <f>RAW_DATA_INPUTS!AH44</f>
        <v>1245.6031641095824</v>
      </c>
      <c r="AI24" s="506">
        <f>RAW_DATA_INPUTS!AI44</f>
        <v>1212.4050346402662</v>
      </c>
      <c r="AJ24" s="506">
        <f>RAW_DATA_INPUTS!AJ44</f>
        <v>930.01189463655146</v>
      </c>
      <c r="AK24" s="506">
        <f>RAW_DATA_INPUTS!AK44</f>
        <v>877.62045359295553</v>
      </c>
      <c r="AL24" s="506">
        <f>RAW_DATA_INPUTS!AL44</f>
        <v>577.8499050945469</v>
      </c>
      <c r="AM24" s="506">
        <f>RAW_DATA_INPUTS!AM44</f>
        <v>364.24931297723447</v>
      </c>
      <c r="AN24" s="506">
        <f>RAW_DATA_INPUTS!AN44</f>
        <v>755.63034542202581</v>
      </c>
      <c r="AO24" s="506">
        <f>RAW_DATA_INPUTS!AO44</f>
        <v>11672.609165664204</v>
      </c>
      <c r="AP24" s="506">
        <f>RAW_DATA_INPUTS!AP44</f>
        <v>18795.000206500372</v>
      </c>
      <c r="AQ24" s="506">
        <f>RAW_DATA_INPUTS!AQ44</f>
        <v>4636.84</v>
      </c>
      <c r="AR24" s="506">
        <f>RAW_DATA_INPUTS!AR44</f>
        <v>28767.97</v>
      </c>
    </row>
    <row r="25" spans="1:44" s="482" customFormat="1">
      <c r="B25" s="484" t="str">
        <f>RAW_DATA_INPUTS!B45</f>
        <v>45-49</v>
      </c>
      <c r="C25" s="506">
        <f>RAW_DATA_INPUTS!C45</f>
        <v>286.79515503128511</v>
      </c>
      <c r="D25" s="506">
        <f>RAW_DATA_INPUTS!D45</f>
        <v>884.20506877062644</v>
      </c>
      <c r="E25" s="506">
        <f>RAW_DATA_INPUTS!E45</f>
        <v>407.50168121205701</v>
      </c>
      <c r="F25" s="506">
        <f>RAW_DATA_INPUTS!F45</f>
        <v>881.15449638239465</v>
      </c>
      <c r="G25" s="506">
        <f>RAW_DATA_INPUTS!G45</f>
        <v>264.6302842330411</v>
      </c>
      <c r="H25" s="506">
        <f>RAW_DATA_INPUTS!H45</f>
        <v>312.34670485802485</v>
      </c>
      <c r="I25" s="506">
        <f>RAW_DATA_INPUTS!I45</f>
        <v>580.45789334890787</v>
      </c>
      <c r="J25" s="506">
        <f>RAW_DATA_INPUTS!J45</f>
        <v>769.88582074943611</v>
      </c>
      <c r="K25" s="506">
        <f>RAW_DATA_INPUTS!K45</f>
        <v>15.251645885419197</v>
      </c>
      <c r="L25" s="506">
        <f>RAW_DATA_INPUTS!L45</f>
        <v>16.732223202953662</v>
      </c>
      <c r="M25" s="506">
        <f>RAW_DATA_INPUTS!M45</f>
        <v>603.38612927587928</v>
      </c>
      <c r="N25" s="506">
        <f>RAW_DATA_INPUTS!N45</f>
        <v>383.30515416126099</v>
      </c>
      <c r="O25" s="506">
        <f>RAW_DATA_INPUTS!O45</f>
        <v>683.99826831131645</v>
      </c>
      <c r="P25" s="506">
        <f>RAW_DATA_INPUTS!P45</f>
        <v>780.97051378533718</v>
      </c>
      <c r="Q25" s="506">
        <f>RAW_DATA_INPUTS!Q45</f>
        <v>130.09798152082627</v>
      </c>
      <c r="R25" s="506">
        <f>RAW_DATA_INPUTS!R45</f>
        <v>312.76873842905593</v>
      </c>
      <c r="S25" s="506">
        <f>RAW_DATA_INPUTS!S45</f>
        <v>742.1811252510696</v>
      </c>
      <c r="T25" s="506">
        <f>RAW_DATA_INPUTS!T45</f>
        <v>2460.8810608860467</v>
      </c>
      <c r="U25" s="506">
        <f>RAW_DATA_INPUTS!U45</f>
        <v>30.094941405679467</v>
      </c>
      <c r="V25" s="506">
        <f>RAW_DATA_INPUTS!V45</f>
        <v>286.65030336604741</v>
      </c>
      <c r="W25" s="506">
        <f>RAW_DATA_INPUTS!W45</f>
        <v>593.20303766051484</v>
      </c>
      <c r="X25" s="506">
        <f>RAW_DATA_INPUTS!X45</f>
        <v>536.10892371446096</v>
      </c>
      <c r="Y25" s="506">
        <f>RAW_DATA_INPUTS!Y45</f>
        <v>638.39654476207136</v>
      </c>
      <c r="Z25" s="506">
        <f>RAW_DATA_INPUTS!Z45</f>
        <v>613.61418523680209</v>
      </c>
      <c r="AA25" s="506">
        <f>RAW_DATA_INPUTS!AA45</f>
        <v>2014.3587855916728</v>
      </c>
      <c r="AB25" s="506">
        <f>RAW_DATA_INPUTS!AB45</f>
        <v>2175.8676148833947</v>
      </c>
      <c r="AC25" s="506">
        <f>RAW_DATA_INPUTS!AC45</f>
        <v>382.38580320330453</v>
      </c>
      <c r="AD25" s="506">
        <f>RAW_DATA_INPUTS!AD45</f>
        <v>1855.5398688015891</v>
      </c>
      <c r="AE25" s="506">
        <f>RAW_DATA_INPUTS!AE45</f>
        <v>253.11572663844157</v>
      </c>
      <c r="AF25" s="506">
        <f>RAW_DATA_INPUTS!AF45</f>
        <v>269.89559089029837</v>
      </c>
      <c r="AG25" s="506">
        <f>RAW_DATA_INPUTS!AG45</f>
        <v>675.82591777566665</v>
      </c>
      <c r="AH25" s="506">
        <f>RAW_DATA_INPUTS!AH45</f>
        <v>1025.3633642309137</v>
      </c>
      <c r="AI25" s="506">
        <f>RAW_DATA_INPUTS!AI45</f>
        <v>623.47009901392971</v>
      </c>
      <c r="AJ25" s="506">
        <f>RAW_DATA_INPUTS!AJ45</f>
        <v>485.43869272272684</v>
      </c>
      <c r="AK25" s="506">
        <f>RAW_DATA_INPUTS!AK45</f>
        <v>964.13469925915729</v>
      </c>
      <c r="AL25" s="506">
        <f>RAW_DATA_INPUTS!AL45</f>
        <v>462.65089696865334</v>
      </c>
      <c r="AM25" s="506">
        <f>RAW_DATA_INPUTS!AM45</f>
        <v>280.56757695558531</v>
      </c>
      <c r="AN25" s="506">
        <f>RAW_DATA_INPUTS!AN45</f>
        <v>465.90244832458916</v>
      </c>
      <c r="AO25" s="506">
        <f>RAW_DATA_INPUTS!AO45</f>
        <v>10169.853296335827</v>
      </c>
      <c r="AP25" s="506">
        <f>RAW_DATA_INPUTS!AP45</f>
        <v>14979.281670364611</v>
      </c>
      <c r="AQ25" s="506">
        <f>RAW_DATA_INPUTS!AQ45</f>
        <v>3753.7</v>
      </c>
      <c r="AR25" s="506">
        <f>RAW_DATA_INPUTS!AR45</f>
        <v>24587.26</v>
      </c>
    </row>
    <row r="26" spans="1:44" s="482" customFormat="1">
      <c r="B26" s="484" t="str">
        <f>RAW_DATA_INPUTS!B46</f>
        <v>50-54</v>
      </c>
      <c r="C26" s="506">
        <f>RAW_DATA_INPUTS!C46</f>
        <v>264.60810056646568</v>
      </c>
      <c r="D26" s="506">
        <f>RAW_DATA_INPUTS!D46</f>
        <v>685.06109055858292</v>
      </c>
      <c r="E26" s="506">
        <f>RAW_DATA_INPUTS!E46</f>
        <v>306.32605962601349</v>
      </c>
      <c r="F26" s="506">
        <f>RAW_DATA_INPUTS!F46</f>
        <v>604.75929107535978</v>
      </c>
      <c r="G26" s="506">
        <f>RAW_DATA_INPUTS!G46</f>
        <v>198.25670922158992</v>
      </c>
      <c r="H26" s="506">
        <f>RAW_DATA_INPUTS!H46</f>
        <v>244.82576473724541</v>
      </c>
      <c r="I26" s="506">
        <f>RAW_DATA_INPUTS!I46</f>
        <v>483.40055849271459</v>
      </c>
      <c r="J26" s="506">
        <f>RAW_DATA_INPUTS!J46</f>
        <v>577.80951833874485</v>
      </c>
      <c r="K26" s="506">
        <f>RAW_DATA_INPUTS!K46</f>
        <v>18.586693779608918</v>
      </c>
      <c r="L26" s="506">
        <f>RAW_DATA_INPUTS!L46</f>
        <v>16.303345641020993</v>
      </c>
      <c r="M26" s="506">
        <f>RAW_DATA_INPUTS!M46</f>
        <v>416.48971963098029</v>
      </c>
      <c r="N26" s="506">
        <f>RAW_DATA_INPUTS!N46</f>
        <v>326.55646418253292</v>
      </c>
      <c r="O26" s="506">
        <f>RAW_DATA_INPUTS!O46</f>
        <v>660.20849306829803</v>
      </c>
      <c r="P26" s="506">
        <f>RAW_DATA_INPUTS!P46</f>
        <v>647.35555748365971</v>
      </c>
      <c r="Q26" s="506">
        <f>RAW_DATA_INPUTS!Q46</f>
        <v>116.35617886037841</v>
      </c>
      <c r="R26" s="506">
        <f>RAW_DATA_INPUTS!R46</f>
        <v>230.87286452616024</v>
      </c>
      <c r="S26" s="506">
        <f>RAW_DATA_INPUTS!S46</f>
        <v>543.83350848231635</v>
      </c>
      <c r="T26" s="506">
        <f>RAW_DATA_INPUTS!T46</f>
        <v>1978.7950034347293</v>
      </c>
      <c r="U26" s="506">
        <f>RAW_DATA_INPUTS!U46</f>
        <v>20.419888756677949</v>
      </c>
      <c r="V26" s="506">
        <f>RAW_DATA_INPUTS!V46</f>
        <v>287.82594154626992</v>
      </c>
      <c r="W26" s="506">
        <f>RAW_DATA_INPUTS!W46</f>
        <v>411.28989596677161</v>
      </c>
      <c r="X26" s="506">
        <f>RAW_DATA_INPUTS!X46</f>
        <v>350.96659020247813</v>
      </c>
      <c r="Y26" s="506">
        <f>RAW_DATA_INPUTS!Y46</f>
        <v>440.91255529630604</v>
      </c>
      <c r="Z26" s="506">
        <f>RAW_DATA_INPUTS!Z46</f>
        <v>385.44608261397229</v>
      </c>
      <c r="AA26" s="506">
        <f>RAW_DATA_INPUTS!AA46</f>
        <v>1533.6367883698415</v>
      </c>
      <c r="AB26" s="506">
        <f>RAW_DATA_INPUTS!AB46</f>
        <v>1831.0201409765189</v>
      </c>
      <c r="AC26" s="506">
        <f>RAW_DATA_INPUTS!AC46</f>
        <v>330.32425813814399</v>
      </c>
      <c r="AD26" s="506">
        <f>RAW_DATA_INPUTS!AD46</f>
        <v>1321.7501426224617</v>
      </c>
      <c r="AE26" s="506">
        <f>RAW_DATA_INPUTS!AE46</f>
        <v>196.03375033540405</v>
      </c>
      <c r="AF26" s="506">
        <f>RAW_DATA_INPUTS!AF46</f>
        <v>200.00268534908983</v>
      </c>
      <c r="AG26" s="506">
        <f>RAW_DATA_INPUTS!AG46</f>
        <v>545.35484329044994</v>
      </c>
      <c r="AH26" s="506">
        <f>RAW_DATA_INPUTS!AH46</f>
        <v>827.79526462261936</v>
      </c>
      <c r="AI26" s="506">
        <f>RAW_DATA_INPUTS!AI46</f>
        <v>396.11452545833646</v>
      </c>
      <c r="AJ26" s="506">
        <f>RAW_DATA_INPUTS!AJ46</f>
        <v>365.89011860004155</v>
      </c>
      <c r="AK26" s="506">
        <f>RAW_DATA_INPUTS!AK46</f>
        <v>817.7146445238609</v>
      </c>
      <c r="AL26" s="506">
        <f>RAW_DATA_INPUTS!AL46</f>
        <v>428.52579999739248</v>
      </c>
      <c r="AM26" s="506">
        <f>RAW_DATA_INPUTS!AM46</f>
        <v>244.95800821538646</v>
      </c>
      <c r="AN26" s="506">
        <f>RAW_DATA_INPUTS!AN46</f>
        <v>426.20305782125439</v>
      </c>
      <c r="AO26" s="506">
        <f>RAW_DATA_INPUTS!AO46</f>
        <v>7946.8251800795442</v>
      </c>
      <c r="AP26" s="506">
        <f>RAW_DATA_INPUTS!AP46</f>
        <v>11737.764724330133</v>
      </c>
      <c r="AQ26" s="506">
        <f>RAW_DATA_INPUTS!AQ46</f>
        <v>2853.97</v>
      </c>
      <c r="AR26" s="506">
        <f>RAW_DATA_INPUTS!AR46</f>
        <v>19833.46</v>
      </c>
    </row>
    <row r="27" spans="1:44" s="482" customFormat="1">
      <c r="B27" s="484" t="str">
        <f>RAW_DATA_INPUTS!B47</f>
        <v>55-59</v>
      </c>
      <c r="C27" s="506">
        <f>RAW_DATA_INPUTS!C47</f>
        <v>171.82105004610565</v>
      </c>
      <c r="D27" s="506">
        <f>RAW_DATA_INPUTS!D47</f>
        <v>304.03751721710933</v>
      </c>
      <c r="E27" s="506">
        <f>RAW_DATA_INPUTS!E47</f>
        <v>230.18795921960134</v>
      </c>
      <c r="F27" s="506">
        <f>RAW_DATA_INPUTS!F47</f>
        <v>427.57576419303831</v>
      </c>
      <c r="G27" s="506">
        <f>RAW_DATA_INPUTS!G47</f>
        <v>117.72564646981925</v>
      </c>
      <c r="H27" s="506">
        <f>RAW_DATA_INPUTS!H47</f>
        <v>121.6815618250248</v>
      </c>
      <c r="I27" s="506">
        <f>RAW_DATA_INPUTS!I47</f>
        <v>324.92275947306007</v>
      </c>
      <c r="J27" s="506">
        <f>RAW_DATA_INPUTS!J47</f>
        <v>332.56838975013079</v>
      </c>
      <c r="K27" s="506">
        <f>RAW_DATA_INPUTS!K47</f>
        <v>11.539134781478248</v>
      </c>
      <c r="L27" s="506">
        <f>RAW_DATA_INPUTS!L47</f>
        <v>20.263215158072999</v>
      </c>
      <c r="M27" s="506">
        <f>RAW_DATA_INPUTS!M47</f>
        <v>252.93321445813257</v>
      </c>
      <c r="N27" s="506">
        <f>RAW_DATA_INPUTS!N47</f>
        <v>173.00577815891646</v>
      </c>
      <c r="O27" s="506">
        <f>RAW_DATA_INPUTS!O47</f>
        <v>511.87148309011889</v>
      </c>
      <c r="P27" s="506">
        <f>RAW_DATA_INPUTS!P47</f>
        <v>441.46870131551907</v>
      </c>
      <c r="Q27" s="506">
        <f>RAW_DATA_INPUTS!Q47</f>
        <v>65.520092652897972</v>
      </c>
      <c r="R27" s="506">
        <f>RAW_DATA_INPUTS!R47</f>
        <v>132.21095335639919</v>
      </c>
      <c r="S27" s="506">
        <f>RAW_DATA_INPUTS!S47</f>
        <v>364.33631134649096</v>
      </c>
      <c r="T27" s="506">
        <f>RAW_DATA_INPUTS!T47</f>
        <v>1442.5791166107051</v>
      </c>
      <c r="U27" s="506">
        <f>RAW_DATA_INPUTS!U47</f>
        <v>5.5825978896848891</v>
      </c>
      <c r="V27" s="506">
        <f>RAW_DATA_INPUTS!V47</f>
        <v>237.67734497311355</v>
      </c>
      <c r="W27" s="506">
        <f>RAW_DATA_INPUTS!W47</f>
        <v>263.67027073283907</v>
      </c>
      <c r="X27" s="506">
        <f>RAW_DATA_INPUTS!X47</f>
        <v>277.57331829757004</v>
      </c>
      <c r="Y27" s="506">
        <f>RAW_DATA_INPUTS!Y47</f>
        <v>276.46036554681825</v>
      </c>
      <c r="Z27" s="506">
        <f>RAW_DATA_INPUTS!Z47</f>
        <v>300.19953130036043</v>
      </c>
      <c r="AA27" s="506">
        <f>RAW_DATA_INPUTS!AA47</f>
        <v>990.98880474601822</v>
      </c>
      <c r="AB27" s="506">
        <f>RAW_DATA_INPUTS!AB47</f>
        <v>1068.0997495048923</v>
      </c>
      <c r="AC27" s="506">
        <f>RAW_DATA_INPUTS!AC47</f>
        <v>178.73989309909214</v>
      </c>
      <c r="AD27" s="506">
        <f>RAW_DATA_INPUTS!AD47</f>
        <v>906.63515651715807</v>
      </c>
      <c r="AE27" s="506">
        <f>RAW_DATA_INPUTS!AE47</f>
        <v>133.3768421059784</v>
      </c>
      <c r="AF27" s="506">
        <f>RAW_DATA_INPUTS!AF47</f>
        <v>120.0562791841631</v>
      </c>
      <c r="AG27" s="506">
        <f>RAW_DATA_INPUTS!AG47</f>
        <v>386.09156394788772</v>
      </c>
      <c r="AH27" s="506">
        <f>RAW_DATA_INPUTS!AH47</f>
        <v>587.93904882502682</v>
      </c>
      <c r="AI27" s="506">
        <f>RAW_DATA_INPUTS!AI47</f>
        <v>290.55561412010792</v>
      </c>
      <c r="AJ27" s="506">
        <f>RAW_DATA_INPUTS!AJ47</f>
        <v>269.04091994249291</v>
      </c>
      <c r="AK27" s="506">
        <f>RAW_DATA_INPUTS!AK47</f>
        <v>476.21716121945889</v>
      </c>
      <c r="AL27" s="506">
        <f>RAW_DATA_INPUTS!AL47</f>
        <v>166.7904949547065</v>
      </c>
      <c r="AM27" s="506">
        <f>RAW_DATA_INPUTS!AM47</f>
        <v>160.65684482124374</v>
      </c>
      <c r="AN27" s="506">
        <f>RAW_DATA_INPUTS!AN47</f>
        <v>328.66976494975745</v>
      </c>
      <c r="AO27" s="506">
        <f>RAW_DATA_INPUTS!AO47</f>
        <v>5219.1976097668339</v>
      </c>
      <c r="AP27" s="506">
        <f>RAW_DATA_INPUTS!AP47</f>
        <v>7658.0726060341576</v>
      </c>
      <c r="AQ27" s="506">
        <f>RAW_DATA_INPUTS!AQ47</f>
        <v>1491.8</v>
      </c>
      <c r="AR27" s="506">
        <f>RAW_DATA_INPUTS!AR47</f>
        <v>12300.37</v>
      </c>
    </row>
    <row r="28" spans="1:44" s="482" customFormat="1">
      <c r="B28" s="484" t="str">
        <f>RAW_DATA_INPUTS!B48</f>
        <v>60-64</v>
      </c>
      <c r="C28" s="506">
        <f>RAW_DATA_INPUTS!C48</f>
        <v>53.994237976890552</v>
      </c>
      <c r="D28" s="506">
        <f>RAW_DATA_INPUTS!D48</f>
        <v>122.40015195235868</v>
      </c>
      <c r="E28" s="506">
        <f>RAW_DATA_INPUTS!E48</f>
        <v>56.874231610803641</v>
      </c>
      <c r="F28" s="506">
        <f>RAW_DATA_INPUTS!F48</f>
        <v>139.73540720437038</v>
      </c>
      <c r="G28" s="506">
        <f>RAW_DATA_INPUTS!G48</f>
        <v>27.766235645742817</v>
      </c>
      <c r="H28" s="506">
        <f>RAW_DATA_INPUTS!H48</f>
        <v>27.49685427224837</v>
      </c>
      <c r="I28" s="506">
        <f>RAW_DATA_INPUTS!I48</f>
        <v>99.345114176621578</v>
      </c>
      <c r="J28" s="506">
        <f>RAW_DATA_INPUTS!J48</f>
        <v>68.810672493636616</v>
      </c>
      <c r="K28" s="506">
        <f>RAW_DATA_INPUTS!K48</f>
        <v>5.9738655214041234</v>
      </c>
      <c r="L28" s="506">
        <f>RAW_DATA_INPUTS!L48</f>
        <v>5.8521873492924872</v>
      </c>
      <c r="M28" s="506">
        <f>RAW_DATA_INPUTS!M48</f>
        <v>59.56745615762317</v>
      </c>
      <c r="N28" s="506">
        <f>RAW_DATA_INPUTS!N48</f>
        <v>44.116237230323527</v>
      </c>
      <c r="O28" s="506">
        <f>RAW_DATA_INPUTS!O48</f>
        <v>128.36743224698023</v>
      </c>
      <c r="P28" s="506">
        <f>RAW_DATA_INPUTS!P48</f>
        <v>130.43445696033521</v>
      </c>
      <c r="Q28" s="506">
        <f>RAW_DATA_INPUTS!Q48</f>
        <v>29.469818808278859</v>
      </c>
      <c r="R28" s="506">
        <f>RAW_DATA_INPUTS!R48</f>
        <v>55.899526878763169</v>
      </c>
      <c r="S28" s="506">
        <f>RAW_DATA_INPUTS!S48</f>
        <v>136.46042949140207</v>
      </c>
      <c r="T28" s="506">
        <f>RAW_DATA_INPUTS!T48</f>
        <v>439.43256636831768</v>
      </c>
      <c r="U28" s="506">
        <f>RAW_DATA_INPUTS!U48</f>
        <v>5.5059744204091645</v>
      </c>
      <c r="V28" s="506">
        <f>RAW_DATA_INPUTS!V48</f>
        <v>55.541176113990467</v>
      </c>
      <c r="W28" s="506">
        <f>RAW_DATA_INPUTS!W48</f>
        <v>83.974006771059464</v>
      </c>
      <c r="X28" s="506">
        <f>RAW_DATA_INPUTS!X48</f>
        <v>74.951294375971926</v>
      </c>
      <c r="Y28" s="506">
        <f>RAW_DATA_INPUTS!Y48</f>
        <v>75.433321610667306</v>
      </c>
      <c r="Z28" s="506">
        <f>RAW_DATA_INPUTS!Z48</f>
        <v>93.967531107771165</v>
      </c>
      <c r="AA28" s="506">
        <f>RAW_DATA_INPUTS!AA48</f>
        <v>381.38918657798274</v>
      </c>
      <c r="AB28" s="506">
        <f>RAW_DATA_INPUTS!AB48</f>
        <v>361.76665592119355</v>
      </c>
      <c r="AC28" s="506">
        <f>RAW_DATA_INPUTS!AC48</f>
        <v>48.736398822214909</v>
      </c>
      <c r="AD28" s="506">
        <f>RAW_DATA_INPUTS!AD48</f>
        <v>254.63382489316101</v>
      </c>
      <c r="AE28" s="506">
        <f>RAW_DATA_INPUTS!AE48</f>
        <v>22.616608538465925</v>
      </c>
      <c r="AF28" s="506">
        <f>RAW_DATA_INPUTS!AF48</f>
        <v>30.32319098052939</v>
      </c>
      <c r="AG28" s="506">
        <f>RAW_DATA_INPUTS!AG48</f>
        <v>150.81082276441887</v>
      </c>
      <c r="AH28" s="506">
        <f>RAW_DATA_INPUTS!AH48</f>
        <v>188.54432969613984</v>
      </c>
      <c r="AI28" s="506">
        <f>RAW_DATA_INPUTS!AI48</f>
        <v>63.180997464292133</v>
      </c>
      <c r="AJ28" s="506">
        <f>RAW_DATA_INPUTS!AJ48</f>
        <v>51.454246220255342</v>
      </c>
      <c r="AK28" s="506">
        <f>RAW_DATA_INPUTS!AK48</f>
        <v>126.35725546174221</v>
      </c>
      <c r="AL28" s="506">
        <f>RAW_DATA_INPUTS!AL48</f>
        <v>42.971527818218384</v>
      </c>
      <c r="AM28" s="506">
        <f>RAW_DATA_INPUTS!AM48</f>
        <v>54.63469508244021</v>
      </c>
      <c r="AN28" s="506">
        <f>RAW_DATA_INPUTS!AN48</f>
        <v>79.642949470140309</v>
      </c>
      <c r="AO28" s="506">
        <f>RAW_DATA_INPUTS!AO48</f>
        <v>1608.45808914944</v>
      </c>
      <c r="AP28" s="506">
        <f>RAW_DATA_INPUTS!AP48</f>
        <v>2280.9747873070178</v>
      </c>
      <c r="AQ28" s="506">
        <f>RAW_DATA_INPUTS!AQ48</f>
        <v>569.73</v>
      </c>
      <c r="AR28" s="506">
        <f>RAW_DATA_INPUTS!AR48</f>
        <v>4649.1899999999996</v>
      </c>
    </row>
    <row r="29" spans="1:44" s="482" customFormat="1">
      <c r="B29" s="484" t="str">
        <f>RAW_DATA_INPUTS!B49</f>
        <v>65 plus</v>
      </c>
      <c r="C29" s="506">
        <f>RAW_DATA_INPUTS!C49</f>
        <v>12.586944414648771</v>
      </c>
      <c r="D29" s="506">
        <f>RAW_DATA_INPUTS!D49</f>
        <v>12.472836131287345</v>
      </c>
      <c r="E29" s="506">
        <f>RAW_DATA_INPUTS!E49</f>
        <v>8.4777046714232132</v>
      </c>
      <c r="F29" s="506">
        <f>RAW_DATA_INPUTS!F49</f>
        <v>18.244340933173852</v>
      </c>
      <c r="G29" s="506">
        <f>RAW_DATA_INPUTS!G49</f>
        <v>5.6899332334772303</v>
      </c>
      <c r="H29" s="506">
        <f>RAW_DATA_INPUTS!H49</f>
        <v>9.1579689900206027</v>
      </c>
      <c r="I29" s="506">
        <f>RAW_DATA_INPUTS!I49</f>
        <v>25.368908427534457</v>
      </c>
      <c r="J29" s="506">
        <f>RAW_DATA_INPUTS!J49</f>
        <v>12.179119420791704</v>
      </c>
      <c r="K29" s="506">
        <f>RAW_DATA_INPUTS!K49</f>
        <v>6.232220795077561</v>
      </c>
      <c r="L29" s="506">
        <f>RAW_DATA_INPUTS!L49</f>
        <v>5.7514999732075527</v>
      </c>
      <c r="M29" s="506">
        <f>RAW_DATA_INPUTS!M49</f>
        <v>10.584386923166369</v>
      </c>
      <c r="N29" s="506">
        <f>RAW_DATA_INPUTS!N49</f>
        <v>5.446400760376263</v>
      </c>
      <c r="O29" s="506">
        <f>RAW_DATA_INPUTS!O49</f>
        <v>27.585984073445097</v>
      </c>
      <c r="P29" s="506">
        <f>RAW_DATA_INPUTS!P49</f>
        <v>9.4945201896320519</v>
      </c>
      <c r="Q29" s="506">
        <f>RAW_DATA_INPUTS!Q49</f>
        <v>7.8190936985726678</v>
      </c>
      <c r="R29" s="506">
        <f>RAW_DATA_INPUTS!R49</f>
        <v>5.4075973669768835</v>
      </c>
      <c r="S29" s="506">
        <f>RAW_DATA_INPUTS!S49</f>
        <v>25.331187115539237</v>
      </c>
      <c r="T29" s="506">
        <f>RAW_DATA_INPUTS!T49</f>
        <v>71.165674035145088</v>
      </c>
      <c r="U29" s="506">
        <f>RAW_DATA_INPUTS!U49</f>
        <v>5.8098246794774271</v>
      </c>
      <c r="V29" s="506">
        <f>RAW_DATA_INPUTS!V49</f>
        <v>13.68287286599959</v>
      </c>
      <c r="W29" s="506">
        <f>RAW_DATA_INPUTS!W49</f>
        <v>7.551803005632034</v>
      </c>
      <c r="X29" s="506">
        <f>RAW_DATA_INPUTS!X49</f>
        <v>0</v>
      </c>
      <c r="Y29" s="506">
        <f>RAW_DATA_INPUTS!Y49</f>
        <v>8.1763565582481057</v>
      </c>
      <c r="Z29" s="506">
        <f>RAW_DATA_INPUTS!Z49</f>
        <v>0</v>
      </c>
      <c r="AA29" s="506">
        <f>RAW_DATA_INPUTS!AA49</f>
        <v>86.019093615144342</v>
      </c>
      <c r="AB29" s="506">
        <f>RAW_DATA_INPUTS!AB49</f>
        <v>63.454183488820199</v>
      </c>
      <c r="AC29" s="506">
        <f>RAW_DATA_INPUTS!AC49</f>
        <v>6.1721210183346811</v>
      </c>
      <c r="AD29" s="506">
        <f>RAW_DATA_INPUTS!AD49</f>
        <v>41.207954961943109</v>
      </c>
      <c r="AE29" s="506">
        <f>RAW_DATA_INPUTS!AE49</f>
        <v>5.7456573880420176</v>
      </c>
      <c r="AF29" s="506">
        <f>RAW_DATA_INPUTS!AF49</f>
        <v>5.8487856187205329</v>
      </c>
      <c r="AG29" s="506">
        <f>RAW_DATA_INPUTS!AG49</f>
        <v>43.842088457808352</v>
      </c>
      <c r="AH29" s="506">
        <f>RAW_DATA_INPUTS!AH49</f>
        <v>31.396400072029149</v>
      </c>
      <c r="AI29" s="506">
        <f>RAW_DATA_INPUTS!AI49</f>
        <v>12.785938396712694</v>
      </c>
      <c r="AJ29" s="506">
        <f>RAW_DATA_INPUTS!AJ49</f>
        <v>5.7081293053161168</v>
      </c>
      <c r="AK29" s="506">
        <f>RAW_DATA_INPUTS!AK49</f>
        <v>48.019043923352612</v>
      </c>
      <c r="AL29" s="506">
        <f>RAW_DATA_INPUTS!AL49</f>
        <v>9.6380801864564258</v>
      </c>
      <c r="AM29" s="506">
        <f>RAW_DATA_INPUTS!AM49</f>
        <v>18.039446274541636</v>
      </c>
      <c r="AN29" s="506">
        <f>RAW_DATA_INPUTS!AN49</f>
        <v>13.868568587056776</v>
      </c>
      <c r="AO29" s="506">
        <f>RAW_DATA_INPUTS!AO49</f>
        <v>365.83773667017851</v>
      </c>
      <c r="AP29" s="506">
        <f>RAW_DATA_INPUTS!AP49</f>
        <v>321.12493288695322</v>
      </c>
      <c r="AQ29" s="506">
        <f>RAW_DATA_INPUTS!AQ49</f>
        <v>138.63999999999999</v>
      </c>
      <c r="AR29" s="506">
        <f>RAW_DATA_INPUTS!AR49</f>
        <v>823.76</v>
      </c>
    </row>
    <row r="30" spans="1:44" s="482" customFormat="1">
      <c r="B30" s="484" t="str">
        <f>RAW_DATA_INPUTS!B50</f>
        <v>Total</v>
      </c>
      <c r="C30" s="506">
        <f>RAW_DATA_INPUTS!C50</f>
        <v>1831.0575870063851</v>
      </c>
      <c r="D30" s="506">
        <f>RAW_DATA_INPUTS!D50</f>
        <v>6360.2295568902382</v>
      </c>
      <c r="E30" s="506">
        <f>RAW_DATA_INPUTS!E50</f>
        <v>3585.3540044071283</v>
      </c>
      <c r="F30" s="506">
        <f>RAW_DATA_INPUTS!F50</f>
        <v>8394.4879630288942</v>
      </c>
      <c r="G30" s="506">
        <f>RAW_DATA_INPUTS!G50</f>
        <v>1737.3013379019462</v>
      </c>
      <c r="H30" s="506">
        <f>RAW_DATA_INPUTS!H50</f>
        <v>2306.8434010845654</v>
      </c>
      <c r="I30" s="506">
        <f>RAW_DATA_INPUTS!I50</f>
        <v>4332.0383550318666</v>
      </c>
      <c r="J30" s="506">
        <f>RAW_DATA_INPUTS!J50</f>
        <v>6278.8694425425228</v>
      </c>
      <c r="K30" s="506">
        <f>RAW_DATA_INPUTS!K50</f>
        <v>129.28509105887397</v>
      </c>
      <c r="L30" s="506">
        <f>RAW_DATA_INPUTS!L50</f>
        <v>176.77153439640753</v>
      </c>
      <c r="M30" s="506">
        <f>RAW_DATA_INPUTS!M50</f>
        <v>4177.3233906794067</v>
      </c>
      <c r="N30" s="506">
        <f>RAW_DATA_INPUTS!N50</f>
        <v>2826.7440078886066</v>
      </c>
      <c r="O30" s="506">
        <f>RAW_DATA_INPUTS!O50</f>
        <v>4198.3141046331775</v>
      </c>
      <c r="P30" s="506">
        <f>RAW_DATA_INPUTS!P50</f>
        <v>5548.3860986133568</v>
      </c>
      <c r="Q30" s="506">
        <f>RAW_DATA_INPUTS!Q50</f>
        <v>1100.5509123867062</v>
      </c>
      <c r="R30" s="506">
        <f>RAW_DATA_INPUTS!R50</f>
        <v>3714.2701243652145</v>
      </c>
      <c r="S30" s="506">
        <f>RAW_DATA_INPUTS!S50</f>
        <v>6199.1101138835011</v>
      </c>
      <c r="T30" s="506">
        <f>RAW_DATA_INPUTS!T50</f>
        <v>23471.39848631046</v>
      </c>
      <c r="U30" s="506">
        <f>RAW_DATA_INPUTS!U50</f>
        <v>199.78071304829831</v>
      </c>
      <c r="V30" s="506">
        <f>RAW_DATA_INPUTS!V50</f>
        <v>1798.4571856228583</v>
      </c>
      <c r="W30" s="506">
        <f>RAW_DATA_INPUTS!W50</f>
        <v>4637.5750423959253</v>
      </c>
      <c r="X30" s="506">
        <f>RAW_DATA_INPUTS!X50</f>
        <v>6035.0451001562524</v>
      </c>
      <c r="Y30" s="506">
        <f>RAW_DATA_INPUTS!Y50</f>
        <v>5012.1646366540344</v>
      </c>
      <c r="Z30" s="506">
        <f>RAW_DATA_INPUTS!Z50</f>
        <v>6344.3370991885904</v>
      </c>
      <c r="AA30" s="506">
        <f>RAW_DATA_INPUTS!AA50</f>
        <v>14096.167938966257</v>
      </c>
      <c r="AB30" s="506">
        <f>RAW_DATA_INPUTS!AB50</f>
        <v>16311.328621354438</v>
      </c>
      <c r="AC30" s="506">
        <f>RAW_DATA_INPUTS!AC50</f>
        <v>2727.7156035215648</v>
      </c>
      <c r="AD30" s="506">
        <f>RAW_DATA_INPUTS!AD50</f>
        <v>12097.786247064096</v>
      </c>
      <c r="AE30" s="506">
        <f>RAW_DATA_INPUTS!AE50</f>
        <v>2161.096128646454</v>
      </c>
      <c r="AF30" s="506">
        <f>RAW_DATA_INPUTS!AF50</f>
        <v>2850.728624623102</v>
      </c>
      <c r="AG30" s="506">
        <f>RAW_DATA_INPUTS!AG50</f>
        <v>4771.8742537653734</v>
      </c>
      <c r="AH30" s="506">
        <f>RAW_DATA_INPUTS!AH50</f>
        <v>9107.9000233383231</v>
      </c>
      <c r="AI30" s="506">
        <f>RAW_DATA_INPUTS!AI50</f>
        <v>8731.2915200372008</v>
      </c>
      <c r="AJ30" s="506">
        <f>RAW_DATA_INPUTS!AJ50</f>
        <v>7964.7415886362551</v>
      </c>
      <c r="AK30" s="506">
        <f>RAW_DATA_INPUTS!AK50</f>
        <v>6587.6919410603441</v>
      </c>
      <c r="AL30" s="506">
        <f>RAW_DATA_INPUTS!AL50</f>
        <v>3785.3605026257333</v>
      </c>
      <c r="AM30" s="506">
        <f>RAW_DATA_INPUTS!AM50</f>
        <v>2263.5217116082654</v>
      </c>
      <c r="AN30" s="506">
        <f>RAW_DATA_INPUTS!AN50</f>
        <v>5051.1210093438867</v>
      </c>
      <c r="AO30" s="506">
        <f>RAW_DATA_INPUTS!AO50</f>
        <v>78479.214386692693</v>
      </c>
      <c r="AP30" s="506">
        <f>RAW_DATA_INPUTS!AP50</f>
        <v>130424.80661707379</v>
      </c>
      <c r="AQ30" s="506">
        <f>RAW_DATA_INPUTS!AQ50</f>
        <v>33566.740000000005</v>
      </c>
      <c r="AR30" s="506">
        <f>RAW_DATA_INPUTS!AR50</f>
        <v>207940.97</v>
      </c>
    </row>
    <row r="31" spans="1:44">
      <c r="A31" s="4">
        <f>SUM(C31:AR31)</f>
        <v>0</v>
      </c>
      <c r="C31" s="4">
        <f>SUM(C20:C29)-C30</f>
        <v>0</v>
      </c>
      <c r="D31" s="4">
        <f t="shared" ref="D31:AR31" si="0">SUM(D20:D29)-D30</f>
        <v>0</v>
      </c>
      <c r="E31" s="4">
        <f t="shared" si="0"/>
        <v>0</v>
      </c>
      <c r="F31" s="4">
        <f t="shared" si="0"/>
        <v>0</v>
      </c>
      <c r="G31" s="4">
        <f t="shared" si="0"/>
        <v>0</v>
      </c>
      <c r="H31" s="4">
        <f t="shared" si="0"/>
        <v>0</v>
      </c>
      <c r="I31" s="4">
        <f t="shared" si="0"/>
        <v>0</v>
      </c>
      <c r="J31" s="4">
        <f t="shared" si="0"/>
        <v>0</v>
      </c>
      <c r="K31" s="4">
        <f t="shared" si="0"/>
        <v>0</v>
      </c>
      <c r="L31" s="4">
        <f t="shared" si="0"/>
        <v>0</v>
      </c>
      <c r="M31" s="4">
        <f t="shared" si="0"/>
        <v>0</v>
      </c>
      <c r="N31" s="4">
        <f t="shared" si="0"/>
        <v>0</v>
      </c>
      <c r="O31" s="4">
        <f t="shared" si="0"/>
        <v>0</v>
      </c>
      <c r="P31" s="4">
        <f t="shared" si="0"/>
        <v>0</v>
      </c>
      <c r="Q31" s="4">
        <f t="shared" si="0"/>
        <v>0</v>
      </c>
      <c r="R31" s="4">
        <f t="shared" si="0"/>
        <v>0</v>
      </c>
      <c r="S31" s="4">
        <f t="shared" si="0"/>
        <v>0</v>
      </c>
      <c r="T31" s="4">
        <f t="shared" si="0"/>
        <v>0</v>
      </c>
      <c r="U31" s="4">
        <f t="shared" si="0"/>
        <v>0</v>
      </c>
      <c r="V31" s="4">
        <f t="shared" si="0"/>
        <v>0</v>
      </c>
      <c r="W31" s="4">
        <f t="shared" si="0"/>
        <v>0</v>
      </c>
      <c r="X31" s="4">
        <f t="shared" si="0"/>
        <v>0</v>
      </c>
      <c r="Y31" s="4">
        <f t="shared" si="0"/>
        <v>0</v>
      </c>
      <c r="Z31" s="4">
        <f t="shared" si="0"/>
        <v>0</v>
      </c>
      <c r="AA31" s="4">
        <f t="shared" si="0"/>
        <v>0</v>
      </c>
      <c r="AB31" s="4">
        <f t="shared" si="0"/>
        <v>0</v>
      </c>
      <c r="AC31" s="4">
        <f t="shared" si="0"/>
        <v>0</v>
      </c>
      <c r="AD31" s="4">
        <f t="shared" si="0"/>
        <v>0</v>
      </c>
      <c r="AE31" s="4">
        <f t="shared" si="0"/>
        <v>0</v>
      </c>
      <c r="AF31" s="4">
        <f t="shared" si="0"/>
        <v>0</v>
      </c>
      <c r="AG31" s="4">
        <f t="shared" si="0"/>
        <v>0</v>
      </c>
      <c r="AH31" s="4">
        <f t="shared" si="0"/>
        <v>0</v>
      </c>
      <c r="AI31" s="4">
        <f t="shared" si="0"/>
        <v>0</v>
      </c>
      <c r="AJ31" s="4">
        <f t="shared" si="0"/>
        <v>0</v>
      </c>
      <c r="AK31" s="4">
        <f t="shared" si="0"/>
        <v>0</v>
      </c>
      <c r="AL31" s="4">
        <f t="shared" si="0"/>
        <v>0</v>
      </c>
      <c r="AM31" s="4">
        <f t="shared" si="0"/>
        <v>0</v>
      </c>
      <c r="AN31" s="4">
        <f t="shared" si="0"/>
        <v>0</v>
      </c>
      <c r="AO31" s="4">
        <f t="shared" si="0"/>
        <v>0</v>
      </c>
      <c r="AP31" s="4">
        <f t="shared" si="0"/>
        <v>0</v>
      </c>
      <c r="AQ31" s="4">
        <f t="shared" si="0"/>
        <v>0</v>
      </c>
      <c r="AR31" s="4">
        <f t="shared" si="0"/>
        <v>0</v>
      </c>
    </row>
    <row r="33" spans="1:44">
      <c r="B33" s="132" t="str">
        <f>RAW_DATA_INPUTS!B52</f>
        <v>Unqualified stocks</v>
      </c>
    </row>
    <row r="35" spans="1:44" s="482" customFormat="1" ht="39.75" customHeight="1">
      <c r="B35" s="1298" t="str">
        <f>RAW_DATA_INPUTS!B55</f>
        <v>Age group</v>
      </c>
      <c r="C35" s="1300" t="str">
        <f>RAW_DATA_INPUTS!C54</f>
        <v>Art &amp; Design</v>
      </c>
      <c r="D35" s="1300"/>
      <c r="E35" s="1300" t="str">
        <f>RAW_DATA_INPUTS!E54</f>
        <v>Biology</v>
      </c>
      <c r="F35" s="1300"/>
      <c r="G35" s="1300" t="str">
        <f>RAW_DATA_INPUTS!G54</f>
        <v>Business Studies</v>
      </c>
      <c r="H35" s="1300"/>
      <c r="I35" s="1300" t="str">
        <f>RAW_DATA_INPUTS!I54</f>
        <v>Chemistry</v>
      </c>
      <c r="J35" s="1300"/>
      <c r="K35" s="1300" t="str">
        <f>RAW_DATA_INPUTS!K54</f>
        <v>Classics</v>
      </c>
      <c r="L35" s="1300"/>
      <c r="M35" s="1300" t="str">
        <f>RAW_DATA_INPUTS!M54</f>
        <v>Computing</v>
      </c>
      <c r="N35" s="1300"/>
      <c r="O35" s="1301" t="str">
        <f>RAW_DATA_INPUTS!O54</f>
        <v>Design &amp; Technology</v>
      </c>
      <c r="P35" s="1302"/>
      <c r="Q35" s="1300" t="str">
        <f>RAW_DATA_INPUTS!Q54</f>
        <v>Drama</v>
      </c>
      <c r="R35" s="1300"/>
      <c r="S35" s="1300" t="str">
        <f>RAW_DATA_INPUTS!S54</f>
        <v>English</v>
      </c>
      <c r="T35" s="1300"/>
      <c r="U35" s="1300" t="str">
        <f>RAW_DATA_INPUTS!U54</f>
        <v>Food</v>
      </c>
      <c r="V35" s="1300"/>
      <c r="W35" s="1300" t="str">
        <f>RAW_DATA_INPUTS!W54</f>
        <v>Geography</v>
      </c>
      <c r="X35" s="1300"/>
      <c r="Y35" s="1300" t="str">
        <f>RAW_DATA_INPUTS!Y54</f>
        <v>History</v>
      </c>
      <c r="Z35" s="1300"/>
      <c r="AA35" s="1300" t="str">
        <f>RAW_DATA_INPUTS!AA54</f>
        <v>Mathematics</v>
      </c>
      <c r="AB35" s="1300"/>
      <c r="AC35" s="1301" t="str">
        <f>RAW_DATA_INPUTS!AC54</f>
        <v>Modern Foreign Languages</v>
      </c>
      <c r="AD35" s="1302"/>
      <c r="AE35" s="1300" t="str">
        <f>RAW_DATA_INPUTS!AE54</f>
        <v>Music</v>
      </c>
      <c r="AF35" s="1300"/>
      <c r="AG35" s="1300" t="str">
        <f>RAW_DATA_INPUTS!AG54</f>
        <v>Others</v>
      </c>
      <c r="AH35" s="1300"/>
      <c r="AI35" s="1300" t="str">
        <f>RAW_DATA_INPUTS!AI54</f>
        <v>Physical Education</v>
      </c>
      <c r="AJ35" s="1300"/>
      <c r="AK35" s="1300" t="str">
        <f>RAW_DATA_INPUTS!AK54</f>
        <v>Physics</v>
      </c>
      <c r="AL35" s="1300"/>
      <c r="AM35" s="1300" t="str">
        <f>RAW_DATA_INPUTS!AM54</f>
        <v>Religious Education</v>
      </c>
      <c r="AN35" s="1300"/>
      <c r="AO35" s="1300" t="str">
        <f>RAW_DATA_INPUTS!AO54</f>
        <v>Secondary total</v>
      </c>
      <c r="AP35" s="1300"/>
      <c r="AQ35" s="1300" t="str">
        <f>RAW_DATA_INPUTS!AQ54</f>
        <v>Primary</v>
      </c>
      <c r="AR35" s="1300"/>
    </row>
    <row r="36" spans="1:44" s="482" customFormat="1">
      <c r="B36" s="1299"/>
      <c r="C36" s="484" t="str">
        <f>RAW_DATA_INPUTS!C55</f>
        <v>Male</v>
      </c>
      <c r="D36" s="484" t="str">
        <f>RAW_DATA_INPUTS!D55</f>
        <v>Female</v>
      </c>
      <c r="E36" s="484" t="str">
        <f>RAW_DATA_INPUTS!E55</f>
        <v>Male</v>
      </c>
      <c r="F36" s="484" t="str">
        <f>RAW_DATA_INPUTS!F55</f>
        <v>Female</v>
      </c>
      <c r="G36" s="484" t="str">
        <f>RAW_DATA_INPUTS!G55</f>
        <v>Male</v>
      </c>
      <c r="H36" s="484" t="str">
        <f>RAW_DATA_INPUTS!H55</f>
        <v>Female</v>
      </c>
      <c r="I36" s="484" t="str">
        <f>RAW_DATA_INPUTS!I55</f>
        <v>Male</v>
      </c>
      <c r="J36" s="484" t="str">
        <f>RAW_DATA_INPUTS!J55</f>
        <v>Female</v>
      </c>
      <c r="K36" s="484" t="str">
        <f>RAW_DATA_INPUTS!K55</f>
        <v>Male</v>
      </c>
      <c r="L36" s="484" t="str">
        <f>RAW_DATA_INPUTS!L55</f>
        <v>Female</v>
      </c>
      <c r="M36" s="484" t="str">
        <f>RAW_DATA_INPUTS!M55</f>
        <v>Male</v>
      </c>
      <c r="N36" s="484" t="str">
        <f>RAW_DATA_INPUTS!N55</f>
        <v>Female</v>
      </c>
      <c r="O36" s="484" t="str">
        <f>RAW_DATA_INPUTS!O55</f>
        <v>Male</v>
      </c>
      <c r="P36" s="484" t="str">
        <f>RAW_DATA_INPUTS!P55</f>
        <v>Female</v>
      </c>
      <c r="Q36" s="484" t="str">
        <f>RAW_DATA_INPUTS!Q55</f>
        <v>Male</v>
      </c>
      <c r="R36" s="484" t="str">
        <f>RAW_DATA_INPUTS!R55</f>
        <v>Female</v>
      </c>
      <c r="S36" s="484" t="str">
        <f>RAW_DATA_INPUTS!S55</f>
        <v>Male</v>
      </c>
      <c r="T36" s="484" t="str">
        <f>RAW_DATA_INPUTS!T55</f>
        <v>Female</v>
      </c>
      <c r="U36" s="484" t="str">
        <f>RAW_DATA_INPUTS!U55</f>
        <v>Male</v>
      </c>
      <c r="V36" s="484" t="str">
        <f>RAW_DATA_INPUTS!V55</f>
        <v>Female</v>
      </c>
      <c r="W36" s="484" t="str">
        <f>RAW_DATA_INPUTS!W55</f>
        <v>Male</v>
      </c>
      <c r="X36" s="484" t="str">
        <f>RAW_DATA_INPUTS!X55</f>
        <v>Female</v>
      </c>
      <c r="Y36" s="484" t="str">
        <f>RAW_DATA_INPUTS!Y55</f>
        <v>Male</v>
      </c>
      <c r="Z36" s="484" t="str">
        <f>RAW_DATA_INPUTS!Z55</f>
        <v>Female</v>
      </c>
      <c r="AA36" s="484" t="str">
        <f>RAW_DATA_INPUTS!AA55</f>
        <v>Male</v>
      </c>
      <c r="AB36" s="484" t="str">
        <f>RAW_DATA_INPUTS!AB55</f>
        <v>Female</v>
      </c>
      <c r="AC36" s="484" t="str">
        <f>RAW_DATA_INPUTS!AC55</f>
        <v>Male</v>
      </c>
      <c r="AD36" s="484" t="str">
        <f>RAW_DATA_INPUTS!AD55</f>
        <v>Female</v>
      </c>
      <c r="AE36" s="484" t="str">
        <f>RAW_DATA_INPUTS!AE55</f>
        <v>Male</v>
      </c>
      <c r="AF36" s="484" t="str">
        <f>RAW_DATA_INPUTS!AF55</f>
        <v>Female</v>
      </c>
      <c r="AG36" s="484" t="str">
        <f>RAW_DATA_INPUTS!AG55</f>
        <v>Male</v>
      </c>
      <c r="AH36" s="484" t="str">
        <f>RAW_DATA_INPUTS!AH55</f>
        <v>Female</v>
      </c>
      <c r="AI36" s="484" t="str">
        <f>RAW_DATA_INPUTS!AI55</f>
        <v>Male</v>
      </c>
      <c r="AJ36" s="484" t="str">
        <f>RAW_DATA_INPUTS!AJ55</f>
        <v>Female</v>
      </c>
      <c r="AK36" s="484" t="str">
        <f>RAW_DATA_INPUTS!AK55</f>
        <v>Male</v>
      </c>
      <c r="AL36" s="484" t="str">
        <f>RAW_DATA_INPUTS!AL55</f>
        <v>Female</v>
      </c>
      <c r="AM36" s="484" t="str">
        <f>RAW_DATA_INPUTS!AM55</f>
        <v>Male</v>
      </c>
      <c r="AN36" s="484" t="str">
        <f>RAW_DATA_INPUTS!AN55</f>
        <v>Female</v>
      </c>
      <c r="AO36" s="484" t="str">
        <f>RAW_DATA_INPUTS!AO55</f>
        <v>Male</v>
      </c>
      <c r="AP36" s="484" t="str">
        <f>RAW_DATA_INPUTS!AP55</f>
        <v>Female</v>
      </c>
      <c r="AQ36" s="484" t="str">
        <f>RAW_DATA_INPUTS!AQ55</f>
        <v>Male</v>
      </c>
      <c r="AR36" s="484" t="str">
        <f>RAW_DATA_INPUTS!AR55</f>
        <v>Female</v>
      </c>
    </row>
    <row r="37" spans="1:44" s="482" customFormat="1">
      <c r="B37" s="484" t="str">
        <f>RAW_DATA_INPUTS!B56</f>
        <v>20-24</v>
      </c>
      <c r="C37" s="506">
        <f>RAW_DATA_INPUTS!C56</f>
        <v>5.5833493816840338</v>
      </c>
      <c r="D37" s="506">
        <f>RAW_DATA_INPUTS!D56</f>
        <v>30.425872713485383</v>
      </c>
      <c r="E37" s="506">
        <f>RAW_DATA_INPUTS!E56</f>
        <v>41.563286659035406</v>
      </c>
      <c r="F37" s="506">
        <f>RAW_DATA_INPUTS!F56</f>
        <v>123.55115351385659</v>
      </c>
      <c r="G37" s="506">
        <f>RAW_DATA_INPUTS!G56</f>
        <v>18.983405161033009</v>
      </c>
      <c r="H37" s="506">
        <f>RAW_DATA_INPUTS!H56</f>
        <v>28.166316870821618</v>
      </c>
      <c r="I37" s="506">
        <f>RAW_DATA_INPUTS!I56</f>
        <v>45.880793245280366</v>
      </c>
      <c r="J37" s="506">
        <f>RAW_DATA_INPUTS!J56</f>
        <v>55.579815644451848</v>
      </c>
      <c r="K37" s="506">
        <f>RAW_DATA_INPUTS!K56</f>
        <v>0</v>
      </c>
      <c r="L37" s="506">
        <f>RAW_DATA_INPUTS!L56</f>
        <v>6.0532718822898026</v>
      </c>
      <c r="M37" s="506">
        <f>RAW_DATA_INPUTS!M56</f>
        <v>15.958660933992945</v>
      </c>
      <c r="N37" s="506">
        <f>RAW_DATA_INPUTS!N56</f>
        <v>17.514187440386035</v>
      </c>
      <c r="O37" s="506">
        <f>RAW_DATA_INPUTS!O56</f>
        <v>38.088028881579007</v>
      </c>
      <c r="P37" s="506">
        <f>RAW_DATA_INPUTS!P56</f>
        <v>25.382023970472293</v>
      </c>
      <c r="Q37" s="506">
        <f>RAW_DATA_INPUTS!Q56</f>
        <v>10.67664606760682</v>
      </c>
      <c r="R37" s="506">
        <f>RAW_DATA_INPUTS!R56</f>
        <v>55.507181243135278</v>
      </c>
      <c r="S37" s="506">
        <f>RAW_DATA_INPUTS!S56</f>
        <v>107.44220170425237</v>
      </c>
      <c r="T37" s="506">
        <f>RAW_DATA_INPUTS!T56</f>
        <v>472.2116954144355</v>
      </c>
      <c r="U37" s="506">
        <f>RAW_DATA_INPUTS!U56</f>
        <v>0</v>
      </c>
      <c r="V37" s="506">
        <f>RAW_DATA_INPUTS!V56</f>
        <v>7.156535385459776</v>
      </c>
      <c r="W37" s="506">
        <f>RAW_DATA_INPUTS!W56</f>
        <v>65.232678627806379</v>
      </c>
      <c r="X37" s="506">
        <f>RAW_DATA_INPUTS!X56</f>
        <v>114.27634227350475</v>
      </c>
      <c r="Y37" s="506">
        <f>RAW_DATA_INPUTS!Y56</f>
        <v>80.909588339407009</v>
      </c>
      <c r="Z37" s="506">
        <f>RAW_DATA_INPUTS!Z56</f>
        <v>87.682338690398609</v>
      </c>
      <c r="AA37" s="506">
        <f>RAW_DATA_INPUTS!AA56</f>
        <v>213.95659331683348</v>
      </c>
      <c r="AB37" s="506">
        <f>RAW_DATA_INPUTS!AB56</f>
        <v>247.46891529683833</v>
      </c>
      <c r="AC37" s="506">
        <f>RAW_DATA_INPUTS!AC56</f>
        <v>16.037289597420536</v>
      </c>
      <c r="AD37" s="506">
        <f>RAW_DATA_INPUTS!AD56</f>
        <v>48.76647249941972</v>
      </c>
      <c r="AE37" s="506">
        <f>RAW_DATA_INPUTS!AE56</f>
        <v>18.458952046496293</v>
      </c>
      <c r="AF37" s="506">
        <f>RAW_DATA_INPUTS!AF56</f>
        <v>18.524032968769145</v>
      </c>
      <c r="AG37" s="506">
        <f>RAW_DATA_INPUTS!AG56</f>
        <v>45.829265271760008</v>
      </c>
      <c r="AH37" s="506">
        <f>RAW_DATA_INPUTS!AH56</f>
        <v>111.29581181899025</v>
      </c>
      <c r="AI37" s="506">
        <f>RAW_DATA_INPUTS!AI56</f>
        <v>63.959760036546257</v>
      </c>
      <c r="AJ37" s="506">
        <f>RAW_DATA_INPUTS!AJ56</f>
        <v>45.694420117937483</v>
      </c>
      <c r="AK37" s="506">
        <f>RAW_DATA_INPUTS!AK56</f>
        <v>57.821466504337934</v>
      </c>
      <c r="AL37" s="506">
        <f>RAW_DATA_INPUTS!AL56</f>
        <v>49.426977242334864</v>
      </c>
      <c r="AM37" s="506">
        <f>RAW_DATA_INPUTS!AM56</f>
        <v>26.8225061265221</v>
      </c>
      <c r="AN37" s="506">
        <f>RAW_DATA_INPUTS!AN56</f>
        <v>55.44225225465717</v>
      </c>
      <c r="AO37" s="506">
        <f>RAW_DATA_INPUTS!AO56</f>
        <v>873.20447190159393</v>
      </c>
      <c r="AP37" s="506">
        <f>RAW_DATA_INPUTS!AP56</f>
        <v>1600.1256172416445</v>
      </c>
      <c r="AQ37" s="506">
        <f>RAW_DATA_INPUTS!AQ56</f>
        <v>257.88</v>
      </c>
      <c r="AR37" s="506">
        <f>RAW_DATA_INPUTS!AR56</f>
        <v>1041.03</v>
      </c>
    </row>
    <row r="38" spans="1:44" s="482" customFormat="1">
      <c r="B38" s="484" t="str">
        <f>RAW_DATA_INPUTS!B57</f>
        <v>25-29</v>
      </c>
      <c r="C38" s="506">
        <f>RAW_DATA_INPUTS!C57</f>
        <v>23.366122297081116</v>
      </c>
      <c r="D38" s="506">
        <f>RAW_DATA_INPUTS!D57</f>
        <v>98.728688853986611</v>
      </c>
      <c r="E38" s="506">
        <f>RAW_DATA_INPUTS!E57</f>
        <v>74.010912606990601</v>
      </c>
      <c r="F38" s="506">
        <f>RAW_DATA_INPUTS!F57</f>
        <v>107.84261272575581</v>
      </c>
      <c r="G38" s="506">
        <f>RAW_DATA_INPUTS!G57</f>
        <v>39.149095239069439</v>
      </c>
      <c r="H38" s="506">
        <f>RAW_DATA_INPUTS!H57</f>
        <v>40.979890870040983</v>
      </c>
      <c r="I38" s="506">
        <f>RAW_DATA_INPUTS!I57</f>
        <v>80.286630319445521</v>
      </c>
      <c r="J38" s="506">
        <f>RAW_DATA_INPUTS!J57</f>
        <v>129.91060715511151</v>
      </c>
      <c r="K38" s="506">
        <f>RAW_DATA_INPUTS!K57</f>
        <v>0</v>
      </c>
      <c r="L38" s="506">
        <f>RAW_DATA_INPUTS!L57</f>
        <v>0</v>
      </c>
      <c r="M38" s="506">
        <f>RAW_DATA_INPUTS!M57</f>
        <v>43.116311928169864</v>
      </c>
      <c r="N38" s="506">
        <f>RAW_DATA_INPUTS!N57</f>
        <v>27.951429964299003</v>
      </c>
      <c r="O38" s="506">
        <f>RAW_DATA_INPUTS!O57</f>
        <v>67.637086715676517</v>
      </c>
      <c r="P38" s="506">
        <f>RAW_DATA_INPUTS!P57</f>
        <v>70.29283365154896</v>
      </c>
      <c r="Q38" s="506">
        <f>RAW_DATA_INPUTS!Q57</f>
        <v>40.472842670043612</v>
      </c>
      <c r="R38" s="506">
        <f>RAW_DATA_INPUTS!R57</f>
        <v>117.59980800876002</v>
      </c>
      <c r="S38" s="506">
        <f>RAW_DATA_INPUTS!S57</f>
        <v>213.97611780721465</v>
      </c>
      <c r="T38" s="506">
        <f>RAW_DATA_INPUTS!T57</f>
        <v>690.70329021092073</v>
      </c>
      <c r="U38" s="506">
        <f>RAW_DATA_INPUTS!U57</f>
        <v>8.022060356140992</v>
      </c>
      <c r="V38" s="506">
        <f>RAW_DATA_INPUTS!V57</f>
        <v>15.681158627802764</v>
      </c>
      <c r="W38" s="506">
        <f>RAW_DATA_INPUTS!W57</f>
        <v>76.591423429701095</v>
      </c>
      <c r="X38" s="506">
        <f>RAW_DATA_INPUTS!X57</f>
        <v>94.21730360845217</v>
      </c>
      <c r="Y38" s="506">
        <f>RAW_DATA_INPUTS!Y57</f>
        <v>118.27835102988929</v>
      </c>
      <c r="Z38" s="506">
        <f>RAW_DATA_INPUTS!Z57</f>
        <v>118.78092614832208</v>
      </c>
      <c r="AA38" s="506">
        <f>RAW_DATA_INPUTS!AA57</f>
        <v>235.04631319245607</v>
      </c>
      <c r="AB38" s="506">
        <f>RAW_DATA_INPUTS!AB57</f>
        <v>251.7154629608917</v>
      </c>
      <c r="AC38" s="506">
        <f>RAW_DATA_INPUTS!AC57</f>
        <v>27.993581198147798</v>
      </c>
      <c r="AD38" s="506">
        <f>RAW_DATA_INPUTS!AD57</f>
        <v>73.357718349796215</v>
      </c>
      <c r="AE38" s="506">
        <f>RAW_DATA_INPUTS!AE57</f>
        <v>52.294022913671881</v>
      </c>
      <c r="AF38" s="506">
        <f>RAW_DATA_INPUTS!AF57</f>
        <v>28.59755849164825</v>
      </c>
      <c r="AG38" s="506">
        <f>RAW_DATA_INPUTS!AG57</f>
        <v>121.65397096171324</v>
      </c>
      <c r="AH38" s="506">
        <f>RAW_DATA_INPUTS!AH57</f>
        <v>340.48287530247632</v>
      </c>
      <c r="AI38" s="506">
        <f>RAW_DATA_INPUTS!AI57</f>
        <v>116.30222666897737</v>
      </c>
      <c r="AJ38" s="506">
        <f>RAW_DATA_INPUTS!AJ57</f>
        <v>105.27627164019032</v>
      </c>
      <c r="AK38" s="506">
        <f>RAW_DATA_INPUTS!AK57</f>
        <v>50.567353126321919</v>
      </c>
      <c r="AL38" s="506">
        <f>RAW_DATA_INPUTS!AL57</f>
        <v>44.443594754577767</v>
      </c>
      <c r="AM38" s="506">
        <f>RAW_DATA_INPUTS!AM57</f>
        <v>33.291969718074313</v>
      </c>
      <c r="AN38" s="506">
        <f>RAW_DATA_INPUTS!AN57</f>
        <v>87.790570902842276</v>
      </c>
      <c r="AO38" s="506">
        <f>RAW_DATA_INPUTS!AO57</f>
        <v>1422.056392178785</v>
      </c>
      <c r="AP38" s="506">
        <f>RAW_DATA_INPUTS!AP57</f>
        <v>2444.3526022274232</v>
      </c>
      <c r="AQ38" s="506">
        <f>RAW_DATA_INPUTS!AQ57</f>
        <v>625.22</v>
      </c>
      <c r="AR38" s="506">
        <f>RAW_DATA_INPUTS!AR57</f>
        <v>1714.19</v>
      </c>
    </row>
    <row r="39" spans="1:44" s="482" customFormat="1">
      <c r="B39" s="484" t="str">
        <f>RAW_DATA_INPUTS!B58</f>
        <v>30-34</v>
      </c>
      <c r="C39" s="506">
        <f>RAW_DATA_INPUTS!C58</f>
        <v>26.383036252987065</v>
      </c>
      <c r="D39" s="506">
        <f>RAW_DATA_INPUTS!D58</f>
        <v>70.798184126641928</v>
      </c>
      <c r="E39" s="506">
        <f>RAW_DATA_INPUTS!E58</f>
        <v>24.562809778065649</v>
      </c>
      <c r="F39" s="506">
        <f>RAW_DATA_INPUTS!F58</f>
        <v>54.3093879411622</v>
      </c>
      <c r="G39" s="506">
        <f>RAW_DATA_INPUTS!G58</f>
        <v>21.031701308381553</v>
      </c>
      <c r="H39" s="506">
        <f>RAW_DATA_INPUTS!H58</f>
        <v>38.638268338220705</v>
      </c>
      <c r="I39" s="506">
        <f>RAW_DATA_INPUTS!I58</f>
        <v>9.9083682301563876</v>
      </c>
      <c r="J39" s="506">
        <f>RAW_DATA_INPUTS!J58</f>
        <v>41.908230730035697</v>
      </c>
      <c r="K39" s="506">
        <f>RAW_DATA_INPUTS!K58</f>
        <v>5</v>
      </c>
      <c r="L39" s="506">
        <f>RAW_DATA_INPUTS!L58</f>
        <v>0</v>
      </c>
      <c r="M39" s="506">
        <f>RAW_DATA_INPUTS!M58</f>
        <v>35.917247170139547</v>
      </c>
      <c r="N39" s="506">
        <f>RAW_DATA_INPUTS!N58</f>
        <v>31.209627376338585</v>
      </c>
      <c r="O39" s="506">
        <f>RAW_DATA_INPUTS!O58</f>
        <v>50.098362032291575</v>
      </c>
      <c r="P39" s="506">
        <f>RAW_DATA_INPUTS!P58</f>
        <v>47.0008235474332</v>
      </c>
      <c r="Q39" s="506">
        <f>RAW_DATA_INPUTS!Q58</f>
        <v>20.608711601752418</v>
      </c>
      <c r="R39" s="506">
        <f>RAW_DATA_INPUTS!R58</f>
        <v>64.650749965706666</v>
      </c>
      <c r="S39" s="506">
        <f>RAW_DATA_INPUTS!S58</f>
        <v>147.10633523135797</v>
      </c>
      <c r="T39" s="506">
        <f>RAW_DATA_INPUTS!T58</f>
        <v>336.39505077229944</v>
      </c>
      <c r="U39" s="506">
        <f>RAW_DATA_INPUTS!U58</f>
        <v>0</v>
      </c>
      <c r="V39" s="506">
        <f>RAW_DATA_INPUTS!V58</f>
        <v>14.494551813159163</v>
      </c>
      <c r="W39" s="506">
        <f>RAW_DATA_INPUTS!W58</f>
        <v>28.594118063091223</v>
      </c>
      <c r="X39" s="506">
        <f>RAW_DATA_INPUTS!X58</f>
        <v>41.441795650636251</v>
      </c>
      <c r="Y39" s="506">
        <f>RAW_DATA_INPUTS!Y58</f>
        <v>55.726770552438381</v>
      </c>
      <c r="Z39" s="506">
        <f>RAW_DATA_INPUTS!Z58</f>
        <v>54.745647811274779</v>
      </c>
      <c r="AA39" s="506">
        <f>RAW_DATA_INPUTS!AA58</f>
        <v>130.14878488426615</v>
      </c>
      <c r="AB39" s="506">
        <f>RAW_DATA_INPUTS!AB58</f>
        <v>159.55657751587839</v>
      </c>
      <c r="AC39" s="506">
        <f>RAW_DATA_INPUTS!AC58</f>
        <v>17.4286983960966</v>
      </c>
      <c r="AD39" s="506">
        <f>RAW_DATA_INPUTS!AD58</f>
        <v>57.805617411280018</v>
      </c>
      <c r="AE39" s="506">
        <f>RAW_DATA_INPUTS!AE58</f>
        <v>29.746987703482581</v>
      </c>
      <c r="AF39" s="506">
        <f>RAW_DATA_INPUTS!AF58</f>
        <v>20.118014941974941</v>
      </c>
      <c r="AG39" s="506">
        <f>RAW_DATA_INPUTS!AG58</f>
        <v>87.097959755500966</v>
      </c>
      <c r="AH39" s="506">
        <f>RAW_DATA_INPUTS!AH58</f>
        <v>258.49394713564499</v>
      </c>
      <c r="AI39" s="506">
        <f>RAW_DATA_INPUTS!AI58</f>
        <v>97.107783913200564</v>
      </c>
      <c r="AJ39" s="506">
        <f>RAW_DATA_INPUTS!AJ58</f>
        <v>53.884957750447953</v>
      </c>
      <c r="AK39" s="506">
        <f>RAW_DATA_INPUTS!AK58</f>
        <v>60.697458408593491</v>
      </c>
      <c r="AL39" s="506">
        <f>RAW_DATA_INPUTS!AL58</f>
        <v>32.044762757590313</v>
      </c>
      <c r="AM39" s="506">
        <f>RAW_DATA_INPUTS!AM58</f>
        <v>30.414984748899894</v>
      </c>
      <c r="AN39" s="506">
        <f>RAW_DATA_INPUTS!AN58</f>
        <v>48.053154163393202</v>
      </c>
      <c r="AO39" s="506">
        <f>RAW_DATA_INPUTS!AO58</f>
        <v>877.58011803070201</v>
      </c>
      <c r="AP39" s="506">
        <f>RAW_DATA_INPUTS!AP58</f>
        <v>1425.5493497491182</v>
      </c>
      <c r="AQ39" s="506">
        <f>RAW_DATA_INPUTS!AQ58</f>
        <v>377.38</v>
      </c>
      <c r="AR39" s="506">
        <f>RAW_DATA_INPUTS!AR58</f>
        <v>937.04</v>
      </c>
    </row>
    <row r="40" spans="1:44" s="482" customFormat="1">
      <c r="B40" s="484" t="str">
        <f>RAW_DATA_INPUTS!B59</f>
        <v>35-39</v>
      </c>
      <c r="C40" s="506">
        <f>RAW_DATA_INPUTS!C59</f>
        <v>18.724768919668755</v>
      </c>
      <c r="D40" s="506">
        <f>RAW_DATA_INPUTS!D59</f>
        <v>36.825946080265837</v>
      </c>
      <c r="E40" s="506">
        <f>RAW_DATA_INPUTS!E59</f>
        <v>17.51224381388143</v>
      </c>
      <c r="F40" s="506">
        <f>RAW_DATA_INPUTS!F59</f>
        <v>39.605352502788229</v>
      </c>
      <c r="G40" s="506">
        <f>RAW_DATA_INPUTS!G59</f>
        <v>23.286523175409179</v>
      </c>
      <c r="H40" s="506">
        <f>RAW_DATA_INPUTS!H59</f>
        <v>27.412049025037156</v>
      </c>
      <c r="I40" s="506">
        <f>RAW_DATA_INPUTS!I59</f>
        <v>13.712652756858164</v>
      </c>
      <c r="J40" s="506">
        <f>RAW_DATA_INPUTS!J59</f>
        <v>34.30767491418181</v>
      </c>
      <c r="K40" s="506">
        <f>RAW_DATA_INPUTS!K59</f>
        <v>0</v>
      </c>
      <c r="L40" s="506">
        <f>RAW_DATA_INPUTS!L59</f>
        <v>0</v>
      </c>
      <c r="M40" s="506">
        <f>RAW_DATA_INPUTS!M59</f>
        <v>27.843323875051606</v>
      </c>
      <c r="N40" s="506">
        <f>RAW_DATA_INPUTS!N59</f>
        <v>20.551167762391593</v>
      </c>
      <c r="O40" s="506">
        <f>RAW_DATA_INPUTS!O59</f>
        <v>37.735195359425077</v>
      </c>
      <c r="P40" s="506">
        <f>RAW_DATA_INPUTS!P59</f>
        <v>37.982078872093687</v>
      </c>
      <c r="Q40" s="506">
        <f>RAW_DATA_INPUTS!Q59</f>
        <v>16.79697828099048</v>
      </c>
      <c r="R40" s="506">
        <f>RAW_DATA_INPUTS!R59</f>
        <v>32.985117251778085</v>
      </c>
      <c r="S40" s="506">
        <f>RAW_DATA_INPUTS!S59</f>
        <v>86.303101979282687</v>
      </c>
      <c r="T40" s="506">
        <f>RAW_DATA_INPUTS!T59</f>
        <v>207.45043510256141</v>
      </c>
      <c r="U40" s="506">
        <f>RAW_DATA_INPUTS!U59</f>
        <v>0</v>
      </c>
      <c r="V40" s="506">
        <f>RAW_DATA_INPUTS!V59</f>
        <v>12.607946692734208</v>
      </c>
      <c r="W40" s="506">
        <f>RAW_DATA_INPUTS!W59</f>
        <v>13.534569242525617</v>
      </c>
      <c r="X40" s="506">
        <f>RAW_DATA_INPUTS!X59</f>
        <v>21.151456734416744</v>
      </c>
      <c r="Y40" s="506">
        <f>RAW_DATA_INPUTS!Y59</f>
        <v>20.952977397768407</v>
      </c>
      <c r="Z40" s="506">
        <f>RAW_DATA_INPUTS!Z59</f>
        <v>10.555078632742717</v>
      </c>
      <c r="AA40" s="506">
        <f>RAW_DATA_INPUTS!AA59</f>
        <v>91.507801476737583</v>
      </c>
      <c r="AB40" s="506">
        <f>RAW_DATA_INPUTS!AB59</f>
        <v>109.68414562334759</v>
      </c>
      <c r="AC40" s="506">
        <f>RAW_DATA_INPUTS!AC59</f>
        <v>15.669388279614976</v>
      </c>
      <c r="AD40" s="506">
        <f>RAW_DATA_INPUTS!AD59</f>
        <v>63.251960353071851</v>
      </c>
      <c r="AE40" s="506">
        <f>RAW_DATA_INPUTS!AE59</f>
        <v>13.533828097878628</v>
      </c>
      <c r="AF40" s="506">
        <f>RAW_DATA_INPUTS!AF59</f>
        <v>6.826488123942922</v>
      </c>
      <c r="AG40" s="506">
        <f>RAW_DATA_INPUTS!AG59</f>
        <v>66.885390792391718</v>
      </c>
      <c r="AH40" s="506">
        <f>RAW_DATA_INPUTS!AH59</f>
        <v>162.82529378157059</v>
      </c>
      <c r="AI40" s="506">
        <f>RAW_DATA_INPUTS!AI59</f>
        <v>38.387883243120868</v>
      </c>
      <c r="AJ40" s="506">
        <f>RAW_DATA_INPUTS!AJ59</f>
        <v>29.54787566618225</v>
      </c>
      <c r="AK40" s="506">
        <f>RAW_DATA_INPUTS!AK59</f>
        <v>23.43282044916792</v>
      </c>
      <c r="AL40" s="506">
        <f>RAW_DATA_INPUTS!AL59</f>
        <v>24.955993861874695</v>
      </c>
      <c r="AM40" s="506">
        <f>RAW_DATA_INPUTS!AM59</f>
        <v>18.017431085212298</v>
      </c>
      <c r="AN40" s="506">
        <f>RAW_DATA_INPUTS!AN59</f>
        <v>26.120021448831515</v>
      </c>
      <c r="AO40" s="506">
        <f>RAW_DATA_INPUTS!AO59</f>
        <v>543.83687822498541</v>
      </c>
      <c r="AP40" s="506">
        <f>RAW_DATA_INPUTS!AP59</f>
        <v>904.64608242981285</v>
      </c>
      <c r="AQ40" s="506">
        <f>RAW_DATA_INPUTS!AQ59</f>
        <v>179.08</v>
      </c>
      <c r="AR40" s="506">
        <f>RAW_DATA_INPUTS!AR59</f>
        <v>670.4</v>
      </c>
    </row>
    <row r="41" spans="1:44" s="482" customFormat="1">
      <c r="B41" s="484" t="str">
        <f>RAW_DATA_INPUTS!B60</f>
        <v>40-44</v>
      </c>
      <c r="C41" s="506">
        <f>RAW_DATA_INPUTS!C60</f>
        <v>8.5701326503556885</v>
      </c>
      <c r="D41" s="506">
        <f>RAW_DATA_INPUTS!D60</f>
        <v>41.241135886469877</v>
      </c>
      <c r="E41" s="506">
        <f>RAW_DATA_INPUTS!E60</f>
        <v>18.021006244251542</v>
      </c>
      <c r="F41" s="506">
        <f>RAW_DATA_INPUTS!F60</f>
        <v>37.692485884664393</v>
      </c>
      <c r="G41" s="506">
        <f>RAW_DATA_INPUTS!G60</f>
        <v>11.501586939422323</v>
      </c>
      <c r="H41" s="506">
        <f>RAW_DATA_INPUTS!H60</f>
        <v>28.165319162030897</v>
      </c>
      <c r="I41" s="506">
        <f>RAW_DATA_INPUTS!I60</f>
        <v>6.1701929132393198</v>
      </c>
      <c r="J41" s="506">
        <f>RAW_DATA_INPUTS!J60</f>
        <v>13.40714807527732</v>
      </c>
      <c r="K41" s="506">
        <f>RAW_DATA_INPUTS!K60</f>
        <v>0</v>
      </c>
      <c r="L41" s="506">
        <f>RAW_DATA_INPUTS!L60</f>
        <v>0</v>
      </c>
      <c r="M41" s="506">
        <f>RAW_DATA_INPUTS!M60</f>
        <v>18.469124562071372</v>
      </c>
      <c r="N41" s="506">
        <f>RAW_DATA_INPUTS!N60</f>
        <v>29.792236428428279</v>
      </c>
      <c r="O41" s="506">
        <f>RAW_DATA_INPUTS!O60</f>
        <v>30.878430594620799</v>
      </c>
      <c r="P41" s="506">
        <f>RAW_DATA_INPUTS!P60</f>
        <v>33.781061043161849</v>
      </c>
      <c r="Q41" s="506">
        <f>RAW_DATA_INPUTS!Q60</f>
        <v>9.8612006308269038</v>
      </c>
      <c r="R41" s="506">
        <f>RAW_DATA_INPUTS!R60</f>
        <v>24.788742800325601</v>
      </c>
      <c r="S41" s="506">
        <f>RAW_DATA_INPUTS!S60</f>
        <v>30.668113610152428</v>
      </c>
      <c r="T41" s="506">
        <f>RAW_DATA_INPUTS!T60</f>
        <v>145.65407638533927</v>
      </c>
      <c r="U41" s="506">
        <f>RAW_DATA_INPUTS!U60</f>
        <v>8.6083837233766545</v>
      </c>
      <c r="V41" s="506">
        <f>RAW_DATA_INPUTS!V60</f>
        <v>15.811785092271935</v>
      </c>
      <c r="W41" s="506">
        <f>RAW_DATA_INPUTS!W60</f>
        <v>15.400992048478695</v>
      </c>
      <c r="X41" s="506">
        <f>RAW_DATA_INPUTS!X60</f>
        <v>19.872796904372713</v>
      </c>
      <c r="Y41" s="506">
        <f>RAW_DATA_INPUTS!Y60</f>
        <v>11.946671092148236</v>
      </c>
      <c r="Z41" s="506">
        <f>RAW_DATA_INPUTS!Z60</f>
        <v>14.212263707712758</v>
      </c>
      <c r="AA41" s="506">
        <f>RAW_DATA_INPUTS!AA60</f>
        <v>43.162566542051714</v>
      </c>
      <c r="AB41" s="506">
        <f>RAW_DATA_INPUTS!AB60</f>
        <v>131.2049210908701</v>
      </c>
      <c r="AC41" s="506">
        <f>RAW_DATA_INPUTS!AC60</f>
        <v>14.219837038342936</v>
      </c>
      <c r="AD41" s="506">
        <f>RAW_DATA_INPUTS!AD60</f>
        <v>55.515005664180009</v>
      </c>
      <c r="AE41" s="506">
        <f>RAW_DATA_INPUTS!AE60</f>
        <v>16.957084609430527</v>
      </c>
      <c r="AF41" s="506">
        <f>RAW_DATA_INPUTS!AF60</f>
        <v>10.890541408642882</v>
      </c>
      <c r="AG41" s="506">
        <f>RAW_DATA_INPUTS!AG60</f>
        <v>80.255116396658451</v>
      </c>
      <c r="AH41" s="506">
        <f>RAW_DATA_INPUTS!AH60</f>
        <v>200.15142946643147</v>
      </c>
      <c r="AI41" s="506">
        <f>RAW_DATA_INPUTS!AI60</f>
        <v>32.851352420557497</v>
      </c>
      <c r="AJ41" s="506">
        <f>RAW_DATA_INPUTS!AJ60</f>
        <v>16.315927816891584</v>
      </c>
      <c r="AK41" s="506">
        <f>RAW_DATA_INPUTS!AK60</f>
        <v>20.975701233406728</v>
      </c>
      <c r="AL41" s="506">
        <f>RAW_DATA_INPUTS!AL60</f>
        <v>13.829813334714611</v>
      </c>
      <c r="AM41" s="506">
        <f>RAW_DATA_INPUTS!AM60</f>
        <v>14.753178921926406</v>
      </c>
      <c r="AN41" s="506">
        <f>RAW_DATA_INPUTS!AN60</f>
        <v>22.80873683561477</v>
      </c>
      <c r="AO41" s="506">
        <f>RAW_DATA_INPUTS!AO60</f>
        <v>393.27067217131815</v>
      </c>
      <c r="AP41" s="506">
        <f>RAW_DATA_INPUTS!AP60</f>
        <v>855.13542698740014</v>
      </c>
      <c r="AQ41" s="506">
        <f>RAW_DATA_INPUTS!AQ60</f>
        <v>133.75</v>
      </c>
      <c r="AR41" s="506">
        <f>RAW_DATA_INPUTS!AR60</f>
        <v>730.16</v>
      </c>
    </row>
    <row r="42" spans="1:44" s="482" customFormat="1">
      <c r="B42" s="484" t="str">
        <f>RAW_DATA_INPUTS!B61</f>
        <v>45-49</v>
      </c>
      <c r="C42" s="506">
        <f>RAW_DATA_INPUTS!C61</f>
        <v>6.9916347305225983</v>
      </c>
      <c r="D42" s="506">
        <f>RAW_DATA_INPUTS!D61</f>
        <v>26.380033403424921</v>
      </c>
      <c r="E42" s="506">
        <f>RAW_DATA_INPUTS!E61</f>
        <v>7.5913764216642594</v>
      </c>
      <c r="F42" s="506">
        <f>RAW_DATA_INPUTS!F61</f>
        <v>39.139654608847088</v>
      </c>
      <c r="G42" s="506">
        <f>RAW_DATA_INPUTS!G61</f>
        <v>11.601357818494341</v>
      </c>
      <c r="H42" s="506">
        <f>RAW_DATA_INPUTS!H61</f>
        <v>44.867962027477553</v>
      </c>
      <c r="I42" s="506">
        <f>RAW_DATA_INPUTS!I61</f>
        <v>21.160957059268487</v>
      </c>
      <c r="J42" s="506">
        <f>RAW_DATA_INPUTS!J61</f>
        <v>38.434492252257463</v>
      </c>
      <c r="K42" s="506">
        <f>RAW_DATA_INPUTS!K61</f>
        <v>0</v>
      </c>
      <c r="L42" s="506">
        <f>RAW_DATA_INPUTS!L61</f>
        <v>5.299986933767034</v>
      </c>
      <c r="M42" s="506">
        <f>RAW_DATA_INPUTS!M61</f>
        <v>21.160765987869969</v>
      </c>
      <c r="N42" s="506">
        <f>RAW_DATA_INPUTS!N61</f>
        <v>29.941382792297372</v>
      </c>
      <c r="O42" s="506">
        <f>RAW_DATA_INPUTS!O61</f>
        <v>51.476711683992029</v>
      </c>
      <c r="P42" s="506">
        <f>RAW_DATA_INPUTS!P61</f>
        <v>50.624113966152663</v>
      </c>
      <c r="Q42" s="506">
        <f>RAW_DATA_INPUTS!Q61</f>
        <v>11.659771838999989</v>
      </c>
      <c r="R42" s="506">
        <f>RAW_DATA_INPUTS!R61</f>
        <v>22.154764210775785</v>
      </c>
      <c r="S42" s="506">
        <f>RAW_DATA_INPUTS!S61</f>
        <v>40.433680998088747</v>
      </c>
      <c r="T42" s="506">
        <f>RAW_DATA_INPUTS!T61</f>
        <v>163.32771720077142</v>
      </c>
      <c r="U42" s="506">
        <f>RAW_DATA_INPUTS!U61</f>
        <v>6.5941435842337324</v>
      </c>
      <c r="V42" s="506">
        <f>RAW_DATA_INPUTS!V61</f>
        <v>45.363280519816307</v>
      </c>
      <c r="W42" s="506">
        <f>RAW_DATA_INPUTS!W61</f>
        <v>11.670149036149741</v>
      </c>
      <c r="X42" s="506">
        <f>RAW_DATA_INPUTS!X61</f>
        <v>22.743523398293028</v>
      </c>
      <c r="Y42" s="506">
        <f>RAW_DATA_INPUTS!Y61</f>
        <v>13.56452246941393</v>
      </c>
      <c r="Z42" s="506">
        <f>RAW_DATA_INPUTS!Z61</f>
        <v>18.419077746865266</v>
      </c>
      <c r="AA42" s="506">
        <f>RAW_DATA_INPUTS!AA61</f>
        <v>48.401242157763356</v>
      </c>
      <c r="AB42" s="506">
        <f>RAW_DATA_INPUTS!AB61</f>
        <v>147.92007679254795</v>
      </c>
      <c r="AC42" s="506">
        <f>RAW_DATA_INPUTS!AC61</f>
        <v>10.926769384415792</v>
      </c>
      <c r="AD42" s="506">
        <f>RAW_DATA_INPUTS!AD61</f>
        <v>54.760156366339174</v>
      </c>
      <c r="AE42" s="506">
        <f>RAW_DATA_INPUTS!AE61</f>
        <v>11.939846124672831</v>
      </c>
      <c r="AF42" s="506">
        <f>RAW_DATA_INPUTS!AF61</f>
        <v>7.5764205975177612</v>
      </c>
      <c r="AG42" s="506">
        <f>RAW_DATA_INPUTS!AG61</f>
        <v>52.312429627277275</v>
      </c>
      <c r="AH42" s="506">
        <f>RAW_DATA_INPUTS!AH61</f>
        <v>219.98345406966897</v>
      </c>
      <c r="AI42" s="506">
        <f>RAW_DATA_INPUTS!AI61</f>
        <v>22.448808356946849</v>
      </c>
      <c r="AJ42" s="506">
        <f>RAW_DATA_INPUTS!AJ61</f>
        <v>8.2115852695984248</v>
      </c>
      <c r="AK42" s="506">
        <f>RAW_DATA_INPUTS!AK61</f>
        <v>6.1017124407707612</v>
      </c>
      <c r="AL42" s="506">
        <f>RAW_DATA_INPUTS!AL61</f>
        <v>6.4774953550898671</v>
      </c>
      <c r="AM42" s="506">
        <f>RAW_DATA_INPUTS!AM61</f>
        <v>14.819224489914408</v>
      </c>
      <c r="AN42" s="506">
        <f>RAW_DATA_INPUTS!AN61</f>
        <v>17.181854581121645</v>
      </c>
      <c r="AO42" s="506">
        <f>RAW_DATA_INPUTS!AO61</f>
        <v>370.85510421045916</v>
      </c>
      <c r="AP42" s="506">
        <f>RAW_DATA_INPUTS!AP61</f>
        <v>968.8070320926297</v>
      </c>
      <c r="AQ42" s="506">
        <f>RAW_DATA_INPUTS!AQ61</f>
        <v>96.62</v>
      </c>
      <c r="AR42" s="506">
        <f>RAW_DATA_INPUTS!AR61</f>
        <v>757.62</v>
      </c>
    </row>
    <row r="43" spans="1:44" s="482" customFormat="1">
      <c r="B43" s="484" t="str">
        <f>RAW_DATA_INPUTS!B62</f>
        <v>50-54</v>
      </c>
      <c r="C43" s="506">
        <f>RAW_DATA_INPUTS!C62</f>
        <v>9.9914814431033019</v>
      </c>
      <c r="D43" s="506">
        <f>RAW_DATA_INPUTS!D62</f>
        <v>39.764734851749637</v>
      </c>
      <c r="E43" s="506">
        <f>RAW_DATA_INPUTS!E62</f>
        <v>10.071092519294957</v>
      </c>
      <c r="F43" s="506">
        <f>RAW_DATA_INPUTS!F62</f>
        <v>15.393068021237422</v>
      </c>
      <c r="G43" s="506">
        <f>RAW_DATA_INPUTS!G62</f>
        <v>15.009531047594503</v>
      </c>
      <c r="H43" s="506">
        <f>RAW_DATA_INPUTS!H62</f>
        <v>21.609374698208541</v>
      </c>
      <c r="I43" s="506">
        <f>RAW_DATA_INPUTS!I62</f>
        <v>10.049601541969171</v>
      </c>
      <c r="J43" s="506">
        <f>RAW_DATA_INPUTS!J62</f>
        <v>21.575642102463465</v>
      </c>
      <c r="K43" s="506">
        <f>RAW_DATA_INPUTS!K62</f>
        <v>0</v>
      </c>
      <c r="L43" s="506">
        <f>RAW_DATA_INPUTS!L62</f>
        <v>0</v>
      </c>
      <c r="M43" s="506">
        <f>RAW_DATA_INPUTS!M62</f>
        <v>19.023668760618197</v>
      </c>
      <c r="N43" s="506">
        <f>RAW_DATA_INPUTS!N62</f>
        <v>28.904365121368645</v>
      </c>
      <c r="O43" s="506">
        <f>RAW_DATA_INPUTS!O62</f>
        <v>56.350412120316477</v>
      </c>
      <c r="P43" s="506">
        <f>RAW_DATA_INPUTS!P62</f>
        <v>54.031506252336015</v>
      </c>
      <c r="Q43" s="506">
        <f>RAW_DATA_INPUTS!Q62</f>
        <v>11.646796575012058</v>
      </c>
      <c r="R43" s="506">
        <f>RAW_DATA_INPUTS!R62</f>
        <v>15.697075133705942</v>
      </c>
      <c r="S43" s="506">
        <f>RAW_DATA_INPUTS!S62</f>
        <v>16.131551525329805</v>
      </c>
      <c r="T43" s="506">
        <f>RAW_DATA_INPUTS!T62</f>
        <v>104.82713766537327</v>
      </c>
      <c r="U43" s="506">
        <f>RAW_DATA_INPUTS!U62</f>
        <v>11.498120319038135</v>
      </c>
      <c r="V43" s="506">
        <f>RAW_DATA_INPUTS!V62</f>
        <v>39.2756884161195</v>
      </c>
      <c r="W43" s="506">
        <f>RAW_DATA_INPUTS!W62</f>
        <v>13.165089620531687</v>
      </c>
      <c r="X43" s="506">
        <f>RAW_DATA_INPUTS!X62</f>
        <v>25.889607334078743</v>
      </c>
      <c r="Y43" s="506">
        <f>RAW_DATA_INPUTS!Y62</f>
        <v>7.1394586776352327</v>
      </c>
      <c r="Z43" s="506">
        <f>RAW_DATA_INPUTS!Z62</f>
        <v>20.093282297957536</v>
      </c>
      <c r="AA43" s="506">
        <f>RAW_DATA_INPUTS!AA62</f>
        <v>48.059198045397295</v>
      </c>
      <c r="AB43" s="506">
        <f>RAW_DATA_INPUTS!AB62</f>
        <v>122.28277042883049</v>
      </c>
      <c r="AC43" s="506">
        <f>RAW_DATA_INPUTS!AC62</f>
        <v>5.5375664293131042</v>
      </c>
      <c r="AD43" s="506">
        <f>RAW_DATA_INPUTS!AD62</f>
        <v>82.187349977129642</v>
      </c>
      <c r="AE43" s="506">
        <f>RAW_DATA_INPUTS!AE62</f>
        <v>15.472238336651507</v>
      </c>
      <c r="AF43" s="506">
        <f>RAW_DATA_INPUTS!AF62</f>
        <v>6.394951547026027</v>
      </c>
      <c r="AG43" s="506">
        <f>RAW_DATA_INPUTS!AG62</f>
        <v>72.28156943067745</v>
      </c>
      <c r="AH43" s="506">
        <f>RAW_DATA_INPUTS!AH62</f>
        <v>185.6122503071542</v>
      </c>
      <c r="AI43" s="506">
        <f>RAW_DATA_INPUTS!AI62</f>
        <v>23.837952404751487</v>
      </c>
      <c r="AJ43" s="506">
        <f>RAW_DATA_INPUTS!AJ62</f>
        <v>18.228255986596675</v>
      </c>
      <c r="AK43" s="506">
        <f>RAW_DATA_INPUTS!AK62</f>
        <v>18.788143628183771</v>
      </c>
      <c r="AL43" s="506">
        <f>RAW_DATA_INPUTS!AL62</f>
        <v>8.1039674042375385</v>
      </c>
      <c r="AM43" s="506">
        <f>RAW_DATA_INPUTS!AM62</f>
        <v>11.24375760474565</v>
      </c>
      <c r="AN43" s="506">
        <f>RAW_DATA_INPUTS!AN62</f>
        <v>31.288587489104856</v>
      </c>
      <c r="AO43" s="506">
        <f>RAW_DATA_INPUTS!AO62</f>
        <v>375.2972300301638</v>
      </c>
      <c r="AP43" s="506">
        <f>RAW_DATA_INPUTS!AP62</f>
        <v>841.15961503467827</v>
      </c>
      <c r="AQ43" s="506">
        <f>RAW_DATA_INPUTS!AQ62</f>
        <v>86.45</v>
      </c>
      <c r="AR43" s="506">
        <f>RAW_DATA_INPUTS!AR62</f>
        <v>520.33000000000004</v>
      </c>
    </row>
    <row r="44" spans="1:44" s="482" customFormat="1">
      <c r="B44" s="484" t="str">
        <f>RAW_DATA_INPUTS!B63</f>
        <v>55-59</v>
      </c>
      <c r="C44" s="506">
        <f>RAW_DATA_INPUTS!C63</f>
        <v>9.6051147994409245</v>
      </c>
      <c r="D44" s="506">
        <f>RAW_DATA_INPUTS!D63</f>
        <v>19.358370177280893</v>
      </c>
      <c r="E44" s="506">
        <f>RAW_DATA_INPUTS!E63</f>
        <v>0</v>
      </c>
      <c r="F44" s="506">
        <f>RAW_DATA_INPUTS!F63</f>
        <v>19.27989280916341</v>
      </c>
      <c r="G44" s="506">
        <f>RAW_DATA_INPUTS!G63</f>
        <v>5.5532471291485637</v>
      </c>
      <c r="H44" s="506">
        <f>RAW_DATA_INPUTS!H63</f>
        <v>17.976716991196341</v>
      </c>
      <c r="I44" s="506">
        <f>RAW_DATA_INPUTS!I63</f>
        <v>0</v>
      </c>
      <c r="J44" s="506">
        <f>RAW_DATA_INPUTS!J63</f>
        <v>0</v>
      </c>
      <c r="K44" s="506">
        <f>RAW_DATA_INPUTS!K63</f>
        <v>0</v>
      </c>
      <c r="L44" s="506">
        <f>RAW_DATA_INPUTS!L63</f>
        <v>5.7248656373133873</v>
      </c>
      <c r="M44" s="506">
        <f>RAW_DATA_INPUTS!M63</f>
        <v>12.065803389855665</v>
      </c>
      <c r="N44" s="506">
        <f>RAW_DATA_INPUTS!N63</f>
        <v>14.914636386909295</v>
      </c>
      <c r="O44" s="506">
        <f>RAW_DATA_INPUTS!O63</f>
        <v>36.693686775616612</v>
      </c>
      <c r="P44" s="506">
        <f>RAW_DATA_INPUTS!P63</f>
        <v>37.252423146392942</v>
      </c>
      <c r="Q44" s="506">
        <f>RAW_DATA_INPUTS!Q63</f>
        <v>0</v>
      </c>
      <c r="R44" s="506">
        <f>RAW_DATA_INPUTS!R63</f>
        <v>7.6136725178263891</v>
      </c>
      <c r="S44" s="506">
        <f>RAW_DATA_INPUTS!S63</f>
        <v>6.848074187308983</v>
      </c>
      <c r="T44" s="506">
        <f>RAW_DATA_INPUTS!T63</f>
        <v>57.010392279655228</v>
      </c>
      <c r="U44" s="506">
        <f>RAW_DATA_INPUTS!U63</f>
        <v>7.4387284346565323</v>
      </c>
      <c r="V44" s="506">
        <f>RAW_DATA_INPUTS!V63</f>
        <v>21.644107158532801</v>
      </c>
      <c r="W44" s="506">
        <f>RAW_DATA_INPUTS!W63</f>
        <v>6.1920378927112836</v>
      </c>
      <c r="X44" s="506">
        <f>RAW_DATA_INPUTS!X63</f>
        <v>11.052347066582655</v>
      </c>
      <c r="Y44" s="506">
        <f>RAW_DATA_INPUTS!Y63</f>
        <v>5.8964588863354503</v>
      </c>
      <c r="Z44" s="506">
        <f>RAW_DATA_INPUTS!Z63</f>
        <v>5.6081289379118608</v>
      </c>
      <c r="AA44" s="506">
        <f>RAW_DATA_INPUTS!AA63</f>
        <v>29.824846417742762</v>
      </c>
      <c r="AB44" s="506">
        <f>RAW_DATA_INPUTS!AB63</f>
        <v>64.690342912458917</v>
      </c>
      <c r="AC44" s="506">
        <f>RAW_DATA_INPUTS!AC63</f>
        <v>7.5855838469609438</v>
      </c>
      <c r="AD44" s="506">
        <f>RAW_DATA_INPUTS!AD63</f>
        <v>33.52713780383359</v>
      </c>
      <c r="AE44" s="506">
        <f>RAW_DATA_INPUTS!AE63</f>
        <v>5.6793051151104779</v>
      </c>
      <c r="AF44" s="506">
        <f>RAW_DATA_INPUTS!AF63</f>
        <v>9.146372691730507</v>
      </c>
      <c r="AG44" s="506">
        <f>RAW_DATA_INPUTS!AG63</f>
        <v>36.164630837106145</v>
      </c>
      <c r="AH44" s="506">
        <f>RAW_DATA_INPUTS!AH63</f>
        <v>116.47141383092733</v>
      </c>
      <c r="AI44" s="506">
        <f>RAW_DATA_INPUTS!AI63</f>
        <v>6.6232536995686093</v>
      </c>
      <c r="AJ44" s="506">
        <f>RAW_DATA_INPUTS!AJ63</f>
        <v>15.660444261866886</v>
      </c>
      <c r="AK44" s="506">
        <f>RAW_DATA_INPUTS!AK63</f>
        <v>21.297455004038465</v>
      </c>
      <c r="AL44" s="506">
        <f>RAW_DATA_INPUTS!AL63</f>
        <v>5.4813783122140665</v>
      </c>
      <c r="AM44" s="506">
        <f>RAW_DATA_INPUTS!AM63</f>
        <v>7.9845088935800579</v>
      </c>
      <c r="AN44" s="506">
        <f>RAW_DATA_INPUTS!AN63</f>
        <v>0</v>
      </c>
      <c r="AO44" s="506">
        <f>RAW_DATA_INPUTS!AO63</f>
        <v>205.45273530918143</v>
      </c>
      <c r="AP44" s="506">
        <f>RAW_DATA_INPUTS!AP63</f>
        <v>462.41264292179642</v>
      </c>
      <c r="AQ44" s="506">
        <f>RAW_DATA_INPUTS!AQ63</f>
        <v>49.19</v>
      </c>
      <c r="AR44" s="506">
        <f>RAW_DATA_INPUTS!AR63</f>
        <v>323.77999999999997</v>
      </c>
    </row>
    <row r="45" spans="1:44" s="482" customFormat="1">
      <c r="B45" s="484" t="str">
        <f>RAW_DATA_INPUTS!B64</f>
        <v>60-64</v>
      </c>
      <c r="C45" s="506">
        <f>RAW_DATA_INPUTS!C64</f>
        <v>0</v>
      </c>
      <c r="D45" s="506">
        <f>RAW_DATA_INPUTS!D64</f>
        <v>12.891233170279246</v>
      </c>
      <c r="E45" s="506">
        <f>RAW_DATA_INPUTS!E64</f>
        <v>0</v>
      </c>
      <c r="F45" s="506">
        <f>RAW_DATA_INPUTS!F64</f>
        <v>0</v>
      </c>
      <c r="G45" s="506">
        <f>RAW_DATA_INPUTS!G64</f>
        <v>5.0224660524854245</v>
      </c>
      <c r="H45" s="506">
        <f>RAW_DATA_INPUTS!H64</f>
        <v>8.7898144462448524</v>
      </c>
      <c r="I45" s="506">
        <f>RAW_DATA_INPUTS!I64</f>
        <v>0</v>
      </c>
      <c r="J45" s="506">
        <f>RAW_DATA_INPUTS!J64</f>
        <v>0</v>
      </c>
      <c r="K45" s="506">
        <f>RAW_DATA_INPUTS!K64</f>
        <v>0</v>
      </c>
      <c r="L45" s="506">
        <f>RAW_DATA_INPUTS!L64</f>
        <v>0</v>
      </c>
      <c r="M45" s="506">
        <f>RAW_DATA_INPUTS!M64</f>
        <v>5.8367651859747198</v>
      </c>
      <c r="N45" s="506">
        <f>RAW_DATA_INPUTS!N64</f>
        <v>10.113925238478625</v>
      </c>
      <c r="O45" s="506">
        <f>RAW_DATA_INPUTS!O64</f>
        <v>17.710643566700739</v>
      </c>
      <c r="P45" s="506">
        <f>RAW_DATA_INPUTS!P64</f>
        <v>8.8888622955944392</v>
      </c>
      <c r="Q45" s="506">
        <f>RAW_DATA_INPUTS!Q64</f>
        <v>0</v>
      </c>
      <c r="R45" s="506">
        <f>RAW_DATA_INPUTS!R64</f>
        <v>5.4454316374103708</v>
      </c>
      <c r="S45" s="506">
        <f>RAW_DATA_INPUTS!S64</f>
        <v>5.9018601762947114</v>
      </c>
      <c r="T45" s="506">
        <f>RAW_DATA_INPUTS!T64</f>
        <v>21.09917508315473</v>
      </c>
      <c r="U45" s="506">
        <f>RAW_DATA_INPUTS!U64</f>
        <v>0</v>
      </c>
      <c r="V45" s="506">
        <f>RAW_DATA_INPUTS!V64</f>
        <v>8.0609491509066231</v>
      </c>
      <c r="W45" s="506">
        <f>RAW_DATA_INPUTS!W64</f>
        <v>0</v>
      </c>
      <c r="X45" s="506">
        <f>RAW_DATA_INPUTS!X64</f>
        <v>0</v>
      </c>
      <c r="Y45" s="506">
        <f>RAW_DATA_INPUTS!Y64</f>
        <v>0</v>
      </c>
      <c r="Z45" s="506">
        <f>RAW_DATA_INPUTS!Z64</f>
        <v>0</v>
      </c>
      <c r="AA45" s="506">
        <f>RAW_DATA_INPUTS!AA64</f>
        <v>13.685765010576169</v>
      </c>
      <c r="AB45" s="506">
        <f>RAW_DATA_INPUTS!AB64</f>
        <v>22.229866916842774</v>
      </c>
      <c r="AC45" s="506">
        <f>RAW_DATA_INPUTS!AC64</f>
        <v>0</v>
      </c>
      <c r="AD45" s="506">
        <f>RAW_DATA_INPUTS!AD64</f>
        <v>10.827425783760042</v>
      </c>
      <c r="AE45" s="506">
        <f>RAW_DATA_INPUTS!AE64</f>
        <v>5.2292587027771935</v>
      </c>
      <c r="AF45" s="506">
        <f>RAW_DATA_INPUTS!AF64</f>
        <v>0</v>
      </c>
      <c r="AG45" s="506">
        <f>RAW_DATA_INPUTS!AG64</f>
        <v>18.286001041983116</v>
      </c>
      <c r="AH45" s="506">
        <f>RAW_DATA_INPUTS!AH64</f>
        <v>38.231294723615861</v>
      </c>
      <c r="AI45" s="506">
        <f>RAW_DATA_INPUTS!AI64</f>
        <v>5.0160896100672385</v>
      </c>
      <c r="AJ45" s="506">
        <f>RAW_DATA_INPUTS!AJ64</f>
        <v>6.7853572897816834</v>
      </c>
      <c r="AK45" s="506">
        <f>RAW_DATA_INPUTS!AK64</f>
        <v>5.6506893476132536</v>
      </c>
      <c r="AL45" s="506">
        <f>RAW_DATA_INPUTS!AL64</f>
        <v>5.2799586701390258</v>
      </c>
      <c r="AM45" s="506">
        <f>RAW_DATA_INPUTS!AM64</f>
        <v>6.6125623221928835</v>
      </c>
      <c r="AN45" s="506">
        <f>RAW_DATA_INPUTS!AN64</f>
        <v>9.4054892957462037</v>
      </c>
      <c r="AO45" s="506">
        <f>RAW_DATA_INPUTS!AO64</f>
        <v>88.952101016665452</v>
      </c>
      <c r="AP45" s="506">
        <f>RAW_DATA_INPUTS!AP64</f>
        <v>168.04878370195448</v>
      </c>
      <c r="AQ45" s="506">
        <f>RAW_DATA_INPUTS!AQ64</f>
        <v>30.17</v>
      </c>
      <c r="AR45" s="506">
        <f>RAW_DATA_INPUTS!AR64</f>
        <v>141.72999999999999</v>
      </c>
    </row>
    <row r="46" spans="1:44" s="482" customFormat="1">
      <c r="B46" s="484" t="str">
        <f>RAW_DATA_INPUTS!B65</f>
        <v>65 plus</v>
      </c>
      <c r="C46" s="506">
        <f>RAW_DATA_INPUTS!C65</f>
        <v>0</v>
      </c>
      <c r="D46" s="506">
        <f>RAW_DATA_INPUTS!D65</f>
        <v>0</v>
      </c>
      <c r="E46" s="506">
        <f>RAW_DATA_INPUTS!E65</f>
        <v>0</v>
      </c>
      <c r="F46" s="506">
        <f>RAW_DATA_INPUTS!F65</f>
        <v>0</v>
      </c>
      <c r="G46" s="506">
        <f>RAW_DATA_INPUTS!G65</f>
        <v>0</v>
      </c>
      <c r="H46" s="506">
        <f>RAW_DATA_INPUTS!H65</f>
        <v>0</v>
      </c>
      <c r="I46" s="506">
        <f>RAW_DATA_INPUTS!I65</f>
        <v>0</v>
      </c>
      <c r="J46" s="506">
        <f>RAW_DATA_INPUTS!J65</f>
        <v>0</v>
      </c>
      <c r="K46" s="506">
        <f>RAW_DATA_INPUTS!K65</f>
        <v>0</v>
      </c>
      <c r="L46" s="506">
        <f>RAW_DATA_INPUTS!L65</f>
        <v>0</v>
      </c>
      <c r="M46" s="506">
        <f>RAW_DATA_INPUTS!M65</f>
        <v>0</v>
      </c>
      <c r="N46" s="506">
        <f>RAW_DATA_INPUTS!N65</f>
        <v>0</v>
      </c>
      <c r="O46" s="506">
        <f>RAW_DATA_INPUTS!O65</f>
        <v>0</v>
      </c>
      <c r="P46" s="506">
        <f>RAW_DATA_INPUTS!P65</f>
        <v>5.8271942105591243</v>
      </c>
      <c r="Q46" s="506">
        <f>RAW_DATA_INPUTS!Q65</f>
        <v>0</v>
      </c>
      <c r="R46" s="506">
        <f>RAW_DATA_INPUTS!R65</f>
        <v>0</v>
      </c>
      <c r="S46" s="506">
        <f>RAW_DATA_INPUTS!S65</f>
        <v>0</v>
      </c>
      <c r="T46" s="506">
        <f>RAW_DATA_INPUTS!T65</f>
        <v>0</v>
      </c>
      <c r="U46" s="506">
        <f>RAW_DATA_INPUTS!U65</f>
        <v>0</v>
      </c>
      <c r="V46" s="506">
        <f>RAW_DATA_INPUTS!V65</f>
        <v>0</v>
      </c>
      <c r="W46" s="506">
        <f>RAW_DATA_INPUTS!W65</f>
        <v>0</v>
      </c>
      <c r="X46" s="506">
        <f>RAW_DATA_INPUTS!X65</f>
        <v>0</v>
      </c>
      <c r="Y46" s="506">
        <f>RAW_DATA_INPUTS!Y65</f>
        <v>0</v>
      </c>
      <c r="Z46" s="506">
        <f>RAW_DATA_INPUTS!Z65</f>
        <v>0</v>
      </c>
      <c r="AA46" s="506">
        <f>RAW_DATA_INPUTS!AA65</f>
        <v>0</v>
      </c>
      <c r="AB46" s="506">
        <f>RAW_DATA_INPUTS!AB65</f>
        <v>0</v>
      </c>
      <c r="AC46" s="506">
        <f>RAW_DATA_INPUTS!AC65</f>
        <v>0</v>
      </c>
      <c r="AD46" s="506">
        <f>RAW_DATA_INPUTS!AD65</f>
        <v>5.8744920798868838</v>
      </c>
      <c r="AE46" s="506">
        <f>RAW_DATA_INPUTS!AE65</f>
        <v>0</v>
      </c>
      <c r="AF46" s="506">
        <f>RAW_DATA_INPUTS!AF65</f>
        <v>0</v>
      </c>
      <c r="AG46" s="506">
        <f>RAW_DATA_INPUTS!AG65</f>
        <v>0</v>
      </c>
      <c r="AH46" s="506">
        <f>RAW_DATA_INPUTS!AH65</f>
        <v>12.779534090523084</v>
      </c>
      <c r="AI46" s="506">
        <f>RAW_DATA_INPUTS!AI65</f>
        <v>0</v>
      </c>
      <c r="AJ46" s="506">
        <f>RAW_DATA_INPUTS!AJ65</f>
        <v>0</v>
      </c>
      <c r="AK46" s="506">
        <f>RAW_DATA_INPUTS!AK65</f>
        <v>0</v>
      </c>
      <c r="AL46" s="506">
        <f>RAW_DATA_INPUTS!AL65</f>
        <v>0</v>
      </c>
      <c r="AM46" s="506">
        <f>RAW_DATA_INPUTS!AM65</f>
        <v>6.2663234354678936</v>
      </c>
      <c r="AN46" s="506">
        <f>RAW_DATA_INPUTS!AN65</f>
        <v>0</v>
      </c>
      <c r="AO46" s="506">
        <f>RAW_DATA_INPUTS!AO65</f>
        <v>6.2663234354678936</v>
      </c>
      <c r="AP46" s="506">
        <f>RAW_DATA_INPUTS!AP65</f>
        <v>24.481220380969091</v>
      </c>
      <c r="AQ46" s="506">
        <f>RAW_DATA_INPUTS!AQ65</f>
        <v>19.09</v>
      </c>
      <c r="AR46" s="506">
        <f>RAW_DATA_INPUTS!AR65</f>
        <v>30.16</v>
      </c>
    </row>
    <row r="47" spans="1:44" s="482" customFormat="1">
      <c r="B47" s="484" t="str">
        <f>RAW_DATA_INPUTS!B66</f>
        <v>Total</v>
      </c>
      <c r="C47" s="506">
        <f>RAW_DATA_INPUTS!C66</f>
        <v>109.21564047484347</v>
      </c>
      <c r="D47" s="506">
        <f>RAW_DATA_INPUTS!D66</f>
        <v>376.41419926358429</v>
      </c>
      <c r="E47" s="506">
        <f>RAW_DATA_INPUTS!E66</f>
        <v>193.33272804318383</v>
      </c>
      <c r="F47" s="506">
        <f>RAW_DATA_INPUTS!F66</f>
        <v>436.81360800747512</v>
      </c>
      <c r="G47" s="506">
        <f>RAW_DATA_INPUTS!G66</f>
        <v>151.13891387103831</v>
      </c>
      <c r="H47" s="506">
        <f>RAW_DATA_INPUTS!H66</f>
        <v>256.60571242927864</v>
      </c>
      <c r="I47" s="506">
        <f>RAW_DATA_INPUTS!I66</f>
        <v>187.16919606621744</v>
      </c>
      <c r="J47" s="506">
        <f>RAW_DATA_INPUTS!J66</f>
        <v>335.12361087377911</v>
      </c>
      <c r="K47" s="506">
        <f>RAW_DATA_INPUTS!K66</f>
        <v>5</v>
      </c>
      <c r="L47" s="506">
        <f>RAW_DATA_INPUTS!L66</f>
        <v>17.078124453370222</v>
      </c>
      <c r="M47" s="506">
        <f>RAW_DATA_INPUTS!M66</f>
        <v>199.39167179374388</v>
      </c>
      <c r="N47" s="506">
        <f>RAW_DATA_INPUTS!N66</f>
        <v>210.89295851089744</v>
      </c>
      <c r="O47" s="506">
        <f>RAW_DATA_INPUTS!O66</f>
        <v>386.66855773021882</v>
      </c>
      <c r="P47" s="506">
        <f>RAW_DATA_INPUTS!P66</f>
        <v>371.0629209557452</v>
      </c>
      <c r="Q47" s="506">
        <f>RAW_DATA_INPUTS!Q66</f>
        <v>121.72294766523227</v>
      </c>
      <c r="R47" s="506">
        <f>RAW_DATA_INPUTS!R66</f>
        <v>346.44254276942416</v>
      </c>
      <c r="S47" s="506">
        <f>RAW_DATA_INPUTS!S66</f>
        <v>654.8110372192823</v>
      </c>
      <c r="T47" s="506">
        <f>RAW_DATA_INPUTS!T66</f>
        <v>2198.6789701145112</v>
      </c>
      <c r="U47" s="506">
        <f>RAW_DATA_INPUTS!U66</f>
        <v>42.161436417446048</v>
      </c>
      <c r="V47" s="506">
        <f>RAW_DATA_INPUTS!V66</f>
        <v>180.09600285680307</v>
      </c>
      <c r="W47" s="506">
        <f>RAW_DATA_INPUTS!W66</f>
        <v>230.38105796099572</v>
      </c>
      <c r="X47" s="506">
        <f>RAW_DATA_INPUTS!X66</f>
        <v>350.645172970337</v>
      </c>
      <c r="Y47" s="506">
        <f>RAW_DATA_INPUTS!Y66</f>
        <v>314.4147984450359</v>
      </c>
      <c r="Z47" s="506">
        <f>RAW_DATA_INPUTS!Z66</f>
        <v>330.0967439731856</v>
      </c>
      <c r="AA47" s="506">
        <f>RAW_DATA_INPUTS!AA66</f>
        <v>853.79311104382452</v>
      </c>
      <c r="AB47" s="506">
        <f>RAW_DATA_INPUTS!AB66</f>
        <v>1256.7530795385062</v>
      </c>
      <c r="AC47" s="506">
        <f>RAW_DATA_INPUTS!AC66</f>
        <v>115.39871417031267</v>
      </c>
      <c r="AD47" s="506">
        <f>RAW_DATA_INPUTS!AD66</f>
        <v>485.87333628869709</v>
      </c>
      <c r="AE47" s="506">
        <f>RAW_DATA_INPUTS!AE66</f>
        <v>169.31152365017195</v>
      </c>
      <c r="AF47" s="506">
        <f>RAW_DATA_INPUTS!AF66</f>
        <v>108.07438077125242</v>
      </c>
      <c r="AG47" s="506">
        <f>RAW_DATA_INPUTS!AG66</f>
        <v>580.76633411506828</v>
      </c>
      <c r="AH47" s="506">
        <f>RAW_DATA_INPUTS!AH66</f>
        <v>1646.3273045270034</v>
      </c>
      <c r="AI47" s="506">
        <f>RAW_DATA_INPUTS!AI66</f>
        <v>406.53511035373674</v>
      </c>
      <c r="AJ47" s="506">
        <f>RAW_DATA_INPUTS!AJ66</f>
        <v>299.60509579949326</v>
      </c>
      <c r="AK47" s="506">
        <f>RAW_DATA_INPUTS!AK66</f>
        <v>265.33280014243428</v>
      </c>
      <c r="AL47" s="506">
        <f>RAW_DATA_INPUTS!AL66</f>
        <v>190.04394169277276</v>
      </c>
      <c r="AM47" s="506">
        <f>RAW_DATA_INPUTS!AM66</f>
        <v>170.22644734653588</v>
      </c>
      <c r="AN47" s="506">
        <f>RAW_DATA_INPUTS!AN66</f>
        <v>298.09066697131169</v>
      </c>
      <c r="AO47" s="506">
        <f>RAW_DATA_INPUTS!AO66</f>
        <v>5156.7720265093221</v>
      </c>
      <c r="AP47" s="506">
        <f>RAW_DATA_INPUTS!AP66</f>
        <v>9694.7183727674237</v>
      </c>
      <c r="AQ47" s="506">
        <f>RAW_DATA_INPUTS!AQ66</f>
        <v>1854.83</v>
      </c>
      <c r="AR47" s="506">
        <f>RAW_DATA_INPUTS!AR66</f>
        <v>6866.4399999999987</v>
      </c>
    </row>
    <row r="48" spans="1:44">
      <c r="A48" s="4">
        <f>SUM(C48:AR48)</f>
        <v>0</v>
      </c>
      <c r="C48" s="4">
        <f t="shared" ref="C48:AR48" si="1">SUM(C37:C46)-C47</f>
        <v>0</v>
      </c>
      <c r="D48" s="4">
        <f t="shared" si="1"/>
        <v>0</v>
      </c>
      <c r="E48" s="4">
        <f t="shared" si="1"/>
        <v>0</v>
      </c>
      <c r="F48" s="4">
        <f t="shared" si="1"/>
        <v>0</v>
      </c>
      <c r="G48" s="4">
        <f t="shared" si="1"/>
        <v>0</v>
      </c>
      <c r="H48" s="4">
        <f t="shared" si="1"/>
        <v>0</v>
      </c>
      <c r="I48" s="4">
        <f t="shared" si="1"/>
        <v>0</v>
      </c>
      <c r="J48" s="4">
        <f t="shared" si="1"/>
        <v>0</v>
      </c>
      <c r="K48" s="4">
        <f t="shared" si="1"/>
        <v>0</v>
      </c>
      <c r="L48" s="4">
        <f t="shared" si="1"/>
        <v>0</v>
      </c>
      <c r="M48" s="4">
        <f t="shared" si="1"/>
        <v>0</v>
      </c>
      <c r="N48" s="4">
        <f t="shared" si="1"/>
        <v>0</v>
      </c>
      <c r="O48" s="4">
        <f t="shared" si="1"/>
        <v>0</v>
      </c>
      <c r="P48" s="4">
        <f t="shared" si="1"/>
        <v>0</v>
      </c>
      <c r="Q48" s="4">
        <f t="shared" si="1"/>
        <v>0</v>
      </c>
      <c r="R48" s="4">
        <f t="shared" si="1"/>
        <v>0</v>
      </c>
      <c r="S48" s="4">
        <f t="shared" si="1"/>
        <v>0</v>
      </c>
      <c r="T48" s="4">
        <f t="shared" si="1"/>
        <v>0</v>
      </c>
      <c r="U48" s="4">
        <f t="shared" si="1"/>
        <v>0</v>
      </c>
      <c r="V48" s="4">
        <f t="shared" si="1"/>
        <v>0</v>
      </c>
      <c r="W48" s="4">
        <f t="shared" si="1"/>
        <v>0</v>
      </c>
      <c r="X48" s="4">
        <f t="shared" si="1"/>
        <v>0</v>
      </c>
      <c r="Y48" s="4">
        <f t="shared" si="1"/>
        <v>0</v>
      </c>
      <c r="Z48" s="4">
        <f t="shared" si="1"/>
        <v>0</v>
      </c>
      <c r="AA48" s="4">
        <f t="shared" si="1"/>
        <v>0</v>
      </c>
      <c r="AB48" s="4">
        <f t="shared" si="1"/>
        <v>0</v>
      </c>
      <c r="AC48" s="4">
        <f t="shared" si="1"/>
        <v>0</v>
      </c>
      <c r="AD48" s="4">
        <f t="shared" si="1"/>
        <v>0</v>
      </c>
      <c r="AE48" s="4">
        <f t="shared" si="1"/>
        <v>0</v>
      </c>
      <c r="AF48" s="4">
        <f t="shared" si="1"/>
        <v>0</v>
      </c>
      <c r="AG48" s="4">
        <f t="shared" si="1"/>
        <v>0</v>
      </c>
      <c r="AH48" s="4">
        <f t="shared" si="1"/>
        <v>0</v>
      </c>
      <c r="AI48" s="4">
        <f t="shared" si="1"/>
        <v>0</v>
      </c>
      <c r="AJ48" s="4">
        <f t="shared" si="1"/>
        <v>0</v>
      </c>
      <c r="AK48" s="4">
        <f t="shared" si="1"/>
        <v>0</v>
      </c>
      <c r="AL48" s="4">
        <f t="shared" si="1"/>
        <v>0</v>
      </c>
      <c r="AM48" s="4">
        <f t="shared" si="1"/>
        <v>0</v>
      </c>
      <c r="AN48" s="4">
        <f t="shared" si="1"/>
        <v>0</v>
      </c>
      <c r="AO48" s="4">
        <f t="shared" si="1"/>
        <v>0</v>
      </c>
      <c r="AP48" s="4">
        <f t="shared" si="1"/>
        <v>0</v>
      </c>
      <c r="AQ48" s="899">
        <f>SUM(AQ37:AQ46)-AQ47</f>
        <v>0</v>
      </c>
      <c r="AR48" s="4">
        <f t="shared" si="1"/>
        <v>0</v>
      </c>
    </row>
    <row r="50" spans="2:44">
      <c r="B50" s="132" t="s">
        <v>68</v>
      </c>
    </row>
    <row r="52" spans="2:44" s="486" customFormat="1" ht="39" customHeight="1">
      <c r="B52" s="1298" t="str">
        <f>B35</f>
        <v>Age group</v>
      </c>
      <c r="C52" s="1297" t="str">
        <f>C35</f>
        <v>Art &amp; Design</v>
      </c>
      <c r="D52" s="1297"/>
      <c r="E52" s="1297" t="str">
        <f>E35</f>
        <v>Biology</v>
      </c>
      <c r="F52" s="1297"/>
      <c r="G52" s="1297" t="str">
        <f>G35</f>
        <v>Business Studies</v>
      </c>
      <c r="H52" s="1297"/>
      <c r="I52" s="1297" t="str">
        <f>I35</f>
        <v>Chemistry</v>
      </c>
      <c r="J52" s="1297"/>
      <c r="K52" s="1297" t="str">
        <f>K35</f>
        <v>Classics</v>
      </c>
      <c r="L52" s="1297"/>
      <c r="M52" s="1297" t="str">
        <f>M35</f>
        <v>Computing</v>
      </c>
      <c r="N52" s="1297"/>
      <c r="O52" s="1297" t="str">
        <f>O35</f>
        <v>Design &amp; Technology</v>
      </c>
      <c r="P52" s="1297"/>
      <c r="Q52" s="1297" t="str">
        <f>Q35</f>
        <v>Drama</v>
      </c>
      <c r="R52" s="1297"/>
      <c r="S52" s="1297" t="str">
        <f>S35</f>
        <v>English</v>
      </c>
      <c r="T52" s="1297"/>
      <c r="U52" s="1297" t="str">
        <f>U35</f>
        <v>Food</v>
      </c>
      <c r="V52" s="1297"/>
      <c r="W52" s="1297" t="str">
        <f>W35</f>
        <v>Geography</v>
      </c>
      <c r="X52" s="1297"/>
      <c r="Y52" s="1297" t="str">
        <f>Y35</f>
        <v>History</v>
      </c>
      <c r="Z52" s="1297"/>
      <c r="AA52" s="1297" t="str">
        <f>AA35</f>
        <v>Mathematics</v>
      </c>
      <c r="AB52" s="1297"/>
      <c r="AC52" s="1297" t="str">
        <f>AC35</f>
        <v>Modern Foreign Languages</v>
      </c>
      <c r="AD52" s="1297"/>
      <c r="AE52" s="1297" t="str">
        <f>AE35</f>
        <v>Music</v>
      </c>
      <c r="AF52" s="1297"/>
      <c r="AG52" s="1297" t="str">
        <f>AG35</f>
        <v>Others</v>
      </c>
      <c r="AH52" s="1297"/>
      <c r="AI52" s="1297" t="str">
        <f>AI35</f>
        <v>Physical Education</v>
      </c>
      <c r="AJ52" s="1297"/>
      <c r="AK52" s="1297" t="str">
        <f>AK35</f>
        <v>Physics</v>
      </c>
      <c r="AL52" s="1297"/>
      <c r="AM52" s="1297" t="str">
        <f>AM35</f>
        <v>Religious Education</v>
      </c>
      <c r="AN52" s="1297"/>
      <c r="AO52" s="1297" t="str">
        <f>AO35</f>
        <v>Secondary total</v>
      </c>
      <c r="AP52" s="1297"/>
      <c r="AQ52" s="1297" t="str">
        <f>AQ35</f>
        <v>Primary</v>
      </c>
      <c r="AR52" s="1297"/>
    </row>
    <row r="53" spans="2:44" s="482" customFormat="1">
      <c r="B53" s="1299"/>
      <c r="C53" s="484" t="str">
        <f>C36</f>
        <v>Male</v>
      </c>
      <c r="D53" s="484" t="str">
        <f t="shared" ref="D53:AR53" si="2">D36</f>
        <v>Female</v>
      </c>
      <c r="E53" s="484" t="str">
        <f t="shared" si="2"/>
        <v>Male</v>
      </c>
      <c r="F53" s="484" t="str">
        <f t="shared" si="2"/>
        <v>Female</v>
      </c>
      <c r="G53" s="484" t="str">
        <f t="shared" si="2"/>
        <v>Male</v>
      </c>
      <c r="H53" s="484" t="str">
        <f t="shared" si="2"/>
        <v>Female</v>
      </c>
      <c r="I53" s="484" t="str">
        <f t="shared" si="2"/>
        <v>Male</v>
      </c>
      <c r="J53" s="484" t="str">
        <f t="shared" si="2"/>
        <v>Female</v>
      </c>
      <c r="K53" s="484" t="str">
        <f t="shared" si="2"/>
        <v>Male</v>
      </c>
      <c r="L53" s="484" t="str">
        <f t="shared" si="2"/>
        <v>Female</v>
      </c>
      <c r="M53" s="484" t="str">
        <f t="shared" si="2"/>
        <v>Male</v>
      </c>
      <c r="N53" s="484" t="str">
        <f t="shared" si="2"/>
        <v>Female</v>
      </c>
      <c r="O53" s="484" t="str">
        <f t="shared" si="2"/>
        <v>Male</v>
      </c>
      <c r="P53" s="484" t="str">
        <f t="shared" si="2"/>
        <v>Female</v>
      </c>
      <c r="Q53" s="484" t="str">
        <f t="shared" si="2"/>
        <v>Male</v>
      </c>
      <c r="R53" s="484" t="str">
        <f t="shared" si="2"/>
        <v>Female</v>
      </c>
      <c r="S53" s="484" t="str">
        <f t="shared" si="2"/>
        <v>Male</v>
      </c>
      <c r="T53" s="484" t="str">
        <f t="shared" si="2"/>
        <v>Female</v>
      </c>
      <c r="U53" s="484" t="str">
        <f t="shared" si="2"/>
        <v>Male</v>
      </c>
      <c r="V53" s="484" t="str">
        <f t="shared" si="2"/>
        <v>Female</v>
      </c>
      <c r="W53" s="484" t="str">
        <f t="shared" si="2"/>
        <v>Male</v>
      </c>
      <c r="X53" s="484" t="str">
        <f t="shared" si="2"/>
        <v>Female</v>
      </c>
      <c r="Y53" s="484" t="str">
        <f t="shared" si="2"/>
        <v>Male</v>
      </c>
      <c r="Z53" s="484" t="str">
        <f t="shared" si="2"/>
        <v>Female</v>
      </c>
      <c r="AA53" s="484" t="str">
        <f t="shared" si="2"/>
        <v>Male</v>
      </c>
      <c r="AB53" s="484" t="str">
        <f t="shared" si="2"/>
        <v>Female</v>
      </c>
      <c r="AC53" s="484" t="str">
        <f t="shared" si="2"/>
        <v>Male</v>
      </c>
      <c r="AD53" s="484" t="str">
        <f t="shared" si="2"/>
        <v>Female</v>
      </c>
      <c r="AE53" s="484" t="str">
        <f t="shared" si="2"/>
        <v>Male</v>
      </c>
      <c r="AF53" s="484" t="str">
        <f t="shared" si="2"/>
        <v>Female</v>
      </c>
      <c r="AG53" s="484" t="str">
        <f t="shared" si="2"/>
        <v>Male</v>
      </c>
      <c r="AH53" s="484" t="str">
        <f t="shared" si="2"/>
        <v>Female</v>
      </c>
      <c r="AI53" s="484" t="str">
        <f t="shared" si="2"/>
        <v>Male</v>
      </c>
      <c r="AJ53" s="484" t="str">
        <f t="shared" si="2"/>
        <v>Female</v>
      </c>
      <c r="AK53" s="484" t="str">
        <f t="shared" si="2"/>
        <v>Male</v>
      </c>
      <c r="AL53" s="484" t="str">
        <f t="shared" si="2"/>
        <v>Female</v>
      </c>
      <c r="AM53" s="484" t="str">
        <f t="shared" si="2"/>
        <v>Male</v>
      </c>
      <c r="AN53" s="484" t="str">
        <f t="shared" si="2"/>
        <v>Female</v>
      </c>
      <c r="AO53" s="484" t="str">
        <f t="shared" si="2"/>
        <v>Male</v>
      </c>
      <c r="AP53" s="484" t="str">
        <f t="shared" si="2"/>
        <v>Female</v>
      </c>
      <c r="AQ53" s="484" t="str">
        <f t="shared" si="2"/>
        <v>Male</v>
      </c>
      <c r="AR53" s="484" t="str">
        <f t="shared" si="2"/>
        <v>Female</v>
      </c>
    </row>
    <row r="54" spans="2:44" s="482" customFormat="1">
      <c r="B54" s="484" t="str">
        <f t="shared" ref="B54:B64" si="3">B37</f>
        <v>20-24</v>
      </c>
      <c r="C54" s="503">
        <f t="shared" ref="C54:D64" si="4">C37+C20</f>
        <v>18.459568304152569</v>
      </c>
      <c r="D54" s="503">
        <f t="shared" si="4"/>
        <v>177.53647371271757</v>
      </c>
      <c r="E54" s="503">
        <f t="shared" ref="E54:AR54" si="5">E37+E20</f>
        <v>192.64569846201476</v>
      </c>
      <c r="F54" s="503">
        <f t="shared" si="5"/>
        <v>539.95517575654333</v>
      </c>
      <c r="G54" s="503">
        <f t="shared" si="5"/>
        <v>52.744872930213432</v>
      </c>
      <c r="H54" s="503">
        <f t="shared" si="5"/>
        <v>84.055967909385089</v>
      </c>
      <c r="I54" s="503">
        <f t="shared" si="5"/>
        <v>214.26896380447874</v>
      </c>
      <c r="J54" s="503">
        <f t="shared" si="5"/>
        <v>406.8350753603932</v>
      </c>
      <c r="K54" s="503">
        <f t="shared" si="5"/>
        <v>5.0307057490736229</v>
      </c>
      <c r="L54" s="503">
        <f t="shared" si="5"/>
        <v>11.293775797560347</v>
      </c>
      <c r="M54" s="503">
        <f t="shared" si="5"/>
        <v>124.47815587452968</v>
      </c>
      <c r="N54" s="503">
        <f t="shared" si="5"/>
        <v>95.633849691631823</v>
      </c>
      <c r="O54" s="503">
        <f t="shared" si="5"/>
        <v>82.102261595595991</v>
      </c>
      <c r="P54" s="503">
        <f t="shared" si="5"/>
        <v>177.82609610879442</v>
      </c>
      <c r="Q54" s="503">
        <f t="shared" si="5"/>
        <v>43.695698625199491</v>
      </c>
      <c r="R54" s="503">
        <f t="shared" si="5"/>
        <v>205.80565259870909</v>
      </c>
      <c r="S54" s="503">
        <f t="shared" si="5"/>
        <v>395.3976826785206</v>
      </c>
      <c r="T54" s="503">
        <f t="shared" si="5"/>
        <v>1779.4273120676044</v>
      </c>
      <c r="U54" s="503">
        <f t="shared" si="5"/>
        <v>5.3841822637082801</v>
      </c>
      <c r="V54" s="503">
        <f t="shared" si="5"/>
        <v>39.229819581267733</v>
      </c>
      <c r="W54" s="503">
        <f t="shared" si="5"/>
        <v>267.93881173164704</v>
      </c>
      <c r="X54" s="503">
        <f t="shared" si="5"/>
        <v>579.46520456090309</v>
      </c>
      <c r="Y54" s="503">
        <f t="shared" si="5"/>
        <v>329.37591910212666</v>
      </c>
      <c r="Z54" s="503">
        <f t="shared" si="5"/>
        <v>529.82730428708464</v>
      </c>
      <c r="AA54" s="503">
        <f t="shared" si="5"/>
        <v>926.59450001268328</v>
      </c>
      <c r="AB54" s="503">
        <f t="shared" si="5"/>
        <v>1423.3385635506086</v>
      </c>
      <c r="AC54" s="503">
        <f t="shared" si="5"/>
        <v>100.3388190820486</v>
      </c>
      <c r="AD54" s="503">
        <f t="shared" si="5"/>
        <v>375.13604208513061</v>
      </c>
      <c r="AE54" s="503">
        <f t="shared" si="5"/>
        <v>99.415614374089273</v>
      </c>
      <c r="AF54" s="503">
        <f t="shared" si="5"/>
        <v>142.21182761575727</v>
      </c>
      <c r="AG54" s="503">
        <f t="shared" si="5"/>
        <v>157.72917884219157</v>
      </c>
      <c r="AH54" s="503">
        <f t="shared" si="5"/>
        <v>475.94573794433961</v>
      </c>
      <c r="AI54" s="503">
        <f t="shared" si="5"/>
        <v>432.31245217587781</v>
      </c>
      <c r="AJ54" s="503">
        <f t="shared" si="5"/>
        <v>650.9292472662413</v>
      </c>
      <c r="AK54" s="503">
        <f t="shared" si="5"/>
        <v>314.98023669450299</v>
      </c>
      <c r="AL54" s="503">
        <f t="shared" si="5"/>
        <v>259.17897913754456</v>
      </c>
      <c r="AM54" s="503">
        <f t="shared" si="5"/>
        <v>110.95555352942263</v>
      </c>
      <c r="AN54" s="503">
        <f t="shared" si="5"/>
        <v>351.85576207524309</v>
      </c>
      <c r="AO54" s="503">
        <f t="shared" si="5"/>
        <v>3866.8488758320764</v>
      </c>
      <c r="AP54" s="503">
        <f t="shared" si="5"/>
        <v>8305.4878671074603</v>
      </c>
      <c r="AQ54" s="503">
        <f t="shared" si="5"/>
        <v>2335.27</v>
      </c>
      <c r="AR54" s="503">
        <f t="shared" si="5"/>
        <v>16397.23</v>
      </c>
    </row>
    <row r="55" spans="2:44" s="482" customFormat="1">
      <c r="B55" s="484" t="str">
        <f t="shared" si="3"/>
        <v>25-29</v>
      </c>
      <c r="C55" s="503">
        <f t="shared" si="4"/>
        <v>148.83018175267955</v>
      </c>
      <c r="D55" s="503">
        <f t="shared" si="4"/>
        <v>824.71561609501441</v>
      </c>
      <c r="E55" s="503">
        <f t="shared" ref="E55:AR55" si="6">E38+E21</f>
        <v>587.52846899953749</v>
      </c>
      <c r="F55" s="503">
        <f t="shared" si="6"/>
        <v>1509.6223170131711</v>
      </c>
      <c r="G55" s="503">
        <f t="shared" si="6"/>
        <v>200.81882539615935</v>
      </c>
      <c r="H55" s="503">
        <f t="shared" si="6"/>
        <v>312.15614247899725</v>
      </c>
      <c r="I55" s="503">
        <f t="shared" si="6"/>
        <v>786.12664995321245</v>
      </c>
      <c r="J55" s="503">
        <f t="shared" si="6"/>
        <v>1334.152967629253</v>
      </c>
      <c r="K55" s="503">
        <f t="shared" si="6"/>
        <v>19.125398048080552</v>
      </c>
      <c r="L55" s="503">
        <f t="shared" si="6"/>
        <v>31.264074578835508</v>
      </c>
      <c r="M55" s="503">
        <f t="shared" si="6"/>
        <v>479.12618754446009</v>
      </c>
      <c r="N55" s="503">
        <f t="shared" si="6"/>
        <v>328.21308990201845</v>
      </c>
      <c r="O55" s="503">
        <f t="shared" si="6"/>
        <v>383.74793577063309</v>
      </c>
      <c r="P55" s="503">
        <f t="shared" si="6"/>
        <v>800.57126554012029</v>
      </c>
      <c r="Q55" s="503">
        <f t="shared" si="6"/>
        <v>178.5236629182412</v>
      </c>
      <c r="R55" s="503">
        <f t="shared" si="6"/>
        <v>765.44276175935352</v>
      </c>
      <c r="S55" s="503">
        <f t="shared" si="6"/>
        <v>1170.9378423980702</v>
      </c>
      <c r="T55" s="503">
        <f t="shared" si="6"/>
        <v>5207.5217474465398</v>
      </c>
      <c r="U55" s="503">
        <f t="shared" si="6"/>
        <v>23.072444018896029</v>
      </c>
      <c r="V55" s="503">
        <f t="shared" si="6"/>
        <v>214.83466521693236</v>
      </c>
      <c r="W55" s="503">
        <f t="shared" si="6"/>
        <v>714.38334197642655</v>
      </c>
      <c r="X55" s="503">
        <f t="shared" si="6"/>
        <v>1279.3947840888677</v>
      </c>
      <c r="Y55" s="503">
        <f t="shared" si="6"/>
        <v>905.79153640966877</v>
      </c>
      <c r="Z55" s="503">
        <f t="shared" si="6"/>
        <v>1414.6208117445437</v>
      </c>
      <c r="AA55" s="503">
        <f t="shared" si="6"/>
        <v>2405.4692258895329</v>
      </c>
      <c r="AB55" s="503">
        <f t="shared" si="6"/>
        <v>3311.56008161094</v>
      </c>
      <c r="AC55" s="503">
        <f t="shared" si="6"/>
        <v>424.60022389570207</v>
      </c>
      <c r="AD55" s="503">
        <f t="shared" si="6"/>
        <v>1713.6492523815557</v>
      </c>
      <c r="AE55" s="503">
        <f t="shared" si="6"/>
        <v>422.07581330834012</v>
      </c>
      <c r="AF55" s="503">
        <f t="shared" si="6"/>
        <v>533.25004846969625</v>
      </c>
      <c r="AG55" s="503">
        <f t="shared" si="6"/>
        <v>642.19195661112803</v>
      </c>
      <c r="AH55" s="503">
        <f t="shared" si="6"/>
        <v>1745.7636451203298</v>
      </c>
      <c r="AI55" s="503">
        <f t="shared" si="6"/>
        <v>1692.2310241395398</v>
      </c>
      <c r="AJ55" s="503">
        <f t="shared" si="6"/>
        <v>1856.4847794370289</v>
      </c>
      <c r="AK55" s="503">
        <f t="shared" si="6"/>
        <v>1051.895542113127</v>
      </c>
      <c r="AL55" s="503">
        <f t="shared" si="6"/>
        <v>666.09575842993115</v>
      </c>
      <c r="AM55" s="503">
        <f t="shared" si="6"/>
        <v>326.65437443569931</v>
      </c>
      <c r="AN55" s="503">
        <f t="shared" si="6"/>
        <v>1014.8091652537385</v>
      </c>
      <c r="AO55" s="503">
        <f t="shared" si="6"/>
        <v>12570.130635579133</v>
      </c>
      <c r="AP55" s="503">
        <f t="shared" si="6"/>
        <v>24864.122974196867</v>
      </c>
      <c r="AQ55" s="503">
        <f t="shared" si="6"/>
        <v>7262.9800000000005</v>
      </c>
      <c r="AR55" s="503">
        <f t="shared" si="6"/>
        <v>38663.72</v>
      </c>
    </row>
    <row r="56" spans="2:44" s="482" customFormat="1">
      <c r="B56" s="484" t="str">
        <f t="shared" si="3"/>
        <v>30-34</v>
      </c>
      <c r="C56" s="503">
        <f t="shared" si="4"/>
        <v>282.64521693640364</v>
      </c>
      <c r="D56" s="503">
        <f t="shared" si="4"/>
        <v>1202.3419656318504</v>
      </c>
      <c r="E56" s="503">
        <f t="shared" ref="E56:AR56" si="7">E39+E22</f>
        <v>687.43318601050294</v>
      </c>
      <c r="F56" s="503">
        <f t="shared" si="7"/>
        <v>1762.2188576885426</v>
      </c>
      <c r="G56" s="503">
        <f t="shared" si="7"/>
        <v>358.23532297840916</v>
      </c>
      <c r="H56" s="503">
        <f t="shared" si="7"/>
        <v>463.52053853673834</v>
      </c>
      <c r="I56" s="503">
        <f t="shared" si="7"/>
        <v>620.41690404498843</v>
      </c>
      <c r="J56" s="503">
        <f t="shared" si="7"/>
        <v>1093.0606927819763</v>
      </c>
      <c r="K56" s="503">
        <f t="shared" si="7"/>
        <v>22.538992882393444</v>
      </c>
      <c r="L56" s="503">
        <f t="shared" si="7"/>
        <v>23.497291878008181</v>
      </c>
      <c r="M56" s="503">
        <f t="shared" si="7"/>
        <v>870.17694280383557</v>
      </c>
      <c r="N56" s="503">
        <f t="shared" si="7"/>
        <v>535.88889127549805</v>
      </c>
      <c r="O56" s="503">
        <f t="shared" si="7"/>
        <v>604.79563857908738</v>
      </c>
      <c r="P56" s="503">
        <f t="shared" si="7"/>
        <v>1010.7960749268107</v>
      </c>
      <c r="Q56" s="503">
        <f t="shared" si="7"/>
        <v>217.8526861628873</v>
      </c>
      <c r="R56" s="503">
        <f t="shared" si="7"/>
        <v>974.38842824314179</v>
      </c>
      <c r="S56" s="503">
        <f t="shared" si="7"/>
        <v>1332.8951462685434</v>
      </c>
      <c r="T56" s="503">
        <f t="shared" si="7"/>
        <v>4681.204177444487</v>
      </c>
      <c r="U56" s="503">
        <f t="shared" si="7"/>
        <v>35.87740604275362</v>
      </c>
      <c r="V56" s="503">
        <f t="shared" si="7"/>
        <v>218.22098180729341</v>
      </c>
      <c r="W56" s="503">
        <f t="shared" si="7"/>
        <v>794.43726007511134</v>
      </c>
      <c r="X56" s="503">
        <f t="shared" si="7"/>
        <v>1178.5068212887529</v>
      </c>
      <c r="Y56" s="503">
        <f t="shared" si="7"/>
        <v>996.54639111295637</v>
      </c>
      <c r="Z56" s="503">
        <f t="shared" si="7"/>
        <v>1242.4638050399587</v>
      </c>
      <c r="AA56" s="503">
        <f t="shared" si="7"/>
        <v>2324.7358139523262</v>
      </c>
      <c r="AB56" s="503">
        <f t="shared" si="7"/>
        <v>2389.052108624946</v>
      </c>
      <c r="AC56" s="503">
        <f t="shared" si="7"/>
        <v>391.85901152282094</v>
      </c>
      <c r="AD56" s="503">
        <f t="shared" si="7"/>
        <v>1660.9050348438461</v>
      </c>
      <c r="AE56" s="503">
        <f t="shared" si="7"/>
        <v>439.43639963586236</v>
      </c>
      <c r="AF56" s="503">
        <f t="shared" si="7"/>
        <v>632.43537650343558</v>
      </c>
      <c r="AG56" s="503">
        <f t="shared" si="7"/>
        <v>901.4628898810281</v>
      </c>
      <c r="AH56" s="503">
        <f t="shared" si="7"/>
        <v>2082.4977113632863</v>
      </c>
      <c r="AI56" s="503">
        <f t="shared" si="7"/>
        <v>2229.5782012633126</v>
      </c>
      <c r="AJ56" s="503">
        <f t="shared" si="7"/>
        <v>1938.0634162530541</v>
      </c>
      <c r="AK56" s="503">
        <f t="shared" si="7"/>
        <v>1114.4829380588028</v>
      </c>
      <c r="AL56" s="503">
        <f t="shared" si="7"/>
        <v>709.48014641001487</v>
      </c>
      <c r="AM56" s="503">
        <f t="shared" si="7"/>
        <v>417.84128863780342</v>
      </c>
      <c r="AN56" s="503">
        <f t="shared" si="7"/>
        <v>976.27157633273805</v>
      </c>
      <c r="AO56" s="503">
        <f t="shared" si="7"/>
        <v>14643.24763684983</v>
      </c>
      <c r="AP56" s="503">
        <f t="shared" si="7"/>
        <v>24774.813896874381</v>
      </c>
      <c r="AQ56" s="503">
        <f t="shared" si="7"/>
        <v>6565.14</v>
      </c>
      <c r="AR56" s="503">
        <f t="shared" si="7"/>
        <v>34520.78</v>
      </c>
    </row>
    <row r="57" spans="2:44" s="482" customFormat="1">
      <c r="B57" s="484" t="str">
        <f t="shared" si="3"/>
        <v>35-39</v>
      </c>
      <c r="C57" s="503">
        <f t="shared" si="4"/>
        <v>316.4102583629919</v>
      </c>
      <c r="D57" s="503">
        <f t="shared" si="4"/>
        <v>1261.0586850201375</v>
      </c>
      <c r="E57" s="503">
        <f t="shared" ref="E57:AR57" si="8">E40+E23</f>
        <v>693.76467436640826</v>
      </c>
      <c r="F57" s="503">
        <f t="shared" si="8"/>
        <v>1566.7799733637282</v>
      </c>
      <c r="G57" s="503">
        <f t="shared" si="8"/>
        <v>338.32704176837848</v>
      </c>
      <c r="H57" s="503">
        <f t="shared" si="8"/>
        <v>476.68929686545414</v>
      </c>
      <c r="I57" s="503">
        <f t="shared" si="8"/>
        <v>674.90591772799257</v>
      </c>
      <c r="J57" s="503">
        <f t="shared" si="8"/>
        <v>1021.4453871459581</v>
      </c>
      <c r="K57" s="503">
        <f t="shared" si="8"/>
        <v>11.326766379247475</v>
      </c>
      <c r="L57" s="503">
        <f t="shared" si="8"/>
        <v>31.822915038323536</v>
      </c>
      <c r="M57" s="503">
        <f t="shared" si="8"/>
        <v>841.11742542475076</v>
      </c>
      <c r="N57" s="503">
        <f t="shared" si="8"/>
        <v>585.58766286006494</v>
      </c>
      <c r="O57" s="503">
        <f t="shared" si="8"/>
        <v>666.17367850799951</v>
      </c>
      <c r="P57" s="503">
        <f t="shared" si="8"/>
        <v>916.11174994063776</v>
      </c>
      <c r="Q57" s="503">
        <f t="shared" si="8"/>
        <v>243.09456510556063</v>
      </c>
      <c r="R57" s="503">
        <f t="shared" si="8"/>
        <v>794.28976789621174</v>
      </c>
      <c r="S57" s="503">
        <f t="shared" si="8"/>
        <v>1144.4258840008538</v>
      </c>
      <c r="T57" s="503">
        <f t="shared" si="8"/>
        <v>4055.2606524895027</v>
      </c>
      <c r="U57" s="503">
        <f t="shared" si="8"/>
        <v>32.931829126403038</v>
      </c>
      <c r="V57" s="503">
        <f t="shared" si="8"/>
        <v>252.11505931699986</v>
      </c>
      <c r="W57" s="503">
        <f t="shared" si="8"/>
        <v>917.17258296272109</v>
      </c>
      <c r="X57" s="503">
        <f t="shared" si="8"/>
        <v>1169.8335625198874</v>
      </c>
      <c r="Y57" s="503">
        <f t="shared" si="8"/>
        <v>864.56235607640394</v>
      </c>
      <c r="Z57" s="503">
        <f t="shared" si="8"/>
        <v>1166.9654089617654</v>
      </c>
      <c r="AA57" s="503">
        <f t="shared" si="8"/>
        <v>2154.6578795297492</v>
      </c>
      <c r="AB57" s="503">
        <f t="shared" si="8"/>
        <v>2332.080761207344</v>
      </c>
      <c r="AC57" s="503">
        <f t="shared" si="8"/>
        <v>489.00400608571829</v>
      </c>
      <c r="AD57" s="503">
        <f t="shared" si="8"/>
        <v>2014.3940440769516</v>
      </c>
      <c r="AE57" s="503">
        <f t="shared" si="8"/>
        <v>397.92177994049052</v>
      </c>
      <c r="AF57" s="503">
        <f t="shared" si="8"/>
        <v>553.40510947511882</v>
      </c>
      <c r="AG57" s="503">
        <f t="shared" si="8"/>
        <v>870.37152144994059</v>
      </c>
      <c r="AH57" s="503">
        <f t="shared" si="8"/>
        <v>1770.1492853927375</v>
      </c>
      <c r="AI57" s="503">
        <f t="shared" si="8"/>
        <v>2094.4152872266677</v>
      </c>
      <c r="AJ57" s="503">
        <f t="shared" si="8"/>
        <v>1646.1236694273055</v>
      </c>
      <c r="AK57" s="503">
        <f t="shared" si="8"/>
        <v>988.78906470180527</v>
      </c>
      <c r="AL57" s="503">
        <f t="shared" si="8"/>
        <v>613.05024224464626</v>
      </c>
      <c r="AM57" s="503">
        <f t="shared" si="8"/>
        <v>393.51150235761651</v>
      </c>
      <c r="AN57" s="503">
        <f t="shared" si="8"/>
        <v>855.67336987706676</v>
      </c>
      <c r="AO57" s="503">
        <f t="shared" si="8"/>
        <v>14132.8840211017</v>
      </c>
      <c r="AP57" s="503">
        <f t="shared" si="8"/>
        <v>23082.836603119838</v>
      </c>
      <c r="AQ57" s="503">
        <f t="shared" si="8"/>
        <v>5398.23</v>
      </c>
      <c r="AR57" s="503">
        <f t="shared" si="8"/>
        <v>31759.890000000003</v>
      </c>
    </row>
    <row r="58" spans="2:44" s="482" customFormat="1">
      <c r="B58" s="484" t="str">
        <f t="shared" si="3"/>
        <v>40-44</v>
      </c>
      <c r="C58" s="503">
        <f t="shared" si="4"/>
        <v>357.53428311653818</v>
      </c>
      <c r="D58" s="503">
        <f t="shared" si="4"/>
        <v>1164.4199794614026</v>
      </c>
      <c r="E58" s="503">
        <f t="shared" ref="E58:AR58" si="9">E41+E24</f>
        <v>590.28459933099134</v>
      </c>
      <c r="F58" s="503">
        <f t="shared" si="9"/>
        <v>1307.4433319867999</v>
      </c>
      <c r="G58" s="503">
        <f t="shared" si="9"/>
        <v>287.05877784843096</v>
      </c>
      <c r="H58" s="503">
        <f t="shared" si="9"/>
        <v>418.27444487757782</v>
      </c>
      <c r="I58" s="503">
        <f t="shared" si="9"/>
        <v>678.7833230473351</v>
      </c>
      <c r="J58" s="503">
        <f t="shared" si="9"/>
        <v>937.23527539125962</v>
      </c>
      <c r="K58" s="503">
        <f t="shared" si="9"/>
        <v>18.679667237090829</v>
      </c>
      <c r="L58" s="503">
        <f t="shared" si="9"/>
        <v>20.044277661422058</v>
      </c>
      <c r="M58" s="503">
        <f t="shared" si="9"/>
        <v>660.768441055474</v>
      </c>
      <c r="N58" s="503">
        <f t="shared" si="9"/>
        <v>476.00912863782685</v>
      </c>
      <c r="O58" s="503">
        <f t="shared" si="9"/>
        <v>673.90003297329645</v>
      </c>
      <c r="P58" s="503">
        <f t="shared" si="9"/>
        <v>847.79598344722046</v>
      </c>
      <c r="Q58" s="503">
        <f t="shared" si="9"/>
        <v>166.53751328508329</v>
      </c>
      <c r="R58" s="503">
        <f t="shared" si="9"/>
        <v>532.71543258014913</v>
      </c>
      <c r="S58" s="503">
        <f t="shared" si="9"/>
        <v>928.80686718295397</v>
      </c>
      <c r="T58" s="503">
        <f t="shared" si="9"/>
        <v>3207.5457234129349</v>
      </c>
      <c r="U58" s="503">
        <f t="shared" si="9"/>
        <v>51.732068524126127</v>
      </c>
      <c r="V58" s="503">
        <f t="shared" si="9"/>
        <v>258.43099844637175</v>
      </c>
      <c r="W58" s="503">
        <f t="shared" si="9"/>
        <v>783.30781292480629</v>
      </c>
      <c r="X58" s="503">
        <f t="shared" si="9"/>
        <v>879.20429627874319</v>
      </c>
      <c r="Y58" s="503">
        <f t="shared" si="9"/>
        <v>764.32364859041968</v>
      </c>
      <c r="Z58" s="503">
        <f t="shared" si="9"/>
        <v>883.20869388678352</v>
      </c>
      <c r="AA58" s="503">
        <f t="shared" si="9"/>
        <v>1992.1399200936492</v>
      </c>
      <c r="AB58" s="503">
        <f t="shared" si="9"/>
        <v>2254.7187840736046</v>
      </c>
      <c r="AC58" s="503">
        <f t="shared" si="9"/>
        <v>466.90386316380722</v>
      </c>
      <c r="AD58" s="503">
        <f t="shared" si="9"/>
        <v>2252.6317001580478</v>
      </c>
      <c r="AE58" s="503">
        <f t="shared" si="9"/>
        <v>322.34881175229924</v>
      </c>
      <c r="AF58" s="503">
        <f t="shared" si="9"/>
        <v>448.25636647127055</v>
      </c>
      <c r="AG58" s="503">
        <f t="shared" si="9"/>
        <v>799.91517392287756</v>
      </c>
      <c r="AH58" s="503">
        <f t="shared" si="9"/>
        <v>1445.7545935760138</v>
      </c>
      <c r="AI58" s="503">
        <f t="shared" si="9"/>
        <v>1245.2563870608237</v>
      </c>
      <c r="AJ58" s="503">
        <f t="shared" si="9"/>
        <v>946.32782245344299</v>
      </c>
      <c r="AK58" s="503">
        <f t="shared" si="9"/>
        <v>898.59615482636229</v>
      </c>
      <c r="AL58" s="503">
        <f t="shared" si="9"/>
        <v>591.67971842926147</v>
      </c>
      <c r="AM58" s="503">
        <f t="shared" si="9"/>
        <v>379.00249189916087</v>
      </c>
      <c r="AN58" s="503">
        <f t="shared" si="9"/>
        <v>778.43908225764062</v>
      </c>
      <c r="AO58" s="503">
        <f t="shared" si="9"/>
        <v>12065.879837835522</v>
      </c>
      <c r="AP58" s="503">
        <f t="shared" si="9"/>
        <v>19650.135633487771</v>
      </c>
      <c r="AQ58" s="503">
        <f t="shared" si="9"/>
        <v>4770.59</v>
      </c>
      <c r="AR58" s="503">
        <f t="shared" si="9"/>
        <v>29498.13</v>
      </c>
    </row>
    <row r="59" spans="2:44" s="482" customFormat="1">
      <c r="B59" s="484" t="str">
        <f t="shared" si="3"/>
        <v>45-49</v>
      </c>
      <c r="C59" s="503">
        <f t="shared" si="4"/>
        <v>293.78678976180771</v>
      </c>
      <c r="D59" s="503">
        <f t="shared" si="4"/>
        <v>910.58510217405137</v>
      </c>
      <c r="E59" s="503">
        <f t="shared" ref="E59:AR59" si="10">E42+E25</f>
        <v>415.09305763372129</v>
      </c>
      <c r="F59" s="503">
        <f t="shared" si="10"/>
        <v>920.29415099124174</v>
      </c>
      <c r="G59" s="503">
        <f t="shared" si="10"/>
        <v>276.23164205153546</v>
      </c>
      <c r="H59" s="503">
        <f t="shared" si="10"/>
        <v>357.21466688550242</v>
      </c>
      <c r="I59" s="503">
        <f t="shared" si="10"/>
        <v>601.6188504081764</v>
      </c>
      <c r="J59" s="503">
        <f t="shared" si="10"/>
        <v>808.32031300169353</v>
      </c>
      <c r="K59" s="503">
        <f t="shared" si="10"/>
        <v>15.251645885419197</v>
      </c>
      <c r="L59" s="503">
        <f t="shared" si="10"/>
        <v>22.032210136720696</v>
      </c>
      <c r="M59" s="503">
        <f t="shared" si="10"/>
        <v>624.54689526374921</v>
      </c>
      <c r="N59" s="503">
        <f t="shared" si="10"/>
        <v>413.24653695355835</v>
      </c>
      <c r="O59" s="503">
        <f t="shared" si="10"/>
        <v>735.47497999530844</v>
      </c>
      <c r="P59" s="503">
        <f t="shared" si="10"/>
        <v>831.59462775148984</v>
      </c>
      <c r="Q59" s="503">
        <f t="shared" si="10"/>
        <v>141.75775335982627</v>
      </c>
      <c r="R59" s="503">
        <f t="shared" si="10"/>
        <v>334.92350263983172</v>
      </c>
      <c r="S59" s="503">
        <f t="shared" si="10"/>
        <v>782.61480624915839</v>
      </c>
      <c r="T59" s="503">
        <f t="shared" si="10"/>
        <v>2624.2087780868183</v>
      </c>
      <c r="U59" s="503">
        <f t="shared" si="10"/>
        <v>36.689084989913198</v>
      </c>
      <c r="V59" s="503">
        <f t="shared" si="10"/>
        <v>332.01358388586374</v>
      </c>
      <c r="W59" s="503">
        <f t="shared" si="10"/>
        <v>604.87318669666456</v>
      </c>
      <c r="X59" s="503">
        <f t="shared" si="10"/>
        <v>558.85244711275402</v>
      </c>
      <c r="Y59" s="503">
        <f t="shared" si="10"/>
        <v>651.96106723148523</v>
      </c>
      <c r="Z59" s="503">
        <f t="shared" si="10"/>
        <v>632.03326298366733</v>
      </c>
      <c r="AA59" s="503">
        <f t="shared" si="10"/>
        <v>2062.7600277494362</v>
      </c>
      <c r="AB59" s="503">
        <f t="shared" si="10"/>
        <v>2323.7876916759428</v>
      </c>
      <c r="AC59" s="503">
        <f t="shared" si="10"/>
        <v>393.3125725877203</v>
      </c>
      <c r="AD59" s="503">
        <f t="shared" si="10"/>
        <v>1910.3000251679282</v>
      </c>
      <c r="AE59" s="503">
        <f t="shared" si="10"/>
        <v>265.05557276311441</v>
      </c>
      <c r="AF59" s="503">
        <f t="shared" si="10"/>
        <v>277.47201148781613</v>
      </c>
      <c r="AG59" s="503">
        <f t="shared" si="10"/>
        <v>728.13834740294396</v>
      </c>
      <c r="AH59" s="503">
        <f t="shared" si="10"/>
        <v>1245.3468183005828</v>
      </c>
      <c r="AI59" s="503">
        <f t="shared" si="10"/>
        <v>645.91890737087658</v>
      </c>
      <c r="AJ59" s="503">
        <f t="shared" si="10"/>
        <v>493.65027799232524</v>
      </c>
      <c r="AK59" s="503">
        <f t="shared" si="10"/>
        <v>970.236411699928</v>
      </c>
      <c r="AL59" s="503">
        <f t="shared" si="10"/>
        <v>469.12839232374318</v>
      </c>
      <c r="AM59" s="503">
        <f t="shared" si="10"/>
        <v>295.38680144549971</v>
      </c>
      <c r="AN59" s="503">
        <f t="shared" si="10"/>
        <v>483.08430290571079</v>
      </c>
      <c r="AO59" s="503">
        <f t="shared" si="10"/>
        <v>10540.708400546286</v>
      </c>
      <c r="AP59" s="503">
        <f t="shared" si="10"/>
        <v>15948.08870245724</v>
      </c>
      <c r="AQ59" s="503">
        <f t="shared" si="10"/>
        <v>3850.3199999999997</v>
      </c>
      <c r="AR59" s="503">
        <f t="shared" si="10"/>
        <v>25344.879999999997</v>
      </c>
    </row>
    <row r="60" spans="2:44" s="482" customFormat="1">
      <c r="B60" s="484" t="str">
        <f t="shared" si="3"/>
        <v>50-54</v>
      </c>
      <c r="C60" s="503">
        <f t="shared" si="4"/>
        <v>274.59958200956896</v>
      </c>
      <c r="D60" s="503">
        <f t="shared" si="4"/>
        <v>724.82582541033253</v>
      </c>
      <c r="E60" s="503">
        <f t="shared" ref="E60:AR60" si="11">E43+E26</f>
        <v>316.39715214530844</v>
      </c>
      <c r="F60" s="503">
        <f t="shared" si="11"/>
        <v>620.15235909659725</v>
      </c>
      <c r="G60" s="503">
        <f t="shared" si="11"/>
        <v>213.26624026918441</v>
      </c>
      <c r="H60" s="503">
        <f t="shared" si="11"/>
        <v>266.43513943545395</v>
      </c>
      <c r="I60" s="503">
        <f t="shared" si="11"/>
        <v>493.45016003468379</v>
      </c>
      <c r="J60" s="503">
        <f t="shared" si="11"/>
        <v>599.38516044120831</v>
      </c>
      <c r="K60" s="503">
        <f t="shared" si="11"/>
        <v>18.586693779608918</v>
      </c>
      <c r="L60" s="503">
        <f t="shared" si="11"/>
        <v>16.303345641020993</v>
      </c>
      <c r="M60" s="503">
        <f t="shared" si="11"/>
        <v>435.51338839159848</v>
      </c>
      <c r="N60" s="503">
        <f t="shared" si="11"/>
        <v>355.46082930390156</v>
      </c>
      <c r="O60" s="503">
        <f t="shared" si="11"/>
        <v>716.55890518861452</v>
      </c>
      <c r="P60" s="503">
        <f t="shared" si="11"/>
        <v>701.38706373599575</v>
      </c>
      <c r="Q60" s="503">
        <f t="shared" si="11"/>
        <v>128.00297543539045</v>
      </c>
      <c r="R60" s="503">
        <f t="shared" si="11"/>
        <v>246.56993965986618</v>
      </c>
      <c r="S60" s="503">
        <f t="shared" si="11"/>
        <v>559.96506000764612</v>
      </c>
      <c r="T60" s="503">
        <f t="shared" si="11"/>
        <v>2083.6221411001025</v>
      </c>
      <c r="U60" s="503">
        <f t="shared" si="11"/>
        <v>31.918009075716085</v>
      </c>
      <c r="V60" s="503">
        <f t="shared" si="11"/>
        <v>327.10162996238944</v>
      </c>
      <c r="W60" s="503">
        <f t="shared" si="11"/>
        <v>424.45498558730327</v>
      </c>
      <c r="X60" s="503">
        <f t="shared" si="11"/>
        <v>376.85619753655686</v>
      </c>
      <c r="Y60" s="503">
        <f t="shared" si="11"/>
        <v>448.05201397394126</v>
      </c>
      <c r="Z60" s="503">
        <f t="shared" si="11"/>
        <v>405.53936491192985</v>
      </c>
      <c r="AA60" s="503">
        <f t="shared" si="11"/>
        <v>1581.6959864152388</v>
      </c>
      <c r="AB60" s="503">
        <f t="shared" si="11"/>
        <v>1953.3029114053493</v>
      </c>
      <c r="AC60" s="503">
        <f t="shared" si="11"/>
        <v>335.86182456745712</v>
      </c>
      <c r="AD60" s="503">
        <f t="shared" si="11"/>
        <v>1403.9374925995912</v>
      </c>
      <c r="AE60" s="503">
        <f t="shared" si="11"/>
        <v>211.50598867205557</v>
      </c>
      <c r="AF60" s="503">
        <f t="shared" si="11"/>
        <v>206.39763689611587</v>
      </c>
      <c r="AG60" s="503">
        <f t="shared" si="11"/>
        <v>617.63641272112739</v>
      </c>
      <c r="AH60" s="503">
        <f t="shared" si="11"/>
        <v>1013.4075149297736</v>
      </c>
      <c r="AI60" s="503">
        <f t="shared" si="11"/>
        <v>419.95247786308795</v>
      </c>
      <c r="AJ60" s="503">
        <f t="shared" si="11"/>
        <v>384.1183745866382</v>
      </c>
      <c r="AK60" s="503">
        <f t="shared" si="11"/>
        <v>836.50278815204467</v>
      </c>
      <c r="AL60" s="503">
        <f t="shared" si="11"/>
        <v>436.62976740163003</v>
      </c>
      <c r="AM60" s="503">
        <f t="shared" si="11"/>
        <v>256.2017658201321</v>
      </c>
      <c r="AN60" s="503">
        <f t="shared" si="11"/>
        <v>457.49164531035922</v>
      </c>
      <c r="AO60" s="503">
        <f t="shared" si="11"/>
        <v>8322.1224101097087</v>
      </c>
      <c r="AP60" s="503">
        <f t="shared" si="11"/>
        <v>12578.92433936481</v>
      </c>
      <c r="AQ60" s="503">
        <f t="shared" si="11"/>
        <v>2940.4199999999996</v>
      </c>
      <c r="AR60" s="503">
        <f t="shared" si="11"/>
        <v>20353.79</v>
      </c>
    </row>
    <row r="61" spans="2:44" s="482" customFormat="1">
      <c r="B61" s="484" t="str">
        <f t="shared" si="3"/>
        <v>55-59</v>
      </c>
      <c r="C61" s="503">
        <f t="shared" si="4"/>
        <v>181.42616484554657</v>
      </c>
      <c r="D61" s="503">
        <f t="shared" si="4"/>
        <v>323.39588739439023</v>
      </c>
      <c r="E61" s="503">
        <f t="shared" ref="E61:AR61" si="12">E44+E27</f>
        <v>230.18795921960134</v>
      </c>
      <c r="F61" s="503">
        <f t="shared" si="12"/>
        <v>446.85565700220172</v>
      </c>
      <c r="G61" s="503">
        <f t="shared" si="12"/>
        <v>123.27889359896781</v>
      </c>
      <c r="H61" s="503">
        <f t="shared" si="12"/>
        <v>139.65827881622113</v>
      </c>
      <c r="I61" s="503">
        <f t="shared" si="12"/>
        <v>324.92275947306007</v>
      </c>
      <c r="J61" s="503">
        <f t="shared" si="12"/>
        <v>332.56838975013079</v>
      </c>
      <c r="K61" s="503">
        <f t="shared" si="12"/>
        <v>11.539134781478248</v>
      </c>
      <c r="L61" s="503">
        <f t="shared" si="12"/>
        <v>25.988080795386388</v>
      </c>
      <c r="M61" s="503">
        <f t="shared" si="12"/>
        <v>264.99901784798823</v>
      </c>
      <c r="N61" s="503">
        <f t="shared" si="12"/>
        <v>187.92041454582576</v>
      </c>
      <c r="O61" s="503">
        <f t="shared" si="12"/>
        <v>548.56516986573547</v>
      </c>
      <c r="P61" s="503">
        <f t="shared" si="12"/>
        <v>478.72112446191204</v>
      </c>
      <c r="Q61" s="503">
        <f t="shared" si="12"/>
        <v>65.520092652897972</v>
      </c>
      <c r="R61" s="503">
        <f t="shared" si="12"/>
        <v>139.82462587422557</v>
      </c>
      <c r="S61" s="503">
        <f t="shared" si="12"/>
        <v>371.18438553379997</v>
      </c>
      <c r="T61" s="503">
        <f t="shared" si="12"/>
        <v>1499.5895088903603</v>
      </c>
      <c r="U61" s="503">
        <f t="shared" si="12"/>
        <v>13.021326324341421</v>
      </c>
      <c r="V61" s="503">
        <f t="shared" si="12"/>
        <v>259.32145213164637</v>
      </c>
      <c r="W61" s="503">
        <f t="shared" si="12"/>
        <v>269.86230862555033</v>
      </c>
      <c r="X61" s="503">
        <f t="shared" si="12"/>
        <v>288.62566536415272</v>
      </c>
      <c r="Y61" s="503">
        <f t="shared" si="12"/>
        <v>282.35682443315369</v>
      </c>
      <c r="Z61" s="503">
        <f t="shared" si="12"/>
        <v>305.80766023827232</v>
      </c>
      <c r="AA61" s="503">
        <f t="shared" si="12"/>
        <v>1020.8136511637609</v>
      </c>
      <c r="AB61" s="503">
        <f t="shared" si="12"/>
        <v>1132.7900924173512</v>
      </c>
      <c r="AC61" s="503">
        <f t="shared" si="12"/>
        <v>186.32547694605307</v>
      </c>
      <c r="AD61" s="503">
        <f t="shared" si="12"/>
        <v>940.16229432099169</v>
      </c>
      <c r="AE61" s="503">
        <f t="shared" si="12"/>
        <v>139.05614722108888</v>
      </c>
      <c r="AF61" s="503">
        <f t="shared" si="12"/>
        <v>129.20265187589362</v>
      </c>
      <c r="AG61" s="503">
        <f t="shared" si="12"/>
        <v>422.25619478499385</v>
      </c>
      <c r="AH61" s="503">
        <f t="shared" si="12"/>
        <v>704.41046265595412</v>
      </c>
      <c r="AI61" s="503">
        <f t="shared" si="12"/>
        <v>297.17886781967655</v>
      </c>
      <c r="AJ61" s="503">
        <f t="shared" si="12"/>
        <v>284.70136420435978</v>
      </c>
      <c r="AK61" s="503">
        <f t="shared" si="12"/>
        <v>497.51461622349734</v>
      </c>
      <c r="AL61" s="503">
        <f t="shared" si="12"/>
        <v>172.27187326692058</v>
      </c>
      <c r="AM61" s="503">
        <f t="shared" si="12"/>
        <v>168.64135371482379</v>
      </c>
      <c r="AN61" s="503">
        <f t="shared" si="12"/>
        <v>328.66976494975745</v>
      </c>
      <c r="AO61" s="503">
        <f t="shared" si="12"/>
        <v>5424.6503450760156</v>
      </c>
      <c r="AP61" s="503">
        <f t="shared" si="12"/>
        <v>8120.4852489559544</v>
      </c>
      <c r="AQ61" s="503">
        <f t="shared" si="12"/>
        <v>1540.99</v>
      </c>
      <c r="AR61" s="503">
        <f t="shared" si="12"/>
        <v>12624.150000000001</v>
      </c>
    </row>
    <row r="62" spans="2:44" s="482" customFormat="1">
      <c r="B62" s="484" t="str">
        <f t="shared" si="3"/>
        <v>60-64</v>
      </c>
      <c r="C62" s="503">
        <f t="shared" si="4"/>
        <v>53.994237976890552</v>
      </c>
      <c r="D62" s="503">
        <f t="shared" si="4"/>
        <v>135.29138512263793</v>
      </c>
      <c r="E62" s="503">
        <f t="shared" ref="E62:AR62" si="13">E45+E28</f>
        <v>56.874231610803641</v>
      </c>
      <c r="F62" s="503">
        <f t="shared" si="13"/>
        <v>139.73540720437038</v>
      </c>
      <c r="G62" s="503">
        <f t="shared" si="13"/>
        <v>32.788701698228245</v>
      </c>
      <c r="H62" s="503">
        <f t="shared" si="13"/>
        <v>36.286668718493225</v>
      </c>
      <c r="I62" s="503">
        <f t="shared" si="13"/>
        <v>99.345114176621578</v>
      </c>
      <c r="J62" s="503">
        <f t="shared" si="13"/>
        <v>68.810672493636616</v>
      </c>
      <c r="K62" s="503">
        <f t="shared" si="13"/>
        <v>5.9738655214041234</v>
      </c>
      <c r="L62" s="503">
        <f t="shared" si="13"/>
        <v>5.8521873492924872</v>
      </c>
      <c r="M62" s="503">
        <f t="shared" si="13"/>
        <v>65.404221343597897</v>
      </c>
      <c r="N62" s="503">
        <f t="shared" si="13"/>
        <v>54.230162468802149</v>
      </c>
      <c r="O62" s="503">
        <f t="shared" si="13"/>
        <v>146.07807581368098</v>
      </c>
      <c r="P62" s="503">
        <f t="shared" si="13"/>
        <v>139.32331925592965</v>
      </c>
      <c r="Q62" s="503">
        <f t="shared" si="13"/>
        <v>29.469818808278859</v>
      </c>
      <c r="R62" s="503">
        <f t="shared" si="13"/>
        <v>61.344958516173541</v>
      </c>
      <c r="S62" s="503">
        <f t="shared" si="13"/>
        <v>142.36228966769679</v>
      </c>
      <c r="T62" s="503">
        <f t="shared" si="13"/>
        <v>460.53174145147239</v>
      </c>
      <c r="U62" s="503">
        <f t="shared" si="13"/>
        <v>5.5059744204091645</v>
      </c>
      <c r="V62" s="503">
        <f t="shared" si="13"/>
        <v>63.60212526489709</v>
      </c>
      <c r="W62" s="503">
        <f t="shared" si="13"/>
        <v>83.974006771059464</v>
      </c>
      <c r="X62" s="503">
        <f t="shared" si="13"/>
        <v>74.951294375971926</v>
      </c>
      <c r="Y62" s="503">
        <f t="shared" si="13"/>
        <v>75.433321610667306</v>
      </c>
      <c r="Z62" s="503">
        <f t="shared" si="13"/>
        <v>93.967531107771165</v>
      </c>
      <c r="AA62" s="503">
        <f t="shared" si="13"/>
        <v>395.07495158855892</v>
      </c>
      <c r="AB62" s="503">
        <f t="shared" si="13"/>
        <v>383.9965228380363</v>
      </c>
      <c r="AC62" s="503">
        <f t="shared" si="13"/>
        <v>48.736398822214909</v>
      </c>
      <c r="AD62" s="503">
        <f t="shared" si="13"/>
        <v>265.46125067692105</v>
      </c>
      <c r="AE62" s="503">
        <f t="shared" si="13"/>
        <v>27.84586724124312</v>
      </c>
      <c r="AF62" s="503">
        <f t="shared" si="13"/>
        <v>30.32319098052939</v>
      </c>
      <c r="AG62" s="503">
        <f t="shared" si="13"/>
        <v>169.096823806402</v>
      </c>
      <c r="AH62" s="503">
        <f t="shared" si="13"/>
        <v>226.7756244197557</v>
      </c>
      <c r="AI62" s="503">
        <f t="shared" si="13"/>
        <v>68.197087074359374</v>
      </c>
      <c r="AJ62" s="503">
        <f t="shared" si="13"/>
        <v>58.239603510037028</v>
      </c>
      <c r="AK62" s="503">
        <f t="shared" si="13"/>
        <v>132.00794480935548</v>
      </c>
      <c r="AL62" s="503">
        <f t="shared" si="13"/>
        <v>48.251486488357408</v>
      </c>
      <c r="AM62" s="503">
        <f t="shared" si="13"/>
        <v>61.247257404633096</v>
      </c>
      <c r="AN62" s="503">
        <f t="shared" si="13"/>
        <v>89.048438765886516</v>
      </c>
      <c r="AO62" s="503">
        <f t="shared" si="13"/>
        <v>1697.4101901661054</v>
      </c>
      <c r="AP62" s="503">
        <f t="shared" si="13"/>
        <v>2449.0235710089723</v>
      </c>
      <c r="AQ62" s="503">
        <f t="shared" si="13"/>
        <v>599.9</v>
      </c>
      <c r="AR62" s="503">
        <f t="shared" si="13"/>
        <v>4790.9199999999992</v>
      </c>
    </row>
    <row r="63" spans="2:44" s="482" customFormat="1">
      <c r="B63" s="484" t="str">
        <f t="shared" si="3"/>
        <v>65 plus</v>
      </c>
      <c r="C63" s="503">
        <f t="shared" si="4"/>
        <v>12.586944414648771</v>
      </c>
      <c r="D63" s="503">
        <f t="shared" si="4"/>
        <v>12.472836131287345</v>
      </c>
      <c r="E63" s="503">
        <f t="shared" ref="E63:AR63" si="14">E46+E29</f>
        <v>8.4777046714232132</v>
      </c>
      <c r="F63" s="503">
        <f t="shared" si="14"/>
        <v>18.244340933173852</v>
      </c>
      <c r="G63" s="503">
        <f t="shared" si="14"/>
        <v>5.6899332334772303</v>
      </c>
      <c r="H63" s="503">
        <f t="shared" si="14"/>
        <v>9.1579689900206027</v>
      </c>
      <c r="I63" s="503">
        <f t="shared" si="14"/>
        <v>25.368908427534457</v>
      </c>
      <c r="J63" s="503">
        <f t="shared" si="14"/>
        <v>12.179119420791704</v>
      </c>
      <c r="K63" s="503">
        <f t="shared" si="14"/>
        <v>6.232220795077561</v>
      </c>
      <c r="L63" s="503">
        <f t="shared" si="14"/>
        <v>5.7514999732075527</v>
      </c>
      <c r="M63" s="503">
        <f t="shared" si="14"/>
        <v>10.584386923166369</v>
      </c>
      <c r="N63" s="503">
        <f t="shared" si="14"/>
        <v>5.446400760376263</v>
      </c>
      <c r="O63" s="503">
        <f t="shared" si="14"/>
        <v>27.585984073445097</v>
      </c>
      <c r="P63" s="503">
        <f t="shared" si="14"/>
        <v>15.321714400191176</v>
      </c>
      <c r="Q63" s="503">
        <f t="shared" si="14"/>
        <v>7.8190936985726678</v>
      </c>
      <c r="R63" s="503">
        <f t="shared" si="14"/>
        <v>5.4075973669768835</v>
      </c>
      <c r="S63" s="503">
        <f t="shared" si="14"/>
        <v>25.331187115539237</v>
      </c>
      <c r="T63" s="503">
        <f t="shared" si="14"/>
        <v>71.165674035145088</v>
      </c>
      <c r="U63" s="503">
        <f t="shared" si="14"/>
        <v>5.8098246794774271</v>
      </c>
      <c r="V63" s="503">
        <f t="shared" si="14"/>
        <v>13.68287286599959</v>
      </c>
      <c r="W63" s="503">
        <f t="shared" si="14"/>
        <v>7.551803005632034</v>
      </c>
      <c r="X63" s="503">
        <f t="shared" si="14"/>
        <v>0</v>
      </c>
      <c r="Y63" s="503">
        <f t="shared" si="14"/>
        <v>8.1763565582481057</v>
      </c>
      <c r="Z63" s="503">
        <f t="shared" si="14"/>
        <v>0</v>
      </c>
      <c r="AA63" s="503">
        <f t="shared" si="14"/>
        <v>86.019093615144342</v>
      </c>
      <c r="AB63" s="503">
        <f t="shared" si="14"/>
        <v>63.454183488820199</v>
      </c>
      <c r="AC63" s="503">
        <f t="shared" si="14"/>
        <v>6.1721210183346811</v>
      </c>
      <c r="AD63" s="503">
        <f t="shared" si="14"/>
        <v>47.082447041829994</v>
      </c>
      <c r="AE63" s="503">
        <f t="shared" si="14"/>
        <v>5.7456573880420176</v>
      </c>
      <c r="AF63" s="503">
        <f t="shared" si="14"/>
        <v>5.8487856187205329</v>
      </c>
      <c r="AG63" s="503">
        <f t="shared" si="14"/>
        <v>43.842088457808352</v>
      </c>
      <c r="AH63" s="503">
        <f t="shared" si="14"/>
        <v>44.175934162552231</v>
      </c>
      <c r="AI63" s="503">
        <f t="shared" si="14"/>
        <v>12.785938396712694</v>
      </c>
      <c r="AJ63" s="503">
        <f t="shared" si="14"/>
        <v>5.7081293053161168</v>
      </c>
      <c r="AK63" s="503">
        <f t="shared" si="14"/>
        <v>48.019043923352612</v>
      </c>
      <c r="AL63" s="503">
        <f t="shared" si="14"/>
        <v>9.6380801864564258</v>
      </c>
      <c r="AM63" s="503">
        <f t="shared" si="14"/>
        <v>24.305769710009528</v>
      </c>
      <c r="AN63" s="503">
        <f t="shared" si="14"/>
        <v>13.868568587056776</v>
      </c>
      <c r="AO63" s="503">
        <f t="shared" si="14"/>
        <v>372.1040601056464</v>
      </c>
      <c r="AP63" s="503">
        <f t="shared" si="14"/>
        <v>345.60615326792231</v>
      </c>
      <c r="AQ63" s="503">
        <f t="shared" si="14"/>
        <v>157.72999999999999</v>
      </c>
      <c r="AR63" s="503">
        <f t="shared" si="14"/>
        <v>853.92</v>
      </c>
    </row>
    <row r="64" spans="2:44" s="482" customFormat="1">
      <c r="B64" s="484" t="str">
        <f t="shared" si="3"/>
        <v>Total</v>
      </c>
      <c r="C64" s="503">
        <f t="shared" si="4"/>
        <v>1940.2732274812286</v>
      </c>
      <c r="D64" s="503">
        <f t="shared" si="4"/>
        <v>6736.6437561538223</v>
      </c>
      <c r="E64" s="503">
        <f t="shared" ref="E64:AR64" si="15">E47+E30</f>
        <v>3778.6867324503123</v>
      </c>
      <c r="F64" s="503">
        <f t="shared" si="15"/>
        <v>8831.3015710363688</v>
      </c>
      <c r="G64" s="503">
        <f t="shared" si="15"/>
        <v>1888.4402517729845</v>
      </c>
      <c r="H64" s="503">
        <f t="shared" si="15"/>
        <v>2563.4491135138442</v>
      </c>
      <c r="I64" s="503">
        <f t="shared" si="15"/>
        <v>4519.207551098084</v>
      </c>
      <c r="J64" s="503">
        <f t="shared" si="15"/>
        <v>6613.9930534163022</v>
      </c>
      <c r="K64" s="503">
        <f t="shared" si="15"/>
        <v>134.28509105887397</v>
      </c>
      <c r="L64" s="503">
        <f t="shared" si="15"/>
        <v>193.84965884977777</v>
      </c>
      <c r="M64" s="503">
        <f t="shared" si="15"/>
        <v>4376.7150624731503</v>
      </c>
      <c r="N64" s="503">
        <f t="shared" si="15"/>
        <v>3037.6369663995042</v>
      </c>
      <c r="O64" s="503">
        <f t="shared" si="15"/>
        <v>4584.9826623633962</v>
      </c>
      <c r="P64" s="503">
        <f t="shared" si="15"/>
        <v>5919.4490195691023</v>
      </c>
      <c r="Q64" s="503">
        <f t="shared" si="15"/>
        <v>1222.2738600519385</v>
      </c>
      <c r="R64" s="503">
        <f t="shared" si="15"/>
        <v>4060.7126671346387</v>
      </c>
      <c r="S64" s="503">
        <f t="shared" si="15"/>
        <v>6853.9211511027834</v>
      </c>
      <c r="T64" s="503">
        <f t="shared" si="15"/>
        <v>25670.07745642497</v>
      </c>
      <c r="U64" s="503">
        <f t="shared" si="15"/>
        <v>241.94214946574436</v>
      </c>
      <c r="V64" s="503">
        <f t="shared" si="15"/>
        <v>1978.5531884796615</v>
      </c>
      <c r="W64" s="503">
        <f t="shared" si="15"/>
        <v>4867.9561003569206</v>
      </c>
      <c r="X64" s="503">
        <f t="shared" si="15"/>
        <v>6385.6902731265891</v>
      </c>
      <c r="Y64" s="503">
        <f t="shared" si="15"/>
        <v>5326.57943509907</v>
      </c>
      <c r="Z64" s="503">
        <f t="shared" si="15"/>
        <v>6674.4338431617762</v>
      </c>
      <c r="AA64" s="503">
        <f t="shared" si="15"/>
        <v>14949.961050010081</v>
      </c>
      <c r="AB64" s="503">
        <f t="shared" si="15"/>
        <v>17568.081700892944</v>
      </c>
      <c r="AC64" s="503">
        <f t="shared" si="15"/>
        <v>2843.1143176918777</v>
      </c>
      <c r="AD64" s="503">
        <f t="shared" si="15"/>
        <v>12583.659583352794</v>
      </c>
      <c r="AE64" s="503">
        <f t="shared" si="15"/>
        <v>2330.4076522966261</v>
      </c>
      <c r="AF64" s="503">
        <f t="shared" si="15"/>
        <v>2958.8030053943544</v>
      </c>
      <c r="AG64" s="503">
        <f t="shared" si="15"/>
        <v>5352.6405878804417</v>
      </c>
      <c r="AH64" s="503">
        <f t="shared" si="15"/>
        <v>10754.227327865327</v>
      </c>
      <c r="AI64" s="503">
        <f t="shared" si="15"/>
        <v>9137.8266303909368</v>
      </c>
      <c r="AJ64" s="503">
        <f t="shared" si="15"/>
        <v>8264.3466844357481</v>
      </c>
      <c r="AK64" s="503">
        <f t="shared" si="15"/>
        <v>6853.0247412027784</v>
      </c>
      <c r="AL64" s="503">
        <f t="shared" si="15"/>
        <v>3975.4044443185062</v>
      </c>
      <c r="AM64" s="503">
        <f t="shared" si="15"/>
        <v>2433.7481589548011</v>
      </c>
      <c r="AN64" s="503">
        <f t="shared" si="15"/>
        <v>5349.211676315198</v>
      </c>
      <c r="AO64" s="503">
        <f t="shared" si="15"/>
        <v>83635.986413202016</v>
      </c>
      <c r="AP64" s="503">
        <f t="shared" si="15"/>
        <v>140119.52498984121</v>
      </c>
      <c r="AQ64" s="503">
        <f t="shared" si="15"/>
        <v>35421.570000000007</v>
      </c>
      <c r="AR64" s="503">
        <f t="shared" si="15"/>
        <v>214807.41</v>
      </c>
    </row>
    <row r="65" spans="1:44">
      <c r="A65" s="4">
        <f>SUM(C65:AR65)</f>
        <v>0</v>
      </c>
      <c r="C65" s="4">
        <f t="shared" ref="C65:AR65" si="16">SUM(C54:C63)-C64</f>
        <v>0</v>
      </c>
      <c r="D65" s="4">
        <f t="shared" si="16"/>
        <v>0</v>
      </c>
      <c r="E65" s="4">
        <f t="shared" si="16"/>
        <v>0</v>
      </c>
      <c r="F65" s="4">
        <f t="shared" si="16"/>
        <v>0</v>
      </c>
      <c r="G65" s="4">
        <f t="shared" si="16"/>
        <v>0</v>
      </c>
      <c r="H65" s="4">
        <f t="shared" si="16"/>
        <v>0</v>
      </c>
      <c r="I65" s="4">
        <f t="shared" si="16"/>
        <v>0</v>
      </c>
      <c r="J65" s="4">
        <f t="shared" si="16"/>
        <v>0</v>
      </c>
      <c r="K65" s="4">
        <f t="shared" si="16"/>
        <v>0</v>
      </c>
      <c r="L65" s="4">
        <f t="shared" si="16"/>
        <v>0</v>
      </c>
      <c r="M65" s="4">
        <f t="shared" si="16"/>
        <v>0</v>
      </c>
      <c r="N65" s="4">
        <f t="shared" si="16"/>
        <v>0</v>
      </c>
      <c r="O65" s="4">
        <f t="shared" si="16"/>
        <v>0</v>
      </c>
      <c r="P65" s="4">
        <f t="shared" si="16"/>
        <v>0</v>
      </c>
      <c r="Q65" s="4">
        <f t="shared" si="16"/>
        <v>0</v>
      </c>
      <c r="R65" s="4">
        <f t="shared" si="16"/>
        <v>0</v>
      </c>
      <c r="S65" s="4">
        <f t="shared" si="16"/>
        <v>0</v>
      </c>
      <c r="T65" s="4">
        <f t="shared" si="16"/>
        <v>0</v>
      </c>
      <c r="U65" s="4">
        <f t="shared" si="16"/>
        <v>0</v>
      </c>
      <c r="V65" s="4">
        <f t="shared" si="16"/>
        <v>0</v>
      </c>
      <c r="W65" s="4">
        <f t="shared" si="16"/>
        <v>0</v>
      </c>
      <c r="X65" s="4">
        <f t="shared" si="16"/>
        <v>0</v>
      </c>
      <c r="Y65" s="4">
        <f t="shared" si="16"/>
        <v>0</v>
      </c>
      <c r="Z65" s="4">
        <f t="shared" si="16"/>
        <v>0</v>
      </c>
      <c r="AA65" s="4">
        <f t="shared" si="16"/>
        <v>0</v>
      </c>
      <c r="AB65" s="4">
        <f t="shared" si="16"/>
        <v>0</v>
      </c>
      <c r="AC65" s="4">
        <f t="shared" si="16"/>
        <v>0</v>
      </c>
      <c r="AD65" s="4">
        <f t="shared" si="16"/>
        <v>0</v>
      </c>
      <c r="AE65" s="4">
        <f t="shared" si="16"/>
        <v>0</v>
      </c>
      <c r="AF65" s="4">
        <f t="shared" si="16"/>
        <v>0</v>
      </c>
      <c r="AG65" s="4">
        <f t="shared" si="16"/>
        <v>0</v>
      </c>
      <c r="AH65" s="4">
        <f t="shared" si="16"/>
        <v>0</v>
      </c>
      <c r="AI65" s="4">
        <f t="shared" si="16"/>
        <v>0</v>
      </c>
      <c r="AJ65" s="4">
        <f t="shared" si="16"/>
        <v>0</v>
      </c>
      <c r="AK65" s="4">
        <f t="shared" si="16"/>
        <v>0</v>
      </c>
      <c r="AL65" s="4">
        <f t="shared" si="16"/>
        <v>0</v>
      </c>
      <c r="AM65" s="4">
        <f t="shared" si="16"/>
        <v>0</v>
      </c>
      <c r="AN65" s="4">
        <f t="shared" si="16"/>
        <v>0</v>
      </c>
      <c r="AO65" s="4">
        <f t="shared" si="16"/>
        <v>0</v>
      </c>
      <c r="AP65" s="4">
        <f t="shared" si="16"/>
        <v>0</v>
      </c>
      <c r="AQ65" s="4">
        <f t="shared" si="16"/>
        <v>0</v>
      </c>
      <c r="AR65" s="4">
        <f t="shared" si="16"/>
        <v>0</v>
      </c>
    </row>
    <row r="67" spans="1:44" ht="15.75">
      <c r="B67" s="137" t="s">
        <v>74</v>
      </c>
    </row>
    <row r="68" spans="1:44">
      <c r="B68" s="132"/>
    </row>
    <row r="69" spans="1:44">
      <c r="B69" s="133" t="s">
        <v>69</v>
      </c>
    </row>
    <row r="70" spans="1:44">
      <c r="B70" s="133"/>
    </row>
    <row r="71" spans="1:44" ht="18">
      <c r="B71" s="134" t="s">
        <v>72</v>
      </c>
      <c r="C71" s="135" t="str">
        <f>J12</f>
        <v>2016/17</v>
      </c>
    </row>
    <row r="73" spans="1:44" s="482" customFormat="1" ht="38.25" customHeight="1">
      <c r="B73" s="1300" t="str">
        <f>B52</f>
        <v>Age group</v>
      </c>
      <c r="C73" s="1297" t="str">
        <f>C52</f>
        <v>Art &amp; Design</v>
      </c>
      <c r="D73" s="1297"/>
      <c r="E73" s="1297" t="str">
        <f>E52</f>
        <v>Biology</v>
      </c>
      <c r="F73" s="1297"/>
      <c r="G73" s="1297" t="str">
        <f t="shared" ref="G73:AQ73" si="17">G52</f>
        <v>Business Studies</v>
      </c>
      <c r="H73" s="1297"/>
      <c r="I73" s="1297" t="str">
        <f t="shared" si="17"/>
        <v>Chemistry</v>
      </c>
      <c r="J73" s="1297"/>
      <c r="K73" s="1297" t="str">
        <f t="shared" si="17"/>
        <v>Classics</v>
      </c>
      <c r="L73" s="1297"/>
      <c r="M73" s="1297" t="str">
        <f t="shared" si="17"/>
        <v>Computing</v>
      </c>
      <c r="N73" s="1297"/>
      <c r="O73" s="1297" t="str">
        <f t="shared" si="17"/>
        <v>Design &amp; Technology</v>
      </c>
      <c r="P73" s="1297"/>
      <c r="Q73" s="1297" t="str">
        <f t="shared" si="17"/>
        <v>Drama</v>
      </c>
      <c r="R73" s="1297"/>
      <c r="S73" s="1297" t="str">
        <f t="shared" si="17"/>
        <v>English</v>
      </c>
      <c r="T73" s="1297"/>
      <c r="U73" s="1297" t="str">
        <f t="shared" si="17"/>
        <v>Food</v>
      </c>
      <c r="V73" s="1297"/>
      <c r="W73" s="1297" t="str">
        <f t="shared" si="17"/>
        <v>Geography</v>
      </c>
      <c r="X73" s="1297"/>
      <c r="Y73" s="1297" t="str">
        <f t="shared" si="17"/>
        <v>History</v>
      </c>
      <c r="Z73" s="1297"/>
      <c r="AA73" s="1297" t="str">
        <f t="shared" si="17"/>
        <v>Mathematics</v>
      </c>
      <c r="AB73" s="1297"/>
      <c r="AC73" s="1297" t="str">
        <f t="shared" si="17"/>
        <v>Modern Foreign Languages</v>
      </c>
      <c r="AD73" s="1297"/>
      <c r="AE73" s="1297" t="str">
        <f t="shared" si="17"/>
        <v>Music</v>
      </c>
      <c r="AF73" s="1297"/>
      <c r="AG73" s="1297" t="str">
        <f t="shared" si="17"/>
        <v>Others</v>
      </c>
      <c r="AH73" s="1297"/>
      <c r="AI73" s="1297" t="str">
        <f t="shared" si="17"/>
        <v>Physical Education</v>
      </c>
      <c r="AJ73" s="1297"/>
      <c r="AK73" s="1297" t="str">
        <f t="shared" si="17"/>
        <v>Physics</v>
      </c>
      <c r="AL73" s="1297"/>
      <c r="AM73" s="1297" t="str">
        <f t="shared" si="17"/>
        <v>Religious Education</v>
      </c>
      <c r="AN73" s="1297"/>
      <c r="AO73" s="1297" t="str">
        <f t="shared" si="17"/>
        <v>Secondary total</v>
      </c>
      <c r="AP73" s="1297"/>
      <c r="AQ73" s="1297" t="str">
        <f t="shared" si="17"/>
        <v>Primary</v>
      </c>
      <c r="AR73" s="1297"/>
    </row>
    <row r="74" spans="1:44" s="482" customFormat="1">
      <c r="B74" s="1300"/>
      <c r="C74" s="484" t="str">
        <f>C53</f>
        <v>Male</v>
      </c>
      <c r="D74" s="484" t="str">
        <f t="shared" ref="D74:AR74" si="18">D53</f>
        <v>Female</v>
      </c>
      <c r="E74" s="484" t="str">
        <f t="shared" si="18"/>
        <v>Male</v>
      </c>
      <c r="F74" s="484" t="str">
        <f t="shared" si="18"/>
        <v>Female</v>
      </c>
      <c r="G74" s="484" t="str">
        <f t="shared" si="18"/>
        <v>Male</v>
      </c>
      <c r="H74" s="484" t="str">
        <f t="shared" si="18"/>
        <v>Female</v>
      </c>
      <c r="I74" s="484" t="str">
        <f t="shared" si="18"/>
        <v>Male</v>
      </c>
      <c r="J74" s="484" t="str">
        <f t="shared" si="18"/>
        <v>Female</v>
      </c>
      <c r="K74" s="484" t="str">
        <f t="shared" si="18"/>
        <v>Male</v>
      </c>
      <c r="L74" s="484" t="str">
        <f t="shared" si="18"/>
        <v>Female</v>
      </c>
      <c r="M74" s="484" t="str">
        <f t="shared" si="18"/>
        <v>Male</v>
      </c>
      <c r="N74" s="484" t="str">
        <f t="shared" si="18"/>
        <v>Female</v>
      </c>
      <c r="O74" s="484" t="str">
        <f t="shared" si="18"/>
        <v>Male</v>
      </c>
      <c r="P74" s="484" t="str">
        <f t="shared" si="18"/>
        <v>Female</v>
      </c>
      <c r="Q74" s="484" t="str">
        <f t="shared" si="18"/>
        <v>Male</v>
      </c>
      <c r="R74" s="484" t="str">
        <f t="shared" si="18"/>
        <v>Female</v>
      </c>
      <c r="S74" s="484" t="str">
        <f t="shared" si="18"/>
        <v>Male</v>
      </c>
      <c r="T74" s="484" t="str">
        <f t="shared" si="18"/>
        <v>Female</v>
      </c>
      <c r="U74" s="484" t="str">
        <f t="shared" si="18"/>
        <v>Male</v>
      </c>
      <c r="V74" s="484" t="str">
        <f t="shared" si="18"/>
        <v>Female</v>
      </c>
      <c r="W74" s="484" t="str">
        <f t="shared" si="18"/>
        <v>Male</v>
      </c>
      <c r="X74" s="484" t="str">
        <f t="shared" si="18"/>
        <v>Female</v>
      </c>
      <c r="Y74" s="484" t="str">
        <f t="shared" si="18"/>
        <v>Male</v>
      </c>
      <c r="Z74" s="484" t="str">
        <f t="shared" si="18"/>
        <v>Female</v>
      </c>
      <c r="AA74" s="484" t="str">
        <f t="shared" si="18"/>
        <v>Male</v>
      </c>
      <c r="AB74" s="484" t="str">
        <f t="shared" si="18"/>
        <v>Female</v>
      </c>
      <c r="AC74" s="484" t="str">
        <f t="shared" si="18"/>
        <v>Male</v>
      </c>
      <c r="AD74" s="484" t="str">
        <f t="shared" si="18"/>
        <v>Female</v>
      </c>
      <c r="AE74" s="484" t="str">
        <f t="shared" si="18"/>
        <v>Male</v>
      </c>
      <c r="AF74" s="484" t="str">
        <f t="shared" si="18"/>
        <v>Female</v>
      </c>
      <c r="AG74" s="484" t="str">
        <f t="shared" si="18"/>
        <v>Male</v>
      </c>
      <c r="AH74" s="484" t="str">
        <f t="shared" si="18"/>
        <v>Female</v>
      </c>
      <c r="AI74" s="484" t="str">
        <f t="shared" si="18"/>
        <v>Male</v>
      </c>
      <c r="AJ74" s="484" t="str">
        <f t="shared" si="18"/>
        <v>Female</v>
      </c>
      <c r="AK74" s="484" t="str">
        <f t="shared" si="18"/>
        <v>Male</v>
      </c>
      <c r="AL74" s="484" t="str">
        <f t="shared" si="18"/>
        <v>Female</v>
      </c>
      <c r="AM74" s="484" t="str">
        <f t="shared" si="18"/>
        <v>Male</v>
      </c>
      <c r="AN74" s="484" t="str">
        <f t="shared" si="18"/>
        <v>Female</v>
      </c>
      <c r="AO74" s="484" t="str">
        <f t="shared" si="18"/>
        <v>Male</v>
      </c>
      <c r="AP74" s="484" t="str">
        <f t="shared" si="18"/>
        <v>Female</v>
      </c>
      <c r="AQ74" s="484" t="str">
        <f t="shared" si="18"/>
        <v>Male</v>
      </c>
      <c r="AR74" s="484" t="str">
        <f t="shared" si="18"/>
        <v>Female</v>
      </c>
    </row>
    <row r="75" spans="1:44" s="482" customFormat="1">
      <c r="B75" s="484" t="str">
        <f t="shared" ref="B75:B84" si="19">B54</f>
        <v>20-24</v>
      </c>
      <c r="C75" s="504">
        <f t="shared" ref="C75:D84" si="20">C54/($C$64+$D$64)</f>
        <v>2.1274340112931722E-3</v>
      </c>
      <c r="D75" s="504">
        <f t="shared" si="20"/>
        <v>2.0460778182798935E-2</v>
      </c>
      <c r="E75" s="504">
        <f t="shared" ref="E75:F84" si="21">E54/($E$64+$F$64)</f>
        <v>1.5277230543405653E-2</v>
      </c>
      <c r="F75" s="504">
        <f t="shared" si="21"/>
        <v>4.2819641284460579E-2</v>
      </c>
      <c r="G75" s="504">
        <f t="shared" ref="G75:H84" si="22">G54/($G$64+$H$64)</f>
        <v>1.1847750157828813E-2</v>
      </c>
      <c r="H75" s="504">
        <f t="shared" si="22"/>
        <v>1.8880965139161651E-2</v>
      </c>
      <c r="I75" s="504">
        <f t="shared" ref="I75:J84" si="23">I54/($J$64+$I$64)</f>
        <v>1.9245944757125377E-2</v>
      </c>
      <c r="J75" s="504">
        <f t="shared" si="23"/>
        <v>3.654250828781673E-2</v>
      </c>
      <c r="K75" s="504">
        <f t="shared" ref="K75:L84" si="24">K54/($K$64+$L$64)</f>
        <v>1.5331219111886512E-2</v>
      </c>
      <c r="L75" s="504">
        <f t="shared" si="24"/>
        <v>3.4418103540403387E-2</v>
      </c>
      <c r="M75" s="504">
        <f t="shared" ref="M75:N84" si="25">M54/($M$64+$N$64)</f>
        <v>1.6788811131410019E-2</v>
      </c>
      <c r="N75" s="504">
        <f t="shared" si="25"/>
        <v>1.2898477077864465E-2</v>
      </c>
      <c r="O75" s="504">
        <f t="shared" ref="O75:P84" si="26">O54/($O$64+$P$64)</f>
        <v>7.8159641646116784E-3</v>
      </c>
      <c r="P75" s="504">
        <f t="shared" si="26"/>
        <v>1.6928673677287391E-2</v>
      </c>
      <c r="Q75" s="504">
        <f t="shared" ref="Q75:R84" si="27">Q54/($Q$64+$R$64)</f>
        <v>8.2710221577016532E-3</v>
      </c>
      <c r="R75" s="504">
        <f t="shared" si="27"/>
        <v>3.8956308432667848E-2</v>
      </c>
      <c r="S75" s="504">
        <f t="shared" ref="S75:T84" si="28">S54/($S$64+$T$64)</f>
        <v>1.2157105509991165E-2</v>
      </c>
      <c r="T75" s="504">
        <f t="shared" si="28"/>
        <v>5.4711209822022065E-2</v>
      </c>
      <c r="U75" s="504">
        <f>U54/($U$64+$V$64)</f>
        <v>2.4247662995276497E-3</v>
      </c>
      <c r="V75" s="504">
        <f>V54/($U$64+$V$64)</f>
        <v>1.7667147915548676E-2</v>
      </c>
      <c r="W75" s="504">
        <f>W54/($W$64+$X$64)</f>
        <v>2.3809066220792215E-2</v>
      </c>
      <c r="X75" s="504">
        <f>X54/($W$64+$X$64)</f>
        <v>5.1491328706246932E-2</v>
      </c>
      <c r="Y75" s="504">
        <f t="shared" ref="Y75:Z84" si="29">Y54/($Y$64+$Z$64)</f>
        <v>2.7445675749627946E-2</v>
      </c>
      <c r="Z75" s="504">
        <f t="shared" si="29"/>
        <v>4.4148547460307934E-2</v>
      </c>
      <c r="AA75" s="504">
        <f t="shared" ref="AA75:AB84" si="30">AA54/($AA$64+$AB$64)</f>
        <v>2.8494780793255205E-2</v>
      </c>
      <c r="AB75" s="504">
        <f t="shared" si="30"/>
        <v>4.3770732896003785E-2</v>
      </c>
      <c r="AC75" s="504">
        <f t="shared" ref="AC75:AD84" si="31">AC54/($AC$64+$AD$64)</f>
        <v>6.5041997585285052E-3</v>
      </c>
      <c r="AD75" s="504">
        <f t="shared" si="31"/>
        <v>2.4317206208598618E-2</v>
      </c>
      <c r="AE75" s="504">
        <f t="shared" ref="AE75:AF84" si="32">AE54/($AE$64+$AF$64)</f>
        <v>1.8795926426097277E-2</v>
      </c>
      <c r="AF75" s="504">
        <f t="shared" si="32"/>
        <v>2.6887155157824669E-2</v>
      </c>
      <c r="AG75" s="504">
        <f t="shared" ref="AG75:AH84" si="33">AG54/($AG$64+$AH$64)</f>
        <v>9.7926660643934699E-3</v>
      </c>
      <c r="AH75" s="504">
        <f t="shared" si="33"/>
        <v>2.9549242002479208E-2</v>
      </c>
      <c r="AI75" s="504">
        <f t="shared" ref="AI75:AJ84" si="34">AI54/($AI$64+$AJ$64)</f>
        <v>2.4842440329424068E-2</v>
      </c>
      <c r="AJ75" s="504">
        <f t="shared" si="34"/>
        <v>3.7405054845169726E-2</v>
      </c>
      <c r="AK75" s="504">
        <f t="shared" ref="AK75:AL84" si="35">AK54/($AK$64+$AL$64)</f>
        <v>2.9088266755778733E-2</v>
      </c>
      <c r="AL75" s="504">
        <f t="shared" si="35"/>
        <v>2.3935048629591935E-2</v>
      </c>
      <c r="AM75" s="504">
        <f t="shared" ref="AM75:AN84" si="36">AM54/($AM$64+$AN$64)</f>
        <v>1.4256215614348401E-2</v>
      </c>
      <c r="AN75" s="504">
        <f t="shared" si="36"/>
        <v>4.5208477176091819E-2</v>
      </c>
      <c r="AO75" s="504">
        <f t="shared" ref="AO75:AP84" si="37">AO54/($AO$64+$AP$64)</f>
        <v>1.728158046961736E-2</v>
      </c>
      <c r="AP75" s="504">
        <f t="shared" si="37"/>
        <v>3.7118584543587248E-2</v>
      </c>
      <c r="AQ75" s="504">
        <f t="shared" ref="AQ75:AR84" si="38">AQ54/($AR$64+$AQ$64)</f>
        <v>9.3325321471557764E-3</v>
      </c>
      <c r="AR75" s="504">
        <f t="shared" si="38"/>
        <v>6.5528900769207463E-2</v>
      </c>
    </row>
    <row r="76" spans="1:44" s="482" customFormat="1">
      <c r="B76" s="484" t="str">
        <f t="shared" si="19"/>
        <v>25-29</v>
      </c>
      <c r="C76" s="504">
        <f t="shared" si="20"/>
        <v>1.7152426608826401E-2</v>
      </c>
      <c r="D76" s="504">
        <f t="shared" si="20"/>
        <v>9.504707923914163E-2</v>
      </c>
      <c r="E76" s="504">
        <f t="shared" si="21"/>
        <v>4.6592308799928463E-2</v>
      </c>
      <c r="F76" s="504">
        <f t="shared" si="21"/>
        <v>0.11971639312272464</v>
      </c>
      <c r="G76" s="504">
        <f t="shared" si="22"/>
        <v>4.5108673850258837E-2</v>
      </c>
      <c r="H76" s="504">
        <f t="shared" si="22"/>
        <v>7.0117677432194117E-2</v>
      </c>
      <c r="I76" s="504">
        <f t="shared" si="23"/>
        <v>7.0611019946451609E-2</v>
      </c>
      <c r="J76" s="504">
        <f t="shared" si="23"/>
        <v>0.11983552753808004</v>
      </c>
      <c r="K76" s="504">
        <f t="shared" si="24"/>
        <v>5.8285195497900788E-2</v>
      </c>
      <c r="L76" s="504">
        <f t="shared" si="24"/>
        <v>9.5278158096754453E-2</v>
      </c>
      <c r="M76" s="504">
        <f t="shared" si="25"/>
        <v>6.4621451163725072E-2</v>
      </c>
      <c r="N76" s="504">
        <f t="shared" si="25"/>
        <v>4.4267265517459249E-2</v>
      </c>
      <c r="O76" s="504">
        <f t="shared" si="26"/>
        <v>3.6532003576231077E-2</v>
      </c>
      <c r="P76" s="504">
        <f t="shared" si="26"/>
        <v>7.6212715716652585E-2</v>
      </c>
      <c r="Q76" s="504">
        <f t="shared" si="27"/>
        <v>3.3792185915967665E-2</v>
      </c>
      <c r="R76" s="504">
        <f t="shared" si="27"/>
        <v>0.14488826685821313</v>
      </c>
      <c r="S76" s="504">
        <f t="shared" si="28"/>
        <v>3.6002271938575657E-2</v>
      </c>
      <c r="T76" s="504">
        <f t="shared" si="28"/>
        <v>0.16011320779731086</v>
      </c>
      <c r="U76" s="504">
        <f t="shared" ref="U76:V84" si="39">U55/($U$64+$V$64)</f>
        <v>1.0390674379998764E-2</v>
      </c>
      <c r="V76" s="504">
        <f t="shared" si="39"/>
        <v>9.6750784181207042E-2</v>
      </c>
      <c r="W76" s="504">
        <f t="shared" ref="W76:X84" si="40">W55/($W$64+$X$64)</f>
        <v>6.3480166185041834E-2</v>
      </c>
      <c r="X76" s="504">
        <f t="shared" si="40"/>
        <v>0.11368713229726603</v>
      </c>
      <c r="Y76" s="504">
        <f t="shared" si="29"/>
        <v>7.5476254830119952E-2</v>
      </c>
      <c r="Z76" s="504">
        <f t="shared" si="29"/>
        <v>0.11787511428781178</v>
      </c>
      <c r="AA76" s="504">
        <f t="shared" si="30"/>
        <v>7.3973370547424255E-2</v>
      </c>
      <c r="AB76" s="504">
        <f t="shared" si="30"/>
        <v>0.10183762002462396</v>
      </c>
      <c r="AC76" s="504">
        <f t="shared" si="31"/>
        <v>2.7523591557075257E-2</v>
      </c>
      <c r="AD76" s="504">
        <f t="shared" si="31"/>
        <v>0.11108280080941037</v>
      </c>
      <c r="AE76" s="504">
        <f t="shared" si="32"/>
        <v>7.9799395528821385E-2</v>
      </c>
      <c r="AF76" s="504">
        <f t="shared" si="32"/>
        <v>0.10081845533875711</v>
      </c>
      <c r="AG76" s="504">
        <f t="shared" si="33"/>
        <v>3.9870691184059032E-2</v>
      </c>
      <c r="AH76" s="504">
        <f t="shared" si="33"/>
        <v>0.10838628926817637</v>
      </c>
      <c r="AI76" s="504">
        <f t="shared" si="34"/>
        <v>9.7242510663754597E-2</v>
      </c>
      <c r="AJ76" s="504">
        <f t="shared" si="34"/>
        <v>0.10668120273548248</v>
      </c>
      <c r="AK76" s="504">
        <f t="shared" si="35"/>
        <v>9.7142025319759101E-2</v>
      </c>
      <c r="AL76" s="504">
        <f t="shared" si="35"/>
        <v>6.1513608947137886E-2</v>
      </c>
      <c r="AM76" s="504">
        <f t="shared" si="36"/>
        <v>4.197045614386976E-2</v>
      </c>
      <c r="AN76" s="504">
        <f t="shared" si="36"/>
        <v>0.13038859081026385</v>
      </c>
      <c r="AO76" s="504">
        <f t="shared" si="37"/>
        <v>5.6177971021848849E-2</v>
      </c>
      <c r="AP76" s="504">
        <f t="shared" si="37"/>
        <v>0.11112183480213797</v>
      </c>
      <c r="AQ76" s="504">
        <f t="shared" si="38"/>
        <v>2.9025335115061415E-2</v>
      </c>
      <c r="AR76" s="504">
        <f t="shared" si="38"/>
        <v>0.15451335812502612</v>
      </c>
    </row>
    <row r="77" spans="1:44" s="482" customFormat="1">
      <c r="B77" s="484" t="str">
        <f t="shared" si="19"/>
        <v>30-34</v>
      </c>
      <c r="C77" s="504">
        <f t="shared" si="20"/>
        <v>3.2574382982974458E-2</v>
      </c>
      <c r="D77" s="504">
        <f t="shared" si="20"/>
        <v>0.13856787703506979</v>
      </c>
      <c r="E77" s="504">
        <f t="shared" si="21"/>
        <v>5.4514974119399186E-2</v>
      </c>
      <c r="F77" s="504">
        <f t="shared" si="21"/>
        <v>0.1397478582276945</v>
      </c>
      <c r="G77" s="504">
        <f t="shared" si="22"/>
        <v>8.0468154885364865E-2</v>
      </c>
      <c r="H77" s="504">
        <f t="shared" si="22"/>
        <v>0.10411771284142737</v>
      </c>
      <c r="I77" s="504">
        <f t="shared" si="23"/>
        <v>5.5726733585795302E-2</v>
      </c>
      <c r="J77" s="504">
        <f t="shared" si="23"/>
        <v>9.818027462280278E-2</v>
      </c>
      <c r="K77" s="504">
        <f t="shared" si="24"/>
        <v>6.8688223020170802E-2</v>
      </c>
      <c r="L77" s="504">
        <f t="shared" si="24"/>
        <v>7.1608666514441116E-2</v>
      </c>
      <c r="M77" s="504">
        <f t="shared" si="25"/>
        <v>0.11736385585891114</v>
      </c>
      <c r="N77" s="504">
        <f t="shared" si="25"/>
        <v>7.2277238683658707E-2</v>
      </c>
      <c r="O77" s="504">
        <f t="shared" si="26"/>
        <v>5.7575284117400552E-2</v>
      </c>
      <c r="P77" s="504">
        <f t="shared" si="26"/>
        <v>9.622567936401244E-2</v>
      </c>
      <c r="Q77" s="504">
        <f t="shared" si="27"/>
        <v>4.1236653745339649E-2</v>
      </c>
      <c r="R77" s="504">
        <f t="shared" si="27"/>
        <v>0.18443893870046391</v>
      </c>
      <c r="S77" s="504">
        <f t="shared" si="28"/>
        <v>4.0981896548231984E-2</v>
      </c>
      <c r="T77" s="504">
        <f t="shared" si="28"/>
        <v>0.1439307704422608</v>
      </c>
      <c r="U77" s="504">
        <f t="shared" si="39"/>
        <v>1.6157388592380695E-2</v>
      </c>
      <c r="V77" s="504">
        <f t="shared" si="39"/>
        <v>9.8275811742622399E-2</v>
      </c>
      <c r="W77" s="504">
        <f t="shared" si="40"/>
        <v>7.0593764341752394E-2</v>
      </c>
      <c r="X77" s="504">
        <f t="shared" si="40"/>
        <v>0.10472221910807672</v>
      </c>
      <c r="Y77" s="504">
        <f t="shared" si="29"/>
        <v>8.3038520832082033E-2</v>
      </c>
      <c r="Z77" s="504">
        <f t="shared" si="29"/>
        <v>0.10352990836953838</v>
      </c>
      <c r="AA77" s="504">
        <f t="shared" si="30"/>
        <v>7.149064387916669E-2</v>
      </c>
      <c r="AB77" s="504">
        <f t="shared" si="30"/>
        <v>7.3468508757606632E-2</v>
      </c>
      <c r="AC77" s="504">
        <f t="shared" si="31"/>
        <v>2.5401228671425916E-2</v>
      </c>
      <c r="AD77" s="504">
        <f t="shared" si="31"/>
        <v>0.1076637957811369</v>
      </c>
      <c r="AE77" s="504">
        <f t="shared" si="32"/>
        <v>8.3081659641762021E-2</v>
      </c>
      <c r="AF77" s="504">
        <f t="shared" si="32"/>
        <v>0.11957084287876084</v>
      </c>
      <c r="AG77" s="504">
        <f t="shared" si="33"/>
        <v>5.5967609258146027E-2</v>
      </c>
      <c r="AH77" s="504">
        <f t="shared" si="33"/>
        <v>0.12929253050665895</v>
      </c>
      <c r="AI77" s="504">
        <f t="shared" si="34"/>
        <v>0.12812067555744358</v>
      </c>
      <c r="AJ77" s="504">
        <f t="shared" si="34"/>
        <v>0.11136904461248068</v>
      </c>
      <c r="AK77" s="504">
        <f t="shared" si="35"/>
        <v>0.10292193991987132</v>
      </c>
      <c r="AL77" s="504">
        <f t="shared" si="35"/>
        <v>6.5520135400493937E-2</v>
      </c>
      <c r="AM77" s="504">
        <f t="shared" si="36"/>
        <v>5.3686681864176425E-2</v>
      </c>
      <c r="AN77" s="504">
        <f t="shared" si="36"/>
        <v>0.12543705698037566</v>
      </c>
      <c r="AO77" s="504">
        <f t="shared" si="37"/>
        <v>6.5443070184195123E-2</v>
      </c>
      <c r="AP77" s="504">
        <f t="shared" si="37"/>
        <v>0.11072269791937481</v>
      </c>
      <c r="AQ77" s="504">
        <f t="shared" si="38"/>
        <v>2.6236529437957186E-2</v>
      </c>
      <c r="AR77" s="504">
        <f t="shared" si="38"/>
        <v>0.13795676264196097</v>
      </c>
    </row>
    <row r="78" spans="1:44" s="482" customFormat="1">
      <c r="B78" s="484" t="str">
        <f t="shared" si="19"/>
        <v>35-39</v>
      </c>
      <c r="C78" s="504">
        <f t="shared" si="20"/>
        <v>3.64657468729679E-2</v>
      </c>
      <c r="D78" s="504">
        <f t="shared" si="20"/>
        <v>0.14533487958897562</v>
      </c>
      <c r="E78" s="504">
        <f t="shared" si="21"/>
        <v>5.5017075168466351E-2</v>
      </c>
      <c r="F78" s="504">
        <f t="shared" si="21"/>
        <v>0.12424912185925749</v>
      </c>
      <c r="G78" s="504">
        <f t="shared" si="22"/>
        <v>7.5996282478727001E-2</v>
      </c>
      <c r="H78" s="504">
        <f t="shared" si="22"/>
        <v>0.10707572847213866</v>
      </c>
      <c r="I78" s="504">
        <f t="shared" si="23"/>
        <v>6.0621014720090995E-2</v>
      </c>
      <c r="J78" s="504">
        <f t="shared" si="23"/>
        <v>9.1747685452804428E-2</v>
      </c>
      <c r="K78" s="504">
        <f t="shared" si="24"/>
        <v>3.4518643278106609E-2</v>
      </c>
      <c r="L78" s="504">
        <f t="shared" si="24"/>
        <v>9.6981240320272694E-2</v>
      </c>
      <c r="M78" s="504">
        <f t="shared" si="25"/>
        <v>0.11344449550672898</v>
      </c>
      <c r="N78" s="504">
        <f t="shared" si="25"/>
        <v>7.8980288578110985E-2</v>
      </c>
      <c r="O78" s="504">
        <f t="shared" si="26"/>
        <v>6.341834557825822E-2</v>
      </c>
      <c r="P78" s="504">
        <f t="shared" si="26"/>
        <v>8.7211928991488358E-2</v>
      </c>
      <c r="Q78" s="504">
        <f t="shared" si="27"/>
        <v>4.6014610079844205E-2</v>
      </c>
      <c r="R78" s="504">
        <f t="shared" si="27"/>
        <v>0.15034862644618668</v>
      </c>
      <c r="S78" s="504">
        <f t="shared" si="28"/>
        <v>3.5187121294980438E-2</v>
      </c>
      <c r="T78" s="504">
        <f t="shared" si="28"/>
        <v>0.12468518097743687</v>
      </c>
      <c r="U78" s="504">
        <f t="shared" si="39"/>
        <v>1.483084812818135E-2</v>
      </c>
      <c r="V78" s="504">
        <f t="shared" si="39"/>
        <v>0.11354000839753102</v>
      </c>
      <c r="W78" s="504">
        <f t="shared" si="40"/>
        <v>8.1500035857161465E-2</v>
      </c>
      <c r="X78" s="504">
        <f t="shared" si="40"/>
        <v>0.10395151257607639</v>
      </c>
      <c r="Y78" s="504">
        <f t="shared" si="29"/>
        <v>7.204077989335364E-2</v>
      </c>
      <c r="Z78" s="504">
        <f t="shared" si="29"/>
        <v>9.7238906574302106E-2</v>
      </c>
      <c r="AA78" s="504">
        <f t="shared" si="30"/>
        <v>6.626038030748066E-2</v>
      </c>
      <c r="AB78" s="504">
        <f t="shared" si="30"/>
        <v>7.1716516860246216E-2</v>
      </c>
      <c r="AC78" s="504">
        <f t="shared" si="31"/>
        <v>3.1698397164724369E-2</v>
      </c>
      <c r="AD78" s="504">
        <f t="shared" si="31"/>
        <v>0.13057779008095405</v>
      </c>
      <c r="AE78" s="504">
        <f t="shared" si="32"/>
        <v>7.523273427612058E-2</v>
      </c>
      <c r="AF78" s="504">
        <f t="shared" si="32"/>
        <v>0.10462905436946791</v>
      </c>
      <c r="AG78" s="504">
        <f t="shared" si="33"/>
        <v>5.4037291793960877E-2</v>
      </c>
      <c r="AH78" s="504">
        <f t="shared" si="33"/>
        <v>0.10990027947409149</v>
      </c>
      <c r="AI78" s="504">
        <f t="shared" si="34"/>
        <v>0.12035366211657147</v>
      </c>
      <c r="AJ78" s="504">
        <f t="shared" si="34"/>
        <v>9.4592993624813798E-2</v>
      </c>
      <c r="AK78" s="504">
        <f t="shared" si="35"/>
        <v>9.1314173806845145E-2</v>
      </c>
      <c r="AL78" s="504">
        <f t="shared" si="35"/>
        <v>5.6614882153392755E-2</v>
      </c>
      <c r="AM78" s="504">
        <f t="shared" si="36"/>
        <v>5.0560649249960461E-2</v>
      </c>
      <c r="AN78" s="504">
        <f t="shared" si="36"/>
        <v>0.10994189716866019</v>
      </c>
      <c r="AO78" s="504">
        <f t="shared" si="37"/>
        <v>6.3162171659962435E-2</v>
      </c>
      <c r="AP78" s="504">
        <f t="shared" si="37"/>
        <v>0.10316097448675356</v>
      </c>
      <c r="AQ78" s="504">
        <f t="shared" si="38"/>
        <v>2.1573160710641907E-2</v>
      </c>
      <c r="AR78" s="504">
        <f t="shared" si="38"/>
        <v>0.12692330840336719</v>
      </c>
    </row>
    <row r="79" spans="1:44" s="482" customFormat="1">
      <c r="B79" s="484" t="str">
        <f t="shared" si="19"/>
        <v>40-44</v>
      </c>
      <c r="C79" s="504">
        <f t="shared" si="20"/>
        <v>4.120522113912805E-2</v>
      </c>
      <c r="D79" s="504">
        <f t="shared" si="20"/>
        <v>0.1341974322973859</v>
      </c>
      <c r="E79" s="504">
        <f t="shared" si="21"/>
        <v>4.6810876039256655E-2</v>
      </c>
      <c r="F79" s="504">
        <f t="shared" si="21"/>
        <v>0.10368315184125029</v>
      </c>
      <c r="G79" s="504">
        <f t="shared" si="22"/>
        <v>6.448021374626775E-2</v>
      </c>
      <c r="H79" s="504">
        <f t="shared" si="22"/>
        <v>9.3954366462704997E-2</v>
      </c>
      <c r="I79" s="504">
        <f t="shared" si="23"/>
        <v>6.0969288810990813E-2</v>
      </c>
      <c r="J79" s="504">
        <f t="shared" si="23"/>
        <v>8.4183812785266918E-2</v>
      </c>
      <c r="K79" s="504">
        <f t="shared" si="24"/>
        <v>5.6926818151052251E-2</v>
      </c>
      <c r="L79" s="504">
        <f t="shared" si="24"/>
        <v>6.1085507301503757E-2</v>
      </c>
      <c r="M79" s="504">
        <f t="shared" si="25"/>
        <v>8.912018723717699E-2</v>
      </c>
      <c r="N79" s="504">
        <f t="shared" si="25"/>
        <v>6.4201042354634946E-2</v>
      </c>
      <c r="O79" s="504">
        <f t="shared" si="26"/>
        <v>6.4153878418039184E-2</v>
      </c>
      <c r="P79" s="504">
        <f t="shared" si="26"/>
        <v>8.0708410423137852E-2</v>
      </c>
      <c r="Q79" s="504">
        <f t="shared" si="27"/>
        <v>3.1523365132216576E-2</v>
      </c>
      <c r="R79" s="504">
        <f t="shared" si="27"/>
        <v>0.10083603844885131</v>
      </c>
      <c r="S79" s="504">
        <f t="shared" si="28"/>
        <v>2.8557585381521311E-2</v>
      </c>
      <c r="T79" s="504">
        <f t="shared" si="28"/>
        <v>9.8620891057059054E-2</v>
      </c>
      <c r="U79" s="504">
        <f t="shared" si="39"/>
        <v>2.329753530218762E-2</v>
      </c>
      <c r="V79" s="504">
        <f t="shared" si="39"/>
        <v>0.11638439136985283</v>
      </c>
      <c r="W79" s="504">
        <f t="shared" si="40"/>
        <v>6.9604800695575564E-2</v>
      </c>
      <c r="X79" s="504">
        <f t="shared" si="40"/>
        <v>7.8126170585062549E-2</v>
      </c>
      <c r="Y79" s="504">
        <f t="shared" si="29"/>
        <v>6.3688259555128454E-2</v>
      </c>
      <c r="Z79" s="504">
        <f t="shared" si="29"/>
        <v>7.3594510180791647E-2</v>
      </c>
      <c r="AA79" s="504">
        <f t="shared" si="30"/>
        <v>6.1262602283722239E-2</v>
      </c>
      <c r="AB79" s="504">
        <f t="shared" si="30"/>
        <v>6.9337469088941131E-2</v>
      </c>
      <c r="AC79" s="504">
        <f t="shared" si="31"/>
        <v>3.0265813588684888E-2</v>
      </c>
      <c r="AD79" s="504">
        <f t="shared" si="31"/>
        <v>0.1460209188653179</v>
      </c>
      <c r="AE79" s="504">
        <f t="shared" si="32"/>
        <v>6.094459695674543E-2</v>
      </c>
      <c r="AF79" s="504">
        <f t="shared" si="32"/>
        <v>8.474919897914561E-2</v>
      </c>
      <c r="AG79" s="504">
        <f t="shared" si="33"/>
        <v>4.9662987124945358E-2</v>
      </c>
      <c r="AH79" s="504">
        <f t="shared" si="33"/>
        <v>8.9760132208116739E-2</v>
      </c>
      <c r="AI79" s="504">
        <f t="shared" si="34"/>
        <v>7.1557521266603114E-2</v>
      </c>
      <c r="AJ79" s="504">
        <f t="shared" si="34"/>
        <v>5.4379864246448445E-2</v>
      </c>
      <c r="AK79" s="504">
        <f t="shared" si="35"/>
        <v>8.2984903851786473E-2</v>
      </c>
      <c r="AL79" s="504">
        <f t="shared" si="35"/>
        <v>5.4641325005883368E-2</v>
      </c>
      <c r="AM79" s="504">
        <f t="shared" si="36"/>
        <v>4.8696447099937125E-2</v>
      </c>
      <c r="AN79" s="504">
        <f t="shared" si="36"/>
        <v>0.10001838615818011</v>
      </c>
      <c r="AO79" s="504">
        <f t="shared" si="37"/>
        <v>5.3924391681694314E-2</v>
      </c>
      <c r="AP79" s="504">
        <f t="shared" si="37"/>
        <v>8.781967206203313E-2</v>
      </c>
      <c r="AQ79" s="504">
        <f t="shared" si="38"/>
        <v>1.9064898078551891E-2</v>
      </c>
      <c r="AR79" s="504">
        <f t="shared" si="38"/>
        <v>0.11788454718554182</v>
      </c>
    </row>
    <row r="80" spans="1:44" s="482" customFormat="1">
      <c r="B80" s="484" t="str">
        <f t="shared" si="19"/>
        <v>45-49</v>
      </c>
      <c r="C80" s="504">
        <f t="shared" si="20"/>
        <v>3.3858430398250809E-2</v>
      </c>
      <c r="D80" s="504">
        <f t="shared" si="20"/>
        <v>0.10494339220848196</v>
      </c>
      <c r="E80" s="504">
        <f t="shared" si="21"/>
        <v>3.2917798783282569E-2</v>
      </c>
      <c r="F80" s="504">
        <f t="shared" si="21"/>
        <v>7.298136436310404E-2</v>
      </c>
      <c r="G80" s="504">
        <f t="shared" si="22"/>
        <v>6.204818210565264E-2</v>
      </c>
      <c r="H80" s="504">
        <f t="shared" si="22"/>
        <v>8.0238891305531718E-2</v>
      </c>
      <c r="I80" s="504">
        <f t="shared" si="23"/>
        <v>5.4038265524850672E-2</v>
      </c>
      <c r="J80" s="504">
        <f t="shared" si="23"/>
        <v>7.2604486500847637E-2</v>
      </c>
      <c r="K80" s="504">
        <f t="shared" si="24"/>
        <v>4.6479825406071887E-2</v>
      </c>
      <c r="L80" s="504">
        <f t="shared" si="24"/>
        <v>6.7143788162802517E-2</v>
      </c>
      <c r="M80" s="504">
        <f t="shared" si="25"/>
        <v>8.4234858667576781E-2</v>
      </c>
      <c r="N80" s="504">
        <f t="shared" si="25"/>
        <v>5.57360286299209E-2</v>
      </c>
      <c r="O80" s="504">
        <f t="shared" si="26"/>
        <v>7.0015685023714025E-2</v>
      </c>
      <c r="P80" s="504">
        <f t="shared" si="26"/>
        <v>7.9166075132062877E-2</v>
      </c>
      <c r="Q80" s="504">
        <f t="shared" si="27"/>
        <v>2.6832881861487256E-2</v>
      </c>
      <c r="R80" s="504">
        <f t="shared" si="27"/>
        <v>6.3396622519534082E-2</v>
      </c>
      <c r="S80" s="504">
        <f t="shared" si="28"/>
        <v>2.4062687238832325E-2</v>
      </c>
      <c r="T80" s="504">
        <f t="shared" si="28"/>
        <v>8.0685305941423799E-2</v>
      </c>
      <c r="U80" s="504">
        <f t="shared" si="39"/>
        <v>1.6522928178656349E-2</v>
      </c>
      <c r="V80" s="504">
        <f t="shared" si="39"/>
        <v>0.14952230622248069</v>
      </c>
      <c r="W80" s="504">
        <f t="shared" si="40"/>
        <v>5.3749084218773897E-2</v>
      </c>
      <c r="X80" s="504">
        <f t="shared" si="40"/>
        <v>4.9659677278429008E-2</v>
      </c>
      <c r="Y80" s="504">
        <f t="shared" si="29"/>
        <v>5.4325501698467053E-2</v>
      </c>
      <c r="Z80" s="504">
        <f t="shared" si="29"/>
        <v>5.2664991557717859E-2</v>
      </c>
      <c r="AA80" s="504">
        <f t="shared" si="30"/>
        <v>6.3434323017247191E-2</v>
      </c>
      <c r="AB80" s="504">
        <f t="shared" si="30"/>
        <v>7.1461487072785504E-2</v>
      </c>
      <c r="AC80" s="504">
        <f t="shared" si="31"/>
        <v>2.5495451940284544E-2</v>
      </c>
      <c r="AD80" s="504">
        <f t="shared" si="31"/>
        <v>0.12383016938094661</v>
      </c>
      <c r="AE80" s="504">
        <f t="shared" si="32"/>
        <v>5.011250069567566E-2</v>
      </c>
      <c r="AF80" s="504">
        <f t="shared" si="32"/>
        <v>5.2460003854137904E-2</v>
      </c>
      <c r="AG80" s="504">
        <f t="shared" si="33"/>
        <v>4.520670009910057E-2</v>
      </c>
      <c r="AH80" s="504">
        <f t="shared" si="33"/>
        <v>7.7317751956179848E-2</v>
      </c>
      <c r="AI80" s="504">
        <f t="shared" si="34"/>
        <v>3.7117140237912259E-2</v>
      </c>
      <c r="AJ80" s="504">
        <f t="shared" si="34"/>
        <v>2.8367162483764842E-2</v>
      </c>
      <c r="AK80" s="504">
        <f t="shared" si="35"/>
        <v>8.9600845614545191E-2</v>
      </c>
      <c r="AL80" s="504">
        <f t="shared" si="35"/>
        <v>4.3323771554143395E-2</v>
      </c>
      <c r="AM80" s="504">
        <f t="shared" si="36"/>
        <v>3.7953016294250533E-2</v>
      </c>
      <c r="AN80" s="504">
        <f t="shared" si="36"/>
        <v>6.2069484248976861E-2</v>
      </c>
      <c r="AO80" s="504">
        <f t="shared" si="37"/>
        <v>4.7108150920848892E-2</v>
      </c>
      <c r="AP80" s="504">
        <f t="shared" si="37"/>
        <v>7.127461845500864E-2</v>
      </c>
      <c r="AQ80" s="504">
        <f t="shared" si="38"/>
        <v>1.5387186568078564E-2</v>
      </c>
      <c r="AR80" s="504">
        <f t="shared" si="38"/>
        <v>0.10128674944045249</v>
      </c>
    </row>
    <row r="81" spans="1:44" s="482" customFormat="1">
      <c r="B81" s="484" t="str">
        <f t="shared" si="19"/>
        <v>50-54</v>
      </c>
      <c r="C81" s="504">
        <f t="shared" si="20"/>
        <v>3.1647137171817219E-2</v>
      </c>
      <c r="D81" s="504">
        <f t="shared" si="20"/>
        <v>8.3534949888004903E-2</v>
      </c>
      <c r="E81" s="504">
        <f t="shared" si="21"/>
        <v>2.5090994894723585E-2</v>
      </c>
      <c r="F81" s="504">
        <f t="shared" si="21"/>
        <v>4.9179455537252489E-2</v>
      </c>
      <c r="G81" s="504">
        <f t="shared" si="22"/>
        <v>4.7904658622495662E-2</v>
      </c>
      <c r="H81" s="504">
        <f t="shared" si="22"/>
        <v>5.9847655135582628E-2</v>
      </c>
      <c r="I81" s="504">
        <f t="shared" si="23"/>
        <v>4.4322399062368047E-2</v>
      </c>
      <c r="J81" s="504">
        <f t="shared" si="23"/>
        <v>5.3837632297595035E-2</v>
      </c>
      <c r="K81" s="504">
        <f t="shared" si="24"/>
        <v>5.6643478890252251E-2</v>
      </c>
      <c r="L81" s="504">
        <f t="shared" si="24"/>
        <v>4.968491037770191E-2</v>
      </c>
      <c r="M81" s="504">
        <f t="shared" si="25"/>
        <v>5.8739237993507831E-2</v>
      </c>
      <c r="N81" s="504">
        <f t="shared" si="25"/>
        <v>4.7942264936933279E-2</v>
      </c>
      <c r="O81" s="504">
        <f t="shared" si="26"/>
        <v>6.821491413201225E-2</v>
      </c>
      <c r="P81" s="504">
        <f t="shared" si="26"/>
        <v>6.6770586450895134E-2</v>
      </c>
      <c r="Q81" s="504">
        <f t="shared" si="27"/>
        <v>2.4229282958924687E-2</v>
      </c>
      <c r="R81" s="504">
        <f t="shared" si="27"/>
        <v>4.6672452861842809E-2</v>
      </c>
      <c r="S81" s="504">
        <f t="shared" si="28"/>
        <v>1.7216980813608847E-2</v>
      </c>
      <c r="T81" s="504">
        <f t="shared" si="28"/>
        <v>6.4064144333650402E-2</v>
      </c>
      <c r="U81" s="504">
        <f t="shared" si="39"/>
        <v>1.4374274302800106E-2</v>
      </c>
      <c r="V81" s="504">
        <f t="shared" si="39"/>
        <v>0.14731020793993296</v>
      </c>
      <c r="W81" s="504">
        <f t="shared" si="40"/>
        <v>3.7717107104718393E-2</v>
      </c>
      <c r="X81" s="504">
        <f t="shared" si="40"/>
        <v>3.3487474639733408E-2</v>
      </c>
      <c r="Y81" s="504">
        <f t="shared" si="29"/>
        <v>3.7334515310099861E-2</v>
      </c>
      <c r="Z81" s="504">
        <f t="shared" si="29"/>
        <v>3.3792093676501586E-2</v>
      </c>
      <c r="AA81" s="504">
        <f t="shared" si="30"/>
        <v>4.8640565440283612E-2</v>
      </c>
      <c r="AB81" s="504">
        <f t="shared" si="30"/>
        <v>6.0068280442589245E-2</v>
      </c>
      <c r="AC81" s="504">
        <f t="shared" si="31"/>
        <v>2.177135846560331E-2</v>
      </c>
      <c r="AD81" s="504">
        <f t="shared" si="31"/>
        <v>9.1006551441356082E-2</v>
      </c>
      <c r="AE81" s="504">
        <f t="shared" si="32"/>
        <v>3.9988195282883492E-2</v>
      </c>
      <c r="AF81" s="504">
        <f t="shared" si="32"/>
        <v>3.9022389209625336E-2</v>
      </c>
      <c r="AG81" s="504">
        <f t="shared" si="33"/>
        <v>3.8346152458190695E-2</v>
      </c>
      <c r="AH81" s="504">
        <f t="shared" si="33"/>
        <v>6.2917726787781361E-2</v>
      </c>
      <c r="AI81" s="504">
        <f t="shared" si="34"/>
        <v>2.4132185691156608E-2</v>
      </c>
      <c r="AJ81" s="504">
        <f t="shared" si="34"/>
        <v>2.2073011665696293E-2</v>
      </c>
      <c r="AK81" s="504">
        <f t="shared" si="35"/>
        <v>7.7250612606908325E-2</v>
      </c>
      <c r="AL81" s="504">
        <f t="shared" si="35"/>
        <v>4.0322539855129548E-2</v>
      </c>
      <c r="AM81" s="504">
        <f t="shared" si="36"/>
        <v>3.291829474168733E-2</v>
      </c>
      <c r="AN81" s="504">
        <f t="shared" si="36"/>
        <v>5.8781190574458145E-2</v>
      </c>
      <c r="AO81" s="504">
        <f t="shared" si="37"/>
        <v>3.7192927038652249E-2</v>
      </c>
      <c r="AP81" s="504">
        <f t="shared" si="37"/>
        <v>5.6217271523233317E-2</v>
      </c>
      <c r="AQ81" s="504">
        <f t="shared" si="38"/>
        <v>1.1750917100009757E-2</v>
      </c>
      <c r="AR81" s="504">
        <f t="shared" si="38"/>
        <v>8.1340658464099561E-2</v>
      </c>
    </row>
    <row r="82" spans="1:44" s="482" customFormat="1">
      <c r="B82" s="484" t="str">
        <f t="shared" si="19"/>
        <v>55-59</v>
      </c>
      <c r="C82" s="504">
        <f t="shared" si="20"/>
        <v>2.0909058504042653E-2</v>
      </c>
      <c r="D82" s="504">
        <f t="shared" si="20"/>
        <v>3.7270828798330727E-2</v>
      </c>
      <c r="E82" s="504">
        <f t="shared" si="21"/>
        <v>1.8254414966900008E-2</v>
      </c>
      <c r="F82" s="504">
        <f t="shared" si="21"/>
        <v>3.5436643258316539E-2</v>
      </c>
      <c r="G82" s="504">
        <f t="shared" si="22"/>
        <v>2.7691365055075925E-2</v>
      </c>
      <c r="H82" s="504">
        <f t="shared" si="22"/>
        <v>3.137056367689478E-2</v>
      </c>
      <c r="I82" s="504">
        <f t="shared" si="23"/>
        <v>2.918502693118703E-2</v>
      </c>
      <c r="J82" s="504">
        <f t="shared" si="23"/>
        <v>2.9871768376766524E-2</v>
      </c>
      <c r="K82" s="504">
        <f t="shared" si="24"/>
        <v>3.5165842034988938E-2</v>
      </c>
      <c r="L82" s="504">
        <f t="shared" si="24"/>
        <v>7.9199416711034462E-2</v>
      </c>
      <c r="M82" s="504">
        <f t="shared" si="25"/>
        <v>3.5741359031246471E-2</v>
      </c>
      <c r="N82" s="504">
        <f t="shared" si="25"/>
        <v>2.534549395739966E-2</v>
      </c>
      <c r="O82" s="504">
        <f t="shared" si="26"/>
        <v>5.2222260706332277E-2</v>
      </c>
      <c r="P82" s="504">
        <f t="shared" si="26"/>
        <v>4.557325317135498E-2</v>
      </c>
      <c r="Q82" s="504">
        <f t="shared" si="27"/>
        <v>1.2402093459017452E-2</v>
      </c>
      <c r="R82" s="504">
        <f t="shared" si="27"/>
        <v>2.6466966204566178E-2</v>
      </c>
      <c r="S82" s="504">
        <f t="shared" si="28"/>
        <v>1.1412630716565352E-2</v>
      </c>
      <c r="T82" s="504">
        <f t="shared" si="28"/>
        <v>4.6107169262492739E-2</v>
      </c>
      <c r="U82" s="504">
        <f t="shared" si="39"/>
        <v>5.8641538677536142E-3</v>
      </c>
      <c r="V82" s="504">
        <f t="shared" si="39"/>
        <v>0.11678540715676214</v>
      </c>
      <c r="W82" s="504">
        <f t="shared" si="40"/>
        <v>2.3979988322844006E-2</v>
      </c>
      <c r="X82" s="504">
        <f t="shared" si="40"/>
        <v>2.5647301842025991E-2</v>
      </c>
      <c r="Y82" s="504">
        <f t="shared" si="29"/>
        <v>2.3527748689739978E-2</v>
      </c>
      <c r="Z82" s="504">
        <f t="shared" si="29"/>
        <v>2.5481820005334513E-2</v>
      </c>
      <c r="AA82" s="504">
        <f t="shared" si="30"/>
        <v>3.1392223049322758E-2</v>
      </c>
      <c r="AB82" s="504">
        <f t="shared" si="30"/>
        <v>3.4835740302539997E-2</v>
      </c>
      <c r="AC82" s="504">
        <f t="shared" si="31"/>
        <v>1.2078058454816368E-2</v>
      </c>
      <c r="AD82" s="504">
        <f t="shared" si="31"/>
        <v>6.0943545316193795E-2</v>
      </c>
      <c r="AE82" s="504">
        <f t="shared" si="32"/>
        <v>2.6290529196240069E-2</v>
      </c>
      <c r="AF82" s="504">
        <f t="shared" si="32"/>
        <v>2.442758669254769E-2</v>
      </c>
      <c r="AG82" s="504">
        <f t="shared" si="33"/>
        <v>2.621590969726673E-2</v>
      </c>
      <c r="AH82" s="504">
        <f t="shared" si="33"/>
        <v>4.3733546853472104E-2</v>
      </c>
      <c r="AI82" s="504">
        <f t="shared" si="34"/>
        <v>1.7077112291858373E-2</v>
      </c>
      <c r="AJ82" s="504">
        <f t="shared" si="34"/>
        <v>1.636010393953459E-2</v>
      </c>
      <c r="AK82" s="504">
        <f t="shared" si="35"/>
        <v>4.5945225082944179E-2</v>
      </c>
      <c r="AL82" s="504">
        <f t="shared" si="35"/>
        <v>1.5909221025083273E-2</v>
      </c>
      <c r="AM82" s="504">
        <f t="shared" si="36"/>
        <v>2.1668023127986942E-2</v>
      </c>
      <c r="AN82" s="504">
        <f t="shared" si="36"/>
        <v>4.2229405252783951E-2</v>
      </c>
      <c r="AO82" s="504">
        <f t="shared" si="37"/>
        <v>2.4243650183457498E-2</v>
      </c>
      <c r="AP82" s="504">
        <f t="shared" si="37"/>
        <v>3.6291777565777138E-2</v>
      </c>
      <c r="AQ82" s="504">
        <f t="shared" si="38"/>
        <v>6.1583194720291785E-3</v>
      </c>
      <c r="AR82" s="504">
        <f t="shared" si="38"/>
        <v>5.0450391477437989E-2</v>
      </c>
    </row>
    <row r="83" spans="1:44" s="482" customFormat="1">
      <c r="B83" s="484" t="str">
        <f t="shared" si="19"/>
        <v>60-64</v>
      </c>
      <c r="C83" s="504">
        <f t="shared" si="20"/>
        <v>6.2227445622362702E-3</v>
      </c>
      <c r="D83" s="504">
        <f t="shared" si="20"/>
        <v>1.5592103206450162E-2</v>
      </c>
      <c r="E83" s="504">
        <f t="shared" si="21"/>
        <v>4.5102525269652971E-3</v>
      </c>
      <c r="F83" s="504">
        <f t="shared" si="21"/>
        <v>1.1081327265445069E-2</v>
      </c>
      <c r="G83" s="504">
        <f t="shared" si="22"/>
        <v>7.3651205157735811E-3</v>
      </c>
      <c r="H83" s="504">
        <f t="shared" si="22"/>
        <v>8.1508469193855033E-3</v>
      </c>
      <c r="I83" s="504">
        <f t="shared" si="23"/>
        <v>8.9233202297943209E-3</v>
      </c>
      <c r="J83" s="504">
        <f t="shared" si="23"/>
        <v>6.1806730102154693E-3</v>
      </c>
      <c r="K83" s="504">
        <f t="shared" si="24"/>
        <v>1.8205525391831148E-2</v>
      </c>
      <c r="L83" s="504">
        <f t="shared" si="24"/>
        <v>1.7834707695304007E-2</v>
      </c>
      <c r="M83" s="504">
        <f t="shared" si="25"/>
        <v>8.8212997021052623E-3</v>
      </c>
      <c r="N83" s="504">
        <f t="shared" si="25"/>
        <v>7.3142146822299994E-3</v>
      </c>
      <c r="O83" s="504">
        <f t="shared" si="26"/>
        <v>1.3906328322829075E-2</v>
      </c>
      <c r="P83" s="504">
        <f t="shared" si="26"/>
        <v>1.3263289578584641E-2</v>
      </c>
      <c r="Q83" s="504">
        <f t="shared" si="27"/>
        <v>5.5782498510312944E-3</v>
      </c>
      <c r="R83" s="504">
        <f t="shared" si="27"/>
        <v>1.1611795373788777E-2</v>
      </c>
      <c r="S83" s="504">
        <f t="shared" si="28"/>
        <v>4.377145977209171E-3</v>
      </c>
      <c r="T83" s="504">
        <f t="shared" si="28"/>
        <v>1.4159751604001155E-2</v>
      </c>
      <c r="U83" s="504">
        <f t="shared" si="39"/>
        <v>2.4796153931598737E-3</v>
      </c>
      <c r="V83" s="504">
        <f t="shared" si="39"/>
        <v>2.8643214952095899E-2</v>
      </c>
      <c r="W83" s="504">
        <f t="shared" si="40"/>
        <v>7.4619375786432983E-3</v>
      </c>
      <c r="X83" s="504">
        <f t="shared" si="40"/>
        <v>6.6601785668844631E-3</v>
      </c>
      <c r="Y83" s="504">
        <f t="shared" si="29"/>
        <v>6.2855793808103263E-3</v>
      </c>
      <c r="Z83" s="504">
        <f t="shared" si="29"/>
        <v>7.8299664310836174E-3</v>
      </c>
      <c r="AA83" s="504">
        <f t="shared" si="30"/>
        <v>1.2149407472489644E-2</v>
      </c>
      <c r="AB83" s="504">
        <f t="shared" si="30"/>
        <v>1.1808721877252982E-2</v>
      </c>
      <c r="AC83" s="504">
        <f t="shared" si="31"/>
        <v>3.1592087324825947E-3</v>
      </c>
      <c r="AD83" s="504">
        <f t="shared" si="31"/>
        <v>1.7207826625302684E-2</v>
      </c>
      <c r="AE83" s="504">
        <f t="shared" si="32"/>
        <v>5.2646546041331824E-3</v>
      </c>
      <c r="AF83" s="504">
        <f t="shared" si="32"/>
        <v>5.7330276562981633E-3</v>
      </c>
      <c r="AG83" s="504">
        <f t="shared" si="33"/>
        <v>1.0498429905239129E-2</v>
      </c>
      <c r="AH83" s="504">
        <f t="shared" si="33"/>
        <v>1.4079436523972743E-2</v>
      </c>
      <c r="AI83" s="504">
        <f t="shared" si="34"/>
        <v>3.9188833394881387E-3</v>
      </c>
      <c r="AJ83" s="504">
        <f t="shared" si="34"/>
        <v>3.34668563842062E-3</v>
      </c>
      <c r="AK83" s="504">
        <f t="shared" si="35"/>
        <v>1.2190867442330746E-2</v>
      </c>
      <c r="AL83" s="504">
        <f t="shared" si="35"/>
        <v>4.4560005575762151E-3</v>
      </c>
      <c r="AM83" s="504">
        <f t="shared" si="36"/>
        <v>7.8694042756175114E-3</v>
      </c>
      <c r="AN83" s="504">
        <f t="shared" si="36"/>
        <v>1.1441461943866927E-2</v>
      </c>
      <c r="AO83" s="504">
        <f t="shared" si="37"/>
        <v>7.5860039358253747E-3</v>
      </c>
      <c r="AP83" s="504">
        <f t="shared" si="37"/>
        <v>1.0945087142893339E-2</v>
      </c>
      <c r="AQ83" s="504">
        <f t="shared" si="38"/>
        <v>2.3974041695730046E-3</v>
      </c>
      <c r="AR83" s="504">
        <f t="shared" si="38"/>
        <v>1.9146143664095179E-2</v>
      </c>
    </row>
    <row r="84" spans="1:44" s="482" customFormat="1">
      <c r="B84" s="483" t="str">
        <f t="shared" si="19"/>
        <v>65 plus</v>
      </c>
      <c r="C84" s="505">
        <f t="shared" si="20"/>
        <v>1.4506240451980998E-3</v>
      </c>
      <c r="D84" s="505">
        <f t="shared" si="20"/>
        <v>1.43747325862533E-3</v>
      </c>
      <c r="E84" s="504">
        <f t="shared" si="21"/>
        <v>6.7230075614575432E-4</v>
      </c>
      <c r="F84" s="504">
        <f t="shared" si="21"/>
        <v>1.4468166420209337E-3</v>
      </c>
      <c r="G84" s="504">
        <f t="shared" si="22"/>
        <v>1.2780940330287469E-3</v>
      </c>
      <c r="H84" s="504">
        <f t="shared" si="22"/>
        <v>2.0570971645047986E-3</v>
      </c>
      <c r="I84" s="504">
        <f t="shared" si="23"/>
        <v>2.2786716352930581E-3</v>
      </c>
      <c r="J84" s="504">
        <f t="shared" si="23"/>
        <v>1.0939459238570811E-3</v>
      </c>
      <c r="K84" s="504">
        <f t="shared" si="24"/>
        <v>1.8992870449754333E-2</v>
      </c>
      <c r="L84" s="504">
        <f t="shared" si="24"/>
        <v>1.7527860047766023E-2</v>
      </c>
      <c r="M84" s="504">
        <f t="shared" si="25"/>
        <v>1.4275538687600884E-3</v>
      </c>
      <c r="N84" s="504">
        <f t="shared" si="25"/>
        <v>7.3457542063920371E-4</v>
      </c>
      <c r="O84" s="504">
        <f t="shared" si="26"/>
        <v>2.6261281817742382E-3</v>
      </c>
      <c r="P84" s="504">
        <f t="shared" si="26"/>
        <v>1.4585952733211019E-3</v>
      </c>
      <c r="Q84" s="504">
        <f t="shared" si="27"/>
        <v>1.480051796145064E-3</v>
      </c>
      <c r="R84" s="504">
        <f t="shared" si="27"/>
        <v>1.0235871962097672E-3</v>
      </c>
      <c r="S84" s="504">
        <f t="shared" si="28"/>
        <v>7.7884602755075381E-4</v>
      </c>
      <c r="T84" s="504">
        <f t="shared" si="28"/>
        <v>2.1880973152751775E-3</v>
      </c>
      <c r="U84" s="504">
        <f t="shared" si="39"/>
        <v>2.6164543470076269E-3</v>
      </c>
      <c r="V84" s="504">
        <f t="shared" si="39"/>
        <v>6.1620813303126165E-3</v>
      </c>
      <c r="W84" s="504">
        <f t="shared" si="40"/>
        <v>6.7105387489569855E-4</v>
      </c>
      <c r="X84" s="504">
        <f t="shared" si="40"/>
        <v>0</v>
      </c>
      <c r="Y84" s="504">
        <f t="shared" si="29"/>
        <v>6.8130551718154596E-4</v>
      </c>
      <c r="Z84" s="504">
        <f t="shared" si="29"/>
        <v>0</v>
      </c>
      <c r="AA84" s="504">
        <f t="shared" si="30"/>
        <v>2.6452727882201824E-3</v>
      </c>
      <c r="AB84" s="504">
        <f t="shared" si="30"/>
        <v>1.951353098797992E-3</v>
      </c>
      <c r="AC84" s="504">
        <f t="shared" si="31"/>
        <v>4.0009149404313994E-4</v>
      </c>
      <c r="AD84" s="504">
        <f t="shared" si="31"/>
        <v>3.0519956631140915E-3</v>
      </c>
      <c r="AE84" s="504">
        <f t="shared" si="32"/>
        <v>1.0862977029828303E-3</v>
      </c>
      <c r="AF84" s="504">
        <f t="shared" si="32"/>
        <v>1.1057955519725576E-3</v>
      </c>
      <c r="AG84" s="504">
        <f t="shared" si="33"/>
        <v>2.721949958684963E-3</v>
      </c>
      <c r="AH84" s="504">
        <f t="shared" si="33"/>
        <v>2.7426768750842415E-3</v>
      </c>
      <c r="AI84" s="504">
        <f t="shared" si="34"/>
        <v>7.3473227541177573E-4</v>
      </c>
      <c r="AJ84" s="504">
        <f t="shared" si="34"/>
        <v>3.2801243856437051E-4</v>
      </c>
      <c r="AK84" s="504">
        <f t="shared" si="35"/>
        <v>4.4345346033715562E-3</v>
      </c>
      <c r="AL84" s="504">
        <f t="shared" si="35"/>
        <v>8.9007186742685841E-4</v>
      </c>
      <c r="AM84" s="504">
        <f t="shared" si="36"/>
        <v>3.1229468254304993E-3</v>
      </c>
      <c r="AN84" s="504">
        <f t="shared" si="36"/>
        <v>1.7819144490774132E-3</v>
      </c>
      <c r="AO84" s="504">
        <f t="shared" si="37"/>
        <v>1.6629939426850047E-3</v>
      </c>
      <c r="AP84" s="504">
        <f t="shared" si="37"/>
        <v>1.5445704604137936E-3</v>
      </c>
      <c r="AQ84" s="504">
        <f t="shared" si="38"/>
        <v>6.3034265655400896E-4</v>
      </c>
      <c r="AR84" s="504">
        <f t="shared" si="38"/>
        <v>3.4125543731984998E-3</v>
      </c>
    </row>
    <row r="85" spans="1:44" s="482" customFormat="1">
      <c r="B85" s="484" t="s">
        <v>8</v>
      </c>
      <c r="C85" s="504">
        <f>SUM(C75:C84)</f>
        <v>0.22361320629673503</v>
      </c>
      <c r="D85" s="504">
        <f t="shared" ref="D85:AR85" si="41">SUM(D75:D84)</f>
        <v>0.77638679370326502</v>
      </c>
      <c r="E85" s="504">
        <f t="shared" si="41"/>
        <v>0.29965822659847352</v>
      </c>
      <c r="F85" s="504">
        <f t="shared" si="41"/>
        <v>0.70034177340152659</v>
      </c>
      <c r="G85" s="504">
        <f t="shared" si="41"/>
        <v>0.42418849545047382</v>
      </c>
      <c r="H85" s="504">
        <f t="shared" si="41"/>
        <v>0.57581150454952623</v>
      </c>
      <c r="I85" s="504">
        <f t="shared" si="41"/>
        <v>0.40592168520394722</v>
      </c>
      <c r="J85" s="504">
        <f t="shared" si="41"/>
        <v>0.59407831479605266</v>
      </c>
      <c r="K85" s="504">
        <f t="shared" si="41"/>
        <v>0.4092376412320155</v>
      </c>
      <c r="L85" s="504">
        <f t="shared" si="41"/>
        <v>0.59076235876798433</v>
      </c>
      <c r="M85" s="504">
        <f t="shared" si="41"/>
        <v>0.59030311016114845</v>
      </c>
      <c r="N85" s="504">
        <f t="shared" si="41"/>
        <v>0.40969688983885133</v>
      </c>
      <c r="O85" s="504">
        <f t="shared" si="41"/>
        <v>0.43648079222120251</v>
      </c>
      <c r="P85" s="504">
        <f t="shared" si="41"/>
        <v>0.56351920777879749</v>
      </c>
      <c r="Q85" s="504">
        <f t="shared" si="41"/>
        <v>0.23136039695767546</v>
      </c>
      <c r="R85" s="504">
        <f t="shared" si="41"/>
        <v>0.76863960304232459</v>
      </c>
      <c r="S85" s="504">
        <f t="shared" si="41"/>
        <v>0.210734271447067</v>
      </c>
      <c r="T85" s="504">
        <f t="shared" si="41"/>
        <v>0.78926572855293275</v>
      </c>
      <c r="U85" s="504">
        <f t="shared" si="41"/>
        <v>0.10895863879165364</v>
      </c>
      <c r="V85" s="504">
        <f t="shared" si="41"/>
        <v>0.89104136120834621</v>
      </c>
      <c r="W85" s="504">
        <f t="shared" si="41"/>
        <v>0.43256700440019868</v>
      </c>
      <c r="X85" s="504">
        <f t="shared" si="41"/>
        <v>0.56743299559980154</v>
      </c>
      <c r="Y85" s="504">
        <f t="shared" si="41"/>
        <v>0.44384414145661083</v>
      </c>
      <c r="Z85" s="504">
        <f t="shared" si="41"/>
        <v>0.55615585854338945</v>
      </c>
      <c r="AA85" s="504">
        <f t="shared" si="41"/>
        <v>0.4597435695786124</v>
      </c>
      <c r="AB85" s="504">
        <f t="shared" si="41"/>
        <v>0.54025643042138749</v>
      </c>
      <c r="AC85" s="504">
        <f t="shared" si="41"/>
        <v>0.18429739982766885</v>
      </c>
      <c r="AD85" s="504">
        <f t="shared" si="41"/>
        <v>0.81570260017233109</v>
      </c>
      <c r="AE85" s="504">
        <f t="shared" si="41"/>
        <v>0.44059649031146192</v>
      </c>
      <c r="AF85" s="504">
        <f t="shared" si="41"/>
        <v>0.5594035096885378</v>
      </c>
      <c r="AG85" s="504">
        <f t="shared" si="41"/>
        <v>0.33232038754398685</v>
      </c>
      <c r="AH85" s="504">
        <f t="shared" si="41"/>
        <v>0.66767961245601293</v>
      </c>
      <c r="AI85" s="504">
        <f t="shared" si="41"/>
        <v>0.52509686376962383</v>
      </c>
      <c r="AJ85" s="504">
        <f t="shared" si="41"/>
        <v>0.47490313623037594</v>
      </c>
      <c r="AK85" s="504">
        <f t="shared" si="41"/>
        <v>0.63287339500414075</v>
      </c>
      <c r="AL85" s="504">
        <f t="shared" si="41"/>
        <v>0.3671266049958592</v>
      </c>
      <c r="AM85" s="504">
        <f t="shared" si="41"/>
        <v>0.31270213523726498</v>
      </c>
      <c r="AN85" s="504">
        <f t="shared" si="41"/>
        <v>0.68729786476273502</v>
      </c>
      <c r="AO85" s="504">
        <f t="shared" si="41"/>
        <v>0.37378291103878708</v>
      </c>
      <c r="AP85" s="504">
        <f t="shared" si="41"/>
        <v>0.62621708896121286</v>
      </c>
      <c r="AQ85" s="504">
        <f t="shared" si="41"/>
        <v>0.14155662545561271</v>
      </c>
      <c r="AR85" s="504">
        <f t="shared" si="41"/>
        <v>0.85844337454438735</v>
      </c>
    </row>
    <row r="87" spans="1:44">
      <c r="A87" s="11">
        <f>50%-((SUM(C87:AR87))/42)</f>
        <v>0</v>
      </c>
      <c r="B87" s="50" t="s">
        <v>70</v>
      </c>
      <c r="C87" s="11">
        <f>SUM(C75:C84)</f>
        <v>0.22361320629673503</v>
      </c>
      <c r="D87" s="11">
        <f t="shared" ref="D87:AR87" si="42">SUM(D75:D84)</f>
        <v>0.77638679370326502</v>
      </c>
      <c r="E87" s="11">
        <f t="shared" si="42"/>
        <v>0.29965822659847352</v>
      </c>
      <c r="F87" s="11">
        <f t="shared" si="42"/>
        <v>0.70034177340152659</v>
      </c>
      <c r="G87" s="11">
        <f t="shared" si="42"/>
        <v>0.42418849545047382</v>
      </c>
      <c r="H87" s="11">
        <f t="shared" si="42"/>
        <v>0.57581150454952623</v>
      </c>
      <c r="I87" s="11">
        <f t="shared" si="42"/>
        <v>0.40592168520394722</v>
      </c>
      <c r="J87" s="11">
        <f t="shared" si="42"/>
        <v>0.59407831479605266</v>
      </c>
      <c r="K87" s="11">
        <f t="shared" si="42"/>
        <v>0.4092376412320155</v>
      </c>
      <c r="L87" s="11">
        <f t="shared" si="42"/>
        <v>0.59076235876798433</v>
      </c>
      <c r="M87" s="11">
        <f t="shared" si="42"/>
        <v>0.59030311016114845</v>
      </c>
      <c r="N87" s="11">
        <f t="shared" si="42"/>
        <v>0.40969688983885133</v>
      </c>
      <c r="O87" s="11">
        <f t="shared" si="42"/>
        <v>0.43648079222120251</v>
      </c>
      <c r="P87" s="11">
        <f t="shared" si="42"/>
        <v>0.56351920777879749</v>
      </c>
      <c r="Q87" s="11">
        <f t="shared" si="42"/>
        <v>0.23136039695767546</v>
      </c>
      <c r="R87" s="11">
        <f t="shared" si="42"/>
        <v>0.76863960304232459</v>
      </c>
      <c r="S87" s="11">
        <f t="shared" si="42"/>
        <v>0.210734271447067</v>
      </c>
      <c r="T87" s="11">
        <f t="shared" si="42"/>
        <v>0.78926572855293275</v>
      </c>
      <c r="U87" s="11">
        <f t="shared" si="42"/>
        <v>0.10895863879165364</v>
      </c>
      <c r="V87" s="11">
        <f t="shared" si="42"/>
        <v>0.89104136120834621</v>
      </c>
      <c r="W87" s="11">
        <f t="shared" si="42"/>
        <v>0.43256700440019868</v>
      </c>
      <c r="X87" s="11">
        <f t="shared" si="42"/>
        <v>0.56743299559980154</v>
      </c>
      <c r="Y87" s="11">
        <f t="shared" si="42"/>
        <v>0.44384414145661083</v>
      </c>
      <c r="Z87" s="11">
        <f t="shared" si="42"/>
        <v>0.55615585854338945</v>
      </c>
      <c r="AA87" s="11">
        <f t="shared" si="42"/>
        <v>0.4597435695786124</v>
      </c>
      <c r="AB87" s="11">
        <f t="shared" si="42"/>
        <v>0.54025643042138749</v>
      </c>
      <c r="AC87" s="11">
        <f t="shared" si="42"/>
        <v>0.18429739982766885</v>
      </c>
      <c r="AD87" s="11">
        <f t="shared" si="42"/>
        <v>0.81570260017233109</v>
      </c>
      <c r="AE87" s="11">
        <f t="shared" si="42"/>
        <v>0.44059649031146192</v>
      </c>
      <c r="AF87" s="11">
        <f t="shared" si="42"/>
        <v>0.5594035096885378</v>
      </c>
      <c r="AG87" s="11">
        <f t="shared" si="42"/>
        <v>0.33232038754398685</v>
      </c>
      <c r="AH87" s="11">
        <f t="shared" si="42"/>
        <v>0.66767961245601293</v>
      </c>
      <c r="AI87" s="11">
        <f t="shared" si="42"/>
        <v>0.52509686376962383</v>
      </c>
      <c r="AJ87" s="11">
        <f t="shared" si="42"/>
        <v>0.47490313623037594</v>
      </c>
      <c r="AK87" s="11">
        <f t="shared" si="42"/>
        <v>0.63287339500414075</v>
      </c>
      <c r="AL87" s="11">
        <f t="shared" si="42"/>
        <v>0.3671266049958592</v>
      </c>
      <c r="AM87" s="11">
        <f t="shared" si="42"/>
        <v>0.31270213523726498</v>
      </c>
      <c r="AN87" s="11">
        <f t="shared" si="42"/>
        <v>0.68729786476273502</v>
      </c>
      <c r="AO87" s="11">
        <f t="shared" si="42"/>
        <v>0.37378291103878708</v>
      </c>
      <c r="AP87" s="11">
        <f t="shared" si="42"/>
        <v>0.62621708896121286</v>
      </c>
      <c r="AQ87" s="11">
        <f t="shared" si="42"/>
        <v>0.14155662545561271</v>
      </c>
      <c r="AR87" s="11">
        <f t="shared" si="42"/>
        <v>0.85844337454438735</v>
      </c>
    </row>
    <row r="88" spans="1:44">
      <c r="A88" s="50"/>
    </row>
    <row r="89" spans="1:44">
      <c r="A89" s="50"/>
      <c r="B89" s="481" t="s">
        <v>524</v>
      </c>
    </row>
    <row r="90" spans="1:44" s="482" customFormat="1">
      <c r="C90" s="1303" t="str">
        <f>C73</f>
        <v>Art &amp; Design</v>
      </c>
      <c r="D90" s="1303"/>
      <c r="E90" s="1303" t="str">
        <f>E73</f>
        <v>Biology</v>
      </c>
      <c r="F90" s="1303"/>
      <c r="G90" s="1303" t="str">
        <f>G73</f>
        <v>Business Studies</v>
      </c>
      <c r="H90" s="1303"/>
      <c r="I90" s="1303" t="str">
        <f>I73</f>
        <v>Chemistry</v>
      </c>
      <c r="J90" s="1303"/>
      <c r="K90" s="1303" t="str">
        <f>K73</f>
        <v>Classics</v>
      </c>
      <c r="L90" s="1303"/>
      <c r="M90" s="1303" t="str">
        <f>M73</f>
        <v>Computing</v>
      </c>
      <c r="N90" s="1303"/>
      <c r="O90" s="1303" t="str">
        <f>O73</f>
        <v>Design &amp; Technology</v>
      </c>
      <c r="P90" s="1303"/>
      <c r="Q90" s="1303" t="str">
        <f>Q73</f>
        <v>Drama</v>
      </c>
      <c r="R90" s="1303"/>
      <c r="S90" s="1303" t="str">
        <f>S73</f>
        <v>English</v>
      </c>
      <c r="T90" s="1303"/>
      <c r="U90" s="1303" t="str">
        <f>U73</f>
        <v>Food</v>
      </c>
      <c r="V90" s="1303"/>
      <c r="W90" s="1303" t="str">
        <f>W73</f>
        <v>Geography</v>
      </c>
      <c r="X90" s="1303"/>
      <c r="Y90" s="1303" t="str">
        <f>Y73</f>
        <v>History</v>
      </c>
      <c r="Z90" s="1303"/>
      <c r="AA90" s="1303" t="str">
        <f>AA73</f>
        <v>Mathematics</v>
      </c>
      <c r="AB90" s="1303"/>
      <c r="AC90" s="1303" t="str">
        <f>AC73</f>
        <v>Modern Foreign Languages</v>
      </c>
      <c r="AD90" s="1303"/>
      <c r="AE90" s="1303" t="str">
        <f>AE73</f>
        <v>Music</v>
      </c>
      <c r="AF90" s="1303"/>
      <c r="AG90" s="1303" t="str">
        <f>AG73</f>
        <v>Others</v>
      </c>
      <c r="AH90" s="1303"/>
      <c r="AI90" s="1303" t="str">
        <f>AI73</f>
        <v>Physical Education</v>
      </c>
      <c r="AJ90" s="1303"/>
      <c r="AK90" s="1303" t="str">
        <f>AK73</f>
        <v>Physics</v>
      </c>
      <c r="AL90" s="1303"/>
      <c r="AM90" s="1303" t="str">
        <f>AM73</f>
        <v>Religious Education</v>
      </c>
      <c r="AN90" s="1303"/>
      <c r="AO90" s="1303" t="str">
        <f>AO73</f>
        <v>Secondary total</v>
      </c>
      <c r="AP90" s="1303"/>
      <c r="AQ90" s="1303" t="str">
        <f>AQ73</f>
        <v>Primary</v>
      </c>
      <c r="AR90" s="1303"/>
    </row>
    <row r="91" spans="1:44" s="482" customFormat="1">
      <c r="C91" s="487" t="str">
        <f>C74</f>
        <v>Male</v>
      </c>
      <c r="D91" s="487" t="str">
        <f t="shared" ref="D91:AR91" si="43">D74</f>
        <v>Female</v>
      </c>
      <c r="E91" s="487" t="str">
        <f t="shared" si="43"/>
        <v>Male</v>
      </c>
      <c r="F91" s="487" t="str">
        <f t="shared" si="43"/>
        <v>Female</v>
      </c>
      <c r="G91" s="487" t="str">
        <f t="shared" si="43"/>
        <v>Male</v>
      </c>
      <c r="H91" s="487" t="str">
        <f t="shared" si="43"/>
        <v>Female</v>
      </c>
      <c r="I91" s="487" t="str">
        <f t="shared" si="43"/>
        <v>Male</v>
      </c>
      <c r="J91" s="487" t="str">
        <f t="shared" si="43"/>
        <v>Female</v>
      </c>
      <c r="K91" s="487" t="str">
        <f t="shared" si="43"/>
        <v>Male</v>
      </c>
      <c r="L91" s="487" t="str">
        <f t="shared" si="43"/>
        <v>Female</v>
      </c>
      <c r="M91" s="487" t="str">
        <f t="shared" si="43"/>
        <v>Male</v>
      </c>
      <c r="N91" s="487" t="str">
        <f t="shared" si="43"/>
        <v>Female</v>
      </c>
      <c r="O91" s="487" t="str">
        <f t="shared" si="43"/>
        <v>Male</v>
      </c>
      <c r="P91" s="487" t="str">
        <f t="shared" si="43"/>
        <v>Female</v>
      </c>
      <c r="Q91" s="487" t="str">
        <f t="shared" si="43"/>
        <v>Male</v>
      </c>
      <c r="R91" s="487" t="str">
        <f t="shared" si="43"/>
        <v>Female</v>
      </c>
      <c r="S91" s="487" t="str">
        <f t="shared" si="43"/>
        <v>Male</v>
      </c>
      <c r="T91" s="487" t="str">
        <f t="shared" si="43"/>
        <v>Female</v>
      </c>
      <c r="U91" s="487" t="str">
        <f t="shared" si="43"/>
        <v>Male</v>
      </c>
      <c r="V91" s="487" t="str">
        <f t="shared" si="43"/>
        <v>Female</v>
      </c>
      <c r="W91" s="487" t="str">
        <f t="shared" si="43"/>
        <v>Male</v>
      </c>
      <c r="X91" s="487" t="str">
        <f t="shared" si="43"/>
        <v>Female</v>
      </c>
      <c r="Y91" s="487" t="str">
        <f t="shared" si="43"/>
        <v>Male</v>
      </c>
      <c r="Z91" s="487" t="str">
        <f t="shared" si="43"/>
        <v>Female</v>
      </c>
      <c r="AA91" s="487" t="str">
        <f t="shared" si="43"/>
        <v>Male</v>
      </c>
      <c r="AB91" s="487" t="str">
        <f t="shared" si="43"/>
        <v>Female</v>
      </c>
      <c r="AC91" s="487" t="str">
        <f t="shared" si="43"/>
        <v>Male</v>
      </c>
      <c r="AD91" s="487" t="str">
        <f t="shared" si="43"/>
        <v>Female</v>
      </c>
      <c r="AE91" s="487" t="str">
        <f t="shared" si="43"/>
        <v>Male</v>
      </c>
      <c r="AF91" s="487" t="str">
        <f t="shared" si="43"/>
        <v>Female</v>
      </c>
      <c r="AG91" s="487" t="str">
        <f t="shared" si="43"/>
        <v>Male</v>
      </c>
      <c r="AH91" s="487" t="str">
        <f t="shared" si="43"/>
        <v>Female</v>
      </c>
      <c r="AI91" s="487" t="str">
        <f t="shared" si="43"/>
        <v>Male</v>
      </c>
      <c r="AJ91" s="487" t="str">
        <f t="shared" si="43"/>
        <v>Female</v>
      </c>
      <c r="AK91" s="487" t="str">
        <f t="shared" si="43"/>
        <v>Male</v>
      </c>
      <c r="AL91" s="487" t="str">
        <f t="shared" si="43"/>
        <v>Female</v>
      </c>
      <c r="AM91" s="487" t="str">
        <f t="shared" si="43"/>
        <v>Male</v>
      </c>
      <c r="AN91" s="487" t="str">
        <f t="shared" si="43"/>
        <v>Female</v>
      </c>
      <c r="AO91" s="487" t="str">
        <f t="shared" si="43"/>
        <v>Male</v>
      </c>
      <c r="AP91" s="487" t="str">
        <f t="shared" si="43"/>
        <v>Female</v>
      </c>
      <c r="AQ91" s="487" t="str">
        <f t="shared" si="43"/>
        <v>Male</v>
      </c>
      <c r="AR91" s="487" t="str">
        <f t="shared" si="43"/>
        <v>Female</v>
      </c>
    </row>
    <row r="92" spans="1:44" s="482" customFormat="1">
      <c r="B92" s="496"/>
      <c r="C92" s="497">
        <f>C85</f>
        <v>0.22361320629673503</v>
      </c>
      <c r="D92" s="497">
        <f t="shared" ref="D92:AR92" si="44">D85</f>
        <v>0.77638679370326502</v>
      </c>
      <c r="E92" s="497">
        <f t="shared" si="44"/>
        <v>0.29965822659847352</v>
      </c>
      <c r="F92" s="497">
        <f t="shared" si="44"/>
        <v>0.70034177340152659</v>
      </c>
      <c r="G92" s="497">
        <f t="shared" si="44"/>
        <v>0.42418849545047382</v>
      </c>
      <c r="H92" s="497">
        <f t="shared" si="44"/>
        <v>0.57581150454952623</v>
      </c>
      <c r="I92" s="497">
        <f t="shared" si="44"/>
        <v>0.40592168520394722</v>
      </c>
      <c r="J92" s="497">
        <f t="shared" si="44"/>
        <v>0.59407831479605266</v>
      </c>
      <c r="K92" s="497">
        <f t="shared" si="44"/>
        <v>0.4092376412320155</v>
      </c>
      <c r="L92" s="497">
        <f t="shared" si="44"/>
        <v>0.59076235876798433</v>
      </c>
      <c r="M92" s="497">
        <f t="shared" si="44"/>
        <v>0.59030311016114845</v>
      </c>
      <c r="N92" s="497">
        <f t="shared" si="44"/>
        <v>0.40969688983885133</v>
      </c>
      <c r="O92" s="497">
        <f t="shared" si="44"/>
        <v>0.43648079222120251</v>
      </c>
      <c r="P92" s="497">
        <f t="shared" si="44"/>
        <v>0.56351920777879749</v>
      </c>
      <c r="Q92" s="497">
        <f t="shared" si="44"/>
        <v>0.23136039695767546</v>
      </c>
      <c r="R92" s="497">
        <f t="shared" si="44"/>
        <v>0.76863960304232459</v>
      </c>
      <c r="S92" s="497">
        <f t="shared" si="44"/>
        <v>0.210734271447067</v>
      </c>
      <c r="T92" s="497">
        <f t="shared" si="44"/>
        <v>0.78926572855293275</v>
      </c>
      <c r="U92" s="497">
        <f t="shared" si="44"/>
        <v>0.10895863879165364</v>
      </c>
      <c r="V92" s="497">
        <f t="shared" si="44"/>
        <v>0.89104136120834621</v>
      </c>
      <c r="W92" s="497">
        <f t="shared" si="44"/>
        <v>0.43256700440019868</v>
      </c>
      <c r="X92" s="497">
        <f t="shared" si="44"/>
        <v>0.56743299559980154</v>
      </c>
      <c r="Y92" s="497">
        <f t="shared" si="44"/>
        <v>0.44384414145661083</v>
      </c>
      <c r="Z92" s="497">
        <f t="shared" si="44"/>
        <v>0.55615585854338945</v>
      </c>
      <c r="AA92" s="497">
        <f t="shared" si="44"/>
        <v>0.4597435695786124</v>
      </c>
      <c r="AB92" s="497">
        <f t="shared" si="44"/>
        <v>0.54025643042138749</v>
      </c>
      <c r="AC92" s="497">
        <f t="shared" si="44"/>
        <v>0.18429739982766885</v>
      </c>
      <c r="AD92" s="497">
        <f t="shared" si="44"/>
        <v>0.81570260017233109</v>
      </c>
      <c r="AE92" s="497">
        <f t="shared" si="44"/>
        <v>0.44059649031146192</v>
      </c>
      <c r="AF92" s="497">
        <f t="shared" si="44"/>
        <v>0.5594035096885378</v>
      </c>
      <c r="AG92" s="497">
        <f t="shared" si="44"/>
        <v>0.33232038754398685</v>
      </c>
      <c r="AH92" s="497">
        <f t="shared" si="44"/>
        <v>0.66767961245601293</v>
      </c>
      <c r="AI92" s="497">
        <f t="shared" si="44"/>
        <v>0.52509686376962383</v>
      </c>
      <c r="AJ92" s="497">
        <f t="shared" si="44"/>
        <v>0.47490313623037594</v>
      </c>
      <c r="AK92" s="497">
        <f t="shared" si="44"/>
        <v>0.63287339500414075</v>
      </c>
      <c r="AL92" s="497">
        <f t="shared" si="44"/>
        <v>0.3671266049958592</v>
      </c>
      <c r="AM92" s="497">
        <f t="shared" si="44"/>
        <v>0.31270213523726498</v>
      </c>
      <c r="AN92" s="497">
        <f t="shared" si="44"/>
        <v>0.68729786476273502</v>
      </c>
      <c r="AO92" s="497">
        <f t="shared" si="44"/>
        <v>0.37378291103878708</v>
      </c>
      <c r="AP92" s="497">
        <f t="shared" si="44"/>
        <v>0.62621708896121286</v>
      </c>
      <c r="AQ92" s="497">
        <f t="shared" si="44"/>
        <v>0.14155662545561271</v>
      </c>
      <c r="AR92" s="497">
        <f t="shared" si="44"/>
        <v>0.85844337454438735</v>
      </c>
    </row>
    <row r="93" spans="1:44">
      <c r="B93" s="473"/>
    </row>
    <row r="94" spans="1:44">
      <c r="B94" s="481" t="s">
        <v>525</v>
      </c>
    </row>
    <row r="96" spans="1:44" s="488" customFormat="1" ht="38.25">
      <c r="B96" s="485"/>
      <c r="C96" s="485" t="str">
        <f>Stock_calculations!C30</f>
        <v>Art &amp; Design</v>
      </c>
      <c r="D96" s="485" t="str">
        <f>Stock_calculations!D30</f>
        <v>Biology</v>
      </c>
      <c r="E96" s="485" t="str">
        <f>Stock_calculations!E30</f>
        <v>Business Studies</v>
      </c>
      <c r="F96" s="485" t="str">
        <f>Stock_calculations!F30</f>
        <v>Chemistry</v>
      </c>
      <c r="G96" s="485" t="str">
        <f>Stock_calculations!G30</f>
        <v>Classics</v>
      </c>
      <c r="H96" s="485" t="str">
        <f>Stock_calculations!H30</f>
        <v>Computing</v>
      </c>
      <c r="I96" s="485" t="str">
        <f>Stock_calculations!I30</f>
        <v>Design &amp; Technology</v>
      </c>
      <c r="J96" s="485" t="str">
        <f>Stock_calculations!J30</f>
        <v>Drama</v>
      </c>
      <c r="K96" s="485" t="str">
        <f>Stock_calculations!K30</f>
        <v>English</v>
      </c>
      <c r="L96" s="485" t="str">
        <f>Stock_calculations!L30</f>
        <v>Food</v>
      </c>
      <c r="M96" s="485" t="str">
        <f>Stock_calculations!M30</f>
        <v>Geography</v>
      </c>
      <c r="N96" s="485" t="str">
        <f>Stock_calculations!N30</f>
        <v>History</v>
      </c>
      <c r="O96" s="485" t="str">
        <f>Stock_calculations!O30</f>
        <v>Mathematics</v>
      </c>
      <c r="P96" s="485" t="str">
        <f>Stock_calculations!P30</f>
        <v>Modern Foreign Languages</v>
      </c>
      <c r="Q96" s="485" t="str">
        <f>Stock_calculations!Q30</f>
        <v>Music</v>
      </c>
      <c r="R96" s="485" t="str">
        <f>Stock_calculations!R30</f>
        <v>Others</v>
      </c>
      <c r="S96" s="485" t="str">
        <f>Stock_calculations!S30</f>
        <v>Physical Education</v>
      </c>
      <c r="T96" s="485" t="str">
        <f>Stock_calculations!T30</f>
        <v>Physics</v>
      </c>
      <c r="U96" s="485" t="str">
        <f>Stock_calculations!U30</f>
        <v>Religious Education</v>
      </c>
      <c r="V96" s="485" t="s">
        <v>249</v>
      </c>
      <c r="W96" s="485" t="s">
        <v>40</v>
      </c>
    </row>
    <row r="97" spans="2:23" s="480" customFormat="1">
      <c r="B97" s="484" t="s">
        <v>443</v>
      </c>
      <c r="C97" s="495">
        <f>SUM(C75:D78)</f>
        <v>0.48773060452204786</v>
      </c>
      <c r="D97" s="495">
        <f>SUM(E75:F78)</f>
        <v>0.59793460312533686</v>
      </c>
      <c r="E97" s="495">
        <f>SUM(G75:H78)</f>
        <v>0.51361294525710133</v>
      </c>
      <c r="F97" s="495">
        <f>SUM(I75:J78)</f>
        <v>0.55251070891096732</v>
      </c>
      <c r="G97" s="495">
        <f>SUM(K75:L78)</f>
        <v>0.47510944937993638</v>
      </c>
      <c r="H97" s="495">
        <f>SUM(M75:N78)</f>
        <v>0.52064188351786855</v>
      </c>
      <c r="I97" s="495">
        <f>SUM(O75:P78)</f>
        <v>0.44192059518594229</v>
      </c>
      <c r="J97" s="495">
        <f>SUM(Q75:R78)</f>
        <v>0.64794661233638473</v>
      </c>
      <c r="K97" s="495">
        <f>SUM(S75:T78)</f>
        <v>0.60776876433080984</v>
      </c>
      <c r="L97" s="495">
        <f>SUM(U75:V78)</f>
        <v>0.37003742963699759</v>
      </c>
      <c r="M97" s="495">
        <f>SUM(W75:X78)</f>
        <v>0.61323522529241392</v>
      </c>
      <c r="N97" s="495">
        <f>SUM(Y75:Z78)</f>
        <v>0.62079370799714384</v>
      </c>
      <c r="O97" s="495">
        <f>SUM(AA75:AB78)</f>
        <v>0.53101255406580739</v>
      </c>
      <c r="P97" s="495">
        <f>SUM(AC75:AD78)</f>
        <v>0.464769010031854</v>
      </c>
      <c r="Q97" s="495">
        <f>SUM(AE75:AF78)</f>
        <v>0.60881522361761176</v>
      </c>
      <c r="R97" s="495">
        <f>SUM(AG75:AH78)</f>
        <v>0.53679659955196546</v>
      </c>
      <c r="S97" s="495">
        <f>SUM(AI75:AJ78)</f>
        <v>0.7206075844851404</v>
      </c>
      <c r="T97" s="495">
        <f>SUM(AK75:AL78)</f>
        <v>0.52805008093287087</v>
      </c>
      <c r="U97" s="495">
        <f>SUM(AM75:AN78)</f>
        <v>0.57145002500774655</v>
      </c>
      <c r="V97" s="495">
        <f>SUM(AO75:AP78)</f>
        <v>0.56418888508747733</v>
      </c>
      <c r="W97" s="495">
        <f>SUM(AQ75:AR78)</f>
        <v>0.57108988735037802</v>
      </c>
    </row>
    <row r="98" spans="2:23" s="480" customFormat="1">
      <c r="B98" s="484" t="s">
        <v>484</v>
      </c>
      <c r="C98" s="495">
        <f>SUM(C79:D80)</f>
        <v>0.31420447604324675</v>
      </c>
      <c r="D98" s="495">
        <f>SUM(E79:F80)</f>
        <v>0.25639319102689356</v>
      </c>
      <c r="E98" s="495">
        <f>SUM(G79:H80)</f>
        <v>0.30072165362015713</v>
      </c>
      <c r="F98" s="495">
        <f>SUM(I79:J80)</f>
        <v>0.27179585362195602</v>
      </c>
      <c r="G98" s="495">
        <f>SUM(K79:L80)</f>
        <v>0.23163593902143043</v>
      </c>
      <c r="H98" s="495">
        <f>SUM(M79:N80)</f>
        <v>0.29329211688930962</v>
      </c>
      <c r="I98" s="495">
        <f>SUM(O79:P80)</f>
        <v>0.29404404899695391</v>
      </c>
      <c r="J98" s="495">
        <f>SUM(Q79:R80)</f>
        <v>0.22258890796208919</v>
      </c>
      <c r="K98" s="495">
        <f>SUM(S79:T80)</f>
        <v>0.23192646961883651</v>
      </c>
      <c r="L98" s="495">
        <f>SUM(U79:V80)</f>
        <v>0.30572716107317754</v>
      </c>
      <c r="M98" s="495">
        <f>SUM(W79:X80)</f>
        <v>0.25113973277784102</v>
      </c>
      <c r="N98" s="495">
        <f>SUM(Y79:Z80)</f>
        <v>0.24427326299210503</v>
      </c>
      <c r="O98" s="495">
        <f>SUM(AA79:AB80)</f>
        <v>0.26549588146269609</v>
      </c>
      <c r="P98" s="495">
        <f>SUM(AC79:AD80)</f>
        <v>0.32561235377523395</v>
      </c>
      <c r="Q98" s="495">
        <f>SUM(AE79:AF80)</f>
        <v>0.24826630048570461</v>
      </c>
      <c r="R98" s="495">
        <f>SUM(AG79:AH80)</f>
        <v>0.26194757138834251</v>
      </c>
      <c r="S98" s="495">
        <f>SUM(AI79:AJ80)</f>
        <v>0.19142168823472866</v>
      </c>
      <c r="T98" s="495">
        <f>SUM(AK79:AL80)</f>
        <v>0.27055084602635843</v>
      </c>
      <c r="U98" s="495">
        <f>SUM(AM79:AN80)</f>
        <v>0.24873733380134461</v>
      </c>
      <c r="V98" s="495">
        <f>SUM(AO79:AP80)</f>
        <v>0.26012683311958495</v>
      </c>
      <c r="W98" s="495">
        <f>SUM(AQ79:AR80)</f>
        <v>0.25362338127262474</v>
      </c>
    </row>
    <row r="99" spans="2:23" s="480" customFormat="1">
      <c r="B99" s="484" t="s">
        <v>485</v>
      </c>
      <c r="C99" s="495">
        <f>SUM(C81:D82)</f>
        <v>0.17336197436219553</v>
      </c>
      <c r="D99" s="495">
        <f>SUM(E81:F82)</f>
        <v>0.12796150865719264</v>
      </c>
      <c r="E99" s="495">
        <f>SUM(G81:H82)</f>
        <v>0.166814242490049</v>
      </c>
      <c r="F99" s="495">
        <f>SUM(I81:J82)</f>
        <v>0.15721682666791664</v>
      </c>
      <c r="G99" s="495">
        <f>SUM(K81:L82)</f>
        <v>0.22069364801397756</v>
      </c>
      <c r="H99" s="495">
        <f>SUM(M81:N82)</f>
        <v>0.16776835591908723</v>
      </c>
      <c r="I99" s="495">
        <f>SUM(O81:P82)</f>
        <v>0.23278101446059463</v>
      </c>
      <c r="J99" s="495">
        <f>SUM(Q81:R82)</f>
        <v>0.10977079548435113</v>
      </c>
      <c r="K99" s="495">
        <f>SUM(S81:T82)</f>
        <v>0.13880092512631734</v>
      </c>
      <c r="L99" s="495">
        <f>SUM(U81:V82)</f>
        <v>0.28433404326724881</v>
      </c>
      <c r="M99" s="495">
        <f>SUM(W81:X82)</f>
        <v>0.12083187190932179</v>
      </c>
      <c r="N99" s="495">
        <f>SUM(Y81:Z82)</f>
        <v>0.12013617768167593</v>
      </c>
      <c r="O99" s="495">
        <f>SUM(AA81:AB82)</f>
        <v>0.17493680923473562</v>
      </c>
      <c r="P99" s="495">
        <f>SUM(AC81:AD82)</f>
        <v>0.18579951367796954</v>
      </c>
      <c r="Q99" s="495">
        <f>SUM(AE81:AF82)</f>
        <v>0.12972870038129661</v>
      </c>
      <c r="R99" s="495">
        <f>SUM(AG81:AH82)</f>
        <v>0.17121333579671089</v>
      </c>
      <c r="S99" s="495">
        <f>SUM(AI81:AJ82)</f>
        <v>7.9642413588245864E-2</v>
      </c>
      <c r="T99" s="495">
        <f>SUM(AK81:AL82)</f>
        <v>0.17942759857006532</v>
      </c>
      <c r="U99" s="495">
        <f>SUM(AM81:AN82)</f>
        <v>0.15559691369691636</v>
      </c>
      <c r="V99" s="495">
        <f>SUM(AO81:AP82)</f>
        <v>0.15394562631112022</v>
      </c>
      <c r="W99" s="495">
        <f>SUM(AQ81:AR82)</f>
        <v>0.14970028651357647</v>
      </c>
    </row>
    <row r="100" spans="2:23" s="480" customFormat="1">
      <c r="B100" s="484" t="s">
        <v>486</v>
      </c>
      <c r="C100" s="495">
        <f>SUM(C83:D84)</f>
        <v>2.4702945072509863E-2</v>
      </c>
      <c r="D100" s="495">
        <f>SUM(E83:F84)</f>
        <v>1.7710697190577052E-2</v>
      </c>
      <c r="E100" s="495">
        <f>SUM(G83:H84)</f>
        <v>1.8851158632692631E-2</v>
      </c>
      <c r="F100" s="495">
        <f>SUM(I83:J84)</f>
        <v>1.8476610799159927E-2</v>
      </c>
      <c r="G100" s="495">
        <f>SUM(K83:L84)</f>
        <v>7.2560963584655511E-2</v>
      </c>
      <c r="H100" s="495">
        <f>SUM(M83:N84)</f>
        <v>1.8297643673734557E-2</v>
      </c>
      <c r="I100" s="495">
        <f>SUM(O83:P84)</f>
        <v>3.1254341356509056E-2</v>
      </c>
      <c r="J100" s="495">
        <f>SUM(Q83:R84)</f>
        <v>1.9693684217174903E-2</v>
      </c>
      <c r="K100" s="495">
        <f>SUM(S83:T84)</f>
        <v>2.1503840924036257E-2</v>
      </c>
      <c r="L100" s="495">
        <f>SUM(U83:V84)</f>
        <v>3.9901366022576018E-2</v>
      </c>
      <c r="M100" s="495">
        <f>SUM(W83:X84)</f>
        <v>1.4793170020423459E-2</v>
      </c>
      <c r="N100" s="495">
        <f>SUM(Y83:Z84)</f>
        <v>1.4796851329075491E-2</v>
      </c>
      <c r="O100" s="495">
        <f>SUM(AA83:AB84)</f>
        <v>2.85547552367608E-2</v>
      </c>
      <c r="P100" s="495">
        <f>SUM(AC83:AD84)</f>
        <v>2.381912251494251E-2</v>
      </c>
      <c r="Q100" s="495">
        <f>SUM(AE83:AF84)</f>
        <v>1.3189775515386732E-2</v>
      </c>
      <c r="R100" s="495">
        <f>SUM(AG83:AH84)</f>
        <v>3.0042493262981074E-2</v>
      </c>
      <c r="S100" s="495">
        <f>SUM(AI83:AJ84)</f>
        <v>8.3283136918849039E-3</v>
      </c>
      <c r="T100" s="495">
        <f>SUM(AK83:AL84)</f>
        <v>2.1971474470705375E-2</v>
      </c>
      <c r="U100" s="495">
        <f>SUM(AM83:AN84)</f>
        <v>2.4215727493992353E-2</v>
      </c>
      <c r="V100" s="495">
        <f>SUM(AO83:AP84)</f>
        <v>2.1738655481817509E-2</v>
      </c>
      <c r="W100" s="495">
        <f>SUM(AQ83:AR84)</f>
        <v>2.5586444863420689E-2</v>
      </c>
    </row>
    <row r="101" spans="2:23" s="480" customFormat="1">
      <c r="B101" s="484" t="s">
        <v>8</v>
      </c>
      <c r="C101" s="495">
        <f>SUM(C97:C100)</f>
        <v>1</v>
      </c>
      <c r="D101" s="495">
        <f t="shared" ref="D101:W101" si="45">SUM(D97:D100)</f>
        <v>1</v>
      </c>
      <c r="E101" s="495">
        <f t="shared" si="45"/>
        <v>1.0000000000000002</v>
      </c>
      <c r="F101" s="495">
        <f t="shared" si="45"/>
        <v>0.99999999999999989</v>
      </c>
      <c r="G101" s="495">
        <f t="shared" si="45"/>
        <v>0.99999999999999989</v>
      </c>
      <c r="H101" s="495">
        <f t="shared" si="45"/>
        <v>1</v>
      </c>
      <c r="I101" s="495">
        <f t="shared" si="45"/>
        <v>0.99999999999999989</v>
      </c>
      <c r="J101" s="495">
        <f t="shared" si="45"/>
        <v>0.99999999999999989</v>
      </c>
      <c r="K101" s="495">
        <f t="shared" si="45"/>
        <v>1</v>
      </c>
      <c r="L101" s="495">
        <f t="shared" si="45"/>
        <v>1</v>
      </c>
      <c r="M101" s="495">
        <f t="shared" si="45"/>
        <v>1</v>
      </c>
      <c r="N101" s="495">
        <f t="shared" si="45"/>
        <v>1.0000000000000004</v>
      </c>
      <c r="O101" s="495">
        <f t="shared" si="45"/>
        <v>0.99999999999999989</v>
      </c>
      <c r="P101" s="495">
        <f t="shared" si="45"/>
        <v>1</v>
      </c>
      <c r="Q101" s="495">
        <f t="shared" si="45"/>
        <v>0.99999999999999967</v>
      </c>
      <c r="R101" s="495">
        <f t="shared" si="45"/>
        <v>1</v>
      </c>
      <c r="S101" s="495">
        <f t="shared" si="45"/>
        <v>0.99999999999999989</v>
      </c>
      <c r="T101" s="495">
        <f t="shared" si="45"/>
        <v>1</v>
      </c>
      <c r="U101" s="495">
        <f t="shared" si="45"/>
        <v>0.99999999999999989</v>
      </c>
      <c r="V101" s="495">
        <f t="shared" si="45"/>
        <v>1</v>
      </c>
      <c r="W101" s="495">
        <f t="shared" si="45"/>
        <v>0.99999999999999989</v>
      </c>
    </row>
    <row r="102" spans="2:23" s="480" customFormat="1">
      <c r="B102" s="484" t="s">
        <v>487</v>
      </c>
      <c r="C102" s="495">
        <f>C99+C100</f>
        <v>0.19806491943470539</v>
      </c>
      <c r="D102" s="495">
        <f t="shared" ref="D102:U102" si="46">D99+D100</f>
        <v>0.14567220584776969</v>
      </c>
      <c r="E102" s="495">
        <f t="shared" si="46"/>
        <v>0.18566540112274163</v>
      </c>
      <c r="F102" s="495">
        <f t="shared" si="46"/>
        <v>0.17569343746707658</v>
      </c>
      <c r="G102" s="495">
        <f t="shared" si="46"/>
        <v>0.29325461159863309</v>
      </c>
      <c r="H102" s="495">
        <f t="shared" si="46"/>
        <v>0.18606599959282177</v>
      </c>
      <c r="I102" s="495">
        <f t="shared" si="46"/>
        <v>0.26403535581710369</v>
      </c>
      <c r="J102" s="495">
        <f t="shared" si="46"/>
        <v>0.12946447970152603</v>
      </c>
      <c r="K102" s="495">
        <f t="shared" si="46"/>
        <v>0.1603047660503536</v>
      </c>
      <c r="L102" s="495">
        <f t="shared" si="46"/>
        <v>0.32423540928982486</v>
      </c>
      <c r="M102" s="495">
        <f t="shared" si="46"/>
        <v>0.13562504192974525</v>
      </c>
      <c r="N102" s="495">
        <f t="shared" si="46"/>
        <v>0.13493302901075144</v>
      </c>
      <c r="O102" s="495">
        <f t="shared" si="46"/>
        <v>0.20349156447149641</v>
      </c>
      <c r="P102" s="495">
        <f t="shared" si="46"/>
        <v>0.20961863619291204</v>
      </c>
      <c r="Q102" s="495">
        <f t="shared" si="46"/>
        <v>0.14291847589668333</v>
      </c>
      <c r="R102" s="495">
        <f t="shared" si="46"/>
        <v>0.20125582905969197</v>
      </c>
      <c r="S102" s="495">
        <f t="shared" si="46"/>
        <v>8.7970727280130764E-2</v>
      </c>
      <c r="T102" s="495">
        <f t="shared" si="46"/>
        <v>0.2013990730407707</v>
      </c>
      <c r="U102" s="495">
        <f t="shared" si="46"/>
        <v>0.17981264119090873</v>
      </c>
      <c r="V102" s="495">
        <f>V99+V100</f>
        <v>0.17568428179293771</v>
      </c>
      <c r="W102" s="495">
        <f>W99+W100</f>
        <v>0.17528673137699716</v>
      </c>
    </row>
  </sheetData>
  <mergeCells count="109">
    <mergeCell ref="AQ90:AR90"/>
    <mergeCell ref="AO90:AP90"/>
    <mergeCell ref="AM90:AN90"/>
    <mergeCell ref="AK90:AL90"/>
    <mergeCell ref="AI90:AJ90"/>
    <mergeCell ref="M90:N90"/>
    <mergeCell ref="W90:X90"/>
    <mergeCell ref="U90:V90"/>
    <mergeCell ref="S90:T90"/>
    <mergeCell ref="Q90:R90"/>
    <mergeCell ref="AG90:AH90"/>
    <mergeCell ref="AE90:AF90"/>
    <mergeCell ref="Y90:Z90"/>
    <mergeCell ref="AC90:AD90"/>
    <mergeCell ref="AA90:AB90"/>
    <mergeCell ref="AC18:AD18"/>
    <mergeCell ref="AA52:AB52"/>
    <mergeCell ref="AC52:AD52"/>
    <mergeCell ref="C90:D90"/>
    <mergeCell ref="E90:F90"/>
    <mergeCell ref="G90:H90"/>
    <mergeCell ref="I90:J90"/>
    <mergeCell ref="K90:L90"/>
    <mergeCell ref="O52:P52"/>
    <mergeCell ref="M73:N73"/>
    <mergeCell ref="O73:P73"/>
    <mergeCell ref="O90:P90"/>
    <mergeCell ref="E18:F18"/>
    <mergeCell ref="G18:H18"/>
    <mergeCell ref="I18:J18"/>
    <mergeCell ref="W73:X73"/>
    <mergeCell ref="Y73:Z73"/>
    <mergeCell ref="S73:T73"/>
    <mergeCell ref="U35:V35"/>
    <mergeCell ref="S52:T52"/>
    <mergeCell ref="W52:X52"/>
    <mergeCell ref="Y52:Z52"/>
    <mergeCell ref="AA35:AB35"/>
    <mergeCell ref="U52:V52"/>
    <mergeCell ref="AQ18:AR18"/>
    <mergeCell ref="AQ35:AR35"/>
    <mergeCell ref="AQ52:AR52"/>
    <mergeCell ref="AQ73:AR73"/>
    <mergeCell ref="AE18:AF18"/>
    <mergeCell ref="AG18:AH18"/>
    <mergeCell ref="AI18:AJ18"/>
    <mergeCell ref="AK18:AL18"/>
    <mergeCell ref="AM18:AN18"/>
    <mergeCell ref="AE35:AF35"/>
    <mergeCell ref="AO35:AP35"/>
    <mergeCell ref="AE52:AF52"/>
    <mergeCell ref="AG52:AH52"/>
    <mergeCell ref="AI52:AJ52"/>
    <mergeCell ref="AE73:AF73"/>
    <mergeCell ref="AI73:AJ73"/>
    <mergeCell ref="AO52:AP52"/>
    <mergeCell ref="AO73:AP73"/>
    <mergeCell ref="AO18:AP18"/>
    <mergeCell ref="AM52:AN52"/>
    <mergeCell ref="AG35:AH35"/>
    <mergeCell ref="AI35:AJ35"/>
    <mergeCell ref="AK35:AL35"/>
    <mergeCell ref="AK52:AL52"/>
    <mergeCell ref="B18:B19"/>
    <mergeCell ref="C18:D18"/>
    <mergeCell ref="AA18:AB18"/>
    <mergeCell ref="AM35:AN35"/>
    <mergeCell ref="O35:P35"/>
    <mergeCell ref="Q35:R35"/>
    <mergeCell ref="S35:T35"/>
    <mergeCell ref="W35:X35"/>
    <mergeCell ref="Y35:Z35"/>
    <mergeCell ref="B35:B36"/>
    <mergeCell ref="AC35:AD35"/>
    <mergeCell ref="M18:N18"/>
    <mergeCell ref="O18:P18"/>
    <mergeCell ref="Q18:R18"/>
    <mergeCell ref="S18:T18"/>
    <mergeCell ref="K18:L18"/>
    <mergeCell ref="Y18:Z18"/>
    <mergeCell ref="W18:X18"/>
    <mergeCell ref="U18:V18"/>
    <mergeCell ref="C35:D35"/>
    <mergeCell ref="E35:F35"/>
    <mergeCell ref="G35:H35"/>
    <mergeCell ref="I35:J35"/>
    <mergeCell ref="K35:L35"/>
    <mergeCell ref="M35:N35"/>
    <mergeCell ref="Q73:R73"/>
    <mergeCell ref="B73:B74"/>
    <mergeCell ref="C73:D73"/>
    <mergeCell ref="E73:F73"/>
    <mergeCell ref="G73:H73"/>
    <mergeCell ref="I73:J73"/>
    <mergeCell ref="K73:L73"/>
    <mergeCell ref="Q52:R52"/>
    <mergeCell ref="AA73:AB73"/>
    <mergeCell ref="AC73:AD73"/>
    <mergeCell ref="U73:V73"/>
    <mergeCell ref="AK73:AL73"/>
    <mergeCell ref="AM73:AN73"/>
    <mergeCell ref="AG73:AH73"/>
    <mergeCell ref="B52:B53"/>
    <mergeCell ref="C52:D52"/>
    <mergeCell ref="E52:F52"/>
    <mergeCell ref="G52:H52"/>
    <mergeCell ref="I52:J52"/>
    <mergeCell ref="K52:L52"/>
    <mergeCell ref="M52:N52"/>
  </mergeCells>
  <hyperlinks>
    <hyperlink ref="A2" location="'Title_&amp;_Contents'!A1" display="Contents"/>
    <hyperlink ref="B2" location="Map_of_sheets!A1" display="Map of sheets"/>
  </hyperlinks>
  <pageMargins left="0.75" right="0.75" top="1" bottom="1" header="0.5" footer="0.5"/>
  <pageSetup paperSize="8" scale="74" fitToHeight="6" orientation="portrait" r:id="rId1"/>
  <headerFooter alignWithMargins="0">
    <oddHeader>&amp;C&amp;"arial unicode ms,Bold"&amp;KFF8040PROTECT - POLICY</oddHeader>
    <oddFooter>&amp;C&amp;"arial unicode ms,Bold"&amp;KFF8040PROTECT - POLICY</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AF52"/>
  <sheetViews>
    <sheetView showGridLines="0" zoomScaleNormal="100" workbookViewId="0"/>
  </sheetViews>
  <sheetFormatPr defaultRowHeight="12.75"/>
  <cols>
    <col min="2" max="2" width="35.7109375" customWidth="1"/>
    <col min="3" max="30" width="9.85546875" customWidth="1"/>
  </cols>
  <sheetData>
    <row r="1" spans="1:32" s="65" customFormat="1" ht="15">
      <c r="A1" s="64" t="str">
        <f>ModelBanner</f>
        <v>TSM_201819 Publication</v>
      </c>
    </row>
    <row r="2" spans="1:32" s="65" customFormat="1" ht="15">
      <c r="A2" s="940" t="s">
        <v>13</v>
      </c>
      <c r="B2" s="940" t="s">
        <v>30</v>
      </c>
    </row>
    <row r="3" spans="1:32" s="65" customFormat="1" ht="15">
      <c r="A3" s="66"/>
    </row>
    <row r="4" spans="1:32" s="56" customFormat="1">
      <c r="A4" s="57" t="s">
        <v>26</v>
      </c>
      <c r="B4" s="57"/>
      <c r="C4" s="57"/>
      <c r="D4" s="57"/>
      <c r="E4" s="285"/>
      <c r="F4" s="57"/>
      <c r="G4" s="57"/>
      <c r="H4" s="57"/>
      <c r="I4" s="57"/>
      <c r="J4" s="57"/>
      <c r="K4" s="57"/>
    </row>
    <row r="5" spans="1:32" s="46" customFormat="1">
      <c r="A5" s="59" t="s">
        <v>1749</v>
      </c>
      <c r="B5" s="59"/>
      <c r="C5" s="59"/>
      <c r="D5" s="59"/>
      <c r="E5" s="59"/>
      <c r="F5" s="59"/>
      <c r="G5" s="59"/>
      <c r="H5" s="59"/>
      <c r="I5" s="59"/>
      <c r="J5" s="59"/>
      <c r="K5" s="59"/>
      <c r="L5" s="58"/>
      <c r="M5" s="58"/>
      <c r="N5" s="58"/>
      <c r="O5" s="58"/>
      <c r="P5" s="58"/>
      <c r="Q5" s="58"/>
    </row>
    <row r="6" spans="1:32" s="45" customFormat="1">
      <c r="A6" s="55" t="s">
        <v>1392</v>
      </c>
      <c r="B6" s="60"/>
      <c r="C6" s="60"/>
      <c r="D6" s="60"/>
      <c r="E6" s="285"/>
      <c r="F6" s="60"/>
      <c r="G6" s="60"/>
      <c r="H6" s="60"/>
      <c r="I6" s="60"/>
      <c r="J6" s="60"/>
      <c r="K6" s="60"/>
      <c r="L6" s="44"/>
      <c r="M6" s="44"/>
      <c r="N6" s="44"/>
      <c r="O6" s="44"/>
      <c r="P6" s="44"/>
      <c r="Q6" s="44"/>
    </row>
    <row r="7" spans="1:32" s="45" customFormat="1">
      <c r="A7" s="53" t="s">
        <v>389</v>
      </c>
      <c r="B7" s="326"/>
      <c r="C7" s="60"/>
      <c r="D7" s="60"/>
      <c r="E7" s="285"/>
      <c r="F7" s="60"/>
      <c r="G7" s="60"/>
      <c r="H7" s="60"/>
      <c r="I7" s="60"/>
      <c r="J7" s="60"/>
      <c r="K7" s="60"/>
      <c r="L7" s="44"/>
      <c r="M7" s="44"/>
      <c r="N7" s="44"/>
      <c r="O7" s="44"/>
      <c r="P7" s="44"/>
      <c r="Q7" s="44"/>
    </row>
    <row r="8" spans="1:32" s="45" customFormat="1">
      <c r="A8" s="55" t="s">
        <v>24</v>
      </c>
      <c r="B8" s="60"/>
      <c r="C8" s="60"/>
      <c r="D8" s="60"/>
      <c r="E8" s="285"/>
      <c r="F8" s="60"/>
      <c r="G8" s="60"/>
      <c r="H8" s="60"/>
      <c r="I8" s="60"/>
      <c r="J8" s="60"/>
      <c r="K8" s="60"/>
      <c r="L8" s="44"/>
      <c r="M8" s="44"/>
      <c r="N8" s="44"/>
      <c r="O8" s="44"/>
      <c r="P8" s="44"/>
      <c r="Q8" s="44"/>
    </row>
    <row r="9" spans="1:32" s="45" customFormat="1">
      <c r="A9" s="53" t="s">
        <v>633</v>
      </c>
      <c r="B9" s="60"/>
      <c r="C9" s="60"/>
      <c r="D9" s="60"/>
      <c r="E9" s="285"/>
      <c r="F9" s="60"/>
      <c r="G9" s="60"/>
      <c r="H9" s="60"/>
      <c r="I9" s="60"/>
      <c r="J9" s="60"/>
      <c r="K9" s="60"/>
      <c r="L9" s="44"/>
      <c r="M9" s="44"/>
      <c r="N9" s="44"/>
      <c r="O9" s="44"/>
      <c r="P9" s="44"/>
      <c r="Q9" s="44"/>
    </row>
    <row r="10" spans="1:32" s="49" customFormat="1" ht="13.5" customHeight="1">
      <c r="A10" s="54">
        <f>SUM(A13:A2198)</f>
        <v>0</v>
      </c>
      <c r="B10" s="62"/>
      <c r="C10" s="70"/>
      <c r="D10" s="47"/>
      <c r="E10" s="47"/>
      <c r="F10" s="47"/>
      <c r="G10" s="71"/>
      <c r="H10" s="47"/>
      <c r="I10" s="47"/>
      <c r="J10" s="71"/>
      <c r="K10" s="48"/>
      <c r="L10" s="48"/>
      <c r="M10" s="48"/>
      <c r="N10" s="48"/>
      <c r="O10" s="48"/>
      <c r="P10" s="48"/>
      <c r="Q10" s="48"/>
    </row>
    <row r="11" spans="1:32">
      <c r="R11" s="392"/>
    </row>
    <row r="12" spans="1:32">
      <c r="B12" s="217" t="s">
        <v>1405</v>
      </c>
      <c r="C12" s="37"/>
      <c r="D12" s="37"/>
      <c r="E12" s="37"/>
      <c r="F12" s="37"/>
      <c r="G12" s="37"/>
      <c r="H12" s="37"/>
      <c r="I12" s="37"/>
      <c r="J12" s="37"/>
      <c r="K12" s="37"/>
      <c r="L12" s="37"/>
      <c r="M12" s="391"/>
      <c r="N12" s="391"/>
      <c r="O12" s="391"/>
      <c r="P12" s="391"/>
      <c r="Q12" s="391"/>
      <c r="R12" s="391"/>
      <c r="S12" s="391"/>
      <c r="T12" s="391"/>
      <c r="U12" s="391"/>
      <c r="V12" s="391"/>
      <c r="W12" s="391"/>
      <c r="X12" s="391"/>
      <c r="Y12" s="391"/>
      <c r="Z12" s="37"/>
      <c r="AA12" s="37"/>
      <c r="AB12" s="37"/>
      <c r="AC12" s="37"/>
      <c r="AD12" s="37"/>
      <c r="AE12" s="37"/>
      <c r="AF12" s="37"/>
    </row>
    <row r="13" spans="1:32">
      <c r="B13" s="37"/>
      <c r="C13" s="37"/>
      <c r="D13" s="37"/>
      <c r="E13" s="37"/>
      <c r="F13" s="37"/>
      <c r="G13" s="37"/>
      <c r="H13" s="37"/>
      <c r="I13" s="37"/>
      <c r="J13" s="37"/>
      <c r="K13" s="37"/>
      <c r="L13" s="37"/>
      <c r="M13" s="391"/>
      <c r="N13" s="391"/>
      <c r="O13" s="391"/>
      <c r="P13" s="391"/>
      <c r="Q13" s="391"/>
      <c r="R13" s="391"/>
      <c r="S13" s="391"/>
      <c r="T13" s="391"/>
      <c r="U13" s="391"/>
      <c r="V13" s="391"/>
      <c r="W13" s="391"/>
      <c r="X13" s="391"/>
      <c r="Y13" s="391"/>
      <c r="Z13" s="37"/>
      <c r="AA13" s="37"/>
      <c r="AB13" s="37"/>
      <c r="AC13" s="37"/>
      <c r="AD13" s="37"/>
      <c r="AE13" s="37"/>
      <c r="AF13" s="37"/>
    </row>
    <row r="14" spans="1:32" ht="15.75">
      <c r="B14" s="77" t="s">
        <v>361</v>
      </c>
      <c r="C14" s="464" t="s">
        <v>634</v>
      </c>
      <c r="D14" s="37"/>
      <c r="E14" s="37"/>
      <c r="F14" s="37"/>
      <c r="G14" s="37"/>
      <c r="H14" s="37"/>
      <c r="I14" s="37"/>
      <c r="J14" s="37"/>
      <c r="K14" s="37"/>
      <c r="L14" s="37"/>
      <c r="M14" s="391"/>
      <c r="N14" s="391"/>
      <c r="O14" s="391"/>
      <c r="P14" s="391"/>
      <c r="Q14" s="391"/>
      <c r="R14" s="391"/>
      <c r="S14" s="391"/>
      <c r="T14" s="391"/>
      <c r="U14" s="391"/>
      <c r="V14" s="391"/>
      <c r="W14" s="391"/>
      <c r="X14" s="391"/>
      <c r="Y14" s="391"/>
      <c r="Z14" s="37"/>
      <c r="AA14" s="37"/>
      <c r="AB14" s="37"/>
      <c r="AC14" s="37"/>
      <c r="AD14" s="37"/>
      <c r="AE14" s="37"/>
      <c r="AF14" s="37"/>
    </row>
    <row r="15" spans="1:32">
      <c r="B15" s="37"/>
      <c r="C15" s="37"/>
      <c r="D15" s="37"/>
      <c r="E15" s="37"/>
      <c r="F15" s="37"/>
      <c r="G15" s="37"/>
      <c r="H15" s="37"/>
      <c r="I15" s="37"/>
      <c r="J15" s="37"/>
      <c r="K15" s="37"/>
      <c r="L15" s="37"/>
      <c r="M15" s="37"/>
      <c r="N15" s="37"/>
      <c r="O15" s="37"/>
      <c r="P15" s="37"/>
      <c r="Q15" s="37"/>
      <c r="R15" s="37"/>
      <c r="S15" s="37"/>
      <c r="T15" s="37"/>
      <c r="U15" s="37"/>
      <c r="V15" s="37"/>
      <c r="W15" s="37"/>
      <c r="X15" s="37"/>
      <c r="Y15" s="37"/>
      <c r="Z15" s="37"/>
      <c r="AA15" s="37"/>
      <c r="AB15" s="37"/>
      <c r="AC15" s="37"/>
      <c r="AD15" s="37"/>
      <c r="AE15" s="37"/>
      <c r="AF15" s="37"/>
    </row>
    <row r="16" spans="1:32">
      <c r="B16" s="196" t="s">
        <v>86</v>
      </c>
      <c r="C16" s="197" t="s">
        <v>135</v>
      </c>
      <c r="D16" s="197" t="s">
        <v>136</v>
      </c>
      <c r="E16" s="197" t="s">
        <v>137</v>
      </c>
      <c r="F16" s="197" t="s">
        <v>138</v>
      </c>
      <c r="G16" s="197" t="s">
        <v>139</v>
      </c>
      <c r="H16" s="197" t="s">
        <v>140</v>
      </c>
      <c r="I16" s="197" t="s">
        <v>141</v>
      </c>
      <c r="J16" s="197" t="s">
        <v>142</v>
      </c>
      <c r="K16" s="197" t="s">
        <v>143</v>
      </c>
      <c r="L16" s="197" t="s">
        <v>144</v>
      </c>
      <c r="M16" s="197" t="s">
        <v>145</v>
      </c>
      <c r="N16" s="197" t="s">
        <v>146</v>
      </c>
      <c r="O16" s="197" t="s">
        <v>147</v>
      </c>
      <c r="P16" s="197" t="s">
        <v>148</v>
      </c>
      <c r="Q16" s="197" t="s">
        <v>149</v>
      </c>
      <c r="R16" s="197" t="s">
        <v>150</v>
      </c>
      <c r="S16" s="197" t="s">
        <v>151</v>
      </c>
      <c r="T16" s="197" t="s">
        <v>152</v>
      </c>
      <c r="U16" s="197" t="s">
        <v>153</v>
      </c>
      <c r="V16" s="197" t="s">
        <v>154</v>
      </c>
      <c r="W16" s="197" t="s">
        <v>183</v>
      </c>
      <c r="X16" s="197" t="s">
        <v>184</v>
      </c>
      <c r="Y16" s="197" t="s">
        <v>185</v>
      </c>
      <c r="Z16" s="197" t="s">
        <v>1149</v>
      </c>
      <c r="AA16" s="197" t="s">
        <v>1543</v>
      </c>
      <c r="AB16" s="37"/>
      <c r="AC16" s="37"/>
      <c r="AD16" s="37"/>
      <c r="AE16" s="37"/>
      <c r="AF16" s="37"/>
    </row>
    <row r="17" spans="2:32">
      <c r="B17" s="196" t="str">
        <f>RAW_DATA_INPUTS!B356</f>
        <v>Primary age Pupils (FTE) Central</v>
      </c>
      <c r="C17" s="327">
        <f>RAW_DATA_INPUTS!C356</f>
        <v>4133670.5</v>
      </c>
      <c r="D17" s="327">
        <f>RAW_DATA_INPUTS!D356</f>
        <v>4085271.436729731</v>
      </c>
      <c r="E17" s="327">
        <f>RAW_DATA_INPUTS!E356</f>
        <v>4047195.5</v>
      </c>
      <c r="F17" s="327">
        <f>RAW_DATA_INPUTS!F356</f>
        <v>4028055.5</v>
      </c>
      <c r="G17" s="327">
        <f>RAW_DATA_INPUTS!G356</f>
        <v>4016161.5</v>
      </c>
      <c r="H17" s="327">
        <f>RAW_DATA_INPUTS!H356</f>
        <v>4036364.5</v>
      </c>
      <c r="I17" s="327">
        <f>RAW_DATA_INPUTS!I356</f>
        <v>4074368</v>
      </c>
      <c r="J17" s="327">
        <f>RAW_DATA_INPUTS!J356</f>
        <v>4150277.5</v>
      </c>
      <c r="K17" s="327">
        <f>RAW_DATA_INPUTS!K356</f>
        <v>4247394.5</v>
      </c>
      <c r="L17" s="327">
        <f>RAW_DATA_INPUTS!L356</f>
        <v>4359000</v>
      </c>
      <c r="M17" s="327">
        <f>RAW_DATA_INPUTS!M356</f>
        <v>4463434</v>
      </c>
      <c r="N17" s="327">
        <f>RAW_DATA_INPUTS!N356</f>
        <v>4574041.5</v>
      </c>
      <c r="O17" s="327">
        <f>RAW_DATA_INPUTS!O356</f>
        <v>4659421</v>
      </c>
      <c r="P17" s="327">
        <f>RAW_DATA_INPUTS!P356</f>
        <v>4717394.1869075894</v>
      </c>
      <c r="Q17" s="327">
        <f>RAW_DATA_INPUTS!Q356</f>
        <v>4743197.9400571762</v>
      </c>
      <c r="R17" s="327">
        <f>RAW_DATA_INPUTS!R356</f>
        <v>4743394.7508921698</v>
      </c>
      <c r="S17" s="327">
        <f>RAW_DATA_INPUTS!S356</f>
        <v>4752324.1234839866</v>
      </c>
      <c r="T17" s="327">
        <f>RAW_DATA_INPUTS!T356</f>
        <v>4754699.5674540829</v>
      </c>
      <c r="U17" s="327">
        <f>RAW_DATA_INPUTS!U356</f>
        <v>4748628.8440450421</v>
      </c>
      <c r="V17" s="327">
        <f>RAW_DATA_INPUTS!V356</f>
        <v>4733277.2129678745</v>
      </c>
      <c r="W17" s="327">
        <f>RAW_DATA_INPUTS!W356</f>
        <v>4742429.7587460289</v>
      </c>
      <c r="X17" s="327">
        <f>RAW_DATA_INPUTS!X356</f>
        <v>4769065.3698165566</v>
      </c>
      <c r="Y17" s="327">
        <f>RAW_DATA_INPUTS!Y356</f>
        <v>4797832.532279524</v>
      </c>
      <c r="Z17" s="327">
        <f>RAW_DATA_INPUTS!Z356</f>
        <v>4819809.7676248243</v>
      </c>
      <c r="AA17" s="327">
        <f>RAW_DATA_INPUTS!AA356</f>
        <v>4834650.7574622277</v>
      </c>
      <c r="AB17" s="37"/>
      <c r="AC17" s="37"/>
      <c r="AD17" s="37"/>
      <c r="AE17" s="37"/>
      <c r="AF17" s="37"/>
    </row>
    <row r="18" spans="2:32">
      <c r="B18" s="196" t="str">
        <f>RAW_DATA_INPUTS!B357</f>
        <v>Pupils FTE Years 7-9 Central</v>
      </c>
      <c r="C18" s="327">
        <f>RAW_DATA_INPUTS!C357</f>
        <v>1783139.5</v>
      </c>
      <c r="D18" s="327">
        <f>RAW_DATA_INPUTS!D357</f>
        <v>1758000.0007601124</v>
      </c>
      <c r="E18" s="327">
        <f>RAW_DATA_INPUTS!E357</f>
        <v>1722930</v>
      </c>
      <c r="F18" s="327">
        <f>RAW_DATA_INPUTS!F357</f>
        <v>1701531</v>
      </c>
      <c r="G18" s="327">
        <f>RAW_DATA_INPUTS!G357</f>
        <v>1691158</v>
      </c>
      <c r="H18" s="327">
        <f>RAW_DATA_INPUTS!H357</f>
        <v>1680949</v>
      </c>
      <c r="I18" s="327">
        <f>RAW_DATA_INPUTS!I357</f>
        <v>1672689.5</v>
      </c>
      <c r="J18" s="327">
        <f>RAW_DATA_INPUTS!J357</f>
        <v>1641887</v>
      </c>
      <c r="K18" s="327">
        <f>RAW_DATA_INPUTS!K357</f>
        <v>1612821</v>
      </c>
      <c r="L18" s="327">
        <f>RAW_DATA_INPUTS!L357</f>
        <v>1587472</v>
      </c>
      <c r="M18" s="327">
        <f>RAW_DATA_INPUTS!M357</f>
        <v>1595949</v>
      </c>
      <c r="N18" s="327">
        <f>RAW_DATA_INPUTS!N357</f>
        <v>1630717</v>
      </c>
      <c r="O18" s="327">
        <f>RAW_DATA_INPUTS!O357</f>
        <v>1678899</v>
      </c>
      <c r="P18" s="327">
        <f>RAW_DATA_INPUTS!P357</f>
        <v>1724020.9710333012</v>
      </c>
      <c r="Q18" s="327">
        <f>RAW_DATA_INPUTS!Q357</f>
        <v>1772854.5848039868</v>
      </c>
      <c r="R18" s="327">
        <f>RAW_DATA_INPUTS!R357</f>
        <v>1834934.1224812306</v>
      </c>
      <c r="S18" s="327">
        <f>RAW_DATA_INPUTS!S357</f>
        <v>1879210.7299530376</v>
      </c>
      <c r="T18" s="327">
        <f>RAW_DATA_INPUTS!T357</f>
        <v>1914351.168622531</v>
      </c>
      <c r="U18" s="327">
        <f>RAW_DATA_INPUTS!U357</f>
        <v>1936762.2517991117</v>
      </c>
      <c r="V18" s="327">
        <f>RAW_DATA_INPUTS!V357</f>
        <v>1974817.9779716961</v>
      </c>
      <c r="W18" s="327">
        <f>RAW_DATA_INPUTS!W357</f>
        <v>1978504.8643901525</v>
      </c>
      <c r="X18" s="327">
        <f>RAW_DATA_INPUTS!X357</f>
        <v>1953779.1387891811</v>
      </c>
      <c r="Y18" s="327">
        <f>RAW_DATA_INPUTS!Y357</f>
        <v>1915886.5892006818</v>
      </c>
      <c r="Z18" s="327">
        <f>RAW_DATA_INPUTS!Z357</f>
        <v>1907012.1075926665</v>
      </c>
      <c r="AA18" s="327">
        <f>RAW_DATA_INPUTS!AA357</f>
        <v>1919851.9246029067</v>
      </c>
      <c r="AB18" s="37"/>
      <c r="AC18" s="37"/>
      <c r="AD18" s="37"/>
      <c r="AE18" s="37"/>
      <c r="AF18" s="37"/>
    </row>
    <row r="19" spans="2:32">
      <c r="B19" s="196" t="str">
        <f>RAW_DATA_INPUTS!B358</f>
        <v>Pupils FTE Years 10-11 Central</v>
      </c>
      <c r="C19" s="327">
        <f>RAW_DATA_INPUTS!C358</f>
        <v>1170159</v>
      </c>
      <c r="D19" s="327">
        <f>RAW_DATA_INPUTS!D358</f>
        <v>1185802.5625101563</v>
      </c>
      <c r="E19" s="327">
        <f>RAW_DATA_INPUTS!E358</f>
        <v>1189358</v>
      </c>
      <c r="F19" s="327">
        <f>RAW_DATA_INPUTS!F358</f>
        <v>1166918.5</v>
      </c>
      <c r="G19" s="327">
        <f>RAW_DATA_INPUTS!G358</f>
        <v>1146150</v>
      </c>
      <c r="H19" s="327">
        <f>RAW_DATA_INPUTS!H358</f>
        <v>1133977</v>
      </c>
      <c r="I19" s="327">
        <f>RAW_DATA_INPUTS!I358</f>
        <v>1116342.5</v>
      </c>
      <c r="J19" s="327">
        <f>RAW_DATA_INPUTS!J358</f>
        <v>1120567</v>
      </c>
      <c r="K19" s="327">
        <f>RAW_DATA_INPUTS!K358</f>
        <v>1117099</v>
      </c>
      <c r="L19" s="327">
        <f>RAW_DATA_INPUTS!L358</f>
        <v>1099417.5</v>
      </c>
      <c r="M19" s="327">
        <f>RAW_DATA_INPUTS!M358</f>
        <v>1081078</v>
      </c>
      <c r="N19" s="327">
        <f>RAW_DATA_INPUTS!N358</f>
        <v>1057483</v>
      </c>
      <c r="O19" s="327">
        <f>RAW_DATA_INPUTS!O358</f>
        <v>1041875</v>
      </c>
      <c r="P19" s="327">
        <f>RAW_DATA_INPUTS!P358</f>
        <v>1059242.1765030818</v>
      </c>
      <c r="Q19" s="327">
        <f>RAW_DATA_INPUTS!Q358</f>
        <v>1098492.845827396</v>
      </c>
      <c r="R19" s="327">
        <f>RAW_DATA_INPUTS!R358</f>
        <v>1128522.0334177609</v>
      </c>
      <c r="S19" s="327">
        <f>RAW_DATA_INPUTS!S358</f>
        <v>1154504.7206683625</v>
      </c>
      <c r="T19" s="327">
        <f>RAW_DATA_INPUTS!T358</f>
        <v>1189761.543386043</v>
      </c>
      <c r="U19" s="327">
        <f>RAW_DATA_INPUTS!U358</f>
        <v>1236679.5493941545</v>
      </c>
      <c r="V19" s="327">
        <f>RAW_DATA_INPUTS!V358</f>
        <v>1258969.8278058928</v>
      </c>
      <c r="W19" s="327">
        <f>RAW_DATA_INPUTS!W358</f>
        <v>1268399.1996321685</v>
      </c>
      <c r="X19" s="327">
        <f>RAW_DATA_INPUTS!X358</f>
        <v>1293612.6085987107</v>
      </c>
      <c r="Y19" s="327">
        <f>RAW_DATA_INPUTS!Y358</f>
        <v>1318848.3464785134</v>
      </c>
      <c r="Z19" s="327">
        <f>RAW_DATA_INPUTS!Z358</f>
        <v>1309459.1785579114</v>
      </c>
      <c r="AA19" s="327">
        <f>RAW_DATA_INPUTS!AA358</f>
        <v>1272619.0523094554</v>
      </c>
      <c r="AB19" s="37"/>
      <c r="AC19" s="37"/>
      <c r="AD19" s="37"/>
      <c r="AE19" s="37"/>
      <c r="AF19" s="37"/>
    </row>
    <row r="20" spans="2:32">
      <c r="B20" s="196" t="str">
        <f>RAW_DATA_INPUTS!B359</f>
        <v>Pupils FTE Years 12-13 Central</v>
      </c>
      <c r="C20" s="327">
        <f>RAW_DATA_INPUTS!C359</f>
        <v>355184.5</v>
      </c>
      <c r="D20" s="327">
        <f>RAW_DATA_INPUTS!D359</f>
        <v>361355</v>
      </c>
      <c r="E20" s="327">
        <f>RAW_DATA_INPUTS!E359</f>
        <v>370116</v>
      </c>
      <c r="F20" s="327">
        <f>RAW_DATA_INPUTS!F359</f>
        <v>380453</v>
      </c>
      <c r="G20" s="327">
        <f>RAW_DATA_INPUTS!G359</f>
        <v>394342</v>
      </c>
      <c r="H20" s="327">
        <f>RAW_DATA_INPUTS!H359</f>
        <v>412859.5</v>
      </c>
      <c r="I20" s="327">
        <f>RAW_DATA_INPUTS!I359</f>
        <v>423222</v>
      </c>
      <c r="J20" s="327">
        <f>RAW_DATA_INPUTS!J359</f>
        <v>423232.5</v>
      </c>
      <c r="K20" s="327">
        <f>RAW_DATA_INPUTS!K359</f>
        <v>428860</v>
      </c>
      <c r="L20" s="327">
        <f>RAW_DATA_INPUTS!L359</f>
        <v>439034.5</v>
      </c>
      <c r="M20" s="327">
        <f>RAW_DATA_INPUTS!M359</f>
        <v>442836.5</v>
      </c>
      <c r="N20" s="327">
        <f>RAW_DATA_INPUTS!N359</f>
        <v>433870.5</v>
      </c>
      <c r="O20" s="327">
        <f>RAW_DATA_INPUTS!O359</f>
        <v>424809</v>
      </c>
      <c r="P20" s="328">
        <f t="shared" ref="P20:Z20" si="0">P23*P21</f>
        <v>413917.41249859042</v>
      </c>
      <c r="Q20" s="328">
        <f t="shared" si="0"/>
        <v>402881.22419615899</v>
      </c>
      <c r="R20" s="328">
        <f t="shared" si="0"/>
        <v>396200.18966368359</v>
      </c>
      <c r="S20" s="328">
        <f t="shared" si="0"/>
        <v>397747.45923034835</v>
      </c>
      <c r="T20" s="328">
        <f t="shared" si="0"/>
        <v>404271.55224935681</v>
      </c>
      <c r="U20" s="328">
        <f t="shared" si="0"/>
        <v>416413.63672939758</v>
      </c>
      <c r="V20" s="328">
        <f t="shared" si="0"/>
        <v>428739.35339027015</v>
      </c>
      <c r="W20" s="328">
        <f t="shared" si="0"/>
        <v>441777.22358662885</v>
      </c>
      <c r="X20" s="328">
        <f t="shared" si="0"/>
        <v>451142.12596132985</v>
      </c>
      <c r="Y20" s="328">
        <f t="shared" si="0"/>
        <v>458855.32419299771</v>
      </c>
      <c r="Z20" s="328">
        <f t="shared" si="0"/>
        <v>466275.03084775753</v>
      </c>
      <c r="AA20" s="328">
        <f>AA23*AA21</f>
        <v>472066.1229340306</v>
      </c>
      <c r="AB20" s="37"/>
      <c r="AC20" s="37"/>
      <c r="AD20" s="37"/>
      <c r="AE20" s="37"/>
      <c r="AF20" s="37"/>
    </row>
    <row r="21" spans="2:32">
      <c r="B21" s="196" t="str">
        <f>RAW_DATA_INPUTS!B360</f>
        <v>16-19 population</v>
      </c>
      <c r="C21" s="327">
        <f>RAW_DATA_INPUTS!C360</f>
        <v>2591851.2639240595</v>
      </c>
      <c r="D21" s="327">
        <f>RAW_DATA_INPUTS!D360</f>
        <v>2608521.9199660681</v>
      </c>
      <c r="E21" s="327">
        <f>RAW_DATA_INPUTS!E360</f>
        <v>2644318.2228521295</v>
      </c>
      <c r="F21" s="327">
        <f>RAW_DATA_INPUTS!F360</f>
        <v>2688798.0261939741</v>
      </c>
      <c r="G21" s="327">
        <f>RAW_DATA_INPUTS!G360</f>
        <v>2705903.2746035685</v>
      </c>
      <c r="H21" s="327">
        <f>RAW_DATA_INPUTS!H360</f>
        <v>2717958.6116225235</v>
      </c>
      <c r="I21" s="327">
        <f>RAW_DATA_INPUTS!I360</f>
        <v>2717385.3601785055</v>
      </c>
      <c r="J21" s="327">
        <f>RAW_DATA_INPUTS!J360</f>
        <v>2680455.9336874634</v>
      </c>
      <c r="K21" s="327">
        <f>RAW_DATA_INPUTS!K360</f>
        <v>2641996.0006059059</v>
      </c>
      <c r="L21" s="327">
        <f>RAW_DATA_INPUTS!L360</f>
        <v>2633177.9290057975</v>
      </c>
      <c r="M21" s="327">
        <f>RAW_DATA_INPUTS!M360</f>
        <v>2618430.7324961186</v>
      </c>
      <c r="N21" s="327">
        <f>RAW_DATA_INPUTS!N360</f>
        <v>2604355.7410658421</v>
      </c>
      <c r="O21" s="327">
        <f>RAW_DATA_INPUTS!O360</f>
        <v>2566894.2328166375</v>
      </c>
      <c r="P21" s="327">
        <f>RAW_DATA_INPUTS!P360</f>
        <v>2516192.0716285761</v>
      </c>
      <c r="Q21" s="327">
        <f>RAW_DATA_INPUTS!Q360</f>
        <v>2468379.6286457297</v>
      </c>
      <c r="R21" s="327">
        <f>RAW_DATA_INPUTS!R360</f>
        <v>2444772.4252375104</v>
      </c>
      <c r="S21" s="327">
        <f>RAW_DATA_INPUTS!S360</f>
        <v>2454319.9269037819</v>
      </c>
      <c r="T21" s="327">
        <f>RAW_DATA_INPUTS!T360</f>
        <v>2494577.1582950531</v>
      </c>
      <c r="U21" s="327">
        <f>RAW_DATA_INPUTS!U360</f>
        <v>2569500.4776072069</v>
      </c>
      <c r="V21" s="327">
        <f>RAW_DATA_INPUTS!V360</f>
        <v>2645556.908169168</v>
      </c>
      <c r="W21" s="327">
        <f>RAW_DATA_INPUTS!W360</f>
        <v>2726007.7165520228</v>
      </c>
      <c r="X21" s="327">
        <f>RAW_DATA_INPUTS!X360</f>
        <v>2783794.2994159656</v>
      </c>
      <c r="Y21" s="327">
        <f>RAW_DATA_INPUTS!Y360</f>
        <v>2831388.9620111026</v>
      </c>
      <c r="Z21" s="327">
        <f>RAW_DATA_INPUTS!Z360</f>
        <v>2877172.6206416194</v>
      </c>
      <c r="AA21" s="327">
        <f>RAW_DATA_INPUTS!AA360</f>
        <v>2912906.8343393705</v>
      </c>
      <c r="AB21" s="37"/>
      <c r="AC21" s="37"/>
      <c r="AD21" s="37"/>
      <c r="AE21" s="37"/>
      <c r="AF21" s="37"/>
    </row>
    <row r="22" spans="2:32">
      <c r="B22" s="196" t="s">
        <v>1459</v>
      </c>
      <c r="C22" s="329">
        <f t="shared" ref="C22:Z22" si="1">SUM(C18:C20)</f>
        <v>3308483</v>
      </c>
      <c r="D22" s="329">
        <f t="shared" si="1"/>
        <v>3305157.563270269</v>
      </c>
      <c r="E22" s="329">
        <f t="shared" si="1"/>
        <v>3282404</v>
      </c>
      <c r="F22" s="329">
        <f t="shared" si="1"/>
        <v>3248902.5</v>
      </c>
      <c r="G22" s="329">
        <f t="shared" si="1"/>
        <v>3231650</v>
      </c>
      <c r="H22" s="329">
        <f t="shared" si="1"/>
        <v>3227785.5</v>
      </c>
      <c r="I22" s="329">
        <f t="shared" si="1"/>
        <v>3212254</v>
      </c>
      <c r="J22" s="329">
        <f t="shared" si="1"/>
        <v>3185686.5</v>
      </c>
      <c r="K22" s="329">
        <f t="shared" si="1"/>
        <v>3158780</v>
      </c>
      <c r="L22" s="329">
        <f t="shared" si="1"/>
        <v>3125924</v>
      </c>
      <c r="M22" s="329">
        <f t="shared" si="1"/>
        <v>3119863.5</v>
      </c>
      <c r="N22" s="329">
        <f t="shared" si="1"/>
        <v>3122070.5</v>
      </c>
      <c r="O22" s="329">
        <f t="shared" si="1"/>
        <v>3145583</v>
      </c>
      <c r="P22" s="329">
        <f t="shared" si="1"/>
        <v>3197180.5600349735</v>
      </c>
      <c r="Q22" s="329">
        <f t="shared" si="1"/>
        <v>3274228.6548275417</v>
      </c>
      <c r="R22" s="329">
        <f t="shared" si="1"/>
        <v>3359656.345562675</v>
      </c>
      <c r="S22" s="329">
        <f t="shared" si="1"/>
        <v>3431462.9098517485</v>
      </c>
      <c r="T22" s="329">
        <f t="shared" si="1"/>
        <v>3508384.2642579307</v>
      </c>
      <c r="U22" s="329">
        <f t="shared" si="1"/>
        <v>3589855.437922664</v>
      </c>
      <c r="V22" s="329">
        <f t="shared" si="1"/>
        <v>3662527.1591678588</v>
      </c>
      <c r="W22" s="329">
        <f t="shared" si="1"/>
        <v>3688681.2876089499</v>
      </c>
      <c r="X22" s="329">
        <f t="shared" si="1"/>
        <v>3698533.8733492214</v>
      </c>
      <c r="Y22" s="329">
        <f t="shared" si="1"/>
        <v>3693590.259872193</v>
      </c>
      <c r="Z22" s="329">
        <f t="shared" si="1"/>
        <v>3682746.3169983355</v>
      </c>
      <c r="AA22" s="329">
        <f>SUM(AA18:AA20)</f>
        <v>3664537.0998463929</v>
      </c>
      <c r="AB22" s="37"/>
      <c r="AC22" s="37"/>
      <c r="AD22" s="37"/>
      <c r="AE22" s="37"/>
      <c r="AF22" s="37"/>
    </row>
    <row r="23" spans="2:32" s="2" customFormat="1">
      <c r="B23" s="540"/>
      <c r="D23" s="465" t="s">
        <v>468</v>
      </c>
      <c r="E23" s="459">
        <f t="shared" ref="E23:O23" si="2">E20/E21</f>
        <v>0.13996651265398663</v>
      </c>
      <c r="F23" s="459">
        <f t="shared" si="2"/>
        <v>0.14149556652960499</v>
      </c>
      <c r="G23" s="459">
        <f t="shared" si="2"/>
        <v>0.14573396015338852</v>
      </c>
      <c r="H23" s="459">
        <f t="shared" si="2"/>
        <v>0.15190058385529931</v>
      </c>
      <c r="I23" s="459">
        <f t="shared" si="2"/>
        <v>0.15574603668733922</v>
      </c>
      <c r="J23" s="459">
        <f t="shared" si="2"/>
        <v>0.15789571269607305</v>
      </c>
      <c r="K23" s="459">
        <f t="shared" si="2"/>
        <v>0.16232424269440482</v>
      </c>
      <c r="L23" s="459">
        <f t="shared" si="2"/>
        <v>0.1667318015861409</v>
      </c>
      <c r="M23" s="459">
        <f t="shared" si="2"/>
        <v>0.16912286221826051</v>
      </c>
      <c r="N23" s="459">
        <f t="shared" si="2"/>
        <v>0.16659417650156999</v>
      </c>
      <c r="O23" s="459">
        <f t="shared" si="2"/>
        <v>0.16549532683076687</v>
      </c>
      <c r="P23" s="460">
        <f>O23+((((O23-N23)*3)+((N23-M23)*2)+(M23-L23))/6)</f>
        <v>0.16450151686182174</v>
      </c>
      <c r="Q23" s="460">
        <f>P23+((((P23-O23)*3)+((O23-N23)*2)+(N23-M23))/6)</f>
        <v>0.16321688103429971</v>
      </c>
      <c r="R23" s="460">
        <f>Q23+((((Q23-P23)*3)+((P23-O23)*2)+(O23-N23))/6)</f>
        <v>0.16206015151908981</v>
      </c>
      <c r="S23" s="461">
        <f t="shared" ref="S23:AA23" si="3">R23</f>
        <v>0.16206015151908981</v>
      </c>
      <c r="T23" s="461">
        <f t="shared" si="3"/>
        <v>0.16206015151908981</v>
      </c>
      <c r="U23" s="461">
        <f t="shared" si="3"/>
        <v>0.16206015151908981</v>
      </c>
      <c r="V23" s="461">
        <f t="shared" si="3"/>
        <v>0.16206015151908981</v>
      </c>
      <c r="W23" s="461">
        <f t="shared" si="3"/>
        <v>0.16206015151908981</v>
      </c>
      <c r="X23" s="461">
        <f t="shared" si="3"/>
        <v>0.16206015151908981</v>
      </c>
      <c r="Y23" s="461">
        <f t="shared" si="3"/>
        <v>0.16206015151908981</v>
      </c>
      <c r="Z23" s="461">
        <f t="shared" si="3"/>
        <v>0.16206015151908981</v>
      </c>
      <c r="AA23" s="461">
        <f t="shared" si="3"/>
        <v>0.16206015151908981</v>
      </c>
      <c r="AB23" s="194"/>
      <c r="AC23" s="194"/>
      <c r="AD23" s="194"/>
      <c r="AE23" s="194"/>
      <c r="AF23" s="194"/>
    </row>
    <row r="24" spans="2:32" s="2" customFormat="1">
      <c r="B24" s="540"/>
      <c r="C24" s="192"/>
      <c r="D24" s="192"/>
      <c r="E24" s="390"/>
      <c r="F24" s="192"/>
      <c r="G24" s="192"/>
      <c r="H24" s="192"/>
      <c r="I24" s="192"/>
      <c r="J24" s="192"/>
      <c r="K24" s="192"/>
      <c r="L24" s="192"/>
      <c r="M24" s="192"/>
      <c r="N24" s="192"/>
      <c r="O24" s="192"/>
      <c r="P24" s="192"/>
      <c r="Q24" s="192"/>
      <c r="R24" s="192"/>
      <c r="S24" s="192"/>
      <c r="T24" s="192"/>
      <c r="U24" s="192"/>
      <c r="V24" s="193"/>
      <c r="W24" s="194"/>
      <c r="X24" s="194"/>
      <c r="Y24" s="194"/>
      <c r="Z24" s="194"/>
      <c r="AA24" s="194"/>
      <c r="AB24" s="194"/>
      <c r="AC24" s="194"/>
      <c r="AD24" s="194"/>
      <c r="AE24" s="194"/>
      <c r="AF24" s="194"/>
    </row>
    <row r="25" spans="2:32" ht="15.75">
      <c r="B25" s="195" t="s">
        <v>191</v>
      </c>
      <c r="C25" s="37"/>
      <c r="D25" s="37"/>
      <c r="E25" s="391"/>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row>
    <row r="26" spans="2:32">
      <c r="B26" s="541"/>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row>
    <row r="27" spans="2:32">
      <c r="B27" s="196" t="str">
        <f>RAW_DATA_INPUTS!B364</f>
        <v>Academic year</v>
      </c>
      <c r="C27" s="196" t="str">
        <f t="shared" ref="C27:AA27" si="4">C16</f>
        <v>2004/05</v>
      </c>
      <c r="D27" s="196" t="str">
        <f t="shared" si="4"/>
        <v>2005/06</v>
      </c>
      <c r="E27" s="196" t="str">
        <f t="shared" si="4"/>
        <v>2006/07</v>
      </c>
      <c r="F27" s="196" t="str">
        <f t="shared" si="4"/>
        <v>2007/08</v>
      </c>
      <c r="G27" s="196" t="str">
        <f t="shared" si="4"/>
        <v>2008/09</v>
      </c>
      <c r="H27" s="196" t="str">
        <f t="shared" si="4"/>
        <v>2009/10</v>
      </c>
      <c r="I27" s="196" t="str">
        <f t="shared" si="4"/>
        <v>2010/11</v>
      </c>
      <c r="J27" s="196" t="str">
        <f t="shared" si="4"/>
        <v>2011/12</v>
      </c>
      <c r="K27" s="196" t="str">
        <f t="shared" si="4"/>
        <v>2012/13</v>
      </c>
      <c r="L27" s="196" t="str">
        <f t="shared" si="4"/>
        <v>2013/14</v>
      </c>
      <c r="M27" s="196" t="str">
        <f t="shared" si="4"/>
        <v>2014/15</v>
      </c>
      <c r="N27" s="196" t="str">
        <f t="shared" si="4"/>
        <v>2015/16</v>
      </c>
      <c r="O27" s="196" t="str">
        <f t="shared" si="4"/>
        <v>2016/17</v>
      </c>
      <c r="P27" s="196" t="str">
        <f t="shared" si="4"/>
        <v>2017/18</v>
      </c>
      <c r="Q27" s="196" t="str">
        <f t="shared" si="4"/>
        <v>2018/19</v>
      </c>
      <c r="R27" s="196" t="str">
        <f t="shared" si="4"/>
        <v>2019/20</v>
      </c>
      <c r="S27" s="196" t="str">
        <f t="shared" si="4"/>
        <v>2020/21</v>
      </c>
      <c r="T27" s="196" t="str">
        <f t="shared" si="4"/>
        <v>2021/22</v>
      </c>
      <c r="U27" s="196" t="str">
        <f t="shared" si="4"/>
        <v>2022/23</v>
      </c>
      <c r="V27" s="196" t="str">
        <f t="shared" si="4"/>
        <v>2023/24</v>
      </c>
      <c r="W27" s="196" t="str">
        <f t="shared" si="4"/>
        <v>2024/25</v>
      </c>
      <c r="X27" s="196" t="str">
        <f t="shared" si="4"/>
        <v>2025/26</v>
      </c>
      <c r="Y27" s="196" t="str">
        <f t="shared" si="4"/>
        <v>2026/27</v>
      </c>
      <c r="Z27" s="196" t="str">
        <f t="shared" si="4"/>
        <v>2027/28</v>
      </c>
      <c r="AA27" s="196" t="str">
        <f t="shared" si="4"/>
        <v>2028/29</v>
      </c>
      <c r="AB27" s="37"/>
      <c r="AC27" s="37"/>
      <c r="AD27" s="37"/>
      <c r="AE27" s="37"/>
      <c r="AF27" s="37"/>
    </row>
    <row r="28" spans="2:32">
      <c r="B28" s="196" t="str">
        <f>RAW_DATA_INPUTS!B365</f>
        <v>Primary age Pupils (FTE) High</v>
      </c>
      <c r="C28" s="327">
        <f>RAW_DATA_INPUTS!C365</f>
        <v>4133670.5</v>
      </c>
      <c r="D28" s="327">
        <f>RAW_DATA_INPUTS!D365</f>
        <v>4085271.436729731</v>
      </c>
      <c r="E28" s="327">
        <f>RAW_DATA_INPUTS!E365</f>
        <v>4047195.5</v>
      </c>
      <c r="F28" s="327">
        <f>RAW_DATA_INPUTS!F365</f>
        <v>4028055.5</v>
      </c>
      <c r="G28" s="327">
        <f>RAW_DATA_INPUTS!G365</f>
        <v>4016161.5</v>
      </c>
      <c r="H28" s="327">
        <f>RAW_DATA_INPUTS!H365</f>
        <v>4036364.5</v>
      </c>
      <c r="I28" s="327">
        <f>RAW_DATA_INPUTS!I365</f>
        <v>4074368</v>
      </c>
      <c r="J28" s="327">
        <f>RAW_DATA_INPUTS!J365</f>
        <v>4150277.5</v>
      </c>
      <c r="K28" s="327">
        <f>RAW_DATA_INPUTS!K365</f>
        <v>4247394.5</v>
      </c>
      <c r="L28" s="327">
        <f>RAW_DATA_INPUTS!L365</f>
        <v>4359000</v>
      </c>
      <c r="M28" s="327">
        <f>RAW_DATA_INPUTS!M365</f>
        <v>4463434</v>
      </c>
      <c r="N28" s="327">
        <f>RAW_DATA_INPUTS!N365</f>
        <v>4574041.5</v>
      </c>
      <c r="O28" s="327">
        <f>RAW_DATA_INPUTS!O365</f>
        <v>4659421</v>
      </c>
      <c r="P28" s="327">
        <f>RAW_DATA_INPUTS!P365</f>
        <v>4719330.2069105301</v>
      </c>
      <c r="Q28" s="327">
        <f>RAW_DATA_INPUTS!Q365</f>
        <v>4749063.7710393434</v>
      </c>
      <c r="R28" s="327">
        <f>RAW_DATA_INPUTS!R365</f>
        <v>4758286.9584849039</v>
      </c>
      <c r="S28" s="327">
        <f>RAW_DATA_INPUTS!S365</f>
        <v>4787262.7565154526</v>
      </c>
      <c r="T28" s="327">
        <f>RAW_DATA_INPUTS!T365</f>
        <v>4814320.3376704473</v>
      </c>
      <c r="U28" s="327">
        <f>RAW_DATA_INPUTS!U365</f>
        <v>4838012.9005403118</v>
      </c>
      <c r="V28" s="327">
        <f>RAW_DATA_INPUTS!V365</f>
        <v>4857502.889516837</v>
      </c>
      <c r="W28" s="327">
        <f>RAW_DATA_INPUTS!W365</f>
        <v>4907761.5450602453</v>
      </c>
      <c r="X28" s="327">
        <f>RAW_DATA_INPUTS!X365</f>
        <v>4982274.3276422173</v>
      </c>
      <c r="Y28" s="327">
        <f>RAW_DATA_INPUTS!Y365</f>
        <v>5062860.2674279809</v>
      </c>
      <c r="Z28" s="327">
        <f>RAW_DATA_INPUTS!Z365</f>
        <v>5130284.1091827368</v>
      </c>
      <c r="AA28" s="327">
        <f>RAW_DATA_INPUTS!AA365</f>
        <v>5193851.3654598352</v>
      </c>
      <c r="AB28" s="37"/>
      <c r="AC28" s="37"/>
      <c r="AD28" s="37"/>
      <c r="AE28" s="37"/>
      <c r="AF28" s="37"/>
    </row>
    <row r="29" spans="2:32">
      <c r="B29" s="196" t="str">
        <f>RAW_DATA_INPUTS!B366</f>
        <v>Pupils FTE Years 7-9 High</v>
      </c>
      <c r="C29" s="327">
        <f>RAW_DATA_INPUTS!C366</f>
        <v>1783139.5</v>
      </c>
      <c r="D29" s="327">
        <f>RAW_DATA_INPUTS!D366</f>
        <v>1758000.0007601124</v>
      </c>
      <c r="E29" s="327">
        <f>RAW_DATA_INPUTS!E366</f>
        <v>1722930</v>
      </c>
      <c r="F29" s="327">
        <f>RAW_DATA_INPUTS!F366</f>
        <v>1701531</v>
      </c>
      <c r="G29" s="327">
        <f>RAW_DATA_INPUTS!G366</f>
        <v>1691158</v>
      </c>
      <c r="H29" s="327">
        <f>RAW_DATA_INPUTS!H366</f>
        <v>1680949</v>
      </c>
      <c r="I29" s="327">
        <f>RAW_DATA_INPUTS!I366</f>
        <v>1672689.5</v>
      </c>
      <c r="J29" s="327">
        <f>RAW_DATA_INPUTS!J366</f>
        <v>1641887</v>
      </c>
      <c r="K29" s="327">
        <f>RAW_DATA_INPUTS!K366</f>
        <v>1612821</v>
      </c>
      <c r="L29" s="327">
        <f>RAW_DATA_INPUTS!L366</f>
        <v>1587472</v>
      </c>
      <c r="M29" s="327">
        <f>RAW_DATA_INPUTS!M366</f>
        <v>1595949</v>
      </c>
      <c r="N29" s="327">
        <f>RAW_DATA_INPUTS!N366</f>
        <v>1630717</v>
      </c>
      <c r="O29" s="327">
        <f>RAW_DATA_INPUTS!O366</f>
        <v>1678899</v>
      </c>
      <c r="P29" s="327">
        <f>RAW_DATA_INPUTS!P366</f>
        <v>1724207.7875767583</v>
      </c>
      <c r="Q29" s="327">
        <f>RAW_DATA_INPUTS!Q366</f>
        <v>1773210.9395461665</v>
      </c>
      <c r="R29" s="327">
        <f>RAW_DATA_INPUTS!R366</f>
        <v>1835463.9408992713</v>
      </c>
      <c r="S29" s="327">
        <f>RAW_DATA_INPUTS!S366</f>
        <v>1879958.5975461819</v>
      </c>
      <c r="T29" s="327">
        <f>RAW_DATA_INPUTS!T366</f>
        <v>1915323.879548701</v>
      </c>
      <c r="U29" s="327">
        <f>RAW_DATA_INPUTS!U366</f>
        <v>1937949.6924893635</v>
      </c>
      <c r="V29" s="327">
        <f>RAW_DATA_INPUTS!V366</f>
        <v>1976932.820831679</v>
      </c>
      <c r="W29" s="327">
        <f>RAW_DATA_INPUTS!W366</f>
        <v>1981952.0645195374</v>
      </c>
      <c r="X29" s="327">
        <f>RAW_DATA_INPUTS!X366</f>
        <v>1959018.2905100833</v>
      </c>
      <c r="Y29" s="327">
        <f>RAW_DATA_INPUTS!Y366</f>
        <v>1925419.6121202079</v>
      </c>
      <c r="Z29" s="327">
        <f>RAW_DATA_INPUTS!Z366</f>
        <v>1934125.3763884774</v>
      </c>
      <c r="AA29" s="327">
        <f>RAW_DATA_INPUTS!AA366</f>
        <v>1968151.4338998005</v>
      </c>
      <c r="AB29" s="37"/>
      <c r="AC29" s="37"/>
      <c r="AD29" s="37"/>
      <c r="AE29" s="37"/>
      <c r="AF29" s="37"/>
    </row>
    <row r="30" spans="2:32">
      <c r="B30" s="196" t="str">
        <f>RAW_DATA_INPUTS!B367</f>
        <v>Pupils FTE Years 10-11 High</v>
      </c>
      <c r="C30" s="327">
        <f>RAW_DATA_INPUTS!C367</f>
        <v>1170159</v>
      </c>
      <c r="D30" s="327">
        <f>RAW_DATA_INPUTS!D367</f>
        <v>1185802.5625101563</v>
      </c>
      <c r="E30" s="327">
        <f>RAW_DATA_INPUTS!E367</f>
        <v>1189358</v>
      </c>
      <c r="F30" s="327">
        <f>RAW_DATA_INPUTS!F367</f>
        <v>1166918.5</v>
      </c>
      <c r="G30" s="327">
        <f>RAW_DATA_INPUTS!G367</f>
        <v>1146150</v>
      </c>
      <c r="H30" s="327">
        <f>RAW_DATA_INPUTS!H367</f>
        <v>1133977</v>
      </c>
      <c r="I30" s="327">
        <f>RAW_DATA_INPUTS!I367</f>
        <v>1116342.5</v>
      </c>
      <c r="J30" s="327">
        <f>RAW_DATA_INPUTS!J367</f>
        <v>1120567</v>
      </c>
      <c r="K30" s="327">
        <f>RAW_DATA_INPUTS!K367</f>
        <v>1117099</v>
      </c>
      <c r="L30" s="327">
        <f>RAW_DATA_INPUTS!L367</f>
        <v>1099417.5</v>
      </c>
      <c r="M30" s="327">
        <f>RAW_DATA_INPUTS!M367</f>
        <v>1081078</v>
      </c>
      <c r="N30" s="327">
        <f>RAW_DATA_INPUTS!N367</f>
        <v>1057483</v>
      </c>
      <c r="O30" s="327">
        <f>RAW_DATA_INPUTS!O367</f>
        <v>1041875</v>
      </c>
      <c r="P30" s="327">
        <f>RAW_DATA_INPUTS!P367</f>
        <v>1059434.991245334</v>
      </c>
      <c r="Q30" s="327">
        <f>RAW_DATA_INPUTS!Q367</f>
        <v>1098823.2633973816</v>
      </c>
      <c r="R30" s="327">
        <f>RAW_DATA_INPUTS!R367</f>
        <v>1128954.0353809576</v>
      </c>
      <c r="S30" s="327">
        <f>RAW_DATA_INPUTS!S367</f>
        <v>1155001.6879852104</v>
      </c>
      <c r="T30" s="327">
        <f>RAW_DATA_INPUTS!T367</f>
        <v>1190324.1332968618</v>
      </c>
      <c r="U30" s="327">
        <f>RAW_DATA_INPUTS!U367</f>
        <v>1237354.4229246336</v>
      </c>
      <c r="V30" s="327">
        <f>RAW_DATA_INPUTS!V367</f>
        <v>1259786.2065370947</v>
      </c>
      <c r="W30" s="327">
        <f>RAW_DATA_INPUTS!W367</f>
        <v>1269363.1834194576</v>
      </c>
      <c r="X30" s="327">
        <f>RAW_DATA_INPUTS!X367</f>
        <v>1294673.2824939464</v>
      </c>
      <c r="Y30" s="327">
        <f>RAW_DATA_INPUTS!Y367</f>
        <v>1320743.9612932696</v>
      </c>
      <c r="Z30" s="327">
        <f>RAW_DATA_INPUTS!Z367</f>
        <v>1312640.2804217655</v>
      </c>
      <c r="AA30" s="327">
        <f>RAW_DATA_INPUTS!AA367</f>
        <v>1276804.2128821535</v>
      </c>
      <c r="AB30" s="37"/>
      <c r="AC30" s="37"/>
      <c r="AD30" s="37"/>
      <c r="AE30" s="37"/>
      <c r="AF30" s="37"/>
    </row>
    <row r="31" spans="2:32">
      <c r="B31" s="196" t="str">
        <f>RAW_DATA_INPUTS!B368</f>
        <v>Pupils FTE Years 12-13 High</v>
      </c>
      <c r="C31" s="327">
        <f>RAW_DATA_INPUTS!C368</f>
        <v>355184.5</v>
      </c>
      <c r="D31" s="327">
        <f>RAW_DATA_INPUTS!D368</f>
        <v>361355</v>
      </c>
      <c r="E31" s="327">
        <f>RAW_DATA_INPUTS!E368</f>
        <v>370116</v>
      </c>
      <c r="F31" s="327">
        <f>RAW_DATA_INPUTS!F368</f>
        <v>380453</v>
      </c>
      <c r="G31" s="327">
        <f>RAW_DATA_INPUTS!G368</f>
        <v>394342</v>
      </c>
      <c r="H31" s="327">
        <f>RAW_DATA_INPUTS!H368</f>
        <v>412859.5</v>
      </c>
      <c r="I31" s="327">
        <f>RAW_DATA_INPUTS!I368</f>
        <v>423222</v>
      </c>
      <c r="J31" s="327">
        <f>RAW_DATA_INPUTS!J368</f>
        <v>423232.5</v>
      </c>
      <c r="K31" s="327">
        <f>RAW_DATA_INPUTS!K368</f>
        <v>428860</v>
      </c>
      <c r="L31" s="327">
        <f>RAW_DATA_INPUTS!L368</f>
        <v>439034.5</v>
      </c>
      <c r="M31" s="327">
        <f>RAW_DATA_INPUTS!M368</f>
        <v>442836.5</v>
      </c>
      <c r="N31" s="327">
        <f>RAW_DATA_INPUTS!N368</f>
        <v>433870.5</v>
      </c>
      <c r="O31" s="327">
        <f>RAW_DATA_INPUTS!O368</f>
        <v>424809</v>
      </c>
      <c r="P31" s="328">
        <f t="shared" ref="P31:Z31" si="5">P34*P32</f>
        <v>415221.45467684342</v>
      </c>
      <c r="Q31" s="328">
        <f t="shared" si="5"/>
        <v>404381.21002994251</v>
      </c>
      <c r="R31" s="328">
        <f t="shared" si="5"/>
        <v>397857.8055972851</v>
      </c>
      <c r="S31" s="328">
        <f t="shared" si="5"/>
        <v>399554.1859642443</v>
      </c>
      <c r="T31" s="328">
        <f t="shared" si="5"/>
        <v>406225.46654276724</v>
      </c>
      <c r="U31" s="328">
        <f t="shared" si="5"/>
        <v>418521.62401892734</v>
      </c>
      <c r="V31" s="328">
        <f t="shared" si="5"/>
        <v>431007.45271220792</v>
      </c>
      <c r="W31" s="328">
        <f t="shared" si="5"/>
        <v>444219.33163429314</v>
      </c>
      <c r="X31" s="328">
        <f t="shared" si="5"/>
        <v>453767.80359584739</v>
      </c>
      <c r="Y31" s="328">
        <f t="shared" si="5"/>
        <v>461686.82845112163</v>
      </c>
      <c r="Z31" s="328">
        <f t="shared" si="5"/>
        <v>469327.61975766718</v>
      </c>
      <c r="AA31" s="328">
        <f>AA34*AA32</f>
        <v>475360.0252080303</v>
      </c>
      <c r="AB31" s="37"/>
      <c r="AC31" s="37"/>
      <c r="AD31" s="37"/>
      <c r="AE31" s="37"/>
      <c r="AF31" s="37"/>
    </row>
    <row r="32" spans="2:32">
      <c r="B32" s="196" t="str">
        <f>RAW_DATA_INPUTS!B369</f>
        <v>16-19 population</v>
      </c>
      <c r="C32" s="327">
        <f>RAW_DATA_INPUTS!C369</f>
        <v>2591851.2639240595</v>
      </c>
      <c r="D32" s="327">
        <f>RAW_DATA_INPUTS!D369</f>
        <v>2608521.9199660681</v>
      </c>
      <c r="E32" s="327">
        <f>RAW_DATA_INPUTS!E369</f>
        <v>2644318.2228521295</v>
      </c>
      <c r="F32" s="327">
        <f>RAW_DATA_INPUTS!F369</f>
        <v>2688798.0261939741</v>
      </c>
      <c r="G32" s="327">
        <f>RAW_DATA_INPUTS!G369</f>
        <v>2705903.2746035685</v>
      </c>
      <c r="H32" s="327">
        <f>RAW_DATA_INPUTS!H369</f>
        <v>2717958.6116225235</v>
      </c>
      <c r="I32" s="327">
        <f>RAW_DATA_INPUTS!I369</f>
        <v>2717385.3601785055</v>
      </c>
      <c r="J32" s="327">
        <f>RAW_DATA_INPUTS!J369</f>
        <v>2680455.9336874634</v>
      </c>
      <c r="K32" s="327">
        <f>RAW_DATA_INPUTS!K369</f>
        <v>2641996.0006059059</v>
      </c>
      <c r="L32" s="327">
        <f>RAW_DATA_INPUTS!L369</f>
        <v>2633177.9290057975</v>
      </c>
      <c r="M32" s="327">
        <f>RAW_DATA_INPUTS!M369</f>
        <v>2618430.7324961186</v>
      </c>
      <c r="N32" s="327">
        <f>RAW_DATA_INPUTS!N369</f>
        <v>2607352.9276557756</v>
      </c>
      <c r="O32" s="327">
        <f>RAW_DATA_INPUTS!O369</f>
        <v>2573127.2060470534</v>
      </c>
      <c r="P32" s="327">
        <f>RAW_DATA_INPUTS!P369</f>
        <v>2524119.3066056762</v>
      </c>
      <c r="Q32" s="327">
        <f>RAW_DATA_INPUTS!Q369</f>
        <v>2477569.7677065805</v>
      </c>
      <c r="R32" s="327">
        <f>RAW_DATA_INPUTS!R369</f>
        <v>2455000.8244958329</v>
      </c>
      <c r="S32" s="327">
        <f>RAW_DATA_INPUTS!S369</f>
        <v>2465468.4215643164</v>
      </c>
      <c r="T32" s="327">
        <f>RAW_DATA_INPUTS!T369</f>
        <v>2506633.8809075844</v>
      </c>
      <c r="U32" s="327">
        <f>RAW_DATA_INPUTS!U369</f>
        <v>2582507.9150911923</v>
      </c>
      <c r="V32" s="327">
        <f>RAW_DATA_INPUTS!V369</f>
        <v>2659552.3246899936</v>
      </c>
      <c r="W32" s="327">
        <f>RAW_DATA_INPUTS!W369</f>
        <v>2741076.8623276679</v>
      </c>
      <c r="X32" s="327">
        <f>RAW_DATA_INPUTS!X369</f>
        <v>2799996.1702022473</v>
      </c>
      <c r="Y32" s="327">
        <f>RAW_DATA_INPUTS!Y369</f>
        <v>2848860.8959293575</v>
      </c>
      <c r="Z32" s="327">
        <f>RAW_DATA_INPUTS!Z369</f>
        <v>2896008.7680924013</v>
      </c>
      <c r="AA32" s="327">
        <f>RAW_DATA_INPUTS!AA369</f>
        <v>2933232.0175699419</v>
      </c>
      <c r="AB32" s="37"/>
      <c r="AC32" s="37"/>
      <c r="AD32" s="37"/>
      <c r="AE32" s="37"/>
      <c r="AF32" s="37"/>
    </row>
    <row r="33" spans="2:32">
      <c r="B33" s="196" t="str">
        <f>B22</f>
        <v>All secondary pupils</v>
      </c>
      <c r="C33" s="330">
        <f t="shared" ref="C33:Z33" si="6">SUM(C29:C31)</f>
        <v>3308483</v>
      </c>
      <c r="D33" s="330">
        <f t="shared" si="6"/>
        <v>3305157.563270269</v>
      </c>
      <c r="E33" s="330">
        <f t="shared" si="6"/>
        <v>3282404</v>
      </c>
      <c r="F33" s="330">
        <f t="shared" si="6"/>
        <v>3248902.5</v>
      </c>
      <c r="G33" s="330">
        <f t="shared" si="6"/>
        <v>3231650</v>
      </c>
      <c r="H33" s="330">
        <f t="shared" si="6"/>
        <v>3227785.5</v>
      </c>
      <c r="I33" s="330">
        <f t="shared" si="6"/>
        <v>3212254</v>
      </c>
      <c r="J33" s="330">
        <f t="shared" si="6"/>
        <v>3185686.5</v>
      </c>
      <c r="K33" s="330">
        <f t="shared" si="6"/>
        <v>3158780</v>
      </c>
      <c r="L33" s="330">
        <f t="shared" si="6"/>
        <v>3125924</v>
      </c>
      <c r="M33" s="330">
        <f t="shared" si="6"/>
        <v>3119863.5</v>
      </c>
      <c r="N33" s="330">
        <f t="shared" si="6"/>
        <v>3122070.5</v>
      </c>
      <c r="O33" s="330">
        <f t="shared" si="6"/>
        <v>3145583</v>
      </c>
      <c r="P33" s="330">
        <f t="shared" si="6"/>
        <v>3198864.2334989356</v>
      </c>
      <c r="Q33" s="330">
        <f t="shared" si="6"/>
        <v>3276415.4129734905</v>
      </c>
      <c r="R33" s="330">
        <f t="shared" si="6"/>
        <v>3362275.7818775144</v>
      </c>
      <c r="S33" s="330">
        <f t="shared" si="6"/>
        <v>3434514.4714956367</v>
      </c>
      <c r="T33" s="330">
        <f t="shared" si="6"/>
        <v>3511873.4793883301</v>
      </c>
      <c r="U33" s="330">
        <f t="shared" si="6"/>
        <v>3593825.7394329244</v>
      </c>
      <c r="V33" s="330">
        <f t="shared" si="6"/>
        <v>3667726.4800809817</v>
      </c>
      <c r="W33" s="330">
        <f t="shared" si="6"/>
        <v>3695534.5795732886</v>
      </c>
      <c r="X33" s="330">
        <f t="shared" si="6"/>
        <v>3707459.3765998771</v>
      </c>
      <c r="Y33" s="330">
        <f t="shared" si="6"/>
        <v>3707850.401864599</v>
      </c>
      <c r="Z33" s="330">
        <f t="shared" si="6"/>
        <v>3716093.2765679099</v>
      </c>
      <c r="AA33" s="330">
        <f>SUM(AA29:AA31)</f>
        <v>3720315.6719899843</v>
      </c>
      <c r="AB33" s="37"/>
      <c r="AC33" s="37"/>
      <c r="AD33" s="37"/>
      <c r="AE33" s="37"/>
      <c r="AF33" s="37"/>
    </row>
    <row r="34" spans="2:32">
      <c r="B34" s="462" t="s">
        <v>466</v>
      </c>
      <c r="C34" s="190"/>
      <c r="D34" s="465" t="s">
        <v>468</v>
      </c>
      <c r="E34" s="459">
        <f t="shared" ref="E34:Z34" si="7">E23</f>
        <v>0.13996651265398663</v>
      </c>
      <c r="F34" s="459">
        <f t="shared" si="7"/>
        <v>0.14149556652960499</v>
      </c>
      <c r="G34" s="459">
        <f t="shared" si="7"/>
        <v>0.14573396015338852</v>
      </c>
      <c r="H34" s="459">
        <f t="shared" si="7"/>
        <v>0.15190058385529931</v>
      </c>
      <c r="I34" s="459">
        <f t="shared" si="7"/>
        <v>0.15574603668733922</v>
      </c>
      <c r="J34" s="459">
        <f t="shared" si="7"/>
        <v>0.15789571269607305</v>
      </c>
      <c r="K34" s="459">
        <f t="shared" si="7"/>
        <v>0.16232424269440482</v>
      </c>
      <c r="L34" s="459">
        <f t="shared" si="7"/>
        <v>0.1667318015861409</v>
      </c>
      <c r="M34" s="459">
        <f t="shared" si="7"/>
        <v>0.16912286221826051</v>
      </c>
      <c r="N34" s="459">
        <f t="shared" si="7"/>
        <v>0.16659417650156999</v>
      </c>
      <c r="O34" s="459">
        <f t="shared" si="7"/>
        <v>0.16549532683076687</v>
      </c>
      <c r="P34" s="460">
        <f t="shared" si="7"/>
        <v>0.16450151686182174</v>
      </c>
      <c r="Q34" s="460">
        <f t="shared" si="7"/>
        <v>0.16321688103429971</v>
      </c>
      <c r="R34" s="460">
        <f t="shared" si="7"/>
        <v>0.16206015151908981</v>
      </c>
      <c r="S34" s="461">
        <f t="shared" si="7"/>
        <v>0.16206015151908981</v>
      </c>
      <c r="T34" s="461">
        <f t="shared" si="7"/>
        <v>0.16206015151908981</v>
      </c>
      <c r="U34" s="461">
        <f t="shared" si="7"/>
        <v>0.16206015151908981</v>
      </c>
      <c r="V34" s="461">
        <f t="shared" si="7"/>
        <v>0.16206015151908981</v>
      </c>
      <c r="W34" s="461">
        <f t="shared" si="7"/>
        <v>0.16206015151908981</v>
      </c>
      <c r="X34" s="461">
        <f t="shared" si="7"/>
        <v>0.16206015151908981</v>
      </c>
      <c r="Y34" s="461">
        <f t="shared" si="7"/>
        <v>0.16206015151908981</v>
      </c>
      <c r="Z34" s="461">
        <f t="shared" si="7"/>
        <v>0.16206015151908981</v>
      </c>
      <c r="AA34" s="461">
        <f>AA23</f>
        <v>0.16206015151908981</v>
      </c>
      <c r="AB34" s="37"/>
      <c r="AC34" s="37"/>
      <c r="AD34" s="37"/>
      <c r="AE34" s="37"/>
      <c r="AF34" s="37"/>
    </row>
    <row r="35" spans="2:32">
      <c r="B35" s="190"/>
      <c r="C35" s="190"/>
      <c r="D35" s="190"/>
      <c r="E35" s="190"/>
      <c r="F35" s="190"/>
      <c r="G35" s="190"/>
      <c r="H35" s="190"/>
      <c r="I35" s="190"/>
      <c r="J35" s="190"/>
      <c r="K35" s="190"/>
      <c r="L35" s="190"/>
      <c r="M35" s="190"/>
      <c r="N35" s="190"/>
      <c r="O35" s="190"/>
      <c r="P35" s="190"/>
      <c r="Q35" s="190"/>
      <c r="R35" s="190"/>
      <c r="S35" s="190"/>
      <c r="T35" s="190"/>
      <c r="U35" s="190"/>
      <c r="V35" s="190"/>
      <c r="W35" s="37"/>
      <c r="X35" s="37"/>
      <c r="Y35" s="37"/>
      <c r="Z35" s="37"/>
      <c r="AA35" s="37"/>
      <c r="AB35" s="37"/>
      <c r="AC35" s="37"/>
      <c r="AD35" s="37"/>
      <c r="AE35" s="37"/>
      <c r="AF35" s="37"/>
    </row>
    <row r="36" spans="2:32" ht="15.75">
      <c r="B36" s="195" t="s">
        <v>192</v>
      </c>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row>
    <row r="37" spans="2:32">
      <c r="B37" s="190"/>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row>
    <row r="38" spans="2:32">
      <c r="B38" s="196" t="str">
        <f>RAW_DATA_INPUTS!B373</f>
        <v>Academic year</v>
      </c>
      <c r="C38" s="196" t="str">
        <f t="shared" ref="C38:AA38" si="8">C27</f>
        <v>2004/05</v>
      </c>
      <c r="D38" s="196" t="str">
        <f t="shared" si="8"/>
        <v>2005/06</v>
      </c>
      <c r="E38" s="196" t="str">
        <f t="shared" si="8"/>
        <v>2006/07</v>
      </c>
      <c r="F38" s="196" t="str">
        <f t="shared" si="8"/>
        <v>2007/08</v>
      </c>
      <c r="G38" s="196" t="str">
        <f t="shared" si="8"/>
        <v>2008/09</v>
      </c>
      <c r="H38" s="196" t="str">
        <f t="shared" si="8"/>
        <v>2009/10</v>
      </c>
      <c r="I38" s="196" t="str">
        <f t="shared" si="8"/>
        <v>2010/11</v>
      </c>
      <c r="J38" s="196" t="str">
        <f t="shared" si="8"/>
        <v>2011/12</v>
      </c>
      <c r="K38" s="196" t="str">
        <f t="shared" si="8"/>
        <v>2012/13</v>
      </c>
      <c r="L38" s="196" t="str">
        <f t="shared" si="8"/>
        <v>2013/14</v>
      </c>
      <c r="M38" s="196" t="str">
        <f t="shared" si="8"/>
        <v>2014/15</v>
      </c>
      <c r="N38" s="196" t="str">
        <f t="shared" si="8"/>
        <v>2015/16</v>
      </c>
      <c r="O38" s="196" t="str">
        <f t="shared" si="8"/>
        <v>2016/17</v>
      </c>
      <c r="P38" s="196" t="str">
        <f t="shared" si="8"/>
        <v>2017/18</v>
      </c>
      <c r="Q38" s="196" t="str">
        <f t="shared" si="8"/>
        <v>2018/19</v>
      </c>
      <c r="R38" s="196" t="str">
        <f t="shared" si="8"/>
        <v>2019/20</v>
      </c>
      <c r="S38" s="196" t="str">
        <f t="shared" si="8"/>
        <v>2020/21</v>
      </c>
      <c r="T38" s="196" t="str">
        <f t="shared" si="8"/>
        <v>2021/22</v>
      </c>
      <c r="U38" s="196" t="str">
        <f t="shared" si="8"/>
        <v>2022/23</v>
      </c>
      <c r="V38" s="196" t="str">
        <f t="shared" si="8"/>
        <v>2023/24</v>
      </c>
      <c r="W38" s="196" t="str">
        <f t="shared" si="8"/>
        <v>2024/25</v>
      </c>
      <c r="X38" s="196" t="str">
        <f t="shared" si="8"/>
        <v>2025/26</v>
      </c>
      <c r="Y38" s="196" t="str">
        <f t="shared" si="8"/>
        <v>2026/27</v>
      </c>
      <c r="Z38" s="196" t="str">
        <f t="shared" si="8"/>
        <v>2027/28</v>
      </c>
      <c r="AA38" s="196" t="str">
        <f t="shared" si="8"/>
        <v>2028/29</v>
      </c>
      <c r="AB38" s="37"/>
      <c r="AC38" s="37"/>
      <c r="AD38" s="37"/>
      <c r="AE38" s="37"/>
      <c r="AF38" s="37"/>
    </row>
    <row r="39" spans="2:32">
      <c r="B39" s="196" t="str">
        <f>RAW_DATA_INPUTS!B374</f>
        <v>Primary age Pupils (FTE) Low</v>
      </c>
      <c r="C39" s="327">
        <f>RAW_DATA_INPUTS!C374</f>
        <v>4133670.5</v>
      </c>
      <c r="D39" s="327">
        <f>RAW_DATA_INPUTS!D374</f>
        <v>4085271.436729731</v>
      </c>
      <c r="E39" s="327">
        <f>RAW_DATA_INPUTS!E374</f>
        <v>4047195.5</v>
      </c>
      <c r="F39" s="327">
        <f>RAW_DATA_INPUTS!F374</f>
        <v>4028055.5</v>
      </c>
      <c r="G39" s="327">
        <f>RAW_DATA_INPUTS!G374</f>
        <v>4016161.5</v>
      </c>
      <c r="H39" s="327">
        <f>RAW_DATA_INPUTS!H374</f>
        <v>4036364.5</v>
      </c>
      <c r="I39" s="327">
        <f>RAW_DATA_INPUTS!I374</f>
        <v>4074368</v>
      </c>
      <c r="J39" s="327">
        <f>RAW_DATA_INPUTS!J374</f>
        <v>4150277.5</v>
      </c>
      <c r="K39" s="327">
        <f>RAW_DATA_INPUTS!K374</f>
        <v>4247394.5</v>
      </c>
      <c r="L39" s="327">
        <f>RAW_DATA_INPUTS!L374</f>
        <v>4359000</v>
      </c>
      <c r="M39" s="327">
        <f>RAW_DATA_INPUTS!M374</f>
        <v>4463434</v>
      </c>
      <c r="N39" s="327">
        <f>RAW_DATA_INPUTS!N374</f>
        <v>4574041.5</v>
      </c>
      <c r="O39" s="327">
        <f>RAW_DATA_INPUTS!O374</f>
        <v>4659421</v>
      </c>
      <c r="P39" s="327">
        <f>RAW_DATA_INPUTS!P374</f>
        <v>4715434.6972993147</v>
      </c>
      <c r="Q39" s="327">
        <f>RAW_DATA_INPUTS!Q374</f>
        <v>4737109.3348040003</v>
      </c>
      <c r="R39" s="327">
        <f>RAW_DATA_INPUTS!R374</f>
        <v>4726941.3615096211</v>
      </c>
      <c r="S39" s="327">
        <f>RAW_DATA_INPUTS!S374</f>
        <v>4710955.0448766593</v>
      </c>
      <c r="T39" s="327">
        <f>RAW_DATA_INPUTS!T374</f>
        <v>4676433.6780280955</v>
      </c>
      <c r="U39" s="327">
        <f>RAW_DATA_INPUTS!U374</f>
        <v>4623202.5849240804</v>
      </c>
      <c r="V39" s="327">
        <f>RAW_DATA_INPUTS!V374</f>
        <v>4552720.6004686635</v>
      </c>
      <c r="W39" s="327">
        <f>RAW_DATA_INPUTS!W374</f>
        <v>4499461.4137162212</v>
      </c>
      <c r="X39" s="327">
        <f>RAW_DATA_INPUTS!X374</f>
        <v>4457318.4588044519</v>
      </c>
      <c r="Y39" s="327">
        <f>RAW_DATA_INPUTS!Y374</f>
        <v>4414882.926841069</v>
      </c>
      <c r="Z39" s="327">
        <f>RAW_DATA_INPUTS!Z374</f>
        <v>4377244.0325927678</v>
      </c>
      <c r="AA39" s="327">
        <f>RAW_DATA_INPUTS!AA374</f>
        <v>4341994.1506143641</v>
      </c>
      <c r="AB39" s="37"/>
      <c r="AC39" s="37"/>
      <c r="AD39" s="37"/>
      <c r="AE39" s="37"/>
      <c r="AF39" s="37"/>
    </row>
    <row r="40" spans="2:32">
      <c r="B40" s="196" t="str">
        <f>RAW_DATA_INPUTS!B375</f>
        <v>Pupils FTE Years 7-9 Low</v>
      </c>
      <c r="C40" s="327">
        <f>RAW_DATA_INPUTS!C375</f>
        <v>1783139.5</v>
      </c>
      <c r="D40" s="327">
        <f>RAW_DATA_INPUTS!D375</f>
        <v>1758000.0007601124</v>
      </c>
      <c r="E40" s="327">
        <f>RAW_DATA_INPUTS!E375</f>
        <v>1722930</v>
      </c>
      <c r="F40" s="327">
        <f>RAW_DATA_INPUTS!F375</f>
        <v>1701531</v>
      </c>
      <c r="G40" s="327">
        <f>RAW_DATA_INPUTS!G375</f>
        <v>1691158</v>
      </c>
      <c r="H40" s="327">
        <f>RAW_DATA_INPUTS!H375</f>
        <v>1680949</v>
      </c>
      <c r="I40" s="327">
        <f>RAW_DATA_INPUTS!I375</f>
        <v>1672689.5</v>
      </c>
      <c r="J40" s="327">
        <f>RAW_DATA_INPUTS!J375</f>
        <v>1641887</v>
      </c>
      <c r="K40" s="327">
        <f>RAW_DATA_INPUTS!K375</f>
        <v>1612821</v>
      </c>
      <c r="L40" s="327">
        <f>RAW_DATA_INPUTS!L375</f>
        <v>1587472</v>
      </c>
      <c r="M40" s="327">
        <f>RAW_DATA_INPUTS!M375</f>
        <v>1595949</v>
      </c>
      <c r="N40" s="327">
        <f>RAW_DATA_INPUTS!N375</f>
        <v>1630717</v>
      </c>
      <c r="O40" s="327">
        <f>RAW_DATA_INPUTS!O375</f>
        <v>1678899</v>
      </c>
      <c r="P40" s="327">
        <f>RAW_DATA_INPUTS!P375</f>
        <v>1723828.2198890003</v>
      </c>
      <c r="Q40" s="327">
        <f>RAW_DATA_INPUTS!Q375</f>
        <v>1772483.1887638846</v>
      </c>
      <c r="R40" s="327">
        <f>RAW_DATA_INPUTS!R375</f>
        <v>1834391.2311419928</v>
      </c>
      <c r="S40" s="327">
        <f>RAW_DATA_INPUTS!S375</f>
        <v>1878449.8518755834</v>
      </c>
      <c r="T40" s="327">
        <f>RAW_DATA_INPUTS!T375</f>
        <v>1913358.5849072661</v>
      </c>
      <c r="U40" s="327">
        <f>RAW_DATA_INPUTS!U375</f>
        <v>1935531.9331186812</v>
      </c>
      <c r="V40" s="327">
        <f>RAW_DATA_INPUTS!V375</f>
        <v>1972636.6749603751</v>
      </c>
      <c r="W40" s="327">
        <f>RAW_DATA_INPUTS!W375</f>
        <v>1974966.900440125</v>
      </c>
      <c r="X40" s="327">
        <f>RAW_DATA_INPUTS!X375</f>
        <v>1948447.0806189801</v>
      </c>
      <c r="Y40" s="327">
        <f>RAW_DATA_INPUTS!Y375</f>
        <v>1906109.6274286429</v>
      </c>
      <c r="Z40" s="327">
        <f>RAW_DATA_INPUTS!Z375</f>
        <v>1877302.4033844979</v>
      </c>
      <c r="AA40" s="327">
        <f>RAW_DATA_INPUTS!AA375</f>
        <v>1858226.5999291013</v>
      </c>
      <c r="AB40" s="37"/>
      <c r="AC40" s="37"/>
      <c r="AD40" s="37"/>
      <c r="AE40" s="37"/>
      <c r="AF40" s="37"/>
    </row>
    <row r="41" spans="2:32">
      <c r="B41" s="196" t="str">
        <f>RAW_DATA_INPUTS!B376</f>
        <v>Pupils FTE Years 10-11 Low</v>
      </c>
      <c r="C41" s="327">
        <f>RAW_DATA_INPUTS!C376</f>
        <v>1170159</v>
      </c>
      <c r="D41" s="327">
        <f>RAW_DATA_INPUTS!D376</f>
        <v>1185802.5625101563</v>
      </c>
      <c r="E41" s="327">
        <f>RAW_DATA_INPUTS!E376</f>
        <v>1189358</v>
      </c>
      <c r="F41" s="327">
        <f>RAW_DATA_INPUTS!F376</f>
        <v>1166918.5</v>
      </c>
      <c r="G41" s="327">
        <f>RAW_DATA_INPUTS!G376</f>
        <v>1146150</v>
      </c>
      <c r="H41" s="327">
        <f>RAW_DATA_INPUTS!H376</f>
        <v>1133977</v>
      </c>
      <c r="I41" s="327">
        <f>RAW_DATA_INPUTS!I376</f>
        <v>1116342.5</v>
      </c>
      <c r="J41" s="327">
        <f>RAW_DATA_INPUTS!J376</f>
        <v>1120567</v>
      </c>
      <c r="K41" s="327">
        <f>RAW_DATA_INPUTS!K376</f>
        <v>1117099</v>
      </c>
      <c r="L41" s="327">
        <f>RAW_DATA_INPUTS!L376</f>
        <v>1099417.5</v>
      </c>
      <c r="M41" s="327">
        <f>RAW_DATA_INPUTS!M376</f>
        <v>1081078</v>
      </c>
      <c r="N41" s="327">
        <f>RAW_DATA_INPUTS!N376</f>
        <v>1057483</v>
      </c>
      <c r="O41" s="327">
        <f>RAW_DATA_INPUTS!O376</f>
        <v>1041875</v>
      </c>
      <c r="P41" s="327">
        <f>RAW_DATA_INPUTS!P376</f>
        <v>1059042.5189143361</v>
      </c>
      <c r="Q41" s="327">
        <f>RAW_DATA_INPUTS!Q376</f>
        <v>1098157.8591290903</v>
      </c>
      <c r="R41" s="327">
        <f>RAW_DATA_INPUTS!R376</f>
        <v>1128078.6941527503</v>
      </c>
      <c r="S41" s="327">
        <f>RAW_DATA_INPUTS!S376</f>
        <v>1153988.2521160692</v>
      </c>
      <c r="T41" s="327">
        <f>RAW_DATA_INPUTS!T376</f>
        <v>1189176.4896819545</v>
      </c>
      <c r="U41" s="327">
        <f>RAW_DATA_INPUTS!U376</f>
        <v>1235980.2991184634</v>
      </c>
      <c r="V41" s="327">
        <f>RAW_DATA_INPUTS!V376</f>
        <v>1258119.7343137409</v>
      </c>
      <c r="W41" s="327">
        <f>RAW_DATA_INPUTS!W376</f>
        <v>1267396.7177826473</v>
      </c>
      <c r="X41" s="327">
        <f>RAW_DATA_INPUTS!X376</f>
        <v>1292491.4788541687</v>
      </c>
      <c r="Y41" s="327">
        <f>RAW_DATA_INPUTS!Y376</f>
        <v>1316868.7049754027</v>
      </c>
      <c r="Z41" s="327">
        <f>RAW_DATA_INPUTS!Z376</f>
        <v>1306195.865395145</v>
      </c>
      <c r="AA41" s="327">
        <f>RAW_DATA_INPUTS!AA376</f>
        <v>1268352.7028780216</v>
      </c>
      <c r="AB41" s="37"/>
      <c r="AC41" s="37"/>
      <c r="AD41" s="37"/>
      <c r="AE41" s="37"/>
      <c r="AF41" s="37"/>
    </row>
    <row r="42" spans="2:32">
      <c r="B42" s="196" t="str">
        <f>RAW_DATA_INPUTS!B377</f>
        <v>Pupils FTE Years 12-13 Low</v>
      </c>
      <c r="C42" s="327">
        <f>RAW_DATA_INPUTS!C377</f>
        <v>355184.5</v>
      </c>
      <c r="D42" s="327">
        <f>RAW_DATA_INPUTS!D377</f>
        <v>361355</v>
      </c>
      <c r="E42" s="327">
        <f>RAW_DATA_INPUTS!E377</f>
        <v>370116</v>
      </c>
      <c r="F42" s="327">
        <f>RAW_DATA_INPUTS!F377</f>
        <v>380453</v>
      </c>
      <c r="G42" s="327">
        <f>RAW_DATA_INPUTS!G377</f>
        <v>394342</v>
      </c>
      <c r="H42" s="327">
        <f>RAW_DATA_INPUTS!H377</f>
        <v>412859.5</v>
      </c>
      <c r="I42" s="327">
        <f>RAW_DATA_INPUTS!I377</f>
        <v>423222</v>
      </c>
      <c r="J42" s="327">
        <f>RAW_DATA_INPUTS!J377</f>
        <v>423232.5</v>
      </c>
      <c r="K42" s="327">
        <f>RAW_DATA_INPUTS!K377</f>
        <v>428860</v>
      </c>
      <c r="L42" s="327">
        <f>RAW_DATA_INPUTS!L377</f>
        <v>439034.5</v>
      </c>
      <c r="M42" s="327">
        <f>RAW_DATA_INPUTS!M377</f>
        <v>442836.5</v>
      </c>
      <c r="N42" s="327">
        <f>RAW_DATA_INPUTS!N377</f>
        <v>433870.5</v>
      </c>
      <c r="O42" s="327">
        <f>RAW_DATA_INPUTS!O377</f>
        <v>424809</v>
      </c>
      <c r="P42" s="328">
        <f t="shared" ref="P42:Z42" si="9">P45*P43</f>
        <v>412613.48371451074</v>
      </c>
      <c r="Q42" s="328">
        <f t="shared" si="9"/>
        <v>401382.39858263719</v>
      </c>
      <c r="R42" s="328">
        <f t="shared" si="9"/>
        <v>394545.34411210939</v>
      </c>
      <c r="S42" s="328">
        <f t="shared" si="9"/>
        <v>395942.48416329373</v>
      </c>
      <c r="T42" s="328">
        <f t="shared" si="9"/>
        <v>402316.64858440397</v>
      </c>
      <c r="U42" s="328">
        <f t="shared" si="9"/>
        <v>414302.11785791809</v>
      </c>
      <c r="V42" s="328">
        <f t="shared" si="9"/>
        <v>426467.33964547818</v>
      </c>
      <c r="W42" s="328">
        <f t="shared" si="9"/>
        <v>439328.6132689371</v>
      </c>
      <c r="X42" s="328">
        <f t="shared" si="9"/>
        <v>448509.71730341192</v>
      </c>
      <c r="Y42" s="328">
        <f t="shared" si="9"/>
        <v>456020.66090008762</v>
      </c>
      <c r="Z42" s="328">
        <f t="shared" si="9"/>
        <v>463217.05709970818</v>
      </c>
      <c r="AA42" s="328">
        <f>AA45*AA43</f>
        <v>468765.08527533995</v>
      </c>
      <c r="AB42" s="37"/>
      <c r="AC42" s="37"/>
      <c r="AD42" s="37"/>
      <c r="AE42" s="37"/>
      <c r="AF42" s="37"/>
    </row>
    <row r="43" spans="2:32">
      <c r="B43" s="196" t="str">
        <f>RAW_DATA_INPUTS!B378</f>
        <v>16-19 population</v>
      </c>
      <c r="C43" s="327">
        <f>RAW_DATA_INPUTS!C378</f>
        <v>2591851.2639240595</v>
      </c>
      <c r="D43" s="327">
        <f>RAW_DATA_INPUTS!D378</f>
        <v>2608521.9199660681</v>
      </c>
      <c r="E43" s="327">
        <f>RAW_DATA_INPUTS!E378</f>
        <v>2644318.2228521295</v>
      </c>
      <c r="F43" s="327">
        <f>RAW_DATA_INPUTS!F378</f>
        <v>2688798.0261939741</v>
      </c>
      <c r="G43" s="327">
        <f>RAW_DATA_INPUTS!G378</f>
        <v>2705903.2746035685</v>
      </c>
      <c r="H43" s="327">
        <f>RAW_DATA_INPUTS!H378</f>
        <v>2717958.6116225235</v>
      </c>
      <c r="I43" s="327">
        <f>RAW_DATA_INPUTS!I378</f>
        <v>2717385.3601785055</v>
      </c>
      <c r="J43" s="327">
        <f>RAW_DATA_INPUTS!J378</f>
        <v>2680455.9336874634</v>
      </c>
      <c r="K43" s="327">
        <f>RAW_DATA_INPUTS!K378</f>
        <v>2641996.0006059059</v>
      </c>
      <c r="L43" s="327">
        <f>RAW_DATA_INPUTS!L378</f>
        <v>2633177.9290057975</v>
      </c>
      <c r="M43" s="327">
        <f>RAW_DATA_INPUTS!M378</f>
        <v>2618430.7324961186</v>
      </c>
      <c r="N43" s="327">
        <f>RAW_DATA_INPUTS!N378</f>
        <v>2601371.6175603648</v>
      </c>
      <c r="O43" s="327">
        <f>RAW_DATA_INPUTS!O378</f>
        <v>2560673.0671404558</v>
      </c>
      <c r="P43" s="327">
        <f>RAW_DATA_INPUTS!P378</f>
        <v>2508265.5259714019</v>
      </c>
      <c r="Q43" s="327">
        <f>RAW_DATA_INPUTS!Q378</f>
        <v>2459196.5980423768</v>
      </c>
      <c r="R43" s="327">
        <f>RAW_DATA_INPUTS!R378</f>
        <v>2434561.1207554257</v>
      </c>
      <c r="S43" s="327">
        <f>RAW_DATA_INPUTS!S378</f>
        <v>2443182.2409881791</v>
      </c>
      <c r="T43" s="327">
        <f>RAW_DATA_INPUTS!T378</f>
        <v>2482514.3307175869</v>
      </c>
      <c r="U43" s="327">
        <f>RAW_DATA_INPUTS!U378</f>
        <v>2556471.2483260608</v>
      </c>
      <c r="V43" s="327">
        <f>RAW_DATA_INPUTS!V378</f>
        <v>2631537.3375128717</v>
      </c>
      <c r="W43" s="327">
        <f>RAW_DATA_INPUTS!W378</f>
        <v>2710898.4482048107</v>
      </c>
      <c r="X43" s="327">
        <f>RAW_DATA_INPUTS!X378</f>
        <v>2767550.8945243699</v>
      </c>
      <c r="Y43" s="327">
        <f>RAW_DATA_INPUTS!Y378</f>
        <v>2813897.5351159712</v>
      </c>
      <c r="Z43" s="327">
        <f>RAW_DATA_INPUTS!Z378</f>
        <v>2858303.2457867577</v>
      </c>
      <c r="AA43" s="327">
        <f>RAW_DATA_INPUTS!AA378</f>
        <v>2892537.6218725918</v>
      </c>
      <c r="AB43" s="37"/>
      <c r="AC43" s="37"/>
      <c r="AD43" s="37"/>
      <c r="AE43" s="37"/>
      <c r="AF43" s="37"/>
    </row>
    <row r="44" spans="2:32">
      <c r="B44" s="196" t="str">
        <f>B33</f>
        <v>All secondary pupils</v>
      </c>
      <c r="C44" s="330">
        <f>SUM(C40:C42)</f>
        <v>3308483</v>
      </c>
      <c r="D44" s="330">
        <f t="shared" ref="D44:Z44" si="10">SUM(D40:D42)</f>
        <v>3305157.563270269</v>
      </c>
      <c r="E44" s="330">
        <f t="shared" si="10"/>
        <v>3282404</v>
      </c>
      <c r="F44" s="330">
        <f t="shared" si="10"/>
        <v>3248902.5</v>
      </c>
      <c r="G44" s="330">
        <f t="shared" si="10"/>
        <v>3231650</v>
      </c>
      <c r="H44" s="330">
        <f t="shared" si="10"/>
        <v>3227785.5</v>
      </c>
      <c r="I44" s="330">
        <f t="shared" si="10"/>
        <v>3212254</v>
      </c>
      <c r="J44" s="330">
        <f t="shared" si="10"/>
        <v>3185686.5</v>
      </c>
      <c r="K44" s="330">
        <f t="shared" si="10"/>
        <v>3158780</v>
      </c>
      <c r="L44" s="330">
        <f t="shared" si="10"/>
        <v>3125924</v>
      </c>
      <c r="M44" s="330">
        <f t="shared" si="10"/>
        <v>3119863.5</v>
      </c>
      <c r="N44" s="330">
        <f t="shared" si="10"/>
        <v>3122070.5</v>
      </c>
      <c r="O44" s="330">
        <f t="shared" si="10"/>
        <v>3145583</v>
      </c>
      <c r="P44" s="330">
        <f t="shared" si="10"/>
        <v>3195484.2225178471</v>
      </c>
      <c r="Q44" s="330">
        <f t="shared" si="10"/>
        <v>3272023.446475612</v>
      </c>
      <c r="R44" s="330">
        <f t="shared" si="10"/>
        <v>3357015.2694068523</v>
      </c>
      <c r="S44" s="330">
        <f t="shared" si="10"/>
        <v>3428380.5881549465</v>
      </c>
      <c r="T44" s="330">
        <f t="shared" si="10"/>
        <v>3504851.7231736248</v>
      </c>
      <c r="U44" s="330">
        <f t="shared" si="10"/>
        <v>3585814.3500950625</v>
      </c>
      <c r="V44" s="330">
        <f t="shared" si="10"/>
        <v>3657223.7489195941</v>
      </c>
      <c r="W44" s="330">
        <f t="shared" si="10"/>
        <v>3681692.2314917091</v>
      </c>
      <c r="X44" s="330">
        <f t="shared" si="10"/>
        <v>3689448.2767765606</v>
      </c>
      <c r="Y44" s="330">
        <f t="shared" si="10"/>
        <v>3678998.9933041329</v>
      </c>
      <c r="Z44" s="330">
        <f t="shared" si="10"/>
        <v>3646715.3258793512</v>
      </c>
      <c r="AA44" s="330">
        <f>SUM(AA40:AA42)</f>
        <v>3595344.3880824628</v>
      </c>
      <c r="AB44" s="37"/>
      <c r="AC44" s="37"/>
      <c r="AD44" s="37"/>
      <c r="AE44" s="37"/>
      <c r="AF44" s="37"/>
    </row>
    <row r="45" spans="2:32" s="413" customFormat="1">
      <c r="B45" s="462" t="s">
        <v>466</v>
      </c>
      <c r="C45" s="414"/>
      <c r="D45" s="465" t="s">
        <v>468</v>
      </c>
      <c r="E45" s="459">
        <f>E34</f>
        <v>0.13996651265398663</v>
      </c>
      <c r="F45" s="459">
        <f t="shared" ref="F45:O45" si="11">F34</f>
        <v>0.14149556652960499</v>
      </c>
      <c r="G45" s="459">
        <f t="shared" si="11"/>
        <v>0.14573396015338852</v>
      </c>
      <c r="H45" s="459">
        <f t="shared" si="11"/>
        <v>0.15190058385529931</v>
      </c>
      <c r="I45" s="459">
        <f t="shared" si="11"/>
        <v>0.15574603668733922</v>
      </c>
      <c r="J45" s="459">
        <f t="shared" si="11"/>
        <v>0.15789571269607305</v>
      </c>
      <c r="K45" s="459">
        <f t="shared" si="11"/>
        <v>0.16232424269440482</v>
      </c>
      <c r="L45" s="459">
        <f t="shared" si="11"/>
        <v>0.1667318015861409</v>
      </c>
      <c r="M45" s="459">
        <f t="shared" si="11"/>
        <v>0.16912286221826051</v>
      </c>
      <c r="N45" s="459">
        <f t="shared" si="11"/>
        <v>0.16659417650156999</v>
      </c>
      <c r="O45" s="459">
        <f t="shared" si="11"/>
        <v>0.16549532683076687</v>
      </c>
      <c r="P45" s="460">
        <f>P34</f>
        <v>0.16450151686182174</v>
      </c>
      <c r="Q45" s="460">
        <f>Q34</f>
        <v>0.16321688103429971</v>
      </c>
      <c r="R45" s="460">
        <f>R34</f>
        <v>0.16206015151908981</v>
      </c>
      <c r="S45" s="461">
        <f t="shared" ref="S45:Z45" si="12">S34</f>
        <v>0.16206015151908981</v>
      </c>
      <c r="T45" s="461">
        <f t="shared" si="12"/>
        <v>0.16206015151908981</v>
      </c>
      <c r="U45" s="461">
        <f t="shared" si="12"/>
        <v>0.16206015151908981</v>
      </c>
      <c r="V45" s="461">
        <f t="shared" si="12"/>
        <v>0.16206015151908981</v>
      </c>
      <c r="W45" s="461">
        <f t="shared" si="12"/>
        <v>0.16206015151908981</v>
      </c>
      <c r="X45" s="461">
        <f t="shared" si="12"/>
        <v>0.16206015151908981</v>
      </c>
      <c r="Y45" s="461">
        <f t="shared" si="12"/>
        <v>0.16206015151908981</v>
      </c>
      <c r="Z45" s="461">
        <f t="shared" si="12"/>
        <v>0.16206015151908981</v>
      </c>
      <c r="AA45" s="461">
        <f>AA34</f>
        <v>0.16206015151908981</v>
      </c>
      <c r="AB45" s="415"/>
      <c r="AC45" s="415"/>
      <c r="AD45" s="415"/>
      <c r="AE45" s="415"/>
      <c r="AF45" s="415"/>
    </row>
    <row r="46" spans="2:32">
      <c r="B46" s="190"/>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row>
    <row r="47" spans="2:32" ht="15.75">
      <c r="B47" s="77" t="s">
        <v>193</v>
      </c>
      <c r="C47" s="147" t="s">
        <v>526</v>
      </c>
    </row>
    <row r="49" spans="2:3">
      <c r="B49" s="397"/>
      <c r="C49" s="397" t="str">
        <f>O16</f>
        <v>2016/17</v>
      </c>
    </row>
    <row r="50" spans="2:3">
      <c r="B50" s="397" t="str">
        <f>B18</f>
        <v>Pupils FTE Years 7-9 Central</v>
      </c>
      <c r="C50" s="739">
        <f>O18</f>
        <v>1678899</v>
      </c>
    </row>
    <row r="51" spans="2:3">
      <c r="B51" s="397" t="str">
        <f>B19</f>
        <v>Pupils FTE Years 10-11 Central</v>
      </c>
      <c r="C51" s="739">
        <f>O19</f>
        <v>1041875</v>
      </c>
    </row>
    <row r="52" spans="2:3">
      <c r="B52" s="397" t="str">
        <f>B20</f>
        <v>Pupils FTE Years 12-13 Central</v>
      </c>
      <c r="C52" s="739">
        <f>O20</f>
        <v>424809</v>
      </c>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B17:B21 C17:Y17 B27:L28 B38:X39 B44:X44 B33:N33 C21:L21 C18:X18 B32:X32 B29:L30 B43:X43 B40:X41 Z17 Z18:Z21 Y29 Y42:Y43 Y31:Y32 Y20:Y21 Y33 Y44 Y38:Y39 Y27:Y28 Y18:Y19 Y30:Z30 Z27:Z28 Y40:Z41 Z38:Z39 Z44 Y34:Z37 Z33 Y22:Z26 Z31:Z32 Z42:Z43 Z29 C20:L20 P20:X20 B31:L31 P31:X31 B42:L42 P42:X42 O27:X28 O21:X21 O29:X30 M29:N30 M21:N21 M27:N28 M20:N20 M31:N31 M22:N26 M42:N42 Q33:X33 C19:N19 P19:X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F50"/>
  <sheetViews>
    <sheetView showGridLines="0" workbookViewId="0"/>
  </sheetViews>
  <sheetFormatPr defaultColWidth="9.140625" defaultRowHeight="12.75"/>
  <cols>
    <col min="1" max="15" width="9.140625" style="984"/>
    <col min="16" max="16" width="7.5703125" style="984" customWidth="1"/>
    <col min="17" max="17" width="10.7109375" style="984" customWidth="1"/>
    <col min="18" max="16384" width="9.140625" style="984"/>
  </cols>
  <sheetData>
    <row r="1" spans="1:6" s="985" customFormat="1">
      <c r="B1" s="710" t="str">
        <f>ModelBanner</f>
        <v>TSM_201819 Publication</v>
      </c>
    </row>
    <row r="2" spans="1:6" s="985" customFormat="1">
      <c r="B2" s="987" t="s">
        <v>30</v>
      </c>
    </row>
    <row r="3" spans="1:6" s="985" customFormat="1">
      <c r="A3" s="988"/>
      <c r="B3" s="986" t="s">
        <v>297</v>
      </c>
    </row>
    <row r="4" spans="1:6" s="985" customFormat="1">
      <c r="A4" s="989"/>
      <c r="B4" s="990" t="s">
        <v>13</v>
      </c>
      <c r="C4" s="989"/>
      <c r="D4" s="991"/>
    </row>
    <row r="7" spans="1:6">
      <c r="F7" s="983"/>
    </row>
    <row r="18" spans="5:5">
      <c r="E18" s="982"/>
    </row>
    <row r="50" spans="5:5">
      <c r="E50" s="993"/>
    </row>
  </sheetData>
  <hyperlinks>
    <hyperlink ref="B4" location="'Title_&amp;_Contents'!A1" display="Contents"/>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AA76"/>
  <sheetViews>
    <sheetView showGridLines="0" workbookViewId="0"/>
  </sheetViews>
  <sheetFormatPr defaultRowHeight="12.75"/>
  <cols>
    <col min="2" max="2" width="24.85546875" customWidth="1"/>
    <col min="3" max="28" width="9.7109375" customWidth="1"/>
  </cols>
  <sheetData>
    <row r="1" spans="1:20" s="65" customFormat="1" ht="15">
      <c r="A1" s="64" t="str">
        <f>ModelBanner</f>
        <v>TSM_201819 Publication</v>
      </c>
      <c r="E1" s="712"/>
      <c r="F1" s="712"/>
    </row>
    <row r="2" spans="1:20" s="65" customFormat="1" ht="15">
      <c r="A2" s="940" t="s">
        <v>13</v>
      </c>
      <c r="B2" s="940" t="s">
        <v>30</v>
      </c>
      <c r="E2" s="712"/>
      <c r="F2" s="712"/>
    </row>
    <row r="3" spans="1:20" s="65" customFormat="1" ht="15">
      <c r="A3" s="66"/>
      <c r="E3" s="712"/>
      <c r="F3" s="712"/>
    </row>
    <row r="4" spans="1:20" s="56" customFormat="1">
      <c r="A4" s="57" t="s">
        <v>26</v>
      </c>
      <c r="B4" s="57"/>
      <c r="C4" s="57"/>
      <c r="D4" s="57"/>
      <c r="E4" s="57"/>
      <c r="F4" s="57"/>
      <c r="G4" s="57"/>
      <c r="H4" s="285"/>
      <c r="I4" s="57"/>
      <c r="J4" s="57"/>
      <c r="K4" s="57"/>
      <c r="L4" s="57"/>
      <c r="M4" s="57"/>
      <c r="N4" s="57"/>
    </row>
    <row r="5" spans="1:20" s="46" customFormat="1" ht="13.15" customHeight="1">
      <c r="A5" s="59" t="s">
        <v>1555</v>
      </c>
      <c r="B5" s="59"/>
      <c r="C5" s="59"/>
      <c r="D5" s="59"/>
      <c r="E5" s="59"/>
      <c r="F5" s="59"/>
      <c r="G5" s="59"/>
      <c r="H5" s="59"/>
      <c r="I5" s="59"/>
      <c r="J5" s="59"/>
      <c r="K5" s="59"/>
      <c r="L5" s="59"/>
      <c r="M5" s="59"/>
      <c r="N5" s="59"/>
      <c r="O5" s="58"/>
      <c r="P5" s="58"/>
      <c r="Q5" s="58"/>
      <c r="R5" s="58"/>
      <c r="S5" s="58"/>
      <c r="T5" s="58"/>
    </row>
    <row r="6" spans="1:20" s="45" customFormat="1">
      <c r="A6" s="55" t="s">
        <v>1392</v>
      </c>
      <c r="B6" s="60"/>
      <c r="C6" s="60"/>
      <c r="D6" s="60"/>
      <c r="E6" s="60"/>
      <c r="F6" s="60"/>
      <c r="G6" s="60"/>
      <c r="H6" s="285"/>
      <c r="I6" s="60"/>
      <c r="J6" s="60"/>
      <c r="K6" s="60"/>
      <c r="L6" s="60"/>
      <c r="M6" s="60"/>
      <c r="N6" s="60"/>
      <c r="O6" s="44"/>
      <c r="P6" s="44"/>
      <c r="Q6" s="44"/>
      <c r="R6" s="44"/>
      <c r="S6" s="44"/>
      <c r="T6" s="44"/>
    </row>
    <row r="7" spans="1:20" s="45" customFormat="1">
      <c r="A7" s="53" t="s">
        <v>179</v>
      </c>
      <c r="B7" s="55"/>
      <c r="C7" s="60"/>
      <c r="D7" s="60"/>
      <c r="E7" s="60"/>
      <c r="F7" s="60"/>
      <c r="G7" s="60"/>
      <c r="H7" s="285"/>
      <c r="I7" s="60"/>
      <c r="J7" s="60"/>
      <c r="K7" s="60"/>
      <c r="L7" s="60"/>
      <c r="M7" s="60"/>
      <c r="N7" s="60"/>
      <c r="O7" s="44"/>
      <c r="P7" s="44"/>
      <c r="Q7" s="44"/>
      <c r="R7" s="44"/>
      <c r="S7" s="44"/>
      <c r="T7" s="44"/>
    </row>
    <row r="8" spans="1:20" s="45" customFormat="1">
      <c r="A8" s="55" t="s">
        <v>24</v>
      </c>
      <c r="B8" s="60"/>
      <c r="C8" s="60"/>
      <c r="D8" s="60"/>
      <c r="E8" s="60"/>
      <c r="F8" s="60"/>
      <c r="G8" s="60"/>
      <c r="H8" s="285"/>
      <c r="I8" s="60"/>
      <c r="J8" s="60"/>
      <c r="K8" s="60"/>
      <c r="L8" s="60"/>
      <c r="M8" s="60"/>
      <c r="N8" s="60"/>
      <c r="O8" s="44"/>
      <c r="P8" s="44"/>
      <c r="Q8" s="44"/>
      <c r="R8" s="44"/>
      <c r="S8" s="44"/>
      <c r="T8" s="44"/>
    </row>
    <row r="9" spans="1:20" s="45" customFormat="1">
      <c r="A9" s="53" t="s">
        <v>1423</v>
      </c>
      <c r="B9" s="60"/>
      <c r="C9" s="60"/>
      <c r="D9" s="60"/>
      <c r="E9" s="60"/>
      <c r="F9" s="60"/>
      <c r="G9" s="60"/>
      <c r="H9" s="285"/>
      <c r="I9" s="60"/>
      <c r="J9" s="60"/>
      <c r="K9" s="60"/>
      <c r="L9" s="60"/>
      <c r="M9" s="60"/>
      <c r="N9" s="60"/>
      <c r="O9" s="44"/>
      <c r="P9" s="44"/>
      <c r="Q9" s="44"/>
      <c r="R9" s="44"/>
      <c r="S9" s="44"/>
      <c r="T9" s="44"/>
    </row>
    <row r="10" spans="1:20" s="49" customFormat="1" ht="13.5" customHeight="1">
      <c r="A10" s="54">
        <f>SUM(A13:A2222)</f>
        <v>0</v>
      </c>
      <c r="B10" s="72"/>
      <c r="C10" s="70"/>
      <c r="D10" s="70"/>
      <c r="E10" s="70"/>
      <c r="F10" s="70"/>
      <c r="G10" s="47"/>
      <c r="H10" s="47"/>
      <c r="I10" s="47"/>
      <c r="J10" s="71"/>
      <c r="K10" s="47"/>
      <c r="L10" s="47"/>
      <c r="M10" s="71"/>
      <c r="N10" s="48"/>
      <c r="O10" s="48"/>
      <c r="P10" s="48"/>
      <c r="Q10" s="48"/>
      <c r="R10" s="48"/>
      <c r="S10" s="48"/>
      <c r="T10" s="48"/>
    </row>
    <row r="12" spans="1:20">
      <c r="J12" s="5" t="s">
        <v>75</v>
      </c>
      <c r="M12" s="96">
        <f>Data_selected_by_user_testing!D87</f>
        <v>0.5</v>
      </c>
      <c r="O12" s="5" t="s">
        <v>1333</v>
      </c>
      <c r="R12" s="233">
        <f>Data_selected_by_user_testing!D61</f>
        <v>22</v>
      </c>
      <c r="S12" s="5"/>
    </row>
    <row r="13" spans="1:20">
      <c r="B13" s="147"/>
      <c r="R13" s="13"/>
    </row>
    <row r="14" spans="1:20">
      <c r="B14" s="147" t="s">
        <v>1157</v>
      </c>
    </row>
    <row r="16" spans="1:20" ht="15.75">
      <c r="B16" s="77" t="s">
        <v>1424</v>
      </c>
      <c r="O16" s="5" t="s">
        <v>1425</v>
      </c>
      <c r="R16" s="273">
        <f>RAW_DATA_INPUTS!C389</f>
        <v>0.89</v>
      </c>
    </row>
    <row r="18" spans="2:27">
      <c r="B18" s="138" t="str">
        <f>Pupils_data_scenarios!B16</f>
        <v>Academic year</v>
      </c>
      <c r="C18" s="138" t="str">
        <f>Pupils_data_scenarios!C16</f>
        <v>2004/05</v>
      </c>
      <c r="D18" s="138" t="str">
        <f>Pupils_data_scenarios!D16</f>
        <v>2005/06</v>
      </c>
      <c r="E18" s="1005" t="str">
        <f>Pupils_data_scenarios!E16</f>
        <v>2006/07</v>
      </c>
      <c r="F18" s="1005" t="str">
        <f>Pupils_data_scenarios!F16</f>
        <v>2007/08</v>
      </c>
      <c r="G18" s="1005" t="str">
        <f>Pupils_data_scenarios!G16</f>
        <v>2008/09</v>
      </c>
      <c r="H18" s="1005" t="str">
        <f>Pupils_data_scenarios!H16</f>
        <v>2009/10</v>
      </c>
      <c r="I18" s="1005" t="str">
        <f>Pupils_data_scenarios!I16</f>
        <v>2010/11</v>
      </c>
      <c r="J18" s="1005" t="str">
        <f>Pupils_data_scenarios!J16</f>
        <v>2011/12</v>
      </c>
      <c r="K18" s="1005" t="str">
        <f>Pupils_data_scenarios!K16</f>
        <v>2012/13</v>
      </c>
      <c r="L18" s="1005" t="str">
        <f>Pupils_data_scenarios!L16</f>
        <v>2013/14</v>
      </c>
      <c r="M18" s="1005" t="str">
        <f>Pupils_data_scenarios!M16</f>
        <v>2014/15</v>
      </c>
      <c r="N18" s="1005" t="str">
        <f>Pupils_data_scenarios!N16</f>
        <v>2015/16</v>
      </c>
      <c r="O18" s="1005" t="str">
        <f>Pupils_data_scenarios!O16</f>
        <v>2016/17</v>
      </c>
      <c r="P18" s="1005" t="str">
        <f>Pupils_data_scenarios!P16</f>
        <v>2017/18</v>
      </c>
      <c r="Q18" s="1005" t="str">
        <f>Pupils_data_scenarios!Q16</f>
        <v>2018/19</v>
      </c>
      <c r="R18" s="1005" t="str">
        <f>Pupils_data_scenarios!R16</f>
        <v>2019/20</v>
      </c>
      <c r="S18" s="1005" t="str">
        <f>Pupils_data_scenarios!S16</f>
        <v>2020/21</v>
      </c>
      <c r="T18" s="1005" t="str">
        <f>Pupils_data_scenarios!T16</f>
        <v>2021/22</v>
      </c>
      <c r="U18" s="1005" t="str">
        <f>Pupils_data_scenarios!U16</f>
        <v>2022/23</v>
      </c>
      <c r="V18" s="1005" t="str">
        <f>Pupils_data_scenarios!V16</f>
        <v>2023/24</v>
      </c>
      <c r="W18" s="1008" t="str">
        <f>Pupils_data_scenarios!W16</f>
        <v>2024/25</v>
      </c>
      <c r="X18" s="1008" t="str">
        <f>Pupils_data_scenarios!X16</f>
        <v>2025/26</v>
      </c>
      <c r="Y18" s="1008" t="str">
        <f>Pupils_data_scenarios!Y16</f>
        <v>2026/27</v>
      </c>
      <c r="Z18" s="1008" t="str">
        <f>Pupils_data_scenarios!Z16</f>
        <v>2027/28</v>
      </c>
      <c r="AA18" s="1008" t="str">
        <f>Pupils_data_scenarios!AA16</f>
        <v>2028/29</v>
      </c>
    </row>
    <row r="19" spans="2:27" s="312" customFormat="1" ht="25.5">
      <c r="B19" s="149" t="str">
        <f>Pupils_data_scenarios!B17</f>
        <v>Primary age Pupils (FTE) Central</v>
      </c>
      <c r="C19" s="311">
        <f>Data_selected_by_user_testing!D35</f>
        <v>4133670.5</v>
      </c>
      <c r="D19" s="311">
        <f>Data_selected_by_user_testing!E35</f>
        <v>4085271.436729731</v>
      </c>
      <c r="E19" s="311">
        <f>Data_selected_by_user_testing!F35</f>
        <v>4047195.5</v>
      </c>
      <c r="F19" s="311">
        <f>Data_selected_by_user_testing!G35</f>
        <v>4028055.5</v>
      </c>
      <c r="G19" s="311">
        <f>Data_selected_by_user_testing!H35</f>
        <v>4016161.5</v>
      </c>
      <c r="H19" s="311">
        <f>Data_selected_by_user_testing!I35</f>
        <v>4036364.5</v>
      </c>
      <c r="I19" s="311">
        <f>Data_selected_by_user_testing!J35</f>
        <v>4074368</v>
      </c>
      <c r="J19" s="311">
        <f>Data_selected_by_user_testing!K35</f>
        <v>4150277.5</v>
      </c>
      <c r="K19" s="311">
        <f>Data_selected_by_user_testing!L35</f>
        <v>4247394.5</v>
      </c>
      <c r="L19" s="311">
        <f>Data_selected_by_user_testing!M35</f>
        <v>4359000</v>
      </c>
      <c r="M19" s="311">
        <f>Data_selected_by_user_testing!N35</f>
        <v>4463434</v>
      </c>
      <c r="N19" s="311">
        <f>Data_selected_by_user_testing!O35</f>
        <v>4574041.5</v>
      </c>
      <c r="O19" s="311">
        <f>Data_selected_by_user_testing!P35</f>
        <v>4659421</v>
      </c>
      <c r="P19" s="311">
        <f>Data_selected_by_user_testing!Q35</f>
        <v>4717394.1869075894</v>
      </c>
      <c r="Q19" s="311">
        <f>Data_selected_by_user_testing!R35</f>
        <v>4743197.9400571762</v>
      </c>
      <c r="R19" s="311">
        <f>Data_selected_by_user_testing!S35</f>
        <v>4743394.7508921698</v>
      </c>
      <c r="S19" s="311">
        <f>Data_selected_by_user_testing!T35</f>
        <v>4752324.1234839866</v>
      </c>
      <c r="T19" s="311">
        <f>Data_selected_by_user_testing!U35</f>
        <v>4754699.5674540829</v>
      </c>
      <c r="U19" s="311">
        <f>Data_selected_by_user_testing!V35</f>
        <v>4748628.8440450421</v>
      </c>
      <c r="V19" s="311">
        <f>Data_selected_by_user_testing!W35</f>
        <v>4733277.2129678745</v>
      </c>
      <c r="W19" s="311">
        <f>Data_selected_by_user_testing!X35</f>
        <v>4742429.7587460289</v>
      </c>
      <c r="X19" s="311">
        <f>Data_selected_by_user_testing!Y35</f>
        <v>4769065.3698165566</v>
      </c>
      <c r="Y19" s="311">
        <f>Data_selected_by_user_testing!Z35</f>
        <v>4797832.532279524</v>
      </c>
      <c r="Z19" s="311">
        <f>Data_selected_by_user_testing!AA35</f>
        <v>4819809.7676248243</v>
      </c>
      <c r="AA19" s="311">
        <f>Data_selected_by_user_testing!AB35</f>
        <v>4834650.7574622277</v>
      </c>
    </row>
    <row r="20" spans="2:27">
      <c r="B20" s="8" t="s">
        <v>373</v>
      </c>
      <c r="C20" s="191"/>
      <c r="D20" s="212">
        <f>(D19/C19)-1</f>
        <v>-1.1708495698984467E-2</v>
      </c>
      <c r="E20" s="212">
        <f>(E19/D19)-1</f>
        <v>-9.3202954367729296E-3</v>
      </c>
      <c r="F20" s="212">
        <f>(F19/E19)-1</f>
        <v>-4.729200751483309E-3</v>
      </c>
      <c r="G20" s="212">
        <f>(G19/F19)-1</f>
        <v>-2.9527895035209584E-3</v>
      </c>
      <c r="H20" s="212">
        <f>(H19/G19)-1</f>
        <v>5.0304251957995483E-3</v>
      </c>
      <c r="I20" s="212">
        <f t="shared" ref="I20:AA20" si="0">(I19/H19)-1</f>
        <v>9.4152795170010517E-3</v>
      </c>
      <c r="J20" s="212">
        <f t="shared" si="0"/>
        <v>1.8630987677107136E-2</v>
      </c>
      <c r="K20" s="212">
        <f t="shared" si="0"/>
        <v>2.3400122040032167E-2</v>
      </c>
      <c r="L20" s="212">
        <f t="shared" si="0"/>
        <v>2.6276226519575729E-2</v>
      </c>
      <c r="M20" s="212">
        <f t="shared" si="0"/>
        <v>2.3958247304427527E-2</v>
      </c>
      <c r="N20" s="212">
        <f t="shared" si="0"/>
        <v>2.4780807781631831E-2</v>
      </c>
      <c r="O20" s="212">
        <f t="shared" si="0"/>
        <v>1.8666096492565787E-2</v>
      </c>
      <c r="P20" s="212">
        <f t="shared" si="0"/>
        <v>1.2442143971877595E-2</v>
      </c>
      <c r="Q20" s="212">
        <f t="shared" si="0"/>
        <v>5.4699166801031041E-3</v>
      </c>
      <c r="R20" s="212">
        <f t="shared" si="0"/>
        <v>4.1493278897686281E-5</v>
      </c>
      <c r="S20" s="212">
        <f t="shared" si="0"/>
        <v>1.8824856586387995E-3</v>
      </c>
      <c r="T20" s="212">
        <f t="shared" si="0"/>
        <v>4.9984889674470345E-4</v>
      </c>
      <c r="U20" s="212">
        <f t="shared" si="0"/>
        <v>-1.2767838057728964E-3</v>
      </c>
      <c r="V20" s="212">
        <f t="shared" si="0"/>
        <v>-3.2328555423780658E-3</v>
      </c>
      <c r="W20" s="212">
        <f t="shared" si="0"/>
        <v>1.9336593582728323E-3</v>
      </c>
      <c r="X20" s="212">
        <f t="shared" si="0"/>
        <v>5.6164481975522484E-3</v>
      </c>
      <c r="Y20" s="212">
        <f t="shared" si="0"/>
        <v>6.0320335814716408E-3</v>
      </c>
      <c r="Z20" s="212">
        <f t="shared" si="0"/>
        <v>4.5806591200170388E-3</v>
      </c>
      <c r="AA20" s="212">
        <f t="shared" si="0"/>
        <v>3.0791650610553223E-3</v>
      </c>
    </row>
    <row r="22" spans="2:27">
      <c r="B22" s="146" t="s">
        <v>78</v>
      </c>
      <c r="H22" s="147" t="s">
        <v>1426</v>
      </c>
    </row>
    <row r="23" spans="2:27">
      <c r="B23" t="str">
        <f>Stock_calculations!B16</f>
        <v>Qualified stock FTE</v>
      </c>
      <c r="N23" s="2"/>
      <c r="O23" s="303">
        <f>Stock_calculations!C16</f>
        <v>214941.86190000002</v>
      </c>
    </row>
    <row r="24" spans="2:27">
      <c r="B24" t="str">
        <f>Stock_calculations!B17</f>
        <v>Unqualified stock FTE</v>
      </c>
      <c r="N24" s="2"/>
      <c r="O24" s="303">
        <f>Stock_calculations!C17</f>
        <v>7761.9302999999991</v>
      </c>
      <c r="Q24" s="12"/>
    </row>
    <row r="25" spans="2:27">
      <c r="B25" s="12" t="s">
        <v>103</v>
      </c>
      <c r="N25" s="2"/>
      <c r="O25" s="303">
        <f>SUM(O23:O24)</f>
        <v>222703.79220000003</v>
      </c>
      <c r="Q25" s="441"/>
    </row>
    <row r="26" spans="2:27">
      <c r="B26" s="12" t="s">
        <v>1427</v>
      </c>
      <c r="N26" s="95"/>
      <c r="O26" s="309">
        <f>RAW_DATA_INPUTS!C111</f>
        <v>3408.1512948616041</v>
      </c>
      <c r="Q26" s="12"/>
    </row>
    <row r="27" spans="2:27">
      <c r="B27" s="12" t="s">
        <v>1428</v>
      </c>
      <c r="N27" s="95"/>
      <c r="O27" s="309">
        <f>RAW_DATA_INPUTS!D111</f>
        <v>7529</v>
      </c>
      <c r="Q27" s="396"/>
    </row>
    <row r="28" spans="2:27">
      <c r="B28" s="12" t="s">
        <v>1429</v>
      </c>
      <c r="N28" s="2"/>
      <c r="O28" s="309">
        <f>(O27+O26)*R16</f>
        <v>9734.0646524268268</v>
      </c>
      <c r="Q28" s="269"/>
    </row>
    <row r="29" spans="2:27">
      <c r="N29" s="2"/>
      <c r="O29" s="310"/>
      <c r="Q29" s="453"/>
    </row>
    <row r="30" spans="2:27">
      <c r="B30" s="12" t="s">
        <v>76</v>
      </c>
      <c r="N30" s="2"/>
      <c r="O30" s="309">
        <f>O25+O28</f>
        <v>232437.85685242686</v>
      </c>
    </row>
    <row r="31" spans="2:27">
      <c r="N31" s="95"/>
      <c r="O31" s="95"/>
    </row>
    <row r="32" spans="2:27">
      <c r="N32" s="2"/>
    </row>
    <row r="33" spans="2:27">
      <c r="B33" s="146" t="s">
        <v>643</v>
      </c>
      <c r="H33" s="147"/>
      <c r="N33" s="2"/>
      <c r="O33" s="147" t="s">
        <v>354</v>
      </c>
    </row>
    <row r="34" spans="2:27">
      <c r="B34" s="12" t="s">
        <v>104</v>
      </c>
      <c r="N34" s="2"/>
      <c r="O34" s="210">
        <f>O$19/O30</f>
        <v>20.045878339681273</v>
      </c>
      <c r="P34" s="211">
        <f>IF(O34*(1+($M$12*P20))&lt;$R12,O34*(1+($M$12*P20)),$R12)</f>
        <v>20.170585191853803</v>
      </c>
      <c r="Q34" s="211">
        <f>IF(P34*(1+($M$12*Q20))&lt;$R12,P34*(1+($M$12*Q20)),$R12)</f>
        <v>20.225750902047984</v>
      </c>
      <c r="R34" s="211">
        <f t="shared" ref="R34:AA34" si="1">IF(Q34*(1+($M$12*R20))&lt;$R12,Q34*(1+($M$12*R20)),$R12)</f>
        <v>20.226170518409532</v>
      </c>
      <c r="S34" s="211">
        <f t="shared" si="1"/>
        <v>20.245208256374575</v>
      </c>
      <c r="T34" s="211">
        <f t="shared" si="1"/>
        <v>20.250268028880232</v>
      </c>
      <c r="U34" s="211">
        <f t="shared" si="1"/>
        <v>20.237340421739312</v>
      </c>
      <c r="V34" s="211">
        <f t="shared" si="1"/>
        <v>20.204628222666607</v>
      </c>
      <c r="W34" s="211">
        <f t="shared" si="1"/>
        <v>20.2241626568882</v>
      </c>
      <c r="X34" s="211">
        <f t="shared" si="1"/>
        <v>20.280956637838841</v>
      </c>
      <c r="Y34" s="211">
        <f t="shared" si="1"/>
        <v>20.342124343590747</v>
      </c>
      <c r="Z34" s="211">
        <f t="shared" si="1"/>
        <v>20.388714512288242</v>
      </c>
      <c r="AA34" s="211">
        <f t="shared" si="1"/>
        <v>20.420104620971276</v>
      </c>
    </row>
    <row r="36" spans="2:27">
      <c r="B36" s="146" t="s">
        <v>77</v>
      </c>
      <c r="N36" s="12"/>
      <c r="P36" s="147" t="s">
        <v>355</v>
      </c>
    </row>
    <row r="37" spans="2:27" s="5" customFormat="1">
      <c r="B37" s="5" t="s">
        <v>104</v>
      </c>
      <c r="O37" s="13"/>
      <c r="P37" s="313">
        <f>P$19/P34</f>
        <v>233874.9293606405</v>
      </c>
      <c r="Q37" s="313">
        <f t="shared" ref="Q37:AA37" si="2">Q$19/Q34</f>
        <v>234512.82293686795</v>
      </c>
      <c r="R37" s="313">
        <f t="shared" si="2"/>
        <v>234517.68818891392</v>
      </c>
      <c r="S37" s="313">
        <f t="shared" si="2"/>
        <v>234738.21870850009</v>
      </c>
      <c r="T37" s="313">
        <f t="shared" si="2"/>
        <v>234796.87086971366</v>
      </c>
      <c r="U37" s="313">
        <f t="shared" si="2"/>
        <v>234646.8826972926</v>
      </c>
      <c r="V37" s="313">
        <f t="shared" si="2"/>
        <v>234266.97887258511</v>
      </c>
      <c r="W37" s="313">
        <f t="shared" si="2"/>
        <v>234493.25636880161</v>
      </c>
      <c r="X37" s="313">
        <f t="shared" si="2"/>
        <v>235149.92191831602</v>
      </c>
      <c r="Y37" s="313">
        <f t="shared" si="2"/>
        <v>235857.0054553418</v>
      </c>
      <c r="Z37" s="313">
        <f t="shared" si="2"/>
        <v>236395.96134027644</v>
      </c>
      <c r="AA37" s="313">
        <f t="shared" si="2"/>
        <v>236759.35296125183</v>
      </c>
    </row>
    <row r="38" spans="2:27">
      <c r="B38" s="12" t="s">
        <v>373</v>
      </c>
      <c r="Q38" s="237">
        <f>(Q37/P37)-1</f>
        <v>2.7274987446124221E-3</v>
      </c>
      <c r="R38" s="237">
        <f t="shared" ref="R38:Y38" si="3">(R37/Q37)-1</f>
        <v>2.0746209034694374E-5</v>
      </c>
      <c r="S38" s="237">
        <f t="shared" si="3"/>
        <v>9.4035772435430154E-4</v>
      </c>
      <c r="T38" s="237">
        <f t="shared" si="3"/>
        <v>2.4986200174925699E-4</v>
      </c>
      <c r="U38" s="237">
        <f t="shared" si="3"/>
        <v>-6.387997074470686E-4</v>
      </c>
      <c r="V38" s="237">
        <f t="shared" si="3"/>
        <v>-1.6190448402316759E-3</v>
      </c>
      <c r="W38" s="237">
        <f t="shared" si="3"/>
        <v>9.6589582238815197E-4</v>
      </c>
      <c r="X38" s="237">
        <f t="shared" si="3"/>
        <v>2.8003600601700374E-3</v>
      </c>
      <c r="Y38" s="237">
        <f t="shared" si="3"/>
        <v>3.0069477857255222E-3</v>
      </c>
      <c r="Z38" s="237">
        <f>(Z37/Y37)-1</f>
        <v>2.2850959372360258E-3</v>
      </c>
      <c r="AA38" s="237">
        <f>(AA37/Z37)-1</f>
        <v>1.537215859844121E-3</v>
      </c>
    </row>
    <row r="40" spans="2:27">
      <c r="B40" s="146" t="s">
        <v>356</v>
      </c>
      <c r="P40" s="216">
        <f>O28/O30</f>
        <v>4.1878138028982582E-2</v>
      </c>
      <c r="Q40" s="147" t="s">
        <v>371</v>
      </c>
      <c r="R40" s="147"/>
    </row>
    <row r="41" spans="2:27">
      <c r="P41" s="314">
        <f t="shared" ref="P41:AA41" si="4">P37*$P$40</f>
        <v>9794.2465732834535</v>
      </c>
      <c r="Q41" s="314">
        <f t="shared" si="4"/>
        <v>9820.9603685165075</v>
      </c>
      <c r="R41" s="314">
        <f t="shared" si="4"/>
        <v>9821.1641162132346</v>
      </c>
      <c r="S41" s="314">
        <f t="shared" si="4"/>
        <v>9830.3995237520685</v>
      </c>
      <c r="T41" s="314">
        <f t="shared" si="4"/>
        <v>9832.855767055069</v>
      </c>
      <c r="U41" s="314">
        <f t="shared" si="4"/>
        <v>9826.5745416677037</v>
      </c>
      <c r="V41" s="314">
        <f t="shared" si="4"/>
        <v>9810.6648768588657</v>
      </c>
      <c r="W41" s="314">
        <f t="shared" si="4"/>
        <v>9820.1409570782725</v>
      </c>
      <c r="X41" s="314">
        <f t="shared" si="4"/>
        <v>9847.6408875997149</v>
      </c>
      <c r="Y41" s="314">
        <f t="shared" si="4"/>
        <v>9877.2522295613016</v>
      </c>
      <c r="Z41" s="314">
        <f t="shared" si="4"/>
        <v>9899.8226985021265</v>
      </c>
      <c r="AA41" s="314">
        <f t="shared" si="4"/>
        <v>9915.0408629639096</v>
      </c>
    </row>
    <row r="43" spans="2:27" ht="15.75">
      <c r="B43" s="77" t="s">
        <v>1430</v>
      </c>
      <c r="J43" s="147" t="s">
        <v>372</v>
      </c>
    </row>
    <row r="45" spans="2:27">
      <c r="B45" s="8" t="str">
        <f t="shared" ref="B45:AA45" si="5">B18</f>
        <v>Academic year</v>
      </c>
      <c r="C45" s="8" t="str">
        <f t="shared" si="5"/>
        <v>2004/05</v>
      </c>
      <c r="D45" s="8" t="str">
        <f t="shared" si="5"/>
        <v>2005/06</v>
      </c>
      <c r="E45" s="1009" t="str">
        <f t="shared" si="5"/>
        <v>2006/07</v>
      </c>
      <c r="F45" s="1009" t="str">
        <f t="shared" si="5"/>
        <v>2007/08</v>
      </c>
      <c r="G45" s="8" t="str">
        <f t="shared" si="5"/>
        <v>2008/09</v>
      </c>
      <c r="H45" s="8" t="str">
        <f t="shared" si="5"/>
        <v>2009/10</v>
      </c>
      <c r="I45" s="8" t="str">
        <f t="shared" si="5"/>
        <v>2010/11</v>
      </c>
      <c r="J45" s="8" t="str">
        <f t="shared" si="5"/>
        <v>2011/12</v>
      </c>
      <c r="K45" s="8" t="str">
        <f t="shared" si="5"/>
        <v>2012/13</v>
      </c>
      <c r="L45" s="8" t="str">
        <f t="shared" si="5"/>
        <v>2013/14</v>
      </c>
      <c r="M45" s="8" t="str">
        <f t="shared" si="5"/>
        <v>2014/15</v>
      </c>
      <c r="N45" s="8" t="str">
        <f t="shared" si="5"/>
        <v>2015/16</v>
      </c>
      <c r="O45" s="8" t="str">
        <f t="shared" si="5"/>
        <v>2016/17</v>
      </c>
      <c r="P45" s="8" t="str">
        <f t="shared" si="5"/>
        <v>2017/18</v>
      </c>
      <c r="Q45" s="8" t="str">
        <f t="shared" si="5"/>
        <v>2018/19</v>
      </c>
      <c r="R45" s="8" t="str">
        <f t="shared" si="5"/>
        <v>2019/20</v>
      </c>
      <c r="S45" s="8" t="str">
        <f t="shared" si="5"/>
        <v>2020/21</v>
      </c>
      <c r="T45" s="8" t="str">
        <f t="shared" si="5"/>
        <v>2021/22</v>
      </c>
      <c r="U45" s="8" t="str">
        <f t="shared" si="5"/>
        <v>2022/23</v>
      </c>
      <c r="V45" s="8" t="str">
        <f t="shared" si="5"/>
        <v>2023/24</v>
      </c>
      <c r="W45" s="8" t="str">
        <f t="shared" si="5"/>
        <v>2024/25</v>
      </c>
      <c r="X45" s="8" t="str">
        <f t="shared" si="5"/>
        <v>2025/26</v>
      </c>
      <c r="Y45" s="8" t="str">
        <f t="shared" si="5"/>
        <v>2026/27</v>
      </c>
      <c r="Z45" s="8" t="str">
        <f t="shared" si="5"/>
        <v>2027/28</v>
      </c>
      <c r="AA45" s="8" t="str">
        <f t="shared" si="5"/>
        <v>2028/29</v>
      </c>
    </row>
    <row r="46" spans="2:27">
      <c r="B46" s="8" t="s">
        <v>79</v>
      </c>
      <c r="C46" s="8"/>
      <c r="D46" s="8"/>
      <c r="E46" s="1006"/>
      <c r="F46" s="8"/>
      <c r="G46" s="8"/>
      <c r="H46" s="8"/>
      <c r="I46" s="8"/>
      <c r="J46" s="8"/>
      <c r="K46" s="8"/>
      <c r="L46" s="8"/>
      <c r="M46" s="8"/>
      <c r="N46" s="8"/>
      <c r="O46" s="8"/>
      <c r="P46" s="300">
        <f>P37-P41</f>
        <v>224080.68278735704</v>
      </c>
      <c r="Q46" s="300">
        <f t="shared" ref="Q46:AA46" si="6">Q37-Q41</f>
        <v>224691.86256835144</v>
      </c>
      <c r="R46" s="300">
        <f t="shared" si="6"/>
        <v>224696.52407270067</v>
      </c>
      <c r="S46" s="300">
        <f t="shared" si="6"/>
        <v>224907.81918474802</v>
      </c>
      <c r="T46" s="300">
        <f t="shared" si="6"/>
        <v>224964.0151026586</v>
      </c>
      <c r="U46" s="300">
        <f t="shared" si="6"/>
        <v>224820.30815562489</v>
      </c>
      <c r="V46" s="300">
        <f t="shared" si="6"/>
        <v>224456.31399572623</v>
      </c>
      <c r="W46" s="300">
        <f t="shared" si="6"/>
        <v>224673.11541172332</v>
      </c>
      <c r="X46" s="300">
        <f t="shared" si="6"/>
        <v>225302.28103071632</v>
      </c>
      <c r="Y46" s="300">
        <f t="shared" si="6"/>
        <v>225979.7532257805</v>
      </c>
      <c r="Z46" s="300">
        <f t="shared" si="6"/>
        <v>226496.13864177431</v>
      </c>
      <c r="AA46" s="300">
        <f t="shared" si="6"/>
        <v>226844.31209828792</v>
      </c>
    </row>
    <row r="48" spans="2:27">
      <c r="B48" s="5" t="s">
        <v>81</v>
      </c>
      <c r="O48" s="793">
        <f>Data_selected_by_user_testing!D220</f>
        <v>3.2452360303093598E-2</v>
      </c>
      <c r="P48" s="216">
        <f>O24/O25</f>
        <v>3.4853157296169286E-2</v>
      </c>
      <c r="Q48" s="147" t="s">
        <v>1185</v>
      </c>
      <c r="R48" s="2"/>
      <c r="S48" s="2"/>
      <c r="T48" s="2"/>
      <c r="U48" s="2"/>
      <c r="V48" s="2"/>
      <c r="W48" s="2"/>
      <c r="X48" s="2"/>
      <c r="Y48" s="2"/>
      <c r="Z48" s="2"/>
      <c r="AA48" s="2"/>
    </row>
    <row r="49" spans="2:27">
      <c r="B49" s="5" t="s">
        <v>82</v>
      </c>
      <c r="P49" s="314">
        <f>P46*$O$48</f>
        <v>7271.9470547785349</v>
      </c>
      <c r="Q49" s="314">
        <f>Q46*$O$48</f>
        <v>7291.7812812413304</v>
      </c>
      <c r="R49" s="314">
        <f t="shared" ref="R49:AA49" si="7">R46*$O$48</f>
        <v>7291.9325580600262</v>
      </c>
      <c r="S49" s="314">
        <f t="shared" si="7"/>
        <v>7298.7895831664691</v>
      </c>
      <c r="T49" s="314">
        <f t="shared" si="7"/>
        <v>7300.6132733420663</v>
      </c>
      <c r="U49" s="314">
        <f t="shared" si="7"/>
        <v>7295.9496437188709</v>
      </c>
      <c r="V49" s="314">
        <f t="shared" si="7"/>
        <v>7284.1371740936183</v>
      </c>
      <c r="W49" s="314">
        <f t="shared" si="7"/>
        <v>7291.1728917597766</v>
      </c>
      <c r="X49" s="314">
        <f t="shared" si="7"/>
        <v>7311.5908011176562</v>
      </c>
      <c r="Y49" s="314">
        <f t="shared" si="7"/>
        <v>7333.5763728872071</v>
      </c>
      <c r="Z49" s="314">
        <f t="shared" si="7"/>
        <v>7350.3342984623005</v>
      </c>
      <c r="AA49" s="314">
        <f t="shared" si="7"/>
        <v>7361.6333489210538</v>
      </c>
    </row>
    <row r="50" spans="2:27">
      <c r="P50" s="302"/>
      <c r="Q50" s="302"/>
      <c r="R50" s="302"/>
      <c r="S50" s="302"/>
      <c r="T50" s="302"/>
      <c r="U50" s="302"/>
      <c r="V50" s="302"/>
      <c r="W50" s="302"/>
      <c r="X50" s="302"/>
      <c r="Y50" s="302"/>
      <c r="Z50" s="302"/>
      <c r="AA50" s="302"/>
    </row>
    <row r="51" spans="2:27">
      <c r="B51" s="5" t="s">
        <v>83</v>
      </c>
      <c r="P51" s="314">
        <f>P46-P49</f>
        <v>216808.7357325785</v>
      </c>
      <c r="Q51" s="314">
        <f t="shared" ref="Q51:AA51" si="8">Q46-Q49</f>
        <v>217400.08128711011</v>
      </c>
      <c r="R51" s="314">
        <f t="shared" si="8"/>
        <v>217404.59151464066</v>
      </c>
      <c r="S51" s="314">
        <f t="shared" si="8"/>
        <v>217609.02960158154</v>
      </c>
      <c r="T51" s="314">
        <f t="shared" si="8"/>
        <v>217663.40182931654</v>
      </c>
      <c r="U51" s="314">
        <f t="shared" si="8"/>
        <v>217524.35851190603</v>
      </c>
      <c r="V51" s="314">
        <f t="shared" si="8"/>
        <v>217172.1768216326</v>
      </c>
      <c r="W51" s="314">
        <f t="shared" si="8"/>
        <v>217381.94251996354</v>
      </c>
      <c r="X51" s="314">
        <f t="shared" si="8"/>
        <v>217990.69022959867</v>
      </c>
      <c r="Y51" s="314">
        <f t="shared" si="8"/>
        <v>218646.17685289329</v>
      </c>
      <c r="Z51" s="314">
        <f t="shared" si="8"/>
        <v>219145.80434331202</v>
      </c>
      <c r="AA51" s="314">
        <f t="shared" si="8"/>
        <v>219482.67874936687</v>
      </c>
    </row>
    <row r="52" spans="2:27">
      <c r="P52" s="302"/>
      <c r="Q52" s="302"/>
      <c r="R52" s="302"/>
      <c r="S52" s="302"/>
      <c r="T52" s="302"/>
      <c r="U52" s="302"/>
      <c r="V52" s="302"/>
      <c r="W52" s="302"/>
      <c r="X52" s="302"/>
      <c r="Y52" s="302"/>
      <c r="Z52" s="302"/>
      <c r="AA52" s="302"/>
    </row>
    <row r="53" spans="2:27">
      <c r="B53" s="5" t="s">
        <v>84</v>
      </c>
      <c r="P53" s="314">
        <f>P51/$R$16</f>
        <v>243605.32104784102</v>
      </c>
      <c r="Q53" s="314">
        <f t="shared" ref="Q53:AA53" si="9">Q51/$R$16</f>
        <v>244269.7542551799</v>
      </c>
      <c r="R53" s="314">
        <f t="shared" si="9"/>
        <v>244274.82192656255</v>
      </c>
      <c r="S53" s="314">
        <f t="shared" si="9"/>
        <v>244504.52764222646</v>
      </c>
      <c r="T53" s="314">
        <f t="shared" si="9"/>
        <v>244565.62003293994</v>
      </c>
      <c r="U53" s="314">
        <f t="shared" si="9"/>
        <v>244409.39158641128</v>
      </c>
      <c r="V53" s="314">
        <f t="shared" si="9"/>
        <v>244013.68182205909</v>
      </c>
      <c r="W53" s="314">
        <f t="shared" si="9"/>
        <v>244249.37361793657</v>
      </c>
      <c r="X53" s="314">
        <f t="shared" si="9"/>
        <v>244933.35980853782</v>
      </c>
      <c r="Y53" s="314">
        <f t="shared" si="9"/>
        <v>245669.86163246437</v>
      </c>
      <c r="Z53" s="314">
        <f t="shared" si="9"/>
        <v>246231.24083518205</v>
      </c>
      <c r="AA53" s="314">
        <f t="shared" si="9"/>
        <v>246609.75140378298</v>
      </c>
    </row>
    <row r="54" spans="2:27">
      <c r="B54" s="12" t="s">
        <v>373</v>
      </c>
      <c r="Q54" s="237">
        <f>(Q53/P53)-1</f>
        <v>2.7274987446124221E-3</v>
      </c>
      <c r="R54" s="237">
        <f t="shared" ref="R54:Y54" si="10">(R53/Q53)-1</f>
        <v>2.0746209034694374E-5</v>
      </c>
      <c r="S54" s="237">
        <f t="shared" si="10"/>
        <v>9.4035772435430154E-4</v>
      </c>
      <c r="T54" s="237">
        <f t="shared" si="10"/>
        <v>2.4986200174947903E-4</v>
      </c>
      <c r="U54" s="237">
        <f t="shared" si="10"/>
        <v>-6.387997074470686E-4</v>
      </c>
      <c r="V54" s="237">
        <f t="shared" si="10"/>
        <v>-1.619044840231898E-3</v>
      </c>
      <c r="W54" s="237">
        <f t="shared" si="10"/>
        <v>9.6589582238815197E-4</v>
      </c>
      <c r="X54" s="237">
        <f t="shared" si="10"/>
        <v>2.8003600601702594E-3</v>
      </c>
      <c r="Y54" s="237">
        <f t="shared" si="10"/>
        <v>3.0069477857253002E-3</v>
      </c>
      <c r="Z54" s="237">
        <f>(Z53/Y53)-1</f>
        <v>2.2850959372360258E-3</v>
      </c>
      <c r="AA54" s="237">
        <f>(AA53/Z53)-1</f>
        <v>1.537215859844121E-3</v>
      </c>
    </row>
    <row r="56" spans="2:27" ht="15.75">
      <c r="B56" s="77" t="s">
        <v>259</v>
      </c>
    </row>
    <row r="58" spans="2:27">
      <c r="B58" s="147" t="s">
        <v>1431</v>
      </c>
    </row>
    <row r="60" spans="2:27" ht="15.75">
      <c r="B60" s="77" t="s">
        <v>1432</v>
      </c>
      <c r="R60" s="302"/>
    </row>
    <row r="62" spans="2:27">
      <c r="B62" s="8" t="str">
        <f t="shared" ref="B62:AA62" si="11">B45</f>
        <v>Academic year</v>
      </c>
      <c r="C62" s="8" t="str">
        <f t="shared" si="11"/>
        <v>2004/05</v>
      </c>
      <c r="D62" s="8" t="str">
        <f t="shared" si="11"/>
        <v>2005/06</v>
      </c>
      <c r="E62" s="1009" t="str">
        <f t="shared" si="11"/>
        <v>2006/07</v>
      </c>
      <c r="F62" s="1009" t="str">
        <f t="shared" si="11"/>
        <v>2007/08</v>
      </c>
      <c r="G62" s="1009" t="str">
        <f t="shared" si="11"/>
        <v>2008/09</v>
      </c>
      <c r="H62" s="1009" t="str">
        <f t="shared" si="11"/>
        <v>2009/10</v>
      </c>
      <c r="I62" s="1009" t="str">
        <f t="shared" si="11"/>
        <v>2010/11</v>
      </c>
      <c r="J62" s="8" t="str">
        <f t="shared" si="11"/>
        <v>2011/12</v>
      </c>
      <c r="K62" s="8" t="str">
        <f t="shared" si="11"/>
        <v>2012/13</v>
      </c>
      <c r="L62" s="8" t="str">
        <f t="shared" si="11"/>
        <v>2013/14</v>
      </c>
      <c r="M62" s="8" t="str">
        <f t="shared" si="11"/>
        <v>2014/15</v>
      </c>
      <c r="N62" s="8" t="str">
        <f t="shared" si="11"/>
        <v>2015/16</v>
      </c>
      <c r="O62" s="8" t="str">
        <f t="shared" si="11"/>
        <v>2016/17</v>
      </c>
      <c r="P62" s="8" t="str">
        <f t="shared" si="11"/>
        <v>2017/18</v>
      </c>
      <c r="Q62" s="8" t="str">
        <f t="shared" si="11"/>
        <v>2018/19</v>
      </c>
      <c r="R62" s="8" t="str">
        <f t="shared" si="11"/>
        <v>2019/20</v>
      </c>
      <c r="S62" s="8" t="str">
        <f t="shared" si="11"/>
        <v>2020/21</v>
      </c>
      <c r="T62" s="8" t="str">
        <f t="shared" si="11"/>
        <v>2021/22</v>
      </c>
      <c r="U62" s="8" t="str">
        <f t="shared" si="11"/>
        <v>2022/23</v>
      </c>
      <c r="V62" s="8" t="str">
        <f t="shared" si="11"/>
        <v>2023/24</v>
      </c>
      <c r="W62" s="8" t="str">
        <f t="shared" si="11"/>
        <v>2024/25</v>
      </c>
      <c r="X62" s="8" t="str">
        <f t="shared" si="11"/>
        <v>2025/26</v>
      </c>
      <c r="Y62" s="8" t="str">
        <f t="shared" si="11"/>
        <v>2026/27</v>
      </c>
      <c r="Z62" s="8" t="str">
        <f t="shared" si="11"/>
        <v>2027/28</v>
      </c>
      <c r="AA62" s="8" t="str">
        <f t="shared" si="11"/>
        <v>2028/29</v>
      </c>
    </row>
    <row r="63" spans="2:27" s="302" customFormat="1" ht="25.5">
      <c r="B63" s="315" t="str">
        <f>B53</f>
        <v>No. of qualified teachers required by headcount</v>
      </c>
      <c r="C63" s="316"/>
      <c r="D63" s="316"/>
      <c r="E63" s="316"/>
      <c r="F63" s="316"/>
      <c r="G63" s="316"/>
      <c r="H63" s="316"/>
      <c r="I63" s="316"/>
      <c r="J63" s="316"/>
      <c r="K63" s="316"/>
      <c r="L63" s="316"/>
      <c r="M63" s="316"/>
      <c r="N63" s="316"/>
      <c r="O63" s="316"/>
      <c r="P63" s="276">
        <f t="shared" ref="P63:AA63" si="12">P53</f>
        <v>243605.32104784102</v>
      </c>
      <c r="Q63" s="276">
        <f t="shared" si="12"/>
        <v>244269.7542551799</v>
      </c>
      <c r="R63" s="276">
        <f t="shared" si="12"/>
        <v>244274.82192656255</v>
      </c>
      <c r="S63" s="276">
        <f t="shared" si="12"/>
        <v>244504.52764222646</v>
      </c>
      <c r="T63" s="276">
        <f t="shared" si="12"/>
        <v>244565.62003293994</v>
      </c>
      <c r="U63" s="276">
        <f t="shared" si="12"/>
        <v>244409.39158641128</v>
      </c>
      <c r="V63" s="276">
        <f t="shared" si="12"/>
        <v>244013.68182205909</v>
      </c>
      <c r="W63" s="276">
        <f t="shared" si="12"/>
        <v>244249.37361793657</v>
      </c>
      <c r="X63" s="276">
        <f t="shared" si="12"/>
        <v>244933.35980853782</v>
      </c>
      <c r="Y63" s="276">
        <f t="shared" si="12"/>
        <v>245669.86163246437</v>
      </c>
      <c r="Z63" s="276">
        <f t="shared" si="12"/>
        <v>246231.24083518205</v>
      </c>
      <c r="AA63" s="276">
        <f t="shared" si="12"/>
        <v>246609.75140378298</v>
      </c>
    </row>
    <row r="64" spans="2:27">
      <c r="B64" s="117" t="s">
        <v>373</v>
      </c>
      <c r="Q64" s="237">
        <f>(Q63/P63)-1</f>
        <v>2.7274987446124221E-3</v>
      </c>
      <c r="R64" s="237">
        <f t="shared" ref="R64:AA64" si="13">(R63/Q63)-1</f>
        <v>2.0746209034694374E-5</v>
      </c>
      <c r="S64" s="237">
        <f t="shared" si="13"/>
        <v>9.4035772435430154E-4</v>
      </c>
      <c r="T64" s="237">
        <f t="shared" si="13"/>
        <v>2.4986200174947903E-4</v>
      </c>
      <c r="U64" s="237">
        <f t="shared" si="13"/>
        <v>-6.387997074470686E-4</v>
      </c>
      <c r="V64" s="237">
        <f t="shared" si="13"/>
        <v>-1.619044840231898E-3</v>
      </c>
      <c r="W64" s="237">
        <f t="shared" si="13"/>
        <v>9.6589582238815197E-4</v>
      </c>
      <c r="X64" s="237">
        <f t="shared" si="13"/>
        <v>2.8003600601702594E-3</v>
      </c>
      <c r="Y64" s="237">
        <f t="shared" si="13"/>
        <v>3.0069477857253002E-3</v>
      </c>
      <c r="Z64" s="237">
        <f t="shared" si="13"/>
        <v>2.2850959372360258E-3</v>
      </c>
      <c r="AA64" s="237">
        <f t="shared" si="13"/>
        <v>1.537215859844121E-3</v>
      </c>
    </row>
    <row r="73" spans="2:21">
      <c r="B73" s="394" t="s">
        <v>421</v>
      </c>
    </row>
    <row r="75" spans="2:21">
      <c r="B75" s="12" t="s">
        <v>422</v>
      </c>
      <c r="C75" s="395">
        <f>R12</f>
        <v>22</v>
      </c>
      <c r="G75" s="398">
        <f>O34</f>
        <v>20.045878339681273</v>
      </c>
      <c r="H75" s="398">
        <f>P34</f>
        <v>20.170585191853803</v>
      </c>
      <c r="I75" s="398">
        <f t="shared" ref="I75:S75" si="14">Q34</f>
        <v>20.225750902047984</v>
      </c>
      <c r="J75" s="398">
        <f t="shared" si="14"/>
        <v>20.226170518409532</v>
      </c>
      <c r="K75" s="398">
        <f t="shared" si="14"/>
        <v>20.245208256374575</v>
      </c>
      <c r="L75" s="398">
        <f t="shared" si="14"/>
        <v>20.250268028880232</v>
      </c>
      <c r="M75" s="398">
        <f t="shared" si="14"/>
        <v>20.237340421739312</v>
      </c>
      <c r="N75" s="398">
        <f t="shared" si="14"/>
        <v>20.204628222666607</v>
      </c>
      <c r="O75" s="398">
        <f t="shared" si="14"/>
        <v>20.2241626568882</v>
      </c>
      <c r="P75" s="398">
        <f t="shared" si="14"/>
        <v>20.280956637838841</v>
      </c>
      <c r="Q75" s="398">
        <f t="shared" si="14"/>
        <v>20.342124343590747</v>
      </c>
      <c r="R75" s="398">
        <f t="shared" si="14"/>
        <v>20.388714512288242</v>
      </c>
      <c r="S75" s="398">
        <f t="shared" si="14"/>
        <v>20.420104620971276</v>
      </c>
      <c r="T75" s="396"/>
      <c r="U75" s="396"/>
    </row>
    <row r="76" spans="2:21">
      <c r="G76" s="115" t="b">
        <f>G75=$C$75</f>
        <v>0</v>
      </c>
      <c r="H76" s="115" t="b">
        <f t="shared" ref="H76:S76" si="15">H75=$C$75</f>
        <v>0</v>
      </c>
      <c r="I76" s="115" t="b">
        <f t="shared" si="15"/>
        <v>0</v>
      </c>
      <c r="J76" s="115" t="b">
        <f t="shared" si="15"/>
        <v>0</v>
      </c>
      <c r="K76" s="115" t="b">
        <f t="shared" si="15"/>
        <v>0</v>
      </c>
      <c r="L76" s="115" t="b">
        <f t="shared" si="15"/>
        <v>0</v>
      </c>
      <c r="M76" s="115" t="b">
        <f t="shared" si="15"/>
        <v>0</v>
      </c>
      <c r="N76" s="115" t="b">
        <f t="shared" si="15"/>
        <v>0</v>
      </c>
      <c r="O76" s="115" t="b">
        <f t="shared" si="15"/>
        <v>0</v>
      </c>
      <c r="P76" s="115" t="b">
        <f t="shared" si="15"/>
        <v>0</v>
      </c>
      <c r="Q76" s="115" t="b">
        <f t="shared" si="15"/>
        <v>0</v>
      </c>
      <c r="R76" s="115" t="b">
        <f t="shared" si="15"/>
        <v>0</v>
      </c>
      <c r="S76" s="115" t="b">
        <f t="shared" si="15"/>
        <v>0</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AO69"/>
  <sheetViews>
    <sheetView showGridLines="0" workbookViewId="0"/>
  </sheetViews>
  <sheetFormatPr defaultRowHeight="12.75"/>
  <cols>
    <col min="1" max="1" width="12" customWidth="1"/>
    <col min="2" max="2" width="24.85546875" customWidth="1"/>
    <col min="3" max="27" width="9.7109375" customWidth="1"/>
    <col min="28" max="28" width="14.7109375" customWidth="1"/>
  </cols>
  <sheetData>
    <row r="1" spans="1:20" s="65" customFormat="1" ht="15">
      <c r="A1" s="64" t="str">
        <f>ModelBanner</f>
        <v>TSM_201819 Publication</v>
      </c>
      <c r="D1" s="712"/>
      <c r="F1" s="712"/>
    </row>
    <row r="2" spans="1:20" s="65" customFormat="1" ht="15">
      <c r="A2" s="940" t="s">
        <v>13</v>
      </c>
      <c r="B2" s="940" t="s">
        <v>30</v>
      </c>
      <c r="D2" s="712"/>
      <c r="F2" s="712"/>
    </row>
    <row r="3" spans="1:20" s="65" customFormat="1" ht="15">
      <c r="A3" s="66"/>
      <c r="D3" s="712"/>
      <c r="F3" s="712"/>
    </row>
    <row r="4" spans="1:20" s="56" customFormat="1">
      <c r="A4" s="57" t="s">
        <v>26</v>
      </c>
      <c r="B4" s="57"/>
      <c r="C4" s="57"/>
      <c r="D4" s="57"/>
      <c r="E4" s="57"/>
      <c r="F4" s="57"/>
      <c r="G4" s="57"/>
      <c r="H4" s="285"/>
      <c r="I4" s="57"/>
      <c r="J4" s="57"/>
      <c r="K4" s="57"/>
      <c r="L4" s="57"/>
      <c r="M4" s="57"/>
      <c r="N4" s="57"/>
      <c r="O4" s="57"/>
      <c r="P4" s="57"/>
      <c r="Q4" s="57"/>
      <c r="R4" s="57"/>
    </row>
    <row r="5" spans="1:20" s="46" customFormat="1">
      <c r="A5" s="59" t="s">
        <v>1556</v>
      </c>
      <c r="B5" s="59"/>
      <c r="C5" s="59"/>
      <c r="D5" s="59"/>
      <c r="E5" s="59"/>
      <c r="F5" s="59"/>
      <c r="G5" s="59"/>
      <c r="H5" s="59"/>
      <c r="I5" s="59"/>
      <c r="J5" s="59"/>
      <c r="K5" s="59"/>
      <c r="L5" s="59"/>
      <c r="M5" s="59"/>
      <c r="N5" s="59"/>
      <c r="O5" s="59"/>
      <c r="P5" s="59"/>
      <c r="Q5" s="59"/>
      <c r="R5" s="59"/>
      <c r="S5" s="58"/>
      <c r="T5" s="58"/>
    </row>
    <row r="6" spans="1:20" s="45" customFormat="1">
      <c r="A6" s="55" t="s">
        <v>1392</v>
      </c>
      <c r="B6" s="60"/>
      <c r="C6" s="60"/>
      <c r="D6" s="60"/>
      <c r="E6" s="60"/>
      <c r="F6" s="60"/>
      <c r="G6" s="60"/>
      <c r="H6" s="285"/>
      <c r="I6" s="60"/>
      <c r="J6" s="60"/>
      <c r="K6" s="60"/>
      <c r="L6" s="60"/>
      <c r="M6" s="60"/>
      <c r="N6" s="60"/>
      <c r="O6" s="60"/>
      <c r="P6" s="60"/>
      <c r="Q6" s="60"/>
      <c r="R6" s="60"/>
      <c r="S6" s="44"/>
      <c r="T6" s="44"/>
    </row>
    <row r="7" spans="1:20" s="45" customFormat="1">
      <c r="A7" s="53" t="s">
        <v>179</v>
      </c>
      <c r="B7" s="55"/>
      <c r="C7" s="60"/>
      <c r="D7" s="60"/>
      <c r="E7" s="60"/>
      <c r="F7" s="60"/>
      <c r="G7" s="60"/>
      <c r="H7" s="285"/>
      <c r="I7" s="60"/>
      <c r="J7" s="60"/>
      <c r="K7" s="60"/>
      <c r="L7" s="60"/>
      <c r="M7" s="60"/>
      <c r="N7" s="60"/>
      <c r="O7" s="60"/>
      <c r="P7" s="60"/>
      <c r="Q7" s="60"/>
      <c r="R7" s="60"/>
      <c r="S7" s="44"/>
      <c r="T7" s="44"/>
    </row>
    <row r="8" spans="1:20" s="45" customFormat="1">
      <c r="A8" s="55" t="s">
        <v>24</v>
      </c>
      <c r="B8" s="60"/>
      <c r="C8" s="60"/>
      <c r="D8" s="60"/>
      <c r="E8" s="60"/>
      <c r="F8" s="60"/>
      <c r="G8" s="60"/>
      <c r="H8" s="285"/>
      <c r="I8" s="60"/>
      <c r="J8" s="60"/>
      <c r="K8" s="60"/>
      <c r="L8" s="60"/>
      <c r="M8" s="60"/>
      <c r="N8" s="60"/>
      <c r="O8" s="60"/>
      <c r="P8" s="60"/>
      <c r="Q8" s="60"/>
      <c r="R8" s="60"/>
      <c r="S8" s="44"/>
      <c r="T8" s="44"/>
    </row>
    <row r="9" spans="1:20" s="45" customFormat="1">
      <c r="A9" s="53" t="s">
        <v>1450</v>
      </c>
      <c r="B9" s="60"/>
      <c r="C9" s="60"/>
      <c r="D9" s="60"/>
      <c r="E9" s="60"/>
      <c r="F9" s="60"/>
      <c r="G9" s="60"/>
      <c r="H9" s="285"/>
      <c r="I9" s="60"/>
      <c r="J9" s="60"/>
      <c r="K9" s="60"/>
      <c r="L9" s="60"/>
      <c r="M9" s="60"/>
      <c r="N9" s="60"/>
      <c r="O9" s="60"/>
      <c r="P9" s="60"/>
      <c r="Q9" s="60"/>
      <c r="R9" s="60"/>
      <c r="S9" s="44"/>
      <c r="T9" s="44"/>
    </row>
    <row r="10" spans="1:20" s="49" customFormat="1" ht="13.5" customHeight="1">
      <c r="A10" s="268">
        <f>SUM(A13:A2222)</f>
        <v>0</v>
      </c>
      <c r="B10" s="72"/>
      <c r="C10" s="70"/>
      <c r="D10" s="70"/>
      <c r="E10" s="47"/>
      <c r="F10" s="711"/>
      <c r="G10" s="47"/>
      <c r="H10" s="47"/>
      <c r="I10" s="47"/>
      <c r="J10" s="71"/>
      <c r="K10" s="47"/>
      <c r="L10" s="47"/>
      <c r="M10" s="71"/>
      <c r="N10" s="48"/>
      <c r="O10" s="48"/>
      <c r="P10" s="48"/>
      <c r="Q10" s="48"/>
      <c r="R10" s="48"/>
      <c r="S10" s="48"/>
      <c r="T10" s="48"/>
    </row>
    <row r="12" spans="1:20">
      <c r="J12" s="5" t="s">
        <v>75</v>
      </c>
      <c r="M12" s="96">
        <f>Data_selected_by_user_testing!D97</f>
        <v>0.6</v>
      </c>
      <c r="O12" s="5" t="s">
        <v>1333</v>
      </c>
      <c r="R12" s="96">
        <f>Data_selected_by_user_testing!D73</f>
        <v>16</v>
      </c>
      <c r="S12" s="5"/>
    </row>
    <row r="14" spans="1:20">
      <c r="B14" s="147" t="s">
        <v>1157</v>
      </c>
    </row>
    <row r="16" spans="1:20" ht="15.75">
      <c r="B16" s="77" t="s">
        <v>1467</v>
      </c>
      <c r="O16" s="5" t="s">
        <v>1468</v>
      </c>
      <c r="R16" s="273">
        <f>RAW_DATA_INPUTS!D389</f>
        <v>0.93100000000000005</v>
      </c>
    </row>
    <row r="18" spans="1:41">
      <c r="B18" s="138" t="str">
        <f>Pupils_data_scenarios!B16</f>
        <v>Academic year</v>
      </c>
      <c r="C18" s="138" t="str">
        <f>Pupils_data_scenarios!C16</f>
        <v>2004/05</v>
      </c>
      <c r="D18" s="1008" t="str">
        <f>Pupils_data_scenarios!D16</f>
        <v>2005/06</v>
      </c>
      <c r="E18" s="1008" t="str">
        <f>Pupils_data_scenarios!E16</f>
        <v>2006/07</v>
      </c>
      <c r="F18" s="1008" t="str">
        <f>Pupils_data_scenarios!F16</f>
        <v>2007/08</v>
      </c>
      <c r="G18" s="1008" t="str">
        <f>Pupils_data_scenarios!G16</f>
        <v>2008/09</v>
      </c>
      <c r="H18" s="1008" t="str">
        <f>Pupils_data_scenarios!H16</f>
        <v>2009/10</v>
      </c>
      <c r="I18" s="1008" t="str">
        <f>Pupils_data_scenarios!I16</f>
        <v>2010/11</v>
      </c>
      <c r="J18" s="1008" t="str">
        <f>Pupils_data_scenarios!J16</f>
        <v>2011/12</v>
      </c>
      <c r="K18" s="1008" t="str">
        <f>Pupils_data_scenarios!K16</f>
        <v>2012/13</v>
      </c>
      <c r="L18" s="1008" t="str">
        <f>Pupils_data_scenarios!L16</f>
        <v>2013/14</v>
      </c>
      <c r="M18" s="1008" t="str">
        <f>Pupils_data_scenarios!M16</f>
        <v>2014/15</v>
      </c>
      <c r="N18" s="1008" t="str">
        <f>Pupils_data_scenarios!N16</f>
        <v>2015/16</v>
      </c>
      <c r="O18" s="1008" t="str">
        <f>Pupils_data_scenarios!O16</f>
        <v>2016/17</v>
      </c>
      <c r="P18" s="1008" t="str">
        <f>Pupils_data_scenarios!P16</f>
        <v>2017/18</v>
      </c>
      <c r="Q18" s="1008" t="str">
        <f>Pupils_data_scenarios!Q16</f>
        <v>2018/19</v>
      </c>
      <c r="R18" s="1008" t="str">
        <f>Pupils_data_scenarios!R16</f>
        <v>2019/20</v>
      </c>
      <c r="S18" s="1008" t="str">
        <f>Pupils_data_scenarios!S16</f>
        <v>2020/21</v>
      </c>
      <c r="T18" s="1008" t="str">
        <f>Pupils_data_scenarios!T16</f>
        <v>2021/22</v>
      </c>
      <c r="U18" s="1008" t="str">
        <f>Pupils_data_scenarios!U16</f>
        <v>2022/23</v>
      </c>
      <c r="V18" s="1008" t="str">
        <f>Pupils_data_scenarios!V16</f>
        <v>2023/24</v>
      </c>
      <c r="W18" s="1008" t="str">
        <f>Pupils_data_scenarios!W16</f>
        <v>2024/25</v>
      </c>
      <c r="X18" s="1008" t="str">
        <f>Pupils_data_scenarios!X16</f>
        <v>2025/26</v>
      </c>
      <c r="Y18" s="1008" t="str">
        <f>Pupils_data_scenarios!Y16</f>
        <v>2026/27</v>
      </c>
      <c r="Z18" s="1008" t="str">
        <f>Pupils_data_scenarios!Z16</f>
        <v>2027/28</v>
      </c>
      <c r="AA18" s="1008" t="str">
        <f>Pupils_data_scenarios!AA16</f>
        <v>2028/29</v>
      </c>
    </row>
    <row r="19" spans="1:41" s="322" customFormat="1">
      <c r="A19" s="332"/>
      <c r="B19" s="319" t="str">
        <f>Pupils_data_scenarios!B22</f>
        <v>All secondary pupils</v>
      </c>
      <c r="C19" s="307">
        <f>Data_selected_by_user_testing!D36+Data_selected_by_user_testing!D37+Data_selected_by_user_testing!D38</f>
        <v>3308483</v>
      </c>
      <c r="D19" s="307">
        <f>Data_selected_by_user_testing!E36+Data_selected_by_user_testing!E37+Data_selected_by_user_testing!E38</f>
        <v>3305157.563270269</v>
      </c>
      <c r="E19" s="307">
        <f>Data_selected_by_user_testing!F36+Data_selected_by_user_testing!F37+Data_selected_by_user_testing!F38</f>
        <v>3282404</v>
      </c>
      <c r="F19" s="307">
        <f>Data_selected_by_user_testing!G36+Data_selected_by_user_testing!G37+Data_selected_by_user_testing!G38</f>
        <v>3248902.5</v>
      </c>
      <c r="G19" s="307">
        <f>Data_selected_by_user_testing!H36+Data_selected_by_user_testing!H37+Data_selected_by_user_testing!H38</f>
        <v>3231650</v>
      </c>
      <c r="H19" s="307">
        <f>Data_selected_by_user_testing!I36+Data_selected_by_user_testing!I37+Data_selected_by_user_testing!I38</f>
        <v>3227785.5</v>
      </c>
      <c r="I19" s="307">
        <f>Data_selected_by_user_testing!J36+Data_selected_by_user_testing!J37+Data_selected_by_user_testing!J38</f>
        <v>3212254</v>
      </c>
      <c r="J19" s="307">
        <f>Data_selected_by_user_testing!K36+Data_selected_by_user_testing!K37+Data_selected_by_user_testing!K38</f>
        <v>3185686.5</v>
      </c>
      <c r="K19" s="307">
        <f>Data_selected_by_user_testing!L36+Data_selected_by_user_testing!L37+Data_selected_by_user_testing!L38</f>
        <v>3158780</v>
      </c>
      <c r="L19" s="307">
        <f>Data_selected_by_user_testing!M36+Data_selected_by_user_testing!M37+Data_selected_by_user_testing!M38</f>
        <v>3125924</v>
      </c>
      <c r="M19" s="307">
        <f>Data_selected_by_user_testing!N36+Data_selected_by_user_testing!N37+Data_selected_by_user_testing!N38</f>
        <v>3119863.5</v>
      </c>
      <c r="N19" s="307">
        <f>Data_selected_by_user_testing!O36+Data_selected_by_user_testing!O37+Data_selected_by_user_testing!O38</f>
        <v>3122070.5</v>
      </c>
      <c r="O19" s="307">
        <f>Data_selected_by_user_testing!P36+Data_selected_by_user_testing!P37+Data_selected_by_user_testing!P38</f>
        <v>3145583</v>
      </c>
      <c r="P19" s="307">
        <f>Data_selected_by_user_testing!Q36+Data_selected_by_user_testing!Q37+Data_selected_by_user_testing!Q38</f>
        <v>3197180.5600349735</v>
      </c>
      <c r="Q19" s="307">
        <f>Data_selected_by_user_testing!R36+Data_selected_by_user_testing!R37+Data_selected_by_user_testing!R38</f>
        <v>3274228.6548275417</v>
      </c>
      <c r="R19" s="307">
        <f>Data_selected_by_user_testing!S36+Data_selected_by_user_testing!S37+Data_selected_by_user_testing!S38</f>
        <v>3359656.345562675</v>
      </c>
      <c r="S19" s="307">
        <f>Data_selected_by_user_testing!T36+Data_selected_by_user_testing!T37+Data_selected_by_user_testing!T38</f>
        <v>3431462.9098517485</v>
      </c>
      <c r="T19" s="307">
        <f>Data_selected_by_user_testing!U36+Data_selected_by_user_testing!U37+Data_selected_by_user_testing!U38</f>
        <v>3508384.2642579307</v>
      </c>
      <c r="U19" s="307">
        <f>Data_selected_by_user_testing!V36+Data_selected_by_user_testing!V37+Data_selected_by_user_testing!V38</f>
        <v>3589855.437922664</v>
      </c>
      <c r="V19" s="307">
        <f>Data_selected_by_user_testing!W36+Data_selected_by_user_testing!W37+Data_selected_by_user_testing!W38</f>
        <v>3662527.1591678588</v>
      </c>
      <c r="W19" s="307">
        <f>Data_selected_by_user_testing!X36+Data_selected_by_user_testing!X37+Data_selected_by_user_testing!X38</f>
        <v>3688681.2876089499</v>
      </c>
      <c r="X19" s="307">
        <f>Data_selected_by_user_testing!Y36+Data_selected_by_user_testing!Y37+Data_selected_by_user_testing!Y38</f>
        <v>3698533.8733492214</v>
      </c>
      <c r="Y19" s="307">
        <f>Data_selected_by_user_testing!Z36+Data_selected_by_user_testing!Z37+Data_selected_by_user_testing!Z38</f>
        <v>3693590.259872193</v>
      </c>
      <c r="Z19" s="307">
        <f>Data_selected_by_user_testing!AA36+Data_selected_by_user_testing!AA37+Data_selected_by_user_testing!AA38</f>
        <v>3682746.3169983355</v>
      </c>
      <c r="AA19" s="307">
        <f>Data_selected_by_user_testing!AB36+Data_selected_by_user_testing!AB37+Data_selected_by_user_testing!AB38</f>
        <v>3664537.0998463929</v>
      </c>
    </row>
    <row r="20" spans="1:41">
      <c r="B20" s="8" t="s">
        <v>373</v>
      </c>
      <c r="C20" s="191"/>
      <c r="D20" s="212">
        <f t="shared" ref="D20:Z20" si="0">(D19/C19)-1</f>
        <v>-1.0051243212466643E-3</v>
      </c>
      <c r="E20" s="212">
        <f t="shared" ref="E20:O20" si="1">(E19/D19)-1</f>
        <v>-6.8842597772420522E-3</v>
      </c>
      <c r="F20" s="212">
        <f t="shared" si="1"/>
        <v>-1.0206391413122851E-2</v>
      </c>
      <c r="G20" s="212">
        <f t="shared" si="1"/>
        <v>-5.3102547706495029E-3</v>
      </c>
      <c r="H20" s="212">
        <f t="shared" si="1"/>
        <v>-1.1958287562081615E-3</v>
      </c>
      <c r="I20" s="212">
        <f t="shared" si="1"/>
        <v>-4.811812928709136E-3</v>
      </c>
      <c r="J20" s="212">
        <f t="shared" si="1"/>
        <v>-8.2706722444738645E-3</v>
      </c>
      <c r="K20" s="212">
        <f t="shared" si="1"/>
        <v>-8.4460602133951124E-3</v>
      </c>
      <c r="L20" s="212">
        <f t="shared" si="1"/>
        <v>-1.0401484117285809E-2</v>
      </c>
      <c r="M20" s="212">
        <f t="shared" si="1"/>
        <v>-1.9387867395368463E-3</v>
      </c>
      <c r="N20" s="212">
        <f t="shared" si="1"/>
        <v>7.0740274374192502E-4</v>
      </c>
      <c r="O20" s="212">
        <f t="shared" si="1"/>
        <v>7.5310599168083581E-3</v>
      </c>
      <c r="P20" s="212">
        <f t="shared" si="0"/>
        <v>1.6403178690555409E-2</v>
      </c>
      <c r="Q20" s="212">
        <f t="shared" si="0"/>
        <v>2.4098762439530574E-2</v>
      </c>
      <c r="R20" s="212">
        <f t="shared" si="0"/>
        <v>2.6090936138249976E-2</v>
      </c>
      <c r="S20" s="212">
        <f t="shared" si="0"/>
        <v>2.13731872856322E-2</v>
      </c>
      <c r="T20" s="212">
        <f t="shared" si="0"/>
        <v>2.2416490117185939E-2</v>
      </c>
      <c r="U20" s="212">
        <f t="shared" si="0"/>
        <v>2.3221850153282819E-2</v>
      </c>
      <c r="V20" s="212">
        <f t="shared" si="0"/>
        <v>2.0243634458786852E-2</v>
      </c>
      <c r="W20" s="212">
        <f t="shared" si="0"/>
        <v>7.141006006091466E-3</v>
      </c>
      <c r="X20" s="212">
        <f t="shared" si="0"/>
        <v>2.6710319954637018E-3</v>
      </c>
      <c r="Y20" s="212">
        <f t="shared" si="0"/>
        <v>-1.3366413952974332E-3</v>
      </c>
      <c r="Z20" s="212">
        <f t="shared" si="0"/>
        <v>-2.9358813812316864E-3</v>
      </c>
      <c r="AA20" s="212">
        <f>(AA19/Z19)-1</f>
        <v>-4.9444668691663862E-3</v>
      </c>
    </row>
    <row r="21" spans="1:41">
      <c r="A21" s="12"/>
    </row>
    <row r="22" spans="1:41">
      <c r="B22" s="146" t="s">
        <v>78</v>
      </c>
      <c r="H22" s="147" t="s">
        <v>1469</v>
      </c>
    </row>
    <row r="23" spans="1:41">
      <c r="B23" t="str">
        <f>Stock_calculations!B16</f>
        <v>Qualified stock FTE</v>
      </c>
      <c r="N23" s="9"/>
      <c r="O23" s="303">
        <f>Stock_calculations!E38</f>
        <v>194489.64355450662</v>
      </c>
      <c r="P23" s="302"/>
    </row>
    <row r="24" spans="1:41">
      <c r="B24" t="str">
        <f>Stock_calculations!B17</f>
        <v>Unqualified stock FTE</v>
      </c>
      <c r="N24" s="9"/>
      <c r="O24" s="303">
        <f>Stock_calculations!E39</f>
        <v>13826.737561726655</v>
      </c>
    </row>
    <row r="25" spans="1:41">
      <c r="B25" s="12" t="s">
        <v>103</v>
      </c>
      <c r="H25" s="12"/>
      <c r="N25" s="9"/>
      <c r="O25" s="303">
        <f>SUM(O23:O24)</f>
        <v>208316.38111623327</v>
      </c>
    </row>
    <row r="26" spans="1:41">
      <c r="B26" s="12" t="s">
        <v>1460</v>
      </c>
      <c r="H26" s="12"/>
      <c r="N26" s="9"/>
      <c r="O26" s="309">
        <f>RAW_DATA_INPUTS!C112</f>
        <v>2300.8487051383959</v>
      </c>
    </row>
    <row r="27" spans="1:41">
      <c r="B27" s="12" t="s">
        <v>1461</v>
      </c>
      <c r="H27" s="12"/>
      <c r="N27" s="9"/>
      <c r="O27" s="309">
        <f>RAW_DATA_INPUTS!D112</f>
        <v>4547</v>
      </c>
    </row>
    <row r="28" spans="1:41">
      <c r="B28" s="12" t="s">
        <v>1462</v>
      </c>
      <c r="N28" s="9"/>
      <c r="O28" s="309">
        <f>(O27+O26)*R16</f>
        <v>6375.3471444838469</v>
      </c>
      <c r="AB28" s="115"/>
      <c r="AC28" s="115"/>
      <c r="AD28" s="115"/>
      <c r="AE28" s="115"/>
      <c r="AF28" s="115"/>
      <c r="AG28" s="115"/>
      <c r="AH28" s="115"/>
      <c r="AI28" s="115"/>
      <c r="AJ28" s="115"/>
      <c r="AK28" s="115"/>
      <c r="AL28" s="115"/>
      <c r="AM28" s="115"/>
      <c r="AN28" s="115"/>
      <c r="AO28" s="115"/>
    </row>
    <row r="29" spans="1:41">
      <c r="N29" s="2"/>
      <c r="O29" s="2"/>
      <c r="AB29" s="117"/>
      <c r="AC29" s="740"/>
      <c r="AD29" s="740"/>
      <c r="AE29" s="740"/>
      <c r="AF29" s="740"/>
      <c r="AG29" s="740"/>
      <c r="AH29" s="740"/>
      <c r="AI29" s="740"/>
      <c r="AJ29" s="740"/>
      <c r="AK29" s="740"/>
      <c r="AL29" s="740"/>
      <c r="AM29" s="740"/>
      <c r="AN29" s="740"/>
      <c r="AO29" s="740"/>
    </row>
    <row r="30" spans="1:41">
      <c r="A30" s="12"/>
      <c r="B30" s="12" t="s">
        <v>76</v>
      </c>
      <c r="N30" s="2"/>
      <c r="O30" s="309">
        <f>O28+O25</f>
        <v>214691.72826071712</v>
      </c>
      <c r="AB30" s="117"/>
      <c r="AC30" s="740"/>
      <c r="AD30" s="740"/>
      <c r="AE30" s="740"/>
      <c r="AF30" s="740"/>
      <c r="AG30" s="740"/>
      <c r="AH30" s="740"/>
      <c r="AI30" s="740"/>
      <c r="AJ30" s="740"/>
      <c r="AK30" s="740"/>
      <c r="AL30" s="740"/>
      <c r="AM30" s="740"/>
      <c r="AN30" s="740"/>
      <c r="AO30" s="740"/>
    </row>
    <row r="31" spans="1:41">
      <c r="N31" s="95"/>
    </row>
    <row r="32" spans="1:41">
      <c r="N32" s="2"/>
    </row>
    <row r="33" spans="2:27">
      <c r="B33" s="146" t="s">
        <v>643</v>
      </c>
      <c r="H33" s="147"/>
      <c r="N33" s="2"/>
      <c r="O33" s="147" t="s">
        <v>354</v>
      </c>
    </row>
    <row r="34" spans="2:27">
      <c r="B34" s="12" t="s">
        <v>104</v>
      </c>
      <c r="N34" s="2"/>
      <c r="O34" s="210">
        <f>O$19/O30</f>
        <v>14.651626429594298</v>
      </c>
      <c r="P34" s="211">
        <f>IF(O34*(1+($M$12*P20))&lt;$R12,O34*(1+($M$12*P20)),$R12)</f>
        <v>14.795826377453437</v>
      </c>
      <c r="Q34" s="211">
        <f>IF(P34*(1+($M$12*Q20))&lt;$R12,P34*(1+($M$12*Q20)),$R12)</f>
        <v>15.009763040433512</v>
      </c>
      <c r="R34" s="211">
        <f t="shared" ref="R34:AA34" si="2">IF(Q34*(1+($M$12*R20))&lt;$R12,Q34*(1+($M$12*R20)),$R12)</f>
        <v>15.244734301796441</v>
      </c>
      <c r="S34" s="211">
        <f t="shared" si="2"/>
        <v>15.44023143860764</v>
      </c>
      <c r="T34" s="211">
        <f t="shared" si="2"/>
        <v>15.647900915878008</v>
      </c>
      <c r="U34" s="211">
        <f t="shared" si="2"/>
        <v>15.865924842047171</v>
      </c>
      <c r="V34" s="211">
        <f t="shared" si="2"/>
        <v>16</v>
      </c>
      <c r="W34" s="211">
        <f t="shared" si="2"/>
        <v>16</v>
      </c>
      <c r="X34" s="211">
        <f t="shared" si="2"/>
        <v>16</v>
      </c>
      <c r="Y34" s="211">
        <f t="shared" si="2"/>
        <v>15.987168242605145</v>
      </c>
      <c r="Z34" s="211">
        <f t="shared" si="2"/>
        <v>15.959006384855895</v>
      </c>
      <c r="AA34" s="211">
        <f t="shared" si="2"/>
        <v>15.911661117855054</v>
      </c>
    </row>
    <row r="36" spans="2:27">
      <c r="B36" s="146" t="s">
        <v>77</v>
      </c>
      <c r="N36" s="12"/>
      <c r="P36" s="147" t="s">
        <v>355</v>
      </c>
    </row>
    <row r="37" spans="2:27" s="302" customFormat="1">
      <c r="B37" s="320" t="s">
        <v>104</v>
      </c>
      <c r="P37" s="313">
        <f t="shared" ref="P37:AA37" si="3">P$19/P34</f>
        <v>216086.65028044561</v>
      </c>
      <c r="Q37" s="313">
        <f t="shared" si="3"/>
        <v>218139.92972489828</v>
      </c>
      <c r="R37" s="313">
        <f t="shared" si="3"/>
        <v>220381.43001067408</v>
      </c>
      <c r="S37" s="313">
        <f t="shared" si="3"/>
        <v>222241.67581267739</v>
      </c>
      <c r="T37" s="313">
        <f t="shared" si="3"/>
        <v>224207.98055398947</v>
      </c>
      <c r="U37" s="313">
        <f t="shared" si="3"/>
        <v>226261.9717199837</v>
      </c>
      <c r="V37" s="313">
        <f t="shared" si="3"/>
        <v>228907.94744799117</v>
      </c>
      <c r="W37" s="313">
        <f t="shared" si="3"/>
        <v>230542.58047555937</v>
      </c>
      <c r="X37" s="313">
        <f t="shared" si="3"/>
        <v>231158.36708432634</v>
      </c>
      <c r="Y37" s="313">
        <f t="shared" si="3"/>
        <v>231034.67755026979</v>
      </c>
      <c r="Z37" s="313">
        <f t="shared" si="3"/>
        <v>230762.88261235566</v>
      </c>
      <c r="AA37" s="313">
        <f t="shared" si="3"/>
        <v>230305.12482032957</v>
      </c>
    </row>
    <row r="38" spans="2:27">
      <c r="B38" s="12" t="s">
        <v>373</v>
      </c>
      <c r="Q38" s="237">
        <f>(Q37/P37)-1</f>
        <v>9.5021114991964417E-3</v>
      </c>
      <c r="R38" s="237">
        <f t="shared" ref="R38:Y38" si="4">(R37/Q37)-1</f>
        <v>1.0275515760010734E-2</v>
      </c>
      <c r="S38" s="237">
        <f t="shared" si="4"/>
        <v>8.4410279119850884E-3</v>
      </c>
      <c r="T38" s="237">
        <f t="shared" si="4"/>
        <v>8.8475968070427236E-3</v>
      </c>
      <c r="U38" s="237">
        <f t="shared" si="4"/>
        <v>9.1610974815394819E-3</v>
      </c>
      <c r="V38" s="237">
        <f t="shared" si="4"/>
        <v>1.1694301556260056E-2</v>
      </c>
      <c r="W38" s="237">
        <f t="shared" si="4"/>
        <v>7.141006006091466E-3</v>
      </c>
      <c r="X38" s="237">
        <f t="shared" si="4"/>
        <v>2.6710319954637018E-3</v>
      </c>
      <c r="Y38" s="237">
        <f t="shared" si="4"/>
        <v>-5.3508568872795426E-4</v>
      </c>
      <c r="Z38" s="237">
        <f>(Z37/Y37)-1</f>
        <v>-1.1764248587963211E-3</v>
      </c>
      <c r="AA38" s="237">
        <f>(AA37/Z37)-1</f>
        <v>-1.9836716669684451E-3</v>
      </c>
    </row>
    <row r="40" spans="2:27">
      <c r="B40" s="146" t="s">
        <v>356</v>
      </c>
      <c r="P40" s="216">
        <f>O28/O30</f>
        <v>2.9695355271171692E-2</v>
      </c>
      <c r="Q40" s="147" t="s">
        <v>371</v>
      </c>
    </row>
    <row r="41" spans="2:27" s="302" customFormat="1">
      <c r="B41" s="321"/>
      <c r="P41" s="314">
        <f>P37*$P$40</f>
        <v>6416.7698494352644</v>
      </c>
      <c r="Q41" s="314">
        <f t="shared" ref="Q41:AA41" si="5">Q37*$P$40</f>
        <v>6477.7427120092807</v>
      </c>
      <c r="R41" s="314">
        <f t="shared" si="5"/>
        <v>6544.3048593358262</v>
      </c>
      <c r="S41" s="314">
        <f t="shared" si="5"/>
        <v>6599.5455193180196</v>
      </c>
      <c r="T41" s="314">
        <f t="shared" si="5"/>
        <v>6657.9356371826716</v>
      </c>
      <c r="U41" s="314">
        <f t="shared" si="5"/>
        <v>6718.9296345807188</v>
      </c>
      <c r="V41" s="314">
        <f t="shared" si="5"/>
        <v>6797.5028238627974</v>
      </c>
      <c r="W41" s="314">
        <f t="shared" si="5"/>
        <v>6846.0438323544258</v>
      </c>
      <c r="X41" s="314">
        <f t="shared" si="5"/>
        <v>6864.329834472991</v>
      </c>
      <c r="Y41" s="314">
        <f t="shared" si="5"/>
        <v>6860.6568298158563</v>
      </c>
      <c r="Z41" s="314">
        <f t="shared" si="5"/>
        <v>6852.5857825735902</v>
      </c>
      <c r="AA41" s="314">
        <f t="shared" si="5"/>
        <v>6838.9925023112282</v>
      </c>
    </row>
    <row r="42" spans="2:27">
      <c r="B42" s="146"/>
    </row>
    <row r="43" spans="2:27" ht="15.75">
      <c r="B43" s="77" t="s">
        <v>1463</v>
      </c>
    </row>
    <row r="45" spans="2:27">
      <c r="B45" s="8" t="str">
        <f t="shared" ref="B45:AA45" si="6">B18</f>
        <v>Academic year</v>
      </c>
      <c r="C45" s="8" t="str">
        <f t="shared" si="6"/>
        <v>2004/05</v>
      </c>
      <c r="D45" s="1009" t="str">
        <f t="shared" si="6"/>
        <v>2005/06</v>
      </c>
      <c r="E45" s="1009" t="str">
        <f t="shared" si="6"/>
        <v>2006/07</v>
      </c>
      <c r="F45" s="1009" t="str">
        <f t="shared" si="6"/>
        <v>2007/08</v>
      </c>
      <c r="G45" s="1009" t="str">
        <f t="shared" si="6"/>
        <v>2008/09</v>
      </c>
      <c r="H45" s="1009" t="str">
        <f t="shared" si="6"/>
        <v>2009/10</v>
      </c>
      <c r="I45" s="1009" t="str">
        <f t="shared" si="6"/>
        <v>2010/11</v>
      </c>
      <c r="J45" s="1009" t="str">
        <f t="shared" si="6"/>
        <v>2011/12</v>
      </c>
      <c r="K45" s="1009" t="str">
        <f t="shared" si="6"/>
        <v>2012/13</v>
      </c>
      <c r="L45" s="1009" t="str">
        <f t="shared" si="6"/>
        <v>2013/14</v>
      </c>
      <c r="M45" s="1009" t="str">
        <f t="shared" si="6"/>
        <v>2014/15</v>
      </c>
      <c r="N45" s="1009" t="str">
        <f t="shared" si="6"/>
        <v>2015/16</v>
      </c>
      <c r="O45" s="1009" t="str">
        <f t="shared" si="6"/>
        <v>2016/17</v>
      </c>
      <c r="P45" s="8" t="str">
        <f t="shared" si="6"/>
        <v>2017/18</v>
      </c>
      <c r="Q45" s="8" t="str">
        <f t="shared" si="6"/>
        <v>2018/19</v>
      </c>
      <c r="R45" s="8" t="str">
        <f t="shared" si="6"/>
        <v>2019/20</v>
      </c>
      <c r="S45" s="8" t="str">
        <f t="shared" si="6"/>
        <v>2020/21</v>
      </c>
      <c r="T45" s="8" t="str">
        <f t="shared" si="6"/>
        <v>2021/22</v>
      </c>
      <c r="U45" s="8" t="str">
        <f t="shared" si="6"/>
        <v>2022/23</v>
      </c>
      <c r="V45" s="8" t="str">
        <f t="shared" si="6"/>
        <v>2023/24</v>
      </c>
      <c r="W45" s="8" t="str">
        <f t="shared" si="6"/>
        <v>2024/25</v>
      </c>
      <c r="X45" s="8" t="str">
        <f t="shared" si="6"/>
        <v>2025/26</v>
      </c>
      <c r="Y45" s="8" t="str">
        <f t="shared" si="6"/>
        <v>2026/27</v>
      </c>
      <c r="Z45" s="8" t="str">
        <f t="shared" si="6"/>
        <v>2027/28</v>
      </c>
      <c r="AA45" s="8" t="str">
        <f t="shared" si="6"/>
        <v>2028/29</v>
      </c>
    </row>
    <row r="46" spans="2:27" s="302" customFormat="1">
      <c r="B46" s="319" t="s">
        <v>79</v>
      </c>
      <c r="C46" s="319"/>
      <c r="D46" s="319"/>
      <c r="E46" s="319"/>
      <c r="F46" s="319"/>
      <c r="G46" s="319"/>
      <c r="H46" s="319"/>
      <c r="I46" s="319"/>
      <c r="J46" s="319"/>
      <c r="K46" s="319"/>
      <c r="L46" s="319"/>
      <c r="M46" s="319"/>
      <c r="N46" s="319"/>
      <c r="O46" s="319"/>
      <c r="P46" s="300">
        <f>P37-P41</f>
        <v>209669.88043101036</v>
      </c>
      <c r="Q46" s="300">
        <f t="shared" ref="Q46:AA46" si="7">Q37-Q41</f>
        <v>211662.18701288899</v>
      </c>
      <c r="R46" s="300">
        <f t="shared" si="7"/>
        <v>213837.12515133826</v>
      </c>
      <c r="S46" s="300">
        <f t="shared" si="7"/>
        <v>215642.13029335937</v>
      </c>
      <c r="T46" s="300">
        <f t="shared" si="7"/>
        <v>217550.0449168068</v>
      </c>
      <c r="U46" s="300">
        <f t="shared" si="7"/>
        <v>219543.04208540299</v>
      </c>
      <c r="V46" s="300">
        <f t="shared" si="7"/>
        <v>222110.44462412837</v>
      </c>
      <c r="W46" s="300">
        <f t="shared" si="7"/>
        <v>223696.53664320495</v>
      </c>
      <c r="X46" s="300">
        <f t="shared" si="7"/>
        <v>224294.03724985334</v>
      </c>
      <c r="Y46" s="300">
        <f t="shared" si="7"/>
        <v>224174.02072045393</v>
      </c>
      <c r="Z46" s="300">
        <f t="shared" si="7"/>
        <v>223910.29682978208</v>
      </c>
      <c r="AA46" s="300">
        <f t="shared" si="7"/>
        <v>223466.13231801835</v>
      </c>
    </row>
    <row r="49" spans="2:27" ht="15.75">
      <c r="B49" s="77" t="s">
        <v>1464</v>
      </c>
    </row>
    <row r="51" spans="2:27">
      <c r="B51" s="147" t="s">
        <v>1465</v>
      </c>
    </row>
    <row r="53" spans="2:27" ht="15.75">
      <c r="B53" s="77" t="s">
        <v>1466</v>
      </c>
      <c r="R53" s="302"/>
    </row>
    <row r="55" spans="2:27">
      <c r="B55" s="8" t="str">
        <f t="shared" ref="B55:AA55" si="8">B45</f>
        <v>Academic year</v>
      </c>
      <c r="C55" s="8" t="str">
        <f t="shared" si="8"/>
        <v>2004/05</v>
      </c>
      <c r="D55" s="1009" t="str">
        <f t="shared" si="8"/>
        <v>2005/06</v>
      </c>
      <c r="E55" s="1009" t="str">
        <f t="shared" si="8"/>
        <v>2006/07</v>
      </c>
      <c r="F55" s="1009" t="str">
        <f t="shared" si="8"/>
        <v>2007/08</v>
      </c>
      <c r="G55" s="1009" t="str">
        <f t="shared" si="8"/>
        <v>2008/09</v>
      </c>
      <c r="H55" s="1009" t="str">
        <f t="shared" si="8"/>
        <v>2009/10</v>
      </c>
      <c r="I55" s="1009" t="str">
        <f t="shared" si="8"/>
        <v>2010/11</v>
      </c>
      <c r="J55" s="1009" t="str">
        <f t="shared" si="8"/>
        <v>2011/12</v>
      </c>
      <c r="K55" s="8" t="str">
        <f t="shared" si="8"/>
        <v>2012/13</v>
      </c>
      <c r="L55" s="8" t="str">
        <f t="shared" si="8"/>
        <v>2013/14</v>
      </c>
      <c r="M55" s="8" t="str">
        <f t="shared" si="8"/>
        <v>2014/15</v>
      </c>
      <c r="N55" s="8" t="str">
        <f t="shared" si="8"/>
        <v>2015/16</v>
      </c>
      <c r="O55" s="8" t="str">
        <f t="shared" si="8"/>
        <v>2016/17</v>
      </c>
      <c r="P55" s="8" t="str">
        <f t="shared" si="8"/>
        <v>2017/18</v>
      </c>
      <c r="Q55" s="8" t="str">
        <f t="shared" si="8"/>
        <v>2018/19</v>
      </c>
      <c r="R55" s="8" t="str">
        <f t="shared" si="8"/>
        <v>2019/20</v>
      </c>
      <c r="S55" s="8" t="str">
        <f t="shared" si="8"/>
        <v>2020/21</v>
      </c>
      <c r="T55" s="8" t="str">
        <f t="shared" si="8"/>
        <v>2021/22</v>
      </c>
      <c r="U55" s="8" t="str">
        <f t="shared" si="8"/>
        <v>2022/23</v>
      </c>
      <c r="V55" s="8" t="str">
        <f t="shared" si="8"/>
        <v>2023/24</v>
      </c>
      <c r="W55" s="8" t="str">
        <f t="shared" si="8"/>
        <v>2024/25</v>
      </c>
      <c r="X55" s="8" t="str">
        <f t="shared" si="8"/>
        <v>2025/26</v>
      </c>
      <c r="Y55" s="8" t="str">
        <f t="shared" si="8"/>
        <v>2026/27</v>
      </c>
      <c r="Z55" s="8" t="str">
        <f t="shared" si="8"/>
        <v>2027/28</v>
      </c>
      <c r="AA55" s="8" t="str">
        <f t="shared" si="8"/>
        <v>2028/29</v>
      </c>
    </row>
    <row r="56" spans="2:27" s="322" customFormat="1">
      <c r="B56" s="315" t="str">
        <f>B46</f>
        <v>All teachers required FTE</v>
      </c>
      <c r="C56" s="316"/>
      <c r="D56" s="316"/>
      <c r="E56" s="316"/>
      <c r="F56" s="316"/>
      <c r="G56" s="316"/>
      <c r="H56" s="316"/>
      <c r="I56" s="316"/>
      <c r="J56" s="316"/>
      <c r="K56" s="316"/>
      <c r="L56" s="316"/>
      <c r="M56" s="316"/>
      <c r="N56" s="316"/>
      <c r="O56" s="316"/>
      <c r="P56" s="317">
        <f t="shared" ref="P56:AA56" si="9">P46</f>
        <v>209669.88043101036</v>
      </c>
      <c r="Q56" s="317">
        <f t="shared" si="9"/>
        <v>211662.18701288899</v>
      </c>
      <c r="R56" s="317">
        <f t="shared" si="9"/>
        <v>213837.12515133826</v>
      </c>
      <c r="S56" s="317">
        <f t="shared" si="9"/>
        <v>215642.13029335937</v>
      </c>
      <c r="T56" s="317">
        <f t="shared" si="9"/>
        <v>217550.0449168068</v>
      </c>
      <c r="U56" s="317">
        <f t="shared" si="9"/>
        <v>219543.04208540299</v>
      </c>
      <c r="V56" s="317">
        <f t="shared" si="9"/>
        <v>222110.44462412837</v>
      </c>
      <c r="W56" s="317">
        <f t="shared" si="9"/>
        <v>223696.53664320495</v>
      </c>
      <c r="X56" s="317">
        <f t="shared" si="9"/>
        <v>224294.03724985334</v>
      </c>
      <c r="Y56" s="317">
        <f t="shared" si="9"/>
        <v>224174.02072045393</v>
      </c>
      <c r="Z56" s="317">
        <f t="shared" si="9"/>
        <v>223910.29682978208</v>
      </c>
      <c r="AA56" s="317">
        <f t="shared" si="9"/>
        <v>223466.13231801835</v>
      </c>
    </row>
    <row r="57" spans="2:27">
      <c r="B57" s="117" t="s">
        <v>373</v>
      </c>
      <c r="Q57" s="237">
        <f>(Q56/P56)-1</f>
        <v>9.5021114991964417E-3</v>
      </c>
      <c r="R57" s="237">
        <f t="shared" ref="R57:Y57" si="10">(R56/Q56)-1</f>
        <v>1.0275515760010734E-2</v>
      </c>
      <c r="S57" s="237">
        <f t="shared" si="10"/>
        <v>8.4410279119850884E-3</v>
      </c>
      <c r="T57" s="237">
        <f t="shared" si="10"/>
        <v>8.8475968070427236E-3</v>
      </c>
      <c r="U57" s="237">
        <f t="shared" si="10"/>
        <v>9.1610974815397039E-3</v>
      </c>
      <c r="V57" s="237">
        <f t="shared" si="10"/>
        <v>1.1694301556260056E-2</v>
      </c>
      <c r="W57" s="237">
        <f t="shared" si="10"/>
        <v>7.141006006091688E-3</v>
      </c>
      <c r="X57" s="237">
        <f t="shared" si="10"/>
        <v>2.6710319954634798E-3</v>
      </c>
      <c r="Y57" s="237">
        <f t="shared" si="10"/>
        <v>-5.3508568872795426E-4</v>
      </c>
      <c r="Z57" s="237">
        <f>(Z56/Y56)-1</f>
        <v>-1.1764248587963211E-3</v>
      </c>
      <c r="AA57" s="237">
        <f>(AA56/Z56)-1</f>
        <v>-1.9836716669684451E-3</v>
      </c>
    </row>
    <row r="66" spans="2:19">
      <c r="B66" s="394" t="s">
        <v>421</v>
      </c>
    </row>
    <row r="68" spans="2:19">
      <c r="B68" s="12" t="s">
        <v>422</v>
      </c>
      <c r="C68" s="395">
        <f>R12</f>
        <v>16</v>
      </c>
      <c r="G68" s="398">
        <f>O34</f>
        <v>14.651626429594298</v>
      </c>
      <c r="H68" s="398">
        <f t="shared" ref="H68:S68" si="11">P34</f>
        <v>14.795826377453437</v>
      </c>
      <c r="I68" s="398">
        <f t="shared" si="11"/>
        <v>15.009763040433512</v>
      </c>
      <c r="J68" s="398">
        <f t="shared" si="11"/>
        <v>15.244734301796441</v>
      </c>
      <c r="K68" s="398">
        <f t="shared" si="11"/>
        <v>15.44023143860764</v>
      </c>
      <c r="L68" s="398">
        <f t="shared" si="11"/>
        <v>15.647900915878008</v>
      </c>
      <c r="M68" s="398">
        <f t="shared" si="11"/>
        <v>15.865924842047171</v>
      </c>
      <c r="N68" s="398">
        <f t="shared" si="11"/>
        <v>16</v>
      </c>
      <c r="O68" s="398">
        <f t="shared" si="11"/>
        <v>16</v>
      </c>
      <c r="P68" s="398">
        <f t="shared" si="11"/>
        <v>16</v>
      </c>
      <c r="Q68" s="398">
        <f t="shared" si="11"/>
        <v>15.987168242605145</v>
      </c>
      <c r="R68" s="398">
        <f t="shared" si="11"/>
        <v>15.959006384855895</v>
      </c>
      <c r="S68" s="398">
        <f t="shared" si="11"/>
        <v>15.911661117855054</v>
      </c>
    </row>
    <row r="69" spans="2:19">
      <c r="G69" s="115" t="b">
        <f>G68=$C$68</f>
        <v>0</v>
      </c>
      <c r="H69" s="115" t="b">
        <f t="shared" ref="H69:S69" si="12">H68=$C$68</f>
        <v>0</v>
      </c>
      <c r="I69" s="115" t="b">
        <f t="shared" si="12"/>
        <v>0</v>
      </c>
      <c r="J69" s="115" t="b">
        <f t="shared" si="12"/>
        <v>0</v>
      </c>
      <c r="K69" s="115" t="b">
        <f t="shared" si="12"/>
        <v>0</v>
      </c>
      <c r="L69" s="115" t="b">
        <f t="shared" si="12"/>
        <v>0</v>
      </c>
      <c r="M69" s="115" t="b">
        <f t="shared" si="12"/>
        <v>0</v>
      </c>
      <c r="N69" s="115" t="b">
        <f t="shared" si="12"/>
        <v>1</v>
      </c>
      <c r="O69" s="115" t="b">
        <f t="shared" si="12"/>
        <v>1</v>
      </c>
      <c r="P69" s="115" t="b">
        <f t="shared" si="12"/>
        <v>1</v>
      </c>
      <c r="Q69" s="115" t="b">
        <f t="shared" si="12"/>
        <v>0</v>
      </c>
      <c r="R69" s="115" t="b">
        <f t="shared" si="12"/>
        <v>0</v>
      </c>
      <c r="S69" s="115" t="b">
        <f t="shared" si="12"/>
        <v>0</v>
      </c>
    </row>
  </sheetData>
  <hyperlinks>
    <hyperlink ref="A2" location="'Title_&amp;_Contents'!A1" display="Contents"/>
    <hyperlink ref="B2" location="Map_of_sheets!A1" display="Map of sheets"/>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AG649"/>
  <sheetViews>
    <sheetView showGridLines="0" zoomScaleNormal="100" workbookViewId="0"/>
  </sheetViews>
  <sheetFormatPr defaultRowHeight="12.75"/>
  <cols>
    <col min="1" max="1" width="9.42578125" style="10" customWidth="1"/>
    <col min="2" max="2" width="40.7109375" customWidth="1"/>
    <col min="3" max="28" width="19.7109375" customWidth="1"/>
    <col min="29" max="30" width="15.7109375" customWidth="1"/>
  </cols>
  <sheetData>
    <row r="1" spans="1:33" s="65" customFormat="1" ht="15">
      <c r="A1" s="1091" t="str">
        <f>ModelBanner</f>
        <v>TSM_201819 Publication</v>
      </c>
    </row>
    <row r="2" spans="1:33" s="65" customFormat="1" ht="15">
      <c r="A2" s="1092" t="s">
        <v>13</v>
      </c>
      <c r="B2" s="940" t="s">
        <v>30</v>
      </c>
    </row>
    <row r="3" spans="1:33" s="65" customFormat="1" ht="15">
      <c r="A3" s="1093"/>
    </row>
    <row r="4" spans="1:33" s="56" customFormat="1">
      <c r="A4" s="1094" t="s">
        <v>26</v>
      </c>
      <c r="B4" s="57"/>
      <c r="C4" s="57"/>
      <c r="D4" s="57"/>
      <c r="E4" s="285"/>
      <c r="F4" s="57"/>
    </row>
    <row r="5" spans="1:33" s="46" customFormat="1">
      <c r="A5" s="1095" t="s">
        <v>1471</v>
      </c>
      <c r="B5" s="59"/>
      <c r="C5" s="59"/>
      <c r="D5" s="59"/>
      <c r="E5" s="59"/>
      <c r="F5" s="59"/>
      <c r="G5" s="58"/>
      <c r="H5" s="58"/>
      <c r="I5" s="58"/>
      <c r="J5" s="58"/>
      <c r="K5" s="58"/>
      <c r="L5" s="58"/>
      <c r="M5" s="58"/>
      <c r="N5" s="58"/>
      <c r="O5" s="58"/>
      <c r="P5" s="58"/>
      <c r="Q5" s="58"/>
    </row>
    <row r="6" spans="1:33" s="45" customFormat="1">
      <c r="A6" s="1096" t="s">
        <v>1392</v>
      </c>
      <c r="B6" s="60"/>
      <c r="C6" s="60"/>
      <c r="D6" s="60"/>
      <c r="E6" s="285"/>
      <c r="F6" s="60"/>
      <c r="G6" s="44"/>
      <c r="H6" s="44"/>
      <c r="I6" s="44"/>
      <c r="J6" s="44"/>
      <c r="K6" s="44"/>
      <c r="L6" s="44"/>
      <c r="M6" s="44"/>
      <c r="N6" s="44"/>
      <c r="O6" s="44"/>
      <c r="P6" s="44"/>
      <c r="Q6" s="44"/>
    </row>
    <row r="7" spans="1:33" s="45" customFormat="1">
      <c r="A7" s="1097" t="s">
        <v>1472</v>
      </c>
      <c r="B7" s="55"/>
      <c r="C7" s="60"/>
      <c r="D7" s="60"/>
      <c r="E7" s="285"/>
      <c r="F7" s="60"/>
      <c r="G7" s="44"/>
      <c r="H7" s="44"/>
      <c r="I7" s="44"/>
      <c r="J7" s="44"/>
      <c r="K7" s="44"/>
      <c r="L7" s="44"/>
      <c r="M7" s="44"/>
      <c r="N7" s="44"/>
      <c r="O7" s="44"/>
      <c r="P7" s="44"/>
      <c r="Q7" s="44"/>
    </row>
    <row r="8" spans="1:33" s="45" customFormat="1">
      <c r="A8" s="1096" t="s">
        <v>24</v>
      </c>
      <c r="B8" s="60"/>
      <c r="C8" s="60"/>
      <c r="D8" s="60"/>
      <c r="E8" s="285"/>
      <c r="F8" s="60"/>
      <c r="G8" s="44"/>
      <c r="H8" s="44"/>
      <c r="I8" s="44"/>
      <c r="J8" s="44"/>
      <c r="K8" s="44"/>
      <c r="L8" s="44"/>
      <c r="M8" s="44"/>
      <c r="N8" s="44"/>
      <c r="O8" s="44"/>
      <c r="P8" s="44"/>
      <c r="Q8" s="44"/>
    </row>
    <row r="9" spans="1:33" s="45" customFormat="1">
      <c r="A9" s="1097" t="s">
        <v>1450</v>
      </c>
      <c r="B9" s="60"/>
      <c r="C9" s="60"/>
      <c r="D9" s="60"/>
      <c r="E9" s="285"/>
      <c r="F9" s="60"/>
      <c r="G9" s="44"/>
      <c r="H9" s="44"/>
      <c r="I9" s="44"/>
      <c r="J9" s="44"/>
      <c r="K9" s="44"/>
      <c r="L9" s="44"/>
      <c r="M9" s="44"/>
      <c r="N9" s="44"/>
      <c r="O9" s="44"/>
      <c r="P9" s="44"/>
      <c r="Q9" s="44"/>
    </row>
    <row r="10" spans="1:33" s="49" customFormat="1" ht="13.5" customHeight="1">
      <c r="A10" s="268">
        <f>SUM(A13:A2548)</f>
        <v>0</v>
      </c>
      <c r="B10" s="72"/>
      <c r="C10" s="70"/>
      <c r="D10" s="47"/>
      <c r="E10" s="47"/>
      <c r="F10" s="47"/>
      <c r="G10" s="71"/>
      <c r="H10" s="47"/>
      <c r="I10" s="47"/>
      <c r="J10" s="71"/>
      <c r="K10" s="48"/>
      <c r="L10" s="48"/>
      <c r="M10" s="48"/>
      <c r="N10" s="48"/>
      <c r="O10" s="48"/>
      <c r="P10" s="48"/>
      <c r="Q10" s="48"/>
    </row>
    <row r="12" spans="1:33" ht="15.75">
      <c r="B12" s="77" t="s">
        <v>1473</v>
      </c>
      <c r="D12" s="147" t="s">
        <v>400</v>
      </c>
    </row>
    <row r="14" spans="1:33">
      <c r="B14" s="76" t="str">
        <f>Calc_overall_Sec_teacher_need!B55</f>
        <v>Academic year</v>
      </c>
      <c r="C14" s="76" t="str">
        <f>Calc_overall_Sec_teacher_need!C55</f>
        <v>2004/05</v>
      </c>
      <c r="D14" s="76" t="str">
        <f>Calc_overall_Sec_teacher_need!E55</f>
        <v>2006/07</v>
      </c>
      <c r="E14" s="76" t="str">
        <f>Calc_overall_Sec_teacher_need!G55</f>
        <v>2008/09</v>
      </c>
      <c r="F14" s="76" t="str">
        <f>Calc_overall_Sec_teacher_need!H55</f>
        <v>2009/10</v>
      </c>
      <c r="G14" s="76" t="str">
        <f>Calc_overall_Sec_teacher_need!I55</f>
        <v>2010/11</v>
      </c>
      <c r="H14" s="76" t="str">
        <f>Calc_overall_Sec_teacher_need!J55</f>
        <v>2011/12</v>
      </c>
      <c r="I14" s="76" t="str">
        <f>Calc_overall_Sec_teacher_need!K55</f>
        <v>2012/13</v>
      </c>
      <c r="J14" s="76" t="str">
        <f>Calc_overall_Sec_teacher_need!L55</f>
        <v>2013/14</v>
      </c>
      <c r="K14" s="76" t="str">
        <f>Calc_overall_Sec_teacher_need!M55</f>
        <v>2014/15</v>
      </c>
      <c r="L14" s="76" t="str">
        <f>Calc_overall_Sec_teacher_need!N55</f>
        <v>2015/16</v>
      </c>
      <c r="M14" s="76" t="str">
        <f>Calc_overall_Sec_teacher_need!O55</f>
        <v>2016/17</v>
      </c>
      <c r="N14" s="76" t="str">
        <f>Calc_overall_Sec_teacher_need!P55</f>
        <v>2017/18</v>
      </c>
      <c r="O14" s="76" t="str">
        <f>Calc_overall_Sec_teacher_need!Q55</f>
        <v>2018/19</v>
      </c>
      <c r="P14" s="76" t="str">
        <f>Calc_overall_Sec_teacher_need!R55</f>
        <v>2019/20</v>
      </c>
      <c r="Q14" s="76" t="str">
        <f>Calc_overall_Sec_teacher_need!S55</f>
        <v>2020/21</v>
      </c>
      <c r="R14" s="76" t="str">
        <f>Calc_overall_Sec_teacher_need!T55</f>
        <v>2021/22</v>
      </c>
      <c r="S14" s="76" t="str">
        <f>Calc_overall_Sec_teacher_need!U55</f>
        <v>2022/23</v>
      </c>
      <c r="T14" s="76" t="str">
        <f>Calc_overall_Sec_teacher_need!V55</f>
        <v>2023/24</v>
      </c>
      <c r="U14" s="76" t="str">
        <f>Calc_overall_Sec_teacher_need!W55</f>
        <v>2024/25</v>
      </c>
      <c r="V14" s="76" t="str">
        <f>Calc_overall_Sec_teacher_need!X55</f>
        <v>2025/26</v>
      </c>
      <c r="W14" s="76" t="str">
        <f>Calc_overall_Sec_teacher_need!Y55</f>
        <v>2026/27</v>
      </c>
      <c r="X14" s="76" t="str">
        <f>Calc_overall_Sec_teacher_need!Z55</f>
        <v>2027/28</v>
      </c>
      <c r="Y14" s="76" t="str">
        <f>Calc_overall_Sec_teacher_need!AA55</f>
        <v>2028/29</v>
      </c>
      <c r="Z14" s="12"/>
      <c r="AA14" s="12"/>
      <c r="AB14" s="12"/>
      <c r="AC14" s="12"/>
      <c r="AD14" s="12"/>
      <c r="AE14" s="12"/>
      <c r="AF14" s="12"/>
      <c r="AG14" s="12"/>
    </row>
    <row r="15" spans="1:33">
      <c r="B15" s="76" t="str">
        <f>Calc_overall_Sec_teacher_need!B56</f>
        <v>All teachers required FTE</v>
      </c>
      <c r="C15" s="76"/>
      <c r="D15" s="76"/>
      <c r="E15" s="76"/>
      <c r="F15" s="76"/>
      <c r="G15" s="76"/>
      <c r="H15" s="76"/>
      <c r="I15" s="76"/>
      <c r="J15" s="76"/>
      <c r="K15" s="76"/>
      <c r="L15" s="76"/>
      <c r="M15" s="382"/>
      <c r="N15" s="325">
        <f>Calc_overall_Sec_teacher_need!P56</f>
        <v>209669.88043101036</v>
      </c>
      <c r="O15" s="325">
        <f>Calc_overall_Sec_teacher_need!Q56</f>
        <v>211662.18701288899</v>
      </c>
      <c r="P15" s="325">
        <f>Calc_overall_Sec_teacher_need!R56</f>
        <v>213837.12515133826</v>
      </c>
      <c r="Q15" s="325">
        <f>Calc_overall_Sec_teacher_need!S56</f>
        <v>215642.13029335937</v>
      </c>
      <c r="R15" s="325">
        <f>Calc_overall_Sec_teacher_need!T56</f>
        <v>217550.0449168068</v>
      </c>
      <c r="S15" s="325">
        <f>Calc_overall_Sec_teacher_need!U56</f>
        <v>219543.04208540299</v>
      </c>
      <c r="T15" s="325">
        <f>Calc_overall_Sec_teacher_need!V56</f>
        <v>222110.44462412837</v>
      </c>
      <c r="U15" s="325">
        <f>Calc_overall_Sec_teacher_need!W56</f>
        <v>223696.53664320495</v>
      </c>
      <c r="V15" s="325">
        <f>Calc_overall_Sec_teacher_need!X56</f>
        <v>224294.03724985334</v>
      </c>
      <c r="W15" s="325">
        <f>Calc_overall_Sec_teacher_need!Y56</f>
        <v>224174.02072045393</v>
      </c>
      <c r="X15" s="325">
        <f>Calc_overall_Sec_teacher_need!Z56</f>
        <v>223910.29682978208</v>
      </c>
      <c r="Y15" s="325">
        <f>Calc_overall_Sec_teacher_need!AA56</f>
        <v>223466.13231801835</v>
      </c>
      <c r="Z15" s="12"/>
      <c r="AA15" s="12"/>
      <c r="AB15" s="12"/>
      <c r="AC15" s="12"/>
      <c r="AD15" s="12"/>
      <c r="AE15" s="12"/>
      <c r="AF15" s="12"/>
      <c r="AG15" s="12"/>
    </row>
    <row r="16" spans="1:33">
      <c r="C16" s="12"/>
    </row>
    <row r="17" spans="1:9" ht="15.75">
      <c r="B17" s="77" t="s">
        <v>1566</v>
      </c>
    </row>
    <row r="19" spans="1:9">
      <c r="B19" s="1241" t="s">
        <v>59</v>
      </c>
      <c r="C19" s="1205" t="s">
        <v>1751</v>
      </c>
      <c r="D19" s="1205"/>
      <c r="E19" s="1205"/>
    </row>
    <row r="20" spans="1:9">
      <c r="B20" s="1242"/>
      <c r="C20" s="138" t="s">
        <v>1558</v>
      </c>
      <c r="D20" s="8" t="s">
        <v>1559</v>
      </c>
      <c r="E20" s="8" t="s">
        <v>1560</v>
      </c>
    </row>
    <row r="21" spans="1:9" s="5" customFormat="1">
      <c r="A21" s="164"/>
      <c r="B21" s="323" t="str">
        <f>RAW_DATA_INPUTS!B80</f>
        <v>Art &amp; Design</v>
      </c>
      <c r="C21" s="324">
        <f>RAW_DATA_INPUTS!C80</f>
        <v>71056.244999999995</v>
      </c>
      <c r="D21" s="324">
        <f>RAW_DATA_INPUTS!D80</f>
        <v>39806.052000000003</v>
      </c>
      <c r="E21" s="324">
        <f>RAW_DATA_INPUTS!E80</f>
        <v>26791.651000000002</v>
      </c>
      <c r="G21" s="512"/>
      <c r="H21" s="512"/>
      <c r="I21" s="512"/>
    </row>
    <row r="22" spans="1:9" s="5" customFormat="1">
      <c r="A22" s="164"/>
      <c r="B22" s="323" t="str">
        <f>RAW_DATA_INPUTS!B81</f>
        <v>Biology</v>
      </c>
      <c r="C22" s="324">
        <f>RAW_DATA_INPUTS!C81</f>
        <v>81696.452999999994</v>
      </c>
      <c r="D22" s="324">
        <f>RAW_DATA_INPUTS!D81</f>
        <v>80630.94</v>
      </c>
      <c r="E22" s="324">
        <f>RAW_DATA_INPUTS!E81</f>
        <v>37722.311000000002</v>
      </c>
      <c r="G22" s="512"/>
      <c r="H22" s="512"/>
      <c r="I22" s="512"/>
    </row>
    <row r="23" spans="1:9" s="5" customFormat="1">
      <c r="A23" s="164"/>
      <c r="B23" s="323" t="str">
        <f>RAW_DATA_INPUTS!B82</f>
        <v>Business Studies</v>
      </c>
      <c r="C23" s="324">
        <f>RAW_DATA_INPUTS!C82</f>
        <v>5634.2160000000003</v>
      </c>
      <c r="D23" s="324">
        <f>RAW_DATA_INPUTS!D82</f>
        <v>29206.165000000001</v>
      </c>
      <c r="E23" s="324">
        <f>RAW_DATA_INPUTS!E82</f>
        <v>35786.103999999999</v>
      </c>
      <c r="G23" s="512"/>
      <c r="H23" s="512"/>
      <c r="I23" s="512"/>
    </row>
    <row r="24" spans="1:9" s="5" customFormat="1">
      <c r="A24" s="164"/>
      <c r="B24" s="323" t="str">
        <f>RAW_DATA_INPUTS!B83</f>
        <v>Chemistry</v>
      </c>
      <c r="C24" s="324">
        <f>RAW_DATA_INPUTS!C83</f>
        <v>67966.682000000001</v>
      </c>
      <c r="D24" s="324">
        <f>RAW_DATA_INPUTS!D83</f>
        <v>76707.697</v>
      </c>
      <c r="E24" s="324">
        <f>RAW_DATA_INPUTS!E83</f>
        <v>31946.996999999999</v>
      </c>
      <c r="G24" s="512"/>
      <c r="H24" s="512"/>
      <c r="I24" s="512"/>
    </row>
    <row r="25" spans="1:9" s="5" customFormat="1">
      <c r="A25" s="164"/>
      <c r="B25" s="323" t="str">
        <f>RAW_DATA_INPUTS!B84</f>
        <v>Classics</v>
      </c>
      <c r="C25" s="324">
        <f>RAW_DATA_INPUTS!C84</f>
        <v>1807.587</v>
      </c>
      <c r="D25" s="324">
        <f>RAW_DATA_INPUTS!D84</f>
        <v>1478.6120000000001</v>
      </c>
      <c r="E25" s="324">
        <f>RAW_DATA_INPUTS!E84</f>
        <v>1918.1020000000001</v>
      </c>
      <c r="G25" s="512"/>
      <c r="H25" s="512"/>
      <c r="I25" s="512"/>
    </row>
    <row r="26" spans="1:9" s="5" customFormat="1">
      <c r="A26" s="164"/>
      <c r="B26" s="323" t="str">
        <f>RAW_DATA_INPUTS!B85</f>
        <v>Computing</v>
      </c>
      <c r="C26" s="324">
        <f>RAW_DATA_INPUTS!C85</f>
        <v>54082.472999999998</v>
      </c>
      <c r="D26" s="324">
        <f>RAW_DATA_INPUTS!D85</f>
        <v>40419.913</v>
      </c>
      <c r="E26" s="324">
        <f>RAW_DATA_INPUTS!E85</f>
        <v>23121.745999999999</v>
      </c>
      <c r="G26" s="512"/>
      <c r="H26" s="512"/>
      <c r="I26" s="512"/>
    </row>
    <row r="27" spans="1:9" s="5" customFormat="1">
      <c r="A27" s="164"/>
      <c r="B27" s="323" t="str">
        <f>RAW_DATA_INPUTS!B86</f>
        <v>Design &amp; Technology</v>
      </c>
      <c r="C27" s="324">
        <f>RAW_DATA_INPUTS!C86</f>
        <v>101865.11900000001</v>
      </c>
      <c r="D27" s="324">
        <f>RAW_DATA_INPUTS!D86</f>
        <v>45304.892</v>
      </c>
      <c r="E27" s="324">
        <f>RAW_DATA_INPUTS!E86</f>
        <v>19476.332999999999</v>
      </c>
      <c r="G27" s="512"/>
      <c r="H27" s="512"/>
      <c r="I27" s="512"/>
    </row>
    <row r="28" spans="1:9" s="5" customFormat="1">
      <c r="A28" s="164"/>
      <c r="B28" s="323" t="str">
        <f>RAW_DATA_INPUTS!B87</f>
        <v>Drama</v>
      </c>
      <c r="C28" s="324">
        <f>RAW_DATA_INPUTS!C87</f>
        <v>47822.478000000003</v>
      </c>
      <c r="D28" s="324">
        <f>RAW_DATA_INPUTS!D87</f>
        <v>22054.438999999998</v>
      </c>
      <c r="E28" s="324">
        <f>RAW_DATA_INPUTS!E87</f>
        <v>13934.413</v>
      </c>
      <c r="G28" s="512"/>
      <c r="H28" s="512"/>
      <c r="I28" s="512"/>
    </row>
    <row r="29" spans="1:9" s="5" customFormat="1">
      <c r="A29" s="164"/>
      <c r="B29" s="323" t="str">
        <f>RAW_DATA_INPUTS!B88</f>
        <v>English</v>
      </c>
      <c r="C29" s="324">
        <f>RAW_DATA_INPUTS!C88</f>
        <v>260067.88500000001</v>
      </c>
      <c r="D29" s="324">
        <f>RAW_DATA_INPUTS!D88</f>
        <v>207047.321</v>
      </c>
      <c r="E29" s="324">
        <f>RAW_DATA_INPUTS!E88</f>
        <v>48858.016000000003</v>
      </c>
      <c r="G29" s="512"/>
      <c r="H29" s="512"/>
      <c r="I29" s="512"/>
    </row>
    <row r="30" spans="1:9" s="5" customFormat="1">
      <c r="A30" s="164"/>
      <c r="B30" s="323" t="str">
        <f>RAW_DATA_INPUTS!B89</f>
        <v>Food</v>
      </c>
      <c r="C30" s="324">
        <f>RAW_DATA_INPUTS!C89</f>
        <v>14664.427</v>
      </c>
      <c r="D30" s="324">
        <f>RAW_DATA_INPUTS!D89</f>
        <v>17897.319</v>
      </c>
      <c r="E30" s="324">
        <f>RAW_DATA_INPUTS!E89</f>
        <v>2665.0459999999998</v>
      </c>
      <c r="G30" s="512"/>
      <c r="H30" s="512"/>
      <c r="I30" s="512"/>
    </row>
    <row r="31" spans="1:9" s="5" customFormat="1">
      <c r="A31" s="164"/>
      <c r="B31" s="323" t="str">
        <f>RAW_DATA_INPUTS!B90</f>
        <v>Geography</v>
      </c>
      <c r="C31" s="324">
        <f>RAW_DATA_INPUTS!C90</f>
        <v>99315.312000000005</v>
      </c>
      <c r="D31" s="324">
        <f>RAW_DATA_INPUTS!D90</f>
        <v>56129.33</v>
      </c>
      <c r="E31" s="324">
        <f>RAW_DATA_INPUTS!E90</f>
        <v>23087.531999999999</v>
      </c>
      <c r="G31" s="512"/>
      <c r="H31" s="512"/>
      <c r="I31" s="512"/>
    </row>
    <row r="32" spans="1:9" s="5" customFormat="1">
      <c r="A32" s="164"/>
      <c r="B32" s="323" t="str">
        <f>RAW_DATA_INPUTS!B91</f>
        <v>History</v>
      </c>
      <c r="C32" s="324">
        <f>RAW_DATA_INPUTS!C91</f>
        <v>101874.588</v>
      </c>
      <c r="D32" s="324">
        <f>RAW_DATA_INPUTS!D91</f>
        <v>59802.315000000002</v>
      </c>
      <c r="E32" s="324">
        <f>RAW_DATA_INPUTS!E91</f>
        <v>28711.787</v>
      </c>
      <c r="G32" s="512"/>
      <c r="H32" s="512"/>
      <c r="I32" s="512"/>
    </row>
    <row r="33" spans="1:9" s="5" customFormat="1">
      <c r="A33" s="164"/>
      <c r="B33" s="323" t="str">
        <f>RAW_DATA_INPUTS!B92</f>
        <v>Mathematics</v>
      </c>
      <c r="C33" s="324">
        <f>RAW_DATA_INPUTS!C92</f>
        <v>251303.913</v>
      </c>
      <c r="D33" s="324">
        <f>RAW_DATA_INPUTS!D92</f>
        <v>199796.41800000001</v>
      </c>
      <c r="E33" s="324">
        <f>RAW_DATA_INPUTS!E92</f>
        <v>64778.404999999999</v>
      </c>
      <c r="G33" s="512"/>
      <c r="H33" s="512"/>
      <c r="I33" s="512"/>
    </row>
    <row r="34" spans="1:9" s="5" customFormat="1">
      <c r="A34" s="164"/>
      <c r="B34" s="323" t="str">
        <f>RAW_DATA_INPUTS!B93</f>
        <v>Modern Foreign Languages</v>
      </c>
      <c r="C34" s="324">
        <f>RAW_DATA_INPUTS!C93</f>
        <v>148504.981</v>
      </c>
      <c r="D34" s="324">
        <f>RAW_DATA_INPUTS!D93</f>
        <v>71710.183999999994</v>
      </c>
      <c r="E34" s="324">
        <f>RAW_DATA_INPUTS!E93</f>
        <v>24521.109</v>
      </c>
      <c r="G34" s="512"/>
      <c r="H34" s="512"/>
      <c r="I34" s="512"/>
    </row>
    <row r="35" spans="1:9" s="5" customFormat="1">
      <c r="A35" s="164"/>
      <c r="B35" s="323" t="str">
        <f>RAW_DATA_INPUTS!B94</f>
        <v>Music</v>
      </c>
      <c r="C35" s="324">
        <f>RAW_DATA_INPUTS!C94</f>
        <v>54903.881000000001</v>
      </c>
      <c r="D35" s="324">
        <f>RAW_DATA_INPUTS!D94</f>
        <v>17857.437000000002</v>
      </c>
      <c r="E35" s="324">
        <f>RAW_DATA_INPUTS!E94</f>
        <v>11148.754000000001</v>
      </c>
      <c r="G35" s="512"/>
      <c r="H35" s="512"/>
      <c r="I35" s="512"/>
    </row>
    <row r="36" spans="1:9" s="5" customFormat="1">
      <c r="A36" s="164"/>
      <c r="B36" s="323" t="str">
        <f>RAW_DATA_INPUTS!B95</f>
        <v>Others</v>
      </c>
      <c r="C36" s="324">
        <f>RAW_DATA_INPUTS!C95</f>
        <v>59308.925000000003</v>
      </c>
      <c r="D36" s="324">
        <f>RAW_DATA_INPUTS!D95</f>
        <v>67392.100000000006</v>
      </c>
      <c r="E36" s="324">
        <f>RAW_DATA_INPUTS!E95</f>
        <v>128824.522</v>
      </c>
      <c r="G36" s="512"/>
      <c r="H36" s="512"/>
      <c r="I36" s="512"/>
    </row>
    <row r="37" spans="1:9" s="5" customFormat="1">
      <c r="A37" s="164"/>
      <c r="B37" s="323" t="str">
        <f>RAW_DATA_INPUTS!B96</f>
        <v>Physical Education</v>
      </c>
      <c r="C37" s="324">
        <f>RAW_DATA_INPUTS!C96</f>
        <v>142895.329</v>
      </c>
      <c r="D37" s="324">
        <f>RAW_DATA_INPUTS!D96</f>
        <v>104517.289</v>
      </c>
      <c r="E37" s="324">
        <f>RAW_DATA_INPUTS!E96</f>
        <v>28662.151999999998</v>
      </c>
      <c r="G37" s="512"/>
      <c r="H37" s="512"/>
      <c r="I37" s="512"/>
    </row>
    <row r="38" spans="1:9" s="5" customFormat="1">
      <c r="A38" s="164"/>
      <c r="B38" s="323" t="str">
        <f>RAW_DATA_INPUTS!B97</f>
        <v>Physics</v>
      </c>
      <c r="C38" s="324">
        <f>RAW_DATA_INPUTS!C97</f>
        <v>68986.042000000001</v>
      </c>
      <c r="D38" s="324">
        <f>RAW_DATA_INPUTS!D97</f>
        <v>76741.864000000001</v>
      </c>
      <c r="E38" s="324">
        <f>RAW_DATA_INPUTS!E97</f>
        <v>26058.458999999999</v>
      </c>
      <c r="G38" s="512"/>
      <c r="H38" s="512"/>
      <c r="I38" s="512"/>
    </row>
    <row r="39" spans="1:9" s="5" customFormat="1">
      <c r="A39" s="164"/>
      <c r="B39" s="323" t="str">
        <f>RAW_DATA_INPUTS!B98</f>
        <v>Religious Education</v>
      </c>
      <c r="C39" s="324">
        <f>RAW_DATA_INPUTS!C98</f>
        <v>63016.98</v>
      </c>
      <c r="D39" s="324">
        <f>RAW_DATA_INPUTS!D98</f>
        <v>44038.864999999998</v>
      </c>
      <c r="E39" s="324">
        <f>RAW_DATA_INPUTS!E98</f>
        <v>16416.023000000001</v>
      </c>
      <c r="G39" s="512"/>
      <c r="H39" s="512"/>
      <c r="I39" s="512"/>
    </row>
    <row r="40" spans="1:9">
      <c r="B40" s="323" t="str">
        <f>RAW_DATA_INPUTS!B99</f>
        <v>Total</v>
      </c>
      <c r="C40" s="324">
        <f>RAW_DATA_INPUTS!C99</f>
        <v>1696773.5159999998</v>
      </c>
      <c r="D40" s="324">
        <f>RAW_DATA_INPUTS!D99</f>
        <v>1258539.152</v>
      </c>
      <c r="E40" s="324">
        <f>RAW_DATA_INPUTS!E99</f>
        <v>594429.46200000006</v>
      </c>
      <c r="G40" s="512"/>
      <c r="H40" s="512"/>
      <c r="I40" s="512"/>
    </row>
    <row r="41" spans="1:9">
      <c r="C41" s="6"/>
    </row>
    <row r="42" spans="1:9" ht="15.75">
      <c r="B42" s="141" t="s">
        <v>1564</v>
      </c>
      <c r="C42" s="6"/>
    </row>
    <row r="43" spans="1:9">
      <c r="C43" s="6"/>
    </row>
    <row r="44" spans="1:9" ht="25.5">
      <c r="B44" s="1323" t="s">
        <v>1565</v>
      </c>
      <c r="C44" s="549" t="str">
        <f>Pupils_data_scenarios!B50</f>
        <v>Pupils FTE Years 7-9 Central</v>
      </c>
      <c r="D44" s="324">
        <f>Pupils_data_scenarios!C50</f>
        <v>1678899</v>
      </c>
    </row>
    <row r="45" spans="1:9" ht="25.5">
      <c r="B45" s="1323"/>
      <c r="C45" s="549" t="str">
        <f>Pupils_data_scenarios!B51</f>
        <v>Pupils FTE Years 10-11 Central</v>
      </c>
      <c r="D45" s="324">
        <f>Pupils_data_scenarios!C51</f>
        <v>1041875</v>
      </c>
    </row>
    <row r="46" spans="1:9" ht="25.5">
      <c r="C46" s="549" t="str">
        <f>Pupils_data_scenarios!B52</f>
        <v>Pupils FTE Years 12-13 Central</v>
      </c>
      <c r="D46" s="324">
        <f>Pupils_data_scenarios!C52</f>
        <v>424809</v>
      </c>
    </row>
    <row r="47" spans="1:9">
      <c r="C47" s="6"/>
    </row>
    <row r="48" spans="1:9">
      <c r="B48" s="1241" t="s">
        <v>59</v>
      </c>
      <c r="C48" s="1205" t="s">
        <v>383</v>
      </c>
      <c r="D48" s="1205"/>
      <c r="E48" s="1205"/>
    </row>
    <row r="49" spans="2:5">
      <c r="B49" s="1242"/>
      <c r="C49" s="138" t="s">
        <v>1558</v>
      </c>
      <c r="D49" s="8" t="s">
        <v>1559</v>
      </c>
      <c r="E49" s="8" t="s">
        <v>1560</v>
      </c>
    </row>
    <row r="50" spans="2:5">
      <c r="B50" s="189" t="str">
        <f t="shared" ref="B50:B69" si="0">B21</f>
        <v>Art &amp; Design</v>
      </c>
      <c r="C50" s="508">
        <f t="shared" ref="C50:C69" si="1">C21/$D$44</f>
        <v>4.2323120688022325E-2</v>
      </c>
      <c r="D50" s="508">
        <f t="shared" ref="D50:D69" si="2">D21/$D$45</f>
        <v>3.8206168686262754E-2</v>
      </c>
      <c r="E50" s="508">
        <f t="shared" ref="E50:E69" si="3">E21/$D$46</f>
        <v>6.3067522109936464E-2</v>
      </c>
    </row>
    <row r="51" spans="2:5">
      <c r="B51" s="189" t="str">
        <f t="shared" si="0"/>
        <v>Biology</v>
      </c>
      <c r="C51" s="508">
        <f t="shared" si="1"/>
        <v>4.8660731229216284E-2</v>
      </c>
      <c r="D51" s="508">
        <f t="shared" si="2"/>
        <v>7.7390224355128975E-2</v>
      </c>
      <c r="E51" s="508">
        <f t="shared" si="3"/>
        <v>8.8798285817861672E-2</v>
      </c>
    </row>
    <row r="52" spans="2:5">
      <c r="B52" s="189" t="str">
        <f t="shared" si="0"/>
        <v>Business Studies</v>
      </c>
      <c r="C52" s="508">
        <f t="shared" si="1"/>
        <v>3.3558993125852123E-3</v>
      </c>
      <c r="D52" s="508">
        <f t="shared" si="2"/>
        <v>2.8032311937612478E-2</v>
      </c>
      <c r="E52" s="508">
        <f t="shared" si="3"/>
        <v>8.4240456299183863E-2</v>
      </c>
    </row>
    <row r="53" spans="2:5">
      <c r="B53" s="189" t="str">
        <f t="shared" si="0"/>
        <v>Chemistry</v>
      </c>
      <c r="C53" s="508">
        <f t="shared" si="1"/>
        <v>4.0482889083857936E-2</v>
      </c>
      <c r="D53" s="508">
        <f t="shared" si="2"/>
        <v>7.362466418716257E-2</v>
      </c>
      <c r="E53" s="508">
        <f t="shared" si="3"/>
        <v>7.520320190956406E-2</v>
      </c>
    </row>
    <row r="54" spans="2:5">
      <c r="B54" s="189" t="str">
        <f t="shared" si="0"/>
        <v>Classics</v>
      </c>
      <c r="C54" s="508">
        <f t="shared" si="1"/>
        <v>1.0766502332778803E-3</v>
      </c>
      <c r="D54" s="508">
        <f t="shared" si="2"/>
        <v>1.4191836832633475E-3</v>
      </c>
      <c r="E54" s="508">
        <f t="shared" si="3"/>
        <v>4.5152103651287991E-3</v>
      </c>
    </row>
    <row r="55" spans="2:5">
      <c r="B55" s="189" t="str">
        <f t="shared" si="0"/>
        <v>Computing</v>
      </c>
      <c r="C55" s="508">
        <f t="shared" si="1"/>
        <v>3.2213059272773403E-2</v>
      </c>
      <c r="D55" s="508">
        <f t="shared" si="2"/>
        <v>3.8795357408518298E-2</v>
      </c>
      <c r="E55" s="508">
        <f t="shared" si="3"/>
        <v>5.4428569074572337E-2</v>
      </c>
    </row>
    <row r="56" spans="2:5">
      <c r="B56" s="189" t="str">
        <f t="shared" si="0"/>
        <v>Design &amp; Technology</v>
      </c>
      <c r="C56" s="508">
        <f t="shared" si="1"/>
        <v>6.0673762388327113E-2</v>
      </c>
      <c r="D56" s="508">
        <f t="shared" si="2"/>
        <v>4.3483999520095983E-2</v>
      </c>
      <c r="E56" s="508">
        <f t="shared" si="3"/>
        <v>4.5847270184953708E-2</v>
      </c>
    </row>
    <row r="57" spans="2:5">
      <c r="B57" s="189" t="str">
        <f t="shared" si="0"/>
        <v>Drama</v>
      </c>
      <c r="C57" s="508">
        <f t="shared" si="1"/>
        <v>2.8484428187758766E-2</v>
      </c>
      <c r="D57" s="508">
        <f t="shared" si="2"/>
        <v>2.1168027834433112E-2</v>
      </c>
      <c r="E57" s="508">
        <f t="shared" si="3"/>
        <v>3.2801595540584122E-2</v>
      </c>
    </row>
    <row r="58" spans="2:5">
      <c r="B58" s="189" t="str">
        <f t="shared" si="0"/>
        <v>English</v>
      </c>
      <c r="C58" s="508">
        <f t="shared" si="1"/>
        <v>0.15490382983133591</v>
      </c>
      <c r="D58" s="508">
        <f t="shared" si="2"/>
        <v>0.19872568302339533</v>
      </c>
      <c r="E58" s="508">
        <f t="shared" si="3"/>
        <v>0.11501172526947405</v>
      </c>
    </row>
    <row r="59" spans="2:5">
      <c r="B59" s="189" t="str">
        <f t="shared" si="0"/>
        <v>Food</v>
      </c>
      <c r="C59" s="508">
        <f t="shared" si="1"/>
        <v>8.7345498448685721E-3</v>
      </c>
      <c r="D59" s="508">
        <f t="shared" si="2"/>
        <v>1.7177990641871626E-2</v>
      </c>
      <c r="E59" s="508">
        <f t="shared" si="3"/>
        <v>6.2735158624228765E-3</v>
      </c>
    </row>
    <row r="60" spans="2:5">
      <c r="B60" s="189" t="str">
        <f t="shared" si="0"/>
        <v>Geography</v>
      </c>
      <c r="C60" s="508">
        <f t="shared" si="1"/>
        <v>5.9155024810902866E-2</v>
      </c>
      <c r="D60" s="508">
        <f t="shared" si="2"/>
        <v>5.3873382123575286E-2</v>
      </c>
      <c r="E60" s="508">
        <f t="shared" si="3"/>
        <v>5.4348029349660668E-2</v>
      </c>
    </row>
    <row r="61" spans="2:5">
      <c r="B61" s="189" t="str">
        <f t="shared" si="0"/>
        <v>History</v>
      </c>
      <c r="C61" s="508">
        <f t="shared" si="1"/>
        <v>6.0679402394068972E-2</v>
      </c>
      <c r="D61" s="508">
        <f t="shared" si="2"/>
        <v>5.7398742651469707E-2</v>
      </c>
      <c r="E61" s="508">
        <f t="shared" si="3"/>
        <v>6.7587520509217083E-2</v>
      </c>
    </row>
    <row r="62" spans="2:5">
      <c r="B62" s="189" t="str">
        <f t="shared" si="0"/>
        <v>Mathematics</v>
      </c>
      <c r="C62" s="508">
        <f t="shared" si="1"/>
        <v>0.14968375882051274</v>
      </c>
      <c r="D62" s="508">
        <f t="shared" si="2"/>
        <v>0.19176620803839234</v>
      </c>
      <c r="E62" s="508">
        <f t="shared" si="3"/>
        <v>0.15248830650951367</v>
      </c>
    </row>
    <row r="63" spans="2:5">
      <c r="B63" s="189" t="str">
        <f t="shared" si="0"/>
        <v>Modern Foreign Languages</v>
      </c>
      <c r="C63" s="508">
        <f t="shared" si="1"/>
        <v>8.8453790847454195E-2</v>
      </c>
      <c r="D63" s="508">
        <f t="shared" si="2"/>
        <v>6.882801103779243E-2</v>
      </c>
      <c r="E63" s="508">
        <f t="shared" si="3"/>
        <v>5.7722668305050039E-2</v>
      </c>
    </row>
    <row r="64" spans="2:5">
      <c r="B64" s="189" t="str">
        <f t="shared" si="0"/>
        <v>Music</v>
      </c>
      <c r="C64" s="508">
        <f t="shared" si="1"/>
        <v>3.2702313242190272E-2</v>
      </c>
      <c r="D64" s="508">
        <f t="shared" si="2"/>
        <v>1.7139711577684465E-2</v>
      </c>
      <c r="E64" s="508">
        <f t="shared" si="3"/>
        <v>2.6244156785755483E-2</v>
      </c>
    </row>
    <row r="65" spans="1:14">
      <c r="B65" s="189" t="str">
        <f t="shared" si="0"/>
        <v>Others</v>
      </c>
      <c r="C65" s="508">
        <f t="shared" si="1"/>
        <v>3.5326082748277296E-2</v>
      </c>
      <c r="D65" s="508">
        <f t="shared" si="2"/>
        <v>6.4683479304139174E-2</v>
      </c>
      <c r="E65" s="508">
        <f t="shared" si="3"/>
        <v>0.3032528077324162</v>
      </c>
    </row>
    <row r="66" spans="1:14">
      <c r="B66" s="189" t="str">
        <f t="shared" si="0"/>
        <v>Physical Education</v>
      </c>
      <c r="C66" s="508">
        <f t="shared" si="1"/>
        <v>8.5112522551981984E-2</v>
      </c>
      <c r="D66" s="508">
        <f t="shared" si="2"/>
        <v>0.10031653413317337</v>
      </c>
      <c r="E66" s="508">
        <f t="shared" si="3"/>
        <v>6.7470679764317601E-2</v>
      </c>
    </row>
    <row r="67" spans="1:14">
      <c r="B67" s="189" t="str">
        <f t="shared" si="0"/>
        <v>Physics</v>
      </c>
      <c r="C67" s="508">
        <f t="shared" si="1"/>
        <v>4.1090048895139016E-2</v>
      </c>
      <c r="D67" s="508">
        <f t="shared" si="2"/>
        <v>7.3657457948410318E-2</v>
      </c>
      <c r="E67" s="508">
        <f t="shared" si="3"/>
        <v>6.1341588808146719E-2</v>
      </c>
    </row>
    <row r="68" spans="1:14">
      <c r="B68" s="189" t="str">
        <f t="shared" si="0"/>
        <v>Religious Education</v>
      </c>
      <c r="C68" s="508">
        <f t="shared" si="1"/>
        <v>3.7534705780395368E-2</v>
      </c>
      <c r="D68" s="508">
        <f t="shared" si="2"/>
        <v>4.2268856628674266E-2</v>
      </c>
      <c r="E68" s="508">
        <f t="shared" si="3"/>
        <v>3.8643303225684961E-2</v>
      </c>
    </row>
    <row r="69" spans="1:14">
      <c r="B69" s="189" t="str">
        <f t="shared" si="0"/>
        <v>Total</v>
      </c>
      <c r="C69" s="508">
        <f t="shared" si="1"/>
        <v>1.0106465701629459</v>
      </c>
      <c r="D69" s="508">
        <f t="shared" si="2"/>
        <v>1.2079559947210559</v>
      </c>
      <c r="E69" s="508">
        <f t="shared" si="3"/>
        <v>1.3992864134234446</v>
      </c>
    </row>
    <row r="70" spans="1:14">
      <c r="C70" s="12"/>
    </row>
    <row r="71" spans="1:14" ht="15.75">
      <c r="B71" s="141" t="s">
        <v>1561</v>
      </c>
      <c r="D71" s="12"/>
      <c r="E71" s="12"/>
      <c r="F71" s="12"/>
    </row>
    <row r="72" spans="1:14">
      <c r="B72" s="12"/>
      <c r="D72" s="12"/>
      <c r="E72" s="12"/>
      <c r="F72" s="12"/>
    </row>
    <row r="73" spans="1:14">
      <c r="B73" s="256" t="s">
        <v>399</v>
      </c>
      <c r="D73" s="12"/>
      <c r="E73" s="12"/>
      <c r="F73" s="12"/>
    </row>
    <row r="74" spans="1:14">
      <c r="B74" s="12"/>
      <c r="D74" s="12"/>
      <c r="E74" s="12"/>
      <c r="F74" s="12"/>
    </row>
    <row r="75" spans="1:14">
      <c r="B75" s="107" t="s">
        <v>85</v>
      </c>
      <c r="D75" s="256" t="s">
        <v>374</v>
      </c>
      <c r="E75" s="12"/>
      <c r="F75" s="12"/>
    </row>
    <row r="76" spans="1:14">
      <c r="B76" s="107"/>
      <c r="D76" s="12"/>
      <c r="E76" s="12"/>
      <c r="F76" s="12"/>
    </row>
    <row r="77" spans="1:14">
      <c r="B77" s="8" t="s">
        <v>1562</v>
      </c>
      <c r="C77" s="8" t="str">
        <f t="shared" ref="C77:N77" si="4">N14</f>
        <v>2017/18</v>
      </c>
      <c r="D77" s="8" t="str">
        <f t="shared" si="4"/>
        <v>2018/19</v>
      </c>
      <c r="E77" s="8" t="str">
        <f t="shared" si="4"/>
        <v>2019/20</v>
      </c>
      <c r="F77" s="8" t="str">
        <f t="shared" si="4"/>
        <v>2020/21</v>
      </c>
      <c r="G77" s="8" t="str">
        <f t="shared" si="4"/>
        <v>2021/22</v>
      </c>
      <c r="H77" s="8" t="str">
        <f t="shared" si="4"/>
        <v>2022/23</v>
      </c>
      <c r="I77" s="8" t="str">
        <f t="shared" si="4"/>
        <v>2023/24</v>
      </c>
      <c r="J77" s="8" t="str">
        <f t="shared" si="4"/>
        <v>2024/25</v>
      </c>
      <c r="K77" s="8" t="str">
        <f t="shared" si="4"/>
        <v>2025/26</v>
      </c>
      <c r="L77" s="8" t="str">
        <f t="shared" si="4"/>
        <v>2026/27</v>
      </c>
      <c r="M77" s="8" t="str">
        <f t="shared" si="4"/>
        <v>2027/28</v>
      </c>
      <c r="N77" s="8" t="str">
        <f t="shared" si="4"/>
        <v>2028/29</v>
      </c>
    </row>
    <row r="78" spans="1:14" s="320" customFormat="1">
      <c r="A78" s="164"/>
      <c r="B78" s="319" t="s">
        <v>1569</v>
      </c>
      <c r="C78" s="300">
        <f>Data_selected_by_user_testing!Q36</f>
        <v>1724020.9710333012</v>
      </c>
      <c r="D78" s="300">
        <f>Data_selected_by_user_testing!R36</f>
        <v>1772854.5848039868</v>
      </c>
      <c r="E78" s="300">
        <f>Data_selected_by_user_testing!S36</f>
        <v>1834934.1224812306</v>
      </c>
      <c r="F78" s="300">
        <f>Data_selected_by_user_testing!T36</f>
        <v>1879210.7299530376</v>
      </c>
      <c r="G78" s="300">
        <f>Data_selected_by_user_testing!U36</f>
        <v>1914351.168622531</v>
      </c>
      <c r="H78" s="300">
        <f>Data_selected_by_user_testing!V36</f>
        <v>1936762.2517991117</v>
      </c>
      <c r="I78" s="300">
        <f>Data_selected_by_user_testing!W36</f>
        <v>1974817.9779716961</v>
      </c>
      <c r="J78" s="300">
        <f>Data_selected_by_user_testing!X36</f>
        <v>1978504.8643901525</v>
      </c>
      <c r="K78" s="300">
        <f>Data_selected_by_user_testing!Y36</f>
        <v>1953779.1387891811</v>
      </c>
      <c r="L78" s="300">
        <f>Data_selected_by_user_testing!Z36</f>
        <v>1915886.5892006818</v>
      </c>
      <c r="M78" s="300">
        <f>Data_selected_by_user_testing!AA36</f>
        <v>1907012.1075926665</v>
      </c>
      <c r="N78" s="300">
        <f>Data_selected_by_user_testing!AB36</f>
        <v>1919851.9246029067</v>
      </c>
    </row>
    <row r="79" spans="1:14" s="320" customFormat="1">
      <c r="A79" s="164"/>
      <c r="B79" s="319" t="s">
        <v>1588</v>
      </c>
      <c r="C79" s="300">
        <f>Data_selected_by_user_testing!Q37</f>
        <v>1059242.1765030818</v>
      </c>
      <c r="D79" s="300">
        <f>Data_selected_by_user_testing!R37</f>
        <v>1098492.845827396</v>
      </c>
      <c r="E79" s="300">
        <f>Data_selected_by_user_testing!S37</f>
        <v>1128522.0334177609</v>
      </c>
      <c r="F79" s="300">
        <f>Data_selected_by_user_testing!T37</f>
        <v>1154504.7206683625</v>
      </c>
      <c r="G79" s="300">
        <f>Data_selected_by_user_testing!U37</f>
        <v>1189761.543386043</v>
      </c>
      <c r="H79" s="300">
        <f>Data_selected_by_user_testing!V37</f>
        <v>1236679.5493941545</v>
      </c>
      <c r="I79" s="300">
        <f>Data_selected_by_user_testing!W37</f>
        <v>1258969.8278058928</v>
      </c>
      <c r="J79" s="300">
        <f>Data_selected_by_user_testing!X37</f>
        <v>1268399.1996321685</v>
      </c>
      <c r="K79" s="300">
        <f>Data_selected_by_user_testing!Y37</f>
        <v>1293612.6085987107</v>
      </c>
      <c r="L79" s="300">
        <f>Data_selected_by_user_testing!Z37</f>
        <v>1318848.3464785134</v>
      </c>
      <c r="M79" s="300">
        <f>Data_selected_by_user_testing!AA37</f>
        <v>1309459.1785579114</v>
      </c>
      <c r="N79" s="300">
        <f>Data_selected_by_user_testing!AB37</f>
        <v>1272619.0523094554</v>
      </c>
    </row>
    <row r="80" spans="1:14" s="320" customFormat="1">
      <c r="A80" s="164"/>
      <c r="B80" s="319" t="s">
        <v>1605</v>
      </c>
      <c r="C80" s="300">
        <f>Data_selected_by_user_testing!Q38</f>
        <v>413917.41249859042</v>
      </c>
      <c r="D80" s="300">
        <f>Data_selected_by_user_testing!R38</f>
        <v>402881.22419615899</v>
      </c>
      <c r="E80" s="300">
        <f>Data_selected_by_user_testing!S38</f>
        <v>396200.18966368359</v>
      </c>
      <c r="F80" s="300">
        <f>Data_selected_by_user_testing!T38</f>
        <v>397747.45923034835</v>
      </c>
      <c r="G80" s="300">
        <f>Data_selected_by_user_testing!U38</f>
        <v>404271.55224935681</v>
      </c>
      <c r="H80" s="300">
        <f>Data_selected_by_user_testing!V38</f>
        <v>416413.63672939758</v>
      </c>
      <c r="I80" s="300">
        <f>Data_selected_by_user_testing!W38</f>
        <v>428739.35339027015</v>
      </c>
      <c r="J80" s="300">
        <f>Data_selected_by_user_testing!X38</f>
        <v>441777.22358662885</v>
      </c>
      <c r="K80" s="300">
        <f>Data_selected_by_user_testing!Y38</f>
        <v>451142.12596132985</v>
      </c>
      <c r="L80" s="300">
        <f>Data_selected_by_user_testing!Z38</f>
        <v>458855.32419299771</v>
      </c>
      <c r="M80" s="300">
        <f>Data_selected_by_user_testing!AA38</f>
        <v>466275.03084775753</v>
      </c>
      <c r="N80" s="300">
        <f>Data_selected_by_user_testing!AB38</f>
        <v>472066.1229340306</v>
      </c>
    </row>
    <row r="81" spans="1:14">
      <c r="B81" s="12"/>
      <c r="D81" s="12"/>
      <c r="E81" s="12"/>
      <c r="F81" s="12"/>
    </row>
    <row r="82" spans="1:14">
      <c r="B82" s="75" t="s">
        <v>1558</v>
      </c>
      <c r="D82" s="12"/>
      <c r="E82" s="12"/>
      <c r="F82" s="12"/>
    </row>
    <row r="83" spans="1:14">
      <c r="B83" s="12"/>
      <c r="D83" s="12"/>
      <c r="E83" s="12"/>
      <c r="F83" s="12"/>
    </row>
    <row r="84" spans="1:14">
      <c r="B84" s="139" t="s">
        <v>59</v>
      </c>
      <c r="C84" s="8" t="str">
        <f>C77</f>
        <v>2017/18</v>
      </c>
      <c r="D84" s="8" t="str">
        <f t="shared" ref="D84:N84" si="5">D77</f>
        <v>2018/19</v>
      </c>
      <c r="E84" s="8" t="str">
        <f t="shared" si="5"/>
        <v>2019/20</v>
      </c>
      <c r="F84" s="8" t="str">
        <f t="shared" si="5"/>
        <v>2020/21</v>
      </c>
      <c r="G84" s="8" t="str">
        <f t="shared" si="5"/>
        <v>2021/22</v>
      </c>
      <c r="H84" s="8" t="str">
        <f t="shared" si="5"/>
        <v>2022/23</v>
      </c>
      <c r="I84" s="8" t="str">
        <f t="shared" si="5"/>
        <v>2023/24</v>
      </c>
      <c r="J84" s="8" t="str">
        <f t="shared" si="5"/>
        <v>2024/25</v>
      </c>
      <c r="K84" s="8" t="str">
        <f t="shared" si="5"/>
        <v>2025/26</v>
      </c>
      <c r="L84" s="8" t="str">
        <f t="shared" si="5"/>
        <v>2026/27</v>
      </c>
      <c r="M84" s="8" t="str">
        <f t="shared" si="5"/>
        <v>2027/28</v>
      </c>
      <c r="N84" s="8" t="str">
        <f t="shared" si="5"/>
        <v>2028/29</v>
      </c>
    </row>
    <row r="85" spans="1:14" s="5" customFormat="1">
      <c r="A85" s="164"/>
      <c r="B85" s="189" t="str">
        <f t="shared" ref="B85:B104" si="6">B50</f>
        <v>Art &amp; Design</v>
      </c>
      <c r="C85" s="447">
        <f>C$78*$C50</f>
        <v>72965.947625723842</v>
      </c>
      <c r="D85" s="447">
        <f t="shared" ref="D85:N85" si="7">D$78*$C50</f>
        <v>75032.73855497285</v>
      </c>
      <c r="E85" s="447">
        <f t="shared" si="7"/>
        <v>77660.138320343467</v>
      </c>
      <c r="F85" s="447">
        <f t="shared" si="7"/>
        <v>79534.062522028937</v>
      </c>
      <c r="G85" s="447">
        <f t="shared" si="7"/>
        <v>81021.315548867962</v>
      </c>
      <c r="H85" s="447">
        <f t="shared" si="7"/>
        <v>81969.82252689969</v>
      </c>
      <c r="I85" s="447">
        <f t="shared" si="7"/>
        <v>83580.459618572306</v>
      </c>
      <c r="J85" s="447">
        <f t="shared" si="7"/>
        <v>83736.500157423667</v>
      </c>
      <c r="K85" s="447">
        <f t="shared" si="7"/>
        <v>82690.030288714828</v>
      </c>
      <c r="L85" s="447">
        <f t="shared" si="7"/>
        <v>81086.299339303907</v>
      </c>
      <c r="M85" s="447">
        <f t="shared" si="7"/>
        <v>80710.703583164242</v>
      </c>
      <c r="N85" s="447">
        <f t="shared" si="7"/>
        <v>81254.12470810076</v>
      </c>
    </row>
    <row r="86" spans="1:14" s="5" customFormat="1">
      <c r="A86" s="164"/>
      <c r="B86" s="189" t="str">
        <f t="shared" si="6"/>
        <v>Biology</v>
      </c>
      <c r="C86" s="447">
        <f t="shared" ref="C86:N86" si="8">C$78*$C51</f>
        <v>83892.121104983948</v>
      </c>
      <c r="D86" s="447">
        <f t="shared" si="8"/>
        <v>86268.400459630633</v>
      </c>
      <c r="E86" s="447">
        <f>E$78*$C51</f>
        <v>89289.236157377003</v>
      </c>
      <c r="F86" s="447">
        <f t="shared" si="8"/>
        <v>91443.768253304108</v>
      </c>
      <c r="G86" s="447">
        <f t="shared" si="8"/>
        <v>93153.727694677087</v>
      </c>
      <c r="H86" s="447">
        <f t="shared" si="8"/>
        <v>94244.267389688292</v>
      </c>
      <c r="I86" s="447">
        <f t="shared" si="8"/>
        <v>96096.086852705062</v>
      </c>
      <c r="J86" s="447">
        <f t="shared" si="8"/>
        <v>96275.493441786224</v>
      </c>
      <c r="K86" s="447">
        <f t="shared" si="8"/>
        <v>95072.321553870002</v>
      </c>
      <c r="L86" s="447">
        <f t="shared" si="8"/>
        <v>93228.442382754278</v>
      </c>
      <c r="M86" s="447">
        <f t="shared" si="8"/>
        <v>92796.603618428038</v>
      </c>
      <c r="N86" s="447">
        <f t="shared" si="8"/>
        <v>93421.398502995653</v>
      </c>
    </row>
    <row r="87" spans="1:14" s="5" customFormat="1">
      <c r="A87" s="164"/>
      <c r="B87" s="189" t="str">
        <f t="shared" si="6"/>
        <v>Business Studies</v>
      </c>
      <c r="C87" s="447">
        <f t="shared" ref="C87:N87" si="9">C$78*$C52</f>
        <v>5785.6407915731461</v>
      </c>
      <c r="D87" s="447">
        <f t="shared" si="9"/>
        <v>5949.5214824572413</v>
      </c>
      <c r="E87" s="447">
        <f t="shared" si="9"/>
        <v>6157.8541602739115</v>
      </c>
      <c r="F87" s="447">
        <f t="shared" si="9"/>
        <v>6306.4419968521543</v>
      </c>
      <c r="G87" s="447">
        <f t="shared" si="9"/>
        <v>6424.3697708270493</v>
      </c>
      <c r="H87" s="447">
        <f t="shared" si="9"/>
        <v>6499.5791094536271</v>
      </c>
      <c r="I87" s="447">
        <f t="shared" si="9"/>
        <v>6627.2902947561342</v>
      </c>
      <c r="J87" s="447">
        <f t="shared" si="9"/>
        <v>6639.6631143534114</v>
      </c>
      <c r="K87" s="447">
        <f t="shared" si="9"/>
        <v>6556.6860688059414</v>
      </c>
      <c r="L87" s="447">
        <f t="shared" si="9"/>
        <v>6429.5224876897955</v>
      </c>
      <c r="M87" s="447">
        <f t="shared" si="9"/>
        <v>6399.7406209619066</v>
      </c>
      <c r="N87" s="447">
        <f t="shared" si="9"/>
        <v>6442.8297540402918</v>
      </c>
    </row>
    <row r="88" spans="1:14" s="5" customFormat="1">
      <c r="A88" s="164"/>
      <c r="B88" s="189" t="str">
        <f t="shared" si="6"/>
        <v>Chemistry</v>
      </c>
      <c r="C88" s="447">
        <f t="shared" ref="C88:N88" si="10">C$78*$C53</f>
        <v>69793.349748586188</v>
      </c>
      <c r="D88" s="447">
        <f t="shared" si="10"/>
        <v>71770.275518428811</v>
      </c>
      <c r="E88" s="447">
        <f t="shared" si="10"/>
        <v>74283.434556593857</v>
      </c>
      <c r="F88" s="447">
        <f t="shared" si="10"/>
        <v>76075.879545884527</v>
      </c>
      <c r="G88" s="447">
        <f t="shared" si="10"/>
        <v>77498.46602689974</v>
      </c>
      <c r="H88" s="447">
        <f t="shared" si="10"/>
        <v>78405.731421386372</v>
      </c>
      <c r="I88" s="447">
        <f t="shared" si="10"/>
        <v>79946.337163036776</v>
      </c>
      <c r="J88" s="447">
        <f t="shared" si="10"/>
        <v>80095.592976979926</v>
      </c>
      <c r="K88" s="447">
        <f t="shared" si="10"/>
        <v>79094.624169957897</v>
      </c>
      <c r="L88" s="447">
        <f t="shared" si="10"/>
        <v>77560.624287862098</v>
      </c>
      <c r="M88" s="447">
        <f t="shared" si="10"/>
        <v>77201.359633248081</v>
      </c>
      <c r="N88" s="447">
        <f t="shared" si="10"/>
        <v>77721.152521130658</v>
      </c>
    </row>
    <row r="89" spans="1:14" s="5" customFormat="1">
      <c r="A89" s="164"/>
      <c r="B89" s="189" t="str">
        <f t="shared" si="6"/>
        <v>Classics</v>
      </c>
      <c r="C89" s="447">
        <f t="shared" ref="C89:N89" si="11">C$78*$C54</f>
        <v>1856.1675806389615</v>
      </c>
      <c r="D89" s="447">
        <f t="shared" si="11"/>
        <v>1908.7443022969719</v>
      </c>
      <c r="E89" s="447">
        <f t="shared" si="11"/>
        <v>1975.5822510189596</v>
      </c>
      <c r="F89" s="447">
        <f t="shared" si="11"/>
        <v>2023.2526707822335</v>
      </c>
      <c r="G89" s="447">
        <f t="shared" si="11"/>
        <v>2061.0866322732309</v>
      </c>
      <c r="H89" s="447">
        <f t="shared" si="11"/>
        <v>2085.2155302033061</v>
      </c>
      <c r="I89" s="447">
        <f t="shared" si="11"/>
        <v>2126.1882366645782</v>
      </c>
      <c r="J89" s="447">
        <f t="shared" si="11"/>
        <v>2130.1577237870783</v>
      </c>
      <c r="K89" s="447">
        <f t="shared" si="11"/>
        <v>2103.536765550828</v>
      </c>
      <c r="L89" s="447">
        <f t="shared" si="11"/>
        <v>2062.7397431968766</v>
      </c>
      <c r="M89" s="447">
        <f t="shared" si="11"/>
        <v>2053.1850305033863</v>
      </c>
      <c r="N89" s="447">
        <f t="shared" si="11"/>
        <v>2067.0090224827068</v>
      </c>
    </row>
    <row r="90" spans="1:14" s="5" customFormat="1">
      <c r="A90" s="164"/>
      <c r="B90" s="189" t="str">
        <f t="shared" si="6"/>
        <v>Computing</v>
      </c>
      <c r="C90" s="447">
        <f t="shared" ref="C90:N90" si="12">C$78*$C55</f>
        <v>55535.98972740009</v>
      </c>
      <c r="D90" s="447">
        <f t="shared" si="12"/>
        <v>57109.069822298909</v>
      </c>
      <c r="E90" s="447">
        <f t="shared" si="12"/>
        <v>59108.841649122332</v>
      </c>
      <c r="F90" s="447">
        <f t="shared" si="12"/>
        <v>60535.12663000897</v>
      </c>
      <c r="G90" s="447">
        <f t="shared" si="12"/>
        <v>61667.107663740622</v>
      </c>
      <c r="H90" s="447">
        <f t="shared" si="12"/>
        <v>62389.037214474876</v>
      </c>
      <c r="I90" s="447">
        <f t="shared" si="12"/>
        <v>63614.928577340768</v>
      </c>
      <c r="J90" s="447">
        <f t="shared" si="12"/>
        <v>63733.694468070484</v>
      </c>
      <c r="K90" s="447">
        <f t="shared" si="12"/>
        <v>62937.203203724064</v>
      </c>
      <c r="L90" s="447">
        <f t="shared" si="12"/>
        <v>61716.568257833227</v>
      </c>
      <c r="M90" s="447">
        <f t="shared" si="12"/>
        <v>61430.694055779095</v>
      </c>
      <c r="N90" s="447">
        <f t="shared" si="12"/>
        <v>61844.303842181529</v>
      </c>
    </row>
    <row r="91" spans="1:14" s="5" customFormat="1">
      <c r="A91" s="164"/>
      <c r="B91" s="189" t="str">
        <f t="shared" si="6"/>
        <v>Design &amp; Technology</v>
      </c>
      <c r="C91" s="447">
        <f t="shared" ref="C91:N91" si="13">C$78*$C56</f>
        <v>104602.83874896749</v>
      </c>
      <c r="D91" s="447">
        <f t="shared" si="13"/>
        <v>107565.75782745342</v>
      </c>
      <c r="E91" s="447">
        <f t="shared" si="13"/>
        <v>111332.3569456597</v>
      </c>
      <c r="F91" s="447">
        <f t="shared" si="13"/>
        <v>114018.78530676535</v>
      </c>
      <c r="G91" s="447">
        <f t="shared" si="13"/>
        <v>116150.88793281978</v>
      </c>
      <c r="H91" s="447">
        <f t="shared" si="13"/>
        <v>117510.65266834067</v>
      </c>
      <c r="I91" s="447">
        <f t="shared" si="13"/>
        <v>119819.6367556513</v>
      </c>
      <c r="J91" s="447">
        <f t="shared" si="13"/>
        <v>120043.33402615746</v>
      </c>
      <c r="K91" s="447">
        <f t="shared" si="13"/>
        <v>118543.13122616516</v>
      </c>
      <c r="L91" s="447">
        <f t="shared" si="13"/>
        <v>116244.04767614465</v>
      </c>
      <c r="M91" s="447">
        <f t="shared" si="13"/>
        <v>115705.59948774034</v>
      </c>
      <c r="N91" s="447">
        <f t="shared" si="13"/>
        <v>116484.63949412925</v>
      </c>
    </row>
    <row r="92" spans="1:14" s="5" customFormat="1">
      <c r="A92" s="164"/>
      <c r="B92" s="189" t="str">
        <f t="shared" si="6"/>
        <v>Drama</v>
      </c>
      <c r="C92" s="447">
        <f t="shared" ref="C92:N92" si="14">C$78*$C57</f>
        <v>49107.751543588201</v>
      </c>
      <c r="D92" s="447">
        <f t="shared" si="14"/>
        <v>50498.749108188043</v>
      </c>
      <c r="E92" s="447">
        <f t="shared" si="14"/>
        <v>52267.049241084766</v>
      </c>
      <c r="F92" s="447">
        <f t="shared" si="14"/>
        <v>53528.243087013027</v>
      </c>
      <c r="G92" s="447">
        <f t="shared" si="14"/>
        <v>54529.198388780555</v>
      </c>
      <c r="H92" s="447">
        <f t="shared" si="14"/>
        <v>55167.565278133756</v>
      </c>
      <c r="I92" s="447">
        <f t="shared" si="14"/>
        <v>56251.560877429751</v>
      </c>
      <c r="J92" s="447">
        <f t="shared" si="14"/>
        <v>56356.579728852696</v>
      </c>
      <c r="K92" s="447">
        <f t="shared" si="14"/>
        <v>55652.281573581597</v>
      </c>
      <c r="L92" s="447">
        <f t="shared" si="14"/>
        <v>54572.933965976896</v>
      </c>
      <c r="M92" s="447">
        <f t="shared" si="14"/>
        <v>54320.149431909806</v>
      </c>
      <c r="N92" s="447">
        <f t="shared" si="14"/>
        <v>54685.88427748195</v>
      </c>
    </row>
    <row r="93" spans="1:14" s="5" customFormat="1">
      <c r="A93" s="164"/>
      <c r="B93" s="189" t="str">
        <f t="shared" si="6"/>
        <v>English</v>
      </c>
      <c r="C93" s="447">
        <f t="shared" ref="C93:N93" si="15">C$78*$C58</f>
        <v>267057.45112259698</v>
      </c>
      <c r="D93" s="447">
        <f t="shared" si="15"/>
        <v>274621.96492018044</v>
      </c>
      <c r="E93" s="447">
        <f t="shared" si="15"/>
        <v>284238.32306054421</v>
      </c>
      <c r="F93" s="447">
        <f t="shared" si="15"/>
        <v>291096.93912986584</v>
      </c>
      <c r="G93" s="447">
        <f t="shared" si="15"/>
        <v>296540.3276617236</v>
      </c>
      <c r="H93" s="447">
        <f t="shared" si="15"/>
        <v>300011.89027644455</v>
      </c>
      <c r="I93" s="447">
        <f t="shared" si="15"/>
        <v>305906.86800759047</v>
      </c>
      <c r="J93" s="447">
        <f t="shared" si="15"/>
        <v>306477.9808339625</v>
      </c>
      <c r="K93" s="447">
        <f t="shared" si="15"/>
        <v>302647.87124301336</v>
      </c>
      <c r="L93" s="447">
        <f t="shared" si="15"/>
        <v>296778.170189681</v>
      </c>
      <c r="M93" s="447">
        <f t="shared" si="15"/>
        <v>295403.47900083166</v>
      </c>
      <c r="N93" s="447">
        <f t="shared" si="15"/>
        <v>297392.41583005141</v>
      </c>
    </row>
    <row r="94" spans="1:14" s="5" customFormat="1">
      <c r="A94" s="164"/>
      <c r="B94" s="189" t="str">
        <f t="shared" si="6"/>
        <v>Food</v>
      </c>
      <c r="C94" s="447">
        <f t="shared" ref="C94:N94" si="16">C$78*$C59</f>
        <v>15058.547105089086</v>
      </c>
      <c r="D94" s="447">
        <f t="shared" si="16"/>
        <v>15485.086738674199</v>
      </c>
      <c r="E94" s="447">
        <f t="shared" si="16"/>
        <v>16027.323554862483</v>
      </c>
      <c r="F94" s="447">
        <f t="shared" si="16"/>
        <v>16414.059789786661</v>
      </c>
      <c r="G94" s="447">
        <f t="shared" si="16"/>
        <v>16720.995702915898</v>
      </c>
      <c r="H94" s="447">
        <f t="shared" si="16"/>
        <v>16916.746425999238</v>
      </c>
      <c r="I94" s="447">
        <f t="shared" si="16"/>
        <v>17249.146063136344</v>
      </c>
      <c r="J94" s="447">
        <f t="shared" si="16"/>
        <v>17281.34935633072</v>
      </c>
      <c r="K94" s="447">
        <f t="shared" si="16"/>
        <v>17065.381273618495</v>
      </c>
      <c r="L94" s="447">
        <f t="shared" si="16"/>
        <v>16734.406910488593</v>
      </c>
      <c r="M94" s="447">
        <f t="shared" si="16"/>
        <v>16656.892308536015</v>
      </c>
      <c r="N94" s="447">
        <f t="shared" si="16"/>
        <v>16769.042330210948</v>
      </c>
    </row>
    <row r="95" spans="1:14" s="5" customFormat="1">
      <c r="A95" s="164"/>
      <c r="B95" s="189" t="str">
        <f t="shared" si="6"/>
        <v>Geography</v>
      </c>
      <c r="C95" s="447">
        <f t="shared" ref="C95:N95" si="17">C$78*$C60</f>
        <v>101984.50331599178</v>
      </c>
      <c r="D95" s="447">
        <f t="shared" si="17"/>
        <v>104873.25695020275</v>
      </c>
      <c r="E95" s="447">
        <f t="shared" si="17"/>
        <v>108545.57354174947</v>
      </c>
      <c r="F95" s="447">
        <f t="shared" si="17"/>
        <v>111164.75735528683</v>
      </c>
      <c r="G95" s="447">
        <f t="shared" si="17"/>
        <v>113243.49087664671</v>
      </c>
      <c r="H95" s="447">
        <f t="shared" si="17"/>
        <v>114569.21905799655</v>
      </c>
      <c r="I95" s="447">
        <f t="shared" si="17"/>
        <v>116820.4064839327</v>
      </c>
      <c r="J95" s="447">
        <f t="shared" si="17"/>
        <v>117038.50434149148</v>
      </c>
      <c r="K95" s="447">
        <f t="shared" si="17"/>
        <v>115575.85343009845</v>
      </c>
      <c r="L95" s="447">
        <f t="shared" si="17"/>
        <v>113334.31871904239</v>
      </c>
      <c r="M95" s="447">
        <f t="shared" si="17"/>
        <v>112809.34853933635</v>
      </c>
      <c r="N95" s="447">
        <f t="shared" si="17"/>
        <v>113568.88823314456</v>
      </c>
    </row>
    <row r="96" spans="1:14" s="5" customFormat="1">
      <c r="A96" s="164"/>
      <c r="B96" s="189" t="str">
        <f t="shared" si="6"/>
        <v>History</v>
      </c>
      <c r="C96" s="447">
        <f t="shared" ref="C96:N96" si="18">C$78*$C61</f>
        <v>104612.56223714321</v>
      </c>
      <c r="D96" s="447">
        <f t="shared" si="18"/>
        <v>107575.75673749119</v>
      </c>
      <c r="E96" s="447">
        <f t="shared" si="18"/>
        <v>111342.70598464644</v>
      </c>
      <c r="F96" s="447">
        <f t="shared" si="18"/>
        <v>114029.38406607245</v>
      </c>
      <c r="G96" s="447">
        <f t="shared" si="18"/>
        <v>116161.68488440274</v>
      </c>
      <c r="H96" s="447">
        <f t="shared" si="18"/>
        <v>117521.57601856143</v>
      </c>
      <c r="I96" s="447">
        <f t="shared" si="18"/>
        <v>119830.77474038619</v>
      </c>
      <c r="J96" s="447">
        <f t="shared" si="18"/>
        <v>120054.49280495293</v>
      </c>
      <c r="K96" s="447">
        <f t="shared" si="18"/>
        <v>118554.15055172626</v>
      </c>
      <c r="L96" s="447">
        <f t="shared" si="18"/>
        <v>116254.85328750849</v>
      </c>
      <c r="M96" s="447">
        <f t="shared" si="18"/>
        <v>115716.35504697697</v>
      </c>
      <c r="N96" s="447">
        <f t="shared" si="18"/>
        <v>116495.46747000754</v>
      </c>
    </row>
    <row r="97" spans="1:15" s="5" customFormat="1">
      <c r="A97" s="164"/>
      <c r="B97" s="189" t="str">
        <f t="shared" si="6"/>
        <v>Mathematics</v>
      </c>
      <c r="C97" s="447">
        <f t="shared" ref="C97:N97" si="19">C$78*$C62</f>
        <v>258057.93922965485</v>
      </c>
      <c r="D97" s="447">
        <f t="shared" si="19"/>
        <v>265367.53809564019</v>
      </c>
      <c r="E97" s="447">
        <f t="shared" si="19"/>
        <v>274659.83664100972</v>
      </c>
      <c r="F97" s="447">
        <f t="shared" si="19"/>
        <v>281287.32567521016</v>
      </c>
      <c r="G97" s="447">
        <f t="shared" si="19"/>
        <v>286547.27862186165</v>
      </c>
      <c r="H97" s="447">
        <f t="shared" si="19"/>
        <v>289901.85379097139</v>
      </c>
      <c r="I97" s="447">
        <f t="shared" si="19"/>
        <v>295598.177929128</v>
      </c>
      <c r="J97" s="447">
        <f t="shared" si="19"/>
        <v>296150.04494658683</v>
      </c>
      <c r="K97" s="447">
        <f t="shared" si="19"/>
        <v>292449.00539906888</v>
      </c>
      <c r="L97" s="447">
        <f t="shared" si="19"/>
        <v>286777.10614536965</v>
      </c>
      <c r="M97" s="447">
        <f t="shared" si="19"/>
        <v>285448.74038069841</v>
      </c>
      <c r="N97" s="447">
        <f t="shared" si="19"/>
        <v>287370.65245335869</v>
      </c>
    </row>
    <row r="98" spans="1:15" s="5" customFormat="1">
      <c r="A98" s="164"/>
      <c r="B98" s="189" t="str">
        <f t="shared" si="6"/>
        <v>Modern Foreign Languages</v>
      </c>
      <c r="C98" s="447">
        <f t="shared" ref="C98:N98" si="20">C$78*$C63</f>
        <v>152496.1903884045</v>
      </c>
      <c r="D98" s="447">
        <f t="shared" si="20"/>
        <v>156815.70864720209</v>
      </c>
      <c r="E98" s="447">
        <f t="shared" si="20"/>
        <v>162306.87908881166</v>
      </c>
      <c r="F98" s="447">
        <f t="shared" si="20"/>
        <v>166223.3128655577</v>
      </c>
      <c r="G98" s="447">
        <f t="shared" si="20"/>
        <v>169331.61787791687</v>
      </c>
      <c r="H98" s="447">
        <f t="shared" si="20"/>
        <v>171313.96314188305</v>
      </c>
      <c r="I98" s="447">
        <f t="shared" si="20"/>
        <v>174680.13638530081</v>
      </c>
      <c r="J98" s="447">
        <f t="shared" si="20"/>
        <v>175006.25546543728</v>
      </c>
      <c r="K98" s="447">
        <f t="shared" si="20"/>
        <v>172819.17130457741</v>
      </c>
      <c r="L98" s="447">
        <f t="shared" si="20"/>
        <v>169467.43164859951</v>
      </c>
      <c r="M98" s="447">
        <f t="shared" si="20"/>
        <v>168682.45010856455</v>
      </c>
      <c r="N98" s="447">
        <f t="shared" si="20"/>
        <v>169818.18059690791</v>
      </c>
    </row>
    <row r="99" spans="1:15" s="5" customFormat="1">
      <c r="A99" s="164"/>
      <c r="B99" s="189" t="str">
        <f t="shared" si="6"/>
        <v>Music</v>
      </c>
      <c r="C99" s="447">
        <f t="shared" ref="C99:N99" si="21">C$78*$C64</f>
        <v>56379.473830836054</v>
      </c>
      <c r="D99" s="447">
        <f t="shared" si="21"/>
        <v>57976.445965113155</v>
      </c>
      <c r="E99" s="447">
        <f t="shared" si="21"/>
        <v>60006.590452164732</v>
      </c>
      <c r="F99" s="447">
        <f t="shared" si="21"/>
        <v>61454.537939009264</v>
      </c>
      <c r="G99" s="447">
        <f t="shared" si="21"/>
        <v>62603.711571847016</v>
      </c>
      <c r="H99" s="447">
        <f t="shared" si="21"/>
        <v>63336.605833984337</v>
      </c>
      <c r="I99" s="447">
        <f t="shared" si="21"/>
        <v>64581.116111939213</v>
      </c>
      <c r="J99" s="447">
        <f t="shared" si="21"/>
        <v>64701.685826483954</v>
      </c>
      <c r="K99" s="447">
        <f t="shared" si="21"/>
        <v>63893.097402740539</v>
      </c>
      <c r="L99" s="447">
        <f t="shared" si="21"/>
        <v>62653.923376552208</v>
      </c>
      <c r="M99" s="447">
        <f t="shared" si="21"/>
        <v>62363.707299144837</v>
      </c>
      <c r="N99" s="447">
        <f t="shared" si="21"/>
        <v>62783.599016986111</v>
      </c>
    </row>
    <row r="100" spans="1:15" s="5" customFormat="1">
      <c r="A100" s="164"/>
      <c r="B100" s="189" t="str">
        <f t="shared" si="6"/>
        <v>Others</v>
      </c>
      <c r="C100" s="447">
        <f t="shared" ref="C100:N100" si="22">C$78*$C65</f>
        <v>60902.907482487775</v>
      </c>
      <c r="D100" s="447">
        <f t="shared" si="22"/>
        <v>62628.007763448426</v>
      </c>
      <c r="E100" s="447">
        <f t="shared" si="22"/>
        <v>64821.034648409543</v>
      </c>
      <c r="F100" s="447">
        <f t="shared" si="22"/>
        <v>66385.15374777159</v>
      </c>
      <c r="G100" s="447">
        <f t="shared" si="22"/>
        <v>67626.527792020875</v>
      </c>
      <c r="H100" s="447">
        <f t="shared" si="22"/>
        <v>68418.223570795293</v>
      </c>
      <c r="I100" s="447">
        <f t="shared" si="22"/>
        <v>69762.583302613784</v>
      </c>
      <c r="J100" s="447">
        <f t="shared" si="22"/>
        <v>69892.826557315682</v>
      </c>
      <c r="K100" s="447">
        <f t="shared" si="22"/>
        <v>69019.363528724571</v>
      </c>
      <c r="L100" s="447">
        <f t="shared" si="22"/>
        <v>67680.768186418034</v>
      </c>
      <c r="M100" s="447">
        <f t="shared" si="22"/>
        <v>67367.267514785228</v>
      </c>
      <c r="N100" s="447">
        <f t="shared" si="22"/>
        <v>67820.847952961703</v>
      </c>
    </row>
    <row r="101" spans="1:15" s="5" customFormat="1">
      <c r="A101" s="164"/>
      <c r="B101" s="189" t="str">
        <f t="shared" si="6"/>
        <v>Physical Education</v>
      </c>
      <c r="C101" s="447">
        <f t="shared" ref="C101:N101" si="23">C$78*$C66</f>
        <v>146735.77377716172</v>
      </c>
      <c r="D101" s="447">
        <f t="shared" si="23"/>
        <v>150892.12583051398</v>
      </c>
      <c r="E101" s="447">
        <f t="shared" si="23"/>
        <v>156175.87188108501</v>
      </c>
      <c r="F101" s="447">
        <f t="shared" si="23"/>
        <v>159944.36563305443</v>
      </c>
      <c r="G101" s="447">
        <f t="shared" si="23"/>
        <v>162935.25701179824</v>
      </c>
      <c r="H101" s="447">
        <f t="shared" si="23"/>
        <v>164842.72083407931</v>
      </c>
      <c r="I101" s="447">
        <f t="shared" si="23"/>
        <v>168081.73968617545</v>
      </c>
      <c r="J101" s="447">
        <f t="shared" si="23"/>
        <v>168395.5398896129</v>
      </c>
      <c r="K101" s="447">
        <f t="shared" si="23"/>
        <v>166291.07101178612</v>
      </c>
      <c r="L101" s="447">
        <f t="shared" si="23"/>
        <v>163065.94053038288</v>
      </c>
      <c r="M101" s="447">
        <f t="shared" si="23"/>
        <v>162310.61101438352</v>
      </c>
      <c r="N101" s="447">
        <f t="shared" si="23"/>
        <v>163403.44022923091</v>
      </c>
    </row>
    <row r="102" spans="1:15" s="5" customFormat="1">
      <c r="A102" s="164"/>
      <c r="B102" s="189" t="str">
        <f t="shared" si="6"/>
        <v>Physics</v>
      </c>
      <c r="C102" s="447">
        <f t="shared" ref="C102:N102" si="24">C$78*$C67</f>
        <v>70840.105996003389</v>
      </c>
      <c r="D102" s="447">
        <f t="shared" si="24"/>
        <v>72846.681573567199</v>
      </c>
      <c r="E102" s="447">
        <f t="shared" si="24"/>
        <v>75397.532812112768</v>
      </c>
      <c r="F102" s="447">
        <f t="shared" si="24"/>
        <v>77216.860778040194</v>
      </c>
      <c r="G102" s="447">
        <f t="shared" si="24"/>
        <v>78660.783121166314</v>
      </c>
      <c r="H102" s="447">
        <f t="shared" si="24"/>
        <v>79581.655624685038</v>
      </c>
      <c r="I102" s="447">
        <f t="shared" si="24"/>
        <v>81145.367273856551</v>
      </c>
      <c r="J102" s="447">
        <f t="shared" si="24"/>
        <v>81296.861617061761</v>
      </c>
      <c r="K102" s="447">
        <f t="shared" si="24"/>
        <v>80280.880343150056</v>
      </c>
      <c r="L102" s="447">
        <f t="shared" si="24"/>
        <v>78723.873627797133</v>
      </c>
      <c r="M102" s="447">
        <f t="shared" si="24"/>
        <v>78359.220744604769</v>
      </c>
      <c r="N102" s="447">
        <f t="shared" si="24"/>
        <v>78886.809453360183</v>
      </c>
    </row>
    <row r="103" spans="1:15" s="5" customFormat="1">
      <c r="A103" s="164"/>
      <c r="B103" s="189" t="str">
        <f t="shared" si="6"/>
        <v>Religious Education</v>
      </c>
      <c r="C103" s="447">
        <f t="shared" ref="C103:N103" si="25">C$78*$C68</f>
        <v>64710.619906966487</v>
      </c>
      <c r="D103" s="447">
        <f t="shared" si="25"/>
        <v>66543.57523204264</v>
      </c>
      <c r="E103" s="447">
        <f t="shared" si="25"/>
        <v>68873.712413740956</v>
      </c>
      <c r="F103" s="447">
        <f t="shared" si="25"/>
        <v>70535.621848149283</v>
      </c>
      <c r="G103" s="447">
        <f t="shared" si="25"/>
        <v>71854.607874602749</v>
      </c>
      <c r="H103" s="447">
        <f t="shared" si="25"/>
        <v>72695.801287855662</v>
      </c>
      <c r="I103" s="447">
        <f t="shared" si="25"/>
        <v>74124.211773002913</v>
      </c>
      <c r="J103" s="447">
        <f t="shared" si="25"/>
        <v>74262.597969965413</v>
      </c>
      <c r="K103" s="447">
        <f t="shared" si="25"/>
        <v>73334.525134326163</v>
      </c>
      <c r="L103" s="447">
        <f t="shared" si="25"/>
        <v>71912.239434252799</v>
      </c>
      <c r="M103" s="447">
        <f t="shared" si="25"/>
        <v>71579.138378142408</v>
      </c>
      <c r="N103" s="447">
        <f t="shared" si="25"/>
        <v>72061.077131895887</v>
      </c>
    </row>
    <row r="104" spans="1:15" s="5" customFormat="1">
      <c r="A104" s="164"/>
      <c r="B104" s="189" t="str">
        <f t="shared" si="6"/>
        <v>Total</v>
      </c>
      <c r="C104" s="447">
        <f t="shared" ref="C104:N104" si="26">C$78*$C69</f>
        <v>1742375.8812637974</v>
      </c>
      <c r="D104" s="447">
        <f t="shared" si="26"/>
        <v>1791729.4055298029</v>
      </c>
      <c r="E104" s="447">
        <f t="shared" si="26"/>
        <v>1854469.8773606105</v>
      </c>
      <c r="F104" s="447">
        <f t="shared" si="26"/>
        <v>1899217.8788404434</v>
      </c>
      <c r="G104" s="447">
        <f t="shared" si="26"/>
        <v>1934732.4426557883</v>
      </c>
      <c r="H104" s="447">
        <f t="shared" si="26"/>
        <v>1957382.127001836</v>
      </c>
      <c r="I104" s="447">
        <f t="shared" si="26"/>
        <v>1995843.0161332188</v>
      </c>
      <c r="J104" s="447">
        <f t="shared" si="26"/>
        <v>1999569.1552466119</v>
      </c>
      <c r="K104" s="447">
        <f t="shared" si="26"/>
        <v>1974580.1854732002</v>
      </c>
      <c r="L104" s="447">
        <f t="shared" si="26"/>
        <v>1936284.2101968538</v>
      </c>
      <c r="M104" s="447">
        <f t="shared" si="26"/>
        <v>1927315.2457977391</v>
      </c>
      <c r="N104" s="447">
        <f t="shared" si="26"/>
        <v>1940291.7628206583</v>
      </c>
    </row>
    <row r="105" spans="1:15" s="5" customFormat="1">
      <c r="A105" s="164"/>
      <c r="B105" s="741" t="s">
        <v>373</v>
      </c>
      <c r="D105" s="406">
        <f t="shared" ref="D105:N105" si="27">(D104/C104)-1</f>
        <v>2.8325417492698568E-2</v>
      </c>
      <c r="E105" s="406">
        <f t="shared" si="27"/>
        <v>3.5016711584445748E-2</v>
      </c>
      <c r="F105" s="406">
        <f t="shared" si="27"/>
        <v>2.4129807675021819E-2</v>
      </c>
      <c r="G105" s="406">
        <f t="shared" si="27"/>
        <v>1.8699573235393174E-2</v>
      </c>
      <c r="H105" s="406">
        <f t="shared" si="27"/>
        <v>1.1706881968111649E-2</v>
      </c>
      <c r="I105" s="406">
        <f t="shared" si="27"/>
        <v>1.9649146991187694E-2</v>
      </c>
      <c r="J105" s="406">
        <f t="shared" si="27"/>
        <v>1.8669499972057135E-3</v>
      </c>
      <c r="K105" s="406">
        <f t="shared" si="27"/>
        <v>-1.2497177058289788E-2</v>
      </c>
      <c r="L105" s="406">
        <f t="shared" si="27"/>
        <v>-1.9394489805015902E-2</v>
      </c>
      <c r="M105" s="406">
        <f t="shared" si="27"/>
        <v>-4.6320495472113032E-3</v>
      </c>
      <c r="N105" s="406">
        <f t="shared" si="27"/>
        <v>6.7329499163215623E-3</v>
      </c>
    </row>
    <row r="106" spans="1:15">
      <c r="A106" s="10">
        <f>O106</f>
        <v>0</v>
      </c>
      <c r="B106" s="12"/>
      <c r="C106" s="10">
        <f t="shared" ref="C106:N106" si="28">SUM(C85:C103)-C104</f>
        <v>0</v>
      </c>
      <c r="D106" s="10">
        <f t="shared" si="28"/>
        <v>0</v>
      </c>
      <c r="E106" s="10">
        <f t="shared" si="28"/>
        <v>0</v>
      </c>
      <c r="F106" s="10">
        <f t="shared" si="28"/>
        <v>0</v>
      </c>
      <c r="G106" s="10">
        <f t="shared" si="28"/>
        <v>0</v>
      </c>
      <c r="H106" s="10">
        <f t="shared" si="28"/>
        <v>0</v>
      </c>
      <c r="I106" s="10">
        <f t="shared" si="28"/>
        <v>0</v>
      </c>
      <c r="J106" s="10">
        <f t="shared" si="28"/>
        <v>0</v>
      </c>
      <c r="K106" s="10">
        <f t="shared" si="28"/>
        <v>0</v>
      </c>
      <c r="L106" s="10">
        <f t="shared" si="28"/>
        <v>0</v>
      </c>
      <c r="M106" s="10">
        <f t="shared" si="28"/>
        <v>0</v>
      </c>
      <c r="N106" s="10">
        <f t="shared" si="28"/>
        <v>0</v>
      </c>
      <c r="O106" s="10">
        <f>SUM(C106:N106)</f>
        <v>0</v>
      </c>
    </row>
    <row r="107" spans="1:15">
      <c r="B107" s="12"/>
      <c r="C107" s="10"/>
      <c r="D107" s="10"/>
      <c r="E107" s="10"/>
      <c r="F107" s="10"/>
      <c r="G107" s="10"/>
      <c r="H107" s="10"/>
      <c r="I107" s="10"/>
      <c r="J107" s="10"/>
      <c r="K107" s="10"/>
      <c r="L107" s="10"/>
      <c r="M107" s="10"/>
      <c r="N107" s="10"/>
      <c r="O107" s="10"/>
    </row>
    <row r="108" spans="1:15">
      <c r="B108" s="75" t="s">
        <v>1559</v>
      </c>
      <c r="D108" s="12"/>
      <c r="E108" s="12"/>
      <c r="F108" s="12"/>
    </row>
    <row r="109" spans="1:15">
      <c r="B109" s="12"/>
      <c r="D109" s="12"/>
      <c r="E109" s="12"/>
      <c r="F109" s="12"/>
    </row>
    <row r="110" spans="1:15">
      <c r="B110" s="139" t="s">
        <v>59</v>
      </c>
      <c r="C110" s="8" t="str">
        <f t="shared" ref="C110:N110" si="29">C84</f>
        <v>2017/18</v>
      </c>
      <c r="D110" s="8" t="str">
        <f t="shared" si="29"/>
        <v>2018/19</v>
      </c>
      <c r="E110" s="8" t="str">
        <f t="shared" si="29"/>
        <v>2019/20</v>
      </c>
      <c r="F110" s="8" t="str">
        <f t="shared" si="29"/>
        <v>2020/21</v>
      </c>
      <c r="G110" s="8" t="str">
        <f t="shared" si="29"/>
        <v>2021/22</v>
      </c>
      <c r="H110" s="8" t="str">
        <f t="shared" si="29"/>
        <v>2022/23</v>
      </c>
      <c r="I110" s="8" t="str">
        <f t="shared" si="29"/>
        <v>2023/24</v>
      </c>
      <c r="J110" s="8" t="str">
        <f t="shared" si="29"/>
        <v>2024/25</v>
      </c>
      <c r="K110" s="8" t="str">
        <f t="shared" si="29"/>
        <v>2025/26</v>
      </c>
      <c r="L110" s="8" t="str">
        <f t="shared" si="29"/>
        <v>2026/27</v>
      </c>
      <c r="M110" s="8" t="str">
        <f t="shared" si="29"/>
        <v>2027/28</v>
      </c>
      <c r="N110" s="8" t="str">
        <f t="shared" si="29"/>
        <v>2028/29</v>
      </c>
    </row>
    <row r="111" spans="1:15" s="5" customFormat="1">
      <c r="A111" s="164"/>
      <c r="B111" s="189" t="str">
        <f t="shared" ref="B111:B129" si="30">B85</f>
        <v>Art &amp; Design</v>
      </c>
      <c r="C111" s="447">
        <f>C$79*$D50</f>
        <v>40469.585275080848</v>
      </c>
      <c r="D111" s="447">
        <f t="shared" ref="D111:N111" si="31">D$79*$D50</f>
        <v>41969.202968334313</v>
      </c>
      <c r="E111" s="447">
        <f t="shared" si="31"/>
        <v>43116.503174923222</v>
      </c>
      <c r="F111" s="447">
        <f t="shared" si="31"/>
        <v>44109.202106942117</v>
      </c>
      <c r="G111" s="447">
        <f t="shared" si="31"/>
        <v>45456.230223035484</v>
      </c>
      <c r="H111" s="447">
        <f t="shared" si="31"/>
        <v>47248.787475004479</v>
      </c>
      <c r="I111" s="447">
        <f t="shared" si="31"/>
        <v>48100.41361206711</v>
      </c>
      <c r="J111" s="447">
        <f t="shared" si="31"/>
        <v>48460.673782667298</v>
      </c>
      <c r="K111" s="447">
        <f t="shared" si="31"/>
        <v>49423.98153879874</v>
      </c>
      <c r="L111" s="447">
        <f t="shared" si="31"/>
        <v>50388.142397156793</v>
      </c>
      <c r="M111" s="447">
        <f t="shared" si="31"/>
        <v>50029.41826375862</v>
      </c>
      <c r="N111" s="447">
        <f t="shared" si="31"/>
        <v>48621.898185886894</v>
      </c>
    </row>
    <row r="112" spans="1:15" s="5" customFormat="1">
      <c r="A112" s="164"/>
      <c r="B112" s="189" t="str">
        <f t="shared" si="30"/>
        <v>Biology</v>
      </c>
      <c r="C112" s="447">
        <f t="shared" ref="C112:N112" si="32">C$79*$D51</f>
        <v>81974.989685988621</v>
      </c>
      <c r="D112" s="447">
        <f t="shared" si="32"/>
        <v>85012.60779108628</v>
      </c>
      <c r="E112" s="447">
        <f t="shared" si="32"/>
        <v>87336.573355906876</v>
      </c>
      <c r="F112" s="447">
        <f t="shared" si="32"/>
        <v>89347.379351580079</v>
      </c>
      <c r="G112" s="447">
        <f t="shared" si="32"/>
        <v>92075.912771750387</v>
      </c>
      <c r="H112" s="447">
        <f t="shared" si="32"/>
        <v>95706.907783013419</v>
      </c>
      <c r="I112" s="447">
        <f t="shared" si="32"/>
        <v>97431.957430236143</v>
      </c>
      <c r="J112" s="447">
        <f t="shared" si="32"/>
        <v>98161.698631399544</v>
      </c>
      <c r="K112" s="447">
        <f t="shared" si="32"/>
        <v>100112.97000807787</v>
      </c>
      <c r="L112" s="447">
        <f t="shared" si="32"/>
        <v>102065.96942436302</v>
      </c>
      <c r="M112" s="447">
        <f t="shared" si="32"/>
        <v>101339.33961247966</v>
      </c>
      <c r="N112" s="447">
        <f t="shared" si="32"/>
        <v>98488.27397684037</v>
      </c>
    </row>
    <row r="113" spans="1:14" s="5" customFormat="1">
      <c r="A113" s="164"/>
      <c r="B113" s="189" t="str">
        <f t="shared" si="30"/>
        <v>Business Studies</v>
      </c>
      <c r="C113" s="447">
        <f t="shared" ref="C113:N113" si="33">C$79*$D52</f>
        <v>29693.007109209964</v>
      </c>
      <c r="D113" s="447">
        <f t="shared" si="33"/>
        <v>30793.294115469216</v>
      </c>
      <c r="E113" s="447">
        <f t="shared" si="33"/>
        <v>31635.081669235406</v>
      </c>
      <c r="F113" s="447">
        <f t="shared" si="33"/>
        <v>32363.436463221697</v>
      </c>
      <c r="G113" s="447">
        <f t="shared" si="33"/>
        <v>33351.76671557282</v>
      </c>
      <c r="H113" s="447">
        <f t="shared" si="33"/>
        <v>34666.986895482973</v>
      </c>
      <c r="I113" s="447">
        <f t="shared" si="33"/>
        <v>35291.834933097052</v>
      </c>
      <c r="J113" s="447">
        <f t="shared" si="33"/>
        <v>35556.16202550695</v>
      </c>
      <c r="K113" s="447">
        <f t="shared" si="33"/>
        <v>36262.952170667661</v>
      </c>
      <c r="L113" s="447">
        <f t="shared" si="33"/>
        <v>36970.36824689011</v>
      </c>
      <c r="M113" s="447">
        <f t="shared" si="33"/>
        <v>36707.168162905167</v>
      </c>
      <c r="N113" s="447">
        <f t="shared" si="33"/>
        <v>35674.454252087424</v>
      </c>
    </row>
    <row r="114" spans="1:14" s="5" customFormat="1">
      <c r="A114" s="164"/>
      <c r="B114" s="189" t="str">
        <f t="shared" si="30"/>
        <v>Chemistry</v>
      </c>
      <c r="C114" s="447">
        <f t="shared" ref="C114:N114" si="34">C$79*$D53</f>
        <v>77986.349537918577</v>
      </c>
      <c r="D114" s="447">
        <f t="shared" si="34"/>
        <v>80876.166886042585</v>
      </c>
      <c r="E114" s="447">
        <f t="shared" si="34"/>
        <v>83087.055738196505</v>
      </c>
      <c r="F114" s="447">
        <f t="shared" si="34"/>
        <v>85000.022361702111</v>
      </c>
      <c r="G114" s="447">
        <f t="shared" si="34"/>
        <v>87595.794094597673</v>
      </c>
      <c r="H114" s="447">
        <f t="shared" si="34"/>
        <v>91050.116531276144</v>
      </c>
      <c r="I114" s="447">
        <f t="shared" si="34"/>
        <v>92691.230793978742</v>
      </c>
      <c r="J114" s="447">
        <f t="shared" si="34"/>
        <v>93385.46512818418</v>
      </c>
      <c r="K114" s="447">
        <f t="shared" si="34"/>
        <v>95241.79389635945</v>
      </c>
      <c r="L114" s="447">
        <f t="shared" si="34"/>
        <v>97099.76662327518</v>
      </c>
      <c r="M114" s="447">
        <f t="shared" si="34"/>
        <v>96408.492288123976</v>
      </c>
      <c r="N114" s="447">
        <f t="shared" si="34"/>
        <v>93696.150364468733</v>
      </c>
    </row>
    <row r="115" spans="1:14" s="5" customFormat="1">
      <c r="A115" s="164"/>
      <c r="B115" s="189" t="str">
        <f t="shared" si="30"/>
        <v>Classics</v>
      </c>
      <c r="C115" s="447">
        <f t="shared" ref="C115:N115" si="35">C$79*$D54</f>
        <v>1503.2592135175285</v>
      </c>
      <c r="D115" s="447">
        <f t="shared" si="35"/>
        <v>1558.9631229797603</v>
      </c>
      <c r="E115" s="447">
        <f t="shared" si="35"/>
        <v>1601.5800560296602</v>
      </c>
      <c r="F115" s="447">
        <f t="shared" si="35"/>
        <v>1638.4542618230487</v>
      </c>
      <c r="G115" s="447">
        <f t="shared" si="35"/>
        <v>1688.4901693476895</v>
      </c>
      <c r="H115" s="447">
        <f t="shared" si="35"/>
        <v>1755.075437925653</v>
      </c>
      <c r="I115" s="447">
        <f t="shared" si="35"/>
        <v>1786.7094373429893</v>
      </c>
      <c r="J115" s="447">
        <f t="shared" si="35"/>
        <v>1800.0914479822629</v>
      </c>
      <c r="K115" s="447">
        <f t="shared" si="35"/>
        <v>1835.8739065870254</v>
      </c>
      <c r="L115" s="447">
        <f t="shared" si="35"/>
        <v>1871.6880540211521</v>
      </c>
      <c r="M115" s="447">
        <f t="shared" si="35"/>
        <v>1858.363100108814</v>
      </c>
      <c r="N115" s="447">
        <f t="shared" si="35"/>
        <v>1806.0801940476435</v>
      </c>
    </row>
    <row r="116" spans="1:14" s="5" customFormat="1">
      <c r="A116" s="164"/>
      <c r="B116" s="189" t="str">
        <f t="shared" si="30"/>
        <v>Computing</v>
      </c>
      <c r="C116" s="447">
        <f t="shared" ref="C116:N116" si="36">C$79*$D55</f>
        <v>41093.67881961388</v>
      </c>
      <c r="D116" s="447">
        <f t="shared" si="36"/>
        <v>42616.422564574219</v>
      </c>
      <c r="E116" s="447">
        <f t="shared" si="36"/>
        <v>43781.415629829862</v>
      </c>
      <c r="F116" s="447">
        <f t="shared" si="36"/>
        <v>44789.423268150706</v>
      </c>
      <c r="G116" s="447">
        <f t="shared" si="36"/>
        <v>46157.224306571887</v>
      </c>
      <c r="H116" s="447">
        <f t="shared" si="36"/>
        <v>47977.425118551582</v>
      </c>
      <c r="I116" s="447">
        <f t="shared" si="36"/>
        <v>48842.184436270349</v>
      </c>
      <c r="J116" s="447">
        <f t="shared" si="36"/>
        <v>49208.000286408525</v>
      </c>
      <c r="K116" s="447">
        <f t="shared" si="36"/>
        <v>50186.16349875267</v>
      </c>
      <c r="L116" s="447">
        <f t="shared" si="36"/>
        <v>51165.1929692673</v>
      </c>
      <c r="M116" s="447">
        <f t="shared" si="36"/>
        <v>50800.936844018957</v>
      </c>
      <c r="N116" s="447">
        <f t="shared" si="36"/>
        <v>49371.710979235162</v>
      </c>
    </row>
    <row r="117" spans="1:14" s="5" customFormat="1">
      <c r="A117" s="164"/>
      <c r="B117" s="189" t="str">
        <f t="shared" si="30"/>
        <v>Design &amp; Technology</v>
      </c>
      <c r="C117" s="447">
        <f t="shared" ref="C117:N117" si="37">C$79*$D56</f>
        <v>46060.086294725435</v>
      </c>
      <c r="D117" s="447">
        <f t="shared" si="37"/>
        <v>47766.862380787359</v>
      </c>
      <c r="E117" s="447">
        <f t="shared" si="37"/>
        <v>49072.651559555656</v>
      </c>
      <c r="F117" s="447">
        <f t="shared" si="37"/>
        <v>50202.482719491622</v>
      </c>
      <c r="G117" s="447">
        <f t="shared" si="37"/>
        <v>51735.590381627349</v>
      </c>
      <c r="H117" s="447">
        <f t="shared" si="37"/>
        <v>53775.77293236793</v>
      </c>
      <c r="I117" s="447">
        <f t="shared" si="37"/>
        <v>54745.043388126767</v>
      </c>
      <c r="J117" s="447">
        <f t="shared" si="37"/>
        <v>55155.070188095342</v>
      </c>
      <c r="K117" s="447">
        <f t="shared" si="37"/>
        <v>56251.450051496453</v>
      </c>
      <c r="L117" s="447">
        <f t="shared" si="37"/>
        <v>57348.800865351055</v>
      </c>
      <c r="M117" s="447">
        <f t="shared" si="37"/>
        <v>56940.522291997499</v>
      </c>
      <c r="N117" s="447">
        <f t="shared" si="37"/>
        <v>55338.566259889361</v>
      </c>
    </row>
    <row r="118" spans="1:14" s="5" customFormat="1">
      <c r="A118" s="164"/>
      <c r="B118" s="189" t="str">
        <f t="shared" si="30"/>
        <v>Drama</v>
      </c>
      <c r="C118" s="447">
        <f t="shared" ref="C118:N118" si="38">C$79*$D57</f>
        <v>22422.067875622746</v>
      </c>
      <c r="D118" s="447">
        <f t="shared" si="38"/>
        <v>23252.927136399961</v>
      </c>
      <c r="E118" s="447">
        <f t="shared" si="38"/>
        <v>23888.585815158218</v>
      </c>
      <c r="F118" s="447">
        <f t="shared" si="38"/>
        <v>24438.58806209232</v>
      </c>
      <c r="G118" s="447">
        <f t="shared" si="38"/>
        <v>25184.905466733857</v>
      </c>
      <c r="H118" s="447">
        <f t="shared" si="38"/>
        <v>26178.067123849662</v>
      </c>
      <c r="I118" s="447">
        <f t="shared" si="38"/>
        <v>26649.908357706601</v>
      </c>
      <c r="J118" s="447">
        <f t="shared" si="38"/>
        <v>26849.509562986423</v>
      </c>
      <c r="K118" s="447">
        <f t="shared" si="38"/>
        <v>27383.227705791134</v>
      </c>
      <c r="L118" s="447">
        <f t="shared" si="38"/>
        <v>27917.418507653256</v>
      </c>
      <c r="M118" s="447">
        <f t="shared" si="38"/>
        <v>27718.668339767788</v>
      </c>
      <c r="N118" s="447">
        <f t="shared" si="38"/>
        <v>26938.83552191644</v>
      </c>
    </row>
    <row r="119" spans="1:14" s="5" customFormat="1">
      <c r="A119" s="164"/>
      <c r="B119" s="189" t="str">
        <f t="shared" si="30"/>
        <v>English</v>
      </c>
      <c r="C119" s="447">
        <f t="shared" ref="C119:N119" si="39">C$79*$D58</f>
        <v>210498.62501276282</v>
      </c>
      <c r="D119" s="447">
        <f t="shared" si="39"/>
        <v>218298.74108336258</v>
      </c>
      <c r="E119" s="447">
        <f t="shared" si="39"/>
        <v>224266.3118978955</v>
      </c>
      <c r="F119" s="447">
        <f t="shared" si="39"/>
        <v>229429.73916855457</v>
      </c>
      <c r="G119" s="447">
        <f t="shared" si="39"/>
        <v>236436.17534436041</v>
      </c>
      <c r="H119" s="447">
        <f t="shared" si="39"/>
        <v>245759.98813441809</v>
      </c>
      <c r="I119" s="447">
        <f t="shared" si="39"/>
        <v>250189.63893657245</v>
      </c>
      <c r="J119" s="447">
        <f t="shared" si="39"/>
        <v>252063.49729323064</v>
      </c>
      <c r="K119" s="447">
        <f t="shared" si="39"/>
        <v>257074.04921145496</v>
      </c>
      <c r="L119" s="447">
        <f t="shared" si="39"/>
        <v>262089.03845821813</v>
      </c>
      <c r="M119" s="447">
        <f t="shared" si="39"/>
        <v>260223.16965017514</v>
      </c>
      <c r="N119" s="447">
        <f t="shared" si="39"/>
        <v>252902.09039878257</v>
      </c>
    </row>
    <row r="120" spans="1:14" s="5" customFormat="1">
      <c r="A120" s="164"/>
      <c r="B120" s="189" t="str">
        <f t="shared" si="30"/>
        <v>Food</v>
      </c>
      <c r="C120" s="447">
        <f t="shared" ref="C120:N120" si="40">C$79*$D59</f>
        <v>18195.652195445673</v>
      </c>
      <c r="D120" s="447">
        <f t="shared" si="40"/>
        <v>18869.899825785938</v>
      </c>
      <c r="E120" s="447">
        <f t="shared" si="40"/>
        <v>19385.740929196236</v>
      </c>
      <c r="F120" s="447">
        <f t="shared" si="40"/>
        <v>19832.071287637747</v>
      </c>
      <c r="G120" s="447">
        <f t="shared" si="40"/>
        <v>20437.71265834419</v>
      </c>
      <c r="H120" s="447">
        <f t="shared" si="40"/>
        <v>21243.669726486805</v>
      </c>
      <c r="I120" s="447">
        <f t="shared" si="40"/>
        <v>21626.571920448358</v>
      </c>
      <c r="J120" s="447">
        <f t="shared" si="40"/>
        <v>21788.549581438852</v>
      </c>
      <c r="K120" s="447">
        <f t="shared" si="40"/>
        <v>22221.665284715797</v>
      </c>
      <c r="L120" s="447">
        <f t="shared" si="40"/>
        <v>22655.164553855771</v>
      </c>
      <c r="M120" s="447">
        <f t="shared" si="40"/>
        <v>22493.877515180709</v>
      </c>
      <c r="N120" s="447">
        <f t="shared" si="40"/>
        <v>21861.038171239361</v>
      </c>
    </row>
    <row r="121" spans="1:14" s="5" customFormat="1">
      <c r="A121" s="164"/>
      <c r="B121" s="189" t="str">
        <f t="shared" si="30"/>
        <v>Geography</v>
      </c>
      <c r="C121" s="447">
        <f t="shared" ref="C121:N121" si="41">C$79*$D60</f>
        <v>57064.958536158105</v>
      </c>
      <c r="D121" s="447">
        <f t="shared" si="41"/>
        <v>59179.524843272979</v>
      </c>
      <c r="E121" s="447">
        <f t="shared" si="41"/>
        <v>60797.298741189232</v>
      </c>
      <c r="F121" s="447">
        <f t="shared" si="41"/>
        <v>62197.073980038236</v>
      </c>
      <c r="G121" s="447">
        <f t="shared" si="41"/>
        <v>64096.478262770994</v>
      </c>
      <c r="H121" s="447">
        <f t="shared" si="41"/>
        <v>66624.109928922175</v>
      </c>
      <c r="I121" s="447">
        <f t="shared" si="41"/>
        <v>67824.962615438635</v>
      </c>
      <c r="J121" s="447">
        <f t="shared" si="41"/>
        <v>68332.95476702087</v>
      </c>
      <c r="K121" s="447">
        <f t="shared" si="41"/>
        <v>69691.286382913371</v>
      </c>
      <c r="L121" s="447">
        <f t="shared" si="41"/>
        <v>71050.820932882372</v>
      </c>
      <c r="M121" s="447">
        <f t="shared" si="41"/>
        <v>70544.994701673364</v>
      </c>
      <c r="N121" s="447">
        <f t="shared" si="41"/>
        <v>68560.292502809534</v>
      </c>
    </row>
    <row r="122" spans="1:14" s="5" customFormat="1">
      <c r="A122" s="164"/>
      <c r="B122" s="189" t="str">
        <f t="shared" si="30"/>
        <v>History</v>
      </c>
      <c r="C122" s="447">
        <f t="shared" ref="C122:N122" si="42">C$79*$D61</f>
        <v>60799.169094683042</v>
      </c>
      <c r="D122" s="447">
        <f t="shared" si="42"/>
        <v>63052.108162127297</v>
      </c>
      <c r="E122" s="447">
        <f t="shared" si="42"/>
        <v>64775.745772659349</v>
      </c>
      <c r="F122" s="447">
        <f t="shared" si="42"/>
        <v>66267.119351550253</v>
      </c>
      <c r="G122" s="447">
        <f t="shared" si="42"/>
        <v>68290.816645430896</v>
      </c>
      <c r="H122" s="447">
        <f t="shared" si="42"/>
        <v>70983.851198010598</v>
      </c>
      <c r="I122" s="447">
        <f t="shared" si="42"/>
        <v>72263.285152195574</v>
      </c>
      <c r="J122" s="447">
        <f t="shared" si="42"/>
        <v>72804.519239016998</v>
      </c>
      <c r="K122" s="447">
        <f t="shared" si="42"/>
        <v>74251.737211653803</v>
      </c>
      <c r="L122" s="447">
        <f t="shared" si="42"/>
        <v>75700.236835836549</v>
      </c>
      <c r="M122" s="447">
        <f t="shared" si="42"/>
        <v>75161.310402650473</v>
      </c>
      <c r="N122" s="447">
        <f t="shared" si="42"/>
        <v>73046.733476867696</v>
      </c>
    </row>
    <row r="123" spans="1:14" s="5" customFormat="1">
      <c r="A123" s="164"/>
      <c r="B123" s="189" t="str">
        <f t="shared" si="30"/>
        <v>Mathematics</v>
      </c>
      <c r="C123" s="447">
        <f t="shared" ref="C123:N123" si="43">C$79*$D62</f>
        <v>203126.85558232947</v>
      </c>
      <c r="D123" s="447">
        <f t="shared" si="43"/>
        <v>210653.80760162207</v>
      </c>
      <c r="E123" s="447">
        <f t="shared" si="43"/>
        <v>216412.39103629987</v>
      </c>
      <c r="F123" s="447">
        <f t="shared" si="43"/>
        <v>221394.99244499524</v>
      </c>
      <c r="G123" s="447">
        <f t="shared" si="43"/>
        <v>228156.05964504668</v>
      </c>
      <c r="H123" s="447">
        <f t="shared" si="43"/>
        <v>237153.34774594472</v>
      </c>
      <c r="I123" s="447">
        <f t="shared" si="43"/>
        <v>241427.86991308382</v>
      </c>
      <c r="J123" s="447">
        <f t="shared" si="43"/>
        <v>243236.10479239275</v>
      </c>
      <c r="K123" s="447">
        <f t="shared" si="43"/>
        <v>248071.18462162776</v>
      </c>
      <c r="L123" s="447">
        <f t="shared" si="43"/>
        <v>252910.54638188836</v>
      </c>
      <c r="M123" s="447">
        <f t="shared" si="43"/>
        <v>251110.02125311879</v>
      </c>
      <c r="N123" s="447">
        <f t="shared" si="43"/>
        <v>244045.32993879673</v>
      </c>
    </row>
    <row r="124" spans="1:14" s="5" customFormat="1">
      <c r="A124" s="164"/>
      <c r="B124" s="189" t="str">
        <f t="shared" si="30"/>
        <v>Modern Foreign Languages</v>
      </c>
      <c r="C124" s="447">
        <f t="shared" ref="C124:N124" si="44">C$79*$D63</f>
        <v>72905.532216049396</v>
      </c>
      <c r="D124" s="447">
        <f t="shared" si="44"/>
        <v>75607.077717544031</v>
      </c>
      <c r="E124" s="447">
        <f t="shared" si="44"/>
        <v>77673.926972469606</v>
      </c>
      <c r="F124" s="447">
        <f t="shared" si="44"/>
        <v>79462.263657345524</v>
      </c>
      <c r="G124" s="447">
        <f t="shared" si="44"/>
        <v>81888.920640515527</v>
      </c>
      <c r="H124" s="447">
        <f t="shared" si="44"/>
        <v>85118.193675913033</v>
      </c>
      <c r="I124" s="447">
        <f t="shared" si="44"/>
        <v>86652.389204471619</v>
      </c>
      <c r="J124" s="447">
        <f t="shared" si="44"/>
        <v>87301.394112609982</v>
      </c>
      <c r="K124" s="447">
        <f t="shared" si="44"/>
        <v>89036.782903259518</v>
      </c>
      <c r="L124" s="447">
        <f t="shared" si="44"/>
        <v>90773.708548597424</v>
      </c>
      <c r="M124" s="447">
        <f t="shared" si="44"/>
        <v>90127.47079532253</v>
      </c>
      <c r="N124" s="447">
        <f t="shared" si="44"/>
        <v>87591.838179260129</v>
      </c>
    </row>
    <row r="125" spans="1:14" s="5" customFormat="1">
      <c r="A125" s="164"/>
      <c r="B125" s="189" t="str">
        <f t="shared" si="30"/>
        <v>Music</v>
      </c>
      <c r="C125" s="447">
        <f t="shared" ref="C125:N125" si="45">C$79*$D64</f>
        <v>18155.105396181563</v>
      </c>
      <c r="D125" s="447">
        <f t="shared" si="45"/>
        <v>18827.850547631377</v>
      </c>
      <c r="E125" s="447">
        <f t="shared" si="45"/>
        <v>19342.542161842412</v>
      </c>
      <c r="F125" s="447">
        <f t="shared" si="45"/>
        <v>19787.877927330901</v>
      </c>
      <c r="G125" s="447">
        <f t="shared" si="45"/>
        <v>20392.169699857499</v>
      </c>
      <c r="H125" s="447">
        <f t="shared" si="45"/>
        <v>21196.330790636595</v>
      </c>
      <c r="I125" s="447">
        <f t="shared" si="45"/>
        <v>21578.379733600079</v>
      </c>
      <c r="J125" s="447">
        <f t="shared" si="45"/>
        <v>21739.996447061189</v>
      </c>
      <c r="K125" s="447">
        <f t="shared" si="45"/>
        <v>22172.147004637925</v>
      </c>
      <c r="L125" s="447">
        <f t="shared" si="45"/>
        <v>22604.680273347789</v>
      </c>
      <c r="M125" s="447">
        <f t="shared" si="45"/>
        <v>22443.752643234224</v>
      </c>
      <c r="N125" s="447">
        <f t="shared" si="45"/>
        <v>21812.323504850203</v>
      </c>
    </row>
    <row r="126" spans="1:14" s="5" customFormat="1">
      <c r="A126" s="164"/>
      <c r="B126" s="189" t="str">
        <f t="shared" si="30"/>
        <v>Others</v>
      </c>
      <c r="C126" s="447">
        <f t="shared" ref="C126:N126" si="46">C$79*$D65</f>
        <v>68515.469401908427</v>
      </c>
      <c r="D126" s="447">
        <f t="shared" si="46"/>
        <v>71054.339258821317</v>
      </c>
      <c r="E126" s="447">
        <f t="shared" si="46"/>
        <v>72996.731592842785</v>
      </c>
      <c r="F126" s="447">
        <f t="shared" si="46"/>
        <v>74677.382205882997</v>
      </c>
      <c r="G126" s="447">
        <f t="shared" si="46"/>
        <v>76957.916168471798</v>
      </c>
      <c r="H126" s="447">
        <f t="shared" si="46"/>
        <v>79992.736039088952</v>
      </c>
      <c r="I126" s="447">
        <f t="shared" si="46"/>
        <v>81434.548801418132</v>
      </c>
      <c r="J126" s="447">
        <f t="shared" si="46"/>
        <v>82044.473378794064</v>
      </c>
      <c r="K126" s="447">
        <f t="shared" si="46"/>
        <v>83675.364395868193</v>
      </c>
      <c r="L126" s="447">
        <f t="shared" si="46"/>
        <v>85307.699724741091</v>
      </c>
      <c r="M126" s="447">
        <f t="shared" si="46"/>
        <v>84700.37567586574</v>
      </c>
      <c r="N126" s="447">
        <f t="shared" si="46"/>
        <v>82317.428132111861</v>
      </c>
    </row>
    <row r="127" spans="1:14" s="5" customFormat="1">
      <c r="A127" s="164"/>
      <c r="B127" s="189" t="str">
        <f t="shared" si="30"/>
        <v>Physical Education</v>
      </c>
      <c r="C127" s="447">
        <f t="shared" ref="C127:N127" si="47">C$79*$D66</f>
        <v>106259.50395446827</v>
      </c>
      <c r="D127" s="447">
        <f t="shared" si="47"/>
        <v>110196.99506349073</v>
      </c>
      <c r="E127" s="447">
        <f t="shared" si="47"/>
        <v>113209.41908539103</v>
      </c>
      <c r="F127" s="447">
        <f t="shared" si="47"/>
        <v>115815.91221783757</v>
      </c>
      <c r="G127" s="447">
        <f t="shared" si="47"/>
        <v>119352.75447742302</v>
      </c>
      <c r="H127" s="447">
        <f t="shared" si="47"/>
        <v>124059.40622859617</v>
      </c>
      <c r="I127" s="447">
        <f t="shared" si="47"/>
        <v>126295.48970372525</v>
      </c>
      <c r="J127" s="447">
        <f t="shared" si="47"/>
        <v>127241.41160439022</v>
      </c>
      <c r="K127" s="447">
        <f t="shared" si="47"/>
        <v>129770.73340559601</v>
      </c>
      <c r="L127" s="447">
        <f t="shared" si="47"/>
        <v>132302.29516599106</v>
      </c>
      <c r="M127" s="447">
        <f t="shared" si="47"/>
        <v>131360.40638180188</v>
      </c>
      <c r="N127" s="447">
        <f t="shared" si="47"/>
        <v>127664.73259952823</v>
      </c>
    </row>
    <row r="128" spans="1:14" s="5" customFormat="1">
      <c r="A128" s="164"/>
      <c r="B128" s="189" t="str">
        <f t="shared" si="30"/>
        <v>Physics</v>
      </c>
      <c r="C128" s="447">
        <f t="shared" ref="C128:N128" si="48">C$79*$D67</f>
        <v>78021.086072958366</v>
      </c>
      <c r="D128" s="447">
        <f t="shared" si="48"/>
        <v>80912.190598161003</v>
      </c>
      <c r="E128" s="447">
        <f t="shared" si="48"/>
        <v>83124.064220323227</v>
      </c>
      <c r="F128" s="447">
        <f t="shared" si="48"/>
        <v>85037.882913871115</v>
      </c>
      <c r="G128" s="447">
        <f t="shared" si="48"/>
        <v>87634.810850593218</v>
      </c>
      <c r="H128" s="447">
        <f t="shared" si="48"/>
        <v>91090.671905158946</v>
      </c>
      <c r="I128" s="447">
        <f t="shared" si="48"/>
        <v>92732.517149929932</v>
      </c>
      <c r="J128" s="447">
        <f t="shared" si="48"/>
        <v>93427.06070870375</v>
      </c>
      <c r="K128" s="447">
        <f t="shared" si="48"/>
        <v>95284.216319392915</v>
      </c>
      <c r="L128" s="447">
        <f t="shared" si="48"/>
        <v>97143.016621071583</v>
      </c>
      <c r="M128" s="447">
        <f t="shared" si="48"/>
        <v>96451.43437978928</v>
      </c>
      <c r="N128" s="447">
        <f t="shared" si="48"/>
        <v>93737.884329829496</v>
      </c>
    </row>
    <row r="129" spans="1:15" s="5" customFormat="1">
      <c r="A129" s="164"/>
      <c r="B129" s="189" t="str">
        <f t="shared" si="30"/>
        <v>Religious Education</v>
      </c>
      <c r="C129" s="447">
        <f t="shared" ref="C129:N129" si="49">C$79*$D68</f>
        <v>44772.955693653646</v>
      </c>
      <c r="D129" s="447">
        <f t="shared" si="49"/>
        <v>46432.036607902584</v>
      </c>
      <c r="E129" s="447">
        <f t="shared" si="49"/>
        <v>47701.336032835279</v>
      </c>
      <c r="F129" s="447">
        <f t="shared" si="49"/>
        <v>48799.594515058641</v>
      </c>
      <c r="G129" s="447">
        <f t="shared" si="49"/>
        <v>50289.860099694873</v>
      </c>
      <c r="H129" s="447">
        <f t="shared" si="49"/>
        <v>52273.030568955008</v>
      </c>
      <c r="I129" s="447">
        <f t="shared" si="49"/>
        <v>53215.215151354008</v>
      </c>
      <c r="J129" s="447">
        <f t="shared" si="49"/>
        <v>53613.783917177323</v>
      </c>
      <c r="K129" s="447">
        <f t="shared" si="49"/>
        <v>54679.525885904222</v>
      </c>
      <c r="L129" s="447">
        <f t="shared" si="49"/>
        <v>55746.211672264406</v>
      </c>
      <c r="M129" s="447">
        <f t="shared" si="49"/>
        <v>55349.342279565935</v>
      </c>
      <c r="N129" s="447">
        <f t="shared" si="49"/>
        <v>53792.152264987686</v>
      </c>
    </row>
    <row r="130" spans="1:15" s="5" customFormat="1">
      <c r="A130" s="164"/>
      <c r="B130" s="138" t="s">
        <v>8</v>
      </c>
      <c r="C130" s="447">
        <f t="shared" ref="C130:N130" si="50">C$79*$D69</f>
        <v>1279517.9369682765</v>
      </c>
      <c r="D130" s="447">
        <f t="shared" si="50"/>
        <v>1326931.0182753957</v>
      </c>
      <c r="E130" s="447">
        <f t="shared" si="50"/>
        <v>1363204.9554417799</v>
      </c>
      <c r="F130" s="447">
        <f t="shared" si="50"/>
        <v>1394590.8982651066</v>
      </c>
      <c r="G130" s="447">
        <f t="shared" si="50"/>
        <v>1437179.5886217463</v>
      </c>
      <c r="H130" s="447">
        <f t="shared" si="50"/>
        <v>1493854.4752396031</v>
      </c>
      <c r="I130" s="447">
        <f t="shared" si="50"/>
        <v>1520780.1506710637</v>
      </c>
      <c r="J130" s="447">
        <f t="shared" si="50"/>
        <v>1532170.4168950673</v>
      </c>
      <c r="K130" s="447">
        <f t="shared" si="50"/>
        <v>1562627.1054035556</v>
      </c>
      <c r="L130" s="447">
        <f t="shared" si="50"/>
        <v>1593110.7662566723</v>
      </c>
      <c r="M130" s="447">
        <f t="shared" si="50"/>
        <v>1581769.0645815386</v>
      </c>
      <c r="N130" s="447">
        <f t="shared" si="50"/>
        <v>1537267.8132334356</v>
      </c>
    </row>
    <row r="131" spans="1:15" s="5" customFormat="1">
      <c r="A131" s="164"/>
      <c r="B131" s="741" t="s">
        <v>373</v>
      </c>
      <c r="D131" s="406">
        <f t="shared" ref="D131:N131" si="51">(D130/C130)-1</f>
        <v>3.705542527950878E-2</v>
      </c>
      <c r="E131" s="406">
        <f t="shared" si="51"/>
        <v>2.733671657892911E-2</v>
      </c>
      <c r="F131" s="406">
        <f t="shared" si="51"/>
        <v>2.3023641968169972E-2</v>
      </c>
      <c r="G131" s="406">
        <f t="shared" si="51"/>
        <v>3.0538482941212752E-2</v>
      </c>
      <c r="H131" s="406">
        <f t="shared" si="51"/>
        <v>3.9434797896209961E-2</v>
      </c>
      <c r="I131" s="406">
        <f t="shared" si="51"/>
        <v>1.8024296126396111E-2</v>
      </c>
      <c r="J131" s="406">
        <f t="shared" si="51"/>
        <v>7.4897520321905997E-3</v>
      </c>
      <c r="K131" s="406">
        <f t="shared" si="51"/>
        <v>1.9878133771965567E-2</v>
      </c>
      <c r="L131" s="406">
        <f t="shared" si="51"/>
        <v>1.9507956023355977E-2</v>
      </c>
      <c r="M131" s="406">
        <f t="shared" si="51"/>
        <v>-7.1192172668466114E-3</v>
      </c>
      <c r="N131" s="406">
        <f t="shared" si="51"/>
        <v>-2.8133848577874376E-2</v>
      </c>
    </row>
    <row r="132" spans="1:15">
      <c r="A132" s="10">
        <f>O132</f>
        <v>0</v>
      </c>
      <c r="B132" s="12"/>
      <c r="C132" s="10">
        <f t="shared" ref="C132:N132" si="52">SUM(C111:C129)-C130</f>
        <v>0</v>
      </c>
      <c r="D132" s="10">
        <f t="shared" si="52"/>
        <v>0</v>
      </c>
      <c r="E132" s="10">
        <f t="shared" si="52"/>
        <v>0</v>
      </c>
      <c r="F132" s="10">
        <f t="shared" si="52"/>
        <v>0</v>
      </c>
      <c r="G132" s="10">
        <f t="shared" si="52"/>
        <v>0</v>
      </c>
      <c r="H132" s="10">
        <f t="shared" si="52"/>
        <v>0</v>
      </c>
      <c r="I132" s="10">
        <f t="shared" si="52"/>
        <v>0</v>
      </c>
      <c r="J132" s="10">
        <f t="shared" si="52"/>
        <v>0</v>
      </c>
      <c r="K132" s="10">
        <f t="shared" si="52"/>
        <v>0</v>
      </c>
      <c r="L132" s="10">
        <f t="shared" si="52"/>
        <v>0</v>
      </c>
      <c r="M132" s="10">
        <f t="shared" si="52"/>
        <v>0</v>
      </c>
      <c r="N132" s="10">
        <f t="shared" si="52"/>
        <v>0</v>
      </c>
      <c r="O132" s="10">
        <f>SUM(C132:N132)</f>
        <v>0</v>
      </c>
    </row>
    <row r="133" spans="1:15">
      <c r="B133" s="12"/>
      <c r="C133" s="10"/>
      <c r="D133" s="10"/>
      <c r="E133" s="10"/>
      <c r="F133" s="10"/>
      <c r="G133" s="10"/>
      <c r="H133" s="10"/>
      <c r="I133" s="10"/>
      <c r="J133" s="10"/>
      <c r="K133" s="10"/>
      <c r="L133" s="10"/>
      <c r="M133" s="10"/>
      <c r="N133" s="10"/>
      <c r="O133" s="10"/>
    </row>
    <row r="134" spans="1:15">
      <c r="B134" s="75" t="s">
        <v>1560</v>
      </c>
      <c r="D134" s="12"/>
      <c r="E134" s="12"/>
      <c r="F134" s="12"/>
    </row>
    <row r="135" spans="1:15">
      <c r="B135" s="12"/>
      <c r="D135" s="12"/>
      <c r="E135" s="12"/>
      <c r="F135" s="12"/>
    </row>
    <row r="136" spans="1:15">
      <c r="B136" s="139" t="s">
        <v>59</v>
      </c>
      <c r="C136" s="8" t="str">
        <f t="shared" ref="C136:N136" si="53">C110</f>
        <v>2017/18</v>
      </c>
      <c r="D136" s="8" t="str">
        <f t="shared" si="53"/>
        <v>2018/19</v>
      </c>
      <c r="E136" s="8" t="str">
        <f t="shared" si="53"/>
        <v>2019/20</v>
      </c>
      <c r="F136" s="8" t="str">
        <f t="shared" si="53"/>
        <v>2020/21</v>
      </c>
      <c r="G136" s="8" t="str">
        <f t="shared" si="53"/>
        <v>2021/22</v>
      </c>
      <c r="H136" s="8" t="str">
        <f t="shared" si="53"/>
        <v>2022/23</v>
      </c>
      <c r="I136" s="8" t="str">
        <f t="shared" si="53"/>
        <v>2023/24</v>
      </c>
      <c r="J136" s="8" t="str">
        <f t="shared" si="53"/>
        <v>2024/25</v>
      </c>
      <c r="K136" s="8" t="str">
        <f t="shared" si="53"/>
        <v>2025/26</v>
      </c>
      <c r="L136" s="8" t="str">
        <f t="shared" si="53"/>
        <v>2026/27</v>
      </c>
      <c r="M136" s="8" t="str">
        <f t="shared" si="53"/>
        <v>2027/28</v>
      </c>
      <c r="N136" s="8" t="str">
        <f t="shared" si="53"/>
        <v>2028/29</v>
      </c>
    </row>
    <row r="137" spans="1:15" s="5" customFormat="1">
      <c r="A137" s="164"/>
      <c r="B137" s="189" t="str">
        <f t="shared" ref="B137:B156" si="54">B85</f>
        <v>Art &amp; Design</v>
      </c>
      <c r="C137" s="447">
        <f>C$80*$E50</f>
        <v>26104.745564442543</v>
      </c>
      <c r="D137" s="447">
        <f t="shared" ref="D137:N137" si="55">D$80*$E50</f>
        <v>25408.720514669527</v>
      </c>
      <c r="E137" s="447">
        <f t="shared" si="55"/>
        <v>24987.364221575386</v>
      </c>
      <c r="F137" s="447">
        <f t="shared" si="55"/>
        <v>25084.946679181048</v>
      </c>
      <c r="G137" s="447">
        <f t="shared" si="55"/>
        <v>25496.405059904646</v>
      </c>
      <c r="H137" s="447">
        <f t="shared" si="55"/>
        <v>26262.176241310332</v>
      </c>
      <c r="I137" s="447">
        <f t="shared" si="55"/>
        <v>27039.528649340726</v>
      </c>
      <c r="J137" s="447">
        <f t="shared" si="55"/>
        <v>27861.794816216061</v>
      </c>
      <c r="K137" s="447">
        <f t="shared" si="55"/>
        <v>28452.416003789913</v>
      </c>
      <c r="L137" s="447">
        <f t="shared" si="55"/>
        <v>28938.868303803945</v>
      </c>
      <c r="M137" s="447">
        <f t="shared" si="55"/>
        <v>29406.810817302256</v>
      </c>
      <c r="N137" s="447">
        <f t="shared" si="55"/>
        <v>29772.040645493958</v>
      </c>
    </row>
    <row r="138" spans="1:15" s="5" customFormat="1">
      <c r="A138" s="164"/>
      <c r="B138" s="189" t="str">
        <f t="shared" si="54"/>
        <v>Biology</v>
      </c>
      <c r="C138" s="447">
        <f t="shared" ref="C138:N138" si="56">C$80*$E51</f>
        <v>36755.156700039581</v>
      </c>
      <c r="D138" s="447">
        <f t="shared" si="56"/>
        <v>35775.162096820532</v>
      </c>
      <c r="E138" s="447">
        <f t="shared" si="56"/>
        <v>35181.897682846778</v>
      </c>
      <c r="F138" s="447">
        <f t="shared" si="56"/>
        <v>35319.292568064753</v>
      </c>
      <c r="G138" s="447">
        <f t="shared" si="56"/>
        <v>35898.620844668985</v>
      </c>
      <c r="H138" s="447">
        <f t="shared" si="56"/>
        <v>36976.817132752265</v>
      </c>
      <c r="I138" s="447">
        <f t="shared" si="56"/>
        <v>38071.319643714407</v>
      </c>
      <c r="J138" s="447">
        <f t="shared" si="56"/>
        <v>39229.060167866846</v>
      </c>
      <c r="K138" s="447">
        <f t="shared" si="56"/>
        <v>40060.647445591923</v>
      </c>
      <c r="L138" s="447">
        <f t="shared" si="56"/>
        <v>40745.566226737385</v>
      </c>
      <c r="M138" s="447">
        <f t="shared" si="56"/>
        <v>41404.423458951438</v>
      </c>
      <c r="N138" s="447">
        <f t="shared" si="56"/>
        <v>41918.662509225876</v>
      </c>
    </row>
    <row r="139" spans="1:15" s="5" customFormat="1">
      <c r="A139" s="164"/>
      <c r="B139" s="189" t="str">
        <f t="shared" si="54"/>
        <v>Business Studies</v>
      </c>
      <c r="C139" s="447">
        <f t="shared" ref="C139:N139" si="57">C$80*$E52</f>
        <v>34868.591699058765</v>
      </c>
      <c r="D139" s="447">
        <f t="shared" si="57"/>
        <v>33938.898160658231</v>
      </c>
      <c r="E139" s="447">
        <f t="shared" si="57"/>
        <v>33376.084763091894</v>
      </c>
      <c r="F139" s="447">
        <f t="shared" si="57"/>
        <v>33506.427457405574</v>
      </c>
      <c r="G139" s="447">
        <f t="shared" si="57"/>
        <v>34056.020030265172</v>
      </c>
      <c r="H139" s="447">
        <f t="shared" si="57"/>
        <v>35078.874767287038</v>
      </c>
      <c r="I139" s="447">
        <f t="shared" si="57"/>
        <v>36117.198763013403</v>
      </c>
      <c r="J139" s="447">
        <f t="shared" si="57"/>
        <v>37215.51489752419</v>
      </c>
      <c r="K139" s="447">
        <f t="shared" si="57"/>
        <v>38004.418546766312</v>
      </c>
      <c r="L139" s="447">
        <f t="shared" si="57"/>
        <v>38654.181885328071</v>
      </c>
      <c r="M139" s="447">
        <f t="shared" si="57"/>
        <v>39279.221359531126</v>
      </c>
      <c r="N139" s="447">
        <f t="shared" si="57"/>
        <v>39767.065599349364</v>
      </c>
    </row>
    <row r="140" spans="1:15" s="5" customFormat="1">
      <c r="A140" s="164"/>
      <c r="B140" s="189" t="str">
        <f t="shared" si="54"/>
        <v>Chemistry</v>
      </c>
      <c r="C140" s="447">
        <f t="shared" ref="C140:N140" si="58">C$80*$E53</f>
        <v>31127.914746015809</v>
      </c>
      <c r="D140" s="447">
        <f t="shared" si="58"/>
        <v>30297.958048796088</v>
      </c>
      <c r="E140" s="447">
        <f t="shared" si="58"/>
        <v>29795.522859885572</v>
      </c>
      <c r="F140" s="447">
        <f t="shared" si="58"/>
        <v>29911.882485515987</v>
      </c>
      <c r="G140" s="447">
        <f t="shared" si="58"/>
        <v>30402.515170101258</v>
      </c>
      <c r="H140" s="447">
        <f t="shared" si="58"/>
        <v>31315.638800856748</v>
      </c>
      <c r="I140" s="447">
        <f t="shared" si="58"/>
        <v>32242.572159584422</v>
      </c>
      <c r="J140" s="447">
        <f t="shared" si="58"/>
        <v>33223.061744431878</v>
      </c>
      <c r="K140" s="447">
        <f t="shared" si="58"/>
        <v>33927.332388579867</v>
      </c>
      <c r="L140" s="447">
        <f t="shared" si="58"/>
        <v>34507.389592564483</v>
      </c>
      <c r="M140" s="447">
        <f t="shared" si="58"/>
        <v>35065.375290232121</v>
      </c>
      <c r="N140" s="447">
        <f t="shared" si="58"/>
        <v>35500.883957672995</v>
      </c>
    </row>
    <row r="141" spans="1:15" s="5" customFormat="1">
      <c r="A141" s="164"/>
      <c r="B141" s="189" t="str">
        <f t="shared" si="54"/>
        <v>Classics</v>
      </c>
      <c r="C141" s="447">
        <f t="shared" ref="C141:N141" si="59">C$80*$E54</f>
        <v>1868.9241912209282</v>
      </c>
      <c r="D141" s="447">
        <f t="shared" si="59"/>
        <v>1819.0934794062766</v>
      </c>
      <c r="E141" s="447">
        <f t="shared" si="59"/>
        <v>1788.9272030354603</v>
      </c>
      <c r="F141" s="447">
        <f t="shared" si="59"/>
        <v>1795.9134506205132</v>
      </c>
      <c r="G141" s="447">
        <f t="shared" si="59"/>
        <v>1825.3711030430047</v>
      </c>
      <c r="H141" s="447">
        <f t="shared" si="59"/>
        <v>1880.1951687415544</v>
      </c>
      <c r="I141" s="447">
        <f t="shared" si="59"/>
        <v>1935.8483723663669</v>
      </c>
      <c r="J141" s="447">
        <f t="shared" si="59"/>
        <v>1994.7170990161696</v>
      </c>
      <c r="K141" s="447">
        <f t="shared" si="59"/>
        <v>2037.0016032868389</v>
      </c>
      <c r="L141" s="447">
        <f t="shared" si="59"/>
        <v>2071.8283158907589</v>
      </c>
      <c r="M141" s="447">
        <f t="shared" si="59"/>
        <v>2105.3298522845453</v>
      </c>
      <c r="N141" s="447">
        <f t="shared" si="59"/>
        <v>2131.477851297901</v>
      </c>
    </row>
    <row r="142" spans="1:15" s="5" customFormat="1">
      <c r="A142" s="164"/>
      <c r="B142" s="189" t="str">
        <f t="shared" si="54"/>
        <v>Computing</v>
      </c>
      <c r="C142" s="447">
        <f t="shared" ref="C142:N142" si="60">C$80*$E55</f>
        <v>22528.932477347778</v>
      </c>
      <c r="D142" s="447">
        <f t="shared" si="60"/>
        <v>21928.248540008903</v>
      </c>
      <c r="E142" s="447">
        <f t="shared" si="60"/>
        <v>21564.609390468464</v>
      </c>
      <c r="F142" s="447">
        <f t="shared" si="60"/>
        <v>21648.825058954659</v>
      </c>
      <c r="G142" s="447">
        <f t="shared" si="60"/>
        <v>22003.922106488699</v>
      </c>
      <c r="H142" s="447">
        <f t="shared" si="60"/>
        <v>22664.798390319887</v>
      </c>
      <c r="I142" s="447">
        <f t="shared" si="60"/>
        <v>23335.669510989799</v>
      </c>
      <c r="J142" s="447">
        <f t="shared" si="60"/>
        <v>24045.302129557615</v>
      </c>
      <c r="K142" s="447">
        <f t="shared" si="60"/>
        <v>24555.020365335655</v>
      </c>
      <c r="L142" s="447">
        <f t="shared" si="60"/>
        <v>24974.838708073858</v>
      </c>
      <c r="M142" s="447">
        <f t="shared" si="60"/>
        <v>25378.682724245518</v>
      </c>
      <c r="N142" s="447">
        <f t="shared" si="60"/>
        <v>25693.883579880443</v>
      </c>
    </row>
    <row r="143" spans="1:15" s="5" customFormat="1">
      <c r="A143" s="164"/>
      <c r="B143" s="189" t="str">
        <f t="shared" si="54"/>
        <v>Design &amp; Technology</v>
      </c>
      <c r="C143" s="447">
        <f t="shared" ref="C143:N143" si="61">C$80*$E56</f>
        <v>18976.983445079808</v>
      </c>
      <c r="D143" s="447">
        <f t="shared" si="61"/>
        <v>18471.004338166211</v>
      </c>
      <c r="E143" s="447">
        <f t="shared" si="61"/>
        <v>18164.697142840803</v>
      </c>
      <c r="F143" s="447">
        <f t="shared" si="61"/>
        <v>18235.635228712639</v>
      </c>
      <c r="G143" s="447">
        <f t="shared" si="61"/>
        <v>18534.74708406689</v>
      </c>
      <c r="H143" s="447">
        <f t="shared" si="61"/>
        <v>19091.428511831855</v>
      </c>
      <c r="I143" s="447">
        <f t="shared" si="61"/>
        <v>19656.528973806064</v>
      </c>
      <c r="J143" s="447">
        <f t="shared" si="61"/>
        <v>20254.279731334878</v>
      </c>
      <c r="K143" s="447">
        <f t="shared" si="61"/>
        <v>20683.634940763506</v>
      </c>
      <c r="L143" s="447">
        <f t="shared" si="61"/>
        <v>21037.264024080891</v>
      </c>
      <c r="M143" s="447">
        <f t="shared" si="61"/>
        <v>21377.437319774763</v>
      </c>
      <c r="N143" s="447">
        <f t="shared" si="61"/>
        <v>21642.943083320071</v>
      </c>
    </row>
    <row r="144" spans="1:15" s="5" customFormat="1">
      <c r="A144" s="164"/>
      <c r="B144" s="189" t="str">
        <f t="shared" si="54"/>
        <v>Drama</v>
      </c>
      <c r="C144" s="447">
        <f t="shared" ref="C144:N144" si="62">C$80*$E57</f>
        <v>13577.151551983881</v>
      </c>
      <c r="D144" s="447">
        <f t="shared" si="62"/>
        <v>13215.1469669778</v>
      </c>
      <c r="E144" s="447">
        <f t="shared" si="62"/>
        <v>12995.998374450866</v>
      </c>
      <c r="F144" s="447">
        <f t="shared" si="62"/>
        <v>13046.751284968859</v>
      </c>
      <c r="G144" s="447">
        <f t="shared" si="62"/>
        <v>13260.751945447524</v>
      </c>
      <c r="H144" s="447">
        <f t="shared" si="62"/>
        <v>13659.031689581425</v>
      </c>
      <c r="I144" s="447">
        <f t="shared" si="62"/>
        <v>14063.334862239206</v>
      </c>
      <c r="J144" s="447">
        <f t="shared" si="62"/>
        <v>14490.9978071308</v>
      </c>
      <c r="K144" s="447">
        <f t="shared" si="62"/>
        <v>14798.181547102797</v>
      </c>
      <c r="L144" s="447">
        <f t="shared" si="62"/>
        <v>15051.186755822315</v>
      </c>
      <c r="M144" s="447">
        <f t="shared" si="62"/>
        <v>15294.564972541528</v>
      </c>
      <c r="N144" s="447">
        <f t="shared" si="62"/>
        <v>15484.522032893734</v>
      </c>
    </row>
    <row r="145" spans="1:15" s="5" customFormat="1">
      <c r="A145" s="164"/>
      <c r="B145" s="189" t="str">
        <f t="shared" si="54"/>
        <v>English</v>
      </c>
      <c r="C145" s="447">
        <f t="shared" ref="C145:N145" si="63">C$80*$E58</f>
        <v>47605.355730539442</v>
      </c>
      <c r="D145" s="447">
        <f t="shared" si="63"/>
        <v>46336.064673478017</v>
      </c>
      <c r="E145" s="447">
        <f t="shared" si="63"/>
        <v>45567.667365313086</v>
      </c>
      <c r="F145" s="447">
        <f t="shared" si="63"/>
        <v>45745.621507632153</v>
      </c>
      <c r="G145" s="447">
        <f t="shared" si="63"/>
        <v>46495.968701566846</v>
      </c>
      <c r="H145" s="447">
        <f t="shared" si="63"/>
        <v>47892.450785984045</v>
      </c>
      <c r="I145" s="447">
        <f t="shared" si="63"/>
        <v>49310.052724333698</v>
      </c>
      <c r="J145" s="447">
        <f t="shared" si="63"/>
        <v>50809.560669456368</v>
      </c>
      <c r="K145" s="447">
        <f t="shared" si="63"/>
        <v>51886.634248550923</v>
      </c>
      <c r="L145" s="447">
        <f t="shared" si="63"/>
        <v>52773.742484520502</v>
      </c>
      <c r="M145" s="447">
        <f t="shared" si="63"/>
        <v>53627.095747877829</v>
      </c>
      <c r="N145" s="447">
        <f t="shared" si="63"/>
        <v>54293.13923991449</v>
      </c>
    </row>
    <row r="146" spans="1:15" s="5" customFormat="1">
      <c r="A146" s="164"/>
      <c r="B146" s="189" t="str">
        <f t="shared" si="54"/>
        <v>Food</v>
      </c>
      <c r="C146" s="447">
        <f t="shared" ref="C146:N146" si="64">C$80*$E59</f>
        <v>2596.7174530429402</v>
      </c>
      <c r="D146" s="447">
        <f t="shared" si="64"/>
        <v>2527.4817506669506</v>
      </c>
      <c r="E146" s="447">
        <f t="shared" si="64"/>
        <v>2485.568174550071</v>
      </c>
      <c r="F146" s="447">
        <f t="shared" si="64"/>
        <v>2495.2749947199868</v>
      </c>
      <c r="G146" s="447">
        <f t="shared" si="64"/>
        <v>2536.2039957626589</v>
      </c>
      <c r="H146" s="447">
        <f t="shared" si="64"/>
        <v>2612.3775553510732</v>
      </c>
      <c r="I146" s="447">
        <f t="shared" si="64"/>
        <v>2689.7031343387871</v>
      </c>
      <c r="J146" s="447">
        <f t="shared" si="64"/>
        <v>2771.496419827854</v>
      </c>
      <c r="K146" s="447">
        <f t="shared" si="64"/>
        <v>2830.2472834255823</v>
      </c>
      <c r="L146" s="447">
        <f t="shared" si="64"/>
        <v>2878.6361548819627</v>
      </c>
      <c r="M146" s="447">
        <f t="shared" si="64"/>
        <v>2925.1838022751231</v>
      </c>
      <c r="N146" s="447">
        <f t="shared" si="64"/>
        <v>2961.5143103391088</v>
      </c>
    </row>
    <row r="147" spans="1:15" s="5" customFormat="1">
      <c r="A147" s="164"/>
      <c r="B147" s="189" t="str">
        <f t="shared" si="54"/>
        <v>Geography</v>
      </c>
      <c r="C147" s="447">
        <f t="shared" ref="C147:N147" si="65">C$80*$E60</f>
        <v>22495.595682808995</v>
      </c>
      <c r="D147" s="447">
        <f t="shared" si="65"/>
        <v>21895.80059704007</v>
      </c>
      <c r="E147" s="447">
        <f t="shared" si="65"/>
        <v>21532.699536182998</v>
      </c>
      <c r="F147" s="447">
        <f t="shared" si="65"/>
        <v>21616.790588003932</v>
      </c>
      <c r="G147" s="447">
        <f t="shared" si="65"/>
        <v>21971.36218688092</v>
      </c>
      <c r="H147" s="447">
        <f t="shared" si="65"/>
        <v>22631.260550568233</v>
      </c>
      <c r="I147" s="447">
        <f t="shared" si="65"/>
        <v>23301.138961408938</v>
      </c>
      <c r="J147" s="447">
        <f t="shared" si="65"/>
        <v>24009.721513497709</v>
      </c>
      <c r="K147" s="447">
        <f t="shared" si="65"/>
        <v>24518.685502614666</v>
      </c>
      <c r="L147" s="447">
        <f t="shared" si="65"/>
        <v>24937.882626489099</v>
      </c>
      <c r="M147" s="447">
        <f t="shared" si="65"/>
        <v>25341.129061527859</v>
      </c>
      <c r="N147" s="447">
        <f t="shared" si="65"/>
        <v>25655.863504199217</v>
      </c>
    </row>
    <row r="148" spans="1:15" s="5" customFormat="1">
      <c r="A148" s="164"/>
      <c r="B148" s="189" t="str">
        <f t="shared" si="54"/>
        <v>History</v>
      </c>
      <c r="C148" s="447">
        <f t="shared" ref="C148:N148" si="66">C$80*$E61</f>
        <v>27975.651606370546</v>
      </c>
      <c r="D148" s="447">
        <f t="shared" si="66"/>
        <v>27229.74300313638</v>
      </c>
      <c r="E148" s="447">
        <f t="shared" si="66"/>
        <v>26778.188444649913</v>
      </c>
      <c r="F148" s="447">
        <f t="shared" si="66"/>
        <v>26882.764558220155</v>
      </c>
      <c r="G148" s="447">
        <f t="shared" si="66"/>
        <v>27323.711828946431</v>
      </c>
      <c r="H148" s="447">
        <f t="shared" si="66"/>
        <v>28144.365212765832</v>
      </c>
      <c r="I148" s="447">
        <f t="shared" si="66"/>
        <v>28977.429840373356</v>
      </c>
      <c r="J148" s="447">
        <f t="shared" si="66"/>
        <v>29858.627159666259</v>
      </c>
      <c r="K148" s="447">
        <f t="shared" si="66"/>
        <v>30491.577690983177</v>
      </c>
      <c r="L148" s="447">
        <f t="shared" si="66"/>
        <v>31012.893634657685</v>
      </c>
      <c r="M148" s="447">
        <f t="shared" si="66"/>
        <v>31514.373210358641</v>
      </c>
      <c r="N148" s="447">
        <f t="shared" si="66"/>
        <v>31905.778765510386</v>
      </c>
    </row>
    <row r="149" spans="1:15" s="5" customFormat="1">
      <c r="A149" s="164"/>
      <c r="B149" s="189" t="str">
        <f t="shared" si="54"/>
        <v>Mathematics</v>
      </c>
      <c r="C149" s="447">
        <f t="shared" ref="C149:N149" si="67">C$80*$E62</f>
        <v>63117.565266709862</v>
      </c>
      <c r="D149" s="447">
        <f t="shared" si="67"/>
        <v>61434.67560215199</v>
      </c>
      <c r="E149" s="447">
        <f t="shared" si="67"/>
        <v>60415.895960563234</v>
      </c>
      <c r="F149" s="447">
        <f t="shared" si="67"/>
        <v>60651.83647649765</v>
      </c>
      <c r="G149" s="447">
        <f t="shared" si="67"/>
        <v>61646.68437247679</v>
      </c>
      <c r="H149" s="447">
        <f t="shared" si="67"/>
        <v>63498.210272333657</v>
      </c>
      <c r="I149" s="447">
        <f t="shared" si="67"/>
        <v>65377.737932466211</v>
      </c>
      <c r="J149" s="447">
        <f t="shared" si="67"/>
        <v>67365.860679199817</v>
      </c>
      <c r="K149" s="447">
        <f t="shared" si="67"/>
        <v>68793.898782944889</v>
      </c>
      <c r="L149" s="447">
        <f t="shared" si="67"/>
        <v>69970.071319064096</v>
      </c>
      <c r="M149" s="447">
        <f t="shared" si="67"/>
        <v>71101.489821645795</v>
      </c>
      <c r="N149" s="447">
        <f t="shared" si="67"/>
        <v>71984.563646722221</v>
      </c>
    </row>
    <row r="150" spans="1:15" s="5" customFormat="1">
      <c r="A150" s="164"/>
      <c r="B150" s="189" t="str">
        <f t="shared" si="54"/>
        <v>Modern Foreign Languages</v>
      </c>
      <c r="C150" s="447">
        <f t="shared" ref="C150:N150" si="68">C$80*$E63</f>
        <v>23892.41750734071</v>
      </c>
      <c r="D150" s="447">
        <f t="shared" si="68"/>
        <v>23255.379270607384</v>
      </c>
      <c r="E150" s="447">
        <f t="shared" si="68"/>
        <v>22869.732130354721</v>
      </c>
      <c r="F150" s="447">
        <f t="shared" si="68"/>
        <v>22959.044658329811</v>
      </c>
      <c r="G150" s="447">
        <f t="shared" si="68"/>
        <v>23335.632715657328</v>
      </c>
      <c r="H150" s="447">
        <f t="shared" si="68"/>
        <v>24036.506230630617</v>
      </c>
      <c r="I150" s="447">
        <f t="shared" si="68"/>
        <v>24747.979485068194</v>
      </c>
      <c r="J150" s="447">
        <f t="shared" si="68"/>
        <v>25500.560141816906</v>
      </c>
      <c r="K150" s="447">
        <f t="shared" si="68"/>
        <v>26041.127295300947</v>
      </c>
      <c r="L150" s="447">
        <f t="shared" si="68"/>
        <v>26486.353678398609</v>
      </c>
      <c r="M150" s="447">
        <f t="shared" si="68"/>
        <v>26914.638944552084</v>
      </c>
      <c r="N150" s="447">
        <f t="shared" si="68"/>
        <v>27248.916232172025</v>
      </c>
    </row>
    <row r="151" spans="1:15" s="5" customFormat="1">
      <c r="A151" s="164"/>
      <c r="B151" s="189" t="str">
        <f t="shared" si="54"/>
        <v>Music</v>
      </c>
      <c r="C151" s="447">
        <f t="shared" ref="C151:N151" si="69">C$80*$E64</f>
        <v>10862.913469967232</v>
      </c>
      <c r="D151" s="447">
        <f t="shared" si="69"/>
        <v>10573.278013841102</v>
      </c>
      <c r="E151" s="447">
        <f t="shared" si="69"/>
        <v>10397.939896079772</v>
      </c>
      <c r="F151" s="447">
        <f t="shared" si="69"/>
        <v>10438.546681177149</v>
      </c>
      <c r="G151" s="447">
        <f t="shared" si="69"/>
        <v>10609.766001252859</v>
      </c>
      <c r="H151" s="447">
        <f t="shared" si="69"/>
        <v>10928.424770052938</v>
      </c>
      <c r="I151" s="447">
        <f t="shared" si="69"/>
        <v>11251.902810597676</v>
      </c>
      <c r="J151" s="447">
        <f t="shared" si="69"/>
        <v>11594.070720183243</v>
      </c>
      <c r="K151" s="447">
        <f t="shared" si="69"/>
        <v>11839.844686388189</v>
      </c>
      <c r="L151" s="447">
        <f t="shared" si="69"/>
        <v>12042.271070099692</v>
      </c>
      <c r="M151" s="447">
        <f t="shared" si="69"/>
        <v>12236.995014851524</v>
      </c>
      <c r="N151" s="447">
        <f t="shared" si="69"/>
        <v>12388.977343524421</v>
      </c>
    </row>
    <row r="152" spans="1:15" s="5" customFormat="1">
      <c r="A152" s="164"/>
      <c r="B152" s="189" t="str">
        <f t="shared" si="54"/>
        <v>Others</v>
      </c>
      <c r="C152" s="447">
        <f t="shared" ref="C152:N152" si="70">C$80*$E65</f>
        <v>125521.61750953425</v>
      </c>
      <c r="D152" s="447">
        <f t="shared" si="70"/>
        <v>122174.86242015827</v>
      </c>
      <c r="E152" s="447">
        <f t="shared" si="70"/>
        <v>120148.81993962787</v>
      </c>
      <c r="F152" s="447">
        <f t="shared" si="70"/>
        <v>120618.03378003788</v>
      </c>
      <c r="G152" s="447">
        <f t="shared" si="70"/>
        <v>122596.48330595966</v>
      </c>
      <c r="H152" s="447">
        <f t="shared" si="70"/>
        <v>126278.60451625621</v>
      </c>
      <c r="I152" s="447">
        <f t="shared" si="70"/>
        <v>130016.41270098003</v>
      </c>
      <c r="J152" s="447">
        <f t="shared" si="70"/>
        <v>133970.1834448766</v>
      </c>
      <c r="K152" s="447">
        <f t="shared" si="70"/>
        <v>136810.11638414464</v>
      </c>
      <c r="L152" s="447">
        <f t="shared" si="70"/>
        <v>139149.16540449465</v>
      </c>
      <c r="M152" s="447">
        <f t="shared" si="70"/>
        <v>141399.21228010143</v>
      </c>
      <c r="N152" s="447">
        <f t="shared" si="70"/>
        <v>143155.37721510074</v>
      </c>
    </row>
    <row r="153" spans="1:15" s="5" customFormat="1">
      <c r="A153" s="164"/>
      <c r="B153" s="189" t="str">
        <f t="shared" si="54"/>
        <v>Physical Education</v>
      </c>
      <c r="C153" s="447">
        <f t="shared" ref="C153:N153" si="71">C$80*$E66</f>
        <v>27927.289187567345</v>
      </c>
      <c r="D153" s="447">
        <f t="shared" si="71"/>
        <v>27182.670060795288</v>
      </c>
      <c r="E153" s="447">
        <f t="shared" si="71"/>
        <v>26731.896119360292</v>
      </c>
      <c r="F153" s="447">
        <f t="shared" si="71"/>
        <v>26836.291448801803</v>
      </c>
      <c r="G153" s="447">
        <f t="shared" si="71"/>
        <v>27276.476439639944</v>
      </c>
      <c r="H153" s="447">
        <f t="shared" si="71"/>
        <v>28095.711133264067</v>
      </c>
      <c r="I153" s="447">
        <f t="shared" si="71"/>
        <v>28927.335614955511</v>
      </c>
      <c r="J153" s="447">
        <f t="shared" si="71"/>
        <v>29807.009579782771</v>
      </c>
      <c r="K153" s="447">
        <f t="shared" si="71"/>
        <v>30438.865908930318</v>
      </c>
      <c r="L153" s="447">
        <f t="shared" si="71"/>
        <v>30959.280636777883</v>
      </c>
      <c r="M153" s="447">
        <f t="shared" si="71"/>
        <v>31459.89328842636</v>
      </c>
      <c r="N153" s="447">
        <f t="shared" si="71"/>
        <v>31850.622208064964</v>
      </c>
    </row>
    <row r="154" spans="1:15" s="5" customFormat="1">
      <c r="A154" s="164"/>
      <c r="B154" s="189" t="str">
        <f t="shared" si="54"/>
        <v>Physics</v>
      </c>
      <c r="C154" s="447">
        <f t="shared" ref="C154:N154" si="72">C$80*$E67</f>
        <v>25390.351718020582</v>
      </c>
      <c r="D154" s="447">
        <f t="shared" si="72"/>
        <v>24713.374393163554</v>
      </c>
      <c r="E154" s="447">
        <f t="shared" si="72"/>
        <v>24303.549120059419</v>
      </c>
      <c r="F154" s="447">
        <f t="shared" si="72"/>
        <v>24398.46109359313</v>
      </c>
      <c r="G154" s="447">
        <f t="shared" si="72"/>
        <v>24798.659324911248</v>
      </c>
      <c r="H154" s="447">
        <f t="shared" si="72"/>
        <v>25543.474078359686</v>
      </c>
      <c r="I154" s="447">
        <f t="shared" si="72"/>
        <v>26299.553121536657</v>
      </c>
      <c r="J154" s="447">
        <f t="shared" si="72"/>
        <v>27099.316794055681</v>
      </c>
      <c r="K154" s="447">
        <f t="shared" si="72"/>
        <v>27673.774784753026</v>
      </c>
      <c r="L154" s="447">
        <f t="shared" si="72"/>
        <v>28146.914619075724</v>
      </c>
      <c r="M154" s="447">
        <f t="shared" si="72"/>
        <v>28602.051213769068</v>
      </c>
      <c r="N154" s="447">
        <f t="shared" si="72"/>
        <v>28957.286003275345</v>
      </c>
    </row>
    <row r="155" spans="1:15" s="5" customFormat="1">
      <c r="A155" s="164"/>
      <c r="B155" s="189" t="str">
        <f t="shared" si="54"/>
        <v>Religious Education</v>
      </c>
      <c r="C155" s="447">
        <f t="shared" ref="C155:N155" si="73">C$80*$E68</f>
        <v>15995.136081573952</v>
      </c>
      <c r="D155" s="447">
        <f t="shared" si="73"/>
        <v>15568.661310547337</v>
      </c>
      <c r="E155" s="447">
        <f t="shared" si="73"/>
        <v>15310.484067247617</v>
      </c>
      <c r="F155" s="447">
        <f t="shared" si="73"/>
        <v>15370.275674284117</v>
      </c>
      <c r="G155" s="447">
        <f t="shared" si="73"/>
        <v>15622.388179090236</v>
      </c>
      <c r="H155" s="447">
        <f t="shared" si="73"/>
        <v>16091.598431444334</v>
      </c>
      <c r="I155" s="447">
        <f t="shared" si="73"/>
        <v>16567.904837844311</v>
      </c>
      <c r="J155" s="447">
        <f t="shared" si="73"/>
        <v>17071.73120925932</v>
      </c>
      <c r="K155" s="447">
        <f t="shared" si="73"/>
        <v>17433.621971403827</v>
      </c>
      <c r="L155" s="447">
        <f t="shared" si="73"/>
        <v>17731.685429509987</v>
      </c>
      <c r="M155" s="447">
        <f t="shared" si="73"/>
        <v>18018.407403615503</v>
      </c>
      <c r="N155" s="447">
        <f t="shared" si="73"/>
        <v>18242.194331113216</v>
      </c>
    </row>
    <row r="156" spans="1:15" s="5" customFormat="1">
      <c r="A156" s="164"/>
      <c r="B156" s="189" t="str">
        <f t="shared" si="54"/>
        <v>Total</v>
      </c>
      <c r="C156" s="447">
        <f t="shared" ref="C156:N156" si="74">C$80*$E69</f>
        <v>579189.01158866507</v>
      </c>
      <c r="D156" s="447">
        <f t="shared" si="74"/>
        <v>563746.22324108996</v>
      </c>
      <c r="E156" s="447">
        <f t="shared" si="74"/>
        <v>554397.54239218438</v>
      </c>
      <c r="F156" s="447">
        <f t="shared" si="74"/>
        <v>556562.61567472189</v>
      </c>
      <c r="G156" s="447">
        <f t="shared" si="74"/>
        <v>565691.69039613113</v>
      </c>
      <c r="H156" s="447">
        <f t="shared" si="74"/>
        <v>582681.94423969195</v>
      </c>
      <c r="I156" s="447">
        <f t="shared" si="74"/>
        <v>599929.15209895791</v>
      </c>
      <c r="J156" s="447">
        <f t="shared" si="74"/>
        <v>618172.86672470102</v>
      </c>
      <c r="K156" s="447">
        <f t="shared" si="74"/>
        <v>631277.04738065717</v>
      </c>
      <c r="L156" s="447">
        <f t="shared" si="74"/>
        <v>642070.02087027172</v>
      </c>
      <c r="M156" s="447">
        <f t="shared" si="74"/>
        <v>652452.31558386469</v>
      </c>
      <c r="N156" s="447">
        <f t="shared" si="74"/>
        <v>660555.71205907059</v>
      </c>
    </row>
    <row r="157" spans="1:15" s="5" customFormat="1">
      <c r="A157" s="164"/>
      <c r="B157" s="741" t="s">
        <v>373</v>
      </c>
      <c r="D157" s="406">
        <f>(D156/C156)-1</f>
        <v>-2.6662778537902332E-2</v>
      </c>
      <c r="E157" s="406">
        <f t="shared" ref="E157:N157" si="75">(E156/D156)-1</f>
        <v>-1.6583136992312175E-2</v>
      </c>
      <c r="F157" s="406">
        <f t="shared" si="75"/>
        <v>3.9052721503696208E-3</v>
      </c>
      <c r="G157" s="406">
        <f t="shared" si="75"/>
        <v>1.6402601368297187E-2</v>
      </c>
      <c r="H157" s="406">
        <f t="shared" si="75"/>
        <v>3.0034476609799965E-2</v>
      </c>
      <c r="I157" s="406">
        <f t="shared" si="75"/>
        <v>2.95996950476487E-2</v>
      </c>
      <c r="J157" s="406">
        <f t="shared" si="75"/>
        <v>3.0409781824927595E-2</v>
      </c>
      <c r="K157" s="406">
        <f t="shared" si="75"/>
        <v>2.1198246253328445E-2</v>
      </c>
      <c r="L157" s="406">
        <f t="shared" si="75"/>
        <v>1.7097047222606188E-2</v>
      </c>
      <c r="M157" s="406">
        <f t="shared" si="75"/>
        <v>1.6170035005715899E-2</v>
      </c>
      <c r="N157" s="406">
        <f t="shared" si="75"/>
        <v>1.2419906070766817E-2</v>
      </c>
    </row>
    <row r="158" spans="1:15">
      <c r="A158" s="10">
        <f>O158</f>
        <v>0</v>
      </c>
      <c r="B158" s="12"/>
      <c r="C158" s="10">
        <f>SUM(C137:C155)-C156</f>
        <v>0</v>
      </c>
      <c r="D158" s="10">
        <f t="shared" ref="D158:N158" si="76">SUM(D137:D155)-D156</f>
        <v>0</v>
      </c>
      <c r="E158" s="10">
        <f t="shared" si="76"/>
        <v>0</v>
      </c>
      <c r="F158" s="10">
        <f t="shared" si="76"/>
        <v>0</v>
      </c>
      <c r="G158" s="10">
        <f t="shared" si="76"/>
        <v>0</v>
      </c>
      <c r="H158" s="10">
        <f t="shared" si="76"/>
        <v>0</v>
      </c>
      <c r="I158" s="10">
        <f t="shared" si="76"/>
        <v>0</v>
      </c>
      <c r="J158" s="10">
        <f t="shared" si="76"/>
        <v>0</v>
      </c>
      <c r="K158" s="10">
        <f t="shared" si="76"/>
        <v>0</v>
      </c>
      <c r="L158" s="10">
        <f t="shared" si="76"/>
        <v>0</v>
      </c>
      <c r="M158" s="10">
        <f t="shared" si="76"/>
        <v>0</v>
      </c>
      <c r="N158" s="10">
        <f t="shared" si="76"/>
        <v>0</v>
      </c>
      <c r="O158" s="10">
        <f>SUM(C158:N158)</f>
        <v>0</v>
      </c>
    </row>
    <row r="159" spans="1:15">
      <c r="B159" s="12"/>
      <c r="C159" s="10"/>
      <c r="D159" s="10"/>
      <c r="E159" s="10"/>
      <c r="F159" s="10"/>
      <c r="G159" s="10"/>
      <c r="H159" s="10"/>
      <c r="I159" s="10"/>
      <c r="J159" s="10"/>
      <c r="K159" s="10"/>
      <c r="L159" s="10"/>
      <c r="M159" s="10"/>
      <c r="N159" s="10"/>
      <c r="O159" s="10"/>
    </row>
    <row r="160" spans="1:15" ht="15.75">
      <c r="B160" s="141" t="s">
        <v>1518</v>
      </c>
      <c r="D160" s="12"/>
      <c r="E160" s="12"/>
      <c r="F160" s="12"/>
    </row>
    <row r="161" spans="2:15" ht="15.75">
      <c r="B161" s="141"/>
      <c r="D161" s="12"/>
      <c r="E161" s="12"/>
      <c r="F161" s="12"/>
    </row>
    <row r="162" spans="2:15" ht="15.75">
      <c r="B162" s="141"/>
      <c r="C162" s="383" t="s">
        <v>368</v>
      </c>
      <c r="D162" s="383" t="str">
        <f>Policy_assumptions_SEC!D16</f>
        <v>Name</v>
      </c>
      <c r="E162" s="1324" t="str">
        <f>Policy_assumptions_SEC!E16</f>
        <v>Brief description</v>
      </c>
      <c r="F162" s="1324"/>
      <c r="G162" s="1324"/>
      <c r="H162" s="1324"/>
      <c r="I162" s="1324"/>
      <c r="J162" s="1324" t="str">
        <f>Policy_assumptions_SEC!F16</f>
        <v>Assumption to be used</v>
      </c>
      <c r="K162" s="1324"/>
      <c r="L162" s="1324"/>
      <c r="M162" s="1324"/>
      <c r="N162" s="1324"/>
      <c r="O162" s="439"/>
    </row>
    <row r="163" spans="2:15" ht="40.15" customHeight="1">
      <c r="B163" s="141"/>
      <c r="C163" s="1309">
        <f>Policy_assumptions_SEC!B17</f>
        <v>1</v>
      </c>
      <c r="D163" s="1307" t="str">
        <f>Policy_assumptions_SEC!D17</f>
        <v>EBacc policy</v>
      </c>
      <c r="E163" s="1311" t="str">
        <f>Policy_assumptions_SEC!E17</f>
        <v xml:space="preserve">From 2018/19 we expect to see increases in the EBacc entry rate up to 75% for GCSE examinations in the summer of 2024 and 90% by 2027 as outlined in the EBacc consultation response published in July 2017. The model makes a starting estimate of the first stage of this increase up to 75%; the increase up to 90% by 2027 has not been modelled in these initial estimates. </v>
      </c>
      <c r="F163" s="1312"/>
      <c r="G163" s="1312"/>
      <c r="H163" s="1312"/>
      <c r="I163" s="1313"/>
      <c r="J163" s="1311" t="str">
        <f>Policy_assumptions_SEC!F17</f>
        <v xml:space="preserve">The balance of teaching across secondary subjects is adjusted using internal modelling on the impact of increased EBacc entry on the number of hours taught in each secondary subject. This modelling estimates how teaching hours will be adjusted across subjects. The total number of teaching hours is not changed, only the balance between subjects. We then maintain ITT place numbers at last year's (2017/18 TSM) level for any EBacc subject where it would otherwise fall.          </v>
      </c>
      <c r="K163" s="1312"/>
      <c r="L163" s="1312"/>
      <c r="M163" s="1312"/>
      <c r="N163" s="1313"/>
      <c r="O163" s="407"/>
    </row>
    <row r="164" spans="2:15" ht="70.900000000000006" customHeight="1">
      <c r="B164" s="141"/>
      <c r="C164" s="1317"/>
      <c r="D164" s="1318"/>
      <c r="E164" s="1304" t="str">
        <f>Policy_assumptions_SEC!E18</f>
        <v xml:space="preserve">As mainstream entry rates for all EBacc pillars, apart from languages, are currently at or in excess of 75% we have modelled additional future teaching time requirements in Modern Foreign Languages to reach an entry rate of 75% for GCSE examinations at the end of 2023/24 (the rate is kept at 75% beyond this point). This modelling is based on an analysis of teaching time in existing schools with higher EBacc entry to provide a guide of what future teacher need might be. We anticipate that individual schools will implement this policy differently, dependent on their individual circumstances, and therefore this assumption is used to provide a starting estimate of what might be needed. We will review this assumption next year with the latest SWC and GCSE entries data. </v>
      </c>
      <c r="F164" s="1305"/>
      <c r="G164" s="1305"/>
      <c r="H164" s="1305"/>
      <c r="I164" s="1306"/>
      <c r="J164" s="1304"/>
      <c r="K164" s="1305"/>
      <c r="L164" s="1305"/>
      <c r="M164" s="1305"/>
      <c r="N164" s="1306"/>
      <c r="O164" s="407"/>
    </row>
    <row r="165" spans="2:15" ht="83.25" customHeight="1">
      <c r="B165" s="141"/>
      <c r="C165" s="1317"/>
      <c r="D165" s="1318"/>
      <c r="E165" s="1304" t="str">
        <f>Policy_assumptions_SEC!E19</f>
        <v>The 2017/18 model (last year’s) included a planning assumption of increased EBacc take-up from ‘current’ levels up to 70% for GCSE examinations in the summer of 2020. By comparison, the 2018/19 model this year (following the publication of the consultation response) uses an assumption that take-up rates will increase up to 75% for examinations in the summer of 2024. Therefore, the shift towards the greater amount of MFL teaching required for increased EBacc take-up is slower, occurring over six years rather than two. Similarly, the model last year estimated reductions in demand for ITT places in non-EBacc subjects as more teaching time (as a %) would be spent on EBacc subjects to deliver increased EBacc. However, as this model uses a shallower trajectory for the future increase in EBacc take-up rate this results in the teaching of non-EBacc subjects not being required to fall by as much within the immediate term because of increased EBacc take-up.</v>
      </c>
      <c r="F165" s="1305"/>
      <c r="G165" s="1305"/>
      <c r="H165" s="1305"/>
      <c r="I165" s="1306"/>
      <c r="J165" s="1304"/>
      <c r="K165" s="1305"/>
      <c r="L165" s="1305"/>
      <c r="M165" s="1305"/>
      <c r="N165" s="1306"/>
      <c r="O165" s="407"/>
    </row>
    <row r="166" spans="2:15" ht="40.5" customHeight="1">
      <c r="B166" s="141"/>
      <c r="C166" s="1317"/>
      <c r="D166" s="1318"/>
      <c r="E166" s="1304" t="str">
        <f>Policy_assumptions_SEC!E20</f>
        <v xml:space="preserve">To reflect the continued focus on EBacc subjects, we have held demand for new trainees through ITT at the level in the previous (2017/18) TSM where the underlying data would otherwise lead to a fall. This mainly affects Geography where we protect 293 places and Computing where we protect 102 places. </v>
      </c>
      <c r="F166" s="1305"/>
      <c r="G166" s="1305"/>
      <c r="H166" s="1305"/>
      <c r="I166" s="1306"/>
      <c r="J166" s="1304"/>
      <c r="K166" s="1305"/>
      <c r="L166" s="1305"/>
      <c r="M166" s="1305"/>
      <c r="N166" s="1306"/>
      <c r="O166" s="407"/>
    </row>
    <row r="167" spans="2:15" ht="37.9" customHeight="1">
      <c r="B167" s="141"/>
      <c r="C167" s="1317"/>
      <c r="D167" s="1318"/>
      <c r="E167" s="1304" t="str">
        <f>Policy_assumptions_SEC!E21</f>
        <v xml:space="preserve">The new EBacc assumptions used this year assume that Geography and History teaching requirements do not need to increase in future because mainstream take-up has already reached 75%. These have had a downward impact on Geography ITT places which is protected against. </v>
      </c>
      <c r="F167" s="1305"/>
      <c r="G167" s="1305"/>
      <c r="H167" s="1305"/>
      <c r="I167" s="1306"/>
      <c r="J167" s="1304"/>
      <c r="K167" s="1305"/>
      <c r="L167" s="1305"/>
      <c r="M167" s="1305"/>
      <c r="N167" s="1306"/>
      <c r="O167" s="407"/>
    </row>
    <row r="168" spans="2:15" ht="55.15" customHeight="1">
      <c r="B168" s="141"/>
      <c r="C168" s="1310"/>
      <c r="D168" s="1308"/>
      <c r="E168" s="1314" t="str">
        <f>Policy_assumptions_SEC!E22</f>
        <v>Computing ITT places have been protected despite a fall in the no. of teaching hours spent teaching Computing between November 2015 and 2016 (see 'Changes_in_subject_teaching_hrs' tab), largely driven by a fall in ICT teaching hours. The SWC (and therefore TSM) does not enable the isolation of 'ICT' (which is not included within the EBacc) and Computer Science (which is included within the EBacc) from within the data collated on the overall 'Computing' subject.</v>
      </c>
      <c r="F168" s="1315"/>
      <c r="G168" s="1315"/>
      <c r="H168" s="1315"/>
      <c r="I168" s="1316"/>
      <c r="J168" s="1314"/>
      <c r="K168" s="1315"/>
      <c r="L168" s="1315"/>
      <c r="M168" s="1315"/>
      <c r="N168" s="1316"/>
      <c r="O168" s="407"/>
    </row>
    <row r="169" spans="2:15" ht="104.25" customHeight="1">
      <c r="B169" s="141"/>
      <c r="C169" s="440">
        <f>Policy_assumptions_SEC!B23</f>
        <v>2</v>
      </c>
      <c r="D169" s="930" t="str">
        <f>Policy_assumptions_SEC!D23</f>
        <v>Modern Foreign Languages (EBacc) - Adjusting for different sources of new teachers</v>
      </c>
      <c r="E169" s="1319" t="str">
        <f>Policy_assumptions_SEC!E23</f>
        <v xml:space="preserve">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limited these figures to the estimate for 2015/16 using the methodology used in the May 2017 teachers analysis compendium. Alongside this, there are some new programmes to get more MFL teachers to meet this demand, which have not traditionally been modelled in the TSM. We have assumed that 410 teachers will be sourced by these routes in 2019/20. They are referred to within the model as teachers that are sourced via a new category of 'other, new initiatives’. We have assumed that 410 teachers will also be sourced via these initiatives in the years following 2019/20, using the 410 figure as an initial starting estimate which will be reviewed in the model next year. </v>
      </c>
      <c r="F169" s="1320"/>
      <c r="G169" s="1320"/>
      <c r="H169" s="1320"/>
      <c r="I169" s="1321"/>
      <c r="J169" s="1322" t="str">
        <f>Policy_assumptions_SEC!F23</f>
        <v>Re-entrant and new to the state-funded sector entrants for MFL can only increase up to the estimate for 2015/16 using the methodology used in the May 2017 teachers analysis compendium with an additional number added to estimate the impact of the MFL 'returners package'. A new category is added into the model for MFL recruitment via 'other, new initiatives’ from 2019/20 onward.</v>
      </c>
      <c r="K169" s="1322"/>
      <c r="L169" s="1322"/>
      <c r="M169" s="1322"/>
      <c r="N169" s="1322"/>
      <c r="O169" s="407"/>
    </row>
    <row r="170" spans="2:15" ht="84" customHeight="1">
      <c r="B170" s="141"/>
      <c r="C170" s="440">
        <f>Policy_assumptions_SEC!B24</f>
        <v>3</v>
      </c>
      <c r="D170" s="930" t="str">
        <f>Policy_assumptions_SEC!D24</f>
        <v>Geography and History (EBacc) - Adjusting for different sources of new teachers</v>
      </c>
      <c r="E170" s="1319" t="str">
        <f>Policy_assumptions_SEC!E24</f>
        <v>As outlined above, we expect to see increases in the entry rate of EBacc and as part of this, future increases in the take-up of Geography and History. As the combined mainstream entry rate for Geography and History is currently at 75% no increases above this level are modelled within the TSM this year. However, as the numbers of new to state-funded entrants and re-entrants is likely to be limited by the existing pool of such teachers, we have limited these figures to the estimate for 2015/16 using the methodology used in the May 2017 teachers analysis compendium for the respective subject. We are assuming that all the remaining additional Geography and History teachers will be sourced via ITT. Given that the model does not assume that future take-up rates for these two subjects will increase this assumption is a little redundant this year but has been retained for future use.</v>
      </c>
      <c r="F170" s="1320"/>
      <c r="G170" s="1320"/>
      <c r="H170" s="1320"/>
      <c r="I170" s="1321"/>
      <c r="J170" s="1322" t="str">
        <f>Policy_assumptions_SEC!F24</f>
        <v xml:space="preserve">Re-entrant and new to the state-funded sector entrants for Geography and History can only increase up to the estimate for 2015/16 using the methodology used in the May 2017 teachers analysis compendium for the respective subject. </v>
      </c>
      <c r="K170" s="1322"/>
      <c r="L170" s="1322"/>
      <c r="M170" s="1322"/>
      <c r="N170" s="1322"/>
      <c r="O170" s="407"/>
    </row>
    <row r="171" spans="2:15" ht="55.15" customHeight="1">
      <c r="B171" s="141"/>
      <c r="C171" s="1309">
        <f>Policy_assumptions_SEC!B25</f>
        <v>4</v>
      </c>
      <c r="D171" s="1307" t="str">
        <f>Policy_assumptions_SEC!D25</f>
        <v>New Mathematics GCSE</v>
      </c>
      <c r="E171" s="1311" t="str">
        <f>Policy_assumptions_SEC!E25</f>
        <v>The new, expanded Mathematics GCSE will require a greater amount of Mathematics teaching per pupil in both years 7-9 and years 10-11. The 2017/18 model last year assumed that the number of hours spent teaching Mathematics in both years 7-9 and years 10-11 would increase in future. The model this year uses the same policy assumption for the new Mathematics GCSE but moved one year along to reflect that the model now uses 2016/17 SWC data.</v>
      </c>
      <c r="F171" s="1312"/>
      <c r="G171" s="1312"/>
      <c r="H171" s="1312"/>
      <c r="I171" s="1313"/>
      <c r="J171" s="1311" t="str">
        <f>Policy_assumptions_SEC!F25</f>
        <v>The number of years 10-11 Mathematics teaching hours estimated as being required in future is increased between 2016/17 &amp; 2017/18 to provide additional teachers to deliver Mathematics in years 10-11.</v>
      </c>
      <c r="K171" s="1312"/>
      <c r="L171" s="1312"/>
      <c r="M171" s="1312"/>
      <c r="N171" s="1313"/>
      <c r="O171" s="407"/>
    </row>
    <row r="172" spans="2:15" ht="78.75" customHeight="1">
      <c r="B172" s="443"/>
      <c r="C172" s="1310"/>
      <c r="D172" s="1308"/>
      <c r="E172" s="1314" t="str">
        <f>Policy_assumptions_SEC!E26</f>
        <v xml:space="preserve">For years 7-9 in the model last year, there was an assumed increase between 2015/16 &amp; 2016/17 which has now been reflected in the latest SWC data from 2016/17. For years 10-11, there was an assumed increase between 2015/16 &amp; 2016/17, and a further one between 2016/17 &amp; 2017/18, both of which were of similar magnitude to the increase observed between 2014/15 &amp; 2015/16 in the SWC. As the first part of this assumption, for years 10-11 has been reflected within the latest SWC data, the model this year only uses an assumption relating to an increase in teaching hours for years 10-11 between 2016/17 &amp; 2017/18 using the latest data from the SWC to estimate the scale of the year-on-year increase in Mathematics teaching observed within the SWC. </v>
      </c>
      <c r="F172" s="1315"/>
      <c r="G172" s="1315"/>
      <c r="H172" s="1315"/>
      <c r="I172" s="1316"/>
      <c r="J172" s="1314"/>
      <c r="K172" s="1315"/>
      <c r="L172" s="1315"/>
      <c r="M172" s="1315"/>
      <c r="N172" s="1316"/>
      <c r="O172" s="407"/>
    </row>
    <row r="173" spans="2:15" ht="36.4" customHeight="1">
      <c r="B173" s="141"/>
      <c r="C173" s="440">
        <f>Policy_assumptions_SEC!B27</f>
        <v>5</v>
      </c>
      <c r="D173" s="1000" t="str">
        <f>Policy_assumptions_SEC!D27</f>
        <v>Increases in Mathematics teaching requirements in years 12-13</v>
      </c>
      <c r="E173" s="1319" t="str">
        <f>Policy_assumptions_SEC!E27</f>
        <v xml:space="preserve">There will be continued growth in the take-up of post-16 Mathematics qualifications, including Core Maths. The percentage of years 12-13 teaching time dedicated to Mathematics will increase at the current rate for the next 3 years (up to and including 2019/20). </v>
      </c>
      <c r="F173" s="1320"/>
      <c r="G173" s="1320"/>
      <c r="H173" s="1320"/>
      <c r="I173" s="1321"/>
      <c r="J173" s="1322" t="str">
        <f>Policy_assumptions_SEC!F27</f>
        <v>The number of years 12-13 Mathematics teaching hours estimated as being required in future is increased between 2016/17 &amp; 2017/18 and the following two years to provide additional teachers to deliver Mathematics in years 12-13.</v>
      </c>
      <c r="K173" s="1322"/>
      <c r="L173" s="1322"/>
      <c r="M173" s="1322"/>
      <c r="N173" s="1322"/>
      <c r="O173" s="407"/>
    </row>
    <row r="174" spans="2:15" ht="43.35" customHeight="1">
      <c r="B174" s="141"/>
      <c r="C174" s="440">
        <f>Policy_assumptions_SEC!B28</f>
        <v>6</v>
      </c>
      <c r="D174" s="1000" t="str">
        <f>Policy_assumptions_SEC!D28</f>
        <v>Increases in English teaching requirements in years 10-11</v>
      </c>
      <c r="E174" s="1319" t="str">
        <f>Policy_assumptions_SEC!E28</f>
        <v>The model will assume that the number of hours spent teaching English in years 10-11 will increase between 2016/17 &amp; 2017/18 and between 2017/18 &amp; 2018/19 at a level consistent with the increase observed in the latest year within the School Workforce Census and reflects the increased focus of schools towards the provision of English and Mathematics.</v>
      </c>
      <c r="F174" s="1320"/>
      <c r="G174" s="1320"/>
      <c r="H174" s="1320"/>
      <c r="I174" s="1321"/>
      <c r="J174" s="1322" t="str">
        <f>Policy_assumptions_SEC!F28</f>
        <v>The number of years 10-11 English teaching hours estimated as being required in future is increased between 2016/17 &amp; 2017/18 and between 2017/18 &amp; 2018/19 to provide additional teachers to deliver English in years 10-11.</v>
      </c>
      <c r="K174" s="1322"/>
      <c r="L174" s="1322"/>
      <c r="M174" s="1322"/>
      <c r="N174" s="1322"/>
      <c r="O174" s="407"/>
    </row>
    <row r="175" spans="2:15" ht="73.150000000000006" customHeight="1">
      <c r="B175" s="141"/>
      <c r="C175" s="440">
        <f>Policy_assumptions_SEC!B29</f>
        <v>7</v>
      </c>
      <c r="D175" s="1000" t="str">
        <f>Policy_assumptions_SEC!D29</f>
        <v>Removal of option to take Core Science GCSE</v>
      </c>
      <c r="E175" s="1319" t="str">
        <f>Policy_assumptions_SEC!E29</f>
        <v>The introduction of the new Combined Science GCSE, which is equivalent to the current Core and Additional Science GCSEs, has removed the option to take the Core Science GCSE. We are expecting that for 10% of years 10-11 students, their Science teaching time will double from Sept 2016 onwards (as they move to the Combined Science GCSE - which requires more teaching time). An assumption is added into the model that from Sept 2017, 5% of years 10-11 students will have their Science teaching time doubled. This 5% assumption reflects that the latest SWC data already accounts for the impact of the policy on year 10 pupils. As 2017/18 will be the first year where all the pupils in years 10-11 will be unable to take the Core Science GCSE option, the policy assumption affects only 5% of years 10-11 pupils rather than 10%.</v>
      </c>
      <c r="F175" s="1320"/>
      <c r="G175" s="1320"/>
      <c r="H175" s="1320"/>
      <c r="I175" s="1321"/>
      <c r="J175" s="1322" t="str">
        <f>Policy_assumptions_SEC!F29</f>
        <v xml:space="preserve">The number of years 10-11 teaching hours estimated as being required in future for Biology, Chemistry, and Physics is increased to reflect additional teaching requirements resulting from the removal of the Core Science GCSE. </v>
      </c>
      <c r="K175" s="1322"/>
      <c r="L175" s="1322"/>
      <c r="M175" s="1322"/>
      <c r="N175" s="1322"/>
      <c r="O175" s="407"/>
    </row>
    <row r="176" spans="2:15" ht="37.9" customHeight="1">
      <c r="B176" s="141"/>
      <c r="C176" s="440">
        <f>Policy_assumptions_SEC!B30</f>
        <v>8</v>
      </c>
      <c r="D176" s="1000" t="str">
        <f>Policy_assumptions_SEC!D30</f>
        <v>Compulsory study of Religious Education pre-16</v>
      </c>
      <c r="E176" s="1319" t="str">
        <f>Policy_assumptions_SEC!E30</f>
        <v>The study of Religious Education pre-16 is compulsory in state-funded schools. To maintain the current supply of Religious Education teachers, 2018/19 postgraduate ITT places for Religious Education cannot fall below 100% of the 2017/18 TSM levels (if higher).</v>
      </c>
      <c r="F176" s="1320"/>
      <c r="G176" s="1320"/>
      <c r="H176" s="1320"/>
      <c r="I176" s="1321"/>
      <c r="J176" s="1322" t="str">
        <f>Policy_assumptions_SEC!F30</f>
        <v xml:space="preserve">The no. of Religious Education ITT places is maintained at last year's (2017/18 TSM) level if it would otherwise fall.         </v>
      </c>
      <c r="K176" s="1322"/>
      <c r="L176" s="1322"/>
      <c r="M176" s="1322"/>
      <c r="N176" s="1322"/>
      <c r="O176" s="407"/>
    </row>
    <row r="177" spans="1:14" ht="53.25" customHeight="1">
      <c r="B177" s="12"/>
      <c r="C177" s="440">
        <f>Policy_assumptions_SEC!B31</f>
        <v>9</v>
      </c>
      <c r="D177" s="1000" t="str">
        <f>Policy_assumptions_SEC!D31</f>
        <v>The obesity strategy</v>
      </c>
      <c r="E177" s="1319" t="str">
        <f>Policy_assumptions_SEC!E31</f>
        <v xml:space="preserve">Having a good supply of Physical Education teachers will help ensure that the government is able to deliver on its commitment to improve the quality and breadth of Physical Education provision in schools, and to take action to help reduce levels of childhood obesity. To assist in the delivery of the obesity strategy, 2018/19 postgraduate ITT places for Religious Education cannot fall below 100% of the 2017/18 TSM levels (if higher). </v>
      </c>
      <c r="F177" s="1320"/>
      <c r="G177" s="1320"/>
      <c r="H177" s="1320"/>
      <c r="I177" s="1321"/>
      <c r="J177" s="1322" t="str">
        <f>Policy_assumptions_SEC!F31</f>
        <v xml:space="preserve">The no. of Physical Education ITT places is maintained at last year's (2017/18 TSM) level if it would otherwise fall.         </v>
      </c>
      <c r="K177" s="1322"/>
      <c r="L177" s="1322"/>
      <c r="M177" s="1322"/>
      <c r="N177" s="1322"/>
    </row>
    <row r="178" spans="1:14">
      <c r="B178" s="12"/>
      <c r="C178" s="949"/>
      <c r="D178" s="950"/>
      <c r="E178" s="12"/>
      <c r="F178" s="12"/>
    </row>
    <row r="179" spans="1:14">
      <c r="B179" s="75" t="s">
        <v>1558</v>
      </c>
      <c r="D179" s="12"/>
      <c r="E179" s="12"/>
      <c r="F179" s="12"/>
    </row>
    <row r="180" spans="1:14">
      <c r="B180" s="75"/>
      <c r="D180" s="12"/>
      <c r="E180" s="12"/>
      <c r="F180" s="12"/>
    </row>
    <row r="181" spans="1:14">
      <c r="B181" s="256" t="s">
        <v>369</v>
      </c>
      <c r="C181" s="302"/>
      <c r="D181" s="302"/>
      <c r="E181" s="302"/>
      <c r="F181" s="12"/>
    </row>
    <row r="182" spans="1:14">
      <c r="B182" s="12"/>
      <c r="D182" s="12"/>
      <c r="E182" s="12"/>
      <c r="F182" s="12"/>
    </row>
    <row r="183" spans="1:14">
      <c r="B183" s="139" t="s">
        <v>59</v>
      </c>
      <c r="C183" s="8" t="str">
        <f t="shared" ref="C183:N183" si="77">C136</f>
        <v>2017/18</v>
      </c>
      <c r="D183" s="8" t="str">
        <f t="shared" si="77"/>
        <v>2018/19</v>
      </c>
      <c r="E183" s="8" t="str">
        <f t="shared" si="77"/>
        <v>2019/20</v>
      </c>
      <c r="F183" s="8" t="str">
        <f t="shared" si="77"/>
        <v>2020/21</v>
      </c>
      <c r="G183" s="8" t="str">
        <f t="shared" si="77"/>
        <v>2021/22</v>
      </c>
      <c r="H183" s="8" t="str">
        <f t="shared" si="77"/>
        <v>2022/23</v>
      </c>
      <c r="I183" s="8" t="str">
        <f t="shared" si="77"/>
        <v>2023/24</v>
      </c>
      <c r="J183" s="8" t="str">
        <f t="shared" si="77"/>
        <v>2024/25</v>
      </c>
      <c r="K183" s="8" t="str">
        <f t="shared" si="77"/>
        <v>2025/26</v>
      </c>
      <c r="L183" s="8" t="str">
        <f t="shared" si="77"/>
        <v>2026/27</v>
      </c>
      <c r="M183" s="8" t="str">
        <f t="shared" si="77"/>
        <v>2027/28</v>
      </c>
      <c r="N183" s="8" t="str">
        <f t="shared" si="77"/>
        <v>2028/29</v>
      </c>
    </row>
    <row r="184" spans="1:14" s="5" customFormat="1">
      <c r="A184" s="164"/>
      <c r="B184" s="189" t="str">
        <f t="shared" ref="B184:B203" si="78">B137</f>
        <v>Art &amp; Design</v>
      </c>
      <c r="C184" s="447">
        <f t="shared" ref="C184:N184" si="79">C85</f>
        <v>72965.947625723842</v>
      </c>
      <c r="D184" s="447">
        <f t="shared" si="79"/>
        <v>75032.73855497285</v>
      </c>
      <c r="E184" s="447">
        <f t="shared" si="79"/>
        <v>77660.138320343467</v>
      </c>
      <c r="F184" s="447">
        <f t="shared" si="79"/>
        <v>79534.062522028937</v>
      </c>
      <c r="G184" s="447">
        <f t="shared" si="79"/>
        <v>81021.315548867962</v>
      </c>
      <c r="H184" s="447">
        <f t="shared" si="79"/>
        <v>81969.82252689969</v>
      </c>
      <c r="I184" s="447">
        <f t="shared" si="79"/>
        <v>83580.459618572306</v>
      </c>
      <c r="J184" s="447">
        <f t="shared" si="79"/>
        <v>83736.500157423667</v>
      </c>
      <c r="K184" s="447">
        <f t="shared" si="79"/>
        <v>82690.030288714828</v>
      </c>
      <c r="L184" s="447">
        <f t="shared" si="79"/>
        <v>81086.299339303907</v>
      </c>
      <c r="M184" s="447">
        <f t="shared" si="79"/>
        <v>80710.703583164242</v>
      </c>
      <c r="N184" s="447">
        <f t="shared" si="79"/>
        <v>81254.12470810076</v>
      </c>
    </row>
    <row r="185" spans="1:14" s="5" customFormat="1">
      <c r="A185" s="164"/>
      <c r="B185" s="189" t="str">
        <f t="shared" si="78"/>
        <v>Biology</v>
      </c>
      <c r="C185" s="447">
        <f t="shared" ref="C185:N185" si="80">C86</f>
        <v>83892.121104983948</v>
      </c>
      <c r="D185" s="447">
        <f t="shared" si="80"/>
        <v>86268.400459630633</v>
      </c>
      <c r="E185" s="447">
        <f t="shared" si="80"/>
        <v>89289.236157377003</v>
      </c>
      <c r="F185" s="447">
        <f t="shared" si="80"/>
        <v>91443.768253304108</v>
      </c>
      <c r="G185" s="447">
        <f t="shared" si="80"/>
        <v>93153.727694677087</v>
      </c>
      <c r="H185" s="447">
        <f t="shared" si="80"/>
        <v>94244.267389688292</v>
      </c>
      <c r="I185" s="447">
        <f t="shared" si="80"/>
        <v>96096.086852705062</v>
      </c>
      <c r="J185" s="447">
        <f t="shared" si="80"/>
        <v>96275.493441786224</v>
      </c>
      <c r="K185" s="447">
        <f t="shared" si="80"/>
        <v>95072.321553870002</v>
      </c>
      <c r="L185" s="447">
        <f t="shared" si="80"/>
        <v>93228.442382754278</v>
      </c>
      <c r="M185" s="447">
        <f t="shared" si="80"/>
        <v>92796.603618428038</v>
      </c>
      <c r="N185" s="447">
        <f t="shared" si="80"/>
        <v>93421.398502995653</v>
      </c>
    </row>
    <row r="186" spans="1:14" s="5" customFormat="1">
      <c r="A186" s="164"/>
      <c r="B186" s="189" t="str">
        <f t="shared" si="78"/>
        <v>Business Studies</v>
      </c>
      <c r="C186" s="447">
        <f t="shared" ref="C186:N186" si="81">C87</f>
        <v>5785.6407915731461</v>
      </c>
      <c r="D186" s="447">
        <f t="shared" si="81"/>
        <v>5949.5214824572413</v>
      </c>
      <c r="E186" s="447">
        <f t="shared" si="81"/>
        <v>6157.8541602739115</v>
      </c>
      <c r="F186" s="447">
        <f t="shared" si="81"/>
        <v>6306.4419968521543</v>
      </c>
      <c r="G186" s="447">
        <f t="shared" si="81"/>
        <v>6424.3697708270493</v>
      </c>
      <c r="H186" s="447">
        <f t="shared" si="81"/>
        <v>6499.5791094536271</v>
      </c>
      <c r="I186" s="447">
        <f t="shared" si="81"/>
        <v>6627.2902947561342</v>
      </c>
      <c r="J186" s="447">
        <f t="shared" si="81"/>
        <v>6639.6631143534114</v>
      </c>
      <c r="K186" s="447">
        <f t="shared" si="81"/>
        <v>6556.6860688059414</v>
      </c>
      <c r="L186" s="447">
        <f t="shared" si="81"/>
        <v>6429.5224876897955</v>
      </c>
      <c r="M186" s="447">
        <f t="shared" si="81"/>
        <v>6399.7406209619066</v>
      </c>
      <c r="N186" s="447">
        <f t="shared" si="81"/>
        <v>6442.8297540402918</v>
      </c>
    </row>
    <row r="187" spans="1:14" s="5" customFormat="1">
      <c r="A187" s="164"/>
      <c r="B187" s="189" t="str">
        <f t="shared" si="78"/>
        <v>Chemistry</v>
      </c>
      <c r="C187" s="447">
        <f t="shared" ref="C187:N187" si="82">C88</f>
        <v>69793.349748586188</v>
      </c>
      <c r="D187" s="447">
        <f t="shared" si="82"/>
        <v>71770.275518428811</v>
      </c>
      <c r="E187" s="447">
        <f t="shared" si="82"/>
        <v>74283.434556593857</v>
      </c>
      <c r="F187" s="447">
        <f t="shared" si="82"/>
        <v>76075.879545884527</v>
      </c>
      <c r="G187" s="447">
        <f t="shared" si="82"/>
        <v>77498.46602689974</v>
      </c>
      <c r="H187" s="447">
        <f t="shared" si="82"/>
        <v>78405.731421386372</v>
      </c>
      <c r="I187" s="447">
        <f t="shared" si="82"/>
        <v>79946.337163036776</v>
      </c>
      <c r="J187" s="447">
        <f t="shared" si="82"/>
        <v>80095.592976979926</v>
      </c>
      <c r="K187" s="447">
        <f t="shared" si="82"/>
        <v>79094.624169957897</v>
      </c>
      <c r="L187" s="447">
        <f t="shared" si="82"/>
        <v>77560.624287862098</v>
      </c>
      <c r="M187" s="447">
        <f t="shared" si="82"/>
        <v>77201.359633248081</v>
      </c>
      <c r="N187" s="447">
        <f t="shared" si="82"/>
        <v>77721.152521130658</v>
      </c>
    </row>
    <row r="188" spans="1:14" s="5" customFormat="1">
      <c r="A188" s="164"/>
      <c r="B188" s="189" t="str">
        <f t="shared" si="78"/>
        <v>Classics</v>
      </c>
      <c r="C188" s="447">
        <f t="shared" ref="C188:N188" si="83">C89</f>
        <v>1856.1675806389615</v>
      </c>
      <c r="D188" s="447">
        <f t="shared" si="83"/>
        <v>1908.7443022969719</v>
      </c>
      <c r="E188" s="447">
        <f t="shared" si="83"/>
        <v>1975.5822510189596</v>
      </c>
      <c r="F188" s="447">
        <f t="shared" si="83"/>
        <v>2023.2526707822335</v>
      </c>
      <c r="G188" s="447">
        <f t="shared" si="83"/>
        <v>2061.0866322732309</v>
      </c>
      <c r="H188" s="447">
        <f t="shared" si="83"/>
        <v>2085.2155302033061</v>
      </c>
      <c r="I188" s="447">
        <f t="shared" si="83"/>
        <v>2126.1882366645782</v>
      </c>
      <c r="J188" s="447">
        <f t="shared" si="83"/>
        <v>2130.1577237870783</v>
      </c>
      <c r="K188" s="447">
        <f t="shared" si="83"/>
        <v>2103.536765550828</v>
      </c>
      <c r="L188" s="447">
        <f t="shared" si="83"/>
        <v>2062.7397431968766</v>
      </c>
      <c r="M188" s="447">
        <f t="shared" si="83"/>
        <v>2053.1850305033863</v>
      </c>
      <c r="N188" s="447">
        <f t="shared" si="83"/>
        <v>2067.0090224827068</v>
      </c>
    </row>
    <row r="189" spans="1:14" s="5" customFormat="1">
      <c r="A189" s="164"/>
      <c r="B189" s="189" t="str">
        <f t="shared" si="78"/>
        <v>Computing</v>
      </c>
      <c r="C189" s="447">
        <f t="shared" ref="C189:N189" si="84">C90</f>
        <v>55535.98972740009</v>
      </c>
      <c r="D189" s="447">
        <f t="shared" si="84"/>
        <v>57109.069822298909</v>
      </c>
      <c r="E189" s="447">
        <f t="shared" si="84"/>
        <v>59108.841649122332</v>
      </c>
      <c r="F189" s="447">
        <f t="shared" si="84"/>
        <v>60535.12663000897</v>
      </c>
      <c r="G189" s="447">
        <f t="shared" si="84"/>
        <v>61667.107663740622</v>
      </c>
      <c r="H189" s="447">
        <f t="shared" si="84"/>
        <v>62389.037214474876</v>
      </c>
      <c r="I189" s="447">
        <f t="shared" si="84"/>
        <v>63614.928577340768</v>
      </c>
      <c r="J189" s="447">
        <f t="shared" si="84"/>
        <v>63733.694468070484</v>
      </c>
      <c r="K189" s="447">
        <f t="shared" si="84"/>
        <v>62937.203203724064</v>
      </c>
      <c r="L189" s="447">
        <f t="shared" si="84"/>
        <v>61716.568257833227</v>
      </c>
      <c r="M189" s="447">
        <f t="shared" si="84"/>
        <v>61430.694055779095</v>
      </c>
      <c r="N189" s="447">
        <f t="shared" si="84"/>
        <v>61844.303842181529</v>
      </c>
    </row>
    <row r="190" spans="1:14" s="5" customFormat="1">
      <c r="A190" s="164"/>
      <c r="B190" s="189" t="str">
        <f t="shared" si="78"/>
        <v>Design &amp; Technology</v>
      </c>
      <c r="C190" s="447">
        <f t="shared" ref="C190:N190" si="85">C91</f>
        <v>104602.83874896749</v>
      </c>
      <c r="D190" s="447">
        <f t="shared" si="85"/>
        <v>107565.75782745342</v>
      </c>
      <c r="E190" s="447">
        <f t="shared" si="85"/>
        <v>111332.3569456597</v>
      </c>
      <c r="F190" s="447">
        <f t="shared" si="85"/>
        <v>114018.78530676535</v>
      </c>
      <c r="G190" s="447">
        <f t="shared" si="85"/>
        <v>116150.88793281978</v>
      </c>
      <c r="H190" s="447">
        <f t="shared" si="85"/>
        <v>117510.65266834067</v>
      </c>
      <c r="I190" s="447">
        <f t="shared" si="85"/>
        <v>119819.6367556513</v>
      </c>
      <c r="J190" s="447">
        <f t="shared" si="85"/>
        <v>120043.33402615746</v>
      </c>
      <c r="K190" s="447">
        <f t="shared" si="85"/>
        <v>118543.13122616516</v>
      </c>
      <c r="L190" s="447">
        <f t="shared" si="85"/>
        <v>116244.04767614465</v>
      </c>
      <c r="M190" s="447">
        <f t="shared" si="85"/>
        <v>115705.59948774034</v>
      </c>
      <c r="N190" s="447">
        <f t="shared" si="85"/>
        <v>116484.63949412925</v>
      </c>
    </row>
    <row r="191" spans="1:14" s="5" customFormat="1">
      <c r="A191" s="164"/>
      <c r="B191" s="189" t="str">
        <f t="shared" si="78"/>
        <v>Drama</v>
      </c>
      <c r="C191" s="447">
        <f t="shared" ref="C191:N191" si="86">C92</f>
        <v>49107.751543588201</v>
      </c>
      <c r="D191" s="447">
        <f t="shared" si="86"/>
        <v>50498.749108188043</v>
      </c>
      <c r="E191" s="447">
        <f t="shared" si="86"/>
        <v>52267.049241084766</v>
      </c>
      <c r="F191" s="447">
        <f t="shared" si="86"/>
        <v>53528.243087013027</v>
      </c>
      <c r="G191" s="447">
        <f t="shared" si="86"/>
        <v>54529.198388780555</v>
      </c>
      <c r="H191" s="447">
        <f t="shared" si="86"/>
        <v>55167.565278133756</v>
      </c>
      <c r="I191" s="447">
        <f t="shared" si="86"/>
        <v>56251.560877429751</v>
      </c>
      <c r="J191" s="447">
        <f t="shared" si="86"/>
        <v>56356.579728852696</v>
      </c>
      <c r="K191" s="447">
        <f t="shared" si="86"/>
        <v>55652.281573581597</v>
      </c>
      <c r="L191" s="447">
        <f t="shared" si="86"/>
        <v>54572.933965976896</v>
      </c>
      <c r="M191" s="447">
        <f t="shared" si="86"/>
        <v>54320.149431909806</v>
      </c>
      <c r="N191" s="447">
        <f t="shared" si="86"/>
        <v>54685.88427748195</v>
      </c>
    </row>
    <row r="192" spans="1:14" s="5" customFormat="1">
      <c r="A192" s="164"/>
      <c r="B192" s="189" t="str">
        <f t="shared" si="78"/>
        <v>English</v>
      </c>
      <c r="C192" s="447">
        <f t="shared" ref="C192:N192" si="87">C93</f>
        <v>267057.45112259698</v>
      </c>
      <c r="D192" s="447">
        <f t="shared" si="87"/>
        <v>274621.96492018044</v>
      </c>
      <c r="E192" s="447">
        <f t="shared" si="87"/>
        <v>284238.32306054421</v>
      </c>
      <c r="F192" s="447">
        <f t="shared" si="87"/>
        <v>291096.93912986584</v>
      </c>
      <c r="G192" s="447">
        <f t="shared" si="87"/>
        <v>296540.3276617236</v>
      </c>
      <c r="H192" s="447">
        <f t="shared" si="87"/>
        <v>300011.89027644455</v>
      </c>
      <c r="I192" s="447">
        <f t="shared" si="87"/>
        <v>305906.86800759047</v>
      </c>
      <c r="J192" s="447">
        <f t="shared" si="87"/>
        <v>306477.9808339625</v>
      </c>
      <c r="K192" s="447">
        <f t="shared" si="87"/>
        <v>302647.87124301336</v>
      </c>
      <c r="L192" s="447">
        <f t="shared" si="87"/>
        <v>296778.170189681</v>
      </c>
      <c r="M192" s="447">
        <f t="shared" si="87"/>
        <v>295403.47900083166</v>
      </c>
      <c r="N192" s="447">
        <f t="shared" si="87"/>
        <v>297392.41583005141</v>
      </c>
    </row>
    <row r="193" spans="1:17" s="5" customFormat="1">
      <c r="A193" s="164"/>
      <c r="B193" s="189" t="str">
        <f t="shared" si="78"/>
        <v>Food</v>
      </c>
      <c r="C193" s="447">
        <f t="shared" ref="C193:N193" si="88">C94</f>
        <v>15058.547105089086</v>
      </c>
      <c r="D193" s="447">
        <f t="shared" si="88"/>
        <v>15485.086738674199</v>
      </c>
      <c r="E193" s="447">
        <f t="shared" si="88"/>
        <v>16027.323554862483</v>
      </c>
      <c r="F193" s="447">
        <f t="shared" si="88"/>
        <v>16414.059789786661</v>
      </c>
      <c r="G193" s="447">
        <f t="shared" si="88"/>
        <v>16720.995702915898</v>
      </c>
      <c r="H193" s="447">
        <f t="shared" si="88"/>
        <v>16916.746425999238</v>
      </c>
      <c r="I193" s="447">
        <f t="shared" si="88"/>
        <v>17249.146063136344</v>
      </c>
      <c r="J193" s="447">
        <f t="shared" si="88"/>
        <v>17281.34935633072</v>
      </c>
      <c r="K193" s="447">
        <f t="shared" si="88"/>
        <v>17065.381273618495</v>
      </c>
      <c r="L193" s="447">
        <f t="shared" si="88"/>
        <v>16734.406910488593</v>
      </c>
      <c r="M193" s="447">
        <f t="shared" si="88"/>
        <v>16656.892308536015</v>
      </c>
      <c r="N193" s="447">
        <f t="shared" si="88"/>
        <v>16769.042330210948</v>
      </c>
    </row>
    <row r="194" spans="1:17" s="5" customFormat="1">
      <c r="A194" s="164"/>
      <c r="B194" s="189" t="str">
        <f t="shared" si="78"/>
        <v>Geography</v>
      </c>
      <c r="C194" s="447">
        <f t="shared" ref="C194:N194" si="89">C95</f>
        <v>101984.50331599178</v>
      </c>
      <c r="D194" s="447">
        <f t="shared" si="89"/>
        <v>104873.25695020275</v>
      </c>
      <c r="E194" s="447">
        <f t="shared" si="89"/>
        <v>108545.57354174947</v>
      </c>
      <c r="F194" s="447">
        <f t="shared" si="89"/>
        <v>111164.75735528683</v>
      </c>
      <c r="G194" s="447">
        <f t="shared" si="89"/>
        <v>113243.49087664671</v>
      </c>
      <c r="H194" s="447">
        <f t="shared" si="89"/>
        <v>114569.21905799655</v>
      </c>
      <c r="I194" s="447">
        <f t="shared" si="89"/>
        <v>116820.4064839327</v>
      </c>
      <c r="J194" s="447">
        <f t="shared" si="89"/>
        <v>117038.50434149148</v>
      </c>
      <c r="K194" s="447">
        <f t="shared" si="89"/>
        <v>115575.85343009845</v>
      </c>
      <c r="L194" s="447">
        <f t="shared" si="89"/>
        <v>113334.31871904239</v>
      </c>
      <c r="M194" s="447">
        <f t="shared" si="89"/>
        <v>112809.34853933635</v>
      </c>
      <c r="N194" s="447">
        <f t="shared" si="89"/>
        <v>113568.88823314456</v>
      </c>
    </row>
    <row r="195" spans="1:17" s="5" customFormat="1">
      <c r="A195" s="164"/>
      <c r="B195" s="189" t="str">
        <f t="shared" si="78"/>
        <v>History</v>
      </c>
      <c r="C195" s="447">
        <f t="shared" ref="C195:N195" si="90">C96</f>
        <v>104612.56223714321</v>
      </c>
      <c r="D195" s="447">
        <f t="shared" si="90"/>
        <v>107575.75673749119</v>
      </c>
      <c r="E195" s="447">
        <f t="shared" si="90"/>
        <v>111342.70598464644</v>
      </c>
      <c r="F195" s="447">
        <f t="shared" si="90"/>
        <v>114029.38406607245</v>
      </c>
      <c r="G195" s="447">
        <f t="shared" si="90"/>
        <v>116161.68488440274</v>
      </c>
      <c r="H195" s="447">
        <f t="shared" si="90"/>
        <v>117521.57601856143</v>
      </c>
      <c r="I195" s="447">
        <f t="shared" si="90"/>
        <v>119830.77474038619</v>
      </c>
      <c r="J195" s="447">
        <f t="shared" si="90"/>
        <v>120054.49280495293</v>
      </c>
      <c r="K195" s="447">
        <f t="shared" si="90"/>
        <v>118554.15055172626</v>
      </c>
      <c r="L195" s="447">
        <f t="shared" si="90"/>
        <v>116254.85328750849</v>
      </c>
      <c r="M195" s="447">
        <f t="shared" si="90"/>
        <v>115716.35504697697</v>
      </c>
      <c r="N195" s="447">
        <f t="shared" si="90"/>
        <v>116495.46747000754</v>
      </c>
    </row>
    <row r="196" spans="1:17" s="5" customFormat="1">
      <c r="A196" s="164"/>
      <c r="B196" s="189" t="str">
        <f t="shared" si="78"/>
        <v>Mathematics</v>
      </c>
      <c r="C196" s="447">
        <f t="shared" ref="C196:N196" si="91">C97</f>
        <v>258057.93922965485</v>
      </c>
      <c r="D196" s="447">
        <f t="shared" si="91"/>
        <v>265367.53809564019</v>
      </c>
      <c r="E196" s="447">
        <f t="shared" si="91"/>
        <v>274659.83664100972</v>
      </c>
      <c r="F196" s="447">
        <f t="shared" si="91"/>
        <v>281287.32567521016</v>
      </c>
      <c r="G196" s="447">
        <f t="shared" si="91"/>
        <v>286547.27862186165</v>
      </c>
      <c r="H196" s="447">
        <f t="shared" si="91"/>
        <v>289901.85379097139</v>
      </c>
      <c r="I196" s="447">
        <f t="shared" si="91"/>
        <v>295598.177929128</v>
      </c>
      <c r="J196" s="447">
        <f t="shared" si="91"/>
        <v>296150.04494658683</v>
      </c>
      <c r="K196" s="447">
        <f t="shared" si="91"/>
        <v>292449.00539906888</v>
      </c>
      <c r="L196" s="447">
        <f t="shared" si="91"/>
        <v>286777.10614536965</v>
      </c>
      <c r="M196" s="447">
        <f t="shared" si="91"/>
        <v>285448.74038069841</v>
      </c>
      <c r="N196" s="447">
        <f t="shared" si="91"/>
        <v>287370.65245335869</v>
      </c>
    </row>
    <row r="197" spans="1:17" s="5" customFormat="1">
      <c r="A197" s="164"/>
      <c r="B197" s="189" t="str">
        <f t="shared" si="78"/>
        <v>Modern Foreign Languages</v>
      </c>
      <c r="C197" s="447">
        <f t="shared" ref="C197:N197" si="92">C98</f>
        <v>152496.1903884045</v>
      </c>
      <c r="D197" s="447">
        <f t="shared" si="92"/>
        <v>156815.70864720209</v>
      </c>
      <c r="E197" s="447">
        <f t="shared" si="92"/>
        <v>162306.87908881166</v>
      </c>
      <c r="F197" s="447">
        <f t="shared" si="92"/>
        <v>166223.3128655577</v>
      </c>
      <c r="G197" s="447">
        <f t="shared" si="92"/>
        <v>169331.61787791687</v>
      </c>
      <c r="H197" s="447">
        <f t="shared" si="92"/>
        <v>171313.96314188305</v>
      </c>
      <c r="I197" s="447">
        <f t="shared" si="92"/>
        <v>174680.13638530081</v>
      </c>
      <c r="J197" s="447">
        <f t="shared" si="92"/>
        <v>175006.25546543728</v>
      </c>
      <c r="K197" s="447">
        <f t="shared" si="92"/>
        <v>172819.17130457741</v>
      </c>
      <c r="L197" s="447">
        <f t="shared" si="92"/>
        <v>169467.43164859951</v>
      </c>
      <c r="M197" s="447">
        <f t="shared" si="92"/>
        <v>168682.45010856455</v>
      </c>
      <c r="N197" s="447">
        <f t="shared" si="92"/>
        <v>169818.18059690791</v>
      </c>
    </row>
    <row r="198" spans="1:17" s="5" customFormat="1">
      <c r="A198" s="164"/>
      <c r="B198" s="189" t="str">
        <f t="shared" si="78"/>
        <v>Music</v>
      </c>
      <c r="C198" s="447">
        <f t="shared" ref="C198:N198" si="93">C99</f>
        <v>56379.473830836054</v>
      </c>
      <c r="D198" s="447">
        <f t="shared" si="93"/>
        <v>57976.445965113155</v>
      </c>
      <c r="E198" s="447">
        <f t="shared" si="93"/>
        <v>60006.590452164732</v>
      </c>
      <c r="F198" s="447">
        <f t="shared" si="93"/>
        <v>61454.537939009264</v>
      </c>
      <c r="G198" s="447">
        <f t="shared" si="93"/>
        <v>62603.711571847016</v>
      </c>
      <c r="H198" s="447">
        <f t="shared" si="93"/>
        <v>63336.605833984337</v>
      </c>
      <c r="I198" s="447">
        <f t="shared" si="93"/>
        <v>64581.116111939213</v>
      </c>
      <c r="J198" s="447">
        <f t="shared" si="93"/>
        <v>64701.685826483954</v>
      </c>
      <c r="K198" s="447">
        <f t="shared" si="93"/>
        <v>63893.097402740539</v>
      </c>
      <c r="L198" s="447">
        <f t="shared" si="93"/>
        <v>62653.923376552208</v>
      </c>
      <c r="M198" s="447">
        <f t="shared" si="93"/>
        <v>62363.707299144837</v>
      </c>
      <c r="N198" s="447">
        <f t="shared" si="93"/>
        <v>62783.599016986111</v>
      </c>
    </row>
    <row r="199" spans="1:17" s="5" customFormat="1">
      <c r="A199" s="164"/>
      <c r="B199" s="189" t="str">
        <f t="shared" si="78"/>
        <v>Others</v>
      </c>
      <c r="C199" s="447">
        <f t="shared" ref="C199:N199" si="94">C100</f>
        <v>60902.907482487775</v>
      </c>
      <c r="D199" s="447">
        <f t="shared" si="94"/>
        <v>62628.007763448426</v>
      </c>
      <c r="E199" s="447">
        <f t="shared" si="94"/>
        <v>64821.034648409543</v>
      </c>
      <c r="F199" s="447">
        <f t="shared" si="94"/>
        <v>66385.15374777159</v>
      </c>
      <c r="G199" s="447">
        <f t="shared" si="94"/>
        <v>67626.527792020875</v>
      </c>
      <c r="H199" s="447">
        <f t="shared" si="94"/>
        <v>68418.223570795293</v>
      </c>
      <c r="I199" s="447">
        <f t="shared" si="94"/>
        <v>69762.583302613784</v>
      </c>
      <c r="J199" s="447">
        <f t="shared" si="94"/>
        <v>69892.826557315682</v>
      </c>
      <c r="K199" s="447">
        <f t="shared" si="94"/>
        <v>69019.363528724571</v>
      </c>
      <c r="L199" s="447">
        <f t="shared" si="94"/>
        <v>67680.768186418034</v>
      </c>
      <c r="M199" s="447">
        <f t="shared" si="94"/>
        <v>67367.267514785228</v>
      </c>
      <c r="N199" s="447">
        <f t="shared" si="94"/>
        <v>67820.847952961703</v>
      </c>
    </row>
    <row r="200" spans="1:17" s="5" customFormat="1">
      <c r="A200" s="164"/>
      <c r="B200" s="189" t="str">
        <f t="shared" si="78"/>
        <v>Physical Education</v>
      </c>
      <c r="C200" s="447">
        <f t="shared" ref="C200:N200" si="95">C101</f>
        <v>146735.77377716172</v>
      </c>
      <c r="D200" s="447">
        <f t="shared" si="95"/>
        <v>150892.12583051398</v>
      </c>
      <c r="E200" s="447">
        <f t="shared" si="95"/>
        <v>156175.87188108501</v>
      </c>
      <c r="F200" s="447">
        <f t="shared" si="95"/>
        <v>159944.36563305443</v>
      </c>
      <c r="G200" s="447">
        <f t="shared" si="95"/>
        <v>162935.25701179824</v>
      </c>
      <c r="H200" s="447">
        <f t="shared" si="95"/>
        <v>164842.72083407931</v>
      </c>
      <c r="I200" s="447">
        <f t="shared" si="95"/>
        <v>168081.73968617545</v>
      </c>
      <c r="J200" s="447">
        <f t="shared" si="95"/>
        <v>168395.5398896129</v>
      </c>
      <c r="K200" s="447">
        <f t="shared" si="95"/>
        <v>166291.07101178612</v>
      </c>
      <c r="L200" s="447">
        <f t="shared" si="95"/>
        <v>163065.94053038288</v>
      </c>
      <c r="M200" s="447">
        <f t="shared" si="95"/>
        <v>162310.61101438352</v>
      </c>
      <c r="N200" s="447">
        <f t="shared" si="95"/>
        <v>163403.44022923091</v>
      </c>
    </row>
    <row r="201" spans="1:17" s="5" customFormat="1">
      <c r="A201" s="164"/>
      <c r="B201" s="189" t="str">
        <f t="shared" si="78"/>
        <v>Physics</v>
      </c>
      <c r="C201" s="447">
        <f t="shared" ref="C201:N201" si="96">C102</f>
        <v>70840.105996003389</v>
      </c>
      <c r="D201" s="447">
        <f t="shared" si="96"/>
        <v>72846.681573567199</v>
      </c>
      <c r="E201" s="447">
        <f t="shared" si="96"/>
        <v>75397.532812112768</v>
      </c>
      <c r="F201" s="447">
        <f t="shared" si="96"/>
        <v>77216.860778040194</v>
      </c>
      <c r="G201" s="447">
        <f t="shared" si="96"/>
        <v>78660.783121166314</v>
      </c>
      <c r="H201" s="447">
        <f t="shared" si="96"/>
        <v>79581.655624685038</v>
      </c>
      <c r="I201" s="447">
        <f t="shared" si="96"/>
        <v>81145.367273856551</v>
      </c>
      <c r="J201" s="447">
        <f t="shared" si="96"/>
        <v>81296.861617061761</v>
      </c>
      <c r="K201" s="447">
        <f t="shared" si="96"/>
        <v>80280.880343150056</v>
      </c>
      <c r="L201" s="447">
        <f t="shared" si="96"/>
        <v>78723.873627797133</v>
      </c>
      <c r="M201" s="447">
        <f t="shared" si="96"/>
        <v>78359.220744604769</v>
      </c>
      <c r="N201" s="447">
        <f t="shared" si="96"/>
        <v>78886.809453360183</v>
      </c>
    </row>
    <row r="202" spans="1:17" s="5" customFormat="1">
      <c r="A202" s="164"/>
      <c r="B202" s="189" t="str">
        <f t="shared" si="78"/>
        <v>Religious Education</v>
      </c>
      <c r="C202" s="447">
        <f t="shared" ref="C202:N202" si="97">C103</f>
        <v>64710.619906966487</v>
      </c>
      <c r="D202" s="447">
        <f t="shared" si="97"/>
        <v>66543.57523204264</v>
      </c>
      <c r="E202" s="447">
        <f t="shared" si="97"/>
        <v>68873.712413740956</v>
      </c>
      <c r="F202" s="447">
        <f t="shared" si="97"/>
        <v>70535.621848149283</v>
      </c>
      <c r="G202" s="447">
        <f t="shared" si="97"/>
        <v>71854.607874602749</v>
      </c>
      <c r="H202" s="447">
        <f t="shared" si="97"/>
        <v>72695.801287855662</v>
      </c>
      <c r="I202" s="447">
        <f t="shared" si="97"/>
        <v>74124.211773002913</v>
      </c>
      <c r="J202" s="447">
        <f t="shared" si="97"/>
        <v>74262.597969965413</v>
      </c>
      <c r="K202" s="447">
        <f t="shared" si="97"/>
        <v>73334.525134326163</v>
      </c>
      <c r="L202" s="447">
        <f t="shared" si="97"/>
        <v>71912.239434252799</v>
      </c>
      <c r="M202" s="447">
        <f t="shared" si="97"/>
        <v>71579.138378142408</v>
      </c>
      <c r="N202" s="447">
        <f t="shared" si="97"/>
        <v>72061.077131895887</v>
      </c>
    </row>
    <row r="203" spans="1:17" s="5" customFormat="1">
      <c r="A203" s="164"/>
      <c r="B203" s="189" t="str">
        <f t="shared" si="78"/>
        <v>Total</v>
      </c>
      <c r="C203" s="509">
        <f t="shared" ref="C203:N203" si="98">SUM(C184:C202)</f>
        <v>1742375.8812637979</v>
      </c>
      <c r="D203" s="509">
        <f t="shared" si="98"/>
        <v>1791729.4055298031</v>
      </c>
      <c r="E203" s="509">
        <f t="shared" si="98"/>
        <v>1854469.877360611</v>
      </c>
      <c r="F203" s="509">
        <f t="shared" si="98"/>
        <v>1899217.8788404437</v>
      </c>
      <c r="G203" s="509">
        <f t="shared" si="98"/>
        <v>1934732.442655789</v>
      </c>
      <c r="H203" s="509">
        <f t="shared" si="98"/>
        <v>1957382.1270018369</v>
      </c>
      <c r="I203" s="509">
        <f t="shared" si="98"/>
        <v>1995843.0161332195</v>
      </c>
      <c r="J203" s="509">
        <f t="shared" si="98"/>
        <v>1999569.1552466122</v>
      </c>
      <c r="K203" s="509">
        <f t="shared" si="98"/>
        <v>1974580.1854732009</v>
      </c>
      <c r="L203" s="509">
        <f t="shared" si="98"/>
        <v>1936284.2101968543</v>
      </c>
      <c r="M203" s="509">
        <f t="shared" si="98"/>
        <v>1927315.2457977396</v>
      </c>
      <c r="N203" s="509">
        <f t="shared" si="98"/>
        <v>1940291.7628206587</v>
      </c>
    </row>
    <row r="204" spans="1:17">
      <c r="A204" s="10">
        <f>O204</f>
        <v>0</v>
      </c>
      <c r="B204" s="12"/>
      <c r="C204" s="10">
        <f t="shared" ref="C204:N204" si="99">SUM(C184:C202)-C203</f>
        <v>0</v>
      </c>
      <c r="D204" s="10">
        <f t="shared" si="99"/>
        <v>0</v>
      </c>
      <c r="E204" s="10">
        <f t="shared" si="99"/>
        <v>0</v>
      </c>
      <c r="F204" s="10">
        <f t="shared" si="99"/>
        <v>0</v>
      </c>
      <c r="G204" s="10">
        <f t="shared" si="99"/>
        <v>0</v>
      </c>
      <c r="H204" s="10">
        <f t="shared" si="99"/>
        <v>0</v>
      </c>
      <c r="I204" s="10">
        <f t="shared" si="99"/>
        <v>0</v>
      </c>
      <c r="J204" s="10">
        <f t="shared" si="99"/>
        <v>0</v>
      </c>
      <c r="K204" s="10">
        <f t="shared" si="99"/>
        <v>0</v>
      </c>
      <c r="L204" s="10">
        <f t="shared" si="99"/>
        <v>0</v>
      </c>
      <c r="M204" s="10">
        <f t="shared" si="99"/>
        <v>0</v>
      </c>
      <c r="N204" s="10">
        <f t="shared" si="99"/>
        <v>0</v>
      </c>
      <c r="O204" s="10">
        <f>SUM(C204:N204)</f>
        <v>0</v>
      </c>
    </row>
    <row r="205" spans="1:17">
      <c r="B205" s="12"/>
      <c r="C205" s="10"/>
      <c r="D205" s="10"/>
      <c r="E205" s="10"/>
      <c r="F205" s="10"/>
      <c r="G205" s="10"/>
      <c r="H205" s="10"/>
      <c r="I205" s="10"/>
      <c r="J205" s="10"/>
      <c r="K205" s="10"/>
      <c r="L205" s="10"/>
      <c r="M205" s="10"/>
      <c r="N205" s="10"/>
      <c r="O205" s="10"/>
    </row>
    <row r="206" spans="1:17">
      <c r="B206" s="75" t="s">
        <v>1563</v>
      </c>
      <c r="D206" s="12"/>
      <c r="E206" s="12"/>
      <c r="F206" s="12"/>
    </row>
    <row r="207" spans="1:17">
      <c r="B207" s="12"/>
      <c r="D207" s="12"/>
      <c r="E207" s="12"/>
      <c r="F207" s="12"/>
    </row>
    <row r="208" spans="1:17">
      <c r="B208" s="139" t="s">
        <v>59</v>
      </c>
      <c r="C208" s="8" t="str">
        <f>C183</f>
        <v>2017/18</v>
      </c>
      <c r="D208" s="8" t="str">
        <f t="shared" ref="D208:N208" si="100">D183</f>
        <v>2018/19</v>
      </c>
      <c r="E208" s="8" t="str">
        <f t="shared" si="100"/>
        <v>2019/20</v>
      </c>
      <c r="F208" s="8" t="str">
        <f t="shared" si="100"/>
        <v>2020/21</v>
      </c>
      <c r="G208" s="8" t="str">
        <f t="shared" si="100"/>
        <v>2021/22</v>
      </c>
      <c r="H208" s="8" t="str">
        <f t="shared" si="100"/>
        <v>2022/23</v>
      </c>
      <c r="I208" s="8" t="str">
        <f t="shared" si="100"/>
        <v>2023/24</v>
      </c>
      <c r="J208" s="8" t="str">
        <f t="shared" si="100"/>
        <v>2024/25</v>
      </c>
      <c r="K208" s="8" t="str">
        <f t="shared" si="100"/>
        <v>2025/26</v>
      </c>
      <c r="L208" s="8" t="str">
        <f t="shared" si="100"/>
        <v>2026/27</v>
      </c>
      <c r="M208" s="8" t="str">
        <f t="shared" si="100"/>
        <v>2027/28</v>
      </c>
      <c r="N208" s="8" t="str">
        <f t="shared" si="100"/>
        <v>2028/29</v>
      </c>
      <c r="Q208" s="256" t="s">
        <v>467</v>
      </c>
    </row>
    <row r="209" spans="1:30" s="5" customFormat="1">
      <c r="A209" s="164"/>
      <c r="B209" s="189" t="str">
        <f t="shared" ref="B209:B228" si="101">B184</f>
        <v>Art &amp; Design</v>
      </c>
      <c r="C209" s="510">
        <f>(C184/((SUM(C$184:C$202))-C$185-C$187-C$192-C$194-C$195-C$196-C$197-C$201))*(C$104-C$210-C$212-C$217-C$219-C$220-C$221-C$222-C$226)</f>
        <v>72965.947625723784</v>
      </c>
      <c r="D209" s="510">
        <f t="shared" ref="D209:N209" si="102">(D184/((SUM(D$184:D$202))-D$185-D$187-D$192-D$194-D$195-D$196-D$197-D$201))*(D$104-D$210-D$212-D$217-D$219-D$220-D$221-D$222-D$226)</f>
        <v>75032.73855497285</v>
      </c>
      <c r="E209" s="510">
        <f t="shared" si="102"/>
        <v>77660.138320343423</v>
      </c>
      <c r="F209" s="510">
        <f t="shared" si="102"/>
        <v>79534.062522028937</v>
      </c>
      <c r="G209" s="510">
        <f t="shared" si="102"/>
        <v>81021.315548867889</v>
      </c>
      <c r="H209" s="510">
        <f t="shared" si="102"/>
        <v>81969.822526899588</v>
      </c>
      <c r="I209" s="510">
        <f t="shared" si="102"/>
        <v>83580.459618572233</v>
      </c>
      <c r="J209" s="510">
        <f t="shared" si="102"/>
        <v>83736.500157423638</v>
      </c>
      <c r="K209" s="510">
        <f t="shared" si="102"/>
        <v>82690.030288714741</v>
      </c>
      <c r="L209" s="510">
        <f t="shared" si="102"/>
        <v>81086.299339303849</v>
      </c>
      <c r="M209" s="510">
        <f t="shared" si="102"/>
        <v>80710.703583164184</v>
      </c>
      <c r="N209" s="510">
        <f t="shared" si="102"/>
        <v>81254.124708100702</v>
      </c>
    </row>
    <row r="210" spans="1:30" s="5" customFormat="1">
      <c r="A210" s="164"/>
      <c r="B210" s="189" t="str">
        <f t="shared" si="101"/>
        <v>Biology</v>
      </c>
      <c r="C210" s="380">
        <f>C185</f>
        <v>83892.121104983948</v>
      </c>
      <c r="D210" s="380">
        <f t="shared" ref="D210:N210" si="103">D185</f>
        <v>86268.400459630633</v>
      </c>
      <c r="E210" s="380">
        <f t="shared" si="103"/>
        <v>89289.236157377003</v>
      </c>
      <c r="F210" s="380">
        <f t="shared" si="103"/>
        <v>91443.768253304108</v>
      </c>
      <c r="G210" s="380">
        <f t="shared" si="103"/>
        <v>93153.727694677087</v>
      </c>
      <c r="H210" s="380">
        <f t="shared" si="103"/>
        <v>94244.267389688292</v>
      </c>
      <c r="I210" s="380">
        <f t="shared" si="103"/>
        <v>96096.086852705062</v>
      </c>
      <c r="J210" s="380">
        <f t="shared" si="103"/>
        <v>96275.493441786224</v>
      </c>
      <c r="K210" s="380">
        <f t="shared" si="103"/>
        <v>95072.321553870002</v>
      </c>
      <c r="L210" s="380">
        <f t="shared" si="103"/>
        <v>93228.442382754278</v>
      </c>
      <c r="M210" s="380">
        <f t="shared" si="103"/>
        <v>92796.603618428038</v>
      </c>
      <c r="N210" s="380">
        <f t="shared" si="103"/>
        <v>93421.398502995653</v>
      </c>
      <c r="P210" s="5" t="s">
        <v>7</v>
      </c>
      <c r="Q210" s="511">
        <f>C210/C$228</f>
        <v>4.8148118903100563E-2</v>
      </c>
      <c r="R210" s="511">
        <f t="shared" ref="R210:Z210" si="104">D210/D$228</f>
        <v>4.8148118903100556E-2</v>
      </c>
      <c r="S210" s="511">
        <f t="shared" si="104"/>
        <v>4.814811890310057E-2</v>
      </c>
      <c r="T210" s="511">
        <f t="shared" si="104"/>
        <v>4.8148118903100556E-2</v>
      </c>
      <c r="U210" s="511">
        <f t="shared" si="104"/>
        <v>4.8148118903100577E-2</v>
      </c>
      <c r="V210" s="511">
        <f t="shared" si="104"/>
        <v>4.814811890310057E-2</v>
      </c>
      <c r="W210" s="511">
        <f t="shared" si="104"/>
        <v>4.8148118903100556E-2</v>
      </c>
      <c r="X210" s="511">
        <f t="shared" si="104"/>
        <v>4.8148118903100556E-2</v>
      </c>
      <c r="Y210" s="511">
        <f t="shared" si="104"/>
        <v>4.8148118903100563E-2</v>
      </c>
      <c r="Z210" s="511">
        <f t="shared" si="104"/>
        <v>4.8148118903100556E-2</v>
      </c>
      <c r="AA210" s="511">
        <f>M210/M$228</f>
        <v>4.814811890310057E-2</v>
      </c>
      <c r="AB210" s="511">
        <f>N210/N$228</f>
        <v>4.8148118903100563E-2</v>
      </c>
      <c r="AC210" s="512"/>
      <c r="AD210" s="512"/>
    </row>
    <row r="211" spans="1:30" s="5" customFormat="1">
      <c r="A211" s="164"/>
      <c r="B211" s="189" t="str">
        <f t="shared" si="101"/>
        <v>Business Studies</v>
      </c>
      <c r="C211" s="510">
        <f>(C186/((SUM(C$184:C$202))-C$185-C$187-C$192-C$194-C$195-C$196-C$197-C$201))*(C$104-C$210-C$212-C$217-C$219-C$220-C$221-C$222-C$226)</f>
        <v>5785.6407915731415</v>
      </c>
      <c r="D211" s="510">
        <f t="shared" ref="D211:N211" si="105">(D186/((SUM(D$184:D$202))-D$185-D$187-D$192-D$194-D$195-D$196-D$197-D$201))*(D$104-D$210-D$212-D$217-D$219-D$220-D$221-D$222-D$226)</f>
        <v>5949.5214824572413</v>
      </c>
      <c r="E211" s="510">
        <f t="shared" si="105"/>
        <v>6157.8541602739078</v>
      </c>
      <c r="F211" s="510">
        <f t="shared" si="105"/>
        <v>6306.4419968521534</v>
      </c>
      <c r="G211" s="510">
        <f t="shared" si="105"/>
        <v>6424.3697708270429</v>
      </c>
      <c r="H211" s="510">
        <f t="shared" si="105"/>
        <v>6499.579109453618</v>
      </c>
      <c r="I211" s="510">
        <f t="shared" si="105"/>
        <v>6627.2902947561279</v>
      </c>
      <c r="J211" s="510">
        <f t="shared" si="105"/>
        <v>6639.6631143534096</v>
      </c>
      <c r="K211" s="510">
        <f t="shared" si="105"/>
        <v>6556.6860688059351</v>
      </c>
      <c r="L211" s="510">
        <f t="shared" si="105"/>
        <v>6429.522487689791</v>
      </c>
      <c r="M211" s="510">
        <f t="shared" si="105"/>
        <v>6399.740620961903</v>
      </c>
      <c r="N211" s="510">
        <f t="shared" si="105"/>
        <v>6442.8297540402873</v>
      </c>
      <c r="Q211" s="513">
        <f t="shared" ref="Q211:AB211" si="106">C86/C$104</f>
        <v>4.8148118903100563E-2</v>
      </c>
      <c r="R211" s="513">
        <f t="shared" si="106"/>
        <v>4.8148118903100563E-2</v>
      </c>
      <c r="S211" s="513">
        <f t="shared" si="106"/>
        <v>4.814811890310057E-2</v>
      </c>
      <c r="T211" s="513">
        <f t="shared" si="106"/>
        <v>4.8148118903100563E-2</v>
      </c>
      <c r="U211" s="513">
        <f t="shared" si="106"/>
        <v>4.8148118903100563E-2</v>
      </c>
      <c r="V211" s="513">
        <f t="shared" si="106"/>
        <v>4.8148118903100563E-2</v>
      </c>
      <c r="W211" s="513">
        <f t="shared" si="106"/>
        <v>4.8148118903100556E-2</v>
      </c>
      <c r="X211" s="513">
        <f t="shared" si="106"/>
        <v>4.8148118903100563E-2</v>
      </c>
      <c r="Y211" s="513">
        <f t="shared" si="106"/>
        <v>4.8148118903100563E-2</v>
      </c>
      <c r="Z211" s="513">
        <f t="shared" si="106"/>
        <v>4.8148118903100563E-2</v>
      </c>
      <c r="AA211" s="513">
        <f t="shared" si="106"/>
        <v>4.8148118903100563E-2</v>
      </c>
      <c r="AB211" s="513">
        <f t="shared" si="106"/>
        <v>4.8148118903100563E-2</v>
      </c>
    </row>
    <row r="212" spans="1:30" s="5" customFormat="1">
      <c r="A212" s="164"/>
      <c r="B212" s="189" t="str">
        <f t="shared" si="101"/>
        <v>Chemistry</v>
      </c>
      <c r="C212" s="380">
        <f>C187</f>
        <v>69793.349748586188</v>
      </c>
      <c r="D212" s="380">
        <f t="shared" ref="D212:N212" si="107">D187</f>
        <v>71770.275518428811</v>
      </c>
      <c r="E212" s="380">
        <f t="shared" si="107"/>
        <v>74283.434556593857</v>
      </c>
      <c r="F212" s="380">
        <f t="shared" si="107"/>
        <v>76075.879545884527</v>
      </c>
      <c r="G212" s="380">
        <f t="shared" si="107"/>
        <v>77498.46602689974</v>
      </c>
      <c r="H212" s="380">
        <f t="shared" si="107"/>
        <v>78405.731421386372</v>
      </c>
      <c r="I212" s="380">
        <f t="shared" si="107"/>
        <v>79946.337163036776</v>
      </c>
      <c r="J212" s="380">
        <f t="shared" si="107"/>
        <v>80095.592976979926</v>
      </c>
      <c r="K212" s="380">
        <f t="shared" si="107"/>
        <v>79094.624169957897</v>
      </c>
      <c r="L212" s="380">
        <f t="shared" si="107"/>
        <v>77560.624287862098</v>
      </c>
      <c r="M212" s="380">
        <f t="shared" si="107"/>
        <v>77201.359633248081</v>
      </c>
      <c r="N212" s="380">
        <f t="shared" si="107"/>
        <v>77721.152521130658</v>
      </c>
      <c r="P212" s="5" t="s">
        <v>3</v>
      </c>
      <c r="Q212" s="511">
        <f>C212/C$228</f>
        <v>4.0056425538881418E-2</v>
      </c>
      <c r="R212" s="511">
        <f t="shared" ref="R212:AB212" si="108">D212/D$228</f>
        <v>4.0056425538881411E-2</v>
      </c>
      <c r="S212" s="511">
        <f t="shared" si="108"/>
        <v>4.0056425538881418E-2</v>
      </c>
      <c r="T212" s="511">
        <f t="shared" si="108"/>
        <v>4.0056425538881411E-2</v>
      </c>
      <c r="U212" s="511">
        <f t="shared" si="108"/>
        <v>4.0056425538881425E-2</v>
      </c>
      <c r="V212" s="511">
        <f t="shared" si="108"/>
        <v>4.0056425538881425E-2</v>
      </c>
      <c r="W212" s="511">
        <f t="shared" si="108"/>
        <v>4.0056425538881418E-2</v>
      </c>
      <c r="X212" s="511">
        <f t="shared" si="108"/>
        <v>4.0056425538881411E-2</v>
      </c>
      <c r="Y212" s="511">
        <f t="shared" si="108"/>
        <v>4.0056425538881418E-2</v>
      </c>
      <c r="Z212" s="511">
        <f t="shared" si="108"/>
        <v>4.0056425538881418E-2</v>
      </c>
      <c r="AA212" s="511">
        <f t="shared" si="108"/>
        <v>4.0056425538881425E-2</v>
      </c>
      <c r="AB212" s="511">
        <f t="shared" si="108"/>
        <v>4.0056425538881418E-2</v>
      </c>
    </row>
    <row r="213" spans="1:30" s="5" customFormat="1">
      <c r="A213" s="164"/>
      <c r="B213" s="189" t="str">
        <f t="shared" si="101"/>
        <v>Classics</v>
      </c>
      <c r="C213" s="510">
        <f>(C188/((SUM(C$184:C$202))-C$185-C$187-C$192-C$194-C$195-C$196-C$197-C$201))*(C$104-C$210-C$212-C$217-C$219-C$220-C$221-C$222-C$226)</f>
        <v>1856.1675806389601</v>
      </c>
      <c r="D213" s="510">
        <f t="shared" ref="D213:N213" si="109">(D188/((SUM(D$184:D$202))-D$185-D$187-D$192-D$194-D$195-D$196-D$197-D$201))*(D$104-D$210-D$212-D$217-D$219-D$220-D$221-D$222-D$226)</f>
        <v>1908.7443022969721</v>
      </c>
      <c r="E213" s="510">
        <f t="shared" si="109"/>
        <v>1975.5822510189582</v>
      </c>
      <c r="F213" s="510">
        <f t="shared" si="109"/>
        <v>2023.2526707822333</v>
      </c>
      <c r="G213" s="510">
        <f t="shared" si="109"/>
        <v>2061.086632273229</v>
      </c>
      <c r="H213" s="510">
        <f t="shared" si="109"/>
        <v>2085.2155302033034</v>
      </c>
      <c r="I213" s="510">
        <f t="shared" si="109"/>
        <v>2126.1882366645764</v>
      </c>
      <c r="J213" s="510">
        <f t="shared" si="109"/>
        <v>2130.1577237870779</v>
      </c>
      <c r="K213" s="510">
        <f t="shared" si="109"/>
        <v>2103.5367655508262</v>
      </c>
      <c r="L213" s="510">
        <f t="shared" si="109"/>
        <v>2062.7397431968752</v>
      </c>
      <c r="M213" s="510">
        <f t="shared" si="109"/>
        <v>2053.185030503385</v>
      </c>
      <c r="N213" s="510">
        <f t="shared" si="109"/>
        <v>2067.0090224827054</v>
      </c>
      <c r="Q213" s="513">
        <f t="shared" ref="Q213:AB213" si="110">C88/C$104</f>
        <v>4.0056425538881418E-2</v>
      </c>
      <c r="R213" s="513">
        <f t="shared" si="110"/>
        <v>4.0056425538881411E-2</v>
      </c>
      <c r="S213" s="513">
        <f t="shared" si="110"/>
        <v>4.0056425538881418E-2</v>
      </c>
      <c r="T213" s="513">
        <f t="shared" si="110"/>
        <v>4.0056425538881411E-2</v>
      </c>
      <c r="U213" s="513">
        <f t="shared" si="110"/>
        <v>4.0056425538881411E-2</v>
      </c>
      <c r="V213" s="513">
        <f t="shared" si="110"/>
        <v>4.0056425538881418E-2</v>
      </c>
      <c r="W213" s="513">
        <f t="shared" si="110"/>
        <v>4.0056425538881418E-2</v>
      </c>
      <c r="X213" s="513">
        <f t="shared" si="110"/>
        <v>4.0056425538881418E-2</v>
      </c>
      <c r="Y213" s="513">
        <f t="shared" si="110"/>
        <v>4.0056425538881418E-2</v>
      </c>
      <c r="Z213" s="513">
        <f t="shared" si="110"/>
        <v>4.0056425538881418E-2</v>
      </c>
      <c r="AA213" s="513">
        <f t="shared" si="110"/>
        <v>4.0056425538881418E-2</v>
      </c>
      <c r="AB213" s="513">
        <f t="shared" si="110"/>
        <v>4.0056425538881418E-2</v>
      </c>
    </row>
    <row r="214" spans="1:30" s="5" customFormat="1">
      <c r="A214" s="164"/>
      <c r="B214" s="189" t="str">
        <f t="shared" si="101"/>
        <v>Computing</v>
      </c>
      <c r="C214" s="510">
        <f>(C189/((SUM(C$184:C$202))-C$185-C$187-C$192-C$194-C$195-C$196-C$197-C$201))*(C$104-C$210-C$212-C$217-C$219-C$220-C$221-C$222-C$226)</f>
        <v>55535.989727400047</v>
      </c>
      <c r="D214" s="510">
        <f t="shared" ref="D214:N214" si="111">(D189/((SUM(D$184:D$202))-D$185-D$187-D$192-D$194-D$195-D$196-D$197-D$201))*(D$104-D$210-D$212-D$217-D$219-D$220-D$221-D$222-D$226)</f>
        <v>57109.069822298909</v>
      </c>
      <c r="E214" s="510">
        <f t="shared" si="111"/>
        <v>59108.841649122289</v>
      </c>
      <c r="F214" s="510">
        <f t="shared" si="111"/>
        <v>60535.12663000897</v>
      </c>
      <c r="G214" s="510">
        <f t="shared" si="111"/>
        <v>61667.107663740557</v>
      </c>
      <c r="H214" s="510">
        <f t="shared" si="111"/>
        <v>62389.037214474796</v>
      </c>
      <c r="I214" s="510">
        <f t="shared" si="111"/>
        <v>63614.928577340703</v>
      </c>
      <c r="J214" s="510">
        <f t="shared" si="111"/>
        <v>63733.694468070462</v>
      </c>
      <c r="K214" s="510">
        <f t="shared" si="111"/>
        <v>62937.203203724006</v>
      </c>
      <c r="L214" s="510">
        <f t="shared" si="111"/>
        <v>61716.568257833183</v>
      </c>
      <c r="M214" s="510">
        <f t="shared" si="111"/>
        <v>61430.694055779051</v>
      </c>
      <c r="N214" s="510">
        <f t="shared" si="111"/>
        <v>61844.303842181485</v>
      </c>
    </row>
    <row r="215" spans="1:30" s="5" customFormat="1">
      <c r="A215" s="164"/>
      <c r="B215" s="189" t="str">
        <f t="shared" si="101"/>
        <v>Design &amp; Technology</v>
      </c>
      <c r="C215" s="510">
        <f>(C190/((SUM(C$184:C$202))-C$185-C$187-C$192-C$194-C$195-C$196-C$197-C$201))*(C$104-C$210-C$212-C$217-C$219-C$220-C$221-C$222-C$226)</f>
        <v>104602.83874896742</v>
      </c>
      <c r="D215" s="510">
        <f t="shared" ref="D215:N215" si="112">(D190/((SUM(D$184:D$202))-D$185-D$187-D$192-D$194-D$195-D$196-D$197-D$201))*(D$104-D$210-D$212-D$217-D$219-D$220-D$221-D$222-D$226)</f>
        <v>107565.75782745342</v>
      </c>
      <c r="E215" s="510">
        <f t="shared" si="112"/>
        <v>111332.35694565963</v>
      </c>
      <c r="F215" s="510">
        <f t="shared" si="112"/>
        <v>114018.78530676533</v>
      </c>
      <c r="G215" s="510">
        <f t="shared" si="112"/>
        <v>116150.88793281968</v>
      </c>
      <c r="H215" s="510">
        <f t="shared" si="112"/>
        <v>117510.65266834052</v>
      </c>
      <c r="I215" s="510">
        <f t="shared" si="112"/>
        <v>119819.6367556512</v>
      </c>
      <c r="J215" s="510">
        <f t="shared" si="112"/>
        <v>120043.33402615742</v>
      </c>
      <c r="K215" s="510">
        <f t="shared" si="112"/>
        <v>118543.13122616505</v>
      </c>
      <c r="L215" s="510">
        <f t="shared" si="112"/>
        <v>116244.04767614458</v>
      </c>
      <c r="M215" s="510">
        <f t="shared" si="112"/>
        <v>115705.59948774027</v>
      </c>
      <c r="N215" s="510">
        <f t="shared" si="112"/>
        <v>116484.63949412918</v>
      </c>
    </row>
    <row r="216" spans="1:30" s="5" customFormat="1">
      <c r="A216" s="164"/>
      <c r="B216" s="189" t="str">
        <f t="shared" si="101"/>
        <v>Drama</v>
      </c>
      <c r="C216" s="510">
        <f>(C191/((SUM(C$184:C$202))-C$185-C$187-C$192-C$194-C$195-C$196-C$197-C$201))*(C$104-C$210-C$212-C$217-C$219-C$220-C$221-C$222-C$226)</f>
        <v>49107.751543588172</v>
      </c>
      <c r="D216" s="510">
        <f t="shared" ref="D216:N216" si="113">(D191/((SUM(D$184:D$202))-D$185-D$187-D$192-D$194-D$195-D$196-D$197-D$201))*(D$104-D$210-D$212-D$217-D$219-D$220-D$221-D$222-D$226)</f>
        <v>50498.749108188043</v>
      </c>
      <c r="E216" s="510">
        <f t="shared" si="113"/>
        <v>52267.049241084729</v>
      </c>
      <c r="F216" s="510">
        <f t="shared" si="113"/>
        <v>53528.243087013027</v>
      </c>
      <c r="G216" s="510">
        <f t="shared" si="113"/>
        <v>54529.198388780496</v>
      </c>
      <c r="H216" s="510">
        <f t="shared" si="113"/>
        <v>55167.56527813369</v>
      </c>
      <c r="I216" s="510">
        <f t="shared" si="113"/>
        <v>56251.560877429692</v>
      </c>
      <c r="J216" s="510">
        <f t="shared" si="113"/>
        <v>56356.579728852681</v>
      </c>
      <c r="K216" s="510">
        <f t="shared" si="113"/>
        <v>55652.281573581546</v>
      </c>
      <c r="L216" s="510">
        <f t="shared" si="113"/>
        <v>54572.933965976867</v>
      </c>
      <c r="M216" s="510">
        <f t="shared" si="113"/>
        <v>54320.149431909769</v>
      </c>
      <c r="N216" s="510">
        <f t="shared" si="113"/>
        <v>54685.884277481913</v>
      </c>
    </row>
    <row r="217" spans="1:30" s="5" customFormat="1">
      <c r="A217" s="164"/>
      <c r="B217" s="189" t="str">
        <f t="shared" si="101"/>
        <v>English</v>
      </c>
      <c r="C217" s="380">
        <f>C192</f>
        <v>267057.45112259698</v>
      </c>
      <c r="D217" s="380">
        <f t="shared" ref="D217:N217" si="114">D192</f>
        <v>274621.96492018044</v>
      </c>
      <c r="E217" s="380">
        <f t="shared" si="114"/>
        <v>284238.32306054421</v>
      </c>
      <c r="F217" s="380">
        <f t="shared" si="114"/>
        <v>291096.93912986584</v>
      </c>
      <c r="G217" s="380">
        <f t="shared" si="114"/>
        <v>296540.3276617236</v>
      </c>
      <c r="H217" s="380">
        <f t="shared" si="114"/>
        <v>300011.89027644455</v>
      </c>
      <c r="I217" s="380">
        <f t="shared" si="114"/>
        <v>305906.86800759047</v>
      </c>
      <c r="J217" s="380">
        <f t="shared" si="114"/>
        <v>306477.9808339625</v>
      </c>
      <c r="K217" s="380">
        <f t="shared" si="114"/>
        <v>302647.87124301336</v>
      </c>
      <c r="L217" s="380">
        <f t="shared" si="114"/>
        <v>296778.170189681</v>
      </c>
      <c r="M217" s="380">
        <f t="shared" si="114"/>
        <v>295403.47900083166</v>
      </c>
      <c r="N217" s="380">
        <f t="shared" si="114"/>
        <v>297392.41583005141</v>
      </c>
      <c r="P217" s="5" t="s">
        <v>1</v>
      </c>
      <c r="Q217" s="514">
        <f t="shared" ref="Q217:AB217" si="115">C217/C$228</f>
        <v>0.15327200863736257</v>
      </c>
      <c r="R217" s="514">
        <f t="shared" si="115"/>
        <v>0.15327200863736254</v>
      </c>
      <c r="S217" s="514">
        <f t="shared" si="115"/>
        <v>0.15327200863736257</v>
      </c>
      <c r="T217" s="514">
        <f t="shared" si="115"/>
        <v>0.15327200863736254</v>
      </c>
      <c r="U217" s="514">
        <f t="shared" si="115"/>
        <v>0.15327200863736262</v>
      </c>
      <c r="V217" s="514">
        <f t="shared" si="115"/>
        <v>0.15327200863736259</v>
      </c>
      <c r="W217" s="514">
        <f t="shared" si="115"/>
        <v>0.15327200863736257</v>
      </c>
      <c r="X217" s="514">
        <f t="shared" si="115"/>
        <v>0.15327200863736257</v>
      </c>
      <c r="Y217" s="514">
        <f t="shared" si="115"/>
        <v>0.15327200863736259</v>
      </c>
      <c r="Z217" s="514">
        <f t="shared" si="115"/>
        <v>0.15327200863736257</v>
      </c>
      <c r="AA217" s="514">
        <f t="shared" si="115"/>
        <v>0.15327200863736259</v>
      </c>
      <c r="AB217" s="514">
        <f t="shared" si="115"/>
        <v>0.15327200863736259</v>
      </c>
    </row>
    <row r="218" spans="1:30" s="5" customFormat="1">
      <c r="A218" s="164"/>
      <c r="B218" s="189" t="str">
        <f t="shared" si="101"/>
        <v>Food</v>
      </c>
      <c r="C218" s="510">
        <f>(C193/((SUM(C$184:C$202))-C$185-C$187-C$192-C$194-C$195-C$196-C$197-C$201))*(C$104-C$210-C$212-C$217-C$219-C$220-C$221-C$222-C$226)</f>
        <v>15058.547105089076</v>
      </c>
      <c r="D218" s="510">
        <f t="shared" ref="D218:N218" si="116">(D193/((SUM(D$184:D$202))-D$185-D$187-D$192-D$194-D$195-D$196-D$197-D$201))*(D$104-D$210-D$212-D$217-D$219-D$220-D$221-D$222-D$226)</f>
        <v>15485.086738674201</v>
      </c>
      <c r="E218" s="510">
        <f t="shared" si="116"/>
        <v>16027.323554862473</v>
      </c>
      <c r="F218" s="510">
        <f t="shared" si="116"/>
        <v>16414.059789786661</v>
      </c>
      <c r="G218" s="510">
        <f t="shared" si="116"/>
        <v>16720.99570291588</v>
      </c>
      <c r="H218" s="510">
        <f t="shared" si="116"/>
        <v>16916.746425999216</v>
      </c>
      <c r="I218" s="510">
        <f t="shared" si="116"/>
        <v>17249.14606313633</v>
      </c>
      <c r="J218" s="510">
        <f t="shared" si="116"/>
        <v>17281.349356330713</v>
      </c>
      <c r="K218" s="510">
        <f t="shared" si="116"/>
        <v>17065.381273618481</v>
      </c>
      <c r="L218" s="510">
        <f t="shared" si="116"/>
        <v>16734.406910488582</v>
      </c>
      <c r="M218" s="510">
        <f t="shared" si="116"/>
        <v>16656.892308536004</v>
      </c>
      <c r="N218" s="510">
        <f t="shared" si="116"/>
        <v>16769.042330210938</v>
      </c>
      <c r="Q218" s="515">
        <f t="shared" ref="Q218:AB218" si="117">C93/C$104</f>
        <v>0.15327200863736257</v>
      </c>
      <c r="R218" s="515">
        <f t="shared" si="117"/>
        <v>0.15327200863736257</v>
      </c>
      <c r="S218" s="515">
        <f t="shared" si="117"/>
        <v>0.15327200863736257</v>
      </c>
      <c r="T218" s="515">
        <f t="shared" si="117"/>
        <v>0.15327200863736257</v>
      </c>
      <c r="U218" s="515">
        <f t="shared" si="117"/>
        <v>0.15327200863736259</v>
      </c>
      <c r="V218" s="515">
        <f t="shared" si="117"/>
        <v>0.15327200863736259</v>
      </c>
      <c r="W218" s="515">
        <f t="shared" si="117"/>
        <v>0.15327200863736257</v>
      </c>
      <c r="X218" s="515">
        <f t="shared" si="117"/>
        <v>0.15327200863736259</v>
      </c>
      <c r="Y218" s="515">
        <f t="shared" si="117"/>
        <v>0.15327200863736259</v>
      </c>
      <c r="Z218" s="515">
        <f t="shared" si="117"/>
        <v>0.15327200863736259</v>
      </c>
      <c r="AA218" s="515">
        <f t="shared" si="117"/>
        <v>0.15327200863736259</v>
      </c>
      <c r="AB218" s="515">
        <f t="shared" si="117"/>
        <v>0.15327200863736259</v>
      </c>
    </row>
    <row r="219" spans="1:30" s="5" customFormat="1">
      <c r="A219" s="164"/>
      <c r="B219" s="189" t="str">
        <f t="shared" si="101"/>
        <v>Geography</v>
      </c>
      <c r="C219" s="380">
        <f>C194</f>
        <v>101984.50331599178</v>
      </c>
      <c r="D219" s="380">
        <f t="shared" ref="D219:N219" si="118">D194</f>
        <v>104873.25695020275</v>
      </c>
      <c r="E219" s="380">
        <f t="shared" si="118"/>
        <v>108545.57354174947</v>
      </c>
      <c r="F219" s="380">
        <f t="shared" si="118"/>
        <v>111164.75735528683</v>
      </c>
      <c r="G219" s="380">
        <f t="shared" si="118"/>
        <v>113243.49087664671</v>
      </c>
      <c r="H219" s="380">
        <f t="shared" si="118"/>
        <v>114569.21905799655</v>
      </c>
      <c r="I219" s="380">
        <f t="shared" si="118"/>
        <v>116820.4064839327</v>
      </c>
      <c r="J219" s="380">
        <f t="shared" si="118"/>
        <v>117038.50434149148</v>
      </c>
      <c r="K219" s="380">
        <f t="shared" si="118"/>
        <v>115575.85343009845</v>
      </c>
      <c r="L219" s="380">
        <f t="shared" si="118"/>
        <v>113334.31871904239</v>
      </c>
      <c r="M219" s="380">
        <f t="shared" si="118"/>
        <v>112809.34853933635</v>
      </c>
      <c r="N219" s="380">
        <f t="shared" si="118"/>
        <v>113568.88823314456</v>
      </c>
    </row>
    <row r="220" spans="1:30" s="5" customFormat="1">
      <c r="A220" s="164"/>
      <c r="B220" s="189" t="str">
        <f t="shared" si="101"/>
        <v>History</v>
      </c>
      <c r="C220" s="380">
        <f>C195</f>
        <v>104612.56223714321</v>
      </c>
      <c r="D220" s="380">
        <f t="shared" ref="D220:N220" si="119">D195</f>
        <v>107575.75673749119</v>
      </c>
      <c r="E220" s="380">
        <f t="shared" si="119"/>
        <v>111342.70598464644</v>
      </c>
      <c r="F220" s="380">
        <f t="shared" si="119"/>
        <v>114029.38406607245</v>
      </c>
      <c r="G220" s="380">
        <f t="shared" si="119"/>
        <v>116161.68488440274</v>
      </c>
      <c r="H220" s="380">
        <f t="shared" si="119"/>
        <v>117521.57601856143</v>
      </c>
      <c r="I220" s="380">
        <f t="shared" si="119"/>
        <v>119830.77474038619</v>
      </c>
      <c r="J220" s="380">
        <f t="shared" si="119"/>
        <v>120054.49280495293</v>
      </c>
      <c r="K220" s="380">
        <f t="shared" si="119"/>
        <v>118554.15055172626</v>
      </c>
      <c r="L220" s="380">
        <f t="shared" si="119"/>
        <v>116254.85328750849</v>
      </c>
      <c r="M220" s="380">
        <f t="shared" si="119"/>
        <v>115716.35504697697</v>
      </c>
      <c r="N220" s="380">
        <f t="shared" si="119"/>
        <v>116495.46747000754</v>
      </c>
    </row>
    <row r="221" spans="1:30" s="5" customFormat="1">
      <c r="A221" s="164"/>
      <c r="B221" s="189" t="str">
        <f t="shared" si="101"/>
        <v>Mathematics</v>
      </c>
      <c r="C221" s="380">
        <f>C196</f>
        <v>258057.93922965485</v>
      </c>
      <c r="D221" s="380">
        <f t="shared" ref="D221:N221" si="120">D196</f>
        <v>265367.53809564019</v>
      </c>
      <c r="E221" s="380">
        <f t="shared" si="120"/>
        <v>274659.83664100972</v>
      </c>
      <c r="F221" s="380">
        <f t="shared" si="120"/>
        <v>281287.32567521016</v>
      </c>
      <c r="G221" s="380">
        <f>G196</f>
        <v>286547.27862186165</v>
      </c>
      <c r="H221" s="380">
        <f t="shared" si="120"/>
        <v>289901.85379097139</v>
      </c>
      <c r="I221" s="380">
        <f t="shared" si="120"/>
        <v>295598.177929128</v>
      </c>
      <c r="J221" s="380">
        <f t="shared" si="120"/>
        <v>296150.04494658683</v>
      </c>
      <c r="K221" s="380">
        <f t="shared" si="120"/>
        <v>292449.00539906888</v>
      </c>
      <c r="L221" s="380">
        <f t="shared" si="120"/>
        <v>286777.10614536965</v>
      </c>
      <c r="M221" s="380">
        <f t="shared" si="120"/>
        <v>285448.74038069841</v>
      </c>
      <c r="N221" s="380">
        <f t="shared" si="120"/>
        <v>287370.65245335869</v>
      </c>
      <c r="P221" s="5" t="s">
        <v>573</v>
      </c>
      <c r="Q221" s="514">
        <f t="shared" ref="Q221:AB221" si="121">C221/C$228</f>
        <v>0.14810692801973227</v>
      </c>
      <c r="R221" s="514">
        <f t="shared" si="121"/>
        <v>0.14810692801973224</v>
      </c>
      <c r="S221" s="514">
        <f t="shared" si="121"/>
        <v>0.1481069280197323</v>
      </c>
      <c r="T221" s="514">
        <f t="shared" si="121"/>
        <v>0.14810692801973224</v>
      </c>
      <c r="U221" s="514">
        <f t="shared" si="121"/>
        <v>0.14810692801973233</v>
      </c>
      <c r="V221" s="514">
        <f t="shared" si="121"/>
        <v>0.1481069280197323</v>
      </c>
      <c r="W221" s="514">
        <f t="shared" si="121"/>
        <v>0.14810692801973227</v>
      </c>
      <c r="X221" s="514">
        <f t="shared" si="121"/>
        <v>0.14810692801973227</v>
      </c>
      <c r="Y221" s="514">
        <f t="shared" si="121"/>
        <v>0.14810692801973227</v>
      </c>
      <c r="Z221" s="514">
        <f t="shared" si="121"/>
        <v>0.1481069280197323</v>
      </c>
      <c r="AA221" s="514">
        <f t="shared" si="121"/>
        <v>0.14810692801973233</v>
      </c>
      <c r="AB221" s="514">
        <f t="shared" si="121"/>
        <v>0.14810692801973227</v>
      </c>
    </row>
    <row r="222" spans="1:30" s="5" customFormat="1">
      <c r="A222" s="164"/>
      <c r="B222" s="189" t="str">
        <f t="shared" si="101"/>
        <v>Modern Foreign Languages</v>
      </c>
      <c r="C222" s="380">
        <f>C197</f>
        <v>152496.1903884045</v>
      </c>
      <c r="D222" s="380">
        <f t="shared" ref="D222:N222" si="122">D197</f>
        <v>156815.70864720209</v>
      </c>
      <c r="E222" s="380">
        <f t="shared" si="122"/>
        <v>162306.87908881166</v>
      </c>
      <c r="F222" s="380">
        <f t="shared" si="122"/>
        <v>166223.3128655577</v>
      </c>
      <c r="G222" s="380">
        <f t="shared" si="122"/>
        <v>169331.61787791687</v>
      </c>
      <c r="H222" s="380">
        <f t="shared" si="122"/>
        <v>171313.96314188305</v>
      </c>
      <c r="I222" s="380">
        <f t="shared" si="122"/>
        <v>174680.13638530081</v>
      </c>
      <c r="J222" s="380">
        <f t="shared" si="122"/>
        <v>175006.25546543728</v>
      </c>
      <c r="K222" s="380">
        <f t="shared" si="122"/>
        <v>172819.17130457741</v>
      </c>
      <c r="L222" s="380">
        <f t="shared" si="122"/>
        <v>169467.43164859951</v>
      </c>
      <c r="M222" s="380">
        <f t="shared" si="122"/>
        <v>168682.45010856455</v>
      </c>
      <c r="N222" s="380">
        <f t="shared" si="122"/>
        <v>169818.18059690791</v>
      </c>
      <c r="Q222" s="515">
        <f t="shared" ref="Q222:AB222" si="123">C97/C$104</f>
        <v>0.14810692801973227</v>
      </c>
      <c r="R222" s="515">
        <f t="shared" si="123"/>
        <v>0.14810692801973227</v>
      </c>
      <c r="S222" s="515">
        <f t="shared" si="123"/>
        <v>0.1481069280197323</v>
      </c>
      <c r="T222" s="515">
        <f t="shared" si="123"/>
        <v>0.14810692801973227</v>
      </c>
      <c r="U222" s="515">
        <f t="shared" si="123"/>
        <v>0.1481069280197323</v>
      </c>
      <c r="V222" s="515">
        <f t="shared" si="123"/>
        <v>0.14810692801973227</v>
      </c>
      <c r="W222" s="515">
        <f t="shared" si="123"/>
        <v>0.14810692801973227</v>
      </c>
      <c r="X222" s="515">
        <f t="shared" si="123"/>
        <v>0.14810692801973227</v>
      </c>
      <c r="Y222" s="515">
        <f t="shared" si="123"/>
        <v>0.14810692801973227</v>
      </c>
      <c r="Z222" s="515">
        <f t="shared" si="123"/>
        <v>0.1481069280197323</v>
      </c>
      <c r="AA222" s="515">
        <f t="shared" si="123"/>
        <v>0.1481069280197323</v>
      </c>
      <c r="AB222" s="515">
        <f t="shared" si="123"/>
        <v>0.14810692801973227</v>
      </c>
    </row>
    <row r="223" spans="1:30" s="5" customFormat="1">
      <c r="A223" s="164"/>
      <c r="B223" s="189" t="str">
        <f t="shared" si="101"/>
        <v>Music</v>
      </c>
      <c r="C223" s="510">
        <f>(C198/((SUM(C$184:C$202))-C$185-C$187-C$192-C$194-C$195-C$196-C$197-C$201))*(C$104-C$210-C$212-C$217-C$219-C$220-C$221-C$222-C$226)</f>
        <v>56379.47383083601</v>
      </c>
      <c r="D223" s="510">
        <f t="shared" ref="D223:N223" si="124">(D198/((SUM(D$184:D$202))-D$185-D$187-D$192-D$194-D$195-D$196-D$197-D$201))*(D$104-D$210-D$212-D$217-D$219-D$220-D$221-D$222-D$226)</f>
        <v>57976.445965113155</v>
      </c>
      <c r="E223" s="510">
        <f t="shared" si="124"/>
        <v>60006.590452164688</v>
      </c>
      <c r="F223" s="510">
        <f t="shared" si="124"/>
        <v>61454.537939009271</v>
      </c>
      <c r="G223" s="510">
        <f t="shared" si="124"/>
        <v>62603.71157184695</v>
      </c>
      <c r="H223" s="510">
        <f t="shared" si="124"/>
        <v>63336.605833984249</v>
      </c>
      <c r="I223" s="510">
        <f t="shared" si="124"/>
        <v>64581.116111939155</v>
      </c>
      <c r="J223" s="510">
        <f t="shared" si="124"/>
        <v>64701.685826483932</v>
      </c>
      <c r="K223" s="510">
        <f t="shared" si="124"/>
        <v>63893.097402740474</v>
      </c>
      <c r="L223" s="510">
        <f t="shared" si="124"/>
        <v>62653.923376552171</v>
      </c>
      <c r="M223" s="510">
        <f t="shared" si="124"/>
        <v>62363.7072991448</v>
      </c>
      <c r="N223" s="510">
        <f t="shared" si="124"/>
        <v>62783.599016986067</v>
      </c>
    </row>
    <row r="224" spans="1:30" s="5" customFormat="1">
      <c r="A224" s="164"/>
      <c r="B224" s="189" t="str">
        <f t="shared" si="101"/>
        <v>Others</v>
      </c>
      <c r="C224" s="510">
        <f>(C199/((SUM(C$184:C$202))-C$185-C$187-C$192-C$194-C$195-C$196-C$197-C$201))*(C$104-C$210-C$212-C$217-C$219-C$220-C$221-C$222-C$226)</f>
        <v>60902.907482487732</v>
      </c>
      <c r="D224" s="510">
        <f t="shared" ref="D224:N224" si="125">(D199/((SUM(D$184:D$202))-D$185-D$187-D$192-D$194-D$195-D$196-D$197-D$201))*(D$104-D$210-D$212-D$217-D$219-D$220-D$221-D$222-D$226)</f>
        <v>62628.007763448426</v>
      </c>
      <c r="E224" s="510">
        <f t="shared" si="125"/>
        <v>64821.034648409499</v>
      </c>
      <c r="F224" s="510">
        <f t="shared" si="125"/>
        <v>66385.15374777159</v>
      </c>
      <c r="G224" s="510">
        <f t="shared" si="125"/>
        <v>67626.527792020803</v>
      </c>
      <c r="H224" s="510">
        <f t="shared" si="125"/>
        <v>68418.223570795206</v>
      </c>
      <c r="I224" s="510">
        <f t="shared" si="125"/>
        <v>69762.583302613712</v>
      </c>
      <c r="J224" s="510">
        <f t="shared" si="125"/>
        <v>69892.826557315653</v>
      </c>
      <c r="K224" s="510">
        <f t="shared" si="125"/>
        <v>69019.363528724498</v>
      </c>
      <c r="L224" s="510">
        <f t="shared" si="125"/>
        <v>67680.76818641799</v>
      </c>
      <c r="M224" s="510">
        <f t="shared" si="125"/>
        <v>67367.267514785184</v>
      </c>
      <c r="N224" s="510">
        <f t="shared" si="125"/>
        <v>67820.84795296166</v>
      </c>
    </row>
    <row r="225" spans="1:28" s="5" customFormat="1">
      <c r="A225" s="164"/>
      <c r="B225" s="189" t="str">
        <f t="shared" si="101"/>
        <v>Physical Education</v>
      </c>
      <c r="C225" s="510">
        <f>(C200/((SUM(C$184:C$202))-C$185-C$187-C$192-C$194-C$195-C$196-C$197-C$201))*(C$104-C$210-C$212-C$217-C$219-C$220-C$221-C$222-C$226)</f>
        <v>146735.77377716161</v>
      </c>
      <c r="D225" s="510">
        <f t="shared" ref="D225:N225" si="126">(D200/((SUM(D$184:D$202))-D$185-D$187-D$192-D$194-D$195-D$196-D$197-D$201))*(D$104-D$210-D$212-D$217-D$219-D$220-D$221-D$222-D$226)</f>
        <v>150892.12583051398</v>
      </c>
      <c r="E225" s="510">
        <f t="shared" si="126"/>
        <v>156175.87188108489</v>
      </c>
      <c r="F225" s="510">
        <f t="shared" si="126"/>
        <v>159944.36563305443</v>
      </c>
      <c r="G225" s="510">
        <f t="shared" si="126"/>
        <v>162935.25701179806</v>
      </c>
      <c r="H225" s="510">
        <f t="shared" si="126"/>
        <v>164842.72083407908</v>
      </c>
      <c r="I225" s="510">
        <f t="shared" si="126"/>
        <v>168081.73968617531</v>
      </c>
      <c r="J225" s="510">
        <f t="shared" si="126"/>
        <v>168395.53988961285</v>
      </c>
      <c r="K225" s="510">
        <f t="shared" si="126"/>
        <v>166291.07101178594</v>
      </c>
      <c r="L225" s="510">
        <f t="shared" si="126"/>
        <v>163065.94053038277</v>
      </c>
      <c r="M225" s="510">
        <f t="shared" si="126"/>
        <v>162310.61101438341</v>
      </c>
      <c r="N225" s="510">
        <f t="shared" si="126"/>
        <v>163403.44022923079</v>
      </c>
    </row>
    <row r="226" spans="1:28" s="5" customFormat="1">
      <c r="A226" s="164"/>
      <c r="B226" s="189" t="str">
        <f t="shared" si="101"/>
        <v>Physics</v>
      </c>
      <c r="C226" s="380">
        <f>C201</f>
        <v>70840.105996003389</v>
      </c>
      <c r="D226" s="380">
        <f t="shared" ref="D226:N226" si="127">D201</f>
        <v>72846.681573567199</v>
      </c>
      <c r="E226" s="380">
        <f t="shared" si="127"/>
        <v>75397.532812112768</v>
      </c>
      <c r="F226" s="380">
        <f t="shared" si="127"/>
        <v>77216.860778040194</v>
      </c>
      <c r="G226" s="380">
        <f t="shared" si="127"/>
        <v>78660.783121166314</v>
      </c>
      <c r="H226" s="380">
        <f t="shared" si="127"/>
        <v>79581.655624685038</v>
      </c>
      <c r="I226" s="380">
        <f t="shared" si="127"/>
        <v>81145.367273856551</v>
      </c>
      <c r="J226" s="380">
        <f t="shared" si="127"/>
        <v>81296.861617061761</v>
      </c>
      <c r="K226" s="380">
        <f t="shared" si="127"/>
        <v>80280.880343150056</v>
      </c>
      <c r="L226" s="380">
        <f t="shared" si="127"/>
        <v>78723.873627797133</v>
      </c>
      <c r="M226" s="380">
        <f t="shared" si="127"/>
        <v>78359.220744604769</v>
      </c>
      <c r="N226" s="380">
        <f t="shared" si="127"/>
        <v>78886.809453360183</v>
      </c>
      <c r="P226" s="5" t="s">
        <v>2</v>
      </c>
      <c r="Q226" s="511">
        <f t="shared" ref="Q226:AB226" si="128">C226/C$228</f>
        <v>4.0657189276874596E-2</v>
      </c>
      <c r="R226" s="511">
        <f t="shared" si="128"/>
        <v>4.0657189276874589E-2</v>
      </c>
      <c r="S226" s="511">
        <f t="shared" si="128"/>
        <v>4.0657189276874596E-2</v>
      </c>
      <c r="T226" s="511">
        <f t="shared" si="128"/>
        <v>4.0657189276874589E-2</v>
      </c>
      <c r="U226" s="511">
        <f t="shared" si="128"/>
        <v>4.065718927687461E-2</v>
      </c>
      <c r="V226" s="511">
        <f t="shared" si="128"/>
        <v>4.0657189276874603E-2</v>
      </c>
      <c r="W226" s="511">
        <f t="shared" si="128"/>
        <v>4.0657189276874596E-2</v>
      </c>
      <c r="X226" s="511">
        <f t="shared" si="128"/>
        <v>4.0657189276874596E-2</v>
      </c>
      <c r="Y226" s="511">
        <f t="shared" si="128"/>
        <v>4.0657189276874603E-2</v>
      </c>
      <c r="Z226" s="511">
        <f t="shared" si="128"/>
        <v>4.0657189276874596E-2</v>
      </c>
      <c r="AA226" s="511">
        <f t="shared" si="128"/>
        <v>4.0657189276874603E-2</v>
      </c>
      <c r="AB226" s="511">
        <f t="shared" si="128"/>
        <v>4.0657189276874603E-2</v>
      </c>
    </row>
    <row r="227" spans="1:28" s="5" customFormat="1">
      <c r="A227" s="164"/>
      <c r="B227" s="189" t="str">
        <f t="shared" si="101"/>
        <v>Religious Education</v>
      </c>
      <c r="C227" s="510">
        <f>(C202/((SUM(C$184:C$202))-C$185-C$187-C$192-C$194-C$195-C$196-C$197-C$201))*(C$104-C$210-C$212-C$217-C$219-C$220-C$221-C$222-C$226)</f>
        <v>64710.619906966444</v>
      </c>
      <c r="D227" s="510">
        <f t="shared" ref="D227:N227" si="129">(D202/((SUM(D$184:D$202))-D$185-D$187-D$192-D$194-D$195-D$196-D$197-D$201))*(D$104-D$210-D$212-D$217-D$219-D$220-D$221-D$222-D$226)</f>
        <v>66543.57523204264</v>
      </c>
      <c r="E227" s="510">
        <f t="shared" si="129"/>
        <v>68873.712413740912</v>
      </c>
      <c r="F227" s="510">
        <f t="shared" si="129"/>
        <v>70535.621848149283</v>
      </c>
      <c r="G227" s="510">
        <f t="shared" si="129"/>
        <v>71854.607874602676</v>
      </c>
      <c r="H227" s="510">
        <f t="shared" si="129"/>
        <v>72695.80128785556</v>
      </c>
      <c r="I227" s="510">
        <f t="shared" si="129"/>
        <v>74124.21177300284</v>
      </c>
      <c r="J227" s="510">
        <f t="shared" si="129"/>
        <v>74262.597969965384</v>
      </c>
      <c r="K227" s="510">
        <f t="shared" si="129"/>
        <v>73334.52513432609</v>
      </c>
      <c r="L227" s="510">
        <f t="shared" si="129"/>
        <v>71912.239434252755</v>
      </c>
      <c r="M227" s="510">
        <f t="shared" si="129"/>
        <v>71579.138378142365</v>
      </c>
      <c r="N227" s="510">
        <f t="shared" si="129"/>
        <v>72061.077131895843</v>
      </c>
      <c r="Q227" s="513">
        <f t="shared" ref="Q227:AB227" si="130">C102/C$104</f>
        <v>4.0657189276874596E-2</v>
      </c>
      <c r="R227" s="513">
        <f t="shared" si="130"/>
        <v>4.0657189276874596E-2</v>
      </c>
      <c r="S227" s="513">
        <f t="shared" si="130"/>
        <v>4.0657189276874596E-2</v>
      </c>
      <c r="T227" s="513">
        <f t="shared" si="130"/>
        <v>4.0657189276874596E-2</v>
      </c>
      <c r="U227" s="513">
        <f t="shared" si="130"/>
        <v>4.0657189276874596E-2</v>
      </c>
      <c r="V227" s="513">
        <f t="shared" si="130"/>
        <v>4.0657189276874596E-2</v>
      </c>
      <c r="W227" s="513">
        <f t="shared" si="130"/>
        <v>4.0657189276874596E-2</v>
      </c>
      <c r="X227" s="513">
        <f t="shared" si="130"/>
        <v>4.0657189276874603E-2</v>
      </c>
      <c r="Y227" s="513">
        <f t="shared" si="130"/>
        <v>4.0657189276874603E-2</v>
      </c>
      <c r="Z227" s="513">
        <f t="shared" si="130"/>
        <v>4.0657189276874603E-2</v>
      </c>
      <c r="AA227" s="513">
        <f t="shared" si="130"/>
        <v>4.0657189276874596E-2</v>
      </c>
      <c r="AB227" s="513">
        <f t="shared" si="130"/>
        <v>4.0657189276874603E-2</v>
      </c>
    </row>
    <row r="228" spans="1:28" s="5" customFormat="1">
      <c r="A228" s="164"/>
      <c r="B228" s="189" t="str">
        <f t="shared" si="101"/>
        <v>Total</v>
      </c>
      <c r="C228" s="517">
        <f>SUM(C209:C227)</f>
        <v>1742375.8812637974</v>
      </c>
      <c r="D228" s="517">
        <f t="shared" ref="D228:N228" si="131">SUM(D209:D227)</f>
        <v>1791729.4055298031</v>
      </c>
      <c r="E228" s="517">
        <f t="shared" si="131"/>
        <v>1854469.8773606105</v>
      </c>
      <c r="F228" s="517">
        <f t="shared" si="131"/>
        <v>1899217.8788404437</v>
      </c>
      <c r="G228" s="517">
        <f t="shared" si="131"/>
        <v>1934732.4426557878</v>
      </c>
      <c r="H228" s="517">
        <f t="shared" si="131"/>
        <v>1957382.1270018357</v>
      </c>
      <c r="I228" s="517">
        <f t="shared" si="131"/>
        <v>1995843.0161332188</v>
      </c>
      <c r="J228" s="517">
        <f t="shared" si="131"/>
        <v>1999569.1552466122</v>
      </c>
      <c r="K228" s="517">
        <f t="shared" si="131"/>
        <v>1974580.1854732002</v>
      </c>
      <c r="L228" s="517">
        <f t="shared" si="131"/>
        <v>1936284.2101968541</v>
      </c>
      <c r="M228" s="517">
        <f t="shared" si="131"/>
        <v>1927315.2457977389</v>
      </c>
      <c r="N228" s="517">
        <f t="shared" si="131"/>
        <v>1940291.7628206583</v>
      </c>
    </row>
    <row r="229" spans="1:28">
      <c r="A229" s="10">
        <f>O229</f>
        <v>0</v>
      </c>
      <c r="B229" s="12"/>
      <c r="C229" s="10">
        <f t="shared" ref="C229:N229" si="132">SUM(C209:C227)-C228</f>
        <v>0</v>
      </c>
      <c r="D229" s="10">
        <f t="shared" si="132"/>
        <v>0</v>
      </c>
      <c r="E229" s="10">
        <f t="shared" si="132"/>
        <v>0</v>
      </c>
      <c r="F229" s="10">
        <f t="shared" si="132"/>
        <v>0</v>
      </c>
      <c r="G229" s="10">
        <f t="shared" si="132"/>
        <v>0</v>
      </c>
      <c r="H229" s="10">
        <f t="shared" si="132"/>
        <v>0</v>
      </c>
      <c r="I229" s="10">
        <f t="shared" si="132"/>
        <v>0</v>
      </c>
      <c r="J229" s="10">
        <f t="shared" si="132"/>
        <v>0</v>
      </c>
      <c r="K229" s="10">
        <f t="shared" si="132"/>
        <v>0</v>
      </c>
      <c r="L229" s="10">
        <f t="shared" si="132"/>
        <v>0</v>
      </c>
      <c r="M229" s="10">
        <f t="shared" si="132"/>
        <v>0</v>
      </c>
      <c r="N229" s="10">
        <f t="shared" si="132"/>
        <v>0</v>
      </c>
      <c r="O229" s="10">
        <f>SUM(C229:N229)</f>
        <v>0</v>
      </c>
    </row>
    <row r="230" spans="1:28">
      <c r="A230" s="10">
        <f>SUM(B230:N230)</f>
        <v>0</v>
      </c>
      <c r="B230" s="12"/>
      <c r="C230" s="10">
        <f t="shared" ref="C230:N230" si="133">C228-C104</f>
        <v>0</v>
      </c>
      <c r="D230" s="10">
        <f t="shared" si="133"/>
        <v>0</v>
      </c>
      <c r="E230" s="10">
        <f t="shared" si="133"/>
        <v>0</v>
      </c>
      <c r="F230" s="10">
        <f t="shared" si="133"/>
        <v>0</v>
      </c>
      <c r="G230" s="10">
        <f t="shared" si="133"/>
        <v>0</v>
      </c>
      <c r="H230" s="10">
        <f t="shared" si="133"/>
        <v>0</v>
      </c>
      <c r="I230" s="10">
        <f t="shared" si="133"/>
        <v>0</v>
      </c>
      <c r="J230" s="10">
        <f t="shared" si="133"/>
        <v>0</v>
      </c>
      <c r="K230" s="10">
        <f t="shared" si="133"/>
        <v>0</v>
      </c>
      <c r="L230" s="10">
        <f t="shared" si="133"/>
        <v>0</v>
      </c>
      <c r="M230" s="10">
        <f t="shared" si="133"/>
        <v>0</v>
      </c>
      <c r="N230" s="10">
        <f t="shared" si="133"/>
        <v>0</v>
      </c>
      <c r="O230" s="10"/>
    </row>
    <row r="231" spans="1:28">
      <c r="B231" s="12"/>
      <c r="C231" s="10"/>
      <c r="D231" s="10"/>
      <c r="E231" s="10"/>
      <c r="F231" s="10"/>
      <c r="G231" s="10"/>
      <c r="H231" s="10"/>
      <c r="I231" s="10"/>
      <c r="J231" s="10"/>
      <c r="K231" s="10"/>
      <c r="L231" s="10"/>
      <c r="M231" s="10"/>
      <c r="N231" s="10"/>
      <c r="O231" s="10"/>
    </row>
    <row r="232" spans="1:28">
      <c r="B232" s="75" t="s">
        <v>1559</v>
      </c>
      <c r="C232" s="302"/>
      <c r="D232" s="318"/>
      <c r="E232" s="12"/>
      <c r="F232" s="12"/>
    </row>
    <row r="233" spans="1:28">
      <c r="B233" s="12"/>
      <c r="D233" s="257"/>
      <c r="E233" s="12"/>
      <c r="F233" s="12"/>
      <c r="G233" s="396"/>
    </row>
    <row r="234" spans="1:28">
      <c r="B234" s="256" t="s">
        <v>369</v>
      </c>
      <c r="C234" s="451"/>
      <c r="D234" s="392"/>
      <c r="E234" s="392"/>
      <c r="F234" s="318"/>
    </row>
    <row r="235" spans="1:28">
      <c r="B235" s="12"/>
      <c r="D235" s="12"/>
      <c r="E235" s="12"/>
      <c r="F235" s="12"/>
    </row>
    <row r="236" spans="1:28">
      <c r="B236" s="139" t="s">
        <v>59</v>
      </c>
      <c r="C236" s="8" t="str">
        <f t="shared" ref="C236:N236" si="134">C183</f>
        <v>2017/18</v>
      </c>
      <c r="D236" s="8" t="str">
        <f t="shared" si="134"/>
        <v>2018/19</v>
      </c>
      <c r="E236" s="8" t="str">
        <f t="shared" si="134"/>
        <v>2019/20</v>
      </c>
      <c r="F236" s="8" t="str">
        <f t="shared" si="134"/>
        <v>2020/21</v>
      </c>
      <c r="G236" s="8" t="str">
        <f t="shared" si="134"/>
        <v>2021/22</v>
      </c>
      <c r="H236" s="8" t="str">
        <f t="shared" si="134"/>
        <v>2022/23</v>
      </c>
      <c r="I236" s="8" t="str">
        <f t="shared" si="134"/>
        <v>2023/24</v>
      </c>
      <c r="J236" s="8" t="str">
        <f t="shared" si="134"/>
        <v>2024/25</v>
      </c>
      <c r="K236" s="8" t="str">
        <f t="shared" si="134"/>
        <v>2025/26</v>
      </c>
      <c r="L236" s="8" t="str">
        <f t="shared" si="134"/>
        <v>2026/27</v>
      </c>
      <c r="M236" s="8" t="str">
        <f t="shared" si="134"/>
        <v>2027/28</v>
      </c>
      <c r="N236" s="8" t="str">
        <f t="shared" si="134"/>
        <v>2028/29</v>
      </c>
    </row>
    <row r="237" spans="1:28" s="5" customFormat="1">
      <c r="A237" s="164"/>
      <c r="B237" s="189" t="str">
        <f t="shared" ref="B237:B255" si="135">B184</f>
        <v>Art &amp; Design</v>
      </c>
      <c r="C237" s="447">
        <f t="shared" ref="C237:N237" si="136">C111</f>
        <v>40469.585275080848</v>
      </c>
      <c r="D237" s="447">
        <f t="shared" si="136"/>
        <v>41969.202968334313</v>
      </c>
      <c r="E237" s="447">
        <f t="shared" si="136"/>
        <v>43116.503174923222</v>
      </c>
      <c r="F237" s="447">
        <f t="shared" si="136"/>
        <v>44109.202106942117</v>
      </c>
      <c r="G237" s="447">
        <f t="shared" si="136"/>
        <v>45456.230223035484</v>
      </c>
      <c r="H237" s="447">
        <f t="shared" si="136"/>
        <v>47248.787475004479</v>
      </c>
      <c r="I237" s="447">
        <f t="shared" si="136"/>
        <v>48100.41361206711</v>
      </c>
      <c r="J237" s="447">
        <f t="shared" si="136"/>
        <v>48460.673782667298</v>
      </c>
      <c r="K237" s="447">
        <f t="shared" si="136"/>
        <v>49423.98153879874</v>
      </c>
      <c r="L237" s="447">
        <f t="shared" si="136"/>
        <v>50388.142397156793</v>
      </c>
      <c r="M237" s="447">
        <f t="shared" si="136"/>
        <v>50029.41826375862</v>
      </c>
      <c r="N237" s="447">
        <f t="shared" si="136"/>
        <v>48621.898185886894</v>
      </c>
    </row>
    <row r="238" spans="1:28" s="5" customFormat="1">
      <c r="A238" s="164"/>
      <c r="B238" s="189" t="str">
        <f t="shared" si="135"/>
        <v>Biology</v>
      </c>
      <c r="C238" s="509">
        <f t="shared" ref="C238:N238" si="137">C112+((C112*0.05))</f>
        <v>86073.739170288056</v>
      </c>
      <c r="D238" s="509">
        <f t="shared" si="137"/>
        <v>89263.23818064059</v>
      </c>
      <c r="E238" s="509">
        <f t="shared" si="137"/>
        <v>91703.40202370222</v>
      </c>
      <c r="F238" s="509">
        <f t="shared" si="137"/>
        <v>93814.748319159087</v>
      </c>
      <c r="G238" s="509">
        <f t="shared" si="137"/>
        <v>96679.708410337902</v>
      </c>
      <c r="H238" s="509">
        <f t="shared" si="137"/>
        <v>100492.25317216408</v>
      </c>
      <c r="I238" s="509">
        <f t="shared" si="137"/>
        <v>102303.55530174795</v>
      </c>
      <c r="J238" s="509">
        <f t="shared" si="137"/>
        <v>103069.78356296952</v>
      </c>
      <c r="K238" s="509">
        <f t="shared" si="137"/>
        <v>105118.61850848177</v>
      </c>
      <c r="L238" s="509">
        <f t="shared" si="137"/>
        <v>107169.26789558117</v>
      </c>
      <c r="M238" s="509">
        <f t="shared" si="137"/>
        <v>106406.30659310364</v>
      </c>
      <c r="N238" s="509">
        <f t="shared" si="137"/>
        <v>103412.68767568239</v>
      </c>
    </row>
    <row r="239" spans="1:28" s="5" customFormat="1">
      <c r="A239" s="164"/>
      <c r="B239" s="189" t="str">
        <f t="shared" si="135"/>
        <v>Business Studies</v>
      </c>
      <c r="C239" s="447">
        <f t="shared" ref="C239:N239" si="138">C113</f>
        <v>29693.007109209964</v>
      </c>
      <c r="D239" s="447">
        <f t="shared" si="138"/>
        <v>30793.294115469216</v>
      </c>
      <c r="E239" s="447">
        <f t="shared" si="138"/>
        <v>31635.081669235406</v>
      </c>
      <c r="F239" s="447">
        <f t="shared" si="138"/>
        <v>32363.436463221697</v>
      </c>
      <c r="G239" s="447">
        <f t="shared" si="138"/>
        <v>33351.76671557282</v>
      </c>
      <c r="H239" s="447">
        <f t="shared" si="138"/>
        <v>34666.986895482973</v>
      </c>
      <c r="I239" s="447">
        <f t="shared" si="138"/>
        <v>35291.834933097052</v>
      </c>
      <c r="J239" s="447">
        <f t="shared" si="138"/>
        <v>35556.16202550695</v>
      </c>
      <c r="K239" s="447">
        <f t="shared" si="138"/>
        <v>36262.952170667661</v>
      </c>
      <c r="L239" s="447">
        <f t="shared" si="138"/>
        <v>36970.36824689011</v>
      </c>
      <c r="M239" s="447">
        <f t="shared" si="138"/>
        <v>36707.168162905167</v>
      </c>
      <c r="N239" s="447">
        <f t="shared" si="138"/>
        <v>35674.454252087424</v>
      </c>
    </row>
    <row r="240" spans="1:28" s="5" customFormat="1">
      <c r="A240" s="164"/>
      <c r="B240" s="189" t="str">
        <f t="shared" si="135"/>
        <v>Chemistry</v>
      </c>
      <c r="C240" s="509">
        <f t="shared" ref="C240:N240" si="139">C114+((C114*0.05))</f>
        <v>81885.667014814506</v>
      </c>
      <c r="D240" s="509">
        <f t="shared" si="139"/>
        <v>84919.975230344717</v>
      </c>
      <c r="E240" s="509">
        <f t="shared" si="139"/>
        <v>87241.408525106322</v>
      </c>
      <c r="F240" s="509">
        <f t="shared" si="139"/>
        <v>89250.023479787211</v>
      </c>
      <c r="G240" s="509">
        <f t="shared" si="139"/>
        <v>91975.583799327564</v>
      </c>
      <c r="H240" s="509">
        <f t="shared" si="139"/>
        <v>95602.622357839951</v>
      </c>
      <c r="I240" s="509">
        <f t="shared" si="139"/>
        <v>97325.792333677673</v>
      </c>
      <c r="J240" s="509">
        <f t="shared" si="139"/>
        <v>98054.738384593395</v>
      </c>
      <c r="K240" s="509">
        <f t="shared" si="139"/>
        <v>100003.88359117742</v>
      </c>
      <c r="L240" s="509">
        <f t="shared" si="139"/>
        <v>101954.75495443893</v>
      </c>
      <c r="M240" s="509">
        <f t="shared" si="139"/>
        <v>101228.91690253018</v>
      </c>
      <c r="N240" s="509">
        <f t="shared" si="139"/>
        <v>98380.957882692164</v>
      </c>
    </row>
    <row r="241" spans="1:14" s="5" customFormat="1">
      <c r="A241" s="164"/>
      <c r="B241" s="189" t="str">
        <f t="shared" si="135"/>
        <v>Classics</v>
      </c>
      <c r="C241" s="447">
        <f t="shared" ref="C241:N241" si="140">C115</f>
        <v>1503.2592135175285</v>
      </c>
      <c r="D241" s="447">
        <f t="shared" si="140"/>
        <v>1558.9631229797603</v>
      </c>
      <c r="E241" s="447">
        <f t="shared" si="140"/>
        <v>1601.5800560296602</v>
      </c>
      <c r="F241" s="447">
        <f t="shared" si="140"/>
        <v>1638.4542618230487</v>
      </c>
      <c r="G241" s="447">
        <f t="shared" si="140"/>
        <v>1688.4901693476895</v>
      </c>
      <c r="H241" s="447">
        <f t="shared" si="140"/>
        <v>1755.075437925653</v>
      </c>
      <c r="I241" s="447">
        <f t="shared" si="140"/>
        <v>1786.7094373429893</v>
      </c>
      <c r="J241" s="447">
        <f t="shared" si="140"/>
        <v>1800.0914479822629</v>
      </c>
      <c r="K241" s="447">
        <f t="shared" si="140"/>
        <v>1835.8739065870254</v>
      </c>
      <c r="L241" s="447">
        <f t="shared" si="140"/>
        <v>1871.6880540211521</v>
      </c>
      <c r="M241" s="447">
        <f t="shared" si="140"/>
        <v>1858.363100108814</v>
      </c>
      <c r="N241" s="447">
        <f t="shared" si="140"/>
        <v>1806.0801940476435</v>
      </c>
    </row>
    <row r="242" spans="1:14" s="5" customFormat="1">
      <c r="A242" s="164"/>
      <c r="B242" s="189" t="str">
        <f t="shared" si="135"/>
        <v>Computing</v>
      </c>
      <c r="C242" s="447">
        <f t="shared" ref="C242:N242" si="141">C116</f>
        <v>41093.67881961388</v>
      </c>
      <c r="D242" s="447">
        <f t="shared" si="141"/>
        <v>42616.422564574219</v>
      </c>
      <c r="E242" s="447">
        <f t="shared" si="141"/>
        <v>43781.415629829862</v>
      </c>
      <c r="F242" s="447">
        <f t="shared" si="141"/>
        <v>44789.423268150706</v>
      </c>
      <c r="G242" s="447">
        <f t="shared" si="141"/>
        <v>46157.224306571887</v>
      </c>
      <c r="H242" s="447">
        <f t="shared" si="141"/>
        <v>47977.425118551582</v>
      </c>
      <c r="I242" s="447">
        <f t="shared" si="141"/>
        <v>48842.184436270349</v>
      </c>
      <c r="J242" s="447">
        <f t="shared" si="141"/>
        <v>49208.000286408525</v>
      </c>
      <c r="K242" s="447">
        <f t="shared" si="141"/>
        <v>50186.16349875267</v>
      </c>
      <c r="L242" s="447">
        <f t="shared" si="141"/>
        <v>51165.1929692673</v>
      </c>
      <c r="M242" s="447">
        <f t="shared" si="141"/>
        <v>50800.936844018957</v>
      </c>
      <c r="N242" s="447">
        <f t="shared" si="141"/>
        <v>49371.710979235162</v>
      </c>
    </row>
    <row r="243" spans="1:14" s="5" customFormat="1">
      <c r="A243" s="164"/>
      <c r="B243" s="189" t="str">
        <f t="shared" si="135"/>
        <v>Design &amp; Technology</v>
      </c>
      <c r="C243" s="447">
        <f t="shared" ref="C243:N243" si="142">C117</f>
        <v>46060.086294725435</v>
      </c>
      <c r="D243" s="447">
        <f t="shared" si="142"/>
        <v>47766.862380787359</v>
      </c>
      <c r="E243" s="447">
        <f t="shared" si="142"/>
        <v>49072.651559555656</v>
      </c>
      <c r="F243" s="447">
        <f t="shared" si="142"/>
        <v>50202.482719491622</v>
      </c>
      <c r="G243" s="447">
        <f t="shared" si="142"/>
        <v>51735.590381627349</v>
      </c>
      <c r="H243" s="447">
        <f t="shared" si="142"/>
        <v>53775.77293236793</v>
      </c>
      <c r="I243" s="447">
        <f t="shared" si="142"/>
        <v>54745.043388126767</v>
      </c>
      <c r="J243" s="447">
        <f t="shared" si="142"/>
        <v>55155.070188095342</v>
      </c>
      <c r="K243" s="447">
        <f t="shared" si="142"/>
        <v>56251.450051496453</v>
      </c>
      <c r="L243" s="447">
        <f t="shared" si="142"/>
        <v>57348.800865351055</v>
      </c>
      <c r="M243" s="447">
        <f t="shared" si="142"/>
        <v>56940.522291997499</v>
      </c>
      <c r="N243" s="447">
        <f t="shared" si="142"/>
        <v>55338.566259889361</v>
      </c>
    </row>
    <row r="244" spans="1:14" s="5" customFormat="1">
      <c r="A244" s="164"/>
      <c r="B244" s="189" t="str">
        <f t="shared" si="135"/>
        <v>Drama</v>
      </c>
      <c r="C244" s="447">
        <f t="shared" ref="C244:N244" si="143">C118</f>
        <v>22422.067875622746</v>
      </c>
      <c r="D244" s="447">
        <f t="shared" si="143"/>
        <v>23252.927136399961</v>
      </c>
      <c r="E244" s="447">
        <f t="shared" si="143"/>
        <v>23888.585815158218</v>
      </c>
      <c r="F244" s="447">
        <f t="shared" si="143"/>
        <v>24438.58806209232</v>
      </c>
      <c r="G244" s="447">
        <f t="shared" si="143"/>
        <v>25184.905466733857</v>
      </c>
      <c r="H244" s="447">
        <f t="shared" si="143"/>
        <v>26178.067123849662</v>
      </c>
      <c r="I244" s="447">
        <f t="shared" si="143"/>
        <v>26649.908357706601</v>
      </c>
      <c r="J244" s="447">
        <f t="shared" si="143"/>
        <v>26849.509562986423</v>
      </c>
      <c r="K244" s="447">
        <f t="shared" si="143"/>
        <v>27383.227705791134</v>
      </c>
      <c r="L244" s="447">
        <f t="shared" si="143"/>
        <v>27917.418507653256</v>
      </c>
      <c r="M244" s="447">
        <f t="shared" si="143"/>
        <v>27718.668339767788</v>
      </c>
      <c r="N244" s="447">
        <f t="shared" si="143"/>
        <v>26938.83552191644</v>
      </c>
    </row>
    <row r="245" spans="1:14" s="5" customFormat="1">
      <c r="A245" s="164"/>
      <c r="B245" s="189" t="str">
        <f t="shared" si="135"/>
        <v>English</v>
      </c>
      <c r="C245" s="509">
        <f>C119+(C130*0.0051)</f>
        <v>217024.16649130103</v>
      </c>
      <c r="D245" s="509">
        <f>D119+(D130*0.0102)</f>
        <v>231833.43746977163</v>
      </c>
      <c r="E245" s="509">
        <f t="shared" ref="E245:N245" si="144">E119+(E130*0.0102)</f>
        <v>238171.00244340167</v>
      </c>
      <c r="F245" s="509">
        <f t="shared" si="144"/>
        <v>243654.56633085865</v>
      </c>
      <c r="G245" s="509">
        <f t="shared" si="144"/>
        <v>251095.40714830221</v>
      </c>
      <c r="H245" s="509">
        <f t="shared" si="144"/>
        <v>260997.30378186205</v>
      </c>
      <c r="I245" s="509">
        <f t="shared" si="144"/>
        <v>265701.5964734173</v>
      </c>
      <c r="J245" s="509">
        <f t="shared" si="144"/>
        <v>267691.63554556033</v>
      </c>
      <c r="K245" s="509">
        <f t="shared" si="144"/>
        <v>273012.84568657121</v>
      </c>
      <c r="L245" s="509">
        <f t="shared" si="144"/>
        <v>278338.76827403618</v>
      </c>
      <c r="M245" s="509">
        <f t="shared" si="144"/>
        <v>276357.21410890686</v>
      </c>
      <c r="N245" s="509">
        <f t="shared" si="144"/>
        <v>268582.22209376364</v>
      </c>
    </row>
    <row r="246" spans="1:14" s="5" customFormat="1">
      <c r="A246" s="164"/>
      <c r="B246" s="189" t="str">
        <f t="shared" si="135"/>
        <v>Food</v>
      </c>
      <c r="C246" s="447">
        <f t="shared" ref="C246:N246" si="145">C120</f>
        <v>18195.652195445673</v>
      </c>
      <c r="D246" s="447">
        <f t="shared" si="145"/>
        <v>18869.899825785938</v>
      </c>
      <c r="E246" s="447">
        <f t="shared" si="145"/>
        <v>19385.740929196236</v>
      </c>
      <c r="F246" s="447">
        <f t="shared" si="145"/>
        <v>19832.071287637747</v>
      </c>
      <c r="G246" s="447">
        <f t="shared" si="145"/>
        <v>20437.71265834419</v>
      </c>
      <c r="H246" s="447">
        <f t="shared" si="145"/>
        <v>21243.669726486805</v>
      </c>
      <c r="I246" s="447">
        <f t="shared" si="145"/>
        <v>21626.571920448358</v>
      </c>
      <c r="J246" s="447">
        <f t="shared" si="145"/>
        <v>21788.549581438852</v>
      </c>
      <c r="K246" s="447">
        <f t="shared" si="145"/>
        <v>22221.665284715797</v>
      </c>
      <c r="L246" s="447">
        <f t="shared" si="145"/>
        <v>22655.164553855771</v>
      </c>
      <c r="M246" s="447">
        <f t="shared" si="145"/>
        <v>22493.877515180709</v>
      </c>
      <c r="N246" s="447">
        <f t="shared" si="145"/>
        <v>21861.038171239361</v>
      </c>
    </row>
    <row r="247" spans="1:14" s="5" customFormat="1">
      <c r="A247" s="164"/>
      <c r="B247" s="189" t="str">
        <f t="shared" si="135"/>
        <v>Geography</v>
      </c>
      <c r="C247" s="447">
        <f t="shared" ref="C247:N247" si="146">C121</f>
        <v>57064.958536158105</v>
      </c>
      <c r="D247" s="447">
        <f t="shared" si="146"/>
        <v>59179.524843272979</v>
      </c>
      <c r="E247" s="447">
        <f t="shared" si="146"/>
        <v>60797.298741189232</v>
      </c>
      <c r="F247" s="447">
        <f t="shared" si="146"/>
        <v>62197.073980038236</v>
      </c>
      <c r="G247" s="447">
        <f t="shared" si="146"/>
        <v>64096.478262770994</v>
      </c>
      <c r="H247" s="447">
        <f t="shared" si="146"/>
        <v>66624.109928922175</v>
      </c>
      <c r="I247" s="447">
        <f t="shared" si="146"/>
        <v>67824.962615438635</v>
      </c>
      <c r="J247" s="447">
        <f t="shared" si="146"/>
        <v>68332.95476702087</v>
      </c>
      <c r="K247" s="447">
        <f t="shared" si="146"/>
        <v>69691.286382913371</v>
      </c>
      <c r="L247" s="447">
        <f t="shared" si="146"/>
        <v>71050.820932882372</v>
      </c>
      <c r="M247" s="447">
        <f t="shared" si="146"/>
        <v>70544.994701673364</v>
      </c>
      <c r="N247" s="447">
        <f t="shared" si="146"/>
        <v>68560.292502809534</v>
      </c>
    </row>
    <row r="248" spans="1:14" s="5" customFormat="1">
      <c r="A248" s="164"/>
      <c r="B248" s="189" t="str">
        <f t="shared" si="135"/>
        <v>History</v>
      </c>
      <c r="C248" s="447">
        <f t="shared" ref="C248:N248" si="147">C122</f>
        <v>60799.169094683042</v>
      </c>
      <c r="D248" s="447">
        <f t="shared" si="147"/>
        <v>63052.108162127297</v>
      </c>
      <c r="E248" s="447">
        <f t="shared" si="147"/>
        <v>64775.745772659349</v>
      </c>
      <c r="F248" s="447">
        <f t="shared" si="147"/>
        <v>66267.119351550253</v>
      </c>
      <c r="G248" s="447">
        <f t="shared" si="147"/>
        <v>68290.816645430896</v>
      </c>
      <c r="H248" s="447">
        <f t="shared" si="147"/>
        <v>70983.851198010598</v>
      </c>
      <c r="I248" s="447">
        <f t="shared" si="147"/>
        <v>72263.285152195574</v>
      </c>
      <c r="J248" s="447">
        <f t="shared" si="147"/>
        <v>72804.519239016998</v>
      </c>
      <c r="K248" s="447">
        <f t="shared" si="147"/>
        <v>74251.737211653803</v>
      </c>
      <c r="L248" s="447">
        <f t="shared" si="147"/>
        <v>75700.236835836549</v>
      </c>
      <c r="M248" s="447">
        <f t="shared" si="147"/>
        <v>75161.310402650473</v>
      </c>
      <c r="N248" s="447">
        <f t="shared" si="147"/>
        <v>73046.733476867696</v>
      </c>
    </row>
    <row r="249" spans="1:14" s="5" customFormat="1">
      <c r="A249" s="164"/>
      <c r="B249" s="189" t="str">
        <f t="shared" si="135"/>
        <v>Mathematics</v>
      </c>
      <c r="C249" s="509">
        <f>C123+(C130*0.0057)</f>
        <v>210420.10782304866</v>
      </c>
      <c r="D249" s="509">
        <f t="shared" ref="D249:N249" si="148">D123+(D130*0.0057)</f>
        <v>218217.31440579184</v>
      </c>
      <c r="E249" s="509">
        <f t="shared" si="148"/>
        <v>224182.65928231803</v>
      </c>
      <c r="F249" s="509">
        <f t="shared" si="148"/>
        <v>229344.16056510634</v>
      </c>
      <c r="G249" s="509">
        <f t="shared" si="148"/>
        <v>236347.98330019065</v>
      </c>
      <c r="H249" s="509">
        <f t="shared" si="148"/>
        <v>245668.31825481047</v>
      </c>
      <c r="I249" s="509">
        <f t="shared" si="148"/>
        <v>250096.3167719089</v>
      </c>
      <c r="J249" s="509">
        <f t="shared" si="148"/>
        <v>251969.47616869464</v>
      </c>
      <c r="K249" s="509">
        <f t="shared" si="148"/>
        <v>256978.15912242804</v>
      </c>
      <c r="L249" s="509">
        <f t="shared" si="148"/>
        <v>261991.2777495514</v>
      </c>
      <c r="M249" s="509">
        <f t="shared" si="148"/>
        <v>260126.10492123355</v>
      </c>
      <c r="N249" s="509">
        <f t="shared" si="148"/>
        <v>252807.7564742273</v>
      </c>
    </row>
    <row r="250" spans="1:14" s="5" customFormat="1">
      <c r="A250" s="164"/>
      <c r="B250" s="189" t="str">
        <f t="shared" si="135"/>
        <v>Modern Foreign Languages</v>
      </c>
      <c r="C250" s="447">
        <f t="shared" ref="C250:N250" si="149">C124</f>
        <v>72905.532216049396</v>
      </c>
      <c r="D250" s="447">
        <f t="shared" si="149"/>
        <v>75607.077717544031</v>
      </c>
      <c r="E250" s="447">
        <f t="shared" si="149"/>
        <v>77673.926972469606</v>
      </c>
      <c r="F250" s="447">
        <f t="shared" si="149"/>
        <v>79462.263657345524</v>
      </c>
      <c r="G250" s="447">
        <f t="shared" si="149"/>
        <v>81888.920640515527</v>
      </c>
      <c r="H250" s="447">
        <f t="shared" si="149"/>
        <v>85118.193675913033</v>
      </c>
      <c r="I250" s="447">
        <f t="shared" si="149"/>
        <v>86652.389204471619</v>
      </c>
      <c r="J250" s="447">
        <f t="shared" si="149"/>
        <v>87301.394112609982</v>
      </c>
      <c r="K250" s="447">
        <f t="shared" si="149"/>
        <v>89036.782903259518</v>
      </c>
      <c r="L250" s="447">
        <f t="shared" si="149"/>
        <v>90773.708548597424</v>
      </c>
      <c r="M250" s="447">
        <f t="shared" si="149"/>
        <v>90127.47079532253</v>
      </c>
      <c r="N250" s="447">
        <f t="shared" si="149"/>
        <v>87591.838179260129</v>
      </c>
    </row>
    <row r="251" spans="1:14" s="5" customFormat="1">
      <c r="A251" s="164"/>
      <c r="B251" s="189" t="str">
        <f t="shared" si="135"/>
        <v>Music</v>
      </c>
      <c r="C251" s="447">
        <f t="shared" ref="C251:N251" si="150">C125</f>
        <v>18155.105396181563</v>
      </c>
      <c r="D251" s="447">
        <f t="shared" si="150"/>
        <v>18827.850547631377</v>
      </c>
      <c r="E251" s="447">
        <f t="shared" si="150"/>
        <v>19342.542161842412</v>
      </c>
      <c r="F251" s="447">
        <f t="shared" si="150"/>
        <v>19787.877927330901</v>
      </c>
      <c r="G251" s="447">
        <f t="shared" si="150"/>
        <v>20392.169699857499</v>
      </c>
      <c r="H251" s="447">
        <f t="shared" si="150"/>
        <v>21196.330790636595</v>
      </c>
      <c r="I251" s="447">
        <f t="shared" si="150"/>
        <v>21578.379733600079</v>
      </c>
      <c r="J251" s="447">
        <f t="shared" si="150"/>
        <v>21739.996447061189</v>
      </c>
      <c r="K251" s="447">
        <f t="shared" si="150"/>
        <v>22172.147004637925</v>
      </c>
      <c r="L251" s="447">
        <f t="shared" si="150"/>
        <v>22604.680273347789</v>
      </c>
      <c r="M251" s="447">
        <f t="shared" si="150"/>
        <v>22443.752643234224</v>
      </c>
      <c r="N251" s="447">
        <f t="shared" si="150"/>
        <v>21812.323504850203</v>
      </c>
    </row>
    <row r="252" spans="1:14" s="5" customFormat="1">
      <c r="A252" s="164"/>
      <c r="B252" s="189" t="str">
        <f t="shared" si="135"/>
        <v>Others</v>
      </c>
      <c r="C252" s="447">
        <f t="shared" ref="C252:N252" si="151">C126</f>
        <v>68515.469401908427</v>
      </c>
      <c r="D252" s="447">
        <f t="shared" si="151"/>
        <v>71054.339258821317</v>
      </c>
      <c r="E252" s="447">
        <f t="shared" si="151"/>
        <v>72996.731592842785</v>
      </c>
      <c r="F252" s="447">
        <f t="shared" si="151"/>
        <v>74677.382205882997</v>
      </c>
      <c r="G252" s="447">
        <f t="shared" si="151"/>
        <v>76957.916168471798</v>
      </c>
      <c r="H252" s="447">
        <f t="shared" si="151"/>
        <v>79992.736039088952</v>
      </c>
      <c r="I252" s="447">
        <f t="shared" si="151"/>
        <v>81434.548801418132</v>
      </c>
      <c r="J252" s="447">
        <f t="shared" si="151"/>
        <v>82044.473378794064</v>
      </c>
      <c r="K252" s="447">
        <f t="shared" si="151"/>
        <v>83675.364395868193</v>
      </c>
      <c r="L252" s="447">
        <f t="shared" si="151"/>
        <v>85307.699724741091</v>
      </c>
      <c r="M252" s="447">
        <f t="shared" si="151"/>
        <v>84700.37567586574</v>
      </c>
      <c r="N252" s="447">
        <f t="shared" si="151"/>
        <v>82317.428132111861</v>
      </c>
    </row>
    <row r="253" spans="1:14" s="5" customFormat="1">
      <c r="A253" s="164"/>
      <c r="B253" s="189" t="str">
        <f t="shared" si="135"/>
        <v>Physical Education</v>
      </c>
      <c r="C253" s="447">
        <f t="shared" ref="C253:N253" si="152">C127</f>
        <v>106259.50395446827</v>
      </c>
      <c r="D253" s="447">
        <f t="shared" si="152"/>
        <v>110196.99506349073</v>
      </c>
      <c r="E253" s="447">
        <f t="shared" si="152"/>
        <v>113209.41908539103</v>
      </c>
      <c r="F253" s="447">
        <f t="shared" si="152"/>
        <v>115815.91221783757</v>
      </c>
      <c r="G253" s="447">
        <f t="shared" si="152"/>
        <v>119352.75447742302</v>
      </c>
      <c r="H253" s="447">
        <f t="shared" si="152"/>
        <v>124059.40622859617</v>
      </c>
      <c r="I253" s="447">
        <f t="shared" si="152"/>
        <v>126295.48970372525</v>
      </c>
      <c r="J253" s="447">
        <f t="shared" si="152"/>
        <v>127241.41160439022</v>
      </c>
      <c r="K253" s="447">
        <f t="shared" si="152"/>
        <v>129770.73340559601</v>
      </c>
      <c r="L253" s="447">
        <f t="shared" si="152"/>
        <v>132302.29516599106</v>
      </c>
      <c r="M253" s="447">
        <f t="shared" si="152"/>
        <v>131360.40638180188</v>
      </c>
      <c r="N253" s="447">
        <f t="shared" si="152"/>
        <v>127664.73259952823</v>
      </c>
    </row>
    <row r="254" spans="1:14" s="5" customFormat="1">
      <c r="A254" s="164"/>
      <c r="B254" s="189" t="str">
        <f t="shared" si="135"/>
        <v>Physics</v>
      </c>
      <c r="C254" s="509">
        <f>C128+((C128*0.05))</f>
        <v>81922.140376606287</v>
      </c>
      <c r="D254" s="509">
        <f t="shared" ref="D254:N254" si="153">D128+((D128*0.05))</f>
        <v>84957.800128069051</v>
      </c>
      <c r="E254" s="509">
        <f t="shared" si="153"/>
        <v>87280.267431339395</v>
      </c>
      <c r="F254" s="509">
        <f t="shared" si="153"/>
        <v>89289.777059564673</v>
      </c>
      <c r="G254" s="509">
        <f t="shared" si="153"/>
        <v>92016.551393122878</v>
      </c>
      <c r="H254" s="509">
        <f t="shared" si="153"/>
        <v>95645.205500416894</v>
      </c>
      <c r="I254" s="509">
        <f t="shared" si="153"/>
        <v>97369.143007426435</v>
      </c>
      <c r="J254" s="509">
        <f t="shared" si="153"/>
        <v>98098.413744138932</v>
      </c>
      <c r="K254" s="509">
        <f t="shared" si="153"/>
        <v>100048.42713536257</v>
      </c>
      <c r="L254" s="509">
        <f t="shared" si="153"/>
        <v>102000.16745212517</v>
      </c>
      <c r="M254" s="509">
        <f t="shared" si="153"/>
        <v>101274.00609877874</v>
      </c>
      <c r="N254" s="509">
        <f t="shared" si="153"/>
        <v>98424.778546320973</v>
      </c>
    </row>
    <row r="255" spans="1:14" s="5" customFormat="1">
      <c r="A255" s="164"/>
      <c r="B255" s="189" t="str">
        <f t="shared" si="135"/>
        <v>Religious Education</v>
      </c>
      <c r="C255" s="447">
        <f t="shared" ref="C255:N255" si="154">C129</f>
        <v>44772.955693653646</v>
      </c>
      <c r="D255" s="447">
        <f t="shared" si="154"/>
        <v>46432.036607902584</v>
      </c>
      <c r="E255" s="447">
        <f t="shared" si="154"/>
        <v>47701.336032835279</v>
      </c>
      <c r="F255" s="447">
        <f t="shared" si="154"/>
        <v>48799.594515058641</v>
      </c>
      <c r="G255" s="447">
        <f t="shared" si="154"/>
        <v>50289.860099694873</v>
      </c>
      <c r="H255" s="447">
        <f t="shared" si="154"/>
        <v>52273.030568955008</v>
      </c>
      <c r="I255" s="447">
        <f t="shared" si="154"/>
        <v>53215.215151354008</v>
      </c>
      <c r="J255" s="447">
        <f t="shared" si="154"/>
        <v>53613.783917177323</v>
      </c>
      <c r="K255" s="447">
        <f t="shared" si="154"/>
        <v>54679.525885904222</v>
      </c>
      <c r="L255" s="447">
        <f t="shared" si="154"/>
        <v>55746.211672264406</v>
      </c>
      <c r="M255" s="447">
        <f t="shared" si="154"/>
        <v>55349.342279565935</v>
      </c>
      <c r="N255" s="447">
        <f t="shared" si="154"/>
        <v>53792.152264987686</v>
      </c>
    </row>
    <row r="256" spans="1:14" s="5" customFormat="1">
      <c r="A256" s="164"/>
      <c r="B256" s="138" t="s">
        <v>375</v>
      </c>
      <c r="C256" s="509">
        <f t="shared" ref="C256:N256" si="155">SUM(C237:C255)</f>
        <v>1305235.851952377</v>
      </c>
      <c r="D256" s="509">
        <f t="shared" si="155"/>
        <v>1360369.2697297386</v>
      </c>
      <c r="E256" s="509">
        <f t="shared" si="155"/>
        <v>1397557.2988990257</v>
      </c>
      <c r="F256" s="509">
        <f t="shared" si="155"/>
        <v>1429734.1577788792</v>
      </c>
      <c r="G256" s="509">
        <f t="shared" si="155"/>
        <v>1473396.069966679</v>
      </c>
      <c r="H256" s="509">
        <f t="shared" si="155"/>
        <v>1531499.1462068849</v>
      </c>
      <c r="I256" s="509">
        <f t="shared" si="155"/>
        <v>1559103.3403354408</v>
      </c>
      <c r="J256" s="509">
        <f t="shared" si="155"/>
        <v>1570780.6377471131</v>
      </c>
      <c r="K256" s="509">
        <f t="shared" si="155"/>
        <v>1602004.8253906637</v>
      </c>
      <c r="L256" s="509">
        <f t="shared" si="155"/>
        <v>1633256.665073589</v>
      </c>
      <c r="M256" s="509">
        <f t="shared" si="155"/>
        <v>1621629.1560224048</v>
      </c>
      <c r="N256" s="509">
        <f t="shared" si="155"/>
        <v>1576006.4868974041</v>
      </c>
    </row>
    <row r="257" spans="1:28">
      <c r="A257" s="10">
        <f>O257</f>
        <v>0</v>
      </c>
      <c r="B257" s="12"/>
      <c r="C257" s="10">
        <f t="shared" ref="C257:N257" si="156">SUM(C237:C255)-C256</f>
        <v>0</v>
      </c>
      <c r="D257" s="10">
        <f t="shared" si="156"/>
        <v>0</v>
      </c>
      <c r="E257" s="10">
        <f t="shared" si="156"/>
        <v>0</v>
      </c>
      <c r="F257" s="10">
        <f t="shared" si="156"/>
        <v>0</v>
      </c>
      <c r="G257" s="10">
        <f t="shared" si="156"/>
        <v>0</v>
      </c>
      <c r="H257" s="10">
        <f t="shared" si="156"/>
        <v>0</v>
      </c>
      <c r="I257" s="10">
        <f t="shared" si="156"/>
        <v>0</v>
      </c>
      <c r="J257" s="10">
        <f t="shared" si="156"/>
        <v>0</v>
      </c>
      <c r="K257" s="10">
        <f t="shared" si="156"/>
        <v>0</v>
      </c>
      <c r="L257" s="10">
        <f t="shared" si="156"/>
        <v>0</v>
      </c>
      <c r="M257" s="10">
        <f t="shared" si="156"/>
        <v>0</v>
      </c>
      <c r="N257" s="10">
        <f t="shared" si="156"/>
        <v>0</v>
      </c>
      <c r="O257" s="10">
        <f>SUM(C257:N257)</f>
        <v>0</v>
      </c>
      <c r="Q257" s="12"/>
      <c r="S257" s="12"/>
    </row>
    <row r="258" spans="1:28">
      <c r="B258" s="12"/>
      <c r="C258" s="10"/>
      <c r="D258" s="10"/>
      <c r="E258" s="10"/>
      <c r="F258" s="10"/>
      <c r="G258" s="10"/>
      <c r="H258" s="10"/>
      <c r="I258" s="10"/>
      <c r="J258" s="10"/>
      <c r="K258" s="10"/>
      <c r="L258" s="10"/>
      <c r="M258" s="10"/>
      <c r="N258" s="10"/>
      <c r="O258" s="10"/>
      <c r="Q258" s="12"/>
      <c r="S258" s="12"/>
    </row>
    <row r="259" spans="1:28">
      <c r="B259" s="75" t="s">
        <v>1567</v>
      </c>
      <c r="D259" s="12"/>
      <c r="E259" s="12"/>
      <c r="F259" s="12"/>
      <c r="J259" s="256" t="s">
        <v>637</v>
      </c>
      <c r="X259" s="441"/>
    </row>
    <row r="260" spans="1:28">
      <c r="B260" s="12"/>
      <c r="D260" s="12"/>
      <c r="E260" s="318"/>
      <c r="F260" s="12"/>
      <c r="T260" s="12"/>
      <c r="X260" s="442"/>
    </row>
    <row r="261" spans="1:28">
      <c r="A261" s="164"/>
      <c r="B261" s="139" t="s">
        <v>59</v>
      </c>
      <c r="C261" s="8" t="str">
        <f>C236</f>
        <v>2017/18</v>
      </c>
      <c r="D261" s="8" t="str">
        <f t="shared" ref="D261:N261" si="157">D236</f>
        <v>2018/19</v>
      </c>
      <c r="E261" s="8" t="str">
        <f t="shared" si="157"/>
        <v>2019/20</v>
      </c>
      <c r="F261" s="8" t="str">
        <f t="shared" si="157"/>
        <v>2020/21</v>
      </c>
      <c r="G261" s="8" t="str">
        <f t="shared" si="157"/>
        <v>2021/22</v>
      </c>
      <c r="H261" s="8" t="str">
        <f t="shared" si="157"/>
        <v>2022/23</v>
      </c>
      <c r="I261" s="8" t="str">
        <f t="shared" si="157"/>
        <v>2023/24</v>
      </c>
      <c r="J261" s="8" t="str">
        <f t="shared" si="157"/>
        <v>2024/25</v>
      </c>
      <c r="K261" s="8" t="str">
        <f t="shared" si="157"/>
        <v>2025/26</v>
      </c>
      <c r="L261" s="8" t="str">
        <f t="shared" si="157"/>
        <v>2026/27</v>
      </c>
      <c r="M261" s="8" t="str">
        <f t="shared" si="157"/>
        <v>2027/28</v>
      </c>
      <c r="N261" s="8" t="str">
        <f t="shared" si="157"/>
        <v>2028/29</v>
      </c>
      <c r="Q261" s="256" t="s">
        <v>467</v>
      </c>
    </row>
    <row r="262" spans="1:28" s="5" customFormat="1">
      <c r="A262" s="164"/>
      <c r="B262" s="189" t="str">
        <f t="shared" ref="B262:B281" si="158">B237</f>
        <v>Art &amp; Design</v>
      </c>
      <c r="C262" s="510">
        <f>(C237/((SUM(C$237:C$255))-C$238-C$240-C$245-C$247-C$248-C$249-C$250-C$254))*(C$130-C$263-C$265-C$270-C$272-C$273-C$274-C$275-C$279)</f>
        <v>38088.671907095246</v>
      </c>
      <c r="D262" s="510">
        <f>(D237/((SUM(D$237:D$255))-D$238-D$240-D$245-D$247-D$248-D$249-D$250-D$254))*(D$130-D$263-D$265-D$270-D$272-D$273-D$274-D$275-D$279)</f>
        <v>38873.556220185084</v>
      </c>
      <c r="E262" s="510">
        <f t="shared" ref="E262:N262" si="159">(E237/((SUM(E$237:E$255))-E$238-E$240-E$245-E$247-E$248-E$249-E$250-E$254))*(E$130-E$263-E$265-E$270-E$272-E$273-E$274-E$275-E$279)</f>
        <v>39936.2316089913</v>
      </c>
      <c r="F262" s="510">
        <f t="shared" si="159"/>
        <v>40855.709107114671</v>
      </c>
      <c r="G262" s="510">
        <f t="shared" si="159"/>
        <v>42103.380482733432</v>
      </c>
      <c r="H262" s="510">
        <f t="shared" si="159"/>
        <v>43763.718782817275</v>
      </c>
      <c r="I262" s="510">
        <f t="shared" si="159"/>
        <v>44552.529009751066</v>
      </c>
      <c r="J262" s="510">
        <f t="shared" si="159"/>
        <v>44886.216404441089</v>
      </c>
      <c r="K262" s="510">
        <f t="shared" si="159"/>
        <v>45778.470618645937</v>
      </c>
      <c r="L262" s="510">
        <f t="shared" si="159"/>
        <v>46671.515010290997</v>
      </c>
      <c r="M262" s="510">
        <f t="shared" si="159"/>
        <v>46339.250354759832</v>
      </c>
      <c r="N262" s="510">
        <f t="shared" si="159"/>
        <v>45035.548902066803</v>
      </c>
    </row>
    <row r="263" spans="1:28" s="5" customFormat="1">
      <c r="A263" s="164"/>
      <c r="B263" s="189" t="str">
        <f t="shared" si="158"/>
        <v>Biology</v>
      </c>
      <c r="C263" s="380">
        <f>C238</f>
        <v>86073.739170288056</v>
      </c>
      <c r="D263" s="518">
        <f>($D238/$D$130)*D$130</f>
        <v>89263.238180640605</v>
      </c>
      <c r="E263" s="518">
        <f t="shared" ref="E263:N263" si="160">($D238/$D$130)*E$130</f>
        <v>91703.402023702205</v>
      </c>
      <c r="F263" s="518">
        <f t="shared" si="160"/>
        <v>93814.748319159087</v>
      </c>
      <c r="G263" s="518">
        <f t="shared" si="160"/>
        <v>96679.708410337902</v>
      </c>
      <c r="H263" s="518">
        <f t="shared" si="160"/>
        <v>100492.25317216408</v>
      </c>
      <c r="I263" s="518">
        <f t="shared" si="160"/>
        <v>102303.55530174794</v>
      </c>
      <c r="J263" s="518">
        <f t="shared" si="160"/>
        <v>103069.78356296952</v>
      </c>
      <c r="K263" s="518">
        <f t="shared" si="160"/>
        <v>105118.61850848176</v>
      </c>
      <c r="L263" s="518">
        <f t="shared" si="160"/>
        <v>107169.26789558117</v>
      </c>
      <c r="M263" s="518">
        <f t="shared" si="160"/>
        <v>106406.30659310363</v>
      </c>
      <c r="N263" s="518">
        <f t="shared" si="160"/>
        <v>103412.68767568238</v>
      </c>
      <c r="P263" s="5" t="s">
        <v>7</v>
      </c>
      <c r="Q263" s="516">
        <f>C263/C$281</f>
        <v>6.7270443565827176E-2</v>
      </c>
      <c r="R263" s="514">
        <f>D263/D$281</f>
        <v>6.7270443565827176E-2</v>
      </c>
      <c r="S263" s="514">
        <f>E263/E$281</f>
        <v>6.727044356582719E-2</v>
      </c>
      <c r="T263" s="514">
        <f t="shared" ref="T263:AB263" si="161">F263/F$281</f>
        <v>6.7270443565827176E-2</v>
      </c>
      <c r="U263" s="514">
        <f t="shared" si="161"/>
        <v>6.7270443565827162E-2</v>
      </c>
      <c r="V263" s="514">
        <f t="shared" si="161"/>
        <v>6.7270443565827162E-2</v>
      </c>
      <c r="W263" s="514">
        <f t="shared" si="161"/>
        <v>6.727044356582719E-2</v>
      </c>
      <c r="X263" s="514">
        <f t="shared" si="161"/>
        <v>6.7270443565827148E-2</v>
      </c>
      <c r="Y263" s="514">
        <f t="shared" si="161"/>
        <v>6.727044356582719E-2</v>
      </c>
      <c r="Z263" s="514">
        <f t="shared" si="161"/>
        <v>6.7270443565827176E-2</v>
      </c>
      <c r="AA263" s="514">
        <f t="shared" si="161"/>
        <v>6.7270443565827176E-2</v>
      </c>
      <c r="AB263" s="514">
        <f t="shared" si="161"/>
        <v>6.7270443565827176E-2</v>
      </c>
    </row>
    <row r="264" spans="1:28" s="5" customFormat="1">
      <c r="A264" s="164"/>
      <c r="B264" s="189" t="str">
        <f t="shared" si="158"/>
        <v>Business Studies</v>
      </c>
      <c r="C264" s="510">
        <f>(C239/((SUM(C$237:C$255))-C$238-C$240-C$245-C$247-C$248-C$249-C$250-C$254))*(C$130-C$263-C$265-C$270-C$272-C$273-C$274-C$275-C$279)</f>
        <v>27946.103179222304</v>
      </c>
      <c r="D264" s="510">
        <f>(D239/((SUM(D$237:D$255))-D$238-D$240-D$245-D$247-D$248-D$249-D$250-D$254))*(D$130-D$263-D$265-D$270-D$272-D$273-D$274-D$275-D$279)</f>
        <v>28521.981961524387</v>
      </c>
      <c r="E264" s="510">
        <f t="shared" ref="E264:N264" si="162">(E239/((SUM(E$237:E$255))-E$238-E$240-E$245-E$247-E$248-E$249-E$250-E$254))*(E$130-E$263-E$265-E$270-E$272-E$273-E$274-E$275-E$279)</f>
        <v>29301.679298675877</v>
      </c>
      <c r="F264" s="510">
        <f t="shared" si="162"/>
        <v>29976.310671914751</v>
      </c>
      <c r="G264" s="510">
        <f t="shared" si="162"/>
        <v>30891.741724009509</v>
      </c>
      <c r="H264" s="510">
        <f t="shared" si="162"/>
        <v>32109.951315557748</v>
      </c>
      <c r="I264" s="510">
        <f t="shared" si="162"/>
        <v>32688.710586673504</v>
      </c>
      <c r="J264" s="510">
        <f t="shared" si="162"/>
        <v>32933.540923219742</v>
      </c>
      <c r="K264" s="510">
        <f t="shared" si="162"/>
        <v>33588.198255275987</v>
      </c>
      <c r="L264" s="510">
        <f t="shared" si="162"/>
        <v>34243.43534974369</v>
      </c>
      <c r="M264" s="510">
        <f t="shared" si="162"/>
        <v>33999.648893525635</v>
      </c>
      <c r="N264" s="510">
        <f t="shared" si="162"/>
        <v>33043.107919854287</v>
      </c>
      <c r="Q264" s="515">
        <f t="shared" ref="Q264:AB264" si="163">C112/C$130</f>
        <v>6.4067089110311587E-2</v>
      </c>
      <c r="R264" s="515">
        <f t="shared" si="163"/>
        <v>6.4067089110311587E-2</v>
      </c>
      <c r="S264" s="515">
        <f t="shared" si="163"/>
        <v>6.4067089110311601E-2</v>
      </c>
      <c r="T264" s="515">
        <f t="shared" si="163"/>
        <v>6.4067089110311601E-2</v>
      </c>
      <c r="U264" s="515">
        <f t="shared" si="163"/>
        <v>6.4067089110311601E-2</v>
      </c>
      <c r="V264" s="515">
        <f t="shared" si="163"/>
        <v>6.4067089110311601E-2</v>
      </c>
      <c r="W264" s="515">
        <f t="shared" si="163"/>
        <v>6.4067089110311601E-2</v>
      </c>
      <c r="X264" s="515">
        <f t="shared" si="163"/>
        <v>6.4067089110311601E-2</v>
      </c>
      <c r="Y264" s="515">
        <f t="shared" si="163"/>
        <v>6.4067089110311601E-2</v>
      </c>
      <c r="Z264" s="515">
        <f t="shared" si="163"/>
        <v>6.4067089110311601E-2</v>
      </c>
      <c r="AA264" s="515">
        <f t="shared" si="163"/>
        <v>6.4067089110311601E-2</v>
      </c>
      <c r="AB264" s="515">
        <f t="shared" si="163"/>
        <v>6.4067089110311601E-2</v>
      </c>
    </row>
    <row r="265" spans="1:28" s="5" customFormat="1">
      <c r="A265" s="164"/>
      <c r="B265" s="189" t="str">
        <f t="shared" si="158"/>
        <v>Chemistry</v>
      </c>
      <c r="C265" s="380">
        <f>C240</f>
        <v>81885.667014814506</v>
      </c>
      <c r="D265" s="518">
        <f>($D240/$D$130)*D$130</f>
        <v>84919.975230344717</v>
      </c>
      <c r="E265" s="518">
        <f t="shared" ref="E265:N265" si="164">($D240/$D$130)*E$130</f>
        <v>87241.408525106322</v>
      </c>
      <c r="F265" s="518">
        <f t="shared" si="164"/>
        <v>89250.023479787225</v>
      </c>
      <c r="G265" s="518">
        <f t="shared" si="164"/>
        <v>91975.583799327549</v>
      </c>
      <c r="H265" s="518">
        <f t="shared" si="164"/>
        <v>95602.622357839951</v>
      </c>
      <c r="I265" s="518">
        <f t="shared" si="164"/>
        <v>97325.792333677673</v>
      </c>
      <c r="J265" s="518">
        <f t="shared" si="164"/>
        <v>98054.738384593395</v>
      </c>
      <c r="K265" s="518">
        <f t="shared" si="164"/>
        <v>100003.88359117742</v>
      </c>
      <c r="L265" s="518">
        <f t="shared" si="164"/>
        <v>101954.75495443893</v>
      </c>
      <c r="M265" s="518">
        <f t="shared" si="164"/>
        <v>101228.91690253017</v>
      </c>
      <c r="N265" s="518">
        <f t="shared" si="164"/>
        <v>98380.957882692164</v>
      </c>
      <c r="P265" s="5" t="s">
        <v>3</v>
      </c>
      <c r="Q265" s="516">
        <f>C265/C$281</f>
        <v>6.399727948233111E-2</v>
      </c>
      <c r="R265" s="514">
        <f>D265/D$281</f>
        <v>6.399727948233111E-2</v>
      </c>
      <c r="S265" s="514">
        <f>E265/E$281</f>
        <v>6.3997279482331124E-2</v>
      </c>
      <c r="T265" s="514">
        <f t="shared" ref="T265:AB265" si="165">F265/F$281</f>
        <v>6.399727948233111E-2</v>
      </c>
      <c r="U265" s="514">
        <f t="shared" si="165"/>
        <v>6.3997279482331096E-2</v>
      </c>
      <c r="V265" s="514">
        <f t="shared" si="165"/>
        <v>6.3997279482331096E-2</v>
      </c>
      <c r="W265" s="514">
        <f t="shared" si="165"/>
        <v>6.399727948233111E-2</v>
      </c>
      <c r="X265" s="514">
        <f t="shared" si="165"/>
        <v>6.3997279482331096E-2</v>
      </c>
      <c r="Y265" s="514">
        <f t="shared" si="165"/>
        <v>6.3997279482331138E-2</v>
      </c>
      <c r="Z265" s="514">
        <f t="shared" si="165"/>
        <v>6.399727948233111E-2</v>
      </c>
      <c r="AA265" s="514">
        <f t="shared" si="165"/>
        <v>6.399727948233111E-2</v>
      </c>
      <c r="AB265" s="514">
        <f t="shared" si="165"/>
        <v>6.3997279482331124E-2</v>
      </c>
    </row>
    <row r="266" spans="1:28" s="5" customFormat="1">
      <c r="A266" s="164"/>
      <c r="B266" s="189" t="str">
        <f t="shared" si="158"/>
        <v>Classics</v>
      </c>
      <c r="C266" s="510">
        <f t="shared" ref="C266:D269" si="166">(C241/((SUM(C$237:C$255))-C$238-C$240-C$245-C$247-C$248-C$249-C$250-C$254))*(C$130-C$263-C$265-C$270-C$272-C$273-C$274-C$275-C$279)</f>
        <v>1414.8192175876652</v>
      </c>
      <c r="D266" s="510">
        <f t="shared" si="166"/>
        <v>1443.9740647939743</v>
      </c>
      <c r="E266" s="510">
        <f t="shared" ref="E266:N266" si="167">(E241/((SUM(E$237:E$255))-E$238-E$240-E$245-E$247-E$248-E$249-E$250-E$254))*(E$130-E$263-E$265-E$270-E$272-E$273-E$274-E$275-E$279)</f>
        <v>1483.4475745505695</v>
      </c>
      <c r="F266" s="510">
        <f t="shared" si="167"/>
        <v>1517.6019403855732</v>
      </c>
      <c r="G266" s="510">
        <f t="shared" si="167"/>
        <v>1563.9472013535892</v>
      </c>
      <c r="H266" s="510">
        <f t="shared" si="167"/>
        <v>1625.6211431593117</v>
      </c>
      <c r="I266" s="510">
        <f t="shared" si="167"/>
        <v>1654.9218200329449</v>
      </c>
      <c r="J266" s="510">
        <f t="shared" si="167"/>
        <v>1667.3167740976535</v>
      </c>
      <c r="K266" s="510">
        <f t="shared" si="167"/>
        <v>1700.4599199734078</v>
      </c>
      <c r="L266" s="510">
        <f t="shared" si="167"/>
        <v>1733.6324173117291</v>
      </c>
      <c r="M266" s="510">
        <f t="shared" si="167"/>
        <v>1721.290311472038</v>
      </c>
      <c r="N266" s="510">
        <f t="shared" si="167"/>
        <v>1672.8637904905213</v>
      </c>
      <c r="Q266" s="515">
        <f t="shared" ref="Q266:AB266" si="168">C114/C$130</f>
        <v>6.0949789983172478E-2</v>
      </c>
      <c r="R266" s="515">
        <f t="shared" si="168"/>
        <v>6.0949789983172485E-2</v>
      </c>
      <c r="S266" s="515">
        <f t="shared" si="168"/>
        <v>6.0949789983172492E-2</v>
      </c>
      <c r="T266" s="515">
        <f t="shared" si="168"/>
        <v>6.0949789983172485E-2</v>
      </c>
      <c r="U266" s="515">
        <f t="shared" si="168"/>
        <v>6.0949789983172492E-2</v>
      </c>
      <c r="V266" s="515">
        <f t="shared" si="168"/>
        <v>6.0949789983172485E-2</v>
      </c>
      <c r="W266" s="515">
        <f t="shared" si="168"/>
        <v>6.0949789983172485E-2</v>
      </c>
      <c r="X266" s="515">
        <f t="shared" si="168"/>
        <v>6.0949789983172485E-2</v>
      </c>
      <c r="Y266" s="515">
        <f t="shared" si="168"/>
        <v>6.0949789983172485E-2</v>
      </c>
      <c r="Z266" s="515">
        <f t="shared" si="168"/>
        <v>6.0949789983172492E-2</v>
      </c>
      <c r="AA266" s="515">
        <f t="shared" si="168"/>
        <v>6.0949789983172492E-2</v>
      </c>
      <c r="AB266" s="515">
        <f t="shared" si="168"/>
        <v>6.0949789983172492E-2</v>
      </c>
    </row>
    <row r="267" spans="1:28" s="5" customFormat="1">
      <c r="A267" s="164"/>
      <c r="B267" s="189" t="str">
        <f t="shared" si="158"/>
        <v>Computing</v>
      </c>
      <c r="C267" s="510">
        <f t="shared" si="166"/>
        <v>38676.04867647597</v>
      </c>
      <c r="D267" s="510">
        <f t="shared" si="166"/>
        <v>39473.036924648797</v>
      </c>
      <c r="E267" s="510">
        <f t="shared" ref="E267:N267" si="169">(E242/((SUM(E$237:E$255))-E$238-E$240-E$245-E$247-E$248-E$249-E$250-E$254))*(E$130-E$263-E$265-E$270-E$272-E$273-E$274-E$275-E$279)</f>
        <v>40552.100147567471</v>
      </c>
      <c r="F267" s="510">
        <f t="shared" si="169"/>
        <v>41485.757182422472</v>
      </c>
      <c r="G267" s="510">
        <f t="shared" si="169"/>
        <v>42752.669270441162</v>
      </c>
      <c r="H267" s="510">
        <f t="shared" si="169"/>
        <v>44438.612142644539</v>
      </c>
      <c r="I267" s="510">
        <f t="shared" si="169"/>
        <v>45239.586847349594</v>
      </c>
      <c r="J267" s="510">
        <f t="shared" si="169"/>
        <v>45578.420134874999</v>
      </c>
      <c r="K267" s="510">
        <f t="shared" si="169"/>
        <v>46484.43406743087</v>
      </c>
      <c r="L267" s="510">
        <f t="shared" si="169"/>
        <v>47391.250362988925</v>
      </c>
      <c r="M267" s="510">
        <f t="shared" si="169"/>
        <v>47053.861755107275</v>
      </c>
      <c r="N267" s="510">
        <f t="shared" si="169"/>
        <v>45730.05553348484</v>
      </c>
    </row>
    <row r="268" spans="1:28" s="5" customFormat="1">
      <c r="A268" s="164"/>
      <c r="B268" s="189" t="str">
        <f t="shared" si="158"/>
        <v>Design &amp; Technology</v>
      </c>
      <c r="C268" s="510">
        <f t="shared" si="166"/>
        <v>43350.271641467582</v>
      </c>
      <c r="D268" s="510">
        <f t="shared" si="166"/>
        <v>44243.580504075442</v>
      </c>
      <c r="E268" s="510">
        <f t="shared" ref="E268:N268" si="170">(E243/((SUM(E$237:E$255))-E$238-E$240-E$245-E$247-E$248-E$249-E$250-E$254))*(E$130-E$263-E$265-E$270-E$272-E$273-E$274-E$275-E$279)</f>
        <v>45453.054724752335</v>
      </c>
      <c r="F268" s="510">
        <f t="shared" si="170"/>
        <v>46499.549583094711</v>
      </c>
      <c r="G268" s="510">
        <f t="shared" si="170"/>
        <v>47919.575284812112</v>
      </c>
      <c r="H268" s="510">
        <f t="shared" si="170"/>
        <v>49809.274051440916</v>
      </c>
      <c r="I268" s="510">
        <f t="shared" si="170"/>
        <v>50707.051156784873</v>
      </c>
      <c r="J268" s="510">
        <f t="shared" si="170"/>
        <v>51086.8343962328</v>
      </c>
      <c r="K268" s="510">
        <f t="shared" si="170"/>
        <v>52102.345324347349</v>
      </c>
      <c r="L268" s="510">
        <f t="shared" si="170"/>
        <v>53118.75558564844</v>
      </c>
      <c r="M268" s="510">
        <f t="shared" si="170"/>
        <v>52740.591623689674</v>
      </c>
      <c r="N268" s="510">
        <f t="shared" si="170"/>
        <v>51256.795805041271</v>
      </c>
    </row>
    <row r="269" spans="1:28" s="5" customFormat="1">
      <c r="A269" s="164"/>
      <c r="B269" s="189" t="str">
        <f t="shared" si="158"/>
        <v>Drama</v>
      </c>
      <c r="C269" s="510">
        <f t="shared" si="166"/>
        <v>21102.929051241896</v>
      </c>
      <c r="D269" s="510">
        <f t="shared" si="166"/>
        <v>21537.792152086382</v>
      </c>
      <c r="E269" s="510">
        <f t="shared" ref="E269:N269" si="171">(E244/((SUM(E$237:E$255))-E$238-E$240-E$245-E$247-E$248-E$249-E$250-E$254))*(E$130-E$263-E$265-E$270-E$272-E$273-E$274-E$275-E$279)</f>
        <v>22126.564671883825</v>
      </c>
      <c r="F269" s="510">
        <f t="shared" si="171"/>
        <v>22635.998774874854</v>
      </c>
      <c r="G269" s="510">
        <f t="shared" si="171"/>
        <v>23327.267837318679</v>
      </c>
      <c r="H269" s="510">
        <f t="shared" si="171"/>
        <v>24247.173929954111</v>
      </c>
      <c r="I269" s="510">
        <f t="shared" si="171"/>
        <v>24684.212173095817</v>
      </c>
      <c r="J269" s="510">
        <f t="shared" si="171"/>
        <v>24869.090801382288</v>
      </c>
      <c r="K269" s="510">
        <f t="shared" si="171"/>
        <v>25363.441915119311</v>
      </c>
      <c r="L269" s="510">
        <f t="shared" si="171"/>
        <v>25858.230824600414</v>
      </c>
      <c r="M269" s="510">
        <f t="shared" si="171"/>
        <v>25674.140461223808</v>
      </c>
      <c r="N269" s="510">
        <f t="shared" si="171"/>
        <v>24951.828081120657</v>
      </c>
    </row>
    <row r="270" spans="1:28" s="5" customFormat="1">
      <c r="A270" s="164"/>
      <c r="B270" s="189" t="str">
        <f t="shared" si="158"/>
        <v>English</v>
      </c>
      <c r="C270" s="366">
        <f>C245</f>
        <v>217024.16649130103</v>
      </c>
      <c r="D270" s="518">
        <f>($D245/$D$130)*D$130</f>
        <v>231833.43746977163</v>
      </c>
      <c r="E270" s="518">
        <f t="shared" ref="E270:N270" si="172">($D245/$D$130)*E$130</f>
        <v>238171.00244340164</v>
      </c>
      <c r="F270" s="518">
        <f t="shared" si="172"/>
        <v>243654.56633085865</v>
      </c>
      <c r="G270" s="518">
        <f t="shared" si="172"/>
        <v>251095.40714830221</v>
      </c>
      <c r="H270" s="518">
        <f t="shared" si="172"/>
        <v>260997.30378186208</v>
      </c>
      <c r="I270" s="518">
        <f t="shared" si="172"/>
        <v>265701.5964734173</v>
      </c>
      <c r="J270" s="518">
        <f t="shared" si="172"/>
        <v>267691.63554556033</v>
      </c>
      <c r="K270" s="518">
        <f t="shared" si="172"/>
        <v>273012.84568657121</v>
      </c>
      <c r="L270" s="518">
        <f t="shared" si="172"/>
        <v>278338.76827403618</v>
      </c>
      <c r="M270" s="518">
        <f t="shared" si="172"/>
        <v>276357.2141089068</v>
      </c>
      <c r="N270" s="518">
        <f t="shared" si="172"/>
        <v>268582.22209376364</v>
      </c>
      <c r="P270" s="5" t="s">
        <v>1</v>
      </c>
      <c r="Q270" s="516">
        <f>C270/C$281</f>
        <v>0.1696140086988728</v>
      </c>
      <c r="R270" s="516">
        <f>D270/D$281</f>
        <v>0.17471400869887277</v>
      </c>
      <c r="S270" s="514">
        <f t="shared" ref="S270:AB270" si="173">E270/E$281</f>
        <v>0.17471400869887282</v>
      </c>
      <c r="T270" s="514">
        <f t="shared" si="173"/>
        <v>0.1747140086988728</v>
      </c>
      <c r="U270" s="514">
        <f t="shared" si="173"/>
        <v>0.17471400869887277</v>
      </c>
      <c r="V270" s="514">
        <f t="shared" si="173"/>
        <v>0.17471400869887277</v>
      </c>
      <c r="W270" s="514">
        <f t="shared" si="173"/>
        <v>0.17471400869887282</v>
      </c>
      <c r="X270" s="514">
        <f t="shared" si="173"/>
        <v>0.17471400869887274</v>
      </c>
      <c r="Y270" s="514">
        <f t="shared" si="173"/>
        <v>0.17471400869887282</v>
      </c>
      <c r="Z270" s="514">
        <f t="shared" si="173"/>
        <v>0.1747140086988728</v>
      </c>
      <c r="AA270" s="514">
        <f t="shared" si="173"/>
        <v>0.1747140086988728</v>
      </c>
      <c r="AB270" s="514">
        <f t="shared" si="173"/>
        <v>0.17471400869887282</v>
      </c>
    </row>
    <row r="271" spans="1:28" s="5" customFormat="1">
      <c r="A271" s="164"/>
      <c r="B271" s="189" t="str">
        <f t="shared" si="158"/>
        <v>Food</v>
      </c>
      <c r="C271" s="510">
        <f>(C246/((SUM(C$237:C$255))-C$238-C$240-C$245-C$247-C$248-C$249-C$250-C$254))*(C$130-C$263-C$265-C$270-C$272-C$273-C$274-C$275-C$279)</f>
        <v>17125.162560899582</v>
      </c>
      <c r="D271" s="510">
        <f>(D246/((SUM(D$237:D$255))-D$238-D$240-D$245-D$247-D$248-D$249-D$250-D$254))*(D$130-D$263-D$265-D$270-D$272-D$273-D$274-D$275-D$279)</f>
        <v>17478.056762250286</v>
      </c>
      <c r="E271" s="510">
        <f t="shared" ref="E271:N271" si="174">(E246/((SUM(E$237:E$255))-E$238-E$240-E$245-E$247-E$248-E$249-E$250-E$254))*(E$130-E$263-E$265-E$270-E$272-E$273-E$274-E$275-E$279)</f>
        <v>17955.849446310342</v>
      </c>
      <c r="F271" s="510">
        <f t="shared" si="174"/>
        <v>18369.258495196569</v>
      </c>
      <c r="G271" s="510">
        <f t="shared" si="174"/>
        <v>18930.227782394853</v>
      </c>
      <c r="H271" s="510">
        <f t="shared" si="174"/>
        <v>19676.737489122821</v>
      </c>
      <c r="I271" s="510">
        <f t="shared" si="174"/>
        <v>20031.396832428116</v>
      </c>
      <c r="J271" s="510">
        <f t="shared" si="174"/>
        <v>20181.427027561414</v>
      </c>
      <c r="K271" s="510">
        <f t="shared" si="174"/>
        <v>20582.59613372443</v>
      </c>
      <c r="L271" s="510">
        <f t="shared" si="174"/>
        <v>20984.12051394763</v>
      </c>
      <c r="M271" s="510">
        <f t="shared" si="174"/>
        <v>20834.730000855139</v>
      </c>
      <c r="N271" s="510">
        <f t="shared" si="174"/>
        <v>20248.568861850184</v>
      </c>
      <c r="Q271" s="515">
        <f t="shared" ref="Q271:AB271" si="175">C119/C$130</f>
        <v>0.16451400869887278</v>
      </c>
      <c r="R271" s="515">
        <f t="shared" si="175"/>
        <v>0.16451400869887278</v>
      </c>
      <c r="S271" s="515">
        <f t="shared" si="175"/>
        <v>0.16451400869887281</v>
      </c>
      <c r="T271" s="515">
        <f t="shared" si="175"/>
        <v>0.16451400869887278</v>
      </c>
      <c r="U271" s="515">
        <f t="shared" si="175"/>
        <v>0.16451400869887281</v>
      </c>
      <c r="V271" s="515">
        <f t="shared" si="175"/>
        <v>0.16451400869887278</v>
      </c>
      <c r="W271" s="515">
        <f t="shared" si="175"/>
        <v>0.16451400869887278</v>
      </c>
      <c r="X271" s="515">
        <f t="shared" si="175"/>
        <v>0.16451400869887278</v>
      </c>
      <c r="Y271" s="515">
        <f t="shared" si="175"/>
        <v>0.16451400869887278</v>
      </c>
      <c r="Z271" s="515">
        <f t="shared" si="175"/>
        <v>0.16451400869887281</v>
      </c>
      <c r="AA271" s="515">
        <f t="shared" si="175"/>
        <v>0.16451400869887281</v>
      </c>
      <c r="AB271" s="515">
        <f t="shared" si="175"/>
        <v>0.16451400869887278</v>
      </c>
    </row>
    <row r="272" spans="1:28" s="5" customFormat="1">
      <c r="A272" s="164"/>
      <c r="B272" s="189" t="str">
        <f t="shared" si="158"/>
        <v>Geography</v>
      </c>
      <c r="C272" s="380">
        <f t="shared" ref="C272:D275" si="176">C247</f>
        <v>57064.958536158105</v>
      </c>
      <c r="D272" s="380">
        <f t="shared" si="176"/>
        <v>59179.524843272979</v>
      </c>
      <c r="E272" s="380">
        <f t="shared" ref="E272:N272" si="177">E247</f>
        <v>60797.298741189232</v>
      </c>
      <c r="F272" s="380">
        <f t="shared" si="177"/>
        <v>62197.073980038236</v>
      </c>
      <c r="G272" s="380">
        <f t="shared" si="177"/>
        <v>64096.478262770994</v>
      </c>
      <c r="H272" s="380">
        <f t="shared" si="177"/>
        <v>66624.109928922175</v>
      </c>
      <c r="I272" s="380">
        <f t="shared" si="177"/>
        <v>67824.962615438635</v>
      </c>
      <c r="J272" s="380">
        <f t="shared" si="177"/>
        <v>68332.95476702087</v>
      </c>
      <c r="K272" s="380">
        <f t="shared" si="177"/>
        <v>69691.286382913371</v>
      </c>
      <c r="L272" s="380">
        <f t="shared" si="177"/>
        <v>71050.820932882372</v>
      </c>
      <c r="M272" s="380">
        <f t="shared" si="177"/>
        <v>70544.994701673364</v>
      </c>
      <c r="N272" s="380">
        <f t="shared" si="177"/>
        <v>68560.292502809534</v>
      </c>
    </row>
    <row r="273" spans="1:28" s="5" customFormat="1">
      <c r="A273" s="164"/>
      <c r="B273" s="189" t="str">
        <f t="shared" si="158"/>
        <v>History</v>
      </c>
      <c r="C273" s="380">
        <f t="shared" si="176"/>
        <v>60799.169094683042</v>
      </c>
      <c r="D273" s="380">
        <f t="shared" si="176"/>
        <v>63052.108162127297</v>
      </c>
      <c r="E273" s="380">
        <f t="shared" ref="E273:N273" si="178">E248</f>
        <v>64775.745772659349</v>
      </c>
      <c r="F273" s="380">
        <f t="shared" si="178"/>
        <v>66267.119351550253</v>
      </c>
      <c r="G273" s="380">
        <f t="shared" si="178"/>
        <v>68290.816645430896</v>
      </c>
      <c r="H273" s="380">
        <f t="shared" si="178"/>
        <v>70983.851198010598</v>
      </c>
      <c r="I273" s="380">
        <f t="shared" si="178"/>
        <v>72263.285152195574</v>
      </c>
      <c r="J273" s="380">
        <f t="shared" si="178"/>
        <v>72804.519239016998</v>
      </c>
      <c r="K273" s="380">
        <f t="shared" si="178"/>
        <v>74251.737211653803</v>
      </c>
      <c r="L273" s="380">
        <f t="shared" si="178"/>
        <v>75700.236835836549</v>
      </c>
      <c r="M273" s="380">
        <f t="shared" si="178"/>
        <v>75161.310402650473</v>
      </c>
      <c r="N273" s="380">
        <f t="shared" si="178"/>
        <v>73046.733476867696</v>
      </c>
    </row>
    <row r="274" spans="1:28" s="5" customFormat="1">
      <c r="A274" s="164"/>
      <c r="B274" s="189" t="str">
        <f t="shared" si="158"/>
        <v>Mathematics</v>
      </c>
      <c r="C274" s="366">
        <f t="shared" si="176"/>
        <v>210420.10782304866</v>
      </c>
      <c r="D274" s="366">
        <f t="shared" si="176"/>
        <v>218217.31440579184</v>
      </c>
      <c r="E274" s="366">
        <f t="shared" ref="E274:N274" si="179">E249</f>
        <v>224182.65928231803</v>
      </c>
      <c r="F274" s="366">
        <f t="shared" si="179"/>
        <v>229344.16056510634</v>
      </c>
      <c r="G274" s="366">
        <f t="shared" si="179"/>
        <v>236347.98330019065</v>
      </c>
      <c r="H274" s="366">
        <f t="shared" si="179"/>
        <v>245668.31825481047</v>
      </c>
      <c r="I274" s="366">
        <f t="shared" si="179"/>
        <v>250096.3167719089</v>
      </c>
      <c r="J274" s="366">
        <f t="shared" si="179"/>
        <v>251969.47616869464</v>
      </c>
      <c r="K274" s="366">
        <f t="shared" si="179"/>
        <v>256978.15912242804</v>
      </c>
      <c r="L274" s="366">
        <f t="shared" si="179"/>
        <v>261991.2777495514</v>
      </c>
      <c r="M274" s="366">
        <f t="shared" si="179"/>
        <v>260126.10492123355</v>
      </c>
      <c r="N274" s="366">
        <f t="shared" si="179"/>
        <v>252807.7564742273</v>
      </c>
      <c r="P274" s="5" t="s">
        <v>573</v>
      </c>
      <c r="Q274" s="516">
        <f t="shared" ref="Q274:V274" si="180">C274/C$281</f>
        <v>0.16445264403375509</v>
      </c>
      <c r="R274" s="514">
        <f t="shared" si="180"/>
        <v>0.16445264403375506</v>
      </c>
      <c r="S274" s="514">
        <f t="shared" si="180"/>
        <v>0.16445264403375515</v>
      </c>
      <c r="T274" s="514">
        <f t="shared" si="180"/>
        <v>0.16445264403375509</v>
      </c>
      <c r="U274" s="514">
        <f t="shared" si="180"/>
        <v>0.16445264403375509</v>
      </c>
      <c r="V274" s="514">
        <f t="shared" si="180"/>
        <v>0.16445264403375506</v>
      </c>
      <c r="W274" s="514">
        <f t="shared" ref="W274:AB274" si="181">I274/I$281</f>
        <v>0.16445264403375515</v>
      </c>
      <c r="X274" s="514">
        <f t="shared" si="181"/>
        <v>0.16445264403375504</v>
      </c>
      <c r="Y274" s="514">
        <f t="shared" si="181"/>
        <v>0.16445264403375515</v>
      </c>
      <c r="Z274" s="514">
        <f t="shared" si="181"/>
        <v>0.16445264403375509</v>
      </c>
      <c r="AA274" s="514">
        <f t="shared" si="181"/>
        <v>0.16445264403375512</v>
      </c>
      <c r="AB274" s="514">
        <f t="shared" si="181"/>
        <v>0.16445264403375512</v>
      </c>
    </row>
    <row r="275" spans="1:28" s="5" customFormat="1">
      <c r="A275" s="164"/>
      <c r="B275" s="189" t="str">
        <f t="shared" si="158"/>
        <v>Modern Foreign Languages</v>
      </c>
      <c r="C275" s="380">
        <f t="shared" si="176"/>
        <v>72905.532216049396</v>
      </c>
      <c r="D275" s="380">
        <f t="shared" si="176"/>
        <v>75607.077717544031</v>
      </c>
      <c r="E275" s="380">
        <f t="shared" ref="E275:N275" si="182">E250</f>
        <v>77673.926972469606</v>
      </c>
      <c r="F275" s="380">
        <f t="shared" si="182"/>
        <v>79462.263657345524</v>
      </c>
      <c r="G275" s="380">
        <f t="shared" si="182"/>
        <v>81888.920640515527</v>
      </c>
      <c r="H275" s="380">
        <f t="shared" si="182"/>
        <v>85118.193675913033</v>
      </c>
      <c r="I275" s="380">
        <f t="shared" si="182"/>
        <v>86652.389204471619</v>
      </c>
      <c r="J275" s="380">
        <f t="shared" si="182"/>
        <v>87301.394112609982</v>
      </c>
      <c r="K275" s="380">
        <f t="shared" si="182"/>
        <v>89036.782903259518</v>
      </c>
      <c r="L275" s="380">
        <f t="shared" si="182"/>
        <v>90773.708548597424</v>
      </c>
      <c r="M275" s="380">
        <f t="shared" si="182"/>
        <v>90127.47079532253</v>
      </c>
      <c r="N275" s="380">
        <f t="shared" si="182"/>
        <v>87591.838179260129</v>
      </c>
      <c r="Q275" s="515">
        <f t="shared" ref="Q275:AB275" si="183">C123/C$130</f>
        <v>0.15875264403375508</v>
      </c>
      <c r="R275" s="515">
        <f t="shared" si="183"/>
        <v>0.15875264403375508</v>
      </c>
      <c r="S275" s="515">
        <f t="shared" si="183"/>
        <v>0.15875264403375511</v>
      </c>
      <c r="T275" s="515">
        <f t="shared" si="183"/>
        <v>0.15875264403375511</v>
      </c>
      <c r="U275" s="515">
        <f t="shared" si="183"/>
        <v>0.15875264403375511</v>
      </c>
      <c r="V275" s="515">
        <f t="shared" si="183"/>
        <v>0.15875264403375508</v>
      </c>
      <c r="W275" s="515">
        <f t="shared" si="183"/>
        <v>0.15875264403375511</v>
      </c>
      <c r="X275" s="515">
        <f t="shared" si="183"/>
        <v>0.15875264403375508</v>
      </c>
      <c r="Y275" s="515">
        <f t="shared" si="183"/>
        <v>0.15875264403375511</v>
      </c>
      <c r="Z275" s="515">
        <f t="shared" si="183"/>
        <v>0.15875264403375511</v>
      </c>
      <c r="AA275" s="515">
        <f t="shared" si="183"/>
        <v>0.15875264403375511</v>
      </c>
      <c r="AB275" s="515">
        <f t="shared" si="183"/>
        <v>0.15875264403375511</v>
      </c>
    </row>
    <row r="276" spans="1:28" s="5" customFormat="1">
      <c r="A276" s="164"/>
      <c r="B276" s="189" t="str">
        <f t="shared" si="158"/>
        <v>Music</v>
      </c>
      <c r="C276" s="510">
        <f t="shared" ref="C276:D278" si="184">(C251/((SUM(C$237:C$255))-C$238-C$240-C$245-C$247-C$248-C$249-C$250-C$254))*(C$130-C$263-C$265-C$270-C$272-C$273-C$274-C$275-C$279)</f>
        <v>17087.001217669695</v>
      </c>
      <c r="D276" s="510">
        <f t="shared" si="184"/>
        <v>17439.109037186437</v>
      </c>
      <c r="E276" s="510">
        <f t="shared" ref="E276:N276" si="185">(E251/((SUM(E$237:E$255))-E$238-E$240-E$245-E$247-E$248-E$249-E$250-E$254))*(E$130-E$263-E$265-E$270-E$272-E$273-E$274-E$275-E$279)</f>
        <v>17915.837018325023</v>
      </c>
      <c r="F276" s="510">
        <f t="shared" si="185"/>
        <v>18328.32483539504</v>
      </c>
      <c r="G276" s="510">
        <f t="shared" si="185"/>
        <v>18888.044070721753</v>
      </c>
      <c r="H276" s="510">
        <f t="shared" si="185"/>
        <v>19632.890271305379</v>
      </c>
      <c r="I276" s="510">
        <f t="shared" si="185"/>
        <v>19986.759299372417</v>
      </c>
      <c r="J276" s="510">
        <f t="shared" si="185"/>
        <v>20136.455170451802</v>
      </c>
      <c r="K276" s="510">
        <f t="shared" si="185"/>
        <v>20536.73032002322</v>
      </c>
      <c r="L276" s="510">
        <f t="shared" si="185"/>
        <v>20937.359951969764</v>
      </c>
      <c r="M276" s="510">
        <f t="shared" si="185"/>
        <v>20788.302337477508</v>
      </c>
      <c r="N276" s="510">
        <f t="shared" si="185"/>
        <v>20203.447387323842</v>
      </c>
    </row>
    <row r="277" spans="1:28" s="5" customFormat="1">
      <c r="A277" s="164"/>
      <c r="B277" s="189" t="str">
        <f t="shared" si="158"/>
        <v>Others</v>
      </c>
      <c r="C277" s="510">
        <f t="shared" si="184"/>
        <v>64484.555917028723</v>
      </c>
      <c r="D277" s="510">
        <f t="shared" si="184"/>
        <v>65813.374010221742</v>
      </c>
      <c r="E277" s="510">
        <f t="shared" ref="E277:N277" si="186">(E252/((SUM(E$237:E$255))-E$238-E$240-E$245-E$247-E$248-E$249-E$250-E$254))*(E$130-E$263-E$265-E$270-E$272-E$273-E$274-E$275-E$279)</f>
        <v>67612.495562642143</v>
      </c>
      <c r="F277" s="510">
        <f t="shared" si="186"/>
        <v>69169.181453050958</v>
      </c>
      <c r="G277" s="510">
        <f t="shared" si="186"/>
        <v>71281.503320912598</v>
      </c>
      <c r="H277" s="510">
        <f t="shared" si="186"/>
        <v>74092.474998110833</v>
      </c>
      <c r="I277" s="510">
        <f t="shared" si="186"/>
        <v>75427.939708214326</v>
      </c>
      <c r="J277" s="510">
        <f t="shared" si="186"/>
        <v>75992.876272927897</v>
      </c>
      <c r="K277" s="510">
        <f t="shared" si="186"/>
        <v>77503.472833197549</v>
      </c>
      <c r="L277" s="510">
        <f t="shared" si="186"/>
        <v>79015.407172884967</v>
      </c>
      <c r="M277" s="510">
        <f t="shared" si="186"/>
        <v>78452.879321792803</v>
      </c>
      <c r="N277" s="510">
        <f t="shared" si="186"/>
        <v>76245.697894455225</v>
      </c>
    </row>
    <row r="278" spans="1:28" s="5" customFormat="1">
      <c r="A278" s="164"/>
      <c r="B278" s="189" t="str">
        <f t="shared" si="158"/>
        <v>Physical Education</v>
      </c>
      <c r="C278" s="510">
        <f t="shared" si="184"/>
        <v>100008.02715476669</v>
      </c>
      <c r="D278" s="510">
        <f t="shared" si="184"/>
        <v>102068.86907354771</v>
      </c>
      <c r="E278" s="510">
        <f t="shared" ref="E278:N278" si="187">(E253/((SUM(E$237:E$255))-E$238-E$240-E$245-E$247-E$248-E$249-E$250-E$254))*(E$130-E$263-E$265-E$270-E$272-E$273-E$274-E$275-E$279)</f>
        <v>104859.09681894298</v>
      </c>
      <c r="F278" s="510">
        <f t="shared" si="187"/>
        <v>107273.33512120809</v>
      </c>
      <c r="G278" s="510">
        <f t="shared" si="187"/>
        <v>110549.30003585409</v>
      </c>
      <c r="H278" s="510">
        <f t="shared" si="187"/>
        <v>114908.78934033551</v>
      </c>
      <c r="I278" s="510">
        <f t="shared" si="187"/>
        <v>116979.93938693131</v>
      </c>
      <c r="J278" s="510">
        <f t="shared" si="187"/>
        <v>117856.09012568013</v>
      </c>
      <c r="K278" s="510">
        <f t="shared" si="187"/>
        <v>120198.84925103917</v>
      </c>
      <c r="L278" s="510">
        <f t="shared" si="187"/>
        <v>122543.6831162865</v>
      </c>
      <c r="M278" s="510">
        <f t="shared" si="187"/>
        <v>121671.26801150199</v>
      </c>
      <c r="N278" s="510">
        <f t="shared" si="187"/>
        <v>118248.18698098842</v>
      </c>
    </row>
    <row r="279" spans="1:28" s="5" customFormat="1">
      <c r="A279" s="164"/>
      <c r="B279" s="189" t="str">
        <f t="shared" si="158"/>
        <v>Physics</v>
      </c>
      <c r="C279" s="380">
        <f>C254</f>
        <v>81922.140376606287</v>
      </c>
      <c r="D279" s="518">
        <f>($D254/$D$130)*D$130</f>
        <v>84957.800128069051</v>
      </c>
      <c r="E279" s="518">
        <f t="shared" ref="E279:N279" si="188">($D254/$D$130)*E$130</f>
        <v>87280.267431339365</v>
      </c>
      <c r="F279" s="518">
        <f t="shared" si="188"/>
        <v>89289.777059564658</v>
      </c>
      <c r="G279" s="518">
        <f t="shared" si="188"/>
        <v>92016.551393122878</v>
      </c>
      <c r="H279" s="518">
        <f t="shared" si="188"/>
        <v>95645.205500416894</v>
      </c>
      <c r="I279" s="518">
        <f t="shared" si="188"/>
        <v>97369.143007426421</v>
      </c>
      <c r="J279" s="518">
        <f t="shared" si="188"/>
        <v>98098.413744138932</v>
      </c>
      <c r="K279" s="518">
        <f t="shared" si="188"/>
        <v>100048.42713536255</v>
      </c>
      <c r="L279" s="518">
        <f t="shared" si="188"/>
        <v>102000.16745212514</v>
      </c>
      <c r="M279" s="518">
        <f t="shared" si="188"/>
        <v>101274.00609877873</v>
      </c>
      <c r="N279" s="518">
        <f t="shared" si="188"/>
        <v>98424.778546320958</v>
      </c>
      <c r="P279" s="5" t="s">
        <v>2</v>
      </c>
      <c r="Q279" s="516">
        <f>C279/C$281</f>
        <v>6.40257850317556E-2</v>
      </c>
      <c r="R279" s="514">
        <f>D279/D$281</f>
        <v>6.4025785031755586E-2</v>
      </c>
      <c r="S279" s="514">
        <f>E279/E$281</f>
        <v>6.40257850317556E-2</v>
      </c>
      <c r="T279" s="514">
        <f t="shared" ref="T279:AB279" si="189">F279/F$281</f>
        <v>6.40257850317556E-2</v>
      </c>
      <c r="U279" s="514">
        <f t="shared" si="189"/>
        <v>6.4025785031755586E-2</v>
      </c>
      <c r="V279" s="514">
        <f t="shared" si="189"/>
        <v>6.4025785031755586E-2</v>
      </c>
      <c r="W279" s="514">
        <f t="shared" si="189"/>
        <v>6.4025785031755614E-2</v>
      </c>
      <c r="X279" s="514">
        <f t="shared" si="189"/>
        <v>6.4025785031755572E-2</v>
      </c>
      <c r="Y279" s="514">
        <f t="shared" si="189"/>
        <v>6.4025785031755628E-2</v>
      </c>
      <c r="Z279" s="514">
        <f t="shared" si="189"/>
        <v>6.4025785031755586E-2</v>
      </c>
      <c r="AA279" s="514">
        <f t="shared" si="189"/>
        <v>6.40257850317556E-2</v>
      </c>
      <c r="AB279" s="514">
        <f t="shared" si="189"/>
        <v>6.40257850317556E-2</v>
      </c>
    </row>
    <row r="280" spans="1:28" s="5" customFormat="1">
      <c r="A280" s="164"/>
      <c r="B280" s="189" t="str">
        <f t="shared" si="158"/>
        <v>Religious Education</v>
      </c>
      <c r="C280" s="510">
        <f>(C255/((SUM(C$237:C$255))-C$238-C$240-C$245-C$247-C$248-C$249-C$250-C$254))*(C$130-C$263-C$265-C$270-C$272-C$273-C$274-C$275-C$279)</f>
        <v>42138.865721872142</v>
      </c>
      <c r="D280" s="510">
        <f>(D255/((SUM(D$237:D$255))-D$238-D$240-D$245-D$247-D$248-D$249-D$250-D$254))*(D$130-D$263-D$265-D$270-D$272-D$273-D$274-D$275-D$279)</f>
        <v>43007.211427313639</v>
      </c>
      <c r="E280" s="510">
        <f t="shared" ref="E280:N280" si="190">(E255/((SUM(E$237:E$255))-E$238-E$240-E$245-E$247-E$248-E$249-E$250-E$254))*(E$130-E$263-E$265-E$270-E$272-E$273-E$274-E$275-E$279)</f>
        <v>44182.887376952145</v>
      </c>
      <c r="F280" s="510">
        <f t="shared" si="190"/>
        <v>45200.138357039104</v>
      </c>
      <c r="G280" s="510">
        <f t="shared" si="190"/>
        <v>46580.482011196</v>
      </c>
      <c r="H280" s="510">
        <f t="shared" si="190"/>
        <v>48417.373905215565</v>
      </c>
      <c r="I280" s="510">
        <f t="shared" si="190"/>
        <v>49290.062990145583</v>
      </c>
      <c r="J280" s="510">
        <f t="shared" si="190"/>
        <v>49659.233339592836</v>
      </c>
      <c r="K280" s="510">
        <f t="shared" si="190"/>
        <v>50646.36622293049</v>
      </c>
      <c r="L280" s="510">
        <f t="shared" si="190"/>
        <v>51634.37330795022</v>
      </c>
      <c r="M280" s="510">
        <f t="shared" si="190"/>
        <v>51266.776985933451</v>
      </c>
      <c r="N280" s="510">
        <f t="shared" si="190"/>
        <v>49824.445245135532</v>
      </c>
      <c r="Q280" s="515">
        <f t="shared" ref="Q280:AB280" si="191">C128/C$130</f>
        <v>6.0976938125481522E-2</v>
      </c>
      <c r="R280" s="515">
        <f t="shared" si="191"/>
        <v>6.0976938125481529E-2</v>
      </c>
      <c r="S280" s="515">
        <f t="shared" si="191"/>
        <v>6.0976938125481536E-2</v>
      </c>
      <c r="T280" s="515">
        <f t="shared" si="191"/>
        <v>6.0976938125481529E-2</v>
      </c>
      <c r="U280" s="515">
        <f t="shared" si="191"/>
        <v>6.0976938125481529E-2</v>
      </c>
      <c r="V280" s="515">
        <f t="shared" si="191"/>
        <v>6.0976938125481522E-2</v>
      </c>
      <c r="W280" s="515">
        <f t="shared" si="191"/>
        <v>6.0976938125481529E-2</v>
      </c>
      <c r="X280" s="515">
        <f t="shared" si="191"/>
        <v>6.0976938125481522E-2</v>
      </c>
      <c r="Y280" s="515">
        <f t="shared" si="191"/>
        <v>6.0976938125481529E-2</v>
      </c>
      <c r="Z280" s="515">
        <f t="shared" si="191"/>
        <v>6.0976938125481536E-2</v>
      </c>
      <c r="AA280" s="515">
        <f t="shared" si="191"/>
        <v>6.0976938125481536E-2</v>
      </c>
      <c r="AB280" s="515">
        <f t="shared" si="191"/>
        <v>6.0976938125481529E-2</v>
      </c>
    </row>
    <row r="281" spans="1:28" s="5" customFormat="1">
      <c r="A281" s="164"/>
      <c r="B281" s="189" t="str">
        <f t="shared" si="158"/>
        <v>Recalculated Total</v>
      </c>
      <c r="C281" s="517">
        <f t="shared" ref="C281:N281" si="192">SUM(C262:C280)</f>
        <v>1279517.9369682765</v>
      </c>
      <c r="D281" s="517">
        <f t="shared" si="192"/>
        <v>1326931.018275396</v>
      </c>
      <c r="E281" s="517">
        <f t="shared" si="192"/>
        <v>1363204.9554417797</v>
      </c>
      <c r="F281" s="517">
        <f t="shared" si="192"/>
        <v>1394590.8982651066</v>
      </c>
      <c r="G281" s="517">
        <f t="shared" si="192"/>
        <v>1437179.5886217465</v>
      </c>
      <c r="H281" s="517">
        <f t="shared" si="192"/>
        <v>1493854.4752396033</v>
      </c>
      <c r="I281" s="517">
        <f t="shared" si="192"/>
        <v>1520780.1506710635</v>
      </c>
      <c r="J281" s="517">
        <f t="shared" si="192"/>
        <v>1532170.4168950678</v>
      </c>
      <c r="K281" s="517">
        <f t="shared" si="192"/>
        <v>1562627.1054035551</v>
      </c>
      <c r="L281" s="517">
        <f t="shared" si="192"/>
        <v>1593110.7662566726</v>
      </c>
      <c r="M281" s="517">
        <f t="shared" si="192"/>
        <v>1581769.0645815386</v>
      </c>
      <c r="N281" s="517">
        <f t="shared" si="192"/>
        <v>1537267.8132334354</v>
      </c>
    </row>
    <row r="282" spans="1:28">
      <c r="A282" s="10">
        <f>O282</f>
        <v>0</v>
      </c>
      <c r="B282" s="12"/>
      <c r="C282" s="10">
        <f t="shared" ref="C282:N282" si="193">SUM(C262:C280)-C281</f>
        <v>0</v>
      </c>
      <c r="D282" s="10">
        <f t="shared" si="193"/>
        <v>0</v>
      </c>
      <c r="E282" s="10">
        <f t="shared" si="193"/>
        <v>0</v>
      </c>
      <c r="F282" s="10">
        <f t="shared" si="193"/>
        <v>0</v>
      </c>
      <c r="G282" s="10">
        <f t="shared" si="193"/>
        <v>0</v>
      </c>
      <c r="H282" s="10">
        <f t="shared" si="193"/>
        <v>0</v>
      </c>
      <c r="I282" s="10">
        <f t="shared" si="193"/>
        <v>0</v>
      </c>
      <c r="J282" s="10">
        <f t="shared" si="193"/>
        <v>0</v>
      </c>
      <c r="K282" s="10">
        <f t="shared" si="193"/>
        <v>0</v>
      </c>
      <c r="L282" s="10">
        <f t="shared" si="193"/>
        <v>0</v>
      </c>
      <c r="M282" s="10">
        <f t="shared" si="193"/>
        <v>0</v>
      </c>
      <c r="N282" s="10">
        <f t="shared" si="193"/>
        <v>0</v>
      </c>
      <c r="O282" s="10">
        <f>SUM(C282:N282)</f>
        <v>0</v>
      </c>
    </row>
    <row r="283" spans="1:28">
      <c r="A283" s="10">
        <f>SUM(B283:N283)</f>
        <v>0</v>
      </c>
      <c r="B283" s="12"/>
      <c r="C283" s="10">
        <f t="shared" ref="C283:N283" si="194">C281-C130</f>
        <v>0</v>
      </c>
      <c r="D283" s="10">
        <f t="shared" si="194"/>
        <v>0</v>
      </c>
      <c r="E283" s="10">
        <f t="shared" si="194"/>
        <v>0</v>
      </c>
      <c r="F283" s="10">
        <f t="shared" si="194"/>
        <v>0</v>
      </c>
      <c r="G283" s="10">
        <f t="shared" si="194"/>
        <v>0</v>
      </c>
      <c r="H283" s="10">
        <f t="shared" si="194"/>
        <v>0</v>
      </c>
      <c r="I283" s="10">
        <f t="shared" si="194"/>
        <v>0</v>
      </c>
      <c r="J283" s="10">
        <f t="shared" si="194"/>
        <v>0</v>
      </c>
      <c r="K283" s="10">
        <f t="shared" si="194"/>
        <v>0</v>
      </c>
      <c r="L283" s="10">
        <f t="shared" si="194"/>
        <v>0</v>
      </c>
      <c r="M283" s="10">
        <f t="shared" si="194"/>
        <v>0</v>
      </c>
      <c r="N283" s="10">
        <f t="shared" si="194"/>
        <v>0</v>
      </c>
      <c r="O283" s="10"/>
    </row>
    <row r="284" spans="1:28">
      <c r="B284" s="12"/>
      <c r="C284" s="10"/>
      <c r="D284" s="10"/>
      <c r="E284" s="10"/>
      <c r="F284" s="10"/>
      <c r="G284" s="10"/>
      <c r="H284" s="10"/>
      <c r="I284" s="10"/>
      <c r="J284" s="10"/>
      <c r="K284" s="10"/>
      <c r="L284" s="10"/>
      <c r="M284" s="10"/>
      <c r="N284" s="10"/>
      <c r="O284" s="10"/>
    </row>
    <row r="285" spans="1:28">
      <c r="B285" s="75" t="s">
        <v>1560</v>
      </c>
      <c r="C285" s="256" t="s">
        <v>369</v>
      </c>
      <c r="D285" s="318"/>
      <c r="E285" s="12"/>
      <c r="F285" s="992"/>
    </row>
    <row r="286" spans="1:28">
      <c r="B286" s="12"/>
      <c r="D286" s="12"/>
      <c r="E286" s="12"/>
      <c r="F286" s="12"/>
    </row>
    <row r="287" spans="1:28">
      <c r="B287" s="139" t="s">
        <v>59</v>
      </c>
      <c r="C287" s="8" t="str">
        <f t="shared" ref="C287:N287" si="195">C236</f>
        <v>2017/18</v>
      </c>
      <c r="D287" s="8" t="str">
        <f t="shared" si="195"/>
        <v>2018/19</v>
      </c>
      <c r="E287" s="8" t="str">
        <f t="shared" si="195"/>
        <v>2019/20</v>
      </c>
      <c r="F287" s="8" t="str">
        <f t="shared" si="195"/>
        <v>2020/21</v>
      </c>
      <c r="G287" s="8" t="str">
        <f t="shared" si="195"/>
        <v>2021/22</v>
      </c>
      <c r="H287" s="8" t="str">
        <f t="shared" si="195"/>
        <v>2022/23</v>
      </c>
      <c r="I287" s="8" t="str">
        <f t="shared" si="195"/>
        <v>2023/24</v>
      </c>
      <c r="J287" s="8" t="str">
        <f t="shared" si="195"/>
        <v>2024/25</v>
      </c>
      <c r="K287" s="8" t="str">
        <f t="shared" si="195"/>
        <v>2025/26</v>
      </c>
      <c r="L287" s="8" t="str">
        <f t="shared" si="195"/>
        <v>2026/27</v>
      </c>
      <c r="M287" s="8" t="str">
        <f t="shared" si="195"/>
        <v>2027/28</v>
      </c>
      <c r="N287" s="8" t="str">
        <f t="shared" si="195"/>
        <v>2028/29</v>
      </c>
    </row>
    <row r="288" spans="1:28" s="5" customFormat="1">
      <c r="A288" s="164"/>
      <c r="B288" s="189" t="str">
        <f t="shared" ref="B288:B306" si="196">B184</f>
        <v>Art &amp; Design</v>
      </c>
      <c r="C288" s="447">
        <f t="shared" ref="C288:N288" si="197">C137</f>
        <v>26104.745564442543</v>
      </c>
      <c r="D288" s="447">
        <f t="shared" si="197"/>
        <v>25408.720514669527</v>
      </c>
      <c r="E288" s="447">
        <f t="shared" si="197"/>
        <v>24987.364221575386</v>
      </c>
      <c r="F288" s="447">
        <f t="shared" si="197"/>
        <v>25084.946679181048</v>
      </c>
      <c r="G288" s="447">
        <f t="shared" si="197"/>
        <v>25496.405059904646</v>
      </c>
      <c r="H288" s="447">
        <f t="shared" si="197"/>
        <v>26262.176241310332</v>
      </c>
      <c r="I288" s="447">
        <f t="shared" si="197"/>
        <v>27039.528649340726</v>
      </c>
      <c r="J288" s="447">
        <f t="shared" si="197"/>
        <v>27861.794816216061</v>
      </c>
      <c r="K288" s="447">
        <f t="shared" si="197"/>
        <v>28452.416003789913</v>
      </c>
      <c r="L288" s="447">
        <f t="shared" si="197"/>
        <v>28938.868303803945</v>
      </c>
      <c r="M288" s="447">
        <f t="shared" si="197"/>
        <v>29406.810817302256</v>
      </c>
      <c r="N288" s="447">
        <f t="shared" si="197"/>
        <v>29772.040645493958</v>
      </c>
    </row>
    <row r="289" spans="1:21" s="5" customFormat="1">
      <c r="A289" s="164"/>
      <c r="B289" s="189" t="str">
        <f t="shared" si="196"/>
        <v>Biology</v>
      </c>
      <c r="C289" s="447">
        <f t="shared" ref="C289:N289" si="198">C138</f>
        <v>36755.156700039581</v>
      </c>
      <c r="D289" s="447">
        <f t="shared" si="198"/>
        <v>35775.162096820532</v>
      </c>
      <c r="E289" s="447">
        <f t="shared" si="198"/>
        <v>35181.897682846778</v>
      </c>
      <c r="F289" s="447">
        <f t="shared" si="198"/>
        <v>35319.292568064753</v>
      </c>
      <c r="G289" s="447">
        <f t="shared" si="198"/>
        <v>35898.620844668985</v>
      </c>
      <c r="H289" s="447">
        <f t="shared" si="198"/>
        <v>36976.817132752265</v>
      </c>
      <c r="I289" s="447">
        <f t="shared" si="198"/>
        <v>38071.319643714407</v>
      </c>
      <c r="J289" s="447">
        <f t="shared" si="198"/>
        <v>39229.060167866846</v>
      </c>
      <c r="K289" s="447">
        <f t="shared" si="198"/>
        <v>40060.647445591923</v>
      </c>
      <c r="L289" s="447">
        <f t="shared" si="198"/>
        <v>40745.566226737385</v>
      </c>
      <c r="M289" s="447">
        <f t="shared" si="198"/>
        <v>41404.423458951438</v>
      </c>
      <c r="N289" s="447">
        <f t="shared" si="198"/>
        <v>41918.662509225876</v>
      </c>
    </row>
    <row r="290" spans="1:21" s="5" customFormat="1">
      <c r="A290" s="164"/>
      <c r="B290" s="189" t="str">
        <f t="shared" si="196"/>
        <v>Business Studies</v>
      </c>
      <c r="C290" s="447">
        <f t="shared" ref="C290:N290" si="199">C139</f>
        <v>34868.591699058765</v>
      </c>
      <c r="D290" s="447">
        <f t="shared" si="199"/>
        <v>33938.898160658231</v>
      </c>
      <c r="E290" s="447">
        <f t="shared" si="199"/>
        <v>33376.084763091894</v>
      </c>
      <c r="F290" s="447">
        <f t="shared" si="199"/>
        <v>33506.427457405574</v>
      </c>
      <c r="G290" s="447">
        <f t="shared" si="199"/>
        <v>34056.020030265172</v>
      </c>
      <c r="H290" s="447">
        <f t="shared" si="199"/>
        <v>35078.874767287038</v>
      </c>
      <c r="I290" s="447">
        <f t="shared" si="199"/>
        <v>36117.198763013403</v>
      </c>
      <c r="J290" s="447">
        <f t="shared" si="199"/>
        <v>37215.51489752419</v>
      </c>
      <c r="K290" s="447">
        <f t="shared" si="199"/>
        <v>38004.418546766312</v>
      </c>
      <c r="L290" s="447">
        <f t="shared" si="199"/>
        <v>38654.181885328071</v>
      </c>
      <c r="M290" s="447">
        <f t="shared" si="199"/>
        <v>39279.221359531126</v>
      </c>
      <c r="N290" s="447">
        <f t="shared" si="199"/>
        <v>39767.065599349364</v>
      </c>
    </row>
    <row r="291" spans="1:21" s="5" customFormat="1">
      <c r="A291" s="164"/>
      <c r="B291" s="189" t="str">
        <f t="shared" si="196"/>
        <v>Chemistry</v>
      </c>
      <c r="C291" s="447">
        <f t="shared" ref="C291:N291" si="200">C140</f>
        <v>31127.914746015809</v>
      </c>
      <c r="D291" s="447">
        <f t="shared" si="200"/>
        <v>30297.958048796088</v>
      </c>
      <c r="E291" s="447">
        <f t="shared" si="200"/>
        <v>29795.522859885572</v>
      </c>
      <c r="F291" s="447">
        <f t="shared" si="200"/>
        <v>29911.882485515987</v>
      </c>
      <c r="G291" s="447">
        <f t="shared" si="200"/>
        <v>30402.515170101258</v>
      </c>
      <c r="H291" s="447">
        <f t="shared" si="200"/>
        <v>31315.638800856748</v>
      </c>
      <c r="I291" s="447">
        <f t="shared" si="200"/>
        <v>32242.572159584422</v>
      </c>
      <c r="J291" s="447">
        <f t="shared" si="200"/>
        <v>33223.061744431878</v>
      </c>
      <c r="K291" s="447">
        <f t="shared" si="200"/>
        <v>33927.332388579867</v>
      </c>
      <c r="L291" s="447">
        <f t="shared" si="200"/>
        <v>34507.389592564483</v>
      </c>
      <c r="M291" s="447">
        <f t="shared" si="200"/>
        <v>35065.375290232121</v>
      </c>
      <c r="N291" s="447">
        <f t="shared" si="200"/>
        <v>35500.883957672995</v>
      </c>
    </row>
    <row r="292" spans="1:21" s="5" customFormat="1">
      <c r="A292" s="164"/>
      <c r="B292" s="189" t="str">
        <f t="shared" si="196"/>
        <v>Classics</v>
      </c>
      <c r="C292" s="447">
        <f t="shared" ref="C292:N292" si="201">C141</f>
        <v>1868.9241912209282</v>
      </c>
      <c r="D292" s="447">
        <f t="shared" si="201"/>
        <v>1819.0934794062766</v>
      </c>
      <c r="E292" s="447">
        <f t="shared" si="201"/>
        <v>1788.9272030354603</v>
      </c>
      <c r="F292" s="447">
        <f t="shared" si="201"/>
        <v>1795.9134506205132</v>
      </c>
      <c r="G292" s="447">
        <f t="shared" si="201"/>
        <v>1825.3711030430047</v>
      </c>
      <c r="H292" s="447">
        <f t="shared" si="201"/>
        <v>1880.1951687415544</v>
      </c>
      <c r="I292" s="447">
        <f t="shared" si="201"/>
        <v>1935.8483723663669</v>
      </c>
      <c r="J292" s="447">
        <f t="shared" si="201"/>
        <v>1994.7170990161696</v>
      </c>
      <c r="K292" s="447">
        <f t="shared" si="201"/>
        <v>2037.0016032868389</v>
      </c>
      <c r="L292" s="447">
        <f t="shared" si="201"/>
        <v>2071.8283158907589</v>
      </c>
      <c r="M292" s="447">
        <f t="shared" si="201"/>
        <v>2105.3298522845453</v>
      </c>
      <c r="N292" s="447">
        <f t="shared" si="201"/>
        <v>2131.477851297901</v>
      </c>
    </row>
    <row r="293" spans="1:21" s="5" customFormat="1">
      <c r="A293" s="164"/>
      <c r="B293" s="189" t="str">
        <f t="shared" si="196"/>
        <v>Computing</v>
      </c>
      <c r="C293" s="447">
        <f t="shared" ref="C293:N293" si="202">C142</f>
        <v>22528.932477347778</v>
      </c>
      <c r="D293" s="447">
        <f t="shared" si="202"/>
        <v>21928.248540008903</v>
      </c>
      <c r="E293" s="447">
        <f t="shared" si="202"/>
        <v>21564.609390468464</v>
      </c>
      <c r="F293" s="447">
        <f t="shared" si="202"/>
        <v>21648.825058954659</v>
      </c>
      <c r="G293" s="447">
        <f t="shared" si="202"/>
        <v>22003.922106488699</v>
      </c>
      <c r="H293" s="447">
        <f t="shared" si="202"/>
        <v>22664.798390319887</v>
      </c>
      <c r="I293" s="447">
        <f t="shared" si="202"/>
        <v>23335.669510989799</v>
      </c>
      <c r="J293" s="447">
        <f t="shared" si="202"/>
        <v>24045.302129557615</v>
      </c>
      <c r="K293" s="447">
        <f t="shared" si="202"/>
        <v>24555.020365335655</v>
      </c>
      <c r="L293" s="447">
        <f t="shared" si="202"/>
        <v>24974.838708073858</v>
      </c>
      <c r="M293" s="447">
        <f t="shared" si="202"/>
        <v>25378.682724245518</v>
      </c>
      <c r="N293" s="447">
        <f t="shared" si="202"/>
        <v>25693.883579880443</v>
      </c>
    </row>
    <row r="294" spans="1:21" s="5" customFormat="1">
      <c r="A294" s="164"/>
      <c r="B294" s="189" t="str">
        <f t="shared" si="196"/>
        <v>Design &amp; Technology</v>
      </c>
      <c r="C294" s="447">
        <f t="shared" ref="C294:N294" si="203">C143</f>
        <v>18976.983445079808</v>
      </c>
      <c r="D294" s="447">
        <f t="shared" si="203"/>
        <v>18471.004338166211</v>
      </c>
      <c r="E294" s="447">
        <f t="shared" si="203"/>
        <v>18164.697142840803</v>
      </c>
      <c r="F294" s="447">
        <f t="shared" si="203"/>
        <v>18235.635228712639</v>
      </c>
      <c r="G294" s="447">
        <f t="shared" si="203"/>
        <v>18534.74708406689</v>
      </c>
      <c r="H294" s="447">
        <f t="shared" si="203"/>
        <v>19091.428511831855</v>
      </c>
      <c r="I294" s="447">
        <f t="shared" si="203"/>
        <v>19656.528973806064</v>
      </c>
      <c r="J294" s="447">
        <f t="shared" si="203"/>
        <v>20254.279731334878</v>
      </c>
      <c r="K294" s="447">
        <f t="shared" si="203"/>
        <v>20683.634940763506</v>
      </c>
      <c r="L294" s="447">
        <f t="shared" si="203"/>
        <v>21037.264024080891</v>
      </c>
      <c r="M294" s="447">
        <f t="shared" si="203"/>
        <v>21377.437319774763</v>
      </c>
      <c r="N294" s="447">
        <f t="shared" si="203"/>
        <v>21642.943083320071</v>
      </c>
    </row>
    <row r="295" spans="1:21" s="5" customFormat="1">
      <c r="A295" s="164"/>
      <c r="B295" s="189" t="str">
        <f t="shared" si="196"/>
        <v>Drama</v>
      </c>
      <c r="C295" s="447">
        <f t="shared" ref="C295:N295" si="204">C144</f>
        <v>13577.151551983881</v>
      </c>
      <c r="D295" s="447">
        <f t="shared" si="204"/>
        <v>13215.1469669778</v>
      </c>
      <c r="E295" s="447">
        <f t="shared" si="204"/>
        <v>12995.998374450866</v>
      </c>
      <c r="F295" s="447">
        <f t="shared" si="204"/>
        <v>13046.751284968859</v>
      </c>
      <c r="G295" s="447">
        <f t="shared" si="204"/>
        <v>13260.751945447524</v>
      </c>
      <c r="H295" s="447">
        <f t="shared" si="204"/>
        <v>13659.031689581425</v>
      </c>
      <c r="I295" s="447">
        <f t="shared" si="204"/>
        <v>14063.334862239206</v>
      </c>
      <c r="J295" s="447">
        <f t="shared" si="204"/>
        <v>14490.9978071308</v>
      </c>
      <c r="K295" s="447">
        <f t="shared" si="204"/>
        <v>14798.181547102797</v>
      </c>
      <c r="L295" s="447">
        <f t="shared" si="204"/>
        <v>15051.186755822315</v>
      </c>
      <c r="M295" s="447">
        <f t="shared" si="204"/>
        <v>15294.564972541528</v>
      </c>
      <c r="N295" s="447">
        <f t="shared" si="204"/>
        <v>15484.522032893734</v>
      </c>
    </row>
    <row r="296" spans="1:21" s="5" customFormat="1">
      <c r="A296" s="164"/>
      <c r="B296" s="189" t="str">
        <f t="shared" si="196"/>
        <v>English</v>
      </c>
      <c r="C296" s="447">
        <f t="shared" ref="C296:N296" si="205">C145</f>
        <v>47605.355730539442</v>
      </c>
      <c r="D296" s="447">
        <f t="shared" si="205"/>
        <v>46336.064673478017</v>
      </c>
      <c r="E296" s="447">
        <f t="shared" si="205"/>
        <v>45567.667365313086</v>
      </c>
      <c r="F296" s="447">
        <f t="shared" si="205"/>
        <v>45745.621507632153</v>
      </c>
      <c r="G296" s="447">
        <f t="shared" si="205"/>
        <v>46495.968701566846</v>
      </c>
      <c r="H296" s="447">
        <f t="shared" si="205"/>
        <v>47892.450785984045</v>
      </c>
      <c r="I296" s="447">
        <f t="shared" si="205"/>
        <v>49310.052724333698</v>
      </c>
      <c r="J296" s="447">
        <f t="shared" si="205"/>
        <v>50809.560669456368</v>
      </c>
      <c r="K296" s="447">
        <f t="shared" si="205"/>
        <v>51886.634248550923</v>
      </c>
      <c r="L296" s="447">
        <f t="shared" si="205"/>
        <v>52773.742484520502</v>
      </c>
      <c r="M296" s="447">
        <f t="shared" si="205"/>
        <v>53627.095747877829</v>
      </c>
      <c r="N296" s="447">
        <f t="shared" si="205"/>
        <v>54293.13923991449</v>
      </c>
    </row>
    <row r="297" spans="1:21" s="5" customFormat="1">
      <c r="A297" s="164"/>
      <c r="B297" s="189" t="str">
        <f t="shared" si="196"/>
        <v>Food</v>
      </c>
      <c r="C297" s="447">
        <f t="shared" ref="C297:N297" si="206">C146</f>
        <v>2596.7174530429402</v>
      </c>
      <c r="D297" s="447">
        <f t="shared" si="206"/>
        <v>2527.4817506669506</v>
      </c>
      <c r="E297" s="447">
        <f t="shared" si="206"/>
        <v>2485.568174550071</v>
      </c>
      <c r="F297" s="447">
        <f t="shared" si="206"/>
        <v>2495.2749947199868</v>
      </c>
      <c r="G297" s="447">
        <f t="shared" si="206"/>
        <v>2536.2039957626589</v>
      </c>
      <c r="H297" s="447">
        <f t="shared" si="206"/>
        <v>2612.3775553510732</v>
      </c>
      <c r="I297" s="447">
        <f t="shared" si="206"/>
        <v>2689.7031343387871</v>
      </c>
      <c r="J297" s="447">
        <f t="shared" si="206"/>
        <v>2771.496419827854</v>
      </c>
      <c r="K297" s="447">
        <f t="shared" si="206"/>
        <v>2830.2472834255823</v>
      </c>
      <c r="L297" s="447">
        <f t="shared" si="206"/>
        <v>2878.6361548819627</v>
      </c>
      <c r="M297" s="447">
        <f t="shared" si="206"/>
        <v>2925.1838022751231</v>
      </c>
      <c r="N297" s="447">
        <f t="shared" si="206"/>
        <v>2961.5143103391088</v>
      </c>
    </row>
    <row r="298" spans="1:21" s="5" customFormat="1">
      <c r="A298" s="164"/>
      <c r="B298" s="189" t="str">
        <f t="shared" si="196"/>
        <v>Geography</v>
      </c>
      <c r="C298" s="447">
        <f t="shared" ref="C298:N298" si="207">C147</f>
        <v>22495.595682808995</v>
      </c>
      <c r="D298" s="447">
        <f t="shared" si="207"/>
        <v>21895.80059704007</v>
      </c>
      <c r="E298" s="447">
        <f t="shared" si="207"/>
        <v>21532.699536182998</v>
      </c>
      <c r="F298" s="447">
        <f t="shared" si="207"/>
        <v>21616.790588003932</v>
      </c>
      <c r="G298" s="447">
        <f t="shared" si="207"/>
        <v>21971.36218688092</v>
      </c>
      <c r="H298" s="447">
        <f t="shared" si="207"/>
        <v>22631.260550568233</v>
      </c>
      <c r="I298" s="447">
        <f t="shared" si="207"/>
        <v>23301.138961408938</v>
      </c>
      <c r="J298" s="447">
        <f t="shared" si="207"/>
        <v>24009.721513497709</v>
      </c>
      <c r="K298" s="447">
        <f t="shared" si="207"/>
        <v>24518.685502614666</v>
      </c>
      <c r="L298" s="447">
        <f t="shared" si="207"/>
        <v>24937.882626489099</v>
      </c>
      <c r="M298" s="447">
        <f t="shared" si="207"/>
        <v>25341.129061527859</v>
      </c>
      <c r="N298" s="447">
        <f t="shared" si="207"/>
        <v>25655.863504199217</v>
      </c>
    </row>
    <row r="299" spans="1:21" s="5" customFormat="1">
      <c r="A299" s="164"/>
      <c r="B299" s="189" t="str">
        <f t="shared" si="196"/>
        <v>History</v>
      </c>
      <c r="C299" s="447">
        <f t="shared" ref="C299:N299" si="208">C148</f>
        <v>27975.651606370546</v>
      </c>
      <c r="D299" s="447">
        <f t="shared" si="208"/>
        <v>27229.74300313638</v>
      </c>
      <c r="E299" s="447">
        <f t="shared" si="208"/>
        <v>26778.188444649913</v>
      </c>
      <c r="F299" s="447">
        <f t="shared" si="208"/>
        <v>26882.764558220155</v>
      </c>
      <c r="G299" s="447">
        <f t="shared" si="208"/>
        <v>27323.711828946431</v>
      </c>
      <c r="H299" s="447">
        <f t="shared" si="208"/>
        <v>28144.365212765832</v>
      </c>
      <c r="I299" s="447">
        <f t="shared" si="208"/>
        <v>28977.429840373356</v>
      </c>
      <c r="J299" s="447">
        <f t="shared" si="208"/>
        <v>29858.627159666259</v>
      </c>
      <c r="K299" s="447">
        <f t="shared" si="208"/>
        <v>30491.577690983177</v>
      </c>
      <c r="L299" s="447">
        <f t="shared" si="208"/>
        <v>31012.893634657685</v>
      </c>
      <c r="M299" s="447">
        <f t="shared" si="208"/>
        <v>31514.373210358641</v>
      </c>
      <c r="N299" s="447">
        <f t="shared" si="208"/>
        <v>31905.778765510386</v>
      </c>
    </row>
    <row r="300" spans="1:21" s="5" customFormat="1">
      <c r="A300" s="164"/>
      <c r="B300" s="189" t="str">
        <f t="shared" si="196"/>
        <v>Mathematics</v>
      </c>
      <c r="C300" s="509">
        <f>C149+(C156*0.0052)</f>
        <v>66129.348126970915</v>
      </c>
      <c r="D300" s="509">
        <f>D149+(D156*0.0103)</f>
        <v>67241.261701535215</v>
      </c>
      <c r="E300" s="509">
        <f t="shared" ref="E300:N300" si="209">E149+(E156*0.0155)</f>
        <v>69009.057867642085</v>
      </c>
      <c r="F300" s="380">
        <f t="shared" si="209"/>
        <v>69278.557019455839</v>
      </c>
      <c r="G300" s="380">
        <f t="shared" si="209"/>
        <v>70414.905573616823</v>
      </c>
      <c r="H300" s="380">
        <f t="shared" si="209"/>
        <v>72529.780408048886</v>
      </c>
      <c r="I300" s="380">
        <f t="shared" si="209"/>
        <v>74676.639790000059</v>
      </c>
      <c r="J300" s="380">
        <f t="shared" si="209"/>
        <v>76947.540113432682</v>
      </c>
      <c r="K300" s="380">
        <f t="shared" si="209"/>
        <v>78578.693017345067</v>
      </c>
      <c r="L300" s="380">
        <f t="shared" si="209"/>
        <v>79922.156642553309</v>
      </c>
      <c r="M300" s="380">
        <f t="shared" si="209"/>
        <v>81214.500713195695</v>
      </c>
      <c r="N300" s="380">
        <f t="shared" si="209"/>
        <v>82223.177183637818</v>
      </c>
    </row>
    <row r="301" spans="1:21" s="5" customFormat="1">
      <c r="A301" s="164"/>
      <c r="B301" s="189" t="str">
        <f t="shared" si="196"/>
        <v>Modern Foreign Languages</v>
      </c>
      <c r="C301" s="447">
        <f t="shared" ref="C301:N301" si="210">C150</f>
        <v>23892.41750734071</v>
      </c>
      <c r="D301" s="447">
        <f t="shared" si="210"/>
        <v>23255.379270607384</v>
      </c>
      <c r="E301" s="447">
        <f t="shared" si="210"/>
        <v>22869.732130354721</v>
      </c>
      <c r="F301" s="447">
        <f t="shared" si="210"/>
        <v>22959.044658329811</v>
      </c>
      <c r="G301" s="447">
        <f t="shared" si="210"/>
        <v>23335.632715657328</v>
      </c>
      <c r="H301" s="447">
        <f t="shared" si="210"/>
        <v>24036.506230630617</v>
      </c>
      <c r="I301" s="447">
        <f t="shared" si="210"/>
        <v>24747.979485068194</v>
      </c>
      <c r="J301" s="447">
        <f t="shared" si="210"/>
        <v>25500.560141816906</v>
      </c>
      <c r="K301" s="447">
        <f t="shared" si="210"/>
        <v>26041.127295300947</v>
      </c>
      <c r="L301" s="447">
        <f t="shared" si="210"/>
        <v>26486.353678398609</v>
      </c>
      <c r="M301" s="447">
        <f t="shared" si="210"/>
        <v>26914.638944552084</v>
      </c>
      <c r="N301" s="447">
        <f t="shared" si="210"/>
        <v>27248.916232172025</v>
      </c>
    </row>
    <row r="302" spans="1:21" s="5" customFormat="1">
      <c r="A302" s="164"/>
      <c r="B302" s="189" t="str">
        <f t="shared" si="196"/>
        <v>Music</v>
      </c>
      <c r="C302" s="447">
        <f t="shared" ref="C302:N302" si="211">C151</f>
        <v>10862.913469967232</v>
      </c>
      <c r="D302" s="447">
        <f t="shared" si="211"/>
        <v>10573.278013841102</v>
      </c>
      <c r="E302" s="447">
        <f t="shared" si="211"/>
        <v>10397.939896079772</v>
      </c>
      <c r="F302" s="447">
        <f t="shared" si="211"/>
        <v>10438.546681177149</v>
      </c>
      <c r="G302" s="447">
        <f t="shared" si="211"/>
        <v>10609.766001252859</v>
      </c>
      <c r="H302" s="447">
        <f t="shared" si="211"/>
        <v>10928.424770052938</v>
      </c>
      <c r="I302" s="447">
        <f t="shared" si="211"/>
        <v>11251.902810597676</v>
      </c>
      <c r="J302" s="447">
        <f t="shared" si="211"/>
        <v>11594.070720183243</v>
      </c>
      <c r="K302" s="447">
        <f t="shared" si="211"/>
        <v>11839.844686388189</v>
      </c>
      <c r="L302" s="447">
        <f t="shared" si="211"/>
        <v>12042.271070099692</v>
      </c>
      <c r="M302" s="447">
        <f t="shared" si="211"/>
        <v>12236.995014851524</v>
      </c>
      <c r="N302" s="447">
        <f t="shared" si="211"/>
        <v>12388.977343524421</v>
      </c>
    </row>
    <row r="303" spans="1:21" s="5" customFormat="1">
      <c r="A303" s="164"/>
      <c r="B303" s="189" t="str">
        <f t="shared" si="196"/>
        <v>Others</v>
      </c>
      <c r="C303" s="447">
        <f t="shared" ref="C303:N303" si="212">C152</f>
        <v>125521.61750953425</v>
      </c>
      <c r="D303" s="447">
        <f t="shared" si="212"/>
        <v>122174.86242015827</v>
      </c>
      <c r="E303" s="447">
        <f t="shared" si="212"/>
        <v>120148.81993962787</v>
      </c>
      <c r="F303" s="447">
        <f t="shared" si="212"/>
        <v>120618.03378003788</v>
      </c>
      <c r="G303" s="447">
        <f t="shared" si="212"/>
        <v>122596.48330595966</v>
      </c>
      <c r="H303" s="447">
        <f t="shared" si="212"/>
        <v>126278.60451625621</v>
      </c>
      <c r="I303" s="447">
        <f t="shared" si="212"/>
        <v>130016.41270098003</v>
      </c>
      <c r="J303" s="447">
        <f t="shared" si="212"/>
        <v>133970.1834448766</v>
      </c>
      <c r="K303" s="447">
        <f t="shared" si="212"/>
        <v>136810.11638414464</v>
      </c>
      <c r="L303" s="447">
        <f t="shared" si="212"/>
        <v>139149.16540449465</v>
      </c>
      <c r="M303" s="447">
        <f t="shared" si="212"/>
        <v>141399.21228010143</v>
      </c>
      <c r="N303" s="447">
        <f t="shared" si="212"/>
        <v>143155.37721510074</v>
      </c>
    </row>
    <row r="304" spans="1:21" s="5" customFormat="1">
      <c r="A304" s="164"/>
      <c r="B304" s="189" t="str">
        <f t="shared" si="196"/>
        <v>Physical Education</v>
      </c>
      <c r="C304" s="447">
        <f t="shared" ref="C304:N304" si="213">C153</f>
        <v>27927.289187567345</v>
      </c>
      <c r="D304" s="447">
        <f t="shared" si="213"/>
        <v>27182.670060795288</v>
      </c>
      <c r="E304" s="447">
        <f t="shared" si="213"/>
        <v>26731.896119360292</v>
      </c>
      <c r="F304" s="447">
        <f t="shared" si="213"/>
        <v>26836.291448801803</v>
      </c>
      <c r="G304" s="447">
        <f t="shared" si="213"/>
        <v>27276.476439639944</v>
      </c>
      <c r="H304" s="447">
        <f t="shared" si="213"/>
        <v>28095.711133264067</v>
      </c>
      <c r="I304" s="447">
        <f t="shared" si="213"/>
        <v>28927.335614955511</v>
      </c>
      <c r="J304" s="447">
        <f t="shared" si="213"/>
        <v>29807.009579782771</v>
      </c>
      <c r="K304" s="447">
        <f t="shared" si="213"/>
        <v>30438.865908930318</v>
      </c>
      <c r="L304" s="447">
        <f t="shared" si="213"/>
        <v>30959.280636777883</v>
      </c>
      <c r="M304" s="447">
        <f t="shared" si="213"/>
        <v>31459.89328842636</v>
      </c>
      <c r="N304" s="447">
        <f t="shared" si="213"/>
        <v>31850.622208064964</v>
      </c>
      <c r="S304" s="1038"/>
      <c r="T304" s="1038"/>
      <c r="U304" s="1038"/>
    </row>
    <row r="305" spans="1:28" s="5" customFormat="1">
      <c r="A305" s="164"/>
      <c r="B305" s="189" t="str">
        <f t="shared" si="196"/>
        <v>Physics</v>
      </c>
      <c r="C305" s="447">
        <f t="shared" ref="C305:N305" si="214">C154</f>
        <v>25390.351718020582</v>
      </c>
      <c r="D305" s="447">
        <f t="shared" si="214"/>
        <v>24713.374393163554</v>
      </c>
      <c r="E305" s="447">
        <f t="shared" si="214"/>
        <v>24303.549120059419</v>
      </c>
      <c r="F305" s="447">
        <f t="shared" si="214"/>
        <v>24398.46109359313</v>
      </c>
      <c r="G305" s="447">
        <f t="shared" si="214"/>
        <v>24798.659324911248</v>
      </c>
      <c r="H305" s="447">
        <f t="shared" si="214"/>
        <v>25543.474078359686</v>
      </c>
      <c r="I305" s="447">
        <f t="shared" si="214"/>
        <v>26299.553121536657</v>
      </c>
      <c r="J305" s="447">
        <f t="shared" si="214"/>
        <v>27099.316794055681</v>
      </c>
      <c r="K305" s="447">
        <f t="shared" si="214"/>
        <v>27673.774784753026</v>
      </c>
      <c r="L305" s="447">
        <f t="shared" si="214"/>
        <v>28146.914619075724</v>
      </c>
      <c r="M305" s="447">
        <f t="shared" si="214"/>
        <v>28602.051213769068</v>
      </c>
      <c r="N305" s="447">
        <f t="shared" si="214"/>
        <v>28957.286003275345</v>
      </c>
    </row>
    <row r="306" spans="1:28" s="5" customFormat="1">
      <c r="A306" s="164"/>
      <c r="B306" s="189" t="str">
        <f t="shared" si="196"/>
        <v>Religious Education</v>
      </c>
      <c r="C306" s="447">
        <f t="shared" ref="C306:N306" si="215">C155</f>
        <v>15995.136081573952</v>
      </c>
      <c r="D306" s="447">
        <f t="shared" si="215"/>
        <v>15568.661310547337</v>
      </c>
      <c r="E306" s="447">
        <f t="shared" si="215"/>
        <v>15310.484067247617</v>
      </c>
      <c r="F306" s="447">
        <f t="shared" si="215"/>
        <v>15370.275674284117</v>
      </c>
      <c r="G306" s="447">
        <f t="shared" si="215"/>
        <v>15622.388179090236</v>
      </c>
      <c r="H306" s="447">
        <f t="shared" si="215"/>
        <v>16091.598431444334</v>
      </c>
      <c r="I306" s="447">
        <f t="shared" si="215"/>
        <v>16567.904837844311</v>
      </c>
      <c r="J306" s="447">
        <f t="shared" si="215"/>
        <v>17071.73120925932</v>
      </c>
      <c r="K306" s="447">
        <f t="shared" si="215"/>
        <v>17433.621971403827</v>
      </c>
      <c r="L306" s="447">
        <f t="shared" si="215"/>
        <v>17731.685429509987</v>
      </c>
      <c r="M306" s="447">
        <f t="shared" si="215"/>
        <v>18018.407403615503</v>
      </c>
      <c r="N306" s="447">
        <f t="shared" si="215"/>
        <v>18242.194331113216</v>
      </c>
    </row>
    <row r="307" spans="1:28" s="5" customFormat="1">
      <c r="A307" s="164"/>
      <c r="B307" s="138" t="s">
        <v>375</v>
      </c>
      <c r="C307" s="509">
        <f>SUM(C288:C306)</f>
        <v>582200.794448926</v>
      </c>
      <c r="D307" s="509">
        <f t="shared" ref="D307:N307" si="216">SUM(D288:D306)</f>
        <v>569552.80934047315</v>
      </c>
      <c r="E307" s="509">
        <f t="shared" si="216"/>
        <v>562990.70429926307</v>
      </c>
      <c r="F307" s="509">
        <f t="shared" si="216"/>
        <v>565189.3362176799</v>
      </c>
      <c r="G307" s="509">
        <f t="shared" si="216"/>
        <v>574459.9115972711</v>
      </c>
      <c r="H307" s="509">
        <f t="shared" si="216"/>
        <v>591713.51437540702</v>
      </c>
      <c r="I307" s="509">
        <f t="shared" si="216"/>
        <v>609228.05395649152</v>
      </c>
      <c r="J307" s="509">
        <f t="shared" si="216"/>
        <v>627754.5461589339</v>
      </c>
      <c r="K307" s="509">
        <f t="shared" si="216"/>
        <v>641061.84161505708</v>
      </c>
      <c r="L307" s="509">
        <f t="shared" si="216"/>
        <v>652022.10619376076</v>
      </c>
      <c r="M307" s="509">
        <f t="shared" si="216"/>
        <v>662565.32647541445</v>
      </c>
      <c r="N307" s="509">
        <f t="shared" si="216"/>
        <v>670794.3255959861</v>
      </c>
    </row>
    <row r="308" spans="1:28">
      <c r="A308" s="10">
        <f>O308</f>
        <v>0</v>
      </c>
      <c r="B308" s="12"/>
      <c r="C308" s="10">
        <f t="shared" ref="C308:N308" si="217">SUM(C288:C306)-C307</f>
        <v>0</v>
      </c>
      <c r="D308" s="10">
        <f t="shared" si="217"/>
        <v>0</v>
      </c>
      <c r="E308" s="10">
        <f t="shared" si="217"/>
        <v>0</v>
      </c>
      <c r="F308" s="10">
        <f t="shared" si="217"/>
        <v>0</v>
      </c>
      <c r="G308" s="10">
        <f t="shared" si="217"/>
        <v>0</v>
      </c>
      <c r="H308" s="10">
        <f t="shared" si="217"/>
        <v>0</v>
      </c>
      <c r="I308" s="10">
        <f t="shared" si="217"/>
        <v>0</v>
      </c>
      <c r="J308" s="10">
        <f t="shared" si="217"/>
        <v>0</v>
      </c>
      <c r="K308" s="10">
        <f t="shared" si="217"/>
        <v>0</v>
      </c>
      <c r="L308" s="10">
        <f t="shared" si="217"/>
        <v>0</v>
      </c>
      <c r="M308" s="10">
        <f t="shared" si="217"/>
        <v>0</v>
      </c>
      <c r="N308" s="10">
        <f t="shared" si="217"/>
        <v>0</v>
      </c>
      <c r="O308" s="10">
        <f>SUM(C308:N308)</f>
        <v>0</v>
      </c>
    </row>
    <row r="309" spans="1:28">
      <c r="B309" s="12"/>
      <c r="C309" s="10"/>
      <c r="D309" s="10"/>
      <c r="E309" s="10"/>
      <c r="F309" s="10"/>
      <c r="G309" s="10"/>
      <c r="H309" s="10"/>
      <c r="I309" s="10"/>
      <c r="J309" s="10"/>
      <c r="K309" s="10"/>
      <c r="L309" s="10"/>
      <c r="M309" s="10"/>
      <c r="N309" s="10"/>
      <c r="O309" s="10"/>
    </row>
    <row r="310" spans="1:28">
      <c r="B310" s="75" t="s">
        <v>1568</v>
      </c>
      <c r="D310" s="12"/>
      <c r="E310" s="12"/>
      <c r="F310" s="12"/>
    </row>
    <row r="311" spans="1:28">
      <c r="B311" s="12"/>
      <c r="D311" s="12"/>
      <c r="E311" s="12"/>
      <c r="F311" s="12"/>
    </row>
    <row r="312" spans="1:28">
      <c r="B312" s="139" t="s">
        <v>59</v>
      </c>
      <c r="C312" s="8" t="str">
        <f>C287</f>
        <v>2017/18</v>
      </c>
      <c r="D312" s="8" t="str">
        <f t="shared" ref="D312:N312" si="218">D287</f>
        <v>2018/19</v>
      </c>
      <c r="E312" s="8" t="str">
        <f t="shared" si="218"/>
        <v>2019/20</v>
      </c>
      <c r="F312" s="8" t="str">
        <f t="shared" si="218"/>
        <v>2020/21</v>
      </c>
      <c r="G312" s="8" t="str">
        <f t="shared" si="218"/>
        <v>2021/22</v>
      </c>
      <c r="H312" s="8" t="str">
        <f t="shared" si="218"/>
        <v>2022/23</v>
      </c>
      <c r="I312" s="8" t="str">
        <f t="shared" si="218"/>
        <v>2023/24</v>
      </c>
      <c r="J312" s="8" t="str">
        <f t="shared" si="218"/>
        <v>2024/25</v>
      </c>
      <c r="K312" s="8" t="str">
        <f t="shared" si="218"/>
        <v>2025/26</v>
      </c>
      <c r="L312" s="8" t="str">
        <f t="shared" si="218"/>
        <v>2026/27</v>
      </c>
      <c r="M312" s="8" t="str">
        <f t="shared" si="218"/>
        <v>2027/28</v>
      </c>
      <c r="N312" s="8" t="str">
        <f t="shared" si="218"/>
        <v>2028/29</v>
      </c>
      <c r="Q312" s="256" t="s">
        <v>467</v>
      </c>
    </row>
    <row r="313" spans="1:28" s="5" customFormat="1">
      <c r="A313" s="164"/>
      <c r="B313" s="189" t="str">
        <f t="shared" ref="B313:B332" si="219">B288</f>
        <v>Art &amp; Design</v>
      </c>
      <c r="C313" s="510">
        <f t="shared" ref="C313:N313" si="220">(C288/((SUM(C$288:C$306))-C$289-C$291-C$296-C$300-C$305))*(C$156-C$314-C$316-C$321-C$325-C$330)</f>
        <v>25895.195026577388</v>
      </c>
      <c r="D313" s="510">
        <f t="shared" si="220"/>
        <v>25004.71620999643</v>
      </c>
      <c r="E313" s="510">
        <f t="shared" si="220"/>
        <v>24389.478589330742</v>
      </c>
      <c r="F313" s="510">
        <f t="shared" si="220"/>
        <v>24484.726140827694</v>
      </c>
      <c r="G313" s="510">
        <f t="shared" si="220"/>
        <v>24886.339343327607</v>
      </c>
      <c r="H313" s="510">
        <f t="shared" si="220"/>
        <v>25633.787520238326</v>
      </c>
      <c r="I313" s="510">
        <f t="shared" si="220"/>
        <v>26392.539813753607</v>
      </c>
      <c r="J313" s="510">
        <f t="shared" si="220"/>
        <v>27195.131191295564</v>
      </c>
      <c r="K313" s="510">
        <f t="shared" si="220"/>
        <v>27771.620279180232</v>
      </c>
      <c r="L313" s="510">
        <f t="shared" si="220"/>
        <v>28246.432982541657</v>
      </c>
      <c r="M313" s="510">
        <f t="shared" si="220"/>
        <v>28703.178792655963</v>
      </c>
      <c r="N313" s="510">
        <f t="shared" si="220"/>
        <v>29059.669577193166</v>
      </c>
    </row>
    <row r="314" spans="1:28" s="5" customFormat="1">
      <c r="A314" s="164"/>
      <c r="B314" s="189" t="str">
        <f t="shared" si="219"/>
        <v>Biology</v>
      </c>
      <c r="C314" s="380">
        <f>C289</f>
        <v>36755.156700039581</v>
      </c>
      <c r="D314" s="380">
        <f t="shared" ref="D314:N314" si="221">D289</f>
        <v>35775.162096820532</v>
      </c>
      <c r="E314" s="380">
        <f t="shared" si="221"/>
        <v>35181.897682846778</v>
      </c>
      <c r="F314" s="380">
        <f t="shared" si="221"/>
        <v>35319.292568064753</v>
      </c>
      <c r="G314" s="380">
        <f t="shared" si="221"/>
        <v>35898.620844668985</v>
      </c>
      <c r="H314" s="380">
        <f t="shared" si="221"/>
        <v>36976.817132752265</v>
      </c>
      <c r="I314" s="380">
        <f t="shared" si="221"/>
        <v>38071.319643714407</v>
      </c>
      <c r="J314" s="380">
        <f t="shared" si="221"/>
        <v>39229.060167866846</v>
      </c>
      <c r="K314" s="380">
        <f t="shared" si="221"/>
        <v>40060.647445591923</v>
      </c>
      <c r="L314" s="380">
        <f t="shared" si="221"/>
        <v>40745.566226737385</v>
      </c>
      <c r="M314" s="380">
        <f t="shared" si="221"/>
        <v>41404.423458951438</v>
      </c>
      <c r="N314" s="380">
        <f t="shared" si="221"/>
        <v>41918.662509225876</v>
      </c>
      <c r="P314" s="5" t="s">
        <v>7</v>
      </c>
      <c r="Q314" s="514">
        <f>C314/C$332</f>
        <v>6.3459692716240218E-2</v>
      </c>
      <c r="R314" s="514">
        <f t="shared" ref="R314:AB314" si="222">D314/D$332</f>
        <v>6.3459692716240218E-2</v>
      </c>
      <c r="S314" s="514">
        <f t="shared" si="222"/>
        <v>6.3459692716240218E-2</v>
      </c>
      <c r="T314" s="514">
        <f t="shared" si="222"/>
        <v>6.3459692716240218E-2</v>
      </c>
      <c r="U314" s="514">
        <f t="shared" si="222"/>
        <v>6.3459692716240232E-2</v>
      </c>
      <c r="V314" s="514">
        <f t="shared" si="222"/>
        <v>6.3459692716240204E-2</v>
      </c>
      <c r="W314" s="514">
        <f t="shared" si="222"/>
        <v>6.3459692716240232E-2</v>
      </c>
      <c r="X314" s="514">
        <f t="shared" si="222"/>
        <v>6.3459692716240232E-2</v>
      </c>
      <c r="Y314" s="514">
        <f t="shared" si="222"/>
        <v>6.3459692716240218E-2</v>
      </c>
      <c r="Z314" s="514">
        <f t="shared" si="222"/>
        <v>6.3459692716240218E-2</v>
      </c>
      <c r="AA314" s="514">
        <f t="shared" si="222"/>
        <v>6.3459692716240218E-2</v>
      </c>
      <c r="AB314" s="514">
        <f t="shared" si="222"/>
        <v>6.3459692716240218E-2</v>
      </c>
    </row>
    <row r="315" spans="1:28" s="5" customFormat="1">
      <c r="A315" s="164"/>
      <c r="B315" s="189" t="str">
        <f t="shared" si="219"/>
        <v>Business Studies</v>
      </c>
      <c r="C315" s="510">
        <f t="shared" ref="C315:N315" si="223">(C290/((SUM(C$288:C$306))-C$289-C$291-C$296-C$300-C$305))*(C$156-C$314-C$316-C$321-C$325-C$330)</f>
        <v>34588.691168057587</v>
      </c>
      <c r="D315" s="510">
        <f t="shared" si="223"/>
        <v>33399.262135111348</v>
      </c>
      <c r="E315" s="510">
        <f t="shared" si="223"/>
        <v>32577.477860679926</v>
      </c>
      <c r="F315" s="510">
        <f t="shared" si="223"/>
        <v>32704.701777698523</v>
      </c>
      <c r="G315" s="510">
        <f t="shared" si="223"/>
        <v>33241.143963827148</v>
      </c>
      <c r="H315" s="510">
        <f t="shared" si="223"/>
        <v>34239.524324691702</v>
      </c>
      <c r="I315" s="510">
        <f t="shared" si="223"/>
        <v>35253.003803279134</v>
      </c>
      <c r="J315" s="510">
        <f t="shared" si="223"/>
        <v>36325.039957610192</v>
      </c>
      <c r="K315" s="510">
        <f t="shared" si="223"/>
        <v>37095.067099793625</v>
      </c>
      <c r="L315" s="510">
        <f t="shared" si="223"/>
        <v>37729.283213724535</v>
      </c>
      <c r="M315" s="510">
        <f t="shared" si="223"/>
        <v>38339.367044031016</v>
      </c>
      <c r="N315" s="510">
        <f t="shared" si="223"/>
        <v>38815.538381530532</v>
      </c>
      <c r="Q315" s="515">
        <f t="shared" ref="Q315:AB315" si="224">C138/C$156</f>
        <v>6.3459692716240218E-2</v>
      </c>
      <c r="R315" s="515">
        <f t="shared" si="224"/>
        <v>6.3459692716240218E-2</v>
      </c>
      <c r="S315" s="515">
        <f t="shared" si="224"/>
        <v>6.3459692716240218E-2</v>
      </c>
      <c r="T315" s="515">
        <f t="shared" si="224"/>
        <v>6.3459692716240218E-2</v>
      </c>
      <c r="U315" s="515">
        <f t="shared" si="224"/>
        <v>6.3459692716240232E-2</v>
      </c>
      <c r="V315" s="515">
        <f t="shared" si="224"/>
        <v>6.3459692716240218E-2</v>
      </c>
      <c r="W315" s="515">
        <f t="shared" si="224"/>
        <v>6.3459692716240218E-2</v>
      </c>
      <c r="X315" s="515">
        <f t="shared" si="224"/>
        <v>6.3459692716240218E-2</v>
      </c>
      <c r="Y315" s="515">
        <f t="shared" si="224"/>
        <v>6.3459692716240218E-2</v>
      </c>
      <c r="Z315" s="515">
        <f t="shared" si="224"/>
        <v>6.3459692716240218E-2</v>
      </c>
      <c r="AA315" s="515">
        <f t="shared" si="224"/>
        <v>6.3459692716240218E-2</v>
      </c>
      <c r="AB315" s="515">
        <f t="shared" si="224"/>
        <v>6.3459692716240218E-2</v>
      </c>
    </row>
    <row r="316" spans="1:28" s="5" customFormat="1">
      <c r="A316" s="164"/>
      <c r="B316" s="189" t="str">
        <f t="shared" si="219"/>
        <v>Chemistry</v>
      </c>
      <c r="C316" s="380">
        <f>C291</f>
        <v>31127.914746015809</v>
      </c>
      <c r="D316" s="380">
        <f t="shared" ref="D316:N316" si="225">D291</f>
        <v>30297.958048796088</v>
      </c>
      <c r="E316" s="380">
        <f t="shared" si="225"/>
        <v>29795.522859885572</v>
      </c>
      <c r="F316" s="380">
        <f t="shared" si="225"/>
        <v>29911.882485515987</v>
      </c>
      <c r="G316" s="380">
        <f t="shared" si="225"/>
        <v>30402.515170101258</v>
      </c>
      <c r="H316" s="380">
        <f t="shared" si="225"/>
        <v>31315.638800856748</v>
      </c>
      <c r="I316" s="380">
        <f t="shared" si="225"/>
        <v>32242.572159584422</v>
      </c>
      <c r="J316" s="380">
        <f t="shared" si="225"/>
        <v>33223.061744431878</v>
      </c>
      <c r="K316" s="380">
        <f t="shared" si="225"/>
        <v>33927.332388579867</v>
      </c>
      <c r="L316" s="380">
        <f t="shared" si="225"/>
        <v>34507.389592564483</v>
      </c>
      <c r="M316" s="380">
        <f t="shared" si="225"/>
        <v>35065.375290232121</v>
      </c>
      <c r="N316" s="380">
        <f t="shared" si="225"/>
        <v>35500.883957672995</v>
      </c>
      <c r="P316" s="5" t="s">
        <v>3</v>
      </c>
      <c r="Q316" s="514">
        <f>C316/C$332</f>
        <v>5.3743966344656037E-2</v>
      </c>
      <c r="R316" s="514">
        <f t="shared" ref="R316:AB316" si="226">D316/D$332</f>
        <v>5.3743966344656037E-2</v>
      </c>
      <c r="S316" s="514">
        <f t="shared" si="226"/>
        <v>5.374396634465603E-2</v>
      </c>
      <c r="T316" s="514">
        <f t="shared" si="226"/>
        <v>5.3743966344656037E-2</v>
      </c>
      <c r="U316" s="514">
        <f t="shared" si="226"/>
        <v>5.3743966344656044E-2</v>
      </c>
      <c r="V316" s="514">
        <f t="shared" si="226"/>
        <v>5.3743966344656023E-2</v>
      </c>
      <c r="W316" s="514">
        <f t="shared" si="226"/>
        <v>5.3743966344656037E-2</v>
      </c>
      <c r="X316" s="514">
        <f t="shared" si="226"/>
        <v>5.3743966344656058E-2</v>
      </c>
      <c r="Y316" s="514">
        <f t="shared" si="226"/>
        <v>5.374396634465603E-2</v>
      </c>
      <c r="Z316" s="514">
        <f t="shared" si="226"/>
        <v>5.3743966344656037E-2</v>
      </c>
      <c r="AA316" s="514">
        <f t="shared" si="226"/>
        <v>5.374396634465603E-2</v>
      </c>
      <c r="AB316" s="514">
        <f t="shared" si="226"/>
        <v>5.3743966344656037E-2</v>
      </c>
    </row>
    <row r="317" spans="1:28" s="5" customFormat="1">
      <c r="A317" s="164"/>
      <c r="B317" s="189" t="str">
        <f t="shared" si="219"/>
        <v>Classics</v>
      </c>
      <c r="C317" s="510">
        <f t="shared" ref="C317:N317" si="227">(C292/((SUM(C$288:C$306))-C$289-C$291-C$296-C$300-C$305))*(C$156-C$314-C$316-C$321-C$325-C$330)</f>
        <v>1853.9217822323883</v>
      </c>
      <c r="D317" s="510">
        <f t="shared" si="227"/>
        <v>1790.1694886898374</v>
      </c>
      <c r="E317" s="510">
        <f t="shared" si="227"/>
        <v>1746.1226133899877</v>
      </c>
      <c r="F317" s="510">
        <f t="shared" si="227"/>
        <v>1752.9416974031903</v>
      </c>
      <c r="G317" s="510">
        <f t="shared" si="227"/>
        <v>1781.6945012875606</v>
      </c>
      <c r="H317" s="510">
        <f t="shared" si="227"/>
        <v>1835.2067631122911</v>
      </c>
      <c r="I317" s="510">
        <f t="shared" si="227"/>
        <v>1889.5283236497976</v>
      </c>
      <c r="J317" s="510">
        <f t="shared" si="227"/>
        <v>1946.9884677240086</v>
      </c>
      <c r="K317" s="510">
        <f t="shared" si="227"/>
        <v>1988.2612087152138</v>
      </c>
      <c r="L317" s="510">
        <f t="shared" si="227"/>
        <v>2022.2546044914936</v>
      </c>
      <c r="M317" s="510">
        <f t="shared" si="227"/>
        <v>2054.9545322365907</v>
      </c>
      <c r="N317" s="510">
        <f t="shared" si="227"/>
        <v>2080.4768745066654</v>
      </c>
      <c r="Q317" s="515">
        <f t="shared" ref="Q317:AB317" si="228">C140/C$156</f>
        <v>5.3743966344656037E-2</v>
      </c>
      <c r="R317" s="515">
        <f t="shared" si="228"/>
        <v>5.3743966344656037E-2</v>
      </c>
      <c r="S317" s="515">
        <f t="shared" si="228"/>
        <v>5.374396634465603E-2</v>
      </c>
      <c r="T317" s="515">
        <f t="shared" si="228"/>
        <v>5.3743966344656037E-2</v>
      </c>
      <c r="U317" s="515">
        <f t="shared" si="228"/>
        <v>5.3743966344656044E-2</v>
      </c>
      <c r="V317" s="515">
        <f t="shared" si="228"/>
        <v>5.3743966344656037E-2</v>
      </c>
      <c r="W317" s="515">
        <f t="shared" si="228"/>
        <v>5.374396634465603E-2</v>
      </c>
      <c r="X317" s="515">
        <f t="shared" si="228"/>
        <v>5.3743966344656044E-2</v>
      </c>
      <c r="Y317" s="515">
        <f t="shared" si="228"/>
        <v>5.374396634465603E-2</v>
      </c>
      <c r="Z317" s="515">
        <f t="shared" si="228"/>
        <v>5.3743966344656037E-2</v>
      </c>
      <c r="AA317" s="515">
        <f t="shared" si="228"/>
        <v>5.374396634465603E-2</v>
      </c>
      <c r="AB317" s="515">
        <f t="shared" si="228"/>
        <v>5.3743966344656037E-2</v>
      </c>
    </row>
    <row r="318" spans="1:28" s="5" customFormat="1">
      <c r="A318" s="164"/>
      <c r="B318" s="189" t="str">
        <f t="shared" si="219"/>
        <v>Computing</v>
      </c>
      <c r="C318" s="510">
        <f t="shared" ref="C318:N318" si="229">(C293/((SUM(C$288:C$306))-C$289-C$291-C$296-C$300-C$305))*(C$156-C$314-C$316-C$321-C$325-C$330)</f>
        <v>22348.086052068447</v>
      </c>
      <c r="D318" s="510">
        <f t="shared" si="229"/>
        <v>21579.584513459813</v>
      </c>
      <c r="E318" s="510">
        <f t="shared" si="229"/>
        <v>21048.621789487468</v>
      </c>
      <c r="F318" s="510">
        <f t="shared" si="229"/>
        <v>21130.822385965617</v>
      </c>
      <c r="G318" s="510">
        <f t="shared" si="229"/>
        <v>21477.422842146902</v>
      </c>
      <c r="H318" s="510">
        <f t="shared" si="229"/>
        <v>22122.485996138144</v>
      </c>
      <c r="I318" s="510">
        <f t="shared" si="229"/>
        <v>22777.304835319712</v>
      </c>
      <c r="J318" s="510">
        <f t="shared" si="229"/>
        <v>23469.957705921646</v>
      </c>
      <c r="K318" s="510">
        <f t="shared" si="229"/>
        <v>23967.47964892699</v>
      </c>
      <c r="L318" s="510">
        <f t="shared" si="229"/>
        <v>24377.252780291543</v>
      </c>
      <c r="M318" s="510">
        <f t="shared" si="229"/>
        <v>24771.433811092036</v>
      </c>
      <c r="N318" s="510">
        <f t="shared" si="229"/>
        <v>25079.092692264017</v>
      </c>
    </row>
    <row r="319" spans="1:28" s="5" customFormat="1">
      <c r="A319" s="164"/>
      <c r="B319" s="189" t="str">
        <f t="shared" si="219"/>
        <v>Design &amp; Technology</v>
      </c>
      <c r="C319" s="510">
        <f t="shared" ref="C319:N319" si="230">(C294/((SUM(C$288:C$306))-C$289-C$291-C$296-C$300-C$305))*(C$156-C$314-C$316-C$321-C$325-C$330)</f>
        <v>18824.649568537789</v>
      </c>
      <c r="D319" s="510">
        <f t="shared" si="230"/>
        <v>18177.311262989668</v>
      </c>
      <c r="E319" s="510">
        <f t="shared" si="230"/>
        <v>17730.061006773183</v>
      </c>
      <c r="F319" s="510">
        <f t="shared" si="230"/>
        <v>17799.301720247291</v>
      </c>
      <c r="G319" s="510">
        <f t="shared" si="230"/>
        <v>18091.256570998547</v>
      </c>
      <c r="H319" s="510">
        <f t="shared" si="230"/>
        <v>18634.617993322099</v>
      </c>
      <c r="I319" s="510">
        <f t="shared" si="230"/>
        <v>19186.197003253859</v>
      </c>
      <c r="J319" s="510">
        <f t="shared" si="230"/>
        <v>19769.645068172882</v>
      </c>
      <c r="K319" s="510">
        <f t="shared" si="230"/>
        <v>20188.726872668918</v>
      </c>
      <c r="L319" s="510">
        <f t="shared" si="230"/>
        <v>20533.894489375234</v>
      </c>
      <c r="M319" s="510">
        <f t="shared" si="230"/>
        <v>20865.928282072106</v>
      </c>
      <c r="N319" s="510">
        <f t="shared" si="230"/>
        <v>21125.081151414797</v>
      </c>
    </row>
    <row r="320" spans="1:28" s="5" customFormat="1">
      <c r="A320" s="164"/>
      <c r="B320" s="189" t="str">
        <f t="shared" si="219"/>
        <v>Drama</v>
      </c>
      <c r="C320" s="510">
        <f t="shared" ref="C320:N320" si="231">(C295/((SUM(C$288:C$306))-C$289-C$291-C$296-C$300-C$305))*(C$156-C$314-C$316-C$321-C$325-C$330)</f>
        <v>13468.163728165739</v>
      </c>
      <c r="D320" s="510">
        <f t="shared" si="231"/>
        <v>13005.023192407401</v>
      </c>
      <c r="E320" s="510">
        <f t="shared" si="231"/>
        <v>12685.036376384269</v>
      </c>
      <c r="F320" s="510">
        <f t="shared" si="231"/>
        <v>12734.574895671389</v>
      </c>
      <c r="G320" s="510">
        <f t="shared" si="231"/>
        <v>12943.455051279807</v>
      </c>
      <c r="H320" s="510">
        <f t="shared" si="231"/>
        <v>13332.204949267471</v>
      </c>
      <c r="I320" s="510">
        <f t="shared" si="231"/>
        <v>13726.834150078539</v>
      </c>
      <c r="J320" s="510">
        <f t="shared" si="231"/>
        <v>14144.26418172939</v>
      </c>
      <c r="K320" s="510">
        <f t="shared" si="231"/>
        <v>14444.09777692583</v>
      </c>
      <c r="L320" s="510">
        <f t="shared" si="231"/>
        <v>14691.049198705869</v>
      </c>
      <c r="M320" s="510">
        <f t="shared" si="231"/>
        <v>14928.603978519635</v>
      </c>
      <c r="N320" s="510">
        <f t="shared" si="231"/>
        <v>15114.015837700521</v>
      </c>
    </row>
    <row r="321" spans="1:28" s="5" customFormat="1">
      <c r="A321" s="164"/>
      <c r="B321" s="189" t="str">
        <f t="shared" si="219"/>
        <v>English</v>
      </c>
      <c r="C321" s="380">
        <f>C296</f>
        <v>47605.355730539442</v>
      </c>
      <c r="D321" s="380">
        <f t="shared" ref="D321:N321" si="232">D296</f>
        <v>46336.064673478017</v>
      </c>
      <c r="E321" s="380">
        <f t="shared" si="232"/>
        <v>45567.667365313086</v>
      </c>
      <c r="F321" s="380">
        <f t="shared" si="232"/>
        <v>45745.621507632153</v>
      </c>
      <c r="G321" s="380">
        <f t="shared" si="232"/>
        <v>46495.968701566846</v>
      </c>
      <c r="H321" s="380">
        <f t="shared" si="232"/>
        <v>47892.450785984045</v>
      </c>
      <c r="I321" s="380">
        <f t="shared" si="232"/>
        <v>49310.052724333698</v>
      </c>
      <c r="J321" s="380">
        <f t="shared" si="232"/>
        <v>50809.560669456368</v>
      </c>
      <c r="K321" s="380">
        <f t="shared" si="232"/>
        <v>51886.634248550923</v>
      </c>
      <c r="L321" s="380">
        <f t="shared" si="232"/>
        <v>52773.742484520502</v>
      </c>
      <c r="M321" s="380">
        <f t="shared" si="232"/>
        <v>53627.095747877829</v>
      </c>
      <c r="N321" s="380">
        <f t="shared" si="232"/>
        <v>54293.13923991449</v>
      </c>
      <c r="P321" s="5" t="s">
        <v>1</v>
      </c>
      <c r="Q321" s="514">
        <f>C321/C$332</f>
        <v>8.2193126558050694E-2</v>
      </c>
      <c r="R321" s="514">
        <f t="shared" ref="R321:AB321" si="233">D321/D$332</f>
        <v>8.2193126558050708E-2</v>
      </c>
      <c r="S321" s="514">
        <f t="shared" si="233"/>
        <v>8.2193126558050694E-2</v>
      </c>
      <c r="T321" s="514">
        <f t="shared" si="233"/>
        <v>8.2193126558050708E-2</v>
      </c>
      <c r="U321" s="514">
        <f t="shared" si="233"/>
        <v>8.2193126558050708E-2</v>
      </c>
      <c r="V321" s="514">
        <f t="shared" si="233"/>
        <v>8.2193126558050694E-2</v>
      </c>
      <c r="W321" s="514">
        <f t="shared" si="233"/>
        <v>8.2193126558050722E-2</v>
      </c>
      <c r="X321" s="514">
        <f t="shared" si="233"/>
        <v>8.2193126558050736E-2</v>
      </c>
      <c r="Y321" s="514">
        <f t="shared" si="233"/>
        <v>8.2193126558050694E-2</v>
      </c>
      <c r="Z321" s="514">
        <f t="shared" si="233"/>
        <v>8.2193126558050708E-2</v>
      </c>
      <c r="AA321" s="514">
        <f t="shared" si="233"/>
        <v>8.2193126558050708E-2</v>
      </c>
      <c r="AB321" s="514">
        <f t="shared" si="233"/>
        <v>8.2193126558050708E-2</v>
      </c>
    </row>
    <row r="322" spans="1:28" s="5" customFormat="1">
      <c r="A322" s="164"/>
      <c r="B322" s="189" t="str">
        <f t="shared" si="219"/>
        <v>Food</v>
      </c>
      <c r="C322" s="510">
        <f t="shared" ref="C322:N322" si="234">(C297/((SUM(C$288:C$306))-C$289-C$291-C$296-C$300-C$305))*(C$156-C$314-C$316-C$321-C$325-C$330)</f>
        <v>2575.8728316071288</v>
      </c>
      <c r="D322" s="510">
        <f t="shared" si="234"/>
        <v>2487.2942289590937</v>
      </c>
      <c r="E322" s="510">
        <f t="shared" si="234"/>
        <v>2426.0946948204696</v>
      </c>
      <c r="F322" s="510">
        <f t="shared" si="234"/>
        <v>2435.5692548663119</v>
      </c>
      <c r="G322" s="510">
        <f t="shared" si="234"/>
        <v>2475.5189264587643</v>
      </c>
      <c r="H322" s="510">
        <f t="shared" si="234"/>
        <v>2549.869841752607</v>
      </c>
      <c r="I322" s="510">
        <f t="shared" si="234"/>
        <v>2625.3452114796801</v>
      </c>
      <c r="J322" s="510">
        <f t="shared" si="234"/>
        <v>2705.1813865758954</v>
      </c>
      <c r="K322" s="510">
        <f t="shared" si="234"/>
        <v>2762.5264877684526</v>
      </c>
      <c r="L322" s="510">
        <f t="shared" si="234"/>
        <v>2809.7575335835299</v>
      </c>
      <c r="M322" s="510">
        <f t="shared" si="234"/>
        <v>2855.1914112591494</v>
      </c>
      <c r="N322" s="510">
        <f t="shared" si="234"/>
        <v>2890.6526204010474</v>
      </c>
      <c r="Q322" s="515">
        <f t="shared" ref="Q322:AB322" si="235">C145/C$156</f>
        <v>8.2193126558050694E-2</v>
      </c>
      <c r="R322" s="515">
        <f t="shared" si="235"/>
        <v>8.2193126558050708E-2</v>
      </c>
      <c r="S322" s="515">
        <f t="shared" si="235"/>
        <v>8.2193126558050694E-2</v>
      </c>
      <c r="T322" s="515">
        <f t="shared" si="235"/>
        <v>8.2193126558050708E-2</v>
      </c>
      <c r="U322" s="515">
        <f t="shared" si="235"/>
        <v>8.2193126558050708E-2</v>
      </c>
      <c r="V322" s="515">
        <f t="shared" si="235"/>
        <v>8.2193126558050708E-2</v>
      </c>
      <c r="W322" s="515">
        <f t="shared" si="235"/>
        <v>8.2193126558050708E-2</v>
      </c>
      <c r="X322" s="515">
        <f t="shared" si="235"/>
        <v>8.2193126558050722E-2</v>
      </c>
      <c r="Y322" s="515">
        <f t="shared" si="235"/>
        <v>8.2193126558050694E-2</v>
      </c>
      <c r="Z322" s="515">
        <f t="shared" si="235"/>
        <v>8.2193126558050708E-2</v>
      </c>
      <c r="AA322" s="515">
        <f t="shared" si="235"/>
        <v>8.2193126558050708E-2</v>
      </c>
      <c r="AB322" s="515">
        <f t="shared" si="235"/>
        <v>8.2193126558050708E-2</v>
      </c>
    </row>
    <row r="323" spans="1:28" s="5" customFormat="1">
      <c r="A323" s="164"/>
      <c r="B323" s="189" t="str">
        <f t="shared" si="219"/>
        <v>Geography</v>
      </c>
      <c r="C323" s="510">
        <f t="shared" ref="C323:N323" si="236">(C298/((SUM(C$288:C$306))-C$289-C$291-C$296-C$300-C$305))*(C$156-C$314-C$316-C$321-C$325-C$330)</f>
        <v>22315.016861870379</v>
      </c>
      <c r="D323" s="510">
        <f t="shared" si="236"/>
        <v>21547.65249999753</v>
      </c>
      <c r="E323" s="510">
        <f t="shared" si="236"/>
        <v>21017.475458846799</v>
      </c>
      <c r="F323" s="510">
        <f t="shared" si="236"/>
        <v>21099.554420427314</v>
      </c>
      <c r="G323" s="510">
        <f t="shared" si="236"/>
        <v>21445.642000634271</v>
      </c>
      <c r="H323" s="510">
        <f t="shared" si="236"/>
        <v>22089.750633684464</v>
      </c>
      <c r="I323" s="510">
        <f t="shared" si="236"/>
        <v>22743.600516120128</v>
      </c>
      <c r="J323" s="510">
        <f t="shared" si="236"/>
        <v>23435.228445728648</v>
      </c>
      <c r="K323" s="510">
        <f t="shared" si="236"/>
        <v>23932.014189324225</v>
      </c>
      <c r="L323" s="510">
        <f t="shared" si="236"/>
        <v>24341.180966051179</v>
      </c>
      <c r="M323" s="510">
        <f t="shared" si="236"/>
        <v>24734.778714352688</v>
      </c>
      <c r="N323" s="510">
        <f t="shared" si="236"/>
        <v>25041.982342666146</v>
      </c>
    </row>
    <row r="324" spans="1:28" s="5" customFormat="1">
      <c r="A324" s="164"/>
      <c r="B324" s="189" t="str">
        <f t="shared" si="219"/>
        <v>History</v>
      </c>
      <c r="C324" s="510">
        <f t="shared" ref="C324:N324" si="237">(C299/((SUM(C$288:C$306))-C$289-C$291-C$296-C$300-C$305))*(C$156-C$314-C$316-C$321-C$325-C$330)</f>
        <v>27751.082750613215</v>
      </c>
      <c r="D324" s="510">
        <f t="shared" si="237"/>
        <v>26796.78403607395</v>
      </c>
      <c r="E324" s="510">
        <f t="shared" si="237"/>
        <v>26137.452831776762</v>
      </c>
      <c r="F324" s="510">
        <f t="shared" si="237"/>
        <v>26239.526698402304</v>
      </c>
      <c r="G324" s="510">
        <f t="shared" si="237"/>
        <v>26669.923194928979</v>
      </c>
      <c r="H324" s="510">
        <f t="shared" si="237"/>
        <v>27470.940379312236</v>
      </c>
      <c r="I324" s="510">
        <f t="shared" si="237"/>
        <v>28284.071837212017</v>
      </c>
      <c r="J324" s="510">
        <f t="shared" si="237"/>
        <v>29144.184290902209</v>
      </c>
      <c r="K324" s="510">
        <f t="shared" si="237"/>
        <v>29761.989886353156</v>
      </c>
      <c r="L324" s="510">
        <f t="shared" si="237"/>
        <v>30270.832032878858</v>
      </c>
      <c r="M324" s="510">
        <f t="shared" si="237"/>
        <v>30760.312446502649</v>
      </c>
      <c r="N324" s="510">
        <f t="shared" si="237"/>
        <v>31142.352637795644</v>
      </c>
    </row>
    <row r="325" spans="1:28" s="5" customFormat="1">
      <c r="A325" s="164"/>
      <c r="B325" s="189" t="str">
        <f t="shared" si="219"/>
        <v>Mathematics</v>
      </c>
      <c r="C325" s="366">
        <f>C300</f>
        <v>66129.348126970915</v>
      </c>
      <c r="D325" s="366">
        <f t="shared" ref="D325:N325" si="238">D300</f>
        <v>67241.261701535215</v>
      </c>
      <c r="E325" s="366">
        <f t="shared" si="238"/>
        <v>69009.057867642085</v>
      </c>
      <c r="F325" s="366">
        <f t="shared" si="238"/>
        <v>69278.557019455839</v>
      </c>
      <c r="G325" s="366">
        <f t="shared" si="238"/>
        <v>70414.905573616823</v>
      </c>
      <c r="H325" s="366">
        <f t="shared" si="238"/>
        <v>72529.780408048886</v>
      </c>
      <c r="I325" s="366">
        <f t="shared" si="238"/>
        <v>74676.639790000059</v>
      </c>
      <c r="J325" s="366">
        <f t="shared" si="238"/>
        <v>76947.540113432682</v>
      </c>
      <c r="K325" s="366">
        <f t="shared" si="238"/>
        <v>78578.693017345067</v>
      </c>
      <c r="L325" s="366">
        <f t="shared" si="238"/>
        <v>79922.156642553309</v>
      </c>
      <c r="M325" s="366">
        <f t="shared" si="238"/>
        <v>81214.500713195695</v>
      </c>
      <c r="N325" s="366">
        <f t="shared" si="238"/>
        <v>82223.177183637818</v>
      </c>
      <c r="P325" s="5" t="s">
        <v>573</v>
      </c>
      <c r="Q325" s="516">
        <f>C325/C$332</f>
        <v>0.11417576439439668</v>
      </c>
      <c r="R325" s="516">
        <f>D325/D$332</f>
        <v>0.1192757643943967</v>
      </c>
      <c r="S325" s="516">
        <f>E325/E$332</f>
        <v>0.12447576439439667</v>
      </c>
      <c r="T325" s="514">
        <f>F325/F$332</f>
        <v>0.1244757643943967</v>
      </c>
      <c r="U325" s="514">
        <f t="shared" ref="U325:AB325" si="239">G325/G$332</f>
        <v>0.1244757643943967</v>
      </c>
      <c r="V325" s="514">
        <f t="shared" si="239"/>
        <v>0.12447576439439667</v>
      </c>
      <c r="W325" s="514">
        <f t="shared" si="239"/>
        <v>0.12447576439439671</v>
      </c>
      <c r="X325" s="514">
        <f t="shared" si="239"/>
        <v>0.12447576439439674</v>
      </c>
      <c r="Y325" s="514">
        <f t="shared" si="239"/>
        <v>0.12447576439439667</v>
      </c>
      <c r="Z325" s="514">
        <f t="shared" si="239"/>
        <v>0.12447576439439668</v>
      </c>
      <c r="AA325" s="514">
        <f t="shared" si="239"/>
        <v>0.12447576439439668</v>
      </c>
      <c r="AB325" s="514">
        <f t="shared" si="239"/>
        <v>0.1244757643943967</v>
      </c>
    </row>
    <row r="326" spans="1:28" s="5" customFormat="1">
      <c r="A326" s="164"/>
      <c r="B326" s="189" t="str">
        <f t="shared" si="219"/>
        <v>Modern Foreign Languages</v>
      </c>
      <c r="C326" s="510">
        <f t="shared" ref="C326:N326" si="240">(C301/((SUM(C$288:C$306))-C$289-C$291-C$296-C$300-C$305))*(C$156-C$314-C$316-C$321-C$325-C$330)</f>
        <v>23700.625983182679</v>
      </c>
      <c r="D326" s="510">
        <f t="shared" si="240"/>
        <v>22885.61357041376</v>
      </c>
      <c r="E326" s="510">
        <f t="shared" si="240"/>
        <v>22322.516180213952</v>
      </c>
      <c r="F326" s="510">
        <f t="shared" si="240"/>
        <v>22409.691680978722</v>
      </c>
      <c r="G326" s="510">
        <f t="shared" si="240"/>
        <v>22777.268920408253</v>
      </c>
      <c r="H326" s="510">
        <f t="shared" si="240"/>
        <v>23461.372271033382</v>
      </c>
      <c r="I326" s="510">
        <f t="shared" si="240"/>
        <v>24155.821735655336</v>
      </c>
      <c r="J326" s="510">
        <f t="shared" si="240"/>
        <v>24890.395004438451</v>
      </c>
      <c r="K326" s="510">
        <f t="shared" si="240"/>
        <v>25418.027727085162</v>
      </c>
      <c r="L326" s="510">
        <f t="shared" si="240"/>
        <v>25852.600947440649</v>
      </c>
      <c r="M326" s="510">
        <f t="shared" si="240"/>
        <v>26270.638409749568</v>
      </c>
      <c r="N326" s="510">
        <f t="shared" si="240"/>
        <v>26596.917271217728</v>
      </c>
      <c r="Q326" s="515">
        <f t="shared" ref="Q326:AB326" si="241">C149/C$156</f>
        <v>0.1089757643943967</v>
      </c>
      <c r="R326" s="515">
        <f t="shared" si="241"/>
        <v>0.10897576439439671</v>
      </c>
      <c r="S326" s="515">
        <f t="shared" si="241"/>
        <v>0.10897576439439668</v>
      </c>
      <c r="T326" s="515">
        <f t="shared" si="241"/>
        <v>0.1089757643943967</v>
      </c>
      <c r="U326" s="515">
        <f t="shared" si="241"/>
        <v>0.1089757643943967</v>
      </c>
      <c r="V326" s="515">
        <f t="shared" si="241"/>
        <v>0.10897576439439668</v>
      </c>
      <c r="W326" s="515">
        <f t="shared" si="241"/>
        <v>0.10897576439439668</v>
      </c>
      <c r="X326" s="515">
        <f t="shared" si="241"/>
        <v>0.10897576439439671</v>
      </c>
      <c r="Y326" s="515">
        <f t="shared" si="241"/>
        <v>0.10897576439439668</v>
      </c>
      <c r="Z326" s="515">
        <f t="shared" si="241"/>
        <v>0.10897576439439668</v>
      </c>
      <c r="AA326" s="515">
        <f t="shared" si="241"/>
        <v>0.10897576439439668</v>
      </c>
      <c r="AB326" s="515">
        <f t="shared" si="241"/>
        <v>0.1089757643943967</v>
      </c>
    </row>
    <row r="327" spans="1:28" s="5" customFormat="1">
      <c r="A327" s="164"/>
      <c r="B327" s="189" t="str">
        <f t="shared" si="219"/>
        <v>Music</v>
      </c>
      <c r="C327" s="510">
        <f t="shared" ref="C327:N327" si="242">(C302/((SUM(C$288:C$306))-C$289-C$291-C$296-C$300-C$305))*(C$156-C$314-C$316-C$321-C$325-C$330)</f>
        <v>10775.713640541779</v>
      </c>
      <c r="D327" s="510">
        <f t="shared" si="242"/>
        <v>10405.160542926695</v>
      </c>
      <c r="E327" s="510">
        <f t="shared" si="242"/>
        <v>10149.142991625096</v>
      </c>
      <c r="F327" s="510">
        <f t="shared" si="242"/>
        <v>10188.778157100411</v>
      </c>
      <c r="G327" s="510">
        <f t="shared" si="242"/>
        <v>10355.900623641339</v>
      </c>
      <c r="H327" s="510">
        <f t="shared" si="242"/>
        <v>10666.934678695507</v>
      </c>
      <c r="I327" s="510">
        <f t="shared" si="242"/>
        <v>10982.672692278084</v>
      </c>
      <c r="J327" s="510">
        <f t="shared" si="242"/>
        <v>11316.653372704848</v>
      </c>
      <c r="K327" s="510">
        <f t="shared" si="242"/>
        <v>11556.54657766301</v>
      </c>
      <c r="L327" s="510">
        <f t="shared" si="242"/>
        <v>11754.129400231559</v>
      </c>
      <c r="M327" s="510">
        <f t="shared" si="242"/>
        <v>11944.194084095017</v>
      </c>
      <c r="N327" s="510">
        <f t="shared" si="242"/>
        <v>12092.539852710484</v>
      </c>
    </row>
    <row r="328" spans="1:28" s="5" customFormat="1">
      <c r="A328" s="164"/>
      <c r="B328" s="189" t="str">
        <f t="shared" si="219"/>
        <v>Others</v>
      </c>
      <c r="C328" s="510">
        <f t="shared" ref="C328:N328" si="243">(C303/((SUM(C$288:C$306))-C$289-C$291-C$296-C$300-C$305))*(C$156-C$314-C$316-C$321-C$325-C$330)</f>
        <v>124514.01824380325</v>
      </c>
      <c r="D328" s="510">
        <f t="shared" si="243"/>
        <v>120232.25494757459</v>
      </c>
      <c r="E328" s="510">
        <f t="shared" si="243"/>
        <v>117273.95676734393</v>
      </c>
      <c r="F328" s="510">
        <f t="shared" si="243"/>
        <v>117731.94348467111</v>
      </c>
      <c r="G328" s="510">
        <f t="shared" si="243"/>
        <v>119663.05362196504</v>
      </c>
      <c r="H328" s="510">
        <f t="shared" si="243"/>
        <v>123257.07080703118</v>
      </c>
      <c r="I328" s="510">
        <f t="shared" si="243"/>
        <v>126905.44251538573</v>
      </c>
      <c r="J328" s="510">
        <f t="shared" si="243"/>
        <v>130764.6093346745</v>
      </c>
      <c r="K328" s="510">
        <f t="shared" si="243"/>
        <v>133536.58972457127</v>
      </c>
      <c r="L328" s="510">
        <f t="shared" si="243"/>
        <v>135819.67110503805</v>
      </c>
      <c r="M328" s="510">
        <f t="shared" si="243"/>
        <v>138015.8799412713</v>
      </c>
      <c r="N328" s="510">
        <f t="shared" si="243"/>
        <v>139730.02420641613</v>
      </c>
    </row>
    <row r="329" spans="1:28" s="5" customFormat="1">
      <c r="A329" s="164"/>
      <c r="B329" s="189" t="str">
        <f t="shared" si="219"/>
        <v>Physical Education</v>
      </c>
      <c r="C329" s="510">
        <f t="shared" ref="C329:N329" si="244">(C304/((SUM(C$288:C$306))-C$289-C$291-C$296-C$300-C$305))*(C$156-C$314-C$316-C$321-C$325-C$330)</f>
        <v>27703.108551294768</v>
      </c>
      <c r="D329" s="510">
        <f t="shared" si="244"/>
        <v>26750.459563980639</v>
      </c>
      <c r="E329" s="510">
        <f t="shared" si="244"/>
        <v>26092.268166980197</v>
      </c>
      <c r="F329" s="510">
        <f t="shared" si="244"/>
        <v>26194.165575192685</v>
      </c>
      <c r="G329" s="510">
        <f t="shared" si="244"/>
        <v>26623.818031297735</v>
      </c>
      <c r="H329" s="510">
        <f t="shared" si="244"/>
        <v>27423.450471222324</v>
      </c>
      <c r="I329" s="510">
        <f t="shared" si="244"/>
        <v>28235.176242324796</v>
      </c>
      <c r="J329" s="510">
        <f t="shared" si="244"/>
        <v>29093.801791642265</v>
      </c>
      <c r="K329" s="510">
        <f t="shared" si="244"/>
        <v>29710.539366467045</v>
      </c>
      <c r="L329" s="510">
        <f t="shared" si="244"/>
        <v>30218.501861024626</v>
      </c>
      <c r="M329" s="510">
        <f t="shared" si="244"/>
        <v>30707.136093937679</v>
      </c>
      <c r="N329" s="510">
        <f t="shared" si="244"/>
        <v>31088.515839926637</v>
      </c>
    </row>
    <row r="330" spans="1:28" s="5" customFormat="1">
      <c r="A330" s="164"/>
      <c r="B330" s="189" t="str">
        <f t="shared" si="219"/>
        <v>Physics</v>
      </c>
      <c r="C330" s="380">
        <f>C305</f>
        <v>25390.351718020582</v>
      </c>
      <c r="D330" s="380">
        <f t="shared" ref="D330:N330" si="245">D305</f>
        <v>24713.374393163554</v>
      </c>
      <c r="E330" s="380">
        <f t="shared" si="245"/>
        <v>24303.549120059419</v>
      </c>
      <c r="F330" s="380">
        <f t="shared" si="245"/>
        <v>24398.46109359313</v>
      </c>
      <c r="G330" s="380">
        <f t="shared" si="245"/>
        <v>24798.659324911248</v>
      </c>
      <c r="H330" s="380">
        <f t="shared" si="245"/>
        <v>25543.474078359686</v>
      </c>
      <c r="I330" s="380">
        <f t="shared" si="245"/>
        <v>26299.553121536657</v>
      </c>
      <c r="J330" s="380">
        <f t="shared" si="245"/>
        <v>27099.316794055681</v>
      </c>
      <c r="K330" s="380">
        <f t="shared" si="245"/>
        <v>27673.774784753026</v>
      </c>
      <c r="L330" s="380">
        <f t="shared" si="245"/>
        <v>28146.914619075724</v>
      </c>
      <c r="M330" s="380">
        <f t="shared" si="245"/>
        <v>28602.051213769068</v>
      </c>
      <c r="N330" s="380">
        <f t="shared" si="245"/>
        <v>28957.286003275345</v>
      </c>
      <c r="P330" s="5" t="s">
        <v>2</v>
      </c>
      <c r="Q330" s="514">
        <f>C330/C$332</f>
        <v>4.3837764891942708E-2</v>
      </c>
      <c r="R330" s="514">
        <f t="shared" ref="R330:AB330" si="246">D330/D$332</f>
        <v>4.3837764891942715E-2</v>
      </c>
      <c r="S330" s="514">
        <f t="shared" si="246"/>
        <v>4.3837764891942708E-2</v>
      </c>
      <c r="T330" s="514">
        <f t="shared" si="246"/>
        <v>4.3837764891942715E-2</v>
      </c>
      <c r="U330" s="514">
        <f t="shared" si="246"/>
        <v>4.3837764891942722E-2</v>
      </c>
      <c r="V330" s="514">
        <f t="shared" si="246"/>
        <v>4.3837764891942702E-2</v>
      </c>
      <c r="W330" s="514">
        <f t="shared" si="246"/>
        <v>4.3837764891942722E-2</v>
      </c>
      <c r="X330" s="514">
        <f t="shared" si="246"/>
        <v>4.3837764891942722E-2</v>
      </c>
      <c r="Y330" s="514">
        <f t="shared" si="246"/>
        <v>4.3837764891942708E-2</v>
      </c>
      <c r="Z330" s="514">
        <f t="shared" si="246"/>
        <v>4.3837764891942715E-2</v>
      </c>
      <c r="AA330" s="514">
        <f t="shared" si="246"/>
        <v>4.3837764891942708E-2</v>
      </c>
      <c r="AB330" s="514">
        <f t="shared" si="246"/>
        <v>4.3837764891942715E-2</v>
      </c>
    </row>
    <row r="331" spans="1:28" s="5" customFormat="1">
      <c r="A331" s="164"/>
      <c r="B331" s="189" t="str">
        <f t="shared" si="219"/>
        <v>Religious Education</v>
      </c>
      <c r="C331" s="510">
        <f t="shared" ref="C331:N331" si="247">(C306/((SUM(C$288:C$306))-C$289-C$291-C$296-C$300-C$305))*(C$156-C$314-C$316-C$321-C$325-C$330)</f>
        <v>15866.73837852621</v>
      </c>
      <c r="D331" s="510">
        <f t="shared" si="247"/>
        <v>15321.116134715787</v>
      </c>
      <c r="E331" s="510">
        <f t="shared" si="247"/>
        <v>14944.142168784638</v>
      </c>
      <c r="F331" s="510">
        <f t="shared" si="247"/>
        <v>15002.503111007558</v>
      </c>
      <c r="G331" s="510">
        <f t="shared" si="247"/>
        <v>15248.583189064047</v>
      </c>
      <c r="H331" s="510">
        <f t="shared" si="247"/>
        <v>15706.566404188581</v>
      </c>
      <c r="I331" s="510">
        <f t="shared" si="247"/>
        <v>16171.475979998209</v>
      </c>
      <c r="J331" s="510">
        <f t="shared" si="247"/>
        <v>16663.247036337008</v>
      </c>
      <c r="K331" s="510">
        <f t="shared" si="247"/>
        <v>17016.478650393332</v>
      </c>
      <c r="L331" s="510">
        <f t="shared" si="247"/>
        <v>17307.410189441576</v>
      </c>
      <c r="M331" s="510">
        <f t="shared" si="247"/>
        <v>17587.271618063129</v>
      </c>
      <c r="N331" s="510">
        <f t="shared" si="247"/>
        <v>17805.703879600529</v>
      </c>
      <c r="Q331" s="515">
        <f t="shared" ref="Q331:AB331" si="248">C154/C$156</f>
        <v>4.3837764891942708E-2</v>
      </c>
      <c r="R331" s="515">
        <f t="shared" si="248"/>
        <v>4.3837764891942715E-2</v>
      </c>
      <c r="S331" s="515">
        <f t="shared" si="248"/>
        <v>4.3837764891942708E-2</v>
      </c>
      <c r="T331" s="515">
        <f t="shared" si="248"/>
        <v>4.3837764891942715E-2</v>
      </c>
      <c r="U331" s="515">
        <f t="shared" si="248"/>
        <v>4.3837764891942722E-2</v>
      </c>
      <c r="V331" s="515">
        <f t="shared" si="248"/>
        <v>4.3837764891942708E-2</v>
      </c>
      <c r="W331" s="515">
        <f t="shared" si="248"/>
        <v>4.3837764891942715E-2</v>
      </c>
      <c r="X331" s="515">
        <f t="shared" si="248"/>
        <v>4.3837764891942715E-2</v>
      </c>
      <c r="Y331" s="515">
        <f t="shared" si="248"/>
        <v>4.3837764891942708E-2</v>
      </c>
      <c r="Z331" s="515">
        <f t="shared" si="248"/>
        <v>4.3837764891942715E-2</v>
      </c>
      <c r="AA331" s="515">
        <f t="shared" si="248"/>
        <v>4.3837764891942708E-2</v>
      </c>
      <c r="AB331" s="515">
        <f t="shared" si="248"/>
        <v>4.3837764891942715E-2</v>
      </c>
    </row>
    <row r="332" spans="1:28" s="5" customFormat="1">
      <c r="A332" s="164"/>
      <c r="B332" s="189" t="str">
        <f t="shared" si="219"/>
        <v>Recalculated Total</v>
      </c>
      <c r="C332" s="517">
        <f t="shared" ref="C332:N332" si="249">SUM(C313:C331)</f>
        <v>579189.01158866507</v>
      </c>
      <c r="D332" s="517">
        <f t="shared" si="249"/>
        <v>563746.22324108996</v>
      </c>
      <c r="E332" s="517">
        <f t="shared" si="249"/>
        <v>554397.54239218438</v>
      </c>
      <c r="F332" s="517">
        <f t="shared" si="249"/>
        <v>556562.61567472189</v>
      </c>
      <c r="G332" s="517">
        <f t="shared" si="249"/>
        <v>565691.69039613113</v>
      </c>
      <c r="H332" s="517">
        <f t="shared" si="249"/>
        <v>582681.94423969206</v>
      </c>
      <c r="I332" s="517">
        <f t="shared" si="249"/>
        <v>599929.1520989578</v>
      </c>
      <c r="J332" s="517">
        <f t="shared" si="249"/>
        <v>618172.8667247009</v>
      </c>
      <c r="K332" s="517">
        <f t="shared" si="249"/>
        <v>631277.04738065717</v>
      </c>
      <c r="L332" s="517">
        <f t="shared" si="249"/>
        <v>642070.02087027172</v>
      </c>
      <c r="M332" s="517">
        <f t="shared" si="249"/>
        <v>652452.31558386469</v>
      </c>
      <c r="N332" s="517">
        <f t="shared" si="249"/>
        <v>660555.71205907059</v>
      </c>
    </row>
    <row r="333" spans="1:28">
      <c r="A333" s="10">
        <f>O333</f>
        <v>0</v>
      </c>
      <c r="B333" s="12"/>
      <c r="C333" s="10">
        <f t="shared" ref="C333:N333" si="250">SUM(C313:C331)-C332</f>
        <v>0</v>
      </c>
      <c r="D333" s="10">
        <f t="shared" si="250"/>
        <v>0</v>
      </c>
      <c r="E333" s="10">
        <f t="shared" si="250"/>
        <v>0</v>
      </c>
      <c r="F333" s="10">
        <f t="shared" si="250"/>
        <v>0</v>
      </c>
      <c r="G333" s="10">
        <f t="shared" si="250"/>
        <v>0</v>
      </c>
      <c r="H333" s="10">
        <f t="shared" si="250"/>
        <v>0</v>
      </c>
      <c r="I333" s="10">
        <f t="shared" si="250"/>
        <v>0</v>
      </c>
      <c r="J333" s="10">
        <f t="shared" si="250"/>
        <v>0</v>
      </c>
      <c r="K333" s="10">
        <f t="shared" si="250"/>
        <v>0</v>
      </c>
      <c r="L333" s="10">
        <f t="shared" si="250"/>
        <v>0</v>
      </c>
      <c r="M333" s="10">
        <f t="shared" si="250"/>
        <v>0</v>
      </c>
      <c r="N333" s="10">
        <f t="shared" si="250"/>
        <v>0</v>
      </c>
      <c r="O333" s="10">
        <f>SUM(C333:N333)</f>
        <v>0</v>
      </c>
    </row>
    <row r="334" spans="1:28">
      <c r="A334" s="10">
        <f>SUM(B334:N334)</f>
        <v>0</v>
      </c>
      <c r="B334" s="12"/>
      <c r="C334" s="10">
        <f t="shared" ref="C334:N334" si="251">C332-C156</f>
        <v>0</v>
      </c>
      <c r="D334" s="10">
        <f t="shared" si="251"/>
        <v>0</v>
      </c>
      <c r="E334" s="10">
        <f t="shared" si="251"/>
        <v>0</v>
      </c>
      <c r="F334" s="10">
        <f t="shared" si="251"/>
        <v>0</v>
      </c>
      <c r="G334" s="10">
        <f t="shared" si="251"/>
        <v>0</v>
      </c>
      <c r="H334" s="10">
        <f t="shared" si="251"/>
        <v>0</v>
      </c>
      <c r="I334" s="10">
        <f t="shared" si="251"/>
        <v>0</v>
      </c>
      <c r="J334" s="10">
        <f t="shared" si="251"/>
        <v>0</v>
      </c>
      <c r="K334" s="10">
        <f t="shared" si="251"/>
        <v>0</v>
      </c>
      <c r="L334" s="10">
        <f t="shared" si="251"/>
        <v>0</v>
      </c>
      <c r="M334" s="10">
        <f t="shared" si="251"/>
        <v>0</v>
      </c>
      <c r="N334" s="10">
        <f t="shared" si="251"/>
        <v>0</v>
      </c>
      <c r="O334" s="10"/>
    </row>
    <row r="335" spans="1:28">
      <c r="B335" s="12"/>
      <c r="C335" s="10"/>
      <c r="D335" s="10"/>
      <c r="E335" s="10"/>
      <c r="F335" s="10"/>
      <c r="G335" s="10"/>
      <c r="H335" s="10"/>
      <c r="I335" s="10"/>
      <c r="J335" s="10"/>
      <c r="K335" s="10"/>
      <c r="L335" s="10"/>
      <c r="M335" s="10"/>
      <c r="N335" s="10"/>
      <c r="O335" s="10"/>
    </row>
    <row r="336" spans="1:28">
      <c r="B336" s="75" t="s">
        <v>376</v>
      </c>
      <c r="D336" s="12"/>
      <c r="E336" s="12"/>
      <c r="F336" s="12"/>
    </row>
    <row r="337" spans="1:14">
      <c r="B337" s="12"/>
      <c r="D337" s="12"/>
      <c r="E337" s="12"/>
      <c r="F337" s="12"/>
    </row>
    <row r="338" spans="1:14" s="5" customFormat="1">
      <c r="A338" s="164"/>
      <c r="B338" s="8" t="str">
        <f t="shared" ref="B338:N338" si="252">B287</f>
        <v>Subject</v>
      </c>
      <c r="C338" s="8" t="str">
        <f t="shared" si="252"/>
        <v>2017/18</v>
      </c>
      <c r="D338" s="8" t="str">
        <f t="shared" si="252"/>
        <v>2018/19</v>
      </c>
      <c r="E338" s="8" t="str">
        <f t="shared" si="252"/>
        <v>2019/20</v>
      </c>
      <c r="F338" s="8" t="str">
        <f t="shared" si="252"/>
        <v>2020/21</v>
      </c>
      <c r="G338" s="8" t="str">
        <f t="shared" si="252"/>
        <v>2021/22</v>
      </c>
      <c r="H338" s="8" t="str">
        <f t="shared" si="252"/>
        <v>2022/23</v>
      </c>
      <c r="I338" s="8" t="str">
        <f t="shared" si="252"/>
        <v>2023/24</v>
      </c>
      <c r="J338" s="8" t="str">
        <f t="shared" si="252"/>
        <v>2024/25</v>
      </c>
      <c r="K338" s="8" t="str">
        <f t="shared" si="252"/>
        <v>2025/26</v>
      </c>
      <c r="L338" s="8" t="str">
        <f t="shared" si="252"/>
        <v>2026/27</v>
      </c>
      <c r="M338" s="8" t="str">
        <f t="shared" si="252"/>
        <v>2027/28</v>
      </c>
      <c r="N338" s="8" t="str">
        <f t="shared" si="252"/>
        <v>2028/29</v>
      </c>
    </row>
    <row r="339" spans="1:14" s="5" customFormat="1">
      <c r="A339" s="164"/>
      <c r="B339" s="8" t="str">
        <f t="shared" ref="B339:B358" si="253">B288</f>
        <v>Art &amp; Design</v>
      </c>
      <c r="C339" s="447">
        <f>C209+C262+C313-C85-C111-C137</f>
        <v>-2590.4639058508183</v>
      </c>
      <c r="D339" s="447">
        <f t="shared" ref="D339:N339" si="254">D209+D262+D313-D85-D111-D137</f>
        <v>-3499.6510528223225</v>
      </c>
      <c r="E339" s="447">
        <f t="shared" si="254"/>
        <v>-3778.1571981766028</v>
      </c>
      <c r="F339" s="447">
        <f t="shared" si="254"/>
        <v>-3853.7135381808112</v>
      </c>
      <c r="G339" s="447">
        <f t="shared" si="254"/>
        <v>-3962.9154568791855</v>
      </c>
      <c r="H339" s="447">
        <f t="shared" si="254"/>
        <v>-4113.4574132593079</v>
      </c>
      <c r="I339" s="447">
        <f t="shared" si="254"/>
        <v>-4194.8734379032394</v>
      </c>
      <c r="J339" s="447">
        <f t="shared" si="254"/>
        <v>-4241.1210031467417</v>
      </c>
      <c r="K339" s="447">
        <f t="shared" si="254"/>
        <v>-4326.3066447625824</v>
      </c>
      <c r="L339" s="447">
        <f t="shared" si="254"/>
        <v>-4409.0627081281491</v>
      </c>
      <c r="M339" s="447">
        <f t="shared" si="254"/>
        <v>-4393.7999336451248</v>
      </c>
      <c r="N339" s="447">
        <f t="shared" si="254"/>
        <v>-4298.7203521209376</v>
      </c>
    </row>
    <row r="340" spans="1:14" s="5" customFormat="1">
      <c r="A340" s="164"/>
      <c r="B340" s="8" t="str">
        <f t="shared" si="253"/>
        <v>Biology</v>
      </c>
      <c r="C340" s="447">
        <f t="shared" ref="C340:N340" si="255">C210+C263+C314-C86-C112-C138</f>
        <v>4098.7494842994129</v>
      </c>
      <c r="D340" s="447">
        <f t="shared" si="255"/>
        <v>4250.6303895543315</v>
      </c>
      <c r="E340" s="447">
        <f t="shared" si="255"/>
        <v>4366.8286677953365</v>
      </c>
      <c r="F340" s="447">
        <f t="shared" si="255"/>
        <v>4467.3689675790301</v>
      </c>
      <c r="G340" s="447">
        <f t="shared" si="255"/>
        <v>4603.7956385875441</v>
      </c>
      <c r="H340" s="447">
        <f t="shared" si="255"/>
        <v>4785.3453891506724</v>
      </c>
      <c r="I340" s="447">
        <f t="shared" si="255"/>
        <v>4871.5978715117817</v>
      </c>
      <c r="J340" s="447">
        <f t="shared" si="255"/>
        <v>4908.0849315699597</v>
      </c>
      <c r="K340" s="447">
        <f t="shared" si="255"/>
        <v>5005.6485004038987</v>
      </c>
      <c r="L340" s="447">
        <f t="shared" si="255"/>
        <v>5103.2984712181351</v>
      </c>
      <c r="M340" s="447">
        <f t="shared" si="255"/>
        <v>5066.9669806239981</v>
      </c>
      <c r="N340" s="447">
        <f t="shared" si="255"/>
        <v>4924.4136988420069</v>
      </c>
    </row>
    <row r="341" spans="1:14" s="5" customFormat="1">
      <c r="A341" s="164"/>
      <c r="B341" s="8" t="str">
        <f t="shared" si="253"/>
        <v>Business Studies</v>
      </c>
      <c r="C341" s="447">
        <f t="shared" ref="C341:N341" si="256">C211+C264+C315-C87-C113-C139</f>
        <v>-2026.8044609888384</v>
      </c>
      <c r="D341" s="447">
        <f t="shared" si="256"/>
        <v>-2810.948179491701</v>
      </c>
      <c r="E341" s="447">
        <f t="shared" si="256"/>
        <v>-3132.0092729714961</v>
      </c>
      <c r="F341" s="447">
        <f t="shared" si="256"/>
        <v>-3188.851471014008</v>
      </c>
      <c r="G341" s="447">
        <f t="shared" si="256"/>
        <v>-3274.9010580013419</v>
      </c>
      <c r="H341" s="447">
        <f t="shared" si="256"/>
        <v>-3396.3860225205717</v>
      </c>
      <c r="I341" s="447">
        <f t="shared" si="256"/>
        <v>-3467.3193061578277</v>
      </c>
      <c r="J341" s="447">
        <f t="shared" si="256"/>
        <v>-3513.0960422012067</v>
      </c>
      <c r="K341" s="447">
        <f t="shared" si="256"/>
        <v>-3584.1053623643602</v>
      </c>
      <c r="L341" s="447">
        <f t="shared" si="256"/>
        <v>-3651.8315687499562</v>
      </c>
      <c r="M341" s="447">
        <f t="shared" si="256"/>
        <v>-3647.3735848796496</v>
      </c>
      <c r="N341" s="447">
        <f t="shared" si="256"/>
        <v>-3582.8735500519761</v>
      </c>
    </row>
    <row r="342" spans="1:14" s="5" customFormat="1">
      <c r="A342" s="164"/>
      <c r="B342" s="8" t="str">
        <f t="shared" si="253"/>
        <v>Chemistry</v>
      </c>
      <c r="C342" s="447">
        <f t="shared" ref="C342:N342" si="257">C212+C265+C316-C88-C114-C140</f>
        <v>3899.3174768959179</v>
      </c>
      <c r="D342" s="447">
        <f t="shared" si="257"/>
        <v>4043.808344302106</v>
      </c>
      <c r="E342" s="447">
        <f t="shared" si="257"/>
        <v>4154.352786909807</v>
      </c>
      <c r="F342" s="447">
        <f t="shared" si="257"/>
        <v>4250.0011180851179</v>
      </c>
      <c r="G342" s="447">
        <f t="shared" si="257"/>
        <v>4379.7897047298829</v>
      </c>
      <c r="H342" s="447">
        <f t="shared" si="257"/>
        <v>4552.505826563789</v>
      </c>
      <c r="I342" s="447">
        <f t="shared" si="257"/>
        <v>4634.5615396989451</v>
      </c>
      <c r="J342" s="447">
        <f t="shared" si="257"/>
        <v>4669.2732564091857</v>
      </c>
      <c r="K342" s="447">
        <f t="shared" si="257"/>
        <v>4762.0896948179943</v>
      </c>
      <c r="L342" s="447">
        <f t="shared" si="257"/>
        <v>4854.988331163775</v>
      </c>
      <c r="M342" s="447">
        <f t="shared" si="257"/>
        <v>4820.4246144062126</v>
      </c>
      <c r="N342" s="447">
        <f t="shared" si="257"/>
        <v>4684.8075182234461</v>
      </c>
    </row>
    <row r="343" spans="1:14" s="5" customFormat="1">
      <c r="A343" s="164"/>
      <c r="B343" s="8" t="str">
        <f t="shared" si="253"/>
        <v>Classics</v>
      </c>
      <c r="C343" s="447">
        <f t="shared" ref="C343:N343" si="258">C213+C266+C317-C89-C115-C141</f>
        <v>-103.44240491840469</v>
      </c>
      <c r="D343" s="447">
        <f t="shared" si="258"/>
        <v>-143.913048902225</v>
      </c>
      <c r="E343" s="447">
        <f t="shared" si="258"/>
        <v>-160.937071124564</v>
      </c>
      <c r="F343" s="447">
        <f t="shared" si="258"/>
        <v>-163.82407465479832</v>
      </c>
      <c r="G343" s="447">
        <f t="shared" si="258"/>
        <v>-168.21956974954605</v>
      </c>
      <c r="H343" s="447">
        <f t="shared" si="258"/>
        <v>-174.44270039560729</v>
      </c>
      <c r="I343" s="447">
        <f t="shared" si="258"/>
        <v>-178.10766602661624</v>
      </c>
      <c r="J343" s="447">
        <f t="shared" si="258"/>
        <v>-180.50330517677094</v>
      </c>
      <c r="K343" s="447">
        <f t="shared" si="258"/>
        <v>-184.1543811852448</v>
      </c>
      <c r="L343" s="447">
        <f t="shared" si="258"/>
        <v>-187.62934810868933</v>
      </c>
      <c r="M343" s="447">
        <f t="shared" si="258"/>
        <v>-187.44810868473201</v>
      </c>
      <c r="N343" s="447">
        <f t="shared" si="258"/>
        <v>-184.21738034835926</v>
      </c>
    </row>
    <row r="344" spans="1:14" s="5" customFormat="1">
      <c r="A344" s="164"/>
      <c r="B344" s="8" t="str">
        <f t="shared" si="253"/>
        <v>Computing</v>
      </c>
      <c r="C344" s="447">
        <f t="shared" ref="C344:N344" si="259">C214+C267+C318-C90-C116-C142</f>
        <v>-2598.4765684172889</v>
      </c>
      <c r="D344" s="447">
        <f t="shared" si="259"/>
        <v>-3492.0496664744969</v>
      </c>
      <c r="E344" s="447">
        <f t="shared" si="259"/>
        <v>-3745.303083243427</v>
      </c>
      <c r="F344" s="447">
        <f t="shared" si="259"/>
        <v>-3821.668758717271</v>
      </c>
      <c r="G344" s="447">
        <f t="shared" si="259"/>
        <v>-3931.0543004725878</v>
      </c>
      <c r="H344" s="447">
        <f t="shared" si="259"/>
        <v>-4081.1253700888665</v>
      </c>
      <c r="I344" s="447">
        <f t="shared" si="259"/>
        <v>-4160.9622645908894</v>
      </c>
      <c r="J344" s="447">
        <f t="shared" si="259"/>
        <v>-4204.924575169538</v>
      </c>
      <c r="K344" s="447">
        <f t="shared" si="259"/>
        <v>-4289.2701477305127</v>
      </c>
      <c r="L344" s="447">
        <f t="shared" si="259"/>
        <v>-4371.5285340607334</v>
      </c>
      <c r="M344" s="447">
        <f t="shared" si="259"/>
        <v>-4354.3240020652011</v>
      </c>
      <c r="N344" s="447">
        <f t="shared" si="259"/>
        <v>-4256.4463333667954</v>
      </c>
    </row>
    <row r="345" spans="1:14" s="5" customFormat="1">
      <c r="A345" s="164"/>
      <c r="B345" s="8" t="str">
        <f t="shared" si="253"/>
        <v>Design &amp; Technology</v>
      </c>
      <c r="C345" s="447">
        <f t="shared" ref="C345:N345" si="260">C215+C268+C319-C91-C117-C143</f>
        <v>-2862.1485297999316</v>
      </c>
      <c r="D345" s="447">
        <f t="shared" si="260"/>
        <v>-3816.9749518884564</v>
      </c>
      <c r="E345" s="447">
        <f t="shared" si="260"/>
        <v>-4054.2329708710204</v>
      </c>
      <c r="F345" s="447">
        <f t="shared" si="260"/>
        <v>-4139.2666448622876</v>
      </c>
      <c r="G345" s="447">
        <f t="shared" si="260"/>
        <v>-4259.5056098836722</v>
      </c>
      <c r="H345" s="447">
        <f t="shared" si="260"/>
        <v>-4423.3093994368937</v>
      </c>
      <c r="I345" s="447">
        <f t="shared" si="260"/>
        <v>-4508.3242018941928</v>
      </c>
      <c r="J345" s="447">
        <f t="shared" si="260"/>
        <v>-4552.870455024582</v>
      </c>
      <c r="K345" s="447">
        <f t="shared" si="260"/>
        <v>-4644.0127952438052</v>
      </c>
      <c r="L345" s="447">
        <f t="shared" si="260"/>
        <v>-4733.4148144083447</v>
      </c>
      <c r="M345" s="447">
        <f t="shared" si="260"/>
        <v>-4711.4397060105621</v>
      </c>
      <c r="N345" s="447">
        <f t="shared" si="260"/>
        <v>-4599.6323867534411</v>
      </c>
    </row>
    <row r="346" spans="1:14" s="5" customFormat="1">
      <c r="A346" s="164"/>
      <c r="B346" s="8" t="str">
        <f t="shared" si="253"/>
        <v>Drama</v>
      </c>
      <c r="C346" s="447">
        <f t="shared" ref="C346:N346" si="261">C216+C269+C320-C92-C118-C144</f>
        <v>-1428.1266481990224</v>
      </c>
      <c r="D346" s="447">
        <f t="shared" si="261"/>
        <v>-1925.2587588839833</v>
      </c>
      <c r="E346" s="447">
        <f t="shared" si="261"/>
        <v>-2072.9831413410411</v>
      </c>
      <c r="F346" s="447">
        <f t="shared" si="261"/>
        <v>-2114.7656765149241</v>
      </c>
      <c r="G346" s="447">
        <f t="shared" si="261"/>
        <v>-2174.9345235829587</v>
      </c>
      <c r="H346" s="447">
        <f t="shared" si="261"/>
        <v>-2257.7199342095664</v>
      </c>
      <c r="I346" s="447">
        <f t="shared" si="261"/>
        <v>-2302.1968967715093</v>
      </c>
      <c r="J346" s="447">
        <f t="shared" si="261"/>
        <v>-2327.1523870055535</v>
      </c>
      <c r="K346" s="447">
        <f t="shared" si="261"/>
        <v>-2373.8695608488433</v>
      </c>
      <c r="L346" s="447">
        <f t="shared" si="261"/>
        <v>-2419.3252401693189</v>
      </c>
      <c r="M346" s="447">
        <f t="shared" si="261"/>
        <v>-2410.4888725659075</v>
      </c>
      <c r="N346" s="447">
        <f t="shared" si="261"/>
        <v>-2357.5136359890257</v>
      </c>
    </row>
    <row r="347" spans="1:14" s="5" customFormat="1">
      <c r="A347" s="164"/>
      <c r="B347" s="8" t="str">
        <f t="shared" si="253"/>
        <v>English</v>
      </c>
      <c r="C347" s="447">
        <f t="shared" ref="C347:N347" si="262">C217+C270+C321-C93-C119-C145</f>
        <v>6525.5414785381945</v>
      </c>
      <c r="D347" s="447">
        <f t="shared" si="262"/>
        <v>13534.696386409079</v>
      </c>
      <c r="E347" s="447">
        <f t="shared" si="262"/>
        <v>13904.690545506062</v>
      </c>
      <c r="F347" s="447">
        <f t="shared" si="262"/>
        <v>14224.827162304093</v>
      </c>
      <c r="G347" s="447">
        <f t="shared" si="262"/>
        <v>14659.23180394173</v>
      </c>
      <c r="H347" s="447">
        <f t="shared" si="262"/>
        <v>15237.315647443997</v>
      </c>
      <c r="I347" s="447">
        <f t="shared" si="262"/>
        <v>15511.957536844871</v>
      </c>
      <c r="J347" s="447">
        <f t="shared" si="262"/>
        <v>15628.1382523297</v>
      </c>
      <c r="K347" s="447">
        <f t="shared" si="262"/>
        <v>15938.796475116251</v>
      </c>
      <c r="L347" s="447">
        <f t="shared" si="262"/>
        <v>16249.729815818144</v>
      </c>
      <c r="M347" s="447">
        <f t="shared" si="262"/>
        <v>16134.044458731616</v>
      </c>
      <c r="N347" s="447">
        <f t="shared" si="262"/>
        <v>15680.131694981064</v>
      </c>
    </row>
    <row r="348" spans="1:14" s="5" customFormat="1">
      <c r="A348" s="164"/>
      <c r="B348" s="8" t="str">
        <f t="shared" si="253"/>
        <v>Food</v>
      </c>
      <c r="C348" s="447">
        <f t="shared" ref="C348:N348" si="263">C218+C271+C322-C94-C120-C146</f>
        <v>-1091.3342559819102</v>
      </c>
      <c r="D348" s="447">
        <f t="shared" si="263"/>
        <v>-1432.0305852435058</v>
      </c>
      <c r="E348" s="447">
        <f t="shared" si="263"/>
        <v>-1489.3649626155034</v>
      </c>
      <c r="F348" s="447">
        <f t="shared" si="263"/>
        <v>-1522.5185322948514</v>
      </c>
      <c r="G348" s="447">
        <f t="shared" si="263"/>
        <v>-1568.1699452532416</v>
      </c>
      <c r="H348" s="447">
        <f t="shared" si="263"/>
        <v>-1629.4399509624691</v>
      </c>
      <c r="I348" s="447">
        <f t="shared" si="263"/>
        <v>-1659.5330108793614</v>
      </c>
      <c r="J348" s="447">
        <f t="shared" si="263"/>
        <v>-1673.4375871294069</v>
      </c>
      <c r="K348" s="447">
        <f t="shared" si="263"/>
        <v>-1706.7899466485069</v>
      </c>
      <c r="L348" s="447">
        <f t="shared" si="263"/>
        <v>-1739.9226612065909</v>
      </c>
      <c r="M348" s="447">
        <f t="shared" si="263"/>
        <v>-1729.1399053415603</v>
      </c>
      <c r="N348" s="447">
        <f t="shared" si="263"/>
        <v>-1683.3309993272519</v>
      </c>
    </row>
    <row r="349" spans="1:14" s="5" customFormat="1">
      <c r="A349" s="164"/>
      <c r="B349" s="8" t="str">
        <f t="shared" si="253"/>
        <v>Geography</v>
      </c>
      <c r="C349" s="447">
        <f t="shared" ref="C349:N349" si="264">C219+C272+C323-C95-C121-C147</f>
        <v>-180.57882093859735</v>
      </c>
      <c r="D349" s="447">
        <f t="shared" si="264"/>
        <v>-348.14809704254003</v>
      </c>
      <c r="E349" s="447">
        <f t="shared" si="264"/>
        <v>-515.22407733618456</v>
      </c>
      <c r="F349" s="447">
        <f t="shared" si="264"/>
        <v>-517.23616757663694</v>
      </c>
      <c r="G349" s="447">
        <f t="shared" si="264"/>
        <v>-525.72018624665361</v>
      </c>
      <c r="H349" s="447">
        <f t="shared" si="264"/>
        <v>-541.50991688378053</v>
      </c>
      <c r="I349" s="447">
        <f t="shared" si="264"/>
        <v>-557.53844528882109</v>
      </c>
      <c r="J349" s="447">
        <f t="shared" si="264"/>
        <v>-574.49306776904996</v>
      </c>
      <c r="K349" s="447">
        <f t="shared" si="264"/>
        <v>-586.67131329045515</v>
      </c>
      <c r="L349" s="447">
        <f t="shared" si="264"/>
        <v>-596.70166043790596</v>
      </c>
      <c r="M349" s="447">
        <f t="shared" si="264"/>
        <v>-606.35034717516464</v>
      </c>
      <c r="N349" s="447">
        <f t="shared" si="264"/>
        <v>-613.88116153309966</v>
      </c>
    </row>
    <row r="350" spans="1:14" s="5" customFormat="1">
      <c r="A350" s="164"/>
      <c r="B350" s="8" t="str">
        <f t="shared" si="253"/>
        <v>History</v>
      </c>
      <c r="C350" s="447">
        <f t="shared" ref="C350:N350" si="265">C220+C273+C324-C96-C122-C148</f>
        <v>-224.56885575733395</v>
      </c>
      <c r="D350" s="447">
        <f t="shared" si="265"/>
        <v>-432.95896706242274</v>
      </c>
      <c r="E350" s="447">
        <f t="shared" si="265"/>
        <v>-640.73561287315169</v>
      </c>
      <c r="F350" s="447">
        <f t="shared" si="265"/>
        <v>-643.23785981785113</v>
      </c>
      <c r="G350" s="447">
        <f t="shared" si="265"/>
        <v>-653.7886340174482</v>
      </c>
      <c r="H350" s="447">
        <f t="shared" si="265"/>
        <v>-673.42483345358414</v>
      </c>
      <c r="I350" s="447">
        <f t="shared" si="265"/>
        <v>-693.35800316132372</v>
      </c>
      <c r="J350" s="447">
        <f t="shared" si="265"/>
        <v>-714.44286876402111</v>
      </c>
      <c r="K350" s="447">
        <f t="shared" si="265"/>
        <v>-729.5878046300204</v>
      </c>
      <c r="L350" s="447">
        <f t="shared" si="265"/>
        <v>-742.06160177884522</v>
      </c>
      <c r="M350" s="447">
        <f t="shared" si="265"/>
        <v>-754.06076385599226</v>
      </c>
      <c r="N350" s="447">
        <f t="shared" si="265"/>
        <v>-763.4261277147416</v>
      </c>
    </row>
    <row r="351" spans="1:14" s="5" customFormat="1">
      <c r="A351" s="164"/>
      <c r="B351" s="8" t="str">
        <f t="shared" si="253"/>
        <v>Mathematics</v>
      </c>
      <c r="C351" s="447">
        <f t="shared" ref="C351:N351" si="266">C221+C274+C325-C97-C123-C149</f>
        <v>10305.035100980196</v>
      </c>
      <c r="D351" s="447">
        <f t="shared" si="266"/>
        <v>13370.092903553006</v>
      </c>
      <c r="E351" s="447">
        <f t="shared" si="266"/>
        <v>16363.430153096946</v>
      </c>
      <c r="F351" s="447">
        <f t="shared" si="266"/>
        <v>16575.888663069309</v>
      </c>
      <c r="G351" s="447">
        <f t="shared" si="266"/>
        <v>16960.144856283972</v>
      </c>
      <c r="H351" s="447">
        <f t="shared" si="266"/>
        <v>17546.540644580979</v>
      </c>
      <c r="I351" s="447">
        <f t="shared" si="266"/>
        <v>17967.348716358967</v>
      </c>
      <c r="J351" s="447">
        <f t="shared" si="266"/>
        <v>18315.050810534784</v>
      </c>
      <c r="K351" s="447">
        <f t="shared" si="266"/>
        <v>18691.768735200487</v>
      </c>
      <c r="L351" s="447">
        <f t="shared" si="266"/>
        <v>19032.816691152228</v>
      </c>
      <c r="M351" s="447">
        <f t="shared" si="266"/>
        <v>19129.09455966462</v>
      </c>
      <c r="N351" s="447">
        <f t="shared" si="266"/>
        <v>19001.04007234615</v>
      </c>
    </row>
    <row r="352" spans="1:14" s="5" customFormat="1">
      <c r="A352" s="164"/>
      <c r="B352" s="8" t="str">
        <f t="shared" si="253"/>
        <v>Modern Foreign Languages</v>
      </c>
      <c r="C352" s="447">
        <f t="shared" ref="C352:N352" si="267">C222+C275+C326-C98-C124-C150</f>
        <v>-191.7915241580049</v>
      </c>
      <c r="D352" s="447">
        <f t="shared" si="267"/>
        <v>-369.76570019364226</v>
      </c>
      <c r="E352" s="447">
        <f t="shared" si="267"/>
        <v>-547.2159501407441</v>
      </c>
      <c r="F352" s="447">
        <f t="shared" si="267"/>
        <v>-549.35297735111817</v>
      </c>
      <c r="G352" s="447">
        <f t="shared" si="267"/>
        <v>-558.3637952490426</v>
      </c>
      <c r="H352" s="447">
        <f t="shared" si="267"/>
        <v>-575.13395959723493</v>
      </c>
      <c r="I352" s="447">
        <f t="shared" si="267"/>
        <v>-592.15774941281416</v>
      </c>
      <c r="J352" s="447">
        <f t="shared" si="267"/>
        <v>-610.16513737842251</v>
      </c>
      <c r="K352" s="447">
        <f t="shared" si="267"/>
        <v>-623.09956821576634</v>
      </c>
      <c r="L352" s="447">
        <f t="shared" si="267"/>
        <v>-633.75273095796365</v>
      </c>
      <c r="M352" s="447">
        <f t="shared" si="267"/>
        <v>-644.000534802537</v>
      </c>
      <c r="N352" s="447">
        <f t="shared" si="267"/>
        <v>-651.99896095427175</v>
      </c>
    </row>
    <row r="353" spans="1:15" s="5" customFormat="1">
      <c r="A353" s="164"/>
      <c r="B353" s="8" t="str">
        <f t="shared" si="253"/>
        <v>Music</v>
      </c>
      <c r="C353" s="447">
        <f t="shared" ref="C353:N353" si="268">C223+C276+C327-C99-C125-C151</f>
        <v>-1155.3040079373641</v>
      </c>
      <c r="D353" s="447">
        <f t="shared" si="268"/>
        <v>-1556.8589813593517</v>
      </c>
      <c r="E353" s="447">
        <f t="shared" si="268"/>
        <v>-1675.5020479721115</v>
      </c>
      <c r="F353" s="447">
        <f t="shared" si="268"/>
        <v>-1709.3216160125794</v>
      </c>
      <c r="G353" s="447">
        <f t="shared" si="268"/>
        <v>-1757.9910067473265</v>
      </c>
      <c r="H353" s="447">
        <f t="shared" si="268"/>
        <v>-1824.9306106887452</v>
      </c>
      <c r="I353" s="447">
        <f t="shared" si="268"/>
        <v>-1860.8505525473156</v>
      </c>
      <c r="J353" s="447">
        <f t="shared" si="268"/>
        <v>-1880.9586240877998</v>
      </c>
      <c r="K353" s="447">
        <f t="shared" si="268"/>
        <v>-1918.7147933399374</v>
      </c>
      <c r="L353" s="447">
        <f t="shared" si="268"/>
        <v>-1955.4619912461949</v>
      </c>
      <c r="M353" s="447">
        <f t="shared" si="268"/>
        <v>-1948.2512365132716</v>
      </c>
      <c r="N353" s="447">
        <f t="shared" si="268"/>
        <v>-1905.3136083403442</v>
      </c>
    </row>
    <row r="354" spans="1:15" s="5" customFormat="1">
      <c r="A354" s="164"/>
      <c r="B354" s="8" t="str">
        <f t="shared" si="253"/>
        <v>Others</v>
      </c>
      <c r="C354" s="447">
        <f t="shared" ref="C354:N354" si="269">C224+C277+C328-C100-C126-C152</f>
        <v>-5038.5127506107528</v>
      </c>
      <c r="D354" s="447">
        <f t="shared" si="269"/>
        <v>-7183.5727211832418</v>
      </c>
      <c r="E354" s="447">
        <f t="shared" si="269"/>
        <v>-8259.0992024846491</v>
      </c>
      <c r="F354" s="447">
        <f t="shared" si="269"/>
        <v>-8394.2910481987637</v>
      </c>
      <c r="G354" s="447">
        <f t="shared" si="269"/>
        <v>-8609.8425315538625</v>
      </c>
      <c r="H354" s="447">
        <f t="shared" si="269"/>
        <v>-8921.7947502032184</v>
      </c>
      <c r="I354" s="447">
        <f t="shared" si="269"/>
        <v>-9117.5792787981918</v>
      </c>
      <c r="J354" s="447">
        <f t="shared" si="269"/>
        <v>-9257.1712160682946</v>
      </c>
      <c r="K354" s="447">
        <f t="shared" si="269"/>
        <v>-9445.4182222441159</v>
      </c>
      <c r="L354" s="447">
        <f t="shared" si="269"/>
        <v>-9621.7868513127469</v>
      </c>
      <c r="M354" s="447">
        <f t="shared" si="269"/>
        <v>-9630.8286929031019</v>
      </c>
      <c r="N354" s="447">
        <f t="shared" si="269"/>
        <v>-9497.0832463412662</v>
      </c>
    </row>
    <row r="355" spans="1:15" s="5" customFormat="1">
      <c r="A355" s="164"/>
      <c r="B355" s="8" t="str">
        <f t="shared" si="253"/>
        <v>Physical Education</v>
      </c>
      <c r="C355" s="447">
        <f t="shared" ref="C355:N355" si="270">C225+C278+C329-C101-C127-C153</f>
        <v>-6475.6574359742881</v>
      </c>
      <c r="D355" s="447">
        <f t="shared" si="270"/>
        <v>-8560.3364867576383</v>
      </c>
      <c r="E355" s="447">
        <f t="shared" si="270"/>
        <v>-8989.9502188282386</v>
      </c>
      <c r="F355" s="447">
        <f t="shared" si="270"/>
        <v>-9184.702970238639</v>
      </c>
      <c r="G355" s="447">
        <f t="shared" si="270"/>
        <v>-9456.1128499113584</v>
      </c>
      <c r="H355" s="447">
        <f t="shared" si="270"/>
        <v>-9822.8775503026009</v>
      </c>
      <c r="I355" s="447">
        <f t="shared" si="270"/>
        <v>-10007.709689424788</v>
      </c>
      <c r="J355" s="447">
        <f t="shared" si="270"/>
        <v>-10098.529266850663</v>
      </c>
      <c r="K355" s="447">
        <f t="shared" si="270"/>
        <v>-10300.210697020309</v>
      </c>
      <c r="L355" s="447">
        <f t="shared" si="270"/>
        <v>-10499.390825457915</v>
      </c>
      <c r="M355" s="447">
        <f t="shared" si="270"/>
        <v>-10441.895564788716</v>
      </c>
      <c r="N355" s="447">
        <f t="shared" si="270"/>
        <v>-10178.65198667828</v>
      </c>
    </row>
    <row r="356" spans="1:15" s="5" customFormat="1">
      <c r="A356" s="164"/>
      <c r="B356" s="8" t="str">
        <f t="shared" si="253"/>
        <v>Physics</v>
      </c>
      <c r="C356" s="447">
        <f t="shared" ref="C356:N356" si="271">C226+C279+C330-C102-C128-C154</f>
        <v>3901.0543036479212</v>
      </c>
      <c r="D356" s="447">
        <f t="shared" si="271"/>
        <v>4045.6095299080625</v>
      </c>
      <c r="E356" s="447">
        <f t="shared" si="271"/>
        <v>4156.2032110161308</v>
      </c>
      <c r="F356" s="447">
        <f t="shared" si="271"/>
        <v>4251.894145693539</v>
      </c>
      <c r="G356" s="447">
        <f t="shared" si="271"/>
        <v>4381.7405425296602</v>
      </c>
      <c r="H356" s="447">
        <f t="shared" si="271"/>
        <v>4554.5335952579408</v>
      </c>
      <c r="I356" s="447">
        <f t="shared" si="271"/>
        <v>4636.6258574964813</v>
      </c>
      <c r="J356" s="447">
        <f t="shared" si="271"/>
        <v>4671.3530354351751</v>
      </c>
      <c r="K356" s="447">
        <f t="shared" si="271"/>
        <v>4764.2108159696218</v>
      </c>
      <c r="L356" s="447">
        <f t="shared" si="271"/>
        <v>4857.1508310535646</v>
      </c>
      <c r="M356" s="447">
        <f t="shared" si="271"/>
        <v>4822.571718989464</v>
      </c>
      <c r="N356" s="447">
        <f t="shared" si="271"/>
        <v>4686.8942164914406</v>
      </c>
    </row>
    <row r="357" spans="1:15" s="5" customFormat="1">
      <c r="A357" s="164"/>
      <c r="B357" s="8" t="str">
        <f t="shared" si="253"/>
        <v>Religious Education</v>
      </c>
      <c r="C357" s="447">
        <f t="shared" ref="C357:N357" si="272">C227+C280+C331-C103-C129-C155</f>
        <v>-2762.4876748292863</v>
      </c>
      <c r="D357" s="447">
        <f t="shared" si="272"/>
        <v>-3672.3703564204916</v>
      </c>
      <c r="E357" s="447">
        <f t="shared" si="272"/>
        <v>-3884.7905543461638</v>
      </c>
      <c r="F357" s="447">
        <f t="shared" si="272"/>
        <v>-3967.2287212960891</v>
      </c>
      <c r="G357" s="447">
        <f t="shared" si="272"/>
        <v>-4083.1830785251423</v>
      </c>
      <c r="H357" s="447">
        <f t="shared" si="272"/>
        <v>-4240.6886909952955</v>
      </c>
      <c r="I357" s="447">
        <f t="shared" si="272"/>
        <v>-4321.5810190545963</v>
      </c>
      <c r="J357" s="447">
        <f t="shared" si="272"/>
        <v>-4363.0347505068348</v>
      </c>
      <c r="K357" s="447">
        <f t="shared" si="272"/>
        <v>-4450.3029839843039</v>
      </c>
      <c r="L357" s="447">
        <f t="shared" si="272"/>
        <v>-4536.1136043826446</v>
      </c>
      <c r="M357" s="447">
        <f t="shared" si="272"/>
        <v>-4513.7010791848916</v>
      </c>
      <c r="N357" s="447">
        <f t="shared" si="272"/>
        <v>-4404.1974713648924</v>
      </c>
    </row>
    <row r="358" spans="1:15" s="5" customFormat="1">
      <c r="A358" s="164"/>
      <c r="B358" s="8" t="str">
        <f t="shared" si="253"/>
        <v>Recalculated Total</v>
      </c>
      <c r="C358" s="519">
        <f>SUM(C339:C357)</f>
        <v>-1.9826984498649836E-10</v>
      </c>
      <c r="D358" s="519">
        <f t="shared" ref="D358:N358" si="273">SUM(D339:D357)</f>
        <v>5.6570570450276136E-10</v>
      </c>
      <c r="E358" s="519">
        <f t="shared" si="273"/>
        <v>-6.1118043959140778E-10</v>
      </c>
      <c r="F358" s="519">
        <f t="shared" si="273"/>
        <v>4.5656634029000998E-10</v>
      </c>
      <c r="G358" s="519">
        <f t="shared" si="273"/>
        <v>-5.766196409240365E-10</v>
      </c>
      <c r="H358" s="519">
        <f t="shared" si="273"/>
        <v>-3.637978807091713E-10</v>
      </c>
      <c r="I358" s="519">
        <f t="shared" si="273"/>
        <v>-4.4019543565809727E-10</v>
      </c>
      <c r="J358" s="519">
        <f t="shared" si="273"/>
        <v>-8.3673512563109398E-11</v>
      </c>
      <c r="K358" s="519">
        <f t="shared" si="273"/>
        <v>-5.1295501179993153E-10</v>
      </c>
      <c r="L358" s="519">
        <f t="shared" si="273"/>
        <v>-1.4915713109076023E-10</v>
      </c>
      <c r="M358" s="519">
        <f t="shared" si="273"/>
        <v>-5.0204107537865639E-10</v>
      </c>
      <c r="N358" s="519">
        <f t="shared" si="273"/>
        <v>-5.7480065152049065E-10</v>
      </c>
    </row>
    <row r="359" spans="1:15" s="10" customFormat="1">
      <c r="A359" s="10">
        <f>O359</f>
        <v>0</v>
      </c>
      <c r="B359" s="257"/>
      <c r="C359" s="10">
        <f t="shared" ref="C359:N359" si="274">SUM(C339:C357)-C358</f>
        <v>0</v>
      </c>
      <c r="D359" s="10">
        <f t="shared" si="274"/>
        <v>0</v>
      </c>
      <c r="E359" s="10">
        <f t="shared" si="274"/>
        <v>0</v>
      </c>
      <c r="F359" s="10">
        <f t="shared" si="274"/>
        <v>0</v>
      </c>
      <c r="G359" s="10">
        <f t="shared" si="274"/>
        <v>0</v>
      </c>
      <c r="H359" s="10">
        <f t="shared" si="274"/>
        <v>0</v>
      </c>
      <c r="I359" s="10">
        <f t="shared" si="274"/>
        <v>0</v>
      </c>
      <c r="J359" s="10">
        <f t="shared" si="274"/>
        <v>0</v>
      </c>
      <c r="K359" s="10">
        <f t="shared" si="274"/>
        <v>0</v>
      </c>
      <c r="L359" s="10">
        <f t="shared" si="274"/>
        <v>0</v>
      </c>
      <c r="M359" s="10">
        <f t="shared" si="274"/>
        <v>0</v>
      </c>
      <c r="N359" s="10">
        <f t="shared" si="274"/>
        <v>0</v>
      </c>
      <c r="O359" s="10">
        <f>SUM(C359:N359)</f>
        <v>0</v>
      </c>
    </row>
    <row r="360" spans="1:15">
      <c r="B360" s="12"/>
      <c r="D360" s="12"/>
      <c r="E360" s="12"/>
      <c r="F360" s="12"/>
    </row>
    <row r="361" spans="1:15" ht="15.75">
      <c r="B361" s="141" t="s">
        <v>1570</v>
      </c>
      <c r="D361" s="12"/>
      <c r="E361" s="12"/>
      <c r="F361" s="12"/>
    </row>
    <row r="362" spans="1:15">
      <c r="B362" s="12"/>
      <c r="D362" s="12"/>
      <c r="E362" s="12"/>
      <c r="F362" s="12"/>
    </row>
    <row r="363" spans="1:15">
      <c r="B363" s="8" t="str">
        <f t="shared" ref="B363:N363" si="275">B136</f>
        <v>Subject</v>
      </c>
      <c r="C363" s="8" t="str">
        <f t="shared" si="275"/>
        <v>2017/18</v>
      </c>
      <c r="D363" s="8" t="str">
        <f t="shared" si="275"/>
        <v>2018/19</v>
      </c>
      <c r="E363" s="8" t="str">
        <f t="shared" si="275"/>
        <v>2019/20</v>
      </c>
      <c r="F363" s="8" t="str">
        <f t="shared" si="275"/>
        <v>2020/21</v>
      </c>
      <c r="G363" s="8" t="str">
        <f t="shared" si="275"/>
        <v>2021/22</v>
      </c>
      <c r="H363" s="8" t="str">
        <f t="shared" si="275"/>
        <v>2022/23</v>
      </c>
      <c r="I363" s="8" t="str">
        <f t="shared" si="275"/>
        <v>2023/24</v>
      </c>
      <c r="J363" s="8" t="str">
        <f t="shared" si="275"/>
        <v>2024/25</v>
      </c>
      <c r="K363" s="8" t="str">
        <f t="shared" si="275"/>
        <v>2025/26</v>
      </c>
      <c r="L363" s="8" t="str">
        <f t="shared" si="275"/>
        <v>2026/27</v>
      </c>
      <c r="M363" s="8" t="str">
        <f t="shared" si="275"/>
        <v>2027/28</v>
      </c>
      <c r="N363" s="8" t="str">
        <f t="shared" si="275"/>
        <v>2028/29</v>
      </c>
    </row>
    <row r="364" spans="1:15" s="5" customFormat="1">
      <c r="A364" s="164"/>
      <c r="B364" s="8" t="str">
        <f t="shared" ref="B364:B383" si="276">B137</f>
        <v>Art &amp; Design</v>
      </c>
      <c r="C364" s="447">
        <f t="shared" ref="C364:N364" si="277">C209+C262+C313</f>
        <v>136949.81455939641</v>
      </c>
      <c r="D364" s="447">
        <f t="shared" si="277"/>
        <v>138911.01098515437</v>
      </c>
      <c r="E364" s="447">
        <f t="shared" si="277"/>
        <v>141985.84851866547</v>
      </c>
      <c r="F364" s="447">
        <f t="shared" si="277"/>
        <v>144874.49776997129</v>
      </c>
      <c r="G364" s="447">
        <f t="shared" si="277"/>
        <v>148011.03537492891</v>
      </c>
      <c r="H364" s="447">
        <f t="shared" si="277"/>
        <v>151367.32882995519</v>
      </c>
      <c r="I364" s="447">
        <f t="shared" si="277"/>
        <v>154525.5284420769</v>
      </c>
      <c r="J364" s="447">
        <f t="shared" si="277"/>
        <v>155817.84775316028</v>
      </c>
      <c r="K364" s="447">
        <f t="shared" si="277"/>
        <v>156240.1211865409</v>
      </c>
      <c r="L364" s="447">
        <f t="shared" si="277"/>
        <v>156004.2473321365</v>
      </c>
      <c r="M364" s="447">
        <f t="shared" si="277"/>
        <v>155753.13273057999</v>
      </c>
      <c r="N364" s="447">
        <f t="shared" si="277"/>
        <v>155349.34318736068</v>
      </c>
    </row>
    <row r="365" spans="1:15" s="5" customFormat="1">
      <c r="A365" s="164"/>
      <c r="B365" s="8" t="str">
        <f t="shared" si="276"/>
        <v>Biology</v>
      </c>
      <c r="C365" s="447">
        <f t="shared" ref="C365:N365" si="278">C210+C263+C314</f>
        <v>206721.01697531156</v>
      </c>
      <c r="D365" s="447">
        <f t="shared" si="278"/>
        <v>211306.80073709178</v>
      </c>
      <c r="E365" s="447">
        <f t="shared" si="278"/>
        <v>216174.53586392599</v>
      </c>
      <c r="F365" s="447">
        <f t="shared" si="278"/>
        <v>220577.80914052797</v>
      </c>
      <c r="G365" s="447">
        <f t="shared" si="278"/>
        <v>225732.05694968399</v>
      </c>
      <c r="H365" s="447">
        <f t="shared" si="278"/>
        <v>231713.33769460465</v>
      </c>
      <c r="I365" s="447">
        <f t="shared" si="278"/>
        <v>236470.96179816741</v>
      </c>
      <c r="J365" s="447">
        <f t="shared" si="278"/>
        <v>238574.33717262259</v>
      </c>
      <c r="K365" s="447">
        <f t="shared" si="278"/>
        <v>240251.58750794368</v>
      </c>
      <c r="L365" s="447">
        <f t="shared" si="278"/>
        <v>241143.27650507283</v>
      </c>
      <c r="M365" s="447">
        <f t="shared" si="278"/>
        <v>240607.33367048312</v>
      </c>
      <c r="N365" s="447">
        <f t="shared" si="278"/>
        <v>238752.74868790392</v>
      </c>
    </row>
    <row r="366" spans="1:15" s="5" customFormat="1">
      <c r="A366" s="164"/>
      <c r="B366" s="8" t="str">
        <f t="shared" si="276"/>
        <v>Business Studies</v>
      </c>
      <c r="C366" s="447">
        <f t="shared" ref="C366:N366" si="279">C211+C264+C315</f>
        <v>68320.435138853034</v>
      </c>
      <c r="D366" s="447">
        <f t="shared" si="279"/>
        <v>67870.765579092986</v>
      </c>
      <c r="E366" s="447">
        <f t="shared" si="279"/>
        <v>68037.011319629717</v>
      </c>
      <c r="F366" s="447">
        <f t="shared" si="279"/>
        <v>68987.454446465417</v>
      </c>
      <c r="G366" s="447">
        <f t="shared" si="279"/>
        <v>70557.255458663698</v>
      </c>
      <c r="H366" s="447">
        <f t="shared" si="279"/>
        <v>72849.054749703064</v>
      </c>
      <c r="I366" s="447">
        <f t="shared" si="279"/>
        <v>74569.004684708765</v>
      </c>
      <c r="J366" s="447">
        <f t="shared" si="279"/>
        <v>75898.243995183351</v>
      </c>
      <c r="K366" s="447">
        <f t="shared" si="279"/>
        <v>77239.951423875551</v>
      </c>
      <c r="L366" s="447">
        <f t="shared" si="279"/>
        <v>78402.241051158024</v>
      </c>
      <c r="M366" s="447">
        <f t="shared" si="279"/>
        <v>78738.756558518551</v>
      </c>
      <c r="N366" s="447">
        <f t="shared" si="279"/>
        <v>78301.476055425097</v>
      </c>
    </row>
    <row r="367" spans="1:15" s="5" customFormat="1">
      <c r="A367" s="164"/>
      <c r="B367" s="8" t="str">
        <f t="shared" si="276"/>
        <v>Chemistry</v>
      </c>
      <c r="C367" s="447">
        <f t="shared" ref="C367:N367" si="280">C212+C265+C316</f>
        <v>182806.93150941649</v>
      </c>
      <c r="D367" s="447">
        <f t="shared" si="280"/>
        <v>186988.20879756959</v>
      </c>
      <c r="E367" s="447">
        <f t="shared" si="280"/>
        <v>191320.36594158574</v>
      </c>
      <c r="F367" s="447">
        <f t="shared" si="280"/>
        <v>195237.78551118774</v>
      </c>
      <c r="G367" s="447">
        <f t="shared" si="280"/>
        <v>199876.56499632855</v>
      </c>
      <c r="H367" s="447">
        <f t="shared" si="280"/>
        <v>205323.99258008305</v>
      </c>
      <c r="I367" s="447">
        <f t="shared" si="280"/>
        <v>209514.70165629889</v>
      </c>
      <c r="J367" s="447">
        <f t="shared" si="280"/>
        <v>211373.39310600518</v>
      </c>
      <c r="K367" s="447">
        <f t="shared" si="280"/>
        <v>213025.84014971519</v>
      </c>
      <c r="L367" s="447">
        <f t="shared" si="280"/>
        <v>214022.76883486554</v>
      </c>
      <c r="M367" s="447">
        <f t="shared" si="280"/>
        <v>213495.65182601038</v>
      </c>
      <c r="N367" s="447">
        <f t="shared" si="280"/>
        <v>211602.99436149583</v>
      </c>
    </row>
    <row r="368" spans="1:15" s="5" customFormat="1">
      <c r="A368" s="164"/>
      <c r="B368" s="8" t="str">
        <f t="shared" si="276"/>
        <v>Classics</v>
      </c>
      <c r="C368" s="447">
        <f t="shared" ref="C368:N368" si="281">C213+C266+C317</f>
        <v>5124.9085804590131</v>
      </c>
      <c r="D368" s="447">
        <f t="shared" si="281"/>
        <v>5142.8878557807839</v>
      </c>
      <c r="E368" s="447">
        <f t="shared" si="281"/>
        <v>5205.1524389595161</v>
      </c>
      <c r="F368" s="447">
        <f t="shared" si="281"/>
        <v>5293.7963085709971</v>
      </c>
      <c r="G368" s="447">
        <f t="shared" si="281"/>
        <v>5406.728334914379</v>
      </c>
      <c r="H368" s="447">
        <f t="shared" si="281"/>
        <v>5546.0434364749062</v>
      </c>
      <c r="I368" s="447">
        <f t="shared" si="281"/>
        <v>5670.6383803473182</v>
      </c>
      <c r="J368" s="447">
        <f t="shared" si="281"/>
        <v>5744.46296560874</v>
      </c>
      <c r="K368" s="447">
        <f t="shared" si="281"/>
        <v>5792.2578942394475</v>
      </c>
      <c r="L368" s="447">
        <f t="shared" si="281"/>
        <v>5818.6267650000982</v>
      </c>
      <c r="M368" s="447">
        <f t="shared" si="281"/>
        <v>5829.4298742120136</v>
      </c>
      <c r="N368" s="447">
        <f t="shared" si="281"/>
        <v>5820.3496874798921</v>
      </c>
    </row>
    <row r="369" spans="1:15" s="5" customFormat="1">
      <c r="A369" s="164"/>
      <c r="B369" s="8" t="str">
        <f t="shared" si="276"/>
        <v>Computing</v>
      </c>
      <c r="C369" s="447">
        <f t="shared" ref="C369:N369" si="282">C214+C267+C318</f>
        <v>116560.12445594446</v>
      </c>
      <c r="D369" s="447">
        <f t="shared" si="282"/>
        <v>118161.69126040753</v>
      </c>
      <c r="E369" s="447">
        <f t="shared" si="282"/>
        <v>120709.56358617723</v>
      </c>
      <c r="F369" s="447">
        <f t="shared" si="282"/>
        <v>123151.70619839706</v>
      </c>
      <c r="G369" s="447">
        <f t="shared" si="282"/>
        <v>125897.19977632862</v>
      </c>
      <c r="H369" s="447">
        <f t="shared" si="282"/>
        <v>128950.13535325749</v>
      </c>
      <c r="I369" s="447">
        <f t="shared" si="282"/>
        <v>131631.82026001002</v>
      </c>
      <c r="J369" s="447">
        <f t="shared" si="282"/>
        <v>132782.07230886709</v>
      </c>
      <c r="K369" s="447">
        <f t="shared" si="282"/>
        <v>133389.11692008187</v>
      </c>
      <c r="L369" s="447">
        <f t="shared" si="282"/>
        <v>133485.07140111364</v>
      </c>
      <c r="M369" s="447">
        <f t="shared" si="282"/>
        <v>133255.98962197837</v>
      </c>
      <c r="N369" s="447">
        <f t="shared" si="282"/>
        <v>132653.45206793034</v>
      </c>
    </row>
    <row r="370" spans="1:15" s="5" customFormat="1">
      <c r="A370" s="164"/>
      <c r="B370" s="8" t="str">
        <f t="shared" si="276"/>
        <v>Design &amp; Technology</v>
      </c>
      <c r="C370" s="447">
        <f t="shared" ref="C370:N370" si="283">C215+C268+C319</f>
        <v>166777.75995897281</v>
      </c>
      <c r="D370" s="447">
        <f t="shared" si="283"/>
        <v>169986.64959451853</v>
      </c>
      <c r="E370" s="447">
        <f t="shared" si="283"/>
        <v>174515.47267718514</v>
      </c>
      <c r="F370" s="447">
        <f t="shared" si="283"/>
        <v>178317.63661010732</v>
      </c>
      <c r="G370" s="447">
        <f t="shared" si="283"/>
        <v>182161.71978863035</v>
      </c>
      <c r="H370" s="447">
        <f t="shared" si="283"/>
        <v>185954.54471310356</v>
      </c>
      <c r="I370" s="447">
        <f t="shared" si="283"/>
        <v>189712.88491568994</v>
      </c>
      <c r="J370" s="447">
        <f t="shared" si="283"/>
        <v>190899.8134905631</v>
      </c>
      <c r="K370" s="447">
        <f t="shared" si="283"/>
        <v>190834.20342318132</v>
      </c>
      <c r="L370" s="447">
        <f t="shared" si="283"/>
        <v>189896.69775116825</v>
      </c>
      <c r="M370" s="447">
        <f t="shared" si="283"/>
        <v>189312.11939350204</v>
      </c>
      <c r="N370" s="447">
        <f t="shared" si="283"/>
        <v>188866.51645058524</v>
      </c>
    </row>
    <row r="371" spans="1:15" s="5" customFormat="1">
      <c r="A371" s="164"/>
      <c r="B371" s="8" t="str">
        <f t="shared" si="276"/>
        <v>Drama</v>
      </c>
      <c r="C371" s="447">
        <f t="shared" ref="C371:N371" si="284">C216+C269+C320</f>
        <v>83678.844322995807</v>
      </c>
      <c r="D371" s="447">
        <f t="shared" si="284"/>
        <v>85041.564452681821</v>
      </c>
      <c r="E371" s="447">
        <f t="shared" si="284"/>
        <v>87078.650289352809</v>
      </c>
      <c r="F371" s="447">
        <f t="shared" si="284"/>
        <v>88898.816757559282</v>
      </c>
      <c r="G371" s="447">
        <f t="shared" si="284"/>
        <v>90799.921277378977</v>
      </c>
      <c r="H371" s="447">
        <f t="shared" si="284"/>
        <v>92746.944157355276</v>
      </c>
      <c r="I371" s="447">
        <f t="shared" si="284"/>
        <v>94662.607200604049</v>
      </c>
      <c r="J371" s="447">
        <f t="shared" si="284"/>
        <v>95369.934711964364</v>
      </c>
      <c r="K371" s="447">
        <f t="shared" si="284"/>
        <v>95459.821265626684</v>
      </c>
      <c r="L371" s="447">
        <f t="shared" si="284"/>
        <v>95122.213989283147</v>
      </c>
      <c r="M371" s="447">
        <f t="shared" si="284"/>
        <v>94922.893871653214</v>
      </c>
      <c r="N371" s="447">
        <f t="shared" si="284"/>
        <v>94751.728196303098</v>
      </c>
    </row>
    <row r="372" spans="1:15" s="5" customFormat="1">
      <c r="A372" s="164"/>
      <c r="B372" s="8" t="str">
        <f t="shared" si="276"/>
        <v>English</v>
      </c>
      <c r="C372" s="447">
        <f t="shared" ref="C372:N372" si="285">C217+C270+C321</f>
        <v>531686.97334443743</v>
      </c>
      <c r="D372" s="447">
        <f t="shared" si="285"/>
        <v>552791.46706343011</v>
      </c>
      <c r="E372" s="447">
        <f t="shared" si="285"/>
        <v>567976.99286925886</v>
      </c>
      <c r="F372" s="447">
        <f t="shared" si="285"/>
        <v>580497.12696835666</v>
      </c>
      <c r="G372" s="447">
        <f t="shared" si="285"/>
        <v>594131.70351159258</v>
      </c>
      <c r="H372" s="447">
        <f t="shared" si="285"/>
        <v>608901.64484429068</v>
      </c>
      <c r="I372" s="447">
        <f t="shared" si="285"/>
        <v>620918.51720534149</v>
      </c>
      <c r="J372" s="447">
        <f t="shared" si="285"/>
        <v>624979.17704897921</v>
      </c>
      <c r="K372" s="447">
        <f t="shared" si="285"/>
        <v>627547.35117813549</v>
      </c>
      <c r="L372" s="447">
        <f t="shared" si="285"/>
        <v>627890.68094823777</v>
      </c>
      <c r="M372" s="447">
        <f t="shared" si="285"/>
        <v>625387.78885761625</v>
      </c>
      <c r="N372" s="447">
        <f t="shared" si="285"/>
        <v>620267.77716372954</v>
      </c>
    </row>
    <row r="373" spans="1:15" s="5" customFormat="1">
      <c r="A373" s="164"/>
      <c r="B373" s="8" t="str">
        <f t="shared" si="276"/>
        <v>Food</v>
      </c>
      <c r="C373" s="447">
        <f t="shared" ref="C373:N373" si="286">C218+C271+C322</f>
        <v>34759.582497595788</v>
      </c>
      <c r="D373" s="447">
        <f t="shared" si="286"/>
        <v>35450.437729883583</v>
      </c>
      <c r="E373" s="447">
        <f t="shared" si="286"/>
        <v>36409.267695993287</v>
      </c>
      <c r="F373" s="447">
        <f t="shared" si="286"/>
        <v>37218.887539849544</v>
      </c>
      <c r="G373" s="447">
        <f t="shared" si="286"/>
        <v>38126.742411769505</v>
      </c>
      <c r="H373" s="447">
        <f t="shared" si="286"/>
        <v>39143.353756874647</v>
      </c>
      <c r="I373" s="447">
        <f t="shared" si="286"/>
        <v>39905.888107044128</v>
      </c>
      <c r="J373" s="447">
        <f t="shared" si="286"/>
        <v>40167.95777046802</v>
      </c>
      <c r="K373" s="447">
        <f t="shared" si="286"/>
        <v>40410.503895111367</v>
      </c>
      <c r="L373" s="447">
        <f t="shared" si="286"/>
        <v>40528.284958019736</v>
      </c>
      <c r="M373" s="447">
        <f t="shared" si="286"/>
        <v>40346.813720650287</v>
      </c>
      <c r="N373" s="447">
        <f t="shared" si="286"/>
        <v>39908.263812462166</v>
      </c>
    </row>
    <row r="374" spans="1:15" s="5" customFormat="1">
      <c r="A374" s="164"/>
      <c r="B374" s="8" t="str">
        <f t="shared" si="276"/>
        <v>Geography</v>
      </c>
      <c r="C374" s="447">
        <f t="shared" ref="C374:N374" si="287">C219+C272+C323</f>
        <v>181364.47871402028</v>
      </c>
      <c r="D374" s="447">
        <f t="shared" si="287"/>
        <v>185600.43429347326</v>
      </c>
      <c r="E374" s="447">
        <f t="shared" si="287"/>
        <v>190360.34774178552</v>
      </c>
      <c r="F374" s="447">
        <f t="shared" si="287"/>
        <v>194461.38575575236</v>
      </c>
      <c r="G374" s="447">
        <f t="shared" si="287"/>
        <v>198785.61114005197</v>
      </c>
      <c r="H374" s="447">
        <f t="shared" si="287"/>
        <v>203283.07962060318</v>
      </c>
      <c r="I374" s="447">
        <f t="shared" si="287"/>
        <v>207388.96961549146</v>
      </c>
      <c r="J374" s="447">
        <f t="shared" si="287"/>
        <v>208806.68755424101</v>
      </c>
      <c r="K374" s="447">
        <f t="shared" si="287"/>
        <v>209199.15400233603</v>
      </c>
      <c r="L374" s="447">
        <f t="shared" si="287"/>
        <v>208726.32061797596</v>
      </c>
      <c r="M374" s="447">
        <f t="shared" si="287"/>
        <v>208089.12195536241</v>
      </c>
      <c r="N374" s="447">
        <f t="shared" si="287"/>
        <v>207171.16307862021</v>
      </c>
    </row>
    <row r="375" spans="1:15" s="5" customFormat="1">
      <c r="A375" s="164"/>
      <c r="B375" s="8" t="str">
        <f t="shared" si="276"/>
        <v>History</v>
      </c>
      <c r="C375" s="447">
        <f t="shared" ref="C375:N375" si="288">C220+C273+C324</f>
        <v>193162.81408243946</v>
      </c>
      <c r="D375" s="447">
        <f t="shared" si="288"/>
        <v>197424.64893569244</v>
      </c>
      <c r="E375" s="447">
        <f t="shared" si="288"/>
        <v>202255.90458908255</v>
      </c>
      <c r="F375" s="447">
        <f t="shared" si="288"/>
        <v>206536.03011602501</v>
      </c>
      <c r="G375" s="447">
        <f t="shared" si="288"/>
        <v>211122.42472476262</v>
      </c>
      <c r="H375" s="447">
        <f t="shared" si="288"/>
        <v>215976.36759588428</v>
      </c>
      <c r="I375" s="447">
        <f t="shared" si="288"/>
        <v>220378.13172979379</v>
      </c>
      <c r="J375" s="447">
        <f t="shared" si="288"/>
        <v>222003.19633487216</v>
      </c>
      <c r="K375" s="447">
        <f t="shared" si="288"/>
        <v>222567.87764973321</v>
      </c>
      <c r="L375" s="447">
        <f t="shared" si="288"/>
        <v>222225.92215622388</v>
      </c>
      <c r="M375" s="447">
        <f t="shared" si="288"/>
        <v>221637.97789613009</v>
      </c>
      <c r="N375" s="447">
        <f t="shared" si="288"/>
        <v>220684.55358467088</v>
      </c>
    </row>
    <row r="376" spans="1:15" s="5" customFormat="1">
      <c r="A376" s="164"/>
      <c r="B376" s="8" t="str">
        <f t="shared" si="276"/>
        <v>Mathematics</v>
      </c>
      <c r="C376" s="447">
        <f t="shared" ref="C376:N376" si="289">C221+C274+C325</f>
        <v>534607.39517967438</v>
      </c>
      <c r="D376" s="447">
        <f t="shared" si="289"/>
        <v>550826.11420296726</v>
      </c>
      <c r="E376" s="447">
        <f t="shared" si="289"/>
        <v>567851.55379096977</v>
      </c>
      <c r="F376" s="447">
        <f t="shared" si="289"/>
        <v>579910.04325977236</v>
      </c>
      <c r="G376" s="447">
        <f t="shared" si="289"/>
        <v>593310.1674956691</v>
      </c>
      <c r="H376" s="447">
        <f t="shared" si="289"/>
        <v>608099.95245383075</v>
      </c>
      <c r="I376" s="447">
        <f t="shared" si="289"/>
        <v>620371.134491037</v>
      </c>
      <c r="J376" s="447">
        <f t="shared" si="289"/>
        <v>625067.06122871418</v>
      </c>
      <c r="K376" s="447">
        <f t="shared" si="289"/>
        <v>628005.85753884201</v>
      </c>
      <c r="L376" s="447">
        <f t="shared" si="289"/>
        <v>628690.54053747433</v>
      </c>
      <c r="M376" s="447">
        <f t="shared" si="289"/>
        <v>626789.34601512761</v>
      </c>
      <c r="N376" s="447">
        <f t="shared" si="289"/>
        <v>622401.58611122379</v>
      </c>
    </row>
    <row r="377" spans="1:15" s="5" customFormat="1">
      <c r="A377" s="164"/>
      <c r="B377" s="8" t="str">
        <f t="shared" si="276"/>
        <v>Modern Foreign Languages</v>
      </c>
      <c r="C377" s="447">
        <f t="shared" ref="C377:N377" si="290">C222+C275+C326</f>
        <v>249102.3485876366</v>
      </c>
      <c r="D377" s="447">
        <f t="shared" si="290"/>
        <v>255308.39993515986</v>
      </c>
      <c r="E377" s="447">
        <f t="shared" si="290"/>
        <v>262303.32224149525</v>
      </c>
      <c r="F377" s="447">
        <f t="shared" si="290"/>
        <v>268095.26820388192</v>
      </c>
      <c r="G377" s="447">
        <f t="shared" si="290"/>
        <v>273997.80743884068</v>
      </c>
      <c r="H377" s="447">
        <f t="shared" si="290"/>
        <v>279893.52908882947</v>
      </c>
      <c r="I377" s="447">
        <f t="shared" si="290"/>
        <v>285488.34732542781</v>
      </c>
      <c r="J377" s="447">
        <f t="shared" si="290"/>
        <v>287198.04458248575</v>
      </c>
      <c r="K377" s="447">
        <f t="shared" si="290"/>
        <v>287273.98193492211</v>
      </c>
      <c r="L377" s="447">
        <f t="shared" si="290"/>
        <v>286093.74114463758</v>
      </c>
      <c r="M377" s="447">
        <f t="shared" si="290"/>
        <v>285080.55931363662</v>
      </c>
      <c r="N377" s="447">
        <f t="shared" si="290"/>
        <v>284006.9360473858</v>
      </c>
    </row>
    <row r="378" spans="1:15" s="5" customFormat="1">
      <c r="A378" s="164"/>
      <c r="B378" s="8" t="str">
        <f t="shared" si="276"/>
        <v>Music</v>
      </c>
      <c r="C378" s="447">
        <f t="shared" ref="C378:N378" si="291">C223+C276+C327</f>
        <v>84242.188689047485</v>
      </c>
      <c r="D378" s="447">
        <f t="shared" si="291"/>
        <v>85820.715545226281</v>
      </c>
      <c r="E378" s="447">
        <f t="shared" si="291"/>
        <v>88071.570462114803</v>
      </c>
      <c r="F378" s="447">
        <f t="shared" si="291"/>
        <v>89971.640931504735</v>
      </c>
      <c r="G378" s="447">
        <f t="shared" si="291"/>
        <v>91847.656266210048</v>
      </c>
      <c r="H378" s="447">
        <f t="shared" si="291"/>
        <v>93636.430783985124</v>
      </c>
      <c r="I378" s="447">
        <f t="shared" si="291"/>
        <v>95550.548103589652</v>
      </c>
      <c r="J378" s="447">
        <f t="shared" si="291"/>
        <v>96154.794369640586</v>
      </c>
      <c r="K378" s="447">
        <f t="shared" si="291"/>
        <v>95986.374300426716</v>
      </c>
      <c r="L378" s="447">
        <f t="shared" si="291"/>
        <v>95345.412728753494</v>
      </c>
      <c r="M378" s="447">
        <f t="shared" si="291"/>
        <v>95096.203720717313</v>
      </c>
      <c r="N378" s="447">
        <f t="shared" si="291"/>
        <v>95079.58625702039</v>
      </c>
    </row>
    <row r="379" spans="1:15" s="5" customFormat="1">
      <c r="A379" s="164"/>
      <c r="B379" s="8" t="str">
        <f t="shared" si="276"/>
        <v>Others</v>
      </c>
      <c r="C379" s="447">
        <f t="shared" ref="C379:N379" si="292">C224+C277+C328</f>
        <v>249901.48164331971</v>
      </c>
      <c r="D379" s="447">
        <f t="shared" si="292"/>
        <v>248673.63672124478</v>
      </c>
      <c r="E379" s="447">
        <f t="shared" si="292"/>
        <v>249707.48697839555</v>
      </c>
      <c r="F379" s="447">
        <f t="shared" si="292"/>
        <v>253286.27868549369</v>
      </c>
      <c r="G379" s="447">
        <f t="shared" si="292"/>
        <v>258571.08473489847</v>
      </c>
      <c r="H379" s="447">
        <f t="shared" si="292"/>
        <v>265767.76937593723</v>
      </c>
      <c r="I379" s="447">
        <f t="shared" si="292"/>
        <v>272095.96552621375</v>
      </c>
      <c r="J379" s="447">
        <f t="shared" si="292"/>
        <v>276650.31216491805</v>
      </c>
      <c r="K379" s="447">
        <f t="shared" si="292"/>
        <v>280059.4260864933</v>
      </c>
      <c r="L379" s="447">
        <f t="shared" si="292"/>
        <v>282515.84646434104</v>
      </c>
      <c r="M379" s="447">
        <f t="shared" si="292"/>
        <v>283836.0267778493</v>
      </c>
      <c r="N379" s="447">
        <f t="shared" si="292"/>
        <v>283796.57005383301</v>
      </c>
    </row>
    <row r="380" spans="1:15" s="5" customFormat="1">
      <c r="A380" s="164"/>
      <c r="B380" s="8" t="str">
        <f t="shared" si="276"/>
        <v>Physical Education</v>
      </c>
      <c r="C380" s="447">
        <f t="shared" ref="C380:N380" si="293">C225+C278+C329</f>
        <v>274446.90948322305</v>
      </c>
      <c r="D380" s="447">
        <f t="shared" si="293"/>
        <v>279711.45446804236</v>
      </c>
      <c r="E380" s="447">
        <f t="shared" si="293"/>
        <v>287127.23686700809</v>
      </c>
      <c r="F380" s="447">
        <f t="shared" si="293"/>
        <v>293411.86632945517</v>
      </c>
      <c r="G380" s="447">
        <f t="shared" si="293"/>
        <v>300108.37507894984</v>
      </c>
      <c r="H380" s="447">
        <f t="shared" si="293"/>
        <v>307174.96064563695</v>
      </c>
      <c r="I380" s="447">
        <f t="shared" si="293"/>
        <v>313296.85531543143</v>
      </c>
      <c r="J380" s="447">
        <f t="shared" si="293"/>
        <v>315345.43180693523</v>
      </c>
      <c r="K380" s="447">
        <f t="shared" si="293"/>
        <v>316200.45962929213</v>
      </c>
      <c r="L380" s="447">
        <f t="shared" si="293"/>
        <v>315828.12550769391</v>
      </c>
      <c r="M380" s="447">
        <f t="shared" si="293"/>
        <v>314689.01511982305</v>
      </c>
      <c r="N380" s="447">
        <f t="shared" si="293"/>
        <v>312740.14305014582</v>
      </c>
    </row>
    <row r="381" spans="1:15" s="5" customFormat="1">
      <c r="A381" s="164"/>
      <c r="B381" s="8" t="str">
        <f t="shared" si="276"/>
        <v>Physics</v>
      </c>
      <c r="C381" s="447">
        <f t="shared" ref="C381:N381" si="294">C226+C279+C330</f>
        <v>178152.59809063026</v>
      </c>
      <c r="D381" s="447">
        <f t="shared" si="294"/>
        <v>182517.85609479982</v>
      </c>
      <c r="E381" s="447">
        <f t="shared" si="294"/>
        <v>186981.34936351154</v>
      </c>
      <c r="F381" s="447">
        <f t="shared" si="294"/>
        <v>190905.09893119798</v>
      </c>
      <c r="G381" s="447">
        <f t="shared" si="294"/>
        <v>195475.99383920044</v>
      </c>
      <c r="H381" s="447">
        <f t="shared" si="294"/>
        <v>200770.33520346161</v>
      </c>
      <c r="I381" s="447">
        <f t="shared" si="294"/>
        <v>204814.06340281962</v>
      </c>
      <c r="J381" s="447">
        <f t="shared" si="294"/>
        <v>206494.59215525637</v>
      </c>
      <c r="K381" s="447">
        <f t="shared" si="294"/>
        <v>208003.08226326562</v>
      </c>
      <c r="L381" s="447">
        <f t="shared" si="294"/>
        <v>208870.955698998</v>
      </c>
      <c r="M381" s="447">
        <f t="shared" si="294"/>
        <v>208235.27805715258</v>
      </c>
      <c r="N381" s="447">
        <f t="shared" si="294"/>
        <v>206268.87400295647</v>
      </c>
    </row>
    <row r="382" spans="1:15" s="5" customFormat="1">
      <c r="A382" s="164"/>
      <c r="B382" s="8" t="str">
        <f t="shared" si="276"/>
        <v>Religious Education</v>
      </c>
      <c r="C382" s="447">
        <f t="shared" ref="C382:N382" si="295">C227+C280+C331</f>
        <v>122716.2240073648</v>
      </c>
      <c r="D382" s="447">
        <f t="shared" si="295"/>
        <v>124871.90279407207</v>
      </c>
      <c r="E382" s="447">
        <f t="shared" si="295"/>
        <v>128000.74195947769</v>
      </c>
      <c r="F382" s="447">
        <f t="shared" si="295"/>
        <v>130738.26331619595</v>
      </c>
      <c r="G382" s="447">
        <f t="shared" si="295"/>
        <v>133683.67307486272</v>
      </c>
      <c r="H382" s="447">
        <f t="shared" si="295"/>
        <v>136819.74159725971</v>
      </c>
      <c r="I382" s="447">
        <f t="shared" si="295"/>
        <v>139585.75074314664</v>
      </c>
      <c r="J382" s="447">
        <f t="shared" si="295"/>
        <v>140585.07834589522</v>
      </c>
      <c r="K382" s="447">
        <f t="shared" si="295"/>
        <v>140997.37000764991</v>
      </c>
      <c r="L382" s="447">
        <f t="shared" si="295"/>
        <v>140854.02293164455</v>
      </c>
      <c r="M382" s="447">
        <f t="shared" si="295"/>
        <v>140433.18698213896</v>
      </c>
      <c r="N382" s="447">
        <f t="shared" si="295"/>
        <v>139691.2262566319</v>
      </c>
    </row>
    <row r="383" spans="1:15" s="5" customFormat="1">
      <c r="A383" s="164"/>
      <c r="B383" s="8" t="str">
        <f t="shared" si="276"/>
        <v>Total</v>
      </c>
      <c r="C383" s="447">
        <f t="shared" ref="C383:N383" si="296">C228+C281+C332</f>
        <v>3601082.8298207391</v>
      </c>
      <c r="D383" s="447">
        <f t="shared" si="296"/>
        <v>3682406.6470462889</v>
      </c>
      <c r="E383" s="447">
        <f t="shared" si="296"/>
        <v>3772072.3751945747</v>
      </c>
      <c r="F383" s="447">
        <f t="shared" si="296"/>
        <v>3850371.3927802723</v>
      </c>
      <c r="G383" s="447">
        <f t="shared" si="296"/>
        <v>3937603.7216736656</v>
      </c>
      <c r="H383" s="447">
        <f t="shared" si="296"/>
        <v>4033918.5464811306</v>
      </c>
      <c r="I383" s="447">
        <f t="shared" si="296"/>
        <v>4116552.3189032399</v>
      </c>
      <c r="J383" s="447">
        <f t="shared" si="296"/>
        <v>4149912.4388663806</v>
      </c>
      <c r="K383" s="447">
        <f t="shared" si="296"/>
        <v>4168484.3382574124</v>
      </c>
      <c r="L383" s="447">
        <f t="shared" si="296"/>
        <v>4171464.9973237985</v>
      </c>
      <c r="M383" s="447">
        <f t="shared" si="296"/>
        <v>4161536.6259631421</v>
      </c>
      <c r="N383" s="447">
        <f t="shared" si="296"/>
        <v>4138115.2881131638</v>
      </c>
    </row>
    <row r="384" spans="1:15">
      <c r="A384" s="10">
        <f>O384</f>
        <v>0</v>
      </c>
      <c r="B384" s="12"/>
      <c r="C384" s="10">
        <f t="shared" ref="C384:N384" si="297">SUM(C364:C382)-C383</f>
        <v>0</v>
      </c>
      <c r="D384" s="10">
        <f t="shared" si="297"/>
        <v>0</v>
      </c>
      <c r="E384" s="10">
        <f t="shared" si="297"/>
        <v>0</v>
      </c>
      <c r="F384" s="10">
        <f t="shared" si="297"/>
        <v>0</v>
      </c>
      <c r="G384" s="10">
        <f t="shared" si="297"/>
        <v>0</v>
      </c>
      <c r="H384" s="10">
        <f t="shared" si="297"/>
        <v>0</v>
      </c>
      <c r="I384" s="10">
        <f t="shared" si="297"/>
        <v>0</v>
      </c>
      <c r="J384" s="10">
        <f t="shared" si="297"/>
        <v>0</v>
      </c>
      <c r="K384" s="10">
        <f t="shared" si="297"/>
        <v>0</v>
      </c>
      <c r="L384" s="10">
        <f t="shared" si="297"/>
        <v>0</v>
      </c>
      <c r="M384" s="10">
        <f t="shared" si="297"/>
        <v>0</v>
      </c>
      <c r="N384" s="10">
        <f t="shared" si="297"/>
        <v>0</v>
      </c>
      <c r="O384" s="10">
        <f>SUM(C384:N384)</f>
        <v>0</v>
      </c>
    </row>
    <row r="385" spans="1:18">
      <c r="B385" s="147" t="s">
        <v>87</v>
      </c>
      <c r="C385" s="10">
        <f t="shared" ref="C385:N385" si="298">C383-C332-C281-C228</f>
        <v>0</v>
      </c>
      <c r="D385" s="10">
        <f t="shared" si="298"/>
        <v>0</v>
      </c>
      <c r="E385" s="10">
        <f t="shared" si="298"/>
        <v>0</v>
      </c>
      <c r="F385" s="10">
        <f t="shared" si="298"/>
        <v>0</v>
      </c>
      <c r="G385" s="10">
        <f t="shared" si="298"/>
        <v>0</v>
      </c>
      <c r="H385" s="10">
        <f t="shared" si="298"/>
        <v>0</v>
      </c>
      <c r="I385" s="10">
        <f t="shared" si="298"/>
        <v>0</v>
      </c>
      <c r="J385" s="10">
        <f t="shared" si="298"/>
        <v>0</v>
      </c>
      <c r="K385" s="10">
        <f t="shared" si="298"/>
        <v>0</v>
      </c>
      <c r="L385" s="10">
        <f t="shared" si="298"/>
        <v>0</v>
      </c>
      <c r="M385" s="10">
        <f t="shared" si="298"/>
        <v>0</v>
      </c>
      <c r="N385" s="10">
        <f t="shared" si="298"/>
        <v>0</v>
      </c>
    </row>
    <row r="386" spans="1:18">
      <c r="B386" s="12"/>
      <c r="D386" s="12"/>
      <c r="E386" s="12"/>
      <c r="F386" s="12"/>
      <c r="P386" s="445"/>
      <c r="Q386" s="1"/>
      <c r="R386" s="1"/>
    </row>
    <row r="387" spans="1:18">
      <c r="B387" s="8" t="str">
        <f t="shared" ref="B387:N387" si="299">B363</f>
        <v>Subject</v>
      </c>
      <c r="C387" s="8" t="str">
        <f t="shared" si="299"/>
        <v>2017/18</v>
      </c>
      <c r="D387" s="8" t="str">
        <f t="shared" si="299"/>
        <v>2018/19</v>
      </c>
      <c r="E387" s="8" t="str">
        <f t="shared" si="299"/>
        <v>2019/20</v>
      </c>
      <c r="F387" s="8" t="str">
        <f t="shared" si="299"/>
        <v>2020/21</v>
      </c>
      <c r="G387" s="8" t="str">
        <f t="shared" si="299"/>
        <v>2021/22</v>
      </c>
      <c r="H387" s="8" t="str">
        <f t="shared" si="299"/>
        <v>2022/23</v>
      </c>
      <c r="I387" s="8" t="str">
        <f t="shared" si="299"/>
        <v>2023/24</v>
      </c>
      <c r="J387" s="8" t="str">
        <f t="shared" si="299"/>
        <v>2024/25</v>
      </c>
      <c r="K387" s="8" t="str">
        <f t="shared" si="299"/>
        <v>2025/26</v>
      </c>
      <c r="L387" s="8" t="str">
        <f t="shared" si="299"/>
        <v>2026/27</v>
      </c>
      <c r="M387" s="8" t="str">
        <f t="shared" si="299"/>
        <v>2027/28</v>
      </c>
      <c r="N387" s="8" t="str">
        <f t="shared" si="299"/>
        <v>2028/29</v>
      </c>
      <c r="P387" s="1"/>
      <c r="Q387" s="1"/>
      <c r="R387" s="1"/>
    </row>
    <row r="388" spans="1:18" s="5" customFormat="1">
      <c r="A388" s="164"/>
      <c r="B388" s="8" t="str">
        <f t="shared" ref="B388:B407" si="300">B364</f>
        <v>Art &amp; Design</v>
      </c>
      <c r="C388" s="520">
        <f t="shared" ref="C388:N388" si="301">C364/C$383</f>
        <v>3.8030176208474979E-2</v>
      </c>
      <c r="D388" s="520">
        <f t="shared" si="301"/>
        <v>3.7722887312452817E-2</v>
      </c>
      <c r="E388" s="520">
        <f t="shared" si="301"/>
        <v>3.7641337279839815E-2</v>
      </c>
      <c r="F388" s="520">
        <f t="shared" si="301"/>
        <v>3.7626110053077366E-2</v>
      </c>
      <c r="G388" s="520">
        <f t="shared" si="301"/>
        <v>3.7589114049297295E-2</v>
      </c>
      <c r="H388" s="520">
        <f t="shared" si="301"/>
        <v>3.7523645330418486E-2</v>
      </c>
      <c r="I388" s="520">
        <f t="shared" si="301"/>
        <v>3.7537608287521208E-2</v>
      </c>
      <c r="J388" s="520">
        <f t="shared" si="301"/>
        <v>3.7547261550348418E-2</v>
      </c>
      <c r="K388" s="520">
        <f t="shared" si="301"/>
        <v>3.7481278207669916E-2</v>
      </c>
      <c r="L388" s="520">
        <f t="shared" si="301"/>
        <v>3.7397951902322313E-2</v>
      </c>
      <c r="M388" s="520">
        <f t="shared" si="301"/>
        <v>3.7426832136682839E-2</v>
      </c>
      <c r="N388" s="520">
        <f t="shared" si="301"/>
        <v>3.7541086308930403E-2</v>
      </c>
      <c r="P388" s="521"/>
      <c r="Q388" s="522"/>
      <c r="R388" s="523"/>
    </row>
    <row r="389" spans="1:18" s="5" customFormat="1">
      <c r="A389" s="164"/>
      <c r="B389" s="8" t="str">
        <f t="shared" si="300"/>
        <v>Biology</v>
      </c>
      <c r="C389" s="520">
        <f t="shared" ref="C389:N389" si="302">C365/C$383</f>
        <v>5.7405238019921381E-2</v>
      </c>
      <c r="D389" s="520">
        <f t="shared" si="302"/>
        <v>5.7382799074236948E-2</v>
      </c>
      <c r="E389" s="520">
        <f t="shared" si="302"/>
        <v>5.7309222719454066E-2</v>
      </c>
      <c r="F389" s="520">
        <f t="shared" si="302"/>
        <v>5.7287411171329468E-2</v>
      </c>
      <c r="G389" s="520">
        <f t="shared" si="302"/>
        <v>5.7327266252617547E-2</v>
      </c>
      <c r="H389" s="520">
        <f t="shared" si="302"/>
        <v>5.7441253467235456E-2</v>
      </c>
      <c r="I389" s="520">
        <f t="shared" si="302"/>
        <v>5.74439345061378E-2</v>
      </c>
      <c r="J389" s="520">
        <f t="shared" si="302"/>
        <v>5.7489005054235133E-2</v>
      </c>
      <c r="K389" s="520">
        <f t="shared" si="302"/>
        <v>5.7635238137509266E-2</v>
      </c>
      <c r="L389" s="520">
        <f t="shared" si="302"/>
        <v>5.7807814918686411E-2</v>
      </c>
      <c r="M389" s="520">
        <f t="shared" si="302"/>
        <v>5.7816944868242549E-2</v>
      </c>
      <c r="N389" s="520">
        <f t="shared" si="302"/>
        <v>5.7696011847163116E-2</v>
      </c>
      <c r="P389" s="521"/>
      <c r="Q389" s="523"/>
      <c r="R389" s="523"/>
    </row>
    <row r="390" spans="1:18" s="5" customFormat="1">
      <c r="A390" s="164"/>
      <c r="B390" s="8" t="str">
        <f t="shared" si="300"/>
        <v>Business Studies</v>
      </c>
      <c r="C390" s="520">
        <f t="shared" ref="C390:N390" si="303">C366/C$383</f>
        <v>1.8972192078751494E-2</v>
      </c>
      <c r="D390" s="520">
        <f t="shared" si="303"/>
        <v>1.8431089253418846E-2</v>
      </c>
      <c r="E390" s="520">
        <f t="shared" si="303"/>
        <v>1.803703761546202E-2</v>
      </c>
      <c r="F390" s="520">
        <f t="shared" si="303"/>
        <v>1.7917090952790149E-2</v>
      </c>
      <c r="G390" s="520">
        <f t="shared" si="303"/>
        <v>1.7918830955562376E-2</v>
      </c>
      <c r="H390" s="520">
        <f t="shared" si="303"/>
        <v>1.805912883720738E-2</v>
      </c>
      <c r="I390" s="520">
        <f t="shared" si="303"/>
        <v>1.8114431424152519E-2</v>
      </c>
      <c r="J390" s="520">
        <f t="shared" si="303"/>
        <v>1.8289119376194898E-2</v>
      </c>
      <c r="K390" s="520">
        <f t="shared" si="303"/>
        <v>1.8529505008567416E-2</v>
      </c>
      <c r="L390" s="520">
        <f t="shared" si="303"/>
        <v>1.8794893664805277E-2</v>
      </c>
      <c r="M390" s="520">
        <f t="shared" si="303"/>
        <v>1.8920596797654118E-2</v>
      </c>
      <c r="N390" s="520">
        <f t="shared" si="303"/>
        <v>1.8922014154692107E-2</v>
      </c>
      <c r="P390" s="521"/>
      <c r="Q390" s="523"/>
      <c r="R390" s="523"/>
    </row>
    <row r="391" spans="1:18" s="5" customFormat="1">
      <c r="A391" s="164"/>
      <c r="B391" s="8" t="str">
        <f t="shared" si="300"/>
        <v>Chemistry</v>
      </c>
      <c r="C391" s="520">
        <f t="shared" ref="C391:N391" si="304">C367/C$383</f>
        <v>5.0764433962913476E-2</v>
      </c>
      <c r="D391" s="520">
        <f t="shared" si="304"/>
        <v>5.0778804928444152E-2</v>
      </c>
      <c r="E391" s="520">
        <f t="shared" si="304"/>
        <v>5.0720226684864936E-2</v>
      </c>
      <c r="F391" s="520">
        <f t="shared" si="304"/>
        <v>5.0706221710786877E-2</v>
      </c>
      <c r="G391" s="520">
        <f t="shared" si="304"/>
        <v>5.0760965075320394E-2</v>
      </c>
      <c r="H391" s="520">
        <f t="shared" si="304"/>
        <v>5.0899389815193805E-2</v>
      </c>
      <c r="I391" s="520">
        <f t="shared" si="304"/>
        <v>5.0895673229805864E-2</v>
      </c>
      <c r="J391" s="520">
        <f t="shared" si="304"/>
        <v>5.093442240524608E-2</v>
      </c>
      <c r="K391" s="520">
        <f t="shared" si="304"/>
        <v>5.1103908006709275E-2</v>
      </c>
      <c r="L391" s="520">
        <f t="shared" si="304"/>
        <v>5.1306380125968151E-2</v>
      </c>
      <c r="M391" s="520">
        <f t="shared" si="304"/>
        <v>5.1302120109684039E-2</v>
      </c>
      <c r="N391" s="520">
        <f t="shared" si="304"/>
        <v>5.1135113361710956E-2</v>
      </c>
      <c r="P391" s="521"/>
      <c r="Q391" s="523"/>
      <c r="R391" s="523"/>
    </row>
    <row r="392" spans="1:18" s="5" customFormat="1">
      <c r="A392" s="164"/>
      <c r="B392" s="8" t="str">
        <f t="shared" si="300"/>
        <v>Classics</v>
      </c>
      <c r="C392" s="520">
        <f t="shared" ref="C392:N392" si="305">C368/C$383</f>
        <v>1.4231576508097509E-3</v>
      </c>
      <c r="D392" s="520">
        <f t="shared" si="305"/>
        <v>1.3966105182614658E-3</v>
      </c>
      <c r="E392" s="520">
        <f t="shared" si="305"/>
        <v>1.3799184960471547E-3</v>
      </c>
      <c r="F392" s="520">
        <f t="shared" si="305"/>
        <v>1.3748793995553915E-3</v>
      </c>
      <c r="G392" s="520">
        <f t="shared" si="305"/>
        <v>1.373101184650513E-3</v>
      </c>
      <c r="H392" s="520">
        <f t="shared" si="305"/>
        <v>1.3748526085914235E-3</v>
      </c>
      <c r="I392" s="520">
        <f t="shared" si="305"/>
        <v>1.3775212704834829E-3</v>
      </c>
      <c r="J392" s="520">
        <f t="shared" si="305"/>
        <v>1.3842371496344001E-3</v>
      </c>
      <c r="K392" s="520">
        <f t="shared" si="305"/>
        <v>1.3895357219120164E-3</v>
      </c>
      <c r="L392" s="520">
        <f t="shared" si="305"/>
        <v>1.3948640989995206E-3</v>
      </c>
      <c r="M392" s="520">
        <f t="shared" si="305"/>
        <v>1.4007878334755387E-3</v>
      </c>
      <c r="N392" s="520">
        <f t="shared" si="305"/>
        <v>1.4065218782567483E-3</v>
      </c>
      <c r="P392" s="521"/>
      <c r="Q392" s="523"/>
      <c r="R392" s="523"/>
    </row>
    <row r="393" spans="1:18" s="5" customFormat="1">
      <c r="A393" s="164"/>
      <c r="B393" s="8" t="str">
        <f t="shared" si="300"/>
        <v>Computing</v>
      </c>
      <c r="C393" s="520">
        <f t="shared" ref="C393:N393" si="306">C369/C$383</f>
        <v>3.2368076482635857E-2</v>
      </c>
      <c r="D393" s="520">
        <f t="shared" si="306"/>
        <v>3.2088170206619283E-2</v>
      </c>
      <c r="E393" s="520">
        <f t="shared" si="306"/>
        <v>3.2000860953774961E-2</v>
      </c>
      <c r="F393" s="520">
        <f t="shared" si="306"/>
        <v>3.1984370762081681E-2</v>
      </c>
      <c r="G393" s="520">
        <f t="shared" si="306"/>
        <v>3.1973049772214365E-2</v>
      </c>
      <c r="H393" s="520">
        <f t="shared" si="306"/>
        <v>3.1966469790458044E-2</v>
      </c>
      <c r="I393" s="520">
        <f t="shared" si="306"/>
        <v>3.1976229150679242E-2</v>
      </c>
      <c r="J393" s="520">
        <f t="shared" si="306"/>
        <v>3.1996355167710183E-2</v>
      </c>
      <c r="K393" s="520">
        <f t="shared" si="306"/>
        <v>3.1999428592274302E-2</v>
      </c>
      <c r="L393" s="520">
        <f t="shared" si="306"/>
        <v>3.1999566456089389E-2</v>
      </c>
      <c r="M393" s="520">
        <f t="shared" si="306"/>
        <v>3.2020861907261895E-2</v>
      </c>
      <c r="N393" s="520">
        <f t="shared" si="306"/>
        <v>3.2056490172949162E-2</v>
      </c>
      <c r="P393" s="521"/>
      <c r="Q393" s="523"/>
      <c r="R393" s="523"/>
    </row>
    <row r="394" spans="1:18" s="5" customFormat="1">
      <c r="A394" s="164"/>
      <c r="B394" s="8" t="str">
        <f t="shared" si="300"/>
        <v>Design &amp; Technology</v>
      </c>
      <c r="C394" s="520">
        <f t="shared" ref="C394:N394" si="307">C370/C$383</f>
        <v>4.6313225171572894E-2</v>
      </c>
      <c r="D394" s="520">
        <f t="shared" si="307"/>
        <v>4.6161835421100833E-2</v>
      </c>
      <c r="E394" s="520">
        <f t="shared" si="307"/>
        <v>4.6265144281115E-2</v>
      </c>
      <c r="F394" s="520">
        <f t="shared" si="307"/>
        <v>4.631180175098587E-2</v>
      </c>
      <c r="G394" s="520">
        <f t="shared" si="307"/>
        <v>4.6262075278414028E-2</v>
      </c>
      <c r="H394" s="520">
        <f t="shared" si="307"/>
        <v>4.609774405963539E-2</v>
      </c>
      <c r="I394" s="520">
        <f t="shared" si="307"/>
        <v>4.6085381702675537E-2</v>
      </c>
      <c r="J394" s="520">
        <f t="shared" si="307"/>
        <v>4.6000925634640775E-2</v>
      </c>
      <c r="K394" s="520">
        <f t="shared" si="307"/>
        <v>4.5780237596612247E-2</v>
      </c>
      <c r="L394" s="520">
        <f t="shared" si="307"/>
        <v>4.5522783452095698E-2</v>
      </c>
      <c r="M394" s="520">
        <f t="shared" si="307"/>
        <v>4.5490917516480545E-2</v>
      </c>
      <c r="N394" s="520">
        <f t="shared" si="307"/>
        <v>4.5640709187853921E-2</v>
      </c>
      <c r="P394" s="521"/>
      <c r="Q394" s="523"/>
      <c r="R394" s="523"/>
    </row>
    <row r="395" spans="1:18" s="5" customFormat="1">
      <c r="A395" s="164"/>
      <c r="B395" s="8" t="str">
        <f t="shared" si="300"/>
        <v>Drama</v>
      </c>
      <c r="C395" s="520">
        <f t="shared" ref="C395:N395" si="308">C371/C$383</f>
        <v>2.3237134017037125E-2</v>
      </c>
      <c r="D395" s="520">
        <f t="shared" si="308"/>
        <v>2.309401774540432E-2</v>
      </c>
      <c r="E395" s="520">
        <f t="shared" si="308"/>
        <v>2.3085095307817639E-2</v>
      </c>
      <c r="F395" s="520">
        <f t="shared" si="308"/>
        <v>2.3088374519988138E-2</v>
      </c>
      <c r="G395" s="520">
        <f t="shared" si="308"/>
        <v>2.3059690028631112E-2</v>
      </c>
      <c r="H395" s="520">
        <f t="shared" si="308"/>
        <v>2.2991774149297171E-2</v>
      </c>
      <c r="I395" s="520">
        <f t="shared" si="308"/>
        <v>2.2995604055829105E-2</v>
      </c>
      <c r="J395" s="520">
        <f t="shared" si="308"/>
        <v>2.2981192041250945E-2</v>
      </c>
      <c r="K395" s="520">
        <f t="shared" si="308"/>
        <v>2.2900367020578176E-2</v>
      </c>
      <c r="L395" s="520">
        <f t="shared" si="308"/>
        <v>2.2803071355101567E-2</v>
      </c>
      <c r="M395" s="520">
        <f t="shared" si="308"/>
        <v>2.280957790433584E-2</v>
      </c>
      <c r="N395" s="520">
        <f t="shared" si="308"/>
        <v>2.2897314743375984E-2</v>
      </c>
      <c r="P395" s="521"/>
      <c r="Q395" s="523"/>
      <c r="R395" s="523"/>
    </row>
    <row r="396" spans="1:18" s="5" customFormat="1">
      <c r="A396" s="164"/>
      <c r="B396" s="8" t="str">
        <f t="shared" si="300"/>
        <v>English</v>
      </c>
      <c r="C396" s="520">
        <f t="shared" ref="C396:N396" si="309">C372/C$383</f>
        <v>0.14764641594509079</v>
      </c>
      <c r="D396" s="520">
        <f t="shared" si="309"/>
        <v>0.15011689909554993</v>
      </c>
      <c r="E396" s="520">
        <f t="shared" si="309"/>
        <v>0.15057425637013683</v>
      </c>
      <c r="F396" s="520">
        <f t="shared" si="309"/>
        <v>0.15076393099554791</v>
      </c>
      <c r="G396" s="520">
        <f t="shared" si="309"/>
        <v>0.15088661671090123</v>
      </c>
      <c r="H396" s="520">
        <f t="shared" si="309"/>
        <v>0.15094544865697598</v>
      </c>
      <c r="I396" s="520">
        <f t="shared" si="309"/>
        <v>0.15083459873789989</v>
      </c>
      <c r="J396" s="520">
        <f t="shared" si="309"/>
        <v>0.15060056959170515</v>
      </c>
      <c r="K396" s="520">
        <f t="shared" si="309"/>
        <v>0.15054569005301205</v>
      </c>
      <c r="L396" s="520">
        <f t="shared" si="309"/>
        <v>0.15052042420374157</v>
      </c>
      <c r="M396" s="520">
        <f t="shared" si="309"/>
        <v>0.15027809318219734</v>
      </c>
      <c r="N396" s="520">
        <f t="shared" si="309"/>
        <v>0.14989137179079173</v>
      </c>
      <c r="P396" s="521"/>
      <c r="Q396" s="523"/>
      <c r="R396" s="523"/>
    </row>
    <row r="397" spans="1:18" s="5" customFormat="1">
      <c r="A397" s="164"/>
      <c r="B397" s="8" t="str">
        <f t="shared" si="300"/>
        <v>Food</v>
      </c>
      <c r="C397" s="520">
        <f t="shared" ref="C397:N397" si="310">C373/C$383</f>
        <v>9.6525362343098647E-3</v>
      </c>
      <c r="D397" s="520">
        <f t="shared" si="310"/>
        <v>9.6269752712723582E-3</v>
      </c>
      <c r="E397" s="520">
        <f t="shared" si="310"/>
        <v>9.6523247897954741E-3</v>
      </c>
      <c r="F397" s="520">
        <f t="shared" si="310"/>
        <v>9.6663110497957876E-3</v>
      </c>
      <c r="G397" s="520">
        <f t="shared" si="310"/>
        <v>9.6827271372965529E-3</v>
      </c>
      <c r="H397" s="520">
        <f t="shared" si="310"/>
        <v>9.7035558120082011E-3</v>
      </c>
      <c r="I397" s="520">
        <f t="shared" si="310"/>
        <v>9.6940072700633442E-3</v>
      </c>
      <c r="J397" s="520">
        <f t="shared" si="310"/>
        <v>9.6792301915267845E-3</v>
      </c>
      <c r="K397" s="520">
        <f t="shared" si="310"/>
        <v>9.6942918854780961E-3</v>
      </c>
      <c r="L397" s="520">
        <f t="shared" si="310"/>
        <v>9.7155999113070924E-3</v>
      </c>
      <c r="M397" s="520">
        <f t="shared" si="310"/>
        <v>9.6951720835359596E-3</v>
      </c>
      <c r="N397" s="520">
        <f t="shared" si="310"/>
        <v>9.6440676573462374E-3</v>
      </c>
      <c r="P397" s="521"/>
      <c r="Q397" s="523"/>
      <c r="R397" s="523"/>
    </row>
    <row r="398" spans="1:18" s="5" customFormat="1">
      <c r="A398" s="164"/>
      <c r="B398" s="8" t="str">
        <f t="shared" si="300"/>
        <v>Geography</v>
      </c>
      <c r="C398" s="520">
        <f>C374/C$383</f>
        <v>5.0363873113979038E-2</v>
      </c>
      <c r="D398" s="520">
        <f t="shared" ref="D398:N398" si="311">D374/D$383</f>
        <v>5.0401938754468092E-2</v>
      </c>
      <c r="E398" s="520">
        <f t="shared" si="311"/>
        <v>5.0465719850342525E-2</v>
      </c>
      <c r="F398" s="520">
        <f t="shared" si="311"/>
        <v>5.0504578888255214E-2</v>
      </c>
      <c r="G398" s="520">
        <f t="shared" si="311"/>
        <v>5.0483904727609004E-2</v>
      </c>
      <c r="H398" s="520">
        <f t="shared" si="311"/>
        <v>5.0393451746300416E-2</v>
      </c>
      <c r="I398" s="520">
        <f t="shared" si="311"/>
        <v>5.0379286730587565E-2</v>
      </c>
      <c r="J398" s="520">
        <f t="shared" si="311"/>
        <v>5.0315926090064717E-2</v>
      </c>
      <c r="K398" s="520">
        <f t="shared" si="311"/>
        <v>5.0185903802577161E-2</v>
      </c>
      <c r="L398" s="520">
        <f t="shared" si="311"/>
        <v>5.003669472280943E-2</v>
      </c>
      <c r="M398" s="520">
        <f t="shared" si="311"/>
        <v>5.0002953393976791E-2</v>
      </c>
      <c r="N398" s="520">
        <f t="shared" si="311"/>
        <v>5.006413515682475E-2</v>
      </c>
      <c r="P398" s="521"/>
      <c r="Q398" s="523"/>
      <c r="R398" s="523"/>
    </row>
    <row r="399" spans="1:18" s="5" customFormat="1">
      <c r="A399" s="164"/>
      <c r="B399" s="8" t="str">
        <f t="shared" si="300"/>
        <v>History</v>
      </c>
      <c r="C399" s="520">
        <f t="shared" ref="C399:N399" si="312">C375/C$383</f>
        <v>5.3640203019727557E-2</v>
      </c>
      <c r="D399" s="520">
        <f t="shared" si="312"/>
        <v>5.3612940627849881E-2</v>
      </c>
      <c r="E399" s="520">
        <f t="shared" si="312"/>
        <v>5.3619306437260393E-2</v>
      </c>
      <c r="F399" s="520">
        <f t="shared" si="312"/>
        <v>5.3640547637377307E-2</v>
      </c>
      <c r="G399" s="520">
        <f t="shared" si="312"/>
        <v>5.3616981201710601E-2</v>
      </c>
      <c r="H399" s="520">
        <f t="shared" si="312"/>
        <v>5.3540091379456548E-2</v>
      </c>
      <c r="I399" s="520">
        <f t="shared" si="312"/>
        <v>5.3534636428113819E-2</v>
      </c>
      <c r="J399" s="520">
        <f t="shared" si="312"/>
        <v>5.3495874817907275E-2</v>
      </c>
      <c r="K399" s="520">
        <f t="shared" si="312"/>
        <v>5.3392998411210341E-2</v>
      </c>
      <c r="L399" s="520">
        <f t="shared" si="312"/>
        <v>5.3272872311955828E-2</v>
      </c>
      <c r="M399" s="520">
        <f t="shared" si="312"/>
        <v>5.3258687311164635E-2</v>
      </c>
      <c r="N399" s="520">
        <f t="shared" si="312"/>
        <v>5.3329725785695871E-2</v>
      </c>
      <c r="P399" s="521"/>
      <c r="Q399" s="523"/>
      <c r="R399" s="523"/>
    </row>
    <row r="400" spans="1:18" s="5" customFormat="1">
      <c r="A400" s="164"/>
      <c r="B400" s="8" t="str">
        <f t="shared" si="300"/>
        <v>Mathematics</v>
      </c>
      <c r="C400" s="520">
        <f t="shared" ref="C400:N400" si="313">C376/C$383</f>
        <v>0.14845740029986673</v>
      </c>
      <c r="D400" s="520">
        <f t="shared" si="313"/>
        <v>0.14958318485678185</v>
      </c>
      <c r="E400" s="520">
        <f t="shared" si="313"/>
        <v>0.15054100168522835</v>
      </c>
      <c r="F400" s="520">
        <f t="shared" si="313"/>
        <v>0.15061145642915019</v>
      </c>
      <c r="G400" s="520">
        <f t="shared" si="313"/>
        <v>0.15067797813932493</v>
      </c>
      <c r="H400" s="520">
        <f t="shared" si="313"/>
        <v>0.15074671078430393</v>
      </c>
      <c r="I400" s="520">
        <f t="shared" si="313"/>
        <v>0.15070162758342412</v>
      </c>
      <c r="J400" s="520">
        <f t="shared" si="313"/>
        <v>0.15062174694930719</v>
      </c>
      <c r="K400" s="520">
        <f t="shared" si="313"/>
        <v>0.15065568359586851</v>
      </c>
      <c r="L400" s="520">
        <f t="shared" si="313"/>
        <v>0.15071216969117815</v>
      </c>
      <c r="M400" s="520">
        <f t="shared" si="313"/>
        <v>0.15061488155713734</v>
      </c>
      <c r="N400" s="520">
        <f t="shared" si="313"/>
        <v>0.15040701932570302</v>
      </c>
      <c r="P400" s="521"/>
      <c r="Q400" s="523"/>
      <c r="R400" s="523"/>
    </row>
    <row r="401" spans="1:18" s="5" customFormat="1">
      <c r="A401" s="164"/>
      <c r="B401" s="8" t="str">
        <f t="shared" si="300"/>
        <v>Modern Foreign Languages</v>
      </c>
      <c r="C401" s="520">
        <f t="shared" ref="C401:N401" si="314">C377/C$383</f>
        <v>6.9174290167615185E-2</v>
      </c>
      <c r="D401" s="520">
        <f t="shared" si="314"/>
        <v>6.9331940876205617E-2</v>
      </c>
      <c r="E401" s="520">
        <f t="shared" si="314"/>
        <v>6.9538252756341887E-2</v>
      </c>
      <c r="F401" s="520">
        <f t="shared" si="314"/>
        <v>6.9628417847322502E-2</v>
      </c>
      <c r="G401" s="520">
        <f t="shared" si="314"/>
        <v>6.958491173976715E-2</v>
      </c>
      <c r="H401" s="520">
        <f t="shared" si="314"/>
        <v>6.9385022494563325E-2</v>
      </c>
      <c r="I401" s="520">
        <f t="shared" si="314"/>
        <v>6.9351322468188523E-2</v>
      </c>
      <c r="J401" s="520">
        <f t="shared" si="314"/>
        <v>6.9205808270243599E-2</v>
      </c>
      <c r="K401" s="520">
        <f t="shared" si="314"/>
        <v>6.8915691801546677E-2</v>
      </c>
      <c r="L401" s="520">
        <f t="shared" si="314"/>
        <v>6.8583517140424502E-2</v>
      </c>
      <c r="M401" s="520">
        <f t="shared" si="314"/>
        <v>6.8503676631142915E-2</v>
      </c>
      <c r="N401" s="520">
        <f t="shared" si="314"/>
        <v>6.8631953503857798E-2</v>
      </c>
      <c r="P401" s="521"/>
      <c r="Q401" s="523"/>
      <c r="R401" s="523"/>
    </row>
    <row r="402" spans="1:18" s="5" customFormat="1">
      <c r="A402" s="164"/>
      <c r="B402" s="8" t="str">
        <f t="shared" si="300"/>
        <v>Music</v>
      </c>
      <c r="C402" s="520">
        <f t="shared" ref="C402:N402" si="315">C378/C$383</f>
        <v>2.3393571508945558E-2</v>
      </c>
      <c r="D402" s="520">
        <f t="shared" si="315"/>
        <v>2.3305605211761254E-2</v>
      </c>
      <c r="E402" s="520">
        <f t="shared" si="315"/>
        <v>2.334832466133999E-2</v>
      </c>
      <c r="F402" s="520">
        <f t="shared" si="315"/>
        <v>2.3367003271478729E-2</v>
      </c>
      <c r="G402" s="520">
        <f t="shared" si="315"/>
        <v>2.3325774445166998E-2</v>
      </c>
      <c r="H402" s="520">
        <f t="shared" si="315"/>
        <v>2.3212276030131072E-2</v>
      </c>
      <c r="I402" s="520">
        <f t="shared" si="315"/>
        <v>2.3211304193759618E-2</v>
      </c>
      <c r="J402" s="520">
        <f t="shared" si="315"/>
        <v>2.3170318840728819E-2</v>
      </c>
      <c r="K402" s="520">
        <f t="shared" si="315"/>
        <v>2.3026684643980871E-2</v>
      </c>
      <c r="L402" s="520">
        <f t="shared" si="315"/>
        <v>2.2856577435007196E-2</v>
      </c>
      <c r="M402" s="520">
        <f t="shared" si="315"/>
        <v>2.2851223542627919E-2</v>
      </c>
      <c r="N402" s="520">
        <f t="shared" si="315"/>
        <v>2.2976543580150801E-2</v>
      </c>
      <c r="P402" s="521"/>
      <c r="Q402" s="523"/>
      <c r="R402" s="523"/>
    </row>
    <row r="403" spans="1:18" s="5" customFormat="1">
      <c r="A403" s="164"/>
      <c r="B403" s="8" t="str">
        <f t="shared" si="300"/>
        <v>Others</v>
      </c>
      <c r="C403" s="520">
        <f t="shared" ref="C403:N403" si="316">C379/C$383</f>
        <v>6.9396204823136423E-2</v>
      </c>
      <c r="D403" s="520">
        <f t="shared" si="316"/>
        <v>6.7530194396294999E-2</v>
      </c>
      <c r="E403" s="520">
        <f t="shared" si="316"/>
        <v>6.6199017977621621E-2</v>
      </c>
      <c r="F403" s="520">
        <f t="shared" si="316"/>
        <v>6.5782298081796461E-2</v>
      </c>
      <c r="G403" s="520">
        <f t="shared" si="316"/>
        <v>6.5667117112789011E-2</v>
      </c>
      <c r="H403" s="520">
        <f t="shared" si="316"/>
        <v>6.5883276103274782E-2</v>
      </c>
      <c r="I403" s="520">
        <f t="shared" si="316"/>
        <v>6.6098021948305372E-2</v>
      </c>
      <c r="J403" s="520">
        <f t="shared" si="316"/>
        <v>6.6664132373956742E-2</v>
      </c>
      <c r="K403" s="520">
        <f t="shared" si="316"/>
        <v>6.7184953417281867E-2</v>
      </c>
      <c r="L403" s="520">
        <f t="shared" si="316"/>
        <v>6.7725810151970336E-2</v>
      </c>
      <c r="M403" s="520">
        <f t="shared" si="316"/>
        <v>6.8204620621873907E-2</v>
      </c>
      <c r="N403" s="520">
        <f t="shared" si="316"/>
        <v>6.8581117319047522E-2</v>
      </c>
      <c r="P403" s="521"/>
      <c r="Q403" s="523"/>
      <c r="R403" s="523"/>
    </row>
    <row r="404" spans="1:18" s="5" customFormat="1">
      <c r="A404" s="164"/>
      <c r="B404" s="8" t="str">
        <f t="shared" si="300"/>
        <v>Physical Education</v>
      </c>
      <c r="C404" s="520">
        <f t="shared" ref="C404:N404" si="317">C380/C$383</f>
        <v>7.6212329027956549E-2</v>
      </c>
      <c r="D404" s="520">
        <f t="shared" si="317"/>
        <v>7.5958871813465501E-2</v>
      </c>
      <c r="E404" s="520">
        <f t="shared" si="317"/>
        <v>7.6119227922342617E-2</v>
      </c>
      <c r="F404" s="520">
        <f t="shared" si="317"/>
        <v>7.6203523348325267E-2</v>
      </c>
      <c r="G404" s="520">
        <f t="shared" si="317"/>
        <v>7.6215992337438615E-2</v>
      </c>
      <c r="H404" s="520">
        <f t="shared" si="317"/>
        <v>7.6148032516321365E-2</v>
      </c>
      <c r="I404" s="520">
        <f t="shared" si="317"/>
        <v>7.610661326391259E-2</v>
      </c>
      <c r="J404" s="520">
        <f t="shared" si="317"/>
        <v>7.5988454323406687E-2</v>
      </c>
      <c r="K404" s="520">
        <f t="shared" si="317"/>
        <v>7.5855019227798304E-2</v>
      </c>
      <c r="L404" s="520">
        <f t="shared" si="317"/>
        <v>7.5711560737130312E-2</v>
      </c>
      <c r="M404" s="520">
        <f t="shared" si="317"/>
        <v>7.5618465822583428E-2</v>
      </c>
      <c r="N404" s="520">
        <f t="shared" si="317"/>
        <v>7.5575502680773413E-2</v>
      </c>
      <c r="P404" s="521"/>
      <c r="Q404" s="523"/>
      <c r="R404" s="523"/>
    </row>
    <row r="405" spans="1:18" s="5" customFormat="1">
      <c r="A405" s="164"/>
      <c r="B405" s="8" t="str">
        <f t="shared" si="300"/>
        <v>Physics</v>
      </c>
      <c r="C405" s="520">
        <f t="shared" ref="C405:N405" si="318">C381/C$383</f>
        <v>4.9471952329266093E-2</v>
      </c>
      <c r="D405" s="520">
        <f t="shared" si="318"/>
        <v>4.9564829088389793E-2</v>
      </c>
      <c r="E405" s="520">
        <f t="shared" si="318"/>
        <v>4.9569926227586367E-2</v>
      </c>
      <c r="F405" s="520">
        <f t="shared" si="318"/>
        <v>4.9580957122515243E-2</v>
      </c>
      <c r="G405" s="520">
        <f t="shared" si="318"/>
        <v>4.9643389141280581E-2</v>
      </c>
      <c r="H405" s="520">
        <f t="shared" si="318"/>
        <v>4.9770547642464837E-2</v>
      </c>
      <c r="I405" s="520">
        <f t="shared" si="318"/>
        <v>4.9753786065662733E-2</v>
      </c>
      <c r="J405" s="520">
        <f t="shared" si="318"/>
        <v>4.9758782913420674E-2</v>
      </c>
      <c r="K405" s="520">
        <f t="shared" si="318"/>
        <v>4.9898971756775018E-2</v>
      </c>
      <c r="L405" s="520">
        <f t="shared" si="318"/>
        <v>5.0071367213436781E-2</v>
      </c>
      <c r="M405" s="520">
        <f t="shared" si="318"/>
        <v>5.0038074099361986E-2</v>
      </c>
      <c r="N405" s="520">
        <f t="shared" si="318"/>
        <v>4.9846091672571036E-2</v>
      </c>
      <c r="P405" s="521"/>
      <c r="Q405" s="523"/>
      <c r="R405" s="523"/>
    </row>
    <row r="406" spans="1:18" s="5" customFormat="1">
      <c r="A406" s="164"/>
      <c r="B406" s="8" t="str">
        <f t="shared" si="300"/>
        <v>Religious Education</v>
      </c>
      <c r="C406" s="520">
        <f t="shared" ref="C406:N406" si="319">C382/C$383</f>
        <v>3.4077589937989171E-2</v>
      </c>
      <c r="D406" s="520">
        <f t="shared" si="319"/>
        <v>3.3910405548022139E-2</v>
      </c>
      <c r="E406" s="520">
        <f t="shared" si="319"/>
        <v>3.3933797983628305E-2</v>
      </c>
      <c r="F406" s="520">
        <f t="shared" si="319"/>
        <v>3.3954715007840475E-2</v>
      </c>
      <c r="G406" s="520">
        <f t="shared" si="319"/>
        <v>3.3950514710007665E-2</v>
      </c>
      <c r="H406" s="520">
        <f t="shared" si="319"/>
        <v>3.3917328776162416E-2</v>
      </c>
      <c r="I406" s="520">
        <f t="shared" si="319"/>
        <v>3.3908411682797714E-2</v>
      </c>
      <c r="J406" s="520">
        <f t="shared" si="319"/>
        <v>3.3876637258471516E-2</v>
      </c>
      <c r="K406" s="520">
        <f t="shared" si="319"/>
        <v>3.3824613112638506E-2</v>
      </c>
      <c r="L406" s="520">
        <f t="shared" si="319"/>
        <v>3.3766080506970428E-2</v>
      </c>
      <c r="M406" s="520">
        <f t="shared" si="319"/>
        <v>3.3745512680580396E-2</v>
      </c>
      <c r="N406" s="520">
        <f t="shared" si="319"/>
        <v>3.3757209872305474E-2</v>
      </c>
      <c r="P406" s="521"/>
      <c r="Q406" s="523"/>
      <c r="R406" s="523"/>
    </row>
    <row r="407" spans="1:18" s="5" customFormat="1">
      <c r="A407" s="164"/>
      <c r="B407" s="8" t="str">
        <f t="shared" si="300"/>
        <v>Total</v>
      </c>
      <c r="C407" s="520">
        <f t="shared" ref="C407:N407" si="320">C383/C$383</f>
        <v>1</v>
      </c>
      <c r="D407" s="520">
        <f t="shared" si="320"/>
        <v>1</v>
      </c>
      <c r="E407" s="520">
        <f t="shared" si="320"/>
        <v>1</v>
      </c>
      <c r="F407" s="520">
        <f t="shared" si="320"/>
        <v>1</v>
      </c>
      <c r="G407" s="520">
        <f t="shared" si="320"/>
        <v>1</v>
      </c>
      <c r="H407" s="520">
        <f t="shared" si="320"/>
        <v>1</v>
      </c>
      <c r="I407" s="520">
        <f t="shared" si="320"/>
        <v>1</v>
      </c>
      <c r="J407" s="520">
        <f t="shared" si="320"/>
        <v>1</v>
      </c>
      <c r="K407" s="520">
        <f t="shared" si="320"/>
        <v>1</v>
      </c>
      <c r="L407" s="520">
        <f t="shared" si="320"/>
        <v>1</v>
      </c>
      <c r="M407" s="520">
        <f t="shared" si="320"/>
        <v>1</v>
      </c>
      <c r="N407" s="520">
        <f t="shared" si="320"/>
        <v>1</v>
      </c>
      <c r="P407" s="521"/>
      <c r="Q407" s="523"/>
      <c r="R407" s="523"/>
    </row>
    <row r="408" spans="1:18">
      <c r="A408" s="10">
        <f>O408</f>
        <v>0</v>
      </c>
      <c r="B408" s="12"/>
      <c r="C408" s="10">
        <f>SUM(C388:C406)-C407</f>
        <v>0</v>
      </c>
      <c r="D408" s="10">
        <f t="shared" ref="D408:N408" si="321">SUM(D388:D406)-D407</f>
        <v>0</v>
      </c>
      <c r="E408" s="10">
        <f t="shared" si="321"/>
        <v>0</v>
      </c>
      <c r="F408" s="10">
        <f t="shared" si="321"/>
        <v>0</v>
      </c>
      <c r="G408" s="10">
        <f t="shared" si="321"/>
        <v>0</v>
      </c>
      <c r="H408" s="10">
        <f t="shared" si="321"/>
        <v>0</v>
      </c>
      <c r="I408" s="10">
        <f t="shared" si="321"/>
        <v>0</v>
      </c>
      <c r="J408" s="10">
        <f t="shared" si="321"/>
        <v>0</v>
      </c>
      <c r="K408" s="10">
        <f t="shared" si="321"/>
        <v>0</v>
      </c>
      <c r="L408" s="10">
        <f t="shared" si="321"/>
        <v>0</v>
      </c>
      <c r="M408" s="10">
        <f t="shared" si="321"/>
        <v>0</v>
      </c>
      <c r="N408" s="10">
        <f t="shared" si="321"/>
        <v>0</v>
      </c>
      <c r="O408" s="10">
        <f>SUM(C408:N408)</f>
        <v>0</v>
      </c>
    </row>
    <row r="409" spans="1:18">
      <c r="B409" s="12"/>
      <c r="C409" s="10"/>
      <c r="D409" s="10"/>
      <c r="E409" s="10"/>
      <c r="F409" s="10"/>
      <c r="G409" s="10"/>
      <c r="H409" s="10"/>
      <c r="I409" s="10"/>
      <c r="J409" s="10"/>
      <c r="K409" s="10"/>
      <c r="L409" s="10"/>
      <c r="M409" s="10"/>
      <c r="N409" s="10"/>
      <c r="O409" s="10"/>
    </row>
    <row r="410" spans="1:18" ht="15.75">
      <c r="B410" s="141" t="s">
        <v>1519</v>
      </c>
      <c r="C410" s="10"/>
      <c r="D410" s="10"/>
      <c r="E410" s="10"/>
      <c r="F410" s="10"/>
      <c r="G410" s="10"/>
      <c r="H410" s="10"/>
      <c r="I410" s="10"/>
      <c r="J410" s="10"/>
      <c r="K410" s="10"/>
      <c r="L410" s="10"/>
      <c r="M410" s="10"/>
      <c r="N410" s="10"/>
      <c r="O410" s="10"/>
    </row>
    <row r="411" spans="1:18">
      <c r="B411" s="12"/>
      <c r="C411" s="10"/>
      <c r="D411" s="10"/>
      <c r="E411" s="10"/>
      <c r="F411" s="10"/>
      <c r="G411" s="10"/>
      <c r="H411" s="10"/>
      <c r="I411" s="10"/>
      <c r="J411" s="10"/>
      <c r="K411" s="10"/>
      <c r="L411" s="10"/>
      <c r="M411" s="10"/>
      <c r="N411" s="10"/>
      <c r="O411" s="10"/>
    </row>
    <row r="412" spans="1:18">
      <c r="B412" s="107" t="s">
        <v>1193</v>
      </c>
      <c r="O412" s="10"/>
    </row>
    <row r="413" spans="1:18">
      <c r="B413" s="12"/>
      <c r="O413" s="10"/>
    </row>
    <row r="414" spans="1:18">
      <c r="B414" s="8" t="str">
        <f>Increased_EBacc_scenario_data!C17</f>
        <v>Subject</v>
      </c>
      <c r="C414" s="8" t="str">
        <f>Increased_EBacc_scenario_data!D17</f>
        <v>2017/18</v>
      </c>
      <c r="D414" s="8" t="str">
        <f>Increased_EBacc_scenario_data!E17</f>
        <v>2018/19</v>
      </c>
      <c r="E414" s="8" t="str">
        <f>Increased_EBacc_scenario_data!F17</f>
        <v>2019/20</v>
      </c>
      <c r="F414" s="8" t="str">
        <f>Increased_EBacc_scenario_data!G17</f>
        <v>2020/21</v>
      </c>
      <c r="G414" s="8" t="str">
        <f>Increased_EBacc_scenario_data!H17</f>
        <v>2021/22</v>
      </c>
      <c r="H414" s="8" t="str">
        <f>Increased_EBacc_scenario_data!I17</f>
        <v>2022/23</v>
      </c>
      <c r="I414" s="8" t="str">
        <f>Increased_EBacc_scenario_data!J17</f>
        <v>2023/24</v>
      </c>
      <c r="J414" s="8" t="str">
        <f>Increased_EBacc_scenario_data!K17</f>
        <v>2024/25</v>
      </c>
      <c r="K414" s="8" t="str">
        <f>Increased_EBacc_scenario_data!L17</f>
        <v>2025/26</v>
      </c>
      <c r="L414" s="8" t="str">
        <f>Increased_EBacc_scenario_data!M17</f>
        <v>2026/27</v>
      </c>
      <c r="M414" s="8" t="str">
        <f>Increased_EBacc_scenario_data!N17</f>
        <v>2027/28</v>
      </c>
      <c r="N414" s="8" t="str">
        <f>Increased_EBacc_scenario_data!O17</f>
        <v>2028/29</v>
      </c>
      <c r="O414" s="10"/>
    </row>
    <row r="415" spans="1:18">
      <c r="B415" s="8" t="str">
        <f>Increased_EBacc_scenario_data!C18</f>
        <v>Art &amp; Design</v>
      </c>
      <c r="C415" s="300">
        <f>Increased_EBacc_scenario_data!D18</f>
        <v>0</v>
      </c>
      <c r="D415" s="300">
        <f>Increased_EBacc_scenario_data!E18</f>
        <v>-680.60474475032447</v>
      </c>
      <c r="E415" s="300">
        <f>Increased_EBacc_scenario_data!F18</f>
        <v>-1447.1413138409437</v>
      </c>
      <c r="F415" s="300">
        <f>Increased_EBacc_scenario_data!G18</f>
        <v>-2431.7546423925619</v>
      </c>
      <c r="G415" s="300">
        <f>Increased_EBacc_scenario_data!H18</f>
        <v>-3738.1636893197638</v>
      </c>
      <c r="H415" s="300">
        <f>Increased_EBacc_scenario_data!I18</f>
        <v>-5382.6041973981219</v>
      </c>
      <c r="I415" s="300">
        <f>Increased_EBacc_scenario_data!J18</f>
        <v>-6803.0041655445802</v>
      </c>
      <c r="J415" s="300">
        <f>Increased_EBacc_scenario_data!K18</f>
        <v>-6941.4421810669</v>
      </c>
      <c r="K415" s="300">
        <f>Increased_EBacc_scenario_data!L18</f>
        <v>-6996.60041767039</v>
      </c>
      <c r="L415" s="300">
        <f>Increased_EBacc_scenario_data!M18</f>
        <v>-6975.3166662560798</v>
      </c>
      <c r="M415" s="300">
        <f>Increased_EBacc_scenario_data!N18</f>
        <v>-6904.5667617896852</v>
      </c>
      <c r="N415" s="300">
        <f>Increased_EBacc_scenario_data!O18</f>
        <v>-6904.5667617896852</v>
      </c>
      <c r="O415" s="10"/>
    </row>
    <row r="416" spans="1:18">
      <c r="B416" s="8" t="str">
        <f>Increased_EBacc_scenario_data!C19</f>
        <v>Biology</v>
      </c>
      <c r="C416" s="300">
        <f>Increased_EBacc_scenario_data!D19</f>
        <v>0</v>
      </c>
      <c r="D416" s="300">
        <f>Increased_EBacc_scenario_data!E19</f>
        <v>0</v>
      </c>
      <c r="E416" s="300">
        <f>Increased_EBacc_scenario_data!F19</f>
        <v>0</v>
      </c>
      <c r="F416" s="300">
        <f>Increased_EBacc_scenario_data!G19</f>
        <v>0</v>
      </c>
      <c r="G416" s="300">
        <f>Increased_EBacc_scenario_data!H19</f>
        <v>0</v>
      </c>
      <c r="H416" s="300">
        <f>Increased_EBacc_scenario_data!I19</f>
        <v>0</v>
      </c>
      <c r="I416" s="300">
        <f>Increased_EBacc_scenario_data!J19</f>
        <v>0</v>
      </c>
      <c r="J416" s="300">
        <f>Increased_EBacc_scenario_data!K19</f>
        <v>0</v>
      </c>
      <c r="K416" s="300">
        <f>Increased_EBacc_scenario_data!L19</f>
        <v>0</v>
      </c>
      <c r="L416" s="300">
        <f>Increased_EBacc_scenario_data!M19</f>
        <v>0</v>
      </c>
      <c r="M416" s="300">
        <f>Increased_EBacc_scenario_data!N19</f>
        <v>0</v>
      </c>
      <c r="N416" s="300">
        <f>Increased_EBacc_scenario_data!O19</f>
        <v>0</v>
      </c>
      <c r="O416" s="10"/>
    </row>
    <row r="417" spans="2:15">
      <c r="B417" s="8" t="str">
        <f>Increased_EBacc_scenario_data!C20</f>
        <v>Business Studies</v>
      </c>
      <c r="C417" s="300">
        <f>Increased_EBacc_scenario_data!D20</f>
        <v>0</v>
      </c>
      <c r="D417" s="300">
        <f>Increased_EBacc_scenario_data!E20</f>
        <v>-153.70968820540571</v>
      </c>
      <c r="E417" s="300">
        <f>Increased_EBacc_scenario_data!F20</f>
        <v>-370.51822236950829</v>
      </c>
      <c r="F417" s="300">
        <f>Increased_EBacc_scenario_data!G20</f>
        <v>-681.97934251248898</v>
      </c>
      <c r="G417" s="300">
        <f>Increased_EBacc_scenario_data!H20</f>
        <v>-1112.3492429189257</v>
      </c>
      <c r="H417" s="300">
        <f>Increased_EBacc_scenario_data!I20</f>
        <v>-1663.8588864780509</v>
      </c>
      <c r="I417" s="300">
        <f>Increased_EBacc_scenario_data!J20</f>
        <v>-1971.0785781902275</v>
      </c>
      <c r="J417" s="300">
        <f>Increased_EBacc_scenario_data!K20</f>
        <v>-2007.7459451168868</v>
      </c>
      <c r="K417" s="300">
        <f>Increased_EBacc_scenario_data!L20</f>
        <v>-2022.3554242613022</v>
      </c>
      <c r="L417" s="300">
        <f>Increased_EBacc_scenario_data!M20</f>
        <v>-2016.7181062187133</v>
      </c>
      <c r="M417" s="300">
        <f>Increased_EBacc_scenario_data!N20</f>
        <v>-1995.1494135821231</v>
      </c>
      <c r="N417" s="300">
        <f>Increased_EBacc_scenario_data!O20</f>
        <v>-1995.1494135821231</v>
      </c>
      <c r="O417" s="10"/>
    </row>
    <row r="418" spans="2:15">
      <c r="B418" s="8" t="str">
        <f>Increased_EBacc_scenario_data!C21</f>
        <v>Chemistry</v>
      </c>
      <c r="C418" s="300">
        <f>Increased_EBacc_scenario_data!D21</f>
        <v>0</v>
      </c>
      <c r="D418" s="300">
        <f>Increased_EBacc_scenario_data!E21</f>
        <v>0</v>
      </c>
      <c r="E418" s="300">
        <f>Increased_EBacc_scenario_data!F21</f>
        <v>0</v>
      </c>
      <c r="F418" s="300">
        <f>Increased_EBacc_scenario_data!G21</f>
        <v>0</v>
      </c>
      <c r="G418" s="300">
        <f>Increased_EBacc_scenario_data!H21</f>
        <v>0</v>
      </c>
      <c r="H418" s="300">
        <f>Increased_EBacc_scenario_data!I21</f>
        <v>0</v>
      </c>
      <c r="I418" s="300">
        <f>Increased_EBacc_scenario_data!J21</f>
        <v>0</v>
      </c>
      <c r="J418" s="300">
        <f>Increased_EBacc_scenario_data!K21</f>
        <v>0</v>
      </c>
      <c r="K418" s="300">
        <f>Increased_EBacc_scenario_data!L21</f>
        <v>0</v>
      </c>
      <c r="L418" s="300">
        <f>Increased_EBacc_scenario_data!M21</f>
        <v>0</v>
      </c>
      <c r="M418" s="300">
        <f>Increased_EBacc_scenario_data!N21</f>
        <v>0</v>
      </c>
      <c r="N418" s="300">
        <f>Increased_EBacc_scenario_data!O21</f>
        <v>0</v>
      </c>
      <c r="O418" s="10"/>
    </row>
    <row r="419" spans="2:15">
      <c r="B419" s="8" t="str">
        <f>Increased_EBacc_scenario_data!C22</f>
        <v>Classics</v>
      </c>
      <c r="C419" s="300">
        <f>Increased_EBacc_scenario_data!D22</f>
        <v>0</v>
      </c>
      <c r="D419" s="300">
        <f>Increased_EBacc_scenario_data!E22</f>
        <v>0</v>
      </c>
      <c r="E419" s="300">
        <f>Increased_EBacc_scenario_data!F22</f>
        <v>0</v>
      </c>
      <c r="F419" s="300">
        <f>Increased_EBacc_scenario_data!G22</f>
        <v>0</v>
      </c>
      <c r="G419" s="300">
        <f>Increased_EBacc_scenario_data!H22</f>
        <v>0</v>
      </c>
      <c r="H419" s="300">
        <f>Increased_EBacc_scenario_data!I22</f>
        <v>0</v>
      </c>
      <c r="I419" s="300">
        <f>Increased_EBacc_scenario_data!J22</f>
        <v>0</v>
      </c>
      <c r="J419" s="300">
        <f>Increased_EBacc_scenario_data!K22</f>
        <v>0</v>
      </c>
      <c r="K419" s="300">
        <f>Increased_EBacc_scenario_data!L22</f>
        <v>0</v>
      </c>
      <c r="L419" s="300">
        <f>Increased_EBacc_scenario_data!M22</f>
        <v>0</v>
      </c>
      <c r="M419" s="300">
        <f>Increased_EBacc_scenario_data!N22</f>
        <v>0</v>
      </c>
      <c r="N419" s="300">
        <f>Increased_EBacc_scenario_data!O22</f>
        <v>0</v>
      </c>
      <c r="O419" s="10"/>
    </row>
    <row r="420" spans="2:15">
      <c r="B420" s="8" t="str">
        <f>Increased_EBacc_scenario_data!C23</f>
        <v>Computing</v>
      </c>
      <c r="C420" s="300">
        <f>Increased_EBacc_scenario_data!D23</f>
        <v>0</v>
      </c>
      <c r="D420" s="300">
        <f>Increased_EBacc_scenario_data!E23</f>
        <v>-560.23026250959583</v>
      </c>
      <c r="E420" s="300">
        <f>Increased_EBacc_scenario_data!F23</f>
        <v>-1208.3760200193828</v>
      </c>
      <c r="F420" s="300">
        <f>Increased_EBacc_scenario_data!G23</f>
        <v>-2053.8828918666231</v>
      </c>
      <c r="G420" s="300">
        <f>Increased_EBacc_scenario_data!H23</f>
        <v>-3182.4528779884367</v>
      </c>
      <c r="H420" s="300">
        <f>Increased_EBacc_scenario_data!I23</f>
        <v>-4606.8855845362677</v>
      </c>
      <c r="I420" s="300">
        <f>Increased_EBacc_scenario_data!J23</f>
        <v>-5770.7324905439764</v>
      </c>
      <c r="J420" s="300">
        <f>Increased_EBacc_scenario_data!K23</f>
        <v>-5886.8102104621103</v>
      </c>
      <c r="K420" s="300">
        <f>Increased_EBacc_scenario_data!L23</f>
        <v>-5933.0593734212962</v>
      </c>
      <c r="L420" s="300">
        <f>Increased_EBacc_scenario_data!M23</f>
        <v>-5915.2133408401733</v>
      </c>
      <c r="M420" s="300">
        <f>Increased_EBacc_scenario_data!N23</f>
        <v>-5854.7781316412566</v>
      </c>
      <c r="N420" s="300">
        <f>Increased_EBacc_scenario_data!O23</f>
        <v>-5854.7781316412566</v>
      </c>
      <c r="O420" s="10"/>
    </row>
    <row r="421" spans="2:15">
      <c r="B421" s="8" t="str">
        <f>Increased_EBacc_scenario_data!C24</f>
        <v>Design &amp; Technology</v>
      </c>
      <c r="C421" s="300">
        <f>Increased_EBacc_scenario_data!D24</f>
        <v>0</v>
      </c>
      <c r="D421" s="300">
        <f>Increased_EBacc_scenario_data!E24</f>
        <v>-930.06913864807871</v>
      </c>
      <c r="E421" s="300">
        <f>Increased_EBacc_scenario_data!F24</f>
        <v>-1957.5678597012666</v>
      </c>
      <c r="F421" s="300">
        <f>Increased_EBacc_scenario_data!G24</f>
        <v>-3262.2940243485027</v>
      </c>
      <c r="G421" s="300">
        <f>Increased_EBacc_scenario_data!H24</f>
        <v>-4985.6022183775785</v>
      </c>
      <c r="H421" s="300">
        <f>Increased_EBacc_scenario_data!I24</f>
        <v>-7150.3363220956107</v>
      </c>
      <c r="I421" s="300">
        <f>Increased_EBacc_scenario_data!J24</f>
        <v>-9097.5706171953589</v>
      </c>
      <c r="J421" s="300">
        <f>Increased_EBacc_scenario_data!K24</f>
        <v>-9284.2780617422904</v>
      </c>
      <c r="K421" s="300">
        <f>Increased_EBacc_scenario_data!L24</f>
        <v>-9358.6684187775099</v>
      </c>
      <c r="L421" s="300">
        <f>Increased_EBacc_scenario_data!M24</f>
        <v>-9329.963623913578</v>
      </c>
      <c r="M421" s="300">
        <f>Increased_EBacc_scenario_data!N24</f>
        <v>-9235.8403908908585</v>
      </c>
      <c r="N421" s="300">
        <f>Increased_EBacc_scenario_data!O24</f>
        <v>-9235.8403908908585</v>
      </c>
      <c r="O421" s="10"/>
    </row>
    <row r="422" spans="2:15">
      <c r="B422" s="8" t="str">
        <f>Increased_EBacc_scenario_data!C25</f>
        <v>Drama</v>
      </c>
      <c r="C422" s="300">
        <f>Increased_EBacc_scenario_data!D25</f>
        <v>0</v>
      </c>
      <c r="D422" s="300">
        <f>Increased_EBacc_scenario_data!E25</f>
        <v>-436.46771331824596</v>
      </c>
      <c r="E422" s="300">
        <f>Increased_EBacc_scenario_data!F25</f>
        <v>-919.94051767077758</v>
      </c>
      <c r="F422" s="300">
        <f>Increased_EBacc_scenario_data!G25</f>
        <v>-1534.8450942906245</v>
      </c>
      <c r="G422" s="300">
        <f>Increased_EBacc_scenario_data!H25</f>
        <v>-2347.5414916403593</v>
      </c>
      <c r="H422" s="300">
        <f>Increased_EBacc_scenario_data!I25</f>
        <v>-3368.7078502347599</v>
      </c>
      <c r="I422" s="300">
        <f>Increased_EBacc_scenario_data!J25</f>
        <v>-4282.1178009044052</v>
      </c>
      <c r="J422" s="300">
        <f>Increased_EBacc_scenario_data!K25</f>
        <v>-4369.895458944151</v>
      </c>
      <c r="K422" s="300">
        <f>Increased_EBacc_scenario_data!L25</f>
        <v>-4404.8689509606966</v>
      </c>
      <c r="L422" s="300">
        <f>Increased_EBacc_scenario_data!M25</f>
        <v>-4391.3738293613333</v>
      </c>
      <c r="M422" s="300">
        <f>Increased_EBacc_scenario_data!N25</f>
        <v>-4347.0390490086047</v>
      </c>
      <c r="N422" s="300">
        <f>Increased_EBacc_scenario_data!O25</f>
        <v>-4347.0390490086047</v>
      </c>
      <c r="O422" s="10"/>
    </row>
    <row r="423" spans="2:15">
      <c r="B423" s="8" t="str">
        <f>Increased_EBacc_scenario_data!C26</f>
        <v>English</v>
      </c>
      <c r="C423" s="300">
        <f>Increased_EBacc_scenario_data!D26</f>
        <v>0</v>
      </c>
      <c r="D423" s="300">
        <f>Increased_EBacc_scenario_data!E26</f>
        <v>0</v>
      </c>
      <c r="E423" s="300">
        <f>Increased_EBacc_scenario_data!F26</f>
        <v>0</v>
      </c>
      <c r="F423" s="300">
        <f>Increased_EBacc_scenario_data!G26</f>
        <v>0</v>
      </c>
      <c r="G423" s="300">
        <f>Increased_EBacc_scenario_data!H26</f>
        <v>0</v>
      </c>
      <c r="H423" s="300">
        <f>Increased_EBacc_scenario_data!I26</f>
        <v>0</v>
      </c>
      <c r="I423" s="300">
        <f>Increased_EBacc_scenario_data!J26</f>
        <v>0</v>
      </c>
      <c r="J423" s="300">
        <f>Increased_EBacc_scenario_data!K26</f>
        <v>0</v>
      </c>
      <c r="K423" s="300">
        <f>Increased_EBacc_scenario_data!L26</f>
        <v>0</v>
      </c>
      <c r="L423" s="300">
        <f>Increased_EBacc_scenario_data!M26</f>
        <v>0</v>
      </c>
      <c r="M423" s="300">
        <f>Increased_EBacc_scenario_data!N26</f>
        <v>0</v>
      </c>
      <c r="N423" s="300">
        <f>Increased_EBacc_scenario_data!O26</f>
        <v>0</v>
      </c>
      <c r="O423" s="10"/>
    </row>
    <row r="424" spans="2:15">
      <c r="B424" s="8" t="str">
        <f>Increased_EBacc_scenario_data!C27</f>
        <v>Food</v>
      </c>
      <c r="C424" s="300">
        <f>Increased_EBacc_scenario_data!D27</f>
        <v>0</v>
      </c>
      <c r="D424" s="300">
        <f>Increased_EBacc_scenario_data!E27</f>
        <v>-181.35951586348568</v>
      </c>
      <c r="E424" s="300">
        <f>Increased_EBacc_scenario_data!F27</f>
        <v>-402.22999192564237</v>
      </c>
      <c r="F424" s="300">
        <f>Increased_EBacc_scenario_data!G27</f>
        <v>-698.47394866852494</v>
      </c>
      <c r="G424" s="300">
        <f>Increased_EBacc_scenario_data!H27</f>
        <v>-1098.0455448446914</v>
      </c>
      <c r="H424" s="300">
        <f>Increased_EBacc_scenario_data!I27</f>
        <v>-1604.7251711992103</v>
      </c>
      <c r="I424" s="300">
        <f>Increased_EBacc_scenario_data!J27</f>
        <v>-1978.0578567408193</v>
      </c>
      <c r="J424" s="300">
        <f>Increased_EBacc_scenario_data!K27</f>
        <v>-2017.0012318684301</v>
      </c>
      <c r="K424" s="300">
        <f>Increased_EBacc_scenario_data!L27</f>
        <v>-2032.517547176207</v>
      </c>
      <c r="L424" s="300">
        <f>Increased_EBacc_scenario_data!M27</f>
        <v>-2026.5303108500939</v>
      </c>
      <c r="M424" s="300">
        <f>Increased_EBacc_scenario_data!N27</f>
        <v>-2005.5521056642651</v>
      </c>
      <c r="N424" s="300">
        <f>Increased_EBacc_scenario_data!O27</f>
        <v>-2005.5521056642651</v>
      </c>
      <c r="O424" s="10"/>
    </row>
    <row r="425" spans="2:15">
      <c r="B425" s="8" t="str">
        <f>Increased_EBacc_scenario_data!C28</f>
        <v>Geography</v>
      </c>
      <c r="C425" s="300">
        <f>Increased_EBacc_scenario_data!D28</f>
        <v>0</v>
      </c>
      <c r="D425" s="300">
        <f>Increased_EBacc_scenario_data!E28</f>
        <v>0</v>
      </c>
      <c r="E425" s="300">
        <f>Increased_EBacc_scenario_data!F28</f>
        <v>0</v>
      </c>
      <c r="F425" s="300">
        <f>Increased_EBacc_scenario_data!G28</f>
        <v>0</v>
      </c>
      <c r="G425" s="300">
        <f>Increased_EBacc_scenario_data!H28</f>
        <v>0</v>
      </c>
      <c r="H425" s="300">
        <f>Increased_EBacc_scenario_data!I28</f>
        <v>0</v>
      </c>
      <c r="I425" s="300">
        <f>Increased_EBacc_scenario_data!J28</f>
        <v>0</v>
      </c>
      <c r="J425" s="300">
        <f>Increased_EBacc_scenario_data!K28</f>
        <v>0</v>
      </c>
      <c r="K425" s="300">
        <f>Increased_EBacc_scenario_data!L28</f>
        <v>0</v>
      </c>
      <c r="L425" s="300">
        <f>Increased_EBacc_scenario_data!M28</f>
        <v>0</v>
      </c>
      <c r="M425" s="300">
        <f>Increased_EBacc_scenario_data!N28</f>
        <v>0</v>
      </c>
      <c r="N425" s="300">
        <f>Increased_EBacc_scenario_data!O28</f>
        <v>0</v>
      </c>
      <c r="O425" s="10"/>
    </row>
    <row r="426" spans="2:15">
      <c r="B426" s="8" t="str">
        <f>Increased_EBacc_scenario_data!C29</f>
        <v>History</v>
      </c>
      <c r="C426" s="300">
        <f>Increased_EBacc_scenario_data!D29</f>
        <v>0</v>
      </c>
      <c r="D426" s="300">
        <f>Increased_EBacc_scenario_data!E29</f>
        <v>0</v>
      </c>
      <c r="E426" s="300">
        <f>Increased_EBacc_scenario_data!F29</f>
        <v>0</v>
      </c>
      <c r="F426" s="300">
        <f>Increased_EBacc_scenario_data!G29</f>
        <v>0</v>
      </c>
      <c r="G426" s="300">
        <f>Increased_EBacc_scenario_data!H29</f>
        <v>0</v>
      </c>
      <c r="H426" s="300">
        <f>Increased_EBacc_scenario_data!I29</f>
        <v>0</v>
      </c>
      <c r="I426" s="300">
        <f>Increased_EBacc_scenario_data!J29</f>
        <v>0</v>
      </c>
      <c r="J426" s="300">
        <f>Increased_EBacc_scenario_data!K29</f>
        <v>0</v>
      </c>
      <c r="K426" s="300">
        <f>Increased_EBacc_scenario_data!L29</f>
        <v>0</v>
      </c>
      <c r="L426" s="300">
        <f>Increased_EBacc_scenario_data!M29</f>
        <v>0</v>
      </c>
      <c r="M426" s="300">
        <f>Increased_EBacc_scenario_data!N29</f>
        <v>0</v>
      </c>
      <c r="N426" s="300">
        <f>Increased_EBacc_scenario_data!O29</f>
        <v>0</v>
      </c>
      <c r="O426" s="10"/>
    </row>
    <row r="427" spans="2:15">
      <c r="B427" s="8" t="str">
        <f>Increased_EBacc_scenario_data!C30</f>
        <v>Mathematics</v>
      </c>
      <c r="C427" s="300">
        <f>Increased_EBacc_scenario_data!D30</f>
        <v>0</v>
      </c>
      <c r="D427" s="300">
        <f>Increased_EBacc_scenario_data!E30</f>
        <v>0</v>
      </c>
      <c r="E427" s="300">
        <f>Increased_EBacc_scenario_data!F30</f>
        <v>0</v>
      </c>
      <c r="F427" s="300">
        <f>Increased_EBacc_scenario_data!G30</f>
        <v>0</v>
      </c>
      <c r="G427" s="300">
        <f>Increased_EBacc_scenario_data!H30</f>
        <v>0</v>
      </c>
      <c r="H427" s="300">
        <f>Increased_EBacc_scenario_data!I30</f>
        <v>0</v>
      </c>
      <c r="I427" s="300">
        <f>Increased_EBacc_scenario_data!J30</f>
        <v>0</v>
      </c>
      <c r="J427" s="300">
        <f>Increased_EBacc_scenario_data!K30</f>
        <v>0</v>
      </c>
      <c r="K427" s="300">
        <f>Increased_EBacc_scenario_data!L30</f>
        <v>0</v>
      </c>
      <c r="L427" s="300">
        <f>Increased_EBacc_scenario_data!M30</f>
        <v>0</v>
      </c>
      <c r="M427" s="300">
        <f>Increased_EBacc_scenario_data!N30</f>
        <v>0</v>
      </c>
      <c r="N427" s="300">
        <f>Increased_EBacc_scenario_data!O30</f>
        <v>0</v>
      </c>
      <c r="O427" s="10"/>
    </row>
    <row r="428" spans="2:15">
      <c r="B428" s="8" t="str">
        <f>Increased_EBacc_scenario_data!C31</f>
        <v>Modern Foreign Languages</v>
      </c>
      <c r="C428" s="300">
        <f>Increased_EBacc_scenario_data!D31</f>
        <v>0</v>
      </c>
      <c r="D428" s="300">
        <f>Increased_EBacc_scenario_data!E31</f>
        <v>6240.051565318412</v>
      </c>
      <c r="E428" s="300">
        <f>Increased_EBacc_scenario_data!F31</f>
        <v>13409.06073670341</v>
      </c>
      <c r="F428" s="300">
        <f>Increased_EBacc_scenario_data!G31</f>
        <v>22724.105765318556</v>
      </c>
      <c r="G428" s="300">
        <f>Increased_EBacc_scenario_data!H31</f>
        <v>35138.809750744957</v>
      </c>
      <c r="H428" s="300">
        <f>Increased_EBacc_scenario_data!I31</f>
        <v>50797.391616214489</v>
      </c>
      <c r="I428" s="300">
        <f>Increased_EBacc_scenario_data!J31</f>
        <v>63776.360798783782</v>
      </c>
      <c r="J428" s="300">
        <f>Increased_EBacc_scenario_data!K31</f>
        <v>65063.060884137041</v>
      </c>
      <c r="K428" s="300">
        <f>Increased_EBacc_scenario_data!L31</f>
        <v>65575.724313166065</v>
      </c>
      <c r="L428" s="300">
        <f>Increased_EBacc_scenario_data!M31</f>
        <v>65377.904338225628</v>
      </c>
      <c r="M428" s="300">
        <f>Increased_EBacc_scenario_data!N31</f>
        <v>64711.187654006237</v>
      </c>
      <c r="N428" s="300">
        <f>Increased_EBacc_scenario_data!O31</f>
        <v>64711.187654006237</v>
      </c>
      <c r="O428" s="10"/>
    </row>
    <row r="429" spans="2:15">
      <c r="B429" s="8" t="str">
        <f>Increased_EBacc_scenario_data!C32</f>
        <v>Music</v>
      </c>
      <c r="C429" s="300">
        <f>Increased_EBacc_scenario_data!D32</f>
        <v>0</v>
      </c>
      <c r="D429" s="300">
        <f>Increased_EBacc_scenario_data!E32</f>
        <v>-473.68281623697396</v>
      </c>
      <c r="E429" s="300">
        <f>Increased_EBacc_scenario_data!F32</f>
        <v>-985.09012642957055</v>
      </c>
      <c r="F429" s="300">
        <f>Increased_EBacc_scenario_data!G32</f>
        <v>-1625.3271846306745</v>
      </c>
      <c r="G429" s="300">
        <f>Increased_EBacc_scenario_data!H32</f>
        <v>-2466.1591314596922</v>
      </c>
      <c r="H429" s="300">
        <f>Increased_EBacc_scenario_data!I32</f>
        <v>-3519.6112455669763</v>
      </c>
      <c r="I429" s="300">
        <f>Increased_EBacc_scenario_data!J32</f>
        <v>-4515.0288431336267</v>
      </c>
      <c r="J429" s="300">
        <f>Increased_EBacc_scenario_data!K32</f>
        <v>-4608.6477888005475</v>
      </c>
      <c r="K429" s="300">
        <f>Increased_EBacc_scenario_data!L32</f>
        <v>-4645.948640999145</v>
      </c>
      <c r="L429" s="300">
        <f>Increased_EBacc_scenario_data!M32</f>
        <v>-4631.5554675653402</v>
      </c>
      <c r="M429" s="300">
        <f>Increased_EBacc_scenario_data!N32</f>
        <v>-4585.1407640274256</v>
      </c>
      <c r="N429" s="300">
        <f>Increased_EBacc_scenario_data!O32</f>
        <v>-4585.1407640274256</v>
      </c>
      <c r="O429" s="10"/>
    </row>
    <row r="430" spans="2:15">
      <c r="B430" s="8" t="str">
        <f>Increased_EBacc_scenario_data!C33</f>
        <v>Others</v>
      </c>
      <c r="C430" s="300">
        <f>Increased_EBacc_scenario_data!D33</f>
        <v>0</v>
      </c>
      <c r="D430" s="300">
        <f>Increased_EBacc_scenario_data!E33</f>
        <v>-724.92062407187836</v>
      </c>
      <c r="E430" s="300">
        <f>Increased_EBacc_scenario_data!F33</f>
        <v>-1600.4626509255463</v>
      </c>
      <c r="F430" s="300">
        <f>Increased_EBacc_scenario_data!G33</f>
        <v>-2769.6877973469764</v>
      </c>
      <c r="G430" s="300">
        <f>Increased_EBacc_scenario_data!H33</f>
        <v>-4344.1937446790025</v>
      </c>
      <c r="H430" s="300">
        <f>Increased_EBacc_scenario_data!I33</f>
        <v>-6339.3314756795517</v>
      </c>
      <c r="I430" s="300">
        <f>Increased_EBacc_scenario_data!J33</f>
        <v>-7833.8669118791504</v>
      </c>
      <c r="J430" s="300">
        <f>Increased_EBacc_scenario_data!K33</f>
        <v>-7988.6255155392555</v>
      </c>
      <c r="K430" s="300">
        <f>Increased_EBacc_scenario_data!L33</f>
        <v>-8050.2864086465634</v>
      </c>
      <c r="L430" s="300">
        <f>Increased_EBacc_scenario_data!M33</f>
        <v>-8026.4934957165442</v>
      </c>
      <c r="M430" s="300">
        <f>Increased_EBacc_scenario_data!N33</f>
        <v>-7943.57580115778</v>
      </c>
      <c r="N430" s="300">
        <f>Increased_EBacc_scenario_data!O33</f>
        <v>-7943.57580115778</v>
      </c>
      <c r="O430" s="10"/>
    </row>
    <row r="431" spans="2:15">
      <c r="B431" s="8" t="str">
        <f>Increased_EBacc_scenario_data!C34</f>
        <v>Physical Education</v>
      </c>
      <c r="C431" s="300">
        <f>Increased_EBacc_scenario_data!D34</f>
        <v>0</v>
      </c>
      <c r="D431" s="300">
        <f>Increased_EBacc_scenario_data!E34</f>
        <v>-1459.2392427298025</v>
      </c>
      <c r="E431" s="300">
        <f>Increased_EBacc_scenario_data!F34</f>
        <v>-3143.1080287776313</v>
      </c>
      <c r="F431" s="300">
        <f>Increased_EBacc_scenario_data!G34</f>
        <v>-5336.510006788224</v>
      </c>
      <c r="G431" s="300">
        <f>Increased_EBacc_scenario_data!H34</f>
        <v>-8262.5911958775996</v>
      </c>
      <c r="H431" s="300">
        <f>Increased_EBacc_scenario_data!I34</f>
        <v>-11954.834344037652</v>
      </c>
      <c r="I431" s="300">
        <f>Increased_EBacc_scenario_data!J34</f>
        <v>-14987.677398523938</v>
      </c>
      <c r="J431" s="300">
        <f>Increased_EBacc_scenario_data!K34</f>
        <v>-15289.486872864365</v>
      </c>
      <c r="K431" s="300">
        <f>Increased_EBacc_scenario_data!L34</f>
        <v>-15409.73764597777</v>
      </c>
      <c r="L431" s="300">
        <f>Increased_EBacc_scenario_data!M34</f>
        <v>-15363.33682318275</v>
      </c>
      <c r="M431" s="300">
        <f>Increased_EBacc_scenario_data!N34</f>
        <v>-15206.478941652169</v>
      </c>
      <c r="N431" s="300">
        <f>Increased_EBacc_scenario_data!O34</f>
        <v>-15206.478941652169</v>
      </c>
      <c r="O431" s="10"/>
    </row>
    <row r="432" spans="2:15">
      <c r="B432" s="8" t="str">
        <f>Increased_EBacc_scenario_data!C35</f>
        <v>Physics</v>
      </c>
      <c r="C432" s="300">
        <f>Increased_EBacc_scenario_data!D35</f>
        <v>0</v>
      </c>
      <c r="D432" s="300">
        <f>Increased_EBacc_scenario_data!E35</f>
        <v>0</v>
      </c>
      <c r="E432" s="300">
        <f>Increased_EBacc_scenario_data!F35</f>
        <v>0</v>
      </c>
      <c r="F432" s="300">
        <f>Increased_EBacc_scenario_data!G35</f>
        <v>0</v>
      </c>
      <c r="G432" s="300">
        <f>Increased_EBacc_scenario_data!H35</f>
        <v>0</v>
      </c>
      <c r="H432" s="300">
        <f>Increased_EBacc_scenario_data!I35</f>
        <v>0</v>
      </c>
      <c r="I432" s="300">
        <f>Increased_EBacc_scenario_data!J35</f>
        <v>0</v>
      </c>
      <c r="J432" s="300">
        <f>Increased_EBacc_scenario_data!K35</f>
        <v>0</v>
      </c>
      <c r="K432" s="300">
        <f>Increased_EBacc_scenario_data!L35</f>
        <v>0</v>
      </c>
      <c r="L432" s="300">
        <f>Increased_EBacc_scenario_data!M35</f>
        <v>0</v>
      </c>
      <c r="M432" s="300">
        <f>Increased_EBacc_scenario_data!N35</f>
        <v>0</v>
      </c>
      <c r="N432" s="300">
        <f>Increased_EBacc_scenario_data!O35</f>
        <v>0</v>
      </c>
      <c r="O432" s="10"/>
    </row>
    <row r="433" spans="1:15">
      <c r="B433" s="8" t="str">
        <f>Increased_EBacc_scenario_data!C36</f>
        <v>Religious Education</v>
      </c>
      <c r="C433" s="300">
        <f>Increased_EBacc_scenario_data!D36</f>
        <v>0</v>
      </c>
      <c r="D433" s="300">
        <f>Increased_EBacc_scenario_data!E36</f>
        <v>-639.76781898462116</v>
      </c>
      <c r="E433" s="300">
        <f>Increased_EBacc_scenario_data!F36</f>
        <v>-1374.6260050431415</v>
      </c>
      <c r="F433" s="300">
        <f>Increased_EBacc_scenario_data!G36</f>
        <v>-2329.3508324733548</v>
      </c>
      <c r="G433" s="300">
        <f>Increased_EBacc_scenario_data!H36</f>
        <v>-3601.7106136389066</v>
      </c>
      <c r="H433" s="300">
        <f>Increased_EBacc_scenario_data!I36</f>
        <v>-5206.4965389882873</v>
      </c>
      <c r="I433" s="300">
        <f>Increased_EBacc_scenario_data!J36</f>
        <v>-6537.2261361276987</v>
      </c>
      <c r="J433" s="300">
        <f>Increased_EBacc_scenario_data!K36</f>
        <v>-6669.1276177321088</v>
      </c>
      <c r="K433" s="300">
        <f>Increased_EBacc_scenario_data!L36</f>
        <v>-6721.6814852751886</v>
      </c>
      <c r="L433" s="300">
        <f>Increased_EBacc_scenario_data!M36</f>
        <v>-6701.4026743210197</v>
      </c>
      <c r="M433" s="300">
        <f>Increased_EBacc_scenario_data!N36</f>
        <v>-6633.0662945920703</v>
      </c>
      <c r="N433" s="300">
        <f>Increased_EBacc_scenario_data!O36</f>
        <v>-6633.0662945920703</v>
      </c>
      <c r="O433" s="10"/>
    </row>
    <row r="434" spans="1:15">
      <c r="A434" s="10">
        <f>SUM(C434:N434)</f>
        <v>0</v>
      </c>
      <c r="B434" s="8" t="s">
        <v>8</v>
      </c>
      <c r="C434" s="447">
        <f>SUM(C415:C433)</f>
        <v>0</v>
      </c>
      <c r="D434" s="447">
        <f t="shared" ref="D434:N434" si="322">SUM(D415:D433)</f>
        <v>0</v>
      </c>
      <c r="E434" s="447">
        <f t="shared" si="322"/>
        <v>0</v>
      </c>
      <c r="F434" s="447">
        <f t="shared" si="322"/>
        <v>0</v>
      </c>
      <c r="G434" s="447">
        <f t="shared" si="322"/>
        <v>0</v>
      </c>
      <c r="H434" s="447">
        <f t="shared" si="322"/>
        <v>0</v>
      </c>
      <c r="I434" s="447">
        <f t="shared" si="322"/>
        <v>0</v>
      </c>
      <c r="J434" s="447">
        <f t="shared" si="322"/>
        <v>0</v>
      </c>
      <c r="K434" s="447">
        <f t="shared" si="322"/>
        <v>0</v>
      </c>
      <c r="L434" s="447">
        <f t="shared" si="322"/>
        <v>0</v>
      </c>
      <c r="M434" s="447">
        <f t="shared" si="322"/>
        <v>0</v>
      </c>
      <c r="N434" s="447">
        <f t="shared" si="322"/>
        <v>0</v>
      </c>
      <c r="O434" s="10">
        <f>SUM(C434:N434)</f>
        <v>0</v>
      </c>
    </row>
    <row r="435" spans="1:15">
      <c r="B435" s="12"/>
      <c r="O435" s="10"/>
    </row>
    <row r="436" spans="1:15">
      <c r="B436" s="107" t="s">
        <v>1194</v>
      </c>
      <c r="O436" s="10"/>
    </row>
    <row r="437" spans="1:15">
      <c r="B437" s="12"/>
      <c r="C437" s="10"/>
      <c r="D437" s="10"/>
      <c r="E437" s="10"/>
      <c r="F437" s="10"/>
      <c r="G437" s="10"/>
      <c r="H437" s="10"/>
      <c r="I437" s="10"/>
      <c r="J437" s="10"/>
      <c r="K437" s="10"/>
      <c r="L437" s="10"/>
      <c r="M437" s="10"/>
      <c r="N437" s="10"/>
      <c r="O437" s="10"/>
    </row>
    <row r="438" spans="1:15">
      <c r="B438" s="8" t="str">
        <f>B414</f>
        <v>Subject</v>
      </c>
      <c r="C438" s="242" t="str">
        <f>C414</f>
        <v>2017/18</v>
      </c>
      <c r="D438" s="242" t="str">
        <f t="shared" ref="D438:N438" si="323">D414</f>
        <v>2018/19</v>
      </c>
      <c r="E438" s="242" t="str">
        <f t="shared" si="323"/>
        <v>2019/20</v>
      </c>
      <c r="F438" s="242" t="str">
        <f t="shared" si="323"/>
        <v>2020/21</v>
      </c>
      <c r="G438" s="242" t="str">
        <f t="shared" si="323"/>
        <v>2021/22</v>
      </c>
      <c r="H438" s="242" t="str">
        <f t="shared" si="323"/>
        <v>2022/23</v>
      </c>
      <c r="I438" s="242" t="str">
        <f t="shared" si="323"/>
        <v>2023/24</v>
      </c>
      <c r="J438" s="242" t="str">
        <f t="shared" si="323"/>
        <v>2024/25</v>
      </c>
      <c r="K438" s="242" t="str">
        <f t="shared" si="323"/>
        <v>2025/26</v>
      </c>
      <c r="L438" s="242" t="str">
        <f t="shared" si="323"/>
        <v>2026/27</v>
      </c>
      <c r="M438" s="242" t="str">
        <f t="shared" si="323"/>
        <v>2027/28</v>
      </c>
      <c r="N438" s="242" t="str">
        <f t="shared" si="323"/>
        <v>2028/29</v>
      </c>
      <c r="O438" s="10"/>
    </row>
    <row r="439" spans="1:15">
      <c r="B439" s="8" t="str">
        <f t="shared" ref="B439:B458" si="324">B415</f>
        <v>Art &amp; Design</v>
      </c>
      <c r="C439" s="447">
        <f>C364+C415</f>
        <v>136949.81455939641</v>
      </c>
      <c r="D439" s="447">
        <f t="shared" ref="D439:N439" si="325">D364+D415</f>
        <v>138230.40624040403</v>
      </c>
      <c r="E439" s="447">
        <f t="shared" si="325"/>
        <v>140538.70720482452</v>
      </c>
      <c r="F439" s="447">
        <f t="shared" si="325"/>
        <v>142442.74312757872</v>
      </c>
      <c r="G439" s="447">
        <f t="shared" si="325"/>
        <v>144272.87168560913</v>
      </c>
      <c r="H439" s="447">
        <f t="shared" si="325"/>
        <v>145984.72463255707</v>
      </c>
      <c r="I439" s="447">
        <f t="shared" si="325"/>
        <v>147722.52427653232</v>
      </c>
      <c r="J439" s="447">
        <f t="shared" si="325"/>
        <v>148876.40557209338</v>
      </c>
      <c r="K439" s="447">
        <f t="shared" si="325"/>
        <v>149243.52076887051</v>
      </c>
      <c r="L439" s="447">
        <f t="shared" si="325"/>
        <v>149028.93066588041</v>
      </c>
      <c r="M439" s="447">
        <f t="shared" si="325"/>
        <v>148848.5659687903</v>
      </c>
      <c r="N439" s="447">
        <f t="shared" si="325"/>
        <v>148444.77642557098</v>
      </c>
      <c r="O439" s="10"/>
    </row>
    <row r="440" spans="1:15">
      <c r="B440" s="8" t="str">
        <f t="shared" si="324"/>
        <v>Biology</v>
      </c>
      <c r="C440" s="447">
        <f t="shared" ref="C440:N457" si="326">C365+C416</f>
        <v>206721.01697531156</v>
      </c>
      <c r="D440" s="447">
        <f t="shared" si="326"/>
        <v>211306.80073709178</v>
      </c>
      <c r="E440" s="447">
        <f t="shared" si="326"/>
        <v>216174.53586392599</v>
      </c>
      <c r="F440" s="447">
        <f t="shared" si="326"/>
        <v>220577.80914052797</v>
      </c>
      <c r="G440" s="447">
        <f t="shared" si="326"/>
        <v>225732.05694968399</v>
      </c>
      <c r="H440" s="447">
        <f t="shared" si="326"/>
        <v>231713.33769460465</v>
      </c>
      <c r="I440" s="447">
        <f t="shared" si="326"/>
        <v>236470.96179816741</v>
      </c>
      <c r="J440" s="447">
        <f t="shared" si="326"/>
        <v>238574.33717262259</v>
      </c>
      <c r="K440" s="447">
        <f t="shared" si="326"/>
        <v>240251.58750794368</v>
      </c>
      <c r="L440" s="447">
        <f t="shared" si="326"/>
        <v>241143.27650507283</v>
      </c>
      <c r="M440" s="447">
        <f t="shared" si="326"/>
        <v>240607.33367048312</v>
      </c>
      <c r="N440" s="447">
        <f t="shared" si="326"/>
        <v>238752.74868790392</v>
      </c>
      <c r="O440" s="10"/>
    </row>
    <row r="441" spans="1:15">
      <c r="B441" s="8" t="str">
        <f t="shared" si="324"/>
        <v>Business Studies</v>
      </c>
      <c r="C441" s="447">
        <f t="shared" si="326"/>
        <v>68320.435138853034</v>
      </c>
      <c r="D441" s="447">
        <f t="shared" si="326"/>
        <v>67717.055890887583</v>
      </c>
      <c r="E441" s="447">
        <f t="shared" si="326"/>
        <v>67666.493097260216</v>
      </c>
      <c r="F441" s="447">
        <f t="shared" si="326"/>
        <v>68305.475103952922</v>
      </c>
      <c r="G441" s="447">
        <f t="shared" si="326"/>
        <v>69444.906215744777</v>
      </c>
      <c r="H441" s="447">
        <f t="shared" si="326"/>
        <v>71185.195863225017</v>
      </c>
      <c r="I441" s="447">
        <f t="shared" si="326"/>
        <v>72597.926106518542</v>
      </c>
      <c r="J441" s="447">
        <f t="shared" si="326"/>
        <v>73890.498050066468</v>
      </c>
      <c r="K441" s="447">
        <f t="shared" si="326"/>
        <v>75217.595999614248</v>
      </c>
      <c r="L441" s="447">
        <f t="shared" si="326"/>
        <v>76385.522944939308</v>
      </c>
      <c r="M441" s="447">
        <f t="shared" si="326"/>
        <v>76743.607144936424</v>
      </c>
      <c r="N441" s="447">
        <f t="shared" si="326"/>
        <v>76306.32664184297</v>
      </c>
      <c r="O441" s="10"/>
    </row>
    <row r="442" spans="1:15">
      <c r="B442" s="8" t="str">
        <f t="shared" si="324"/>
        <v>Chemistry</v>
      </c>
      <c r="C442" s="447">
        <f t="shared" si="326"/>
        <v>182806.93150941649</v>
      </c>
      <c r="D442" s="447">
        <f t="shared" si="326"/>
        <v>186988.20879756959</v>
      </c>
      <c r="E442" s="447">
        <f t="shared" si="326"/>
        <v>191320.36594158574</v>
      </c>
      <c r="F442" s="447">
        <f t="shared" si="326"/>
        <v>195237.78551118774</v>
      </c>
      <c r="G442" s="447">
        <f t="shared" si="326"/>
        <v>199876.56499632855</v>
      </c>
      <c r="H442" s="447">
        <f t="shared" si="326"/>
        <v>205323.99258008305</v>
      </c>
      <c r="I442" s="447">
        <f t="shared" si="326"/>
        <v>209514.70165629889</v>
      </c>
      <c r="J442" s="447">
        <f t="shared" si="326"/>
        <v>211373.39310600518</v>
      </c>
      <c r="K442" s="447">
        <f t="shared" si="326"/>
        <v>213025.84014971519</v>
      </c>
      <c r="L442" s="447">
        <f t="shared" si="326"/>
        <v>214022.76883486554</v>
      </c>
      <c r="M442" s="447">
        <f t="shared" si="326"/>
        <v>213495.65182601038</v>
      </c>
      <c r="N442" s="447">
        <f t="shared" si="326"/>
        <v>211602.99436149583</v>
      </c>
      <c r="O442" s="10"/>
    </row>
    <row r="443" spans="1:15">
      <c r="B443" s="8" t="str">
        <f t="shared" si="324"/>
        <v>Classics</v>
      </c>
      <c r="C443" s="447">
        <f t="shared" si="326"/>
        <v>5124.9085804590131</v>
      </c>
      <c r="D443" s="447">
        <f t="shared" si="326"/>
        <v>5142.8878557807839</v>
      </c>
      <c r="E443" s="447">
        <f t="shared" si="326"/>
        <v>5205.1524389595161</v>
      </c>
      <c r="F443" s="447">
        <f t="shared" si="326"/>
        <v>5293.7963085709971</v>
      </c>
      <c r="G443" s="447">
        <f t="shared" si="326"/>
        <v>5406.728334914379</v>
      </c>
      <c r="H443" s="447">
        <f t="shared" si="326"/>
        <v>5546.0434364749062</v>
      </c>
      <c r="I443" s="447">
        <f t="shared" si="326"/>
        <v>5670.6383803473182</v>
      </c>
      <c r="J443" s="447">
        <f t="shared" si="326"/>
        <v>5744.46296560874</v>
      </c>
      <c r="K443" s="447">
        <f t="shared" si="326"/>
        <v>5792.2578942394475</v>
      </c>
      <c r="L443" s="447">
        <f t="shared" si="326"/>
        <v>5818.6267650000982</v>
      </c>
      <c r="M443" s="447">
        <f t="shared" si="326"/>
        <v>5829.4298742120136</v>
      </c>
      <c r="N443" s="447">
        <f t="shared" si="326"/>
        <v>5820.3496874798921</v>
      </c>
      <c r="O443" s="10"/>
    </row>
    <row r="444" spans="1:15">
      <c r="B444" s="8" t="str">
        <f t="shared" si="324"/>
        <v>Computing</v>
      </c>
      <c r="C444" s="447">
        <f t="shared" si="326"/>
        <v>116560.12445594446</v>
      </c>
      <c r="D444" s="447">
        <f t="shared" si="326"/>
        <v>117601.46099789794</v>
      </c>
      <c r="E444" s="447">
        <f t="shared" si="326"/>
        <v>119501.18756615785</v>
      </c>
      <c r="F444" s="447">
        <f t="shared" si="326"/>
        <v>121097.82330653044</v>
      </c>
      <c r="G444" s="447">
        <f t="shared" si="326"/>
        <v>122714.74689834018</v>
      </c>
      <c r="H444" s="447">
        <f t="shared" si="326"/>
        <v>124343.24976872122</v>
      </c>
      <c r="I444" s="447">
        <f t="shared" si="326"/>
        <v>125861.08776946604</v>
      </c>
      <c r="J444" s="447">
        <f t="shared" si="326"/>
        <v>126895.26209840499</v>
      </c>
      <c r="K444" s="447">
        <f t="shared" si="326"/>
        <v>127456.05754666057</v>
      </c>
      <c r="L444" s="447">
        <f t="shared" si="326"/>
        <v>127569.85806027347</v>
      </c>
      <c r="M444" s="447">
        <f t="shared" si="326"/>
        <v>127401.21149033711</v>
      </c>
      <c r="N444" s="447">
        <f t="shared" si="326"/>
        <v>126798.67393628908</v>
      </c>
      <c r="O444" s="10"/>
    </row>
    <row r="445" spans="1:15">
      <c r="B445" s="8" t="str">
        <f t="shared" si="324"/>
        <v>Design &amp; Technology</v>
      </c>
      <c r="C445" s="447">
        <f t="shared" si="326"/>
        <v>166777.75995897281</v>
      </c>
      <c r="D445" s="447">
        <f t="shared" si="326"/>
        <v>169056.58045587045</v>
      </c>
      <c r="E445" s="447">
        <f t="shared" si="326"/>
        <v>172557.90481748388</v>
      </c>
      <c r="F445" s="447">
        <f t="shared" si="326"/>
        <v>175055.34258575883</v>
      </c>
      <c r="G445" s="447">
        <f t="shared" si="326"/>
        <v>177176.11757025277</v>
      </c>
      <c r="H445" s="447">
        <f t="shared" si="326"/>
        <v>178804.20839100794</v>
      </c>
      <c r="I445" s="447">
        <f t="shared" si="326"/>
        <v>180615.31429849457</v>
      </c>
      <c r="J445" s="447">
        <f t="shared" si="326"/>
        <v>181615.53542882082</v>
      </c>
      <c r="K445" s="447">
        <f t="shared" si="326"/>
        <v>181475.53500440379</v>
      </c>
      <c r="L445" s="447">
        <f t="shared" si="326"/>
        <v>180566.73412725466</v>
      </c>
      <c r="M445" s="447">
        <f t="shared" si="326"/>
        <v>180076.27900261118</v>
      </c>
      <c r="N445" s="447">
        <f t="shared" si="326"/>
        <v>179630.67605969438</v>
      </c>
      <c r="O445" s="10"/>
    </row>
    <row r="446" spans="1:15">
      <c r="B446" s="8" t="str">
        <f t="shared" si="324"/>
        <v>Drama</v>
      </c>
      <c r="C446" s="447">
        <f t="shared" si="326"/>
        <v>83678.844322995807</v>
      </c>
      <c r="D446" s="447">
        <f t="shared" si="326"/>
        <v>84605.09673936358</v>
      </c>
      <c r="E446" s="447">
        <f t="shared" si="326"/>
        <v>86158.709771682028</v>
      </c>
      <c r="F446" s="447">
        <f t="shared" si="326"/>
        <v>87363.971663268661</v>
      </c>
      <c r="G446" s="447">
        <f t="shared" si="326"/>
        <v>88452.379785738623</v>
      </c>
      <c r="H446" s="447">
        <f t="shared" si="326"/>
        <v>89378.236307120518</v>
      </c>
      <c r="I446" s="447">
        <f t="shared" si="326"/>
        <v>90380.48939969964</v>
      </c>
      <c r="J446" s="447">
        <f t="shared" si="326"/>
        <v>91000.039253020208</v>
      </c>
      <c r="K446" s="447">
        <f t="shared" si="326"/>
        <v>91054.952314665992</v>
      </c>
      <c r="L446" s="447">
        <f t="shared" si="326"/>
        <v>90730.84015992182</v>
      </c>
      <c r="M446" s="447">
        <f t="shared" si="326"/>
        <v>90575.854822644615</v>
      </c>
      <c r="N446" s="447">
        <f t="shared" si="326"/>
        <v>90404.689147294499</v>
      </c>
      <c r="O446" s="10"/>
    </row>
    <row r="447" spans="1:15">
      <c r="B447" s="8" t="str">
        <f t="shared" si="324"/>
        <v>English</v>
      </c>
      <c r="C447" s="447">
        <f t="shared" si="326"/>
        <v>531686.97334443743</v>
      </c>
      <c r="D447" s="447">
        <f t="shared" si="326"/>
        <v>552791.46706343011</v>
      </c>
      <c r="E447" s="447">
        <f t="shared" si="326"/>
        <v>567976.99286925886</v>
      </c>
      <c r="F447" s="447">
        <f t="shared" si="326"/>
        <v>580497.12696835666</v>
      </c>
      <c r="G447" s="447">
        <f t="shared" si="326"/>
        <v>594131.70351159258</v>
      </c>
      <c r="H447" s="447">
        <f t="shared" si="326"/>
        <v>608901.64484429068</v>
      </c>
      <c r="I447" s="447">
        <f t="shared" si="326"/>
        <v>620918.51720534149</v>
      </c>
      <c r="J447" s="447">
        <f t="shared" si="326"/>
        <v>624979.17704897921</v>
      </c>
      <c r="K447" s="447">
        <f t="shared" si="326"/>
        <v>627547.35117813549</v>
      </c>
      <c r="L447" s="447">
        <f t="shared" si="326"/>
        <v>627890.68094823777</v>
      </c>
      <c r="M447" s="447">
        <f t="shared" si="326"/>
        <v>625387.78885761625</v>
      </c>
      <c r="N447" s="447">
        <f t="shared" si="326"/>
        <v>620267.77716372954</v>
      </c>
      <c r="O447" s="10"/>
    </row>
    <row r="448" spans="1:15">
      <c r="B448" s="8" t="str">
        <f t="shared" si="324"/>
        <v>Food</v>
      </c>
      <c r="C448" s="447">
        <f t="shared" si="326"/>
        <v>34759.582497595788</v>
      </c>
      <c r="D448" s="447">
        <f t="shared" si="326"/>
        <v>35269.078214020097</v>
      </c>
      <c r="E448" s="447">
        <f t="shared" si="326"/>
        <v>36007.037704067647</v>
      </c>
      <c r="F448" s="447">
        <f t="shared" si="326"/>
        <v>36520.413591181015</v>
      </c>
      <c r="G448" s="447">
        <f t="shared" si="326"/>
        <v>37028.696866924816</v>
      </c>
      <c r="H448" s="447">
        <f t="shared" si="326"/>
        <v>37538.62858567544</v>
      </c>
      <c r="I448" s="447">
        <f t="shared" si="326"/>
        <v>37927.830250303305</v>
      </c>
      <c r="J448" s="447">
        <f t="shared" si="326"/>
        <v>38150.956538599588</v>
      </c>
      <c r="K448" s="447">
        <f t="shared" si="326"/>
        <v>38377.986347935162</v>
      </c>
      <c r="L448" s="447">
        <f t="shared" si="326"/>
        <v>38501.754647169641</v>
      </c>
      <c r="M448" s="447">
        <f t="shared" si="326"/>
        <v>38341.261614986019</v>
      </c>
      <c r="N448" s="447">
        <f t="shared" si="326"/>
        <v>37902.711706797898</v>
      </c>
      <c r="O448" s="10"/>
    </row>
    <row r="449" spans="1:15">
      <c r="B449" s="8" t="str">
        <f t="shared" si="324"/>
        <v>Geography</v>
      </c>
      <c r="C449" s="447">
        <f t="shared" si="326"/>
        <v>181364.47871402028</v>
      </c>
      <c r="D449" s="447">
        <f t="shared" si="326"/>
        <v>185600.43429347326</v>
      </c>
      <c r="E449" s="447">
        <f t="shared" si="326"/>
        <v>190360.34774178552</v>
      </c>
      <c r="F449" s="447">
        <f t="shared" si="326"/>
        <v>194461.38575575236</v>
      </c>
      <c r="G449" s="447">
        <f t="shared" si="326"/>
        <v>198785.61114005197</v>
      </c>
      <c r="H449" s="447">
        <f t="shared" si="326"/>
        <v>203283.07962060318</v>
      </c>
      <c r="I449" s="447">
        <f t="shared" si="326"/>
        <v>207388.96961549146</v>
      </c>
      <c r="J449" s="447">
        <f t="shared" si="326"/>
        <v>208806.68755424101</v>
      </c>
      <c r="K449" s="447">
        <f t="shared" si="326"/>
        <v>209199.15400233603</v>
      </c>
      <c r="L449" s="447">
        <f t="shared" si="326"/>
        <v>208726.32061797596</v>
      </c>
      <c r="M449" s="447">
        <f t="shared" si="326"/>
        <v>208089.12195536241</v>
      </c>
      <c r="N449" s="447">
        <f t="shared" si="326"/>
        <v>207171.16307862021</v>
      </c>
      <c r="O449" s="10"/>
    </row>
    <row r="450" spans="1:15">
      <c r="B450" s="8" t="str">
        <f t="shared" si="324"/>
        <v>History</v>
      </c>
      <c r="C450" s="447">
        <f t="shared" si="326"/>
        <v>193162.81408243946</v>
      </c>
      <c r="D450" s="447">
        <f t="shared" si="326"/>
        <v>197424.64893569244</v>
      </c>
      <c r="E450" s="447">
        <f t="shared" si="326"/>
        <v>202255.90458908255</v>
      </c>
      <c r="F450" s="447">
        <f t="shared" si="326"/>
        <v>206536.03011602501</v>
      </c>
      <c r="G450" s="447">
        <f t="shared" si="326"/>
        <v>211122.42472476262</v>
      </c>
      <c r="H450" s="447">
        <f t="shared" si="326"/>
        <v>215976.36759588428</v>
      </c>
      <c r="I450" s="447">
        <f t="shared" si="326"/>
        <v>220378.13172979379</v>
      </c>
      <c r="J450" s="447">
        <f t="shared" si="326"/>
        <v>222003.19633487216</v>
      </c>
      <c r="K450" s="447">
        <f t="shared" si="326"/>
        <v>222567.87764973321</v>
      </c>
      <c r="L450" s="447">
        <f t="shared" si="326"/>
        <v>222225.92215622388</v>
      </c>
      <c r="M450" s="447">
        <f t="shared" si="326"/>
        <v>221637.97789613009</v>
      </c>
      <c r="N450" s="447">
        <f t="shared" si="326"/>
        <v>220684.55358467088</v>
      </c>
      <c r="O450" s="10"/>
    </row>
    <row r="451" spans="1:15">
      <c r="B451" s="8" t="str">
        <f t="shared" si="324"/>
        <v>Mathematics</v>
      </c>
      <c r="C451" s="447">
        <f t="shared" si="326"/>
        <v>534607.39517967438</v>
      </c>
      <c r="D451" s="447">
        <f t="shared" si="326"/>
        <v>550826.11420296726</v>
      </c>
      <c r="E451" s="447">
        <f t="shared" si="326"/>
        <v>567851.55379096977</v>
      </c>
      <c r="F451" s="447">
        <f t="shared" si="326"/>
        <v>579910.04325977236</v>
      </c>
      <c r="G451" s="447">
        <f t="shared" si="326"/>
        <v>593310.1674956691</v>
      </c>
      <c r="H451" s="447">
        <f t="shared" si="326"/>
        <v>608099.95245383075</v>
      </c>
      <c r="I451" s="447">
        <f t="shared" si="326"/>
        <v>620371.134491037</v>
      </c>
      <c r="J451" s="447">
        <f t="shared" si="326"/>
        <v>625067.06122871418</v>
      </c>
      <c r="K451" s="447">
        <f t="shared" si="326"/>
        <v>628005.85753884201</v>
      </c>
      <c r="L451" s="447">
        <f t="shared" si="326"/>
        <v>628690.54053747433</v>
      </c>
      <c r="M451" s="447">
        <f t="shared" si="326"/>
        <v>626789.34601512761</v>
      </c>
      <c r="N451" s="447">
        <f t="shared" si="326"/>
        <v>622401.58611122379</v>
      </c>
      <c r="O451" s="10"/>
    </row>
    <row r="452" spans="1:15">
      <c r="B452" s="8" t="str">
        <f t="shared" si="324"/>
        <v>Modern Foreign Languages</v>
      </c>
      <c r="C452" s="447">
        <f t="shared" si="326"/>
        <v>249102.3485876366</v>
      </c>
      <c r="D452" s="447">
        <f t="shared" si="326"/>
        <v>261548.45150047826</v>
      </c>
      <c r="E452" s="447">
        <f t="shared" si="326"/>
        <v>275712.38297819864</v>
      </c>
      <c r="F452" s="447">
        <f t="shared" si="326"/>
        <v>290819.37396920047</v>
      </c>
      <c r="G452" s="447">
        <f t="shared" si="326"/>
        <v>309136.61718958564</v>
      </c>
      <c r="H452" s="447">
        <f t="shared" si="326"/>
        <v>330690.92070504394</v>
      </c>
      <c r="I452" s="447">
        <f t="shared" si="326"/>
        <v>349264.70812421158</v>
      </c>
      <c r="J452" s="447">
        <f t="shared" si="326"/>
        <v>352261.1054666228</v>
      </c>
      <c r="K452" s="447">
        <f t="shared" si="326"/>
        <v>352849.70624808816</v>
      </c>
      <c r="L452" s="447">
        <f t="shared" si="326"/>
        <v>351471.64548286318</v>
      </c>
      <c r="M452" s="447">
        <f t="shared" si="326"/>
        <v>349791.74696764286</v>
      </c>
      <c r="N452" s="447">
        <f t="shared" si="326"/>
        <v>348718.12370139203</v>
      </c>
      <c r="O452" s="10"/>
    </row>
    <row r="453" spans="1:15">
      <c r="B453" s="8" t="str">
        <f t="shared" si="324"/>
        <v>Music</v>
      </c>
      <c r="C453" s="447">
        <f t="shared" si="326"/>
        <v>84242.188689047485</v>
      </c>
      <c r="D453" s="447">
        <f t="shared" si="326"/>
        <v>85347.032728989303</v>
      </c>
      <c r="E453" s="447">
        <f t="shared" si="326"/>
        <v>87086.480335685235</v>
      </c>
      <c r="F453" s="447">
        <f t="shared" si="326"/>
        <v>88346.313746874061</v>
      </c>
      <c r="G453" s="447">
        <f t="shared" si="326"/>
        <v>89381.49713475036</v>
      </c>
      <c r="H453" s="447">
        <f t="shared" si="326"/>
        <v>90116.819538418145</v>
      </c>
      <c r="I453" s="447">
        <f t="shared" si="326"/>
        <v>91035.519260456029</v>
      </c>
      <c r="J453" s="447">
        <f t="shared" si="326"/>
        <v>91546.146580840039</v>
      </c>
      <c r="K453" s="447">
        <f t="shared" si="326"/>
        <v>91340.425659427565</v>
      </c>
      <c r="L453" s="447">
        <f t="shared" si="326"/>
        <v>90713.857261188154</v>
      </c>
      <c r="M453" s="447">
        <f t="shared" si="326"/>
        <v>90511.062956689886</v>
      </c>
      <c r="N453" s="447">
        <f t="shared" si="326"/>
        <v>90494.445492992963</v>
      </c>
      <c r="O453" s="10"/>
    </row>
    <row r="454" spans="1:15">
      <c r="B454" s="8" t="str">
        <f t="shared" si="324"/>
        <v>Others</v>
      </c>
      <c r="C454" s="447">
        <f t="shared" si="326"/>
        <v>249901.48164331971</v>
      </c>
      <c r="D454" s="447">
        <f t="shared" si="326"/>
        <v>247948.7160971729</v>
      </c>
      <c r="E454" s="447">
        <f t="shared" si="326"/>
        <v>248107.02432747002</v>
      </c>
      <c r="F454" s="447">
        <f t="shared" si="326"/>
        <v>250516.59088814672</v>
      </c>
      <c r="G454" s="447">
        <f t="shared" si="326"/>
        <v>254226.89099021946</v>
      </c>
      <c r="H454" s="447">
        <f t="shared" si="326"/>
        <v>259428.43790025768</v>
      </c>
      <c r="I454" s="447">
        <f t="shared" si="326"/>
        <v>264262.09861433459</v>
      </c>
      <c r="J454" s="447">
        <f t="shared" si="326"/>
        <v>268661.6866493788</v>
      </c>
      <c r="K454" s="447">
        <f t="shared" si="326"/>
        <v>272009.13967784675</v>
      </c>
      <c r="L454" s="447">
        <f t="shared" si="326"/>
        <v>274489.3529686245</v>
      </c>
      <c r="M454" s="447">
        <f t="shared" si="326"/>
        <v>275892.4509766915</v>
      </c>
      <c r="N454" s="447">
        <f t="shared" si="326"/>
        <v>275852.99425267521</v>
      </c>
      <c r="O454" s="10"/>
    </row>
    <row r="455" spans="1:15">
      <c r="B455" s="8" t="str">
        <f t="shared" si="324"/>
        <v>Physical Education</v>
      </c>
      <c r="C455" s="447">
        <f t="shared" si="326"/>
        <v>274446.90948322305</v>
      </c>
      <c r="D455" s="447">
        <f t="shared" si="326"/>
        <v>278252.21522531257</v>
      </c>
      <c r="E455" s="447">
        <f t="shared" si="326"/>
        <v>283984.12883823045</v>
      </c>
      <c r="F455" s="447">
        <f t="shared" si="326"/>
        <v>288075.35632266692</v>
      </c>
      <c r="G455" s="447">
        <f t="shared" si="326"/>
        <v>291845.78388307226</v>
      </c>
      <c r="H455" s="447">
        <f t="shared" si="326"/>
        <v>295220.12630159932</v>
      </c>
      <c r="I455" s="447">
        <f t="shared" si="326"/>
        <v>298309.17791690747</v>
      </c>
      <c r="J455" s="447">
        <f t="shared" si="326"/>
        <v>300055.94493407087</v>
      </c>
      <c r="K455" s="447">
        <f t="shared" si="326"/>
        <v>300790.72198331438</v>
      </c>
      <c r="L455" s="447">
        <f t="shared" si="326"/>
        <v>300464.78868451115</v>
      </c>
      <c r="M455" s="447">
        <f t="shared" si="326"/>
        <v>299482.53617817088</v>
      </c>
      <c r="N455" s="447">
        <f t="shared" si="326"/>
        <v>297533.66410849366</v>
      </c>
      <c r="O455" s="10"/>
    </row>
    <row r="456" spans="1:15">
      <c r="B456" s="8" t="str">
        <f t="shared" si="324"/>
        <v>Physics</v>
      </c>
      <c r="C456" s="447">
        <f t="shared" si="326"/>
        <v>178152.59809063026</v>
      </c>
      <c r="D456" s="447">
        <f t="shared" si="326"/>
        <v>182517.85609479982</v>
      </c>
      <c r="E456" s="447">
        <f t="shared" si="326"/>
        <v>186981.34936351154</v>
      </c>
      <c r="F456" s="447">
        <f t="shared" si="326"/>
        <v>190905.09893119798</v>
      </c>
      <c r="G456" s="447">
        <f t="shared" si="326"/>
        <v>195475.99383920044</v>
      </c>
      <c r="H456" s="447">
        <f t="shared" si="326"/>
        <v>200770.33520346161</v>
      </c>
      <c r="I456" s="447">
        <f t="shared" si="326"/>
        <v>204814.06340281962</v>
      </c>
      <c r="J456" s="447">
        <f t="shared" si="326"/>
        <v>206494.59215525637</v>
      </c>
      <c r="K456" s="447">
        <f t="shared" si="326"/>
        <v>208003.08226326562</v>
      </c>
      <c r="L456" s="447">
        <f t="shared" si="326"/>
        <v>208870.955698998</v>
      </c>
      <c r="M456" s="447">
        <f t="shared" si="326"/>
        <v>208235.27805715258</v>
      </c>
      <c r="N456" s="447">
        <f t="shared" si="326"/>
        <v>206268.87400295647</v>
      </c>
      <c r="O456" s="10"/>
    </row>
    <row r="457" spans="1:15">
      <c r="B457" s="8" t="str">
        <f t="shared" si="324"/>
        <v>Religious Education</v>
      </c>
      <c r="C457" s="447">
        <f t="shared" si="326"/>
        <v>122716.2240073648</v>
      </c>
      <c r="D457" s="447">
        <f t="shared" si="326"/>
        <v>124232.13497508745</v>
      </c>
      <c r="E457" s="447">
        <f t="shared" si="326"/>
        <v>126626.11595443454</v>
      </c>
      <c r="F457" s="447">
        <f t="shared" si="326"/>
        <v>128408.9124837226</v>
      </c>
      <c r="G457" s="447">
        <f t="shared" si="326"/>
        <v>130081.96246122381</v>
      </c>
      <c r="H457" s="447">
        <f t="shared" si="326"/>
        <v>131613.24505827142</v>
      </c>
      <c r="I457" s="447">
        <f t="shared" si="326"/>
        <v>133048.52460701895</v>
      </c>
      <c r="J457" s="447">
        <f t="shared" si="326"/>
        <v>133915.95072816312</v>
      </c>
      <c r="K457" s="447">
        <f t="shared" si="326"/>
        <v>134275.68852237472</v>
      </c>
      <c r="L457" s="447">
        <f t="shared" si="326"/>
        <v>134152.62025732352</v>
      </c>
      <c r="M457" s="447">
        <f t="shared" si="326"/>
        <v>133800.12068754688</v>
      </c>
      <c r="N457" s="447">
        <f t="shared" si="326"/>
        <v>133058.15996203982</v>
      </c>
      <c r="O457" s="10"/>
    </row>
    <row r="458" spans="1:15">
      <c r="B458" s="8" t="str">
        <f t="shared" si="324"/>
        <v>Total</v>
      </c>
      <c r="C458" s="447">
        <f>SUM(C439:C457)</f>
        <v>3601082.8298207386</v>
      </c>
      <c r="D458" s="447">
        <f t="shared" ref="D458:N458" si="327">SUM(D439:D457)</f>
        <v>3682406.6470462885</v>
      </c>
      <c r="E458" s="447">
        <f t="shared" si="327"/>
        <v>3772072.3751945747</v>
      </c>
      <c r="F458" s="447">
        <f t="shared" si="327"/>
        <v>3850371.3927802728</v>
      </c>
      <c r="G458" s="447">
        <f t="shared" si="327"/>
        <v>3937603.721673666</v>
      </c>
      <c r="H458" s="447">
        <f t="shared" si="327"/>
        <v>4033918.5464811316</v>
      </c>
      <c r="I458" s="447">
        <f t="shared" si="327"/>
        <v>4116552.3189032399</v>
      </c>
      <c r="J458" s="447">
        <f t="shared" si="327"/>
        <v>4149912.4388663806</v>
      </c>
      <c r="K458" s="447">
        <f t="shared" si="327"/>
        <v>4168484.3382574129</v>
      </c>
      <c r="L458" s="447">
        <f t="shared" si="327"/>
        <v>4171464.9973237985</v>
      </c>
      <c r="M458" s="447">
        <f t="shared" si="327"/>
        <v>4161536.6259631417</v>
      </c>
      <c r="N458" s="447">
        <f t="shared" si="327"/>
        <v>4138115.2881131642</v>
      </c>
      <c r="O458" s="10"/>
    </row>
    <row r="459" spans="1:15">
      <c r="A459" s="10">
        <f>SUM(C459:N459)</f>
        <v>0</v>
      </c>
      <c r="B459" s="186"/>
      <c r="C459" s="10">
        <f>C458-C383</f>
        <v>0</v>
      </c>
      <c r="D459" s="10">
        <f t="shared" ref="D459:N459" si="328">D458-D383</f>
        <v>0</v>
      </c>
      <c r="E459" s="10">
        <f t="shared" si="328"/>
        <v>0</v>
      </c>
      <c r="F459" s="10">
        <f t="shared" si="328"/>
        <v>0</v>
      </c>
      <c r="G459" s="10">
        <f t="shared" si="328"/>
        <v>0</v>
      </c>
      <c r="H459" s="10">
        <f t="shared" si="328"/>
        <v>0</v>
      </c>
      <c r="I459" s="10">
        <f t="shared" si="328"/>
        <v>0</v>
      </c>
      <c r="J459" s="10">
        <f t="shared" si="328"/>
        <v>0</v>
      </c>
      <c r="K459" s="10">
        <f t="shared" si="328"/>
        <v>0</v>
      </c>
      <c r="L459" s="10">
        <f t="shared" si="328"/>
        <v>0</v>
      </c>
      <c r="M459" s="10">
        <f t="shared" si="328"/>
        <v>0</v>
      </c>
      <c r="N459" s="10">
        <f t="shared" si="328"/>
        <v>0</v>
      </c>
      <c r="O459" s="10"/>
    </row>
    <row r="460" spans="1:15">
      <c r="B460" s="147" t="s">
        <v>87</v>
      </c>
      <c r="C460" s="10"/>
      <c r="D460" s="10"/>
      <c r="E460" s="10"/>
      <c r="F460" s="10"/>
      <c r="G460" s="10"/>
      <c r="H460" s="10"/>
      <c r="I460" s="10"/>
      <c r="J460" s="10"/>
      <c r="K460" s="10"/>
      <c r="L460" s="10"/>
      <c r="M460" s="10"/>
      <c r="N460" s="10"/>
      <c r="O460" s="10"/>
    </row>
    <row r="461" spans="1:15">
      <c r="C461" s="10"/>
      <c r="D461" s="10"/>
      <c r="E461" s="10"/>
      <c r="F461" s="10"/>
      <c r="G461" s="10"/>
      <c r="H461" s="10"/>
      <c r="I461" s="10"/>
      <c r="J461" s="10"/>
      <c r="K461" s="10"/>
      <c r="L461" s="10"/>
      <c r="M461" s="10"/>
      <c r="N461" s="10"/>
      <c r="O461" s="10"/>
    </row>
    <row r="462" spans="1:15">
      <c r="B462" s="8" t="str">
        <f>B438</f>
        <v>Subject</v>
      </c>
      <c r="C462" s="242" t="str">
        <f>C438</f>
        <v>2017/18</v>
      </c>
      <c r="D462" s="242" t="str">
        <f t="shared" ref="D462:N462" si="329">D438</f>
        <v>2018/19</v>
      </c>
      <c r="E462" s="242" t="str">
        <f t="shared" si="329"/>
        <v>2019/20</v>
      </c>
      <c r="F462" s="242" t="str">
        <f t="shared" si="329"/>
        <v>2020/21</v>
      </c>
      <c r="G462" s="242" t="str">
        <f t="shared" si="329"/>
        <v>2021/22</v>
      </c>
      <c r="H462" s="242" t="str">
        <f t="shared" si="329"/>
        <v>2022/23</v>
      </c>
      <c r="I462" s="242" t="str">
        <f t="shared" si="329"/>
        <v>2023/24</v>
      </c>
      <c r="J462" s="242" t="str">
        <f t="shared" si="329"/>
        <v>2024/25</v>
      </c>
      <c r="K462" s="242" t="str">
        <f t="shared" si="329"/>
        <v>2025/26</v>
      </c>
      <c r="L462" s="242" t="str">
        <f t="shared" si="329"/>
        <v>2026/27</v>
      </c>
      <c r="M462" s="242" t="str">
        <f t="shared" si="329"/>
        <v>2027/28</v>
      </c>
      <c r="N462" s="242" t="str">
        <f t="shared" si="329"/>
        <v>2028/29</v>
      </c>
      <c r="O462" s="10"/>
    </row>
    <row r="463" spans="1:15">
      <c r="B463" s="8" t="str">
        <f t="shared" ref="B463:B481" si="330">B439</f>
        <v>Art &amp; Design</v>
      </c>
      <c r="C463" s="406">
        <f>C439/C$458</f>
        <v>3.8030176208474979E-2</v>
      </c>
      <c r="D463" s="406">
        <f t="shared" ref="D463:N463" si="331">D439/D$458</f>
        <v>3.753806124352959E-2</v>
      </c>
      <c r="E463" s="406">
        <f t="shared" si="331"/>
        <v>3.7257691058373482E-2</v>
      </c>
      <c r="F463" s="406">
        <f t="shared" si="331"/>
        <v>3.6994546394841094E-2</v>
      </c>
      <c r="G463" s="406">
        <f t="shared" si="331"/>
        <v>3.6639764151859953E-2</v>
      </c>
      <c r="H463" s="406">
        <f t="shared" si="331"/>
        <v>3.6189308968546843E-2</v>
      </c>
      <c r="I463" s="406">
        <f t="shared" si="331"/>
        <v>3.5885010764515092E-2</v>
      </c>
      <c r="J463" s="406">
        <f t="shared" si="331"/>
        <v>3.5874589588391778E-2</v>
      </c>
      <c r="K463" s="406">
        <f t="shared" si="331"/>
        <v>3.5802826317265245E-2</v>
      </c>
      <c r="L463" s="406">
        <f t="shared" si="331"/>
        <v>3.5725801549692938E-2</v>
      </c>
      <c r="M463" s="406">
        <f t="shared" si="331"/>
        <v>3.576769336599097E-2</v>
      </c>
      <c r="N463" s="406">
        <f t="shared" si="331"/>
        <v>3.5872556971039971E-2</v>
      </c>
      <c r="O463" s="10"/>
    </row>
    <row r="464" spans="1:15">
      <c r="B464" s="8" t="str">
        <f t="shared" si="330"/>
        <v>Biology</v>
      </c>
      <c r="C464" s="406">
        <f t="shared" ref="C464:N464" si="332">C440/C$458</f>
        <v>5.7405238019921388E-2</v>
      </c>
      <c r="D464" s="406">
        <f t="shared" si="332"/>
        <v>5.7382799074236955E-2</v>
      </c>
      <c r="E464" s="406">
        <f t="shared" si="332"/>
        <v>5.7309222719454066E-2</v>
      </c>
      <c r="F464" s="406">
        <f t="shared" si="332"/>
        <v>5.7287411171329461E-2</v>
      </c>
      <c r="G464" s="406">
        <f t="shared" si="332"/>
        <v>5.732726625261754E-2</v>
      </c>
      <c r="H464" s="406">
        <f t="shared" si="332"/>
        <v>5.7441253467235442E-2</v>
      </c>
      <c r="I464" s="406">
        <f t="shared" si="332"/>
        <v>5.74439345061378E-2</v>
      </c>
      <c r="J464" s="406">
        <f t="shared" si="332"/>
        <v>5.7489005054235133E-2</v>
      </c>
      <c r="K464" s="406">
        <f t="shared" si="332"/>
        <v>5.7635238137509259E-2</v>
      </c>
      <c r="L464" s="406">
        <f t="shared" si="332"/>
        <v>5.7807814918686411E-2</v>
      </c>
      <c r="M464" s="406">
        <f t="shared" si="332"/>
        <v>5.7816944868242556E-2</v>
      </c>
      <c r="N464" s="406">
        <f t="shared" si="332"/>
        <v>5.7696011847163109E-2</v>
      </c>
      <c r="O464" s="10"/>
    </row>
    <row r="465" spans="2:15">
      <c r="B465" s="8" t="str">
        <f t="shared" si="330"/>
        <v>Business Studies</v>
      </c>
      <c r="C465" s="406">
        <f t="shared" ref="C465:N465" si="333">C441/C$458</f>
        <v>1.8972192078751494E-2</v>
      </c>
      <c r="D465" s="406">
        <f t="shared" si="333"/>
        <v>1.838934761461079E-2</v>
      </c>
      <c r="E465" s="406">
        <f t="shared" si="333"/>
        <v>1.7938810915251797E-2</v>
      </c>
      <c r="F465" s="406">
        <f t="shared" si="333"/>
        <v>1.7739970547264783E-2</v>
      </c>
      <c r="G465" s="406">
        <f t="shared" si="333"/>
        <v>1.7636337001994563E-2</v>
      </c>
      <c r="H465" s="406">
        <f t="shared" si="333"/>
        <v>1.7646661687138254E-2</v>
      </c>
      <c r="I465" s="406">
        <f t="shared" si="333"/>
        <v>1.7635613611212544E-2</v>
      </c>
      <c r="J465" s="406">
        <f t="shared" si="333"/>
        <v>1.7805314964729934E-2</v>
      </c>
      <c r="K465" s="406">
        <f t="shared" si="333"/>
        <v>1.8044351350749731E-2</v>
      </c>
      <c r="L465" s="406">
        <f t="shared" si="333"/>
        <v>1.8311438066469312E-2</v>
      </c>
      <c r="M465" s="406">
        <f t="shared" si="333"/>
        <v>1.8441170664255529E-2</v>
      </c>
      <c r="N465" s="406">
        <f t="shared" si="333"/>
        <v>1.8439874515104673E-2</v>
      </c>
      <c r="O465" s="10"/>
    </row>
    <row r="466" spans="2:15">
      <c r="B466" s="8" t="str">
        <f t="shared" si="330"/>
        <v>Chemistry</v>
      </c>
      <c r="C466" s="406">
        <f t="shared" ref="C466:N466" si="334">C442/C$458</f>
        <v>5.0764433962913483E-2</v>
      </c>
      <c r="D466" s="406">
        <f t="shared" si="334"/>
        <v>5.0778804928444159E-2</v>
      </c>
      <c r="E466" s="406">
        <f t="shared" si="334"/>
        <v>5.0720226684864936E-2</v>
      </c>
      <c r="F466" s="406">
        <f t="shared" si="334"/>
        <v>5.070622171078687E-2</v>
      </c>
      <c r="G466" s="406">
        <f t="shared" si="334"/>
        <v>5.0760965075320394E-2</v>
      </c>
      <c r="H466" s="406">
        <f t="shared" si="334"/>
        <v>5.0899389815193791E-2</v>
      </c>
      <c r="I466" s="406">
        <f t="shared" si="334"/>
        <v>5.0895673229805864E-2</v>
      </c>
      <c r="J466" s="406">
        <f t="shared" si="334"/>
        <v>5.093442240524608E-2</v>
      </c>
      <c r="K466" s="406">
        <f t="shared" si="334"/>
        <v>5.1103908006709269E-2</v>
      </c>
      <c r="L466" s="406">
        <f t="shared" si="334"/>
        <v>5.1306380125968151E-2</v>
      </c>
      <c r="M466" s="406">
        <f t="shared" si="334"/>
        <v>5.1302120109684046E-2</v>
      </c>
      <c r="N466" s="406">
        <f t="shared" si="334"/>
        <v>5.1135113361710949E-2</v>
      </c>
      <c r="O466" s="10"/>
    </row>
    <row r="467" spans="2:15">
      <c r="B467" s="8" t="str">
        <f t="shared" si="330"/>
        <v>Classics</v>
      </c>
      <c r="C467" s="406">
        <f t="shared" ref="C467:N467" si="335">C443/C$458</f>
        <v>1.4231576508097511E-3</v>
      </c>
      <c r="D467" s="406">
        <f t="shared" si="335"/>
        <v>1.3966105182614658E-3</v>
      </c>
      <c r="E467" s="406">
        <f t="shared" si="335"/>
        <v>1.3799184960471547E-3</v>
      </c>
      <c r="F467" s="406">
        <f t="shared" si="335"/>
        <v>1.3748793995553912E-3</v>
      </c>
      <c r="G467" s="406">
        <f t="shared" si="335"/>
        <v>1.3731011846505128E-3</v>
      </c>
      <c r="H467" s="406">
        <f t="shared" si="335"/>
        <v>1.3748526085914233E-3</v>
      </c>
      <c r="I467" s="406">
        <f t="shared" si="335"/>
        <v>1.3775212704834829E-3</v>
      </c>
      <c r="J467" s="406">
        <f t="shared" si="335"/>
        <v>1.3842371496344001E-3</v>
      </c>
      <c r="K467" s="406">
        <f t="shared" si="335"/>
        <v>1.3895357219120162E-3</v>
      </c>
      <c r="L467" s="406">
        <f t="shared" si="335"/>
        <v>1.3948640989995206E-3</v>
      </c>
      <c r="M467" s="406">
        <f t="shared" si="335"/>
        <v>1.4007878334755389E-3</v>
      </c>
      <c r="N467" s="406">
        <f t="shared" si="335"/>
        <v>1.4065218782567481E-3</v>
      </c>
      <c r="O467" s="10"/>
    </row>
    <row r="468" spans="2:15">
      <c r="B468" s="8" t="str">
        <f t="shared" si="330"/>
        <v>Computing</v>
      </c>
      <c r="C468" s="406">
        <f t="shared" ref="C468:N468" si="336">C444/C$458</f>
        <v>3.2368076482635864E-2</v>
      </c>
      <c r="D468" s="406">
        <f t="shared" si="336"/>
        <v>3.1936033216816991E-2</v>
      </c>
      <c r="E468" s="406">
        <f t="shared" si="336"/>
        <v>3.1680512906381769E-2</v>
      </c>
      <c r="F468" s="406">
        <f t="shared" si="336"/>
        <v>3.1450946143428575E-2</v>
      </c>
      <c r="G468" s="406">
        <f t="shared" si="336"/>
        <v>3.1164829061615336E-2</v>
      </c>
      <c r="H468" s="406">
        <f t="shared" si="336"/>
        <v>3.0824432455927583E-2</v>
      </c>
      <c r="I468" s="406">
        <f t="shared" si="336"/>
        <v>3.0574392846050069E-2</v>
      </c>
      <c r="J468" s="406">
        <f t="shared" si="336"/>
        <v>3.0577816753422537E-2</v>
      </c>
      <c r="K468" s="406">
        <f t="shared" si="336"/>
        <v>3.0576115250547424E-2</v>
      </c>
      <c r="L468" s="406">
        <f t="shared" si="336"/>
        <v>3.0581548243150992E-2</v>
      </c>
      <c r="M468" s="406">
        <f t="shared" si="336"/>
        <v>3.0613982992604687E-2</v>
      </c>
      <c r="N468" s="406">
        <f t="shared" si="336"/>
        <v>3.0641648457818787E-2</v>
      </c>
      <c r="O468" s="10"/>
    </row>
    <row r="469" spans="2:15">
      <c r="B469" s="8" t="str">
        <f t="shared" si="330"/>
        <v>Design &amp; Technology</v>
      </c>
      <c r="C469" s="406">
        <f t="shared" ref="C469:N469" si="337">C445/C$458</f>
        <v>4.6313225171572901E-2</v>
      </c>
      <c r="D469" s="406">
        <f t="shared" si="337"/>
        <v>4.5909264418548985E-2</v>
      </c>
      <c r="E469" s="406">
        <f t="shared" si="337"/>
        <v>4.5746180787048882E-2</v>
      </c>
      <c r="F469" s="406">
        <f t="shared" si="337"/>
        <v>4.5464534385955692E-2</v>
      </c>
      <c r="G469" s="406">
        <f t="shared" si="337"/>
        <v>4.4995923941006592E-2</v>
      </c>
      <c r="H469" s="406">
        <f t="shared" si="337"/>
        <v>4.4325190588437251E-2</v>
      </c>
      <c r="I469" s="406">
        <f t="shared" si="337"/>
        <v>4.3875384133734353E-2</v>
      </c>
      <c r="J469" s="406">
        <f t="shared" si="337"/>
        <v>4.3763702994762996E-2</v>
      </c>
      <c r="K469" s="406">
        <f t="shared" si="337"/>
        <v>4.3535136581625625E-2</v>
      </c>
      <c r="L469" s="406">
        <f t="shared" si="337"/>
        <v>4.3286167867427193E-2</v>
      </c>
      <c r="M469" s="406">
        <f t="shared" si="337"/>
        <v>4.3271583356768971E-2</v>
      </c>
      <c r="N469" s="406">
        <f t="shared" si="337"/>
        <v>4.3408813808471655E-2</v>
      </c>
      <c r="O469" s="10"/>
    </row>
    <row r="470" spans="2:15">
      <c r="B470" s="8" t="str">
        <f t="shared" si="330"/>
        <v>Drama</v>
      </c>
      <c r="C470" s="406">
        <f t="shared" ref="C470:N470" si="338">C446/C$458</f>
        <v>2.3237134017037128E-2</v>
      </c>
      <c r="D470" s="406">
        <f t="shared" si="338"/>
        <v>2.2975489903383307E-2</v>
      </c>
      <c r="E470" s="406">
        <f t="shared" si="338"/>
        <v>2.2841213317715756E-2</v>
      </c>
      <c r="F470" s="406">
        <f t="shared" si="338"/>
        <v>2.2689751909928085E-2</v>
      </c>
      <c r="G470" s="406">
        <f t="shared" si="338"/>
        <v>2.2463504719601957E-2</v>
      </c>
      <c r="H470" s="406">
        <f t="shared" si="338"/>
        <v>2.2156678494434884E-2</v>
      </c>
      <c r="I470" s="406">
        <f t="shared" si="338"/>
        <v>2.1955384602953237E-2</v>
      </c>
      <c r="J470" s="406">
        <f t="shared" si="338"/>
        <v>2.1928182966163601E-2</v>
      </c>
      <c r="K470" s="406">
        <f t="shared" si="338"/>
        <v>2.1843659451706247E-2</v>
      </c>
      <c r="L470" s="406">
        <f t="shared" si="338"/>
        <v>2.1750353944748464E-2</v>
      </c>
      <c r="M470" s="406">
        <f t="shared" si="338"/>
        <v>2.1765002441059098E-2</v>
      </c>
      <c r="N470" s="406">
        <f t="shared" si="338"/>
        <v>2.1846827082605491E-2</v>
      </c>
      <c r="O470" s="10"/>
    </row>
    <row r="471" spans="2:15">
      <c r="B471" s="8" t="str">
        <f t="shared" si="330"/>
        <v>English</v>
      </c>
      <c r="C471" s="406">
        <f t="shared" ref="C471:N471" si="339">C447/C$458</f>
        <v>0.14764641594509081</v>
      </c>
      <c r="D471" s="406">
        <f t="shared" si="339"/>
        <v>0.15011689909554995</v>
      </c>
      <c r="E471" s="406">
        <f t="shared" si="339"/>
        <v>0.15057425637013683</v>
      </c>
      <c r="F471" s="406">
        <f t="shared" si="339"/>
        <v>0.15076393099554788</v>
      </c>
      <c r="G471" s="406">
        <f t="shared" si="339"/>
        <v>0.1508866167109012</v>
      </c>
      <c r="H471" s="406">
        <f t="shared" si="339"/>
        <v>0.15094544865697596</v>
      </c>
      <c r="I471" s="406">
        <f t="shared" si="339"/>
        <v>0.15083459873789989</v>
      </c>
      <c r="J471" s="406">
        <f t="shared" si="339"/>
        <v>0.15060056959170515</v>
      </c>
      <c r="K471" s="406">
        <f t="shared" si="339"/>
        <v>0.15054569005301205</v>
      </c>
      <c r="L471" s="406">
        <f t="shared" si="339"/>
        <v>0.15052042420374157</v>
      </c>
      <c r="M471" s="406">
        <f t="shared" si="339"/>
        <v>0.15027809318219737</v>
      </c>
      <c r="N471" s="406">
        <f t="shared" si="339"/>
        <v>0.14989137179079173</v>
      </c>
      <c r="O471" s="10"/>
    </row>
    <row r="472" spans="2:15">
      <c r="B472" s="8" t="str">
        <f t="shared" si="330"/>
        <v>Food</v>
      </c>
      <c r="C472" s="406">
        <f t="shared" ref="C472:N472" si="340">C448/C$458</f>
        <v>9.6525362343098664E-3</v>
      </c>
      <c r="D472" s="406">
        <f t="shared" si="340"/>
        <v>9.5777250028347451E-3</v>
      </c>
      <c r="E472" s="406">
        <f t="shared" si="340"/>
        <v>9.5456911009588717E-3</v>
      </c>
      <c r="F472" s="406">
        <f t="shared" si="340"/>
        <v>9.4849067442323767E-3</v>
      </c>
      <c r="G472" s="406">
        <f t="shared" si="340"/>
        <v>9.4038657732642243E-3</v>
      </c>
      <c r="H472" s="406">
        <f t="shared" si="340"/>
        <v>9.3057477867075772E-3</v>
      </c>
      <c r="I472" s="406">
        <f t="shared" si="340"/>
        <v>9.2134940387222624E-3</v>
      </c>
      <c r="J472" s="406">
        <f t="shared" si="340"/>
        <v>9.1931955434272176E-3</v>
      </c>
      <c r="K472" s="406">
        <f t="shared" si="340"/>
        <v>9.2067003816496615E-3</v>
      </c>
      <c r="L472" s="406">
        <f t="shared" si="340"/>
        <v>9.2297920926749776E-3</v>
      </c>
      <c r="M472" s="406">
        <f t="shared" si="340"/>
        <v>9.2132462263533142E-3</v>
      </c>
      <c r="N472" s="406">
        <f t="shared" si="340"/>
        <v>9.1594141457765448E-3</v>
      </c>
      <c r="O472" s="10"/>
    </row>
    <row r="473" spans="2:15">
      <c r="B473" s="8" t="str">
        <f t="shared" si="330"/>
        <v>Geography</v>
      </c>
      <c r="C473" s="406">
        <f t="shared" ref="C473:N473" si="341">C449/C$458</f>
        <v>5.0363873113979045E-2</v>
      </c>
      <c r="D473" s="406">
        <f t="shared" si="341"/>
        <v>5.0401938754468099E-2</v>
      </c>
      <c r="E473" s="406">
        <f t="shared" si="341"/>
        <v>5.0465719850342525E-2</v>
      </c>
      <c r="F473" s="406">
        <f t="shared" si="341"/>
        <v>5.0504578888255207E-2</v>
      </c>
      <c r="G473" s="406">
        <f t="shared" si="341"/>
        <v>5.0483904727608997E-2</v>
      </c>
      <c r="H473" s="406">
        <f t="shared" si="341"/>
        <v>5.0393451746300409E-2</v>
      </c>
      <c r="I473" s="406">
        <f t="shared" si="341"/>
        <v>5.0379286730587565E-2</v>
      </c>
      <c r="J473" s="406">
        <f t="shared" si="341"/>
        <v>5.0315926090064717E-2</v>
      </c>
      <c r="K473" s="406">
        <f t="shared" si="341"/>
        <v>5.0185903802577161E-2</v>
      </c>
      <c r="L473" s="406">
        <f t="shared" si="341"/>
        <v>5.003669472280943E-2</v>
      </c>
      <c r="M473" s="406">
        <f t="shared" si="341"/>
        <v>5.0002953393976791E-2</v>
      </c>
      <c r="N473" s="406">
        <f t="shared" si="341"/>
        <v>5.0064135156824743E-2</v>
      </c>
      <c r="O473" s="10"/>
    </row>
    <row r="474" spans="2:15">
      <c r="B474" s="8" t="str">
        <f t="shared" si="330"/>
        <v>History</v>
      </c>
      <c r="C474" s="406">
        <f t="shared" ref="C474:N474" si="342">C450/C$458</f>
        <v>5.3640203019727564E-2</v>
      </c>
      <c r="D474" s="406">
        <f t="shared" si="342"/>
        <v>5.3612940627849888E-2</v>
      </c>
      <c r="E474" s="406">
        <f t="shared" si="342"/>
        <v>5.3619306437260393E-2</v>
      </c>
      <c r="F474" s="406">
        <f t="shared" si="342"/>
        <v>5.36405476373773E-2</v>
      </c>
      <c r="G474" s="406">
        <f t="shared" si="342"/>
        <v>5.3616981201710594E-2</v>
      </c>
      <c r="H474" s="406">
        <f t="shared" si="342"/>
        <v>5.3540091379456541E-2</v>
      </c>
      <c r="I474" s="406">
        <f t="shared" si="342"/>
        <v>5.3534636428113819E-2</v>
      </c>
      <c r="J474" s="406">
        <f t="shared" si="342"/>
        <v>5.3495874817907275E-2</v>
      </c>
      <c r="K474" s="406">
        <f t="shared" si="342"/>
        <v>5.3392998411210334E-2</v>
      </c>
      <c r="L474" s="406">
        <f t="shared" si="342"/>
        <v>5.3272872311955828E-2</v>
      </c>
      <c r="M474" s="406">
        <f t="shared" si="342"/>
        <v>5.3258687311164642E-2</v>
      </c>
      <c r="N474" s="406">
        <f t="shared" si="342"/>
        <v>5.3329725785695864E-2</v>
      </c>
      <c r="O474" s="10"/>
    </row>
    <row r="475" spans="2:15">
      <c r="B475" s="8" t="str">
        <f t="shared" si="330"/>
        <v>Mathematics</v>
      </c>
      <c r="C475" s="406">
        <f t="shared" ref="C475:N475" si="343">C451/C$458</f>
        <v>0.14845740029986676</v>
      </c>
      <c r="D475" s="406">
        <f t="shared" si="343"/>
        <v>0.14958318485678188</v>
      </c>
      <c r="E475" s="406">
        <f t="shared" si="343"/>
        <v>0.15054100168522835</v>
      </c>
      <c r="F475" s="406">
        <f t="shared" si="343"/>
        <v>0.15061145642915019</v>
      </c>
      <c r="G475" s="406">
        <f t="shared" si="343"/>
        <v>0.15067797813932493</v>
      </c>
      <c r="H475" s="406">
        <f t="shared" si="343"/>
        <v>0.15074671078430391</v>
      </c>
      <c r="I475" s="406">
        <f t="shared" si="343"/>
        <v>0.15070162758342412</v>
      </c>
      <c r="J475" s="406">
        <f t="shared" si="343"/>
        <v>0.15062174694930719</v>
      </c>
      <c r="K475" s="406">
        <f t="shared" si="343"/>
        <v>0.15065568359586848</v>
      </c>
      <c r="L475" s="406">
        <f t="shared" si="343"/>
        <v>0.15071216969117815</v>
      </c>
      <c r="M475" s="406">
        <f t="shared" si="343"/>
        <v>0.15061488155713737</v>
      </c>
      <c r="N475" s="406">
        <f t="shared" si="343"/>
        <v>0.15040701932570302</v>
      </c>
      <c r="O475" s="10"/>
    </row>
    <row r="476" spans="2:15">
      <c r="B476" s="8" t="str">
        <f t="shared" si="330"/>
        <v>Modern Foreign Languages</v>
      </c>
      <c r="C476" s="406">
        <f t="shared" ref="C476:N476" si="344">C452/C$458</f>
        <v>6.9174290167615185E-2</v>
      </c>
      <c r="D476" s="406">
        <f t="shared" si="344"/>
        <v>7.1026498855108811E-2</v>
      </c>
      <c r="E476" s="406">
        <f t="shared" si="344"/>
        <v>7.3093078698941077E-2</v>
      </c>
      <c r="F476" s="406">
        <f t="shared" si="344"/>
        <v>7.5530213660559606E-2</v>
      </c>
      <c r="G476" s="406">
        <f t="shared" si="344"/>
        <v>7.8508818825015758E-2</v>
      </c>
      <c r="H476" s="406">
        <f t="shared" si="344"/>
        <v>8.1977590002037179E-2</v>
      </c>
      <c r="I476" s="406">
        <f t="shared" si="344"/>
        <v>8.484398619698949E-2</v>
      </c>
      <c r="J476" s="406">
        <f t="shared" si="344"/>
        <v>8.4883985061344799E-2</v>
      </c>
      <c r="K476" s="406">
        <f t="shared" si="344"/>
        <v>8.4647002990922343E-2</v>
      </c>
      <c r="L476" s="406">
        <f t="shared" si="344"/>
        <v>8.425616556973381E-2</v>
      </c>
      <c r="M476" s="406">
        <f t="shared" si="344"/>
        <v>8.4053506770876349E-2</v>
      </c>
      <c r="N476" s="406">
        <f t="shared" si="344"/>
        <v>8.426979419908702E-2</v>
      </c>
      <c r="O476" s="10"/>
    </row>
    <row r="477" spans="2:15">
      <c r="B477" s="8" t="str">
        <f t="shared" si="330"/>
        <v>Music</v>
      </c>
      <c r="C477" s="406">
        <f t="shared" ref="C477:N477" si="345">C453/C$458</f>
        <v>2.3393571508945561E-2</v>
      </c>
      <c r="D477" s="406">
        <f t="shared" si="345"/>
        <v>2.3176971179282274E-2</v>
      </c>
      <c r="E477" s="406">
        <f t="shared" si="345"/>
        <v>2.3087171102116791E-2</v>
      </c>
      <c r="F477" s="406">
        <f t="shared" si="345"/>
        <v>2.2944881086673832E-2</v>
      </c>
      <c r="G477" s="406">
        <f t="shared" si="345"/>
        <v>2.2699464814798335E-2</v>
      </c>
      <c r="H477" s="406">
        <f t="shared" si="345"/>
        <v>2.2339771738085507E-2</v>
      </c>
      <c r="I477" s="406">
        <f t="shared" si="345"/>
        <v>2.2114505588188501E-2</v>
      </c>
      <c r="J477" s="406">
        <f t="shared" si="345"/>
        <v>2.2059777869878967E-2</v>
      </c>
      <c r="K477" s="406">
        <f t="shared" si="345"/>
        <v>2.1912143179026886E-2</v>
      </c>
      <c r="L477" s="406">
        <f t="shared" si="345"/>
        <v>2.1746282737452091E-2</v>
      </c>
      <c r="M477" s="406">
        <f t="shared" si="345"/>
        <v>2.1749433224258142E-2</v>
      </c>
      <c r="N477" s="406">
        <f t="shared" si="345"/>
        <v>2.1868517233664425E-2</v>
      </c>
      <c r="O477" s="10"/>
    </row>
    <row r="478" spans="2:15">
      <c r="B478" s="8" t="str">
        <f t="shared" si="330"/>
        <v>Others</v>
      </c>
      <c r="C478" s="406">
        <f t="shared" ref="C478:N478" si="346">C454/C$458</f>
        <v>6.9396204823136423E-2</v>
      </c>
      <c r="D478" s="406">
        <f t="shared" si="346"/>
        <v>6.7333333839177195E-2</v>
      </c>
      <c r="E478" s="406">
        <f t="shared" si="346"/>
        <v>6.5774725309895976E-2</v>
      </c>
      <c r="F478" s="406">
        <f t="shared" si="346"/>
        <v>6.5062968044558925E-2</v>
      </c>
      <c r="G478" s="406">
        <f t="shared" si="346"/>
        <v>6.4563858874595217E-2</v>
      </c>
      <c r="H478" s="406">
        <f t="shared" si="346"/>
        <v>6.4311769043170777E-2</v>
      </c>
      <c r="I478" s="406">
        <f t="shared" si="346"/>
        <v>6.4195005466307575E-2</v>
      </c>
      <c r="J478" s="406">
        <f t="shared" si="346"/>
        <v>6.4739121754281717E-2</v>
      </c>
      <c r="K478" s="406">
        <f t="shared" si="346"/>
        <v>6.5253727159631611E-2</v>
      </c>
      <c r="L478" s="406">
        <f t="shared" si="346"/>
        <v>6.5801667554377899E-2</v>
      </c>
      <c r="M478" s="406">
        <f t="shared" si="346"/>
        <v>6.6295812286126216E-2</v>
      </c>
      <c r="N478" s="406">
        <f t="shared" si="346"/>
        <v>6.666150531017577E-2</v>
      </c>
      <c r="O478" s="10"/>
    </row>
    <row r="479" spans="2:15">
      <c r="B479" s="8" t="str">
        <f t="shared" si="330"/>
        <v>Physical Education</v>
      </c>
      <c r="C479" s="406">
        <f t="shared" ref="C479:N479" si="347">C455/C$458</f>
        <v>7.6212329027956563E-2</v>
      </c>
      <c r="D479" s="406">
        <f t="shared" si="347"/>
        <v>7.5562598565398167E-2</v>
      </c>
      <c r="E479" s="406">
        <f t="shared" si="347"/>
        <v>7.528597030792171E-2</v>
      </c>
      <c r="F479" s="406">
        <f t="shared" si="347"/>
        <v>7.4817550551832285E-2</v>
      </c>
      <c r="G479" s="406">
        <f t="shared" si="347"/>
        <v>7.411761175373538E-2</v>
      </c>
      <c r="H479" s="406">
        <f t="shared" si="347"/>
        <v>7.3184453999232527E-2</v>
      </c>
      <c r="I479" s="406">
        <f t="shared" si="347"/>
        <v>7.2465780781424655E-2</v>
      </c>
      <c r="J479" s="406">
        <f t="shared" si="347"/>
        <v>7.2304162883985154E-2</v>
      </c>
      <c r="K479" s="406">
        <f t="shared" si="347"/>
        <v>7.2158294856172228E-2</v>
      </c>
      <c r="L479" s="406">
        <f t="shared" si="347"/>
        <v>7.2028601193411479E-2</v>
      </c>
      <c r="M479" s="406">
        <f t="shared" si="347"/>
        <v>7.1964411969787465E-2</v>
      </c>
      <c r="N479" s="406">
        <f t="shared" si="347"/>
        <v>7.1900767231683052E-2</v>
      </c>
      <c r="O479" s="10"/>
    </row>
    <row r="480" spans="2:15">
      <c r="B480" s="8" t="str">
        <f>B456</f>
        <v>Physics</v>
      </c>
      <c r="C480" s="406">
        <f t="shared" ref="C480:N480" si="348">C456/C$458</f>
        <v>4.94719523292661E-2</v>
      </c>
      <c r="D480" s="406">
        <f t="shared" si="348"/>
        <v>4.95648290883898E-2</v>
      </c>
      <c r="E480" s="406">
        <f t="shared" si="348"/>
        <v>4.9569926227586367E-2</v>
      </c>
      <c r="F480" s="406">
        <f t="shared" si="348"/>
        <v>4.9580957122515236E-2</v>
      </c>
      <c r="G480" s="406">
        <f t="shared" si="348"/>
        <v>4.9643389141280574E-2</v>
      </c>
      <c r="H480" s="406">
        <f t="shared" si="348"/>
        <v>4.9770547642464823E-2</v>
      </c>
      <c r="I480" s="406">
        <f t="shared" si="348"/>
        <v>4.9753786065662733E-2</v>
      </c>
      <c r="J480" s="406">
        <f t="shared" si="348"/>
        <v>4.9758782913420674E-2</v>
      </c>
      <c r="K480" s="406">
        <f t="shared" si="348"/>
        <v>4.9898971756775011E-2</v>
      </c>
      <c r="L480" s="406">
        <f t="shared" si="348"/>
        <v>5.0071367213436781E-2</v>
      </c>
      <c r="M480" s="406">
        <f t="shared" si="348"/>
        <v>5.0038074099361993E-2</v>
      </c>
      <c r="N480" s="406">
        <f t="shared" si="348"/>
        <v>4.9846091672571029E-2</v>
      </c>
      <c r="O480" s="10"/>
    </row>
    <row r="481" spans="1:15">
      <c r="B481" s="8" t="str">
        <f t="shared" si="330"/>
        <v>Religious Education</v>
      </c>
      <c r="C481" s="406">
        <f t="shared" ref="C481:N481" si="349">C457/C$458</f>
        <v>3.4077589937989178E-2</v>
      </c>
      <c r="D481" s="406">
        <f t="shared" si="349"/>
        <v>3.373666921732716E-2</v>
      </c>
      <c r="E481" s="406">
        <f t="shared" si="349"/>
        <v>3.3569376024473227E-2</v>
      </c>
      <c r="F481" s="406">
        <f t="shared" si="349"/>
        <v>3.3349747176207124E-2</v>
      </c>
      <c r="G481" s="406">
        <f t="shared" si="349"/>
        <v>3.3035818649097805E-2</v>
      </c>
      <c r="H481" s="406">
        <f t="shared" si="349"/>
        <v>3.2626649135759155E-2</v>
      </c>
      <c r="I481" s="406">
        <f t="shared" si="349"/>
        <v>3.232037741778699E-2</v>
      </c>
      <c r="J481" s="406">
        <f t="shared" si="349"/>
        <v>3.2269584648090682E-2</v>
      </c>
      <c r="K481" s="406">
        <f t="shared" si="349"/>
        <v>3.2212112995129334E-2</v>
      </c>
      <c r="L481" s="406">
        <f t="shared" si="349"/>
        <v>3.2159593894084952E-2</v>
      </c>
      <c r="M481" s="406">
        <f t="shared" si="349"/>
        <v>3.2151614346679049E-2</v>
      </c>
      <c r="N481" s="406">
        <f t="shared" si="349"/>
        <v>3.2154290225855378E-2</v>
      </c>
      <c r="O481" s="10"/>
    </row>
    <row r="482" spans="1:15">
      <c r="B482" s="8" t="str">
        <f>B458</f>
        <v>Total</v>
      </c>
      <c r="C482" s="406">
        <f>SUM(C463:C481)</f>
        <v>1.0000000000000004</v>
      </c>
      <c r="D482" s="406">
        <f t="shared" ref="D482:N482" si="350">SUM(D463:D481)</f>
        <v>1.0000000000000002</v>
      </c>
      <c r="E482" s="406">
        <f t="shared" si="350"/>
        <v>1</v>
      </c>
      <c r="F482" s="406">
        <f t="shared" si="350"/>
        <v>0.99999999999999967</v>
      </c>
      <c r="G482" s="406">
        <f t="shared" si="350"/>
        <v>0.99999999999999989</v>
      </c>
      <c r="H482" s="406">
        <f t="shared" si="350"/>
        <v>1</v>
      </c>
      <c r="I482" s="406">
        <f t="shared" si="350"/>
        <v>1</v>
      </c>
      <c r="J482" s="406">
        <f t="shared" si="350"/>
        <v>1</v>
      </c>
      <c r="K482" s="406">
        <f t="shared" si="350"/>
        <v>1</v>
      </c>
      <c r="L482" s="406">
        <f t="shared" si="350"/>
        <v>0.99999999999999989</v>
      </c>
      <c r="M482" s="406">
        <f t="shared" si="350"/>
        <v>1</v>
      </c>
      <c r="N482" s="406">
        <f t="shared" si="350"/>
        <v>0.99999999999999989</v>
      </c>
      <c r="O482" s="10"/>
    </row>
    <row r="483" spans="1:15">
      <c r="A483" s="10">
        <f>SUM(C483:N483)</f>
        <v>0</v>
      </c>
      <c r="B483" s="12"/>
      <c r="C483" s="10">
        <f>1-C482</f>
        <v>0</v>
      </c>
      <c r="D483" s="10">
        <f t="shared" ref="D483:N483" si="351">1-D482</f>
        <v>0</v>
      </c>
      <c r="E483" s="10">
        <f t="shared" si="351"/>
        <v>0</v>
      </c>
      <c r="F483" s="10">
        <f t="shared" si="351"/>
        <v>0</v>
      </c>
      <c r="G483" s="10">
        <f t="shared" si="351"/>
        <v>0</v>
      </c>
      <c r="H483" s="10">
        <f t="shared" si="351"/>
        <v>0</v>
      </c>
      <c r="I483" s="10">
        <f t="shared" si="351"/>
        <v>0</v>
      </c>
      <c r="J483" s="10">
        <f t="shared" si="351"/>
        <v>0</v>
      </c>
      <c r="K483" s="10">
        <f t="shared" si="351"/>
        <v>0</v>
      </c>
      <c r="L483" s="10">
        <f t="shared" si="351"/>
        <v>0</v>
      </c>
      <c r="M483" s="10">
        <f t="shared" si="351"/>
        <v>0</v>
      </c>
      <c r="N483" s="10">
        <f t="shared" si="351"/>
        <v>0</v>
      </c>
      <c r="O483" s="10"/>
    </row>
    <row r="484" spans="1:15">
      <c r="B484" s="12"/>
      <c r="C484" s="10"/>
      <c r="D484" s="10"/>
      <c r="E484" s="10"/>
      <c r="F484" s="10"/>
      <c r="G484" s="10"/>
      <c r="H484" s="10"/>
      <c r="I484" s="10"/>
      <c r="J484" s="10"/>
      <c r="K484" s="10"/>
      <c r="L484" s="10"/>
      <c r="M484" s="10"/>
      <c r="N484" s="10"/>
      <c r="O484" s="10"/>
    </row>
    <row r="485" spans="1:15" ht="15.75">
      <c r="B485" s="141" t="s">
        <v>1470</v>
      </c>
      <c r="D485" s="12"/>
      <c r="E485" s="12"/>
      <c r="F485" s="12"/>
    </row>
    <row r="486" spans="1:15">
      <c r="B486" s="12"/>
      <c r="D486" s="12"/>
      <c r="E486" s="12"/>
      <c r="F486" s="12"/>
    </row>
    <row r="487" spans="1:15">
      <c r="B487" s="147" t="s">
        <v>398</v>
      </c>
      <c r="D487" s="12"/>
      <c r="E487" s="12"/>
      <c r="F487" s="12"/>
    </row>
    <row r="488" spans="1:15">
      <c r="B488" s="12"/>
      <c r="D488" s="12"/>
      <c r="E488" s="12"/>
      <c r="F488" s="12"/>
    </row>
    <row r="489" spans="1:15">
      <c r="B489" s="138" t="str">
        <f t="shared" ref="B489:N489" si="352">B387</f>
        <v>Subject</v>
      </c>
      <c r="C489" s="138" t="str">
        <f t="shared" si="352"/>
        <v>2017/18</v>
      </c>
      <c r="D489" s="138" t="str">
        <f t="shared" si="352"/>
        <v>2018/19</v>
      </c>
      <c r="E489" s="138" t="str">
        <f t="shared" si="352"/>
        <v>2019/20</v>
      </c>
      <c r="F489" s="138" t="str">
        <f t="shared" si="352"/>
        <v>2020/21</v>
      </c>
      <c r="G489" s="138" t="str">
        <f t="shared" si="352"/>
        <v>2021/22</v>
      </c>
      <c r="H489" s="138" t="str">
        <f t="shared" si="352"/>
        <v>2022/23</v>
      </c>
      <c r="I489" s="138" t="str">
        <f t="shared" si="352"/>
        <v>2023/24</v>
      </c>
      <c r="J489" s="138" t="str">
        <f t="shared" si="352"/>
        <v>2024/25</v>
      </c>
      <c r="K489" s="138" t="str">
        <f t="shared" si="352"/>
        <v>2025/26</v>
      </c>
      <c r="L489" s="138" t="str">
        <f t="shared" si="352"/>
        <v>2026/27</v>
      </c>
      <c r="M489" s="138" t="str">
        <f t="shared" si="352"/>
        <v>2027/28</v>
      </c>
      <c r="N489" s="138" t="str">
        <f t="shared" si="352"/>
        <v>2028/29</v>
      </c>
    </row>
    <row r="490" spans="1:15" s="5" customFormat="1">
      <c r="A490" s="164"/>
      <c r="B490" s="138" t="str">
        <f t="shared" ref="B490:B509" si="353">B388</f>
        <v>Art &amp; Design</v>
      </c>
      <c r="C490" s="450">
        <f>C463*N$15</f>
        <v>7973.7824984012041</v>
      </c>
      <c r="D490" s="786">
        <f t="shared" ref="D490:N490" si="354">D463*O$15</f>
        <v>7945.3881390292399</v>
      </c>
      <c r="E490" s="786">
        <f t="shared" si="354"/>
        <v>7967.0775456993069</v>
      </c>
      <c r="F490" s="786">
        <f t="shared" si="354"/>
        <v>7977.5827938200509</v>
      </c>
      <c r="G490" s="786">
        <f t="shared" si="354"/>
        <v>7970.9823369783408</v>
      </c>
      <c r="H490" s="786">
        <f t="shared" si="354"/>
        <v>7945.1109819233316</v>
      </c>
      <c r="I490" s="786">
        <f t="shared" si="354"/>
        <v>7970.4356962480797</v>
      </c>
      <c r="J490" s="786">
        <f t="shared" si="354"/>
        <v>8025.0214444196199</v>
      </c>
      <c r="K490" s="786">
        <f t="shared" si="354"/>
        <v>8030.3604596547202</v>
      </c>
      <c r="L490" s="786">
        <f t="shared" si="354"/>
        <v>8008.7965768556896</v>
      </c>
      <c r="M490" s="786">
        <f t="shared" si="354"/>
        <v>8008.7548384956654</v>
      </c>
      <c r="N490" s="786">
        <f t="shared" si="354"/>
        <v>8016.3015626760698</v>
      </c>
    </row>
    <row r="491" spans="1:15" s="5" customFormat="1">
      <c r="A491" s="164"/>
      <c r="B491" s="138" t="str">
        <f t="shared" si="353"/>
        <v>Biology</v>
      </c>
      <c r="C491" s="786">
        <f t="shared" ref="C491:C508" si="355">C464*N$15</f>
        <v>12036.149391750607</v>
      </c>
      <c r="D491" s="786">
        <f t="shared" ref="D491:D508" si="356">D464*O$15</f>
        <v>12145.768748974175</v>
      </c>
      <c r="E491" s="786">
        <f t="shared" ref="E491:E508" si="357">E464*P$15</f>
        <v>12254.839430985818</v>
      </c>
      <c r="F491" s="786">
        <f t="shared" ref="F491:F508" si="358">F464*Q$15</f>
        <v>12353.579383977079</v>
      </c>
      <c r="G491" s="786">
        <f t="shared" ref="G491:G508" si="359">G464*R$15</f>
        <v>12471.549348214689</v>
      </c>
      <c r="H491" s="786">
        <f t="shared" ref="H491:H508" si="360">H464*S$15</f>
        <v>12610.827527395571</v>
      </c>
      <c r="I491" s="786">
        <f t="shared" ref="I491:I508" si="361">I464*T$15</f>
        <v>12758.897834117577</v>
      </c>
      <c r="J491" s="786">
        <f t="shared" ref="J491:J508" si="362">J464*U$15</f>
        <v>12860.091325696105</v>
      </c>
      <c r="K491" s="786">
        <f t="shared" ref="K491:K508" si="363">K464*V$15</f>
        <v>12927.24024971867</v>
      </c>
      <c r="L491" s="786">
        <f t="shared" ref="L491:L508" si="364">L464*W$15</f>
        <v>12959.010299385773</v>
      </c>
      <c r="M491" s="786">
        <f t="shared" ref="M491:M508" si="365">M464*X$15</f>
        <v>12945.809287239337</v>
      </c>
      <c r="N491" s="786">
        <f t="shared" ref="N491:N508" si="366">N464*Y$15</f>
        <v>12893.104617660107</v>
      </c>
    </row>
    <row r="492" spans="1:15" s="5" customFormat="1">
      <c r="A492" s="164"/>
      <c r="B492" s="138" t="str">
        <f t="shared" si="353"/>
        <v>Business Studies</v>
      </c>
      <c r="C492" s="786">
        <f t="shared" si="355"/>
        <v>3977.8972446659877</v>
      </c>
      <c r="D492" s="786">
        <f t="shared" si="356"/>
        <v>3892.3295338487728</v>
      </c>
      <c r="E492" s="786">
        <f t="shared" si="357"/>
        <v>3835.9837547508914</v>
      </c>
      <c r="F492" s="786">
        <f t="shared" si="358"/>
        <v>3825.4850401536301</v>
      </c>
      <c r="G492" s="786">
        <f t="shared" si="359"/>
        <v>3836.785906951859</v>
      </c>
      <c r="H492" s="786">
        <f t="shared" si="360"/>
        <v>3874.2017894462624</v>
      </c>
      <c r="I492" s="786">
        <f t="shared" si="361"/>
        <v>3917.0539804057485</v>
      </c>
      <c r="J492" s="786">
        <f t="shared" si="362"/>
        <v>3982.9872914515149</v>
      </c>
      <c r="K492" s="786">
        <f t="shared" si="363"/>
        <v>4047.2404140145018</v>
      </c>
      <c r="L492" s="786">
        <f t="shared" si="364"/>
        <v>4104.9486965340002</v>
      </c>
      <c r="M492" s="786">
        <f t="shared" si="365"/>
        <v>4129.1679973221253</v>
      </c>
      <c r="N492" s="786">
        <f t="shared" si="366"/>
        <v>4120.6874383200357</v>
      </c>
    </row>
    <row r="493" spans="1:15" s="5" customFormat="1">
      <c r="A493" s="164"/>
      <c r="B493" s="138" t="str">
        <f t="shared" si="353"/>
        <v>Chemistry</v>
      </c>
      <c r="C493" s="786">
        <f t="shared" si="355"/>
        <v>10643.772799151991</v>
      </c>
      <c r="D493" s="786">
        <f t="shared" si="356"/>
        <v>10747.952905055356</v>
      </c>
      <c r="E493" s="786">
        <f t="shared" si="357"/>
        <v>10845.867461315709</v>
      </c>
      <c r="F493" s="786">
        <f t="shared" si="358"/>
        <v>10934.39766884147</v>
      </c>
      <c r="G493" s="786">
        <f t="shared" si="359"/>
        <v>11043.050232156413</v>
      </c>
      <c r="H493" s="786">
        <f t="shared" si="360"/>
        <v>11174.606880318423</v>
      </c>
      <c r="I493" s="786">
        <f t="shared" si="361"/>
        <v>11304.460610516528</v>
      </c>
      <c r="J493" s="786">
        <f t="shared" si="362"/>
        <v>11393.853887975609</v>
      </c>
      <c r="K493" s="786">
        <f t="shared" si="363"/>
        <v>11462.301846069928</v>
      </c>
      <c r="L493" s="786">
        <f t="shared" si="364"/>
        <v>11501.55752145027</v>
      </c>
      <c r="M493" s="786">
        <f t="shared" si="365"/>
        <v>11487.072941756487</v>
      </c>
      <c r="N493" s="786">
        <f t="shared" si="366"/>
        <v>11426.966008584966</v>
      </c>
    </row>
    <row r="494" spans="1:15" s="5" customFormat="1">
      <c r="A494" s="164"/>
      <c r="B494" s="138" t="str">
        <f t="shared" si="353"/>
        <v>Classics</v>
      </c>
      <c r="C494" s="786">
        <f t="shared" si="355"/>
        <v>298.39329447975808</v>
      </c>
      <c r="D494" s="786">
        <f t="shared" si="356"/>
        <v>295.60963670042617</v>
      </c>
      <c r="E494" s="786">
        <f t="shared" si="357"/>
        <v>295.07780413788191</v>
      </c>
      <c r="F494" s="786">
        <f t="shared" si="358"/>
        <v>296.48192261657937</v>
      </c>
      <c r="G494" s="786">
        <f t="shared" si="359"/>
        <v>298.71822439603972</v>
      </c>
      <c r="H494" s="786">
        <f t="shared" si="360"/>
        <v>301.83932410921295</v>
      </c>
      <c r="I494" s="786">
        <f t="shared" si="361"/>
        <v>305.96186186628057</v>
      </c>
      <c r="J494" s="786">
        <f t="shared" si="362"/>
        <v>309.64905626607714</v>
      </c>
      <c r="K494" s="786">
        <f t="shared" si="363"/>
        <v>311.66457697053562</v>
      </c>
      <c r="L494" s="786">
        <f t="shared" si="364"/>
        <v>312.69229343133583</v>
      </c>
      <c r="M494" s="786">
        <f t="shared" si="365"/>
        <v>313.65081958905529</v>
      </c>
      <c r="N494" s="786">
        <f t="shared" si="366"/>
        <v>314.31000415471016</v>
      </c>
    </row>
    <row r="495" spans="1:15" s="5" customFormat="1">
      <c r="A495" s="164"/>
      <c r="B495" s="138" t="str">
        <f t="shared" si="353"/>
        <v>Computing</v>
      </c>
      <c r="C495" s="786">
        <f t="shared" si="355"/>
        <v>6786.6107258960601</v>
      </c>
      <c r="D495" s="786">
        <f t="shared" si="356"/>
        <v>6759.6506351877524</v>
      </c>
      <c r="E495" s="786">
        <f t="shared" si="357"/>
        <v>6774.4698032205451</v>
      </c>
      <c r="F495" s="786">
        <f t="shared" si="358"/>
        <v>6782.1490261106528</v>
      </c>
      <c r="G495" s="786">
        <f t="shared" si="359"/>
        <v>6779.9099621790219</v>
      </c>
      <c r="H495" s="786">
        <f t="shared" si="360"/>
        <v>6767.2896719303717</v>
      </c>
      <c r="I495" s="786">
        <f t="shared" si="361"/>
        <v>6790.8919891489504</v>
      </c>
      <c r="J495" s="786">
        <f t="shared" si="362"/>
        <v>6840.1517058511909</v>
      </c>
      <c r="K495" s="786">
        <f t="shared" si="363"/>
        <v>6858.0403329620931</v>
      </c>
      <c r="L495" s="786">
        <f t="shared" si="364"/>
        <v>6855.5886295236924</v>
      </c>
      <c r="M495" s="786">
        <f t="shared" si="365"/>
        <v>6854.7860190160154</v>
      </c>
      <c r="N495" s="786">
        <f t="shared" si="366"/>
        <v>6847.3706687171361</v>
      </c>
    </row>
    <row r="496" spans="1:15" s="5" customFormat="1">
      <c r="A496" s="164"/>
      <c r="B496" s="138" t="str">
        <f t="shared" si="353"/>
        <v>Design &amp; Technology</v>
      </c>
      <c r="C496" s="786">
        <f t="shared" si="355"/>
        <v>9710.4883840981493</v>
      </c>
      <c r="D496" s="786">
        <f t="shared" si="356"/>
        <v>9717.255310983086</v>
      </c>
      <c r="E496" s="786">
        <f t="shared" si="357"/>
        <v>9782.2317861559168</v>
      </c>
      <c r="F496" s="786">
        <f t="shared" si="358"/>
        <v>9804.069047783174</v>
      </c>
      <c r="G496" s="786">
        <f t="shared" si="359"/>
        <v>9788.8652744392075</v>
      </c>
      <c r="H496" s="786">
        <f t="shared" si="360"/>
        <v>9731.2871828007883</v>
      </c>
      <c r="I496" s="786">
        <f t="shared" si="361"/>
        <v>9745.1810779981643</v>
      </c>
      <c r="J496" s="786">
        <f t="shared" si="362"/>
        <v>9789.7887906103388</v>
      </c>
      <c r="K496" s="786">
        <f t="shared" si="363"/>
        <v>9764.6715461165913</v>
      </c>
      <c r="L496" s="786">
        <f t="shared" si="364"/>
        <v>9703.6342924216715</v>
      </c>
      <c r="M496" s="786">
        <f t="shared" si="365"/>
        <v>9688.9530737087989</v>
      </c>
      <c r="N496" s="786">
        <f t="shared" si="366"/>
        <v>9700.3997302921489</v>
      </c>
    </row>
    <row r="497" spans="1:15" s="5" customFormat="1">
      <c r="A497" s="164"/>
      <c r="B497" s="138" t="str">
        <f t="shared" si="353"/>
        <v>Drama</v>
      </c>
      <c r="C497" s="786">
        <f t="shared" si="355"/>
        <v>4872.1271109115378</v>
      </c>
      <c r="D497" s="786">
        <f t="shared" si="356"/>
        <v>4863.04244064266</v>
      </c>
      <c r="E497" s="786">
        <f t="shared" si="357"/>
        <v>4884.2993908287981</v>
      </c>
      <c r="F497" s="786">
        <f t="shared" si="358"/>
        <v>4892.8664376847119</v>
      </c>
      <c r="G497" s="786">
        <f t="shared" si="359"/>
        <v>4886.9364607383068</v>
      </c>
      <c r="H497" s="786">
        <f t="shared" si="360"/>
        <v>4864.3445991764611</v>
      </c>
      <c r="I497" s="786">
        <f t="shared" si="361"/>
        <v>4876.5202360556859</v>
      </c>
      <c r="J497" s="786">
        <f t="shared" si="362"/>
        <v>4905.2585844093182</v>
      </c>
      <c r="K497" s="786">
        <f t="shared" si="363"/>
        <v>4899.402566734112</v>
      </c>
      <c r="L497" s="786">
        <f t="shared" si="364"/>
        <v>4875.8642958872488</v>
      </c>
      <c r="M497" s="786">
        <f t="shared" si="365"/>
        <v>4873.4081570784738</v>
      </c>
      <c r="N497" s="786">
        <f t="shared" si="366"/>
        <v>4882.0259515703856</v>
      </c>
    </row>
    <row r="498" spans="1:15" s="5" customFormat="1">
      <c r="A498" s="164"/>
      <c r="B498" s="138" t="str">
        <f t="shared" si="353"/>
        <v>English</v>
      </c>
      <c r="C498" s="786">
        <f t="shared" si="355"/>
        <v>30957.006377274411</v>
      </c>
      <c r="D498" s="786">
        <f t="shared" si="356"/>
        <v>31774.07117015728</v>
      </c>
      <c r="E498" s="786">
        <f t="shared" si="357"/>
        <v>32198.36610399064</v>
      </c>
      <c r="F498" s="786">
        <f t="shared" si="358"/>
        <v>32511.055251280977</v>
      </c>
      <c r="G498" s="786">
        <f t="shared" si="359"/>
        <v>32825.390242801564</v>
      </c>
      <c r="H498" s="786">
        <f t="shared" si="360"/>
        <v>33139.022987098506</v>
      </c>
      <c r="I498" s="786">
        <f t="shared" si="361"/>
        <v>33501.939790376935</v>
      </c>
      <c r="J498" s="786">
        <f t="shared" si="362"/>
        <v>33688.825834158408</v>
      </c>
      <c r="K498" s="786">
        <f t="shared" si="363"/>
        <v>33766.500612555159</v>
      </c>
      <c r="L498" s="786">
        <f t="shared" si="364"/>
        <v>33742.768694301078</v>
      </c>
      <c r="M498" s="786">
        <f t="shared" si="365"/>
        <v>33648.812451439466</v>
      </c>
      <c r="N498" s="786">
        <f t="shared" si="366"/>
        <v>33495.645121930349</v>
      </c>
    </row>
    <row r="499" spans="1:15" s="5" customFormat="1">
      <c r="A499" s="164"/>
      <c r="B499" s="138" t="str">
        <f t="shared" si="353"/>
        <v>Food</v>
      </c>
      <c r="C499" s="786">
        <f t="shared" si="355"/>
        <v>2023.8461181037446</v>
      </c>
      <c r="D499" s="786">
        <f t="shared" si="356"/>
        <v>2027.2422207080306</v>
      </c>
      <c r="E499" s="786">
        <f t="shared" si="357"/>
        <v>2041.2231426117582</v>
      </c>
      <c r="F499" s="786">
        <f t="shared" si="358"/>
        <v>2045.3454959601211</v>
      </c>
      <c r="G499" s="786">
        <f t="shared" si="359"/>
        <v>2045.8114213652541</v>
      </c>
      <c r="H499" s="786">
        <f t="shared" si="360"/>
        <v>2043.0121779732874</v>
      </c>
      <c r="I499" s="786">
        <f t="shared" si="361"/>
        <v>2046.4132574823579</v>
      </c>
      <c r="J499" s="786">
        <f t="shared" si="362"/>
        <v>2056.486003748415</v>
      </c>
      <c r="K499" s="786">
        <f t="shared" si="363"/>
        <v>2065.0079983499681</v>
      </c>
      <c r="L499" s="786">
        <f t="shared" si="364"/>
        <v>2069.0796038288022</v>
      </c>
      <c r="M499" s="786">
        <f t="shared" si="365"/>
        <v>2062.9406973086402</v>
      </c>
      <c r="N499" s="786">
        <f t="shared" si="366"/>
        <v>2046.8188534556305</v>
      </c>
    </row>
    <row r="500" spans="1:15" s="5" customFormat="1">
      <c r="A500" s="164"/>
      <c r="B500" s="138" t="str">
        <f t="shared" si="353"/>
        <v>Geography</v>
      </c>
      <c r="C500" s="786">
        <f t="shared" si="355"/>
        <v>10559.787253850564</v>
      </c>
      <c r="D500" s="786">
        <f t="shared" si="356"/>
        <v>10668.184586460404</v>
      </c>
      <c r="E500" s="786">
        <f t="shared" si="357"/>
        <v>10791.44445149007</v>
      </c>
      <c r="F500" s="786">
        <f t="shared" si="358"/>
        <v>10890.914981032376</v>
      </c>
      <c r="G500" s="786">
        <f t="shared" si="359"/>
        <v>10982.775741067133</v>
      </c>
      <c r="H500" s="786">
        <f t="shared" si="360"/>
        <v>11063.531697566756</v>
      </c>
      <c r="I500" s="786">
        <f t="shared" si="361"/>
        <v>11189.765775577254</v>
      </c>
      <c r="J500" s="786">
        <f t="shared" si="362"/>
        <v>11255.498404342954</v>
      </c>
      <c r="K500" s="786">
        <f t="shared" si="363"/>
        <v>11256.398976912798</v>
      </c>
      <c r="L500" s="786">
        <f t="shared" si="364"/>
        <v>11216.92703957411</v>
      </c>
      <c r="M500" s="786">
        <f t="shared" si="365"/>
        <v>11196.176136811102</v>
      </c>
      <c r="N500" s="786">
        <f t="shared" si="366"/>
        <v>11187.638651342153</v>
      </c>
    </row>
    <row r="501" spans="1:15" s="5" customFormat="1">
      <c r="A501" s="164"/>
      <c r="B501" s="138" t="str">
        <f t="shared" si="353"/>
        <v>History</v>
      </c>
      <c r="C501" s="786">
        <f t="shared" si="355"/>
        <v>11246.734953441399</v>
      </c>
      <c r="D501" s="786">
        <f t="shared" si="356"/>
        <v>11347.832265482877</v>
      </c>
      <c r="E501" s="786">
        <f t="shared" si="357"/>
        <v>11465.798341152407</v>
      </c>
      <c r="F501" s="786">
        <f t="shared" si="358"/>
        <v>11567.161962626466</v>
      </c>
      <c r="G501" s="786">
        <f t="shared" si="359"/>
        <v>11664.376668735726</v>
      </c>
      <c r="H501" s="786">
        <f t="shared" si="360"/>
        <v>11754.35453497635</v>
      </c>
      <c r="I501" s="786">
        <f t="shared" si="361"/>
        <v>11890.601899839419</v>
      </c>
      <c r="J501" s="786">
        <f t="shared" si="362"/>
        <v>11966.8419214643</v>
      </c>
      <c r="K501" s="786">
        <f t="shared" si="363"/>
        <v>11975.73117452537</v>
      </c>
      <c r="L501" s="786">
        <f t="shared" si="364"/>
        <v>11942.393981498482</v>
      </c>
      <c r="M501" s="786">
        <f t="shared" si="365"/>
        <v>11925.168484607424</v>
      </c>
      <c r="N501" s="786">
        <f t="shared" si="366"/>
        <v>11917.387558909948</v>
      </c>
    </row>
    <row r="502" spans="1:15" s="5" customFormat="1">
      <c r="A502" s="164"/>
      <c r="B502" s="138" t="str">
        <f t="shared" si="353"/>
        <v>Mathematics</v>
      </c>
      <c r="C502" s="786">
        <f t="shared" si="355"/>
        <v>31127.045369971704</v>
      </c>
      <c r="D502" s="786">
        <f t="shared" si="356"/>
        <v>31661.10404713971</v>
      </c>
      <c r="E502" s="786">
        <f t="shared" si="357"/>
        <v>32191.255017772</v>
      </c>
      <c r="F502" s="786">
        <f t="shared" si="358"/>
        <v>32478.175310967425</v>
      </c>
      <c r="G502" s="786">
        <f t="shared" si="359"/>
        <v>32780.000912183772</v>
      </c>
      <c r="H502" s="786">
        <f t="shared" si="360"/>
        <v>33095.391469954506</v>
      </c>
      <c r="I502" s="786">
        <f t="shared" si="361"/>
        <v>33472.405508134143</v>
      </c>
      <c r="J502" s="786">
        <f t="shared" si="362"/>
        <v>33693.563135709235</v>
      </c>
      <c r="K502" s="786">
        <f t="shared" si="363"/>
        <v>33791.171508353844</v>
      </c>
      <c r="L502" s="786">
        <f t="shared" si="364"/>
        <v>33785.753051174739</v>
      </c>
      <c r="M502" s="786">
        <f t="shared" si="365"/>
        <v>33724.222836441098</v>
      </c>
      <c r="N502" s="786">
        <f t="shared" si="366"/>
        <v>33610.874882196294</v>
      </c>
    </row>
    <row r="503" spans="1:15" s="5" customFormat="1">
      <c r="A503" s="164"/>
      <c r="B503" s="138" t="str">
        <f t="shared" si="353"/>
        <v>Modern Foreign Languages</v>
      </c>
      <c r="C503" s="786">
        <f t="shared" si="355"/>
        <v>14503.765148343891</v>
      </c>
      <c r="D503" s="786">
        <f t="shared" si="356"/>
        <v>15033.624083540786</v>
      </c>
      <c r="E503" s="786">
        <f t="shared" si="357"/>
        <v>15630.013817442079</v>
      </c>
      <c r="F503" s="786">
        <f t="shared" si="358"/>
        <v>16287.496175275666</v>
      </c>
      <c r="G503" s="786">
        <f t="shared" si="359"/>
        <v>17079.597061747627</v>
      </c>
      <c r="H503" s="786">
        <f t="shared" si="360"/>
        <v>17997.60949187716</v>
      </c>
      <c r="I503" s="786">
        <f t="shared" si="361"/>
        <v>18844.735497896745</v>
      </c>
      <c r="J503" s="786">
        <f t="shared" si="362"/>
        <v>18988.253474696379</v>
      </c>
      <c r="K503" s="786">
        <f t="shared" si="363"/>
        <v>18985.818041934384</v>
      </c>
      <c r="L503" s="786">
        <f t="shared" si="364"/>
        <v>18888.043406255503</v>
      </c>
      <c r="M503" s="786">
        <f t="shared" si="365"/>
        <v>18820.445650651021</v>
      </c>
      <c r="N503" s="786">
        <f t="shared" si="366"/>
        <v>18831.444980905355</v>
      </c>
    </row>
    <row r="504" spans="1:15" s="5" customFormat="1">
      <c r="A504" s="164"/>
      <c r="B504" s="138" t="str">
        <f t="shared" si="353"/>
        <v>Music</v>
      </c>
      <c r="C504" s="786">
        <f t="shared" si="355"/>
        <v>4904.9273411349068</v>
      </c>
      <c r="D504" s="786">
        <f t="shared" si="356"/>
        <v>4905.6884081415828</v>
      </c>
      <c r="E504" s="786">
        <f t="shared" si="357"/>
        <v>4936.8942963537083</v>
      </c>
      <c r="F504" s="786">
        <f t="shared" si="358"/>
        <v>4947.8830368581557</v>
      </c>
      <c r="G504" s="786">
        <f t="shared" si="359"/>
        <v>4938.2695900468534</v>
      </c>
      <c r="H504" s="786">
        <f t="shared" si="360"/>
        <v>4904.5414468728031</v>
      </c>
      <c r="I504" s="786">
        <f t="shared" si="361"/>
        <v>4911.8626688353197</v>
      </c>
      <c r="J504" s="786">
        <f t="shared" si="362"/>
        <v>4934.6959086103416</v>
      </c>
      <c r="K504" s="786">
        <f t="shared" si="363"/>
        <v>4914.7630584207764</v>
      </c>
      <c r="L504" s="786">
        <f t="shared" si="364"/>
        <v>4874.9516369784351</v>
      </c>
      <c r="M504" s="786">
        <f t="shared" si="365"/>
        <v>4869.9220491231645</v>
      </c>
      <c r="N504" s="786">
        <f t="shared" si="366"/>
        <v>4886.8729657369195</v>
      </c>
    </row>
    <row r="505" spans="1:15" s="5" customFormat="1">
      <c r="A505" s="164"/>
      <c r="B505" s="138" t="str">
        <f t="shared" si="353"/>
        <v>Others</v>
      </c>
      <c r="C505" s="786">
        <f t="shared" si="355"/>
        <v>14550.293967632919</v>
      </c>
      <c r="D505" s="786">
        <f t="shared" si="356"/>
        <v>14251.920699269211</v>
      </c>
      <c r="E505" s="786">
        <f t="shared" si="357"/>
        <v>14065.078167887123</v>
      </c>
      <c r="F505" s="786">
        <f t="shared" si="358"/>
        <v>14030.317032337452</v>
      </c>
      <c r="G505" s="786">
        <f t="shared" si="359"/>
        <v>14045.870398170566</v>
      </c>
      <c r="H505" s="786">
        <f t="shared" si="360"/>
        <v>14119.201417631559</v>
      </c>
      <c r="I505" s="786">
        <f t="shared" si="361"/>
        <v>14258.381206769927</v>
      </c>
      <c r="J505" s="786">
        <f t="shared" si="362"/>
        <v>14481.917321755587</v>
      </c>
      <c r="K505" s="786">
        <f t="shared" si="363"/>
        <v>14636.02191023418</v>
      </c>
      <c r="L505" s="786">
        <f t="shared" si="364"/>
        <v>14751.024385775532</v>
      </c>
      <c r="M505" s="786">
        <f t="shared" si="365"/>
        <v>14844.315007558034</v>
      </c>
      <c r="N505" s="786">
        <f t="shared" si="366"/>
        <v>14896.588766162022</v>
      </c>
    </row>
    <row r="506" spans="1:15" s="5" customFormat="1">
      <c r="A506" s="164"/>
      <c r="B506" s="138" t="str">
        <f t="shared" si="353"/>
        <v>Physical Education</v>
      </c>
      <c r="C506" s="786">
        <f t="shared" si="355"/>
        <v>15979.429914660472</v>
      </c>
      <c r="D506" s="786">
        <f t="shared" si="356"/>
        <v>15993.744868729163</v>
      </c>
      <c r="E506" s="786">
        <f t="shared" si="357"/>
        <v>16098.935454874991</v>
      </c>
      <c r="F506" s="786">
        <f t="shared" si="358"/>
        <v>16133.815984328219</v>
      </c>
      <c r="G506" s="786">
        <f t="shared" si="359"/>
        <v>16124.28976615158</v>
      </c>
      <c r="H506" s="786">
        <f t="shared" si="360"/>
        <v>16067.137664350746</v>
      </c>
      <c r="I506" s="786">
        <f t="shared" si="361"/>
        <v>16095.406789396848</v>
      </c>
      <c r="J506" s="786">
        <f t="shared" si="362"/>
        <v>16174.190822033645</v>
      </c>
      <c r="K506" s="786">
        <f t="shared" si="363"/>
        <v>16184.675274356194</v>
      </c>
      <c r="L506" s="786">
        <f t="shared" si="364"/>
        <v>16146.941136397138</v>
      </c>
      <c r="M506" s="786">
        <f t="shared" si="365"/>
        <v>16113.572845335833</v>
      </c>
      <c r="N506" s="786">
        <f t="shared" si="366"/>
        <v>16067.386363962323</v>
      </c>
    </row>
    <row r="507" spans="1:15" s="5" customFormat="1">
      <c r="A507" s="164"/>
      <c r="B507" s="138" t="str">
        <f t="shared" si="353"/>
        <v>Physics</v>
      </c>
      <c r="C507" s="786">
        <f t="shared" si="355"/>
        <v>10372.778329565868</v>
      </c>
      <c r="D507" s="786">
        <f t="shared" si="356"/>
        <v>10491.000123768641</v>
      </c>
      <c r="E507" s="786">
        <f t="shared" si="357"/>
        <v>10599.890518470991</v>
      </c>
      <c r="F507" s="786">
        <f t="shared" si="358"/>
        <v>10691.743215882894</v>
      </c>
      <c r="G507" s="786">
        <f t="shared" si="359"/>
        <v>10799.921537508108</v>
      </c>
      <c r="H507" s="786">
        <f t="shared" si="360"/>
        <v>10926.777435683209</v>
      </c>
      <c r="I507" s="786">
        <f t="shared" si="361"/>
        <v>11050.835544778112</v>
      </c>
      <c r="J507" s="786">
        <f t="shared" si="362"/>
        <v>11130.867405313287</v>
      </c>
      <c r="K507" s="786">
        <f t="shared" si="363"/>
        <v>11192.041829943473</v>
      </c>
      <c r="L507" s="786">
        <f t="shared" si="364"/>
        <v>11224.699711206435</v>
      </c>
      <c r="M507" s="786">
        <f t="shared" si="365"/>
        <v>11204.040024378774</v>
      </c>
      <c r="N507" s="786">
        <f t="shared" si="366"/>
        <v>11138.91331723883</v>
      </c>
    </row>
    <row r="508" spans="1:15" s="5" customFormat="1">
      <c r="A508" s="164"/>
      <c r="B508" s="138" t="str">
        <f t="shared" si="353"/>
        <v>Religious Education</v>
      </c>
      <c r="C508" s="786">
        <f t="shared" si="355"/>
        <v>7145.0442076751924</v>
      </c>
      <c r="D508" s="786">
        <f t="shared" si="356"/>
        <v>7140.7771890698768</v>
      </c>
      <c r="E508" s="786">
        <f t="shared" si="357"/>
        <v>7178.3788621976155</v>
      </c>
      <c r="F508" s="786">
        <f t="shared" si="358"/>
        <v>7191.6105258222506</v>
      </c>
      <c r="G508" s="786">
        <f t="shared" si="359"/>
        <v>7186.9438309747111</v>
      </c>
      <c r="H508" s="786">
        <f t="shared" si="360"/>
        <v>7162.953804317649</v>
      </c>
      <c r="I508" s="786">
        <f t="shared" si="361"/>
        <v>7178.693398684306</v>
      </c>
      <c r="J508" s="786">
        <f t="shared" si="362"/>
        <v>7218.5943246926208</v>
      </c>
      <c r="K508" s="786">
        <f t="shared" si="363"/>
        <v>7224.9848720260234</v>
      </c>
      <c r="L508" s="786">
        <f t="shared" si="364"/>
        <v>7209.3454679739834</v>
      </c>
      <c r="M508" s="786">
        <f t="shared" si="365"/>
        <v>7199.0775119215859</v>
      </c>
      <c r="N508" s="786">
        <f t="shared" si="366"/>
        <v>7185.3948742029625</v>
      </c>
    </row>
    <row r="509" spans="1:15" s="5" customFormat="1">
      <c r="A509" s="164"/>
      <c r="B509" s="138" t="str">
        <f t="shared" si="353"/>
        <v>Total</v>
      </c>
      <c r="C509" s="450">
        <f t="shared" ref="C509:N509" si="367">SUM(C490:C508)</f>
        <v>209669.88043101033</v>
      </c>
      <c r="D509" s="450">
        <f t="shared" si="367"/>
        <v>211662.18701288904</v>
      </c>
      <c r="E509" s="450">
        <f t="shared" si="367"/>
        <v>213837.12515133826</v>
      </c>
      <c r="F509" s="450">
        <f t="shared" si="367"/>
        <v>215642.13029335937</v>
      </c>
      <c r="G509" s="450">
        <f t="shared" si="367"/>
        <v>217550.04491680677</v>
      </c>
      <c r="H509" s="450">
        <f t="shared" si="367"/>
        <v>219543.04208540297</v>
      </c>
      <c r="I509" s="450">
        <f t="shared" si="367"/>
        <v>222110.4446241284</v>
      </c>
      <c r="J509" s="450">
        <f t="shared" si="367"/>
        <v>223696.53664320495</v>
      </c>
      <c r="K509" s="450">
        <f t="shared" si="367"/>
        <v>224294.03724985331</v>
      </c>
      <c r="L509" s="450">
        <f t="shared" si="367"/>
        <v>224174.0207204539</v>
      </c>
      <c r="M509" s="450">
        <f t="shared" si="367"/>
        <v>223910.29682978211</v>
      </c>
      <c r="N509" s="450">
        <f t="shared" si="367"/>
        <v>223466.13231801835</v>
      </c>
    </row>
    <row r="510" spans="1:15">
      <c r="A510" s="10">
        <f>O510</f>
        <v>0</v>
      </c>
      <c r="B510" s="12"/>
      <c r="C510" s="10">
        <f t="shared" ref="C510:N510" si="368">N15-C509</f>
        <v>0</v>
      </c>
      <c r="D510" s="10">
        <f t="shared" si="368"/>
        <v>0</v>
      </c>
      <c r="E510" s="10">
        <f t="shared" si="368"/>
        <v>0</v>
      </c>
      <c r="F510" s="10">
        <f t="shared" si="368"/>
        <v>0</v>
      </c>
      <c r="G510" s="10">
        <f t="shared" si="368"/>
        <v>0</v>
      </c>
      <c r="H510" s="10">
        <f t="shared" si="368"/>
        <v>0</v>
      </c>
      <c r="I510" s="10">
        <f t="shared" si="368"/>
        <v>0</v>
      </c>
      <c r="J510" s="10">
        <f t="shared" si="368"/>
        <v>0</v>
      </c>
      <c r="K510" s="10">
        <f t="shared" si="368"/>
        <v>0</v>
      </c>
      <c r="L510" s="10">
        <f t="shared" si="368"/>
        <v>0</v>
      </c>
      <c r="M510" s="10">
        <f t="shared" si="368"/>
        <v>0</v>
      </c>
      <c r="N510" s="10">
        <f t="shared" si="368"/>
        <v>0</v>
      </c>
      <c r="O510" s="10">
        <f>SUM(C510:N510)</f>
        <v>0</v>
      </c>
    </row>
    <row r="511" spans="1:15">
      <c r="B511" s="12"/>
      <c r="D511" s="12"/>
      <c r="E511" s="12"/>
      <c r="F511" s="12"/>
    </row>
    <row r="512" spans="1:15" ht="15.75">
      <c r="B512" s="141" t="s">
        <v>1192</v>
      </c>
      <c r="D512" s="12"/>
      <c r="E512" s="12"/>
      <c r="F512" s="12"/>
    </row>
    <row r="513" spans="1:14">
      <c r="B513" s="140"/>
    </row>
    <row r="514" spans="1:14">
      <c r="B514" s="260" t="s">
        <v>377</v>
      </c>
    </row>
    <row r="515" spans="1:14">
      <c r="B515" s="260"/>
    </row>
    <row r="516" spans="1:14">
      <c r="B516" s="261" t="s">
        <v>1655</v>
      </c>
      <c r="C516" s="147" t="s">
        <v>1656</v>
      </c>
      <c r="E516" s="256"/>
    </row>
    <row r="517" spans="1:14">
      <c r="B517" s="140"/>
    </row>
    <row r="518" spans="1:14">
      <c r="B518" s="259"/>
      <c r="C518" s="8" t="str">
        <f>C522</f>
        <v>2017/18</v>
      </c>
      <c r="D518" s="8" t="str">
        <f t="shared" ref="D518:N518" si="369">D522</f>
        <v>2018/19</v>
      </c>
      <c r="E518" s="8" t="str">
        <f t="shared" si="369"/>
        <v>2019/20</v>
      </c>
      <c r="F518" s="8" t="str">
        <f t="shared" si="369"/>
        <v>2020/21</v>
      </c>
      <c r="G518" s="8" t="str">
        <f t="shared" si="369"/>
        <v>2021/22</v>
      </c>
      <c r="H518" s="8" t="str">
        <f t="shared" si="369"/>
        <v>2022/23</v>
      </c>
      <c r="I518" s="8" t="str">
        <f t="shared" si="369"/>
        <v>2023/24</v>
      </c>
      <c r="J518" s="8" t="str">
        <f t="shared" si="369"/>
        <v>2024/25</v>
      </c>
      <c r="K518" s="8" t="str">
        <f t="shared" si="369"/>
        <v>2025/26</v>
      </c>
      <c r="L518" s="8" t="str">
        <f t="shared" si="369"/>
        <v>2026/27</v>
      </c>
      <c r="M518" s="8" t="str">
        <f t="shared" si="369"/>
        <v>2027/28</v>
      </c>
      <c r="N518" s="8" t="str">
        <f t="shared" si="369"/>
        <v>2028/29</v>
      </c>
    </row>
    <row r="519" spans="1:14" s="5" customFormat="1">
      <c r="A519" s="164"/>
      <c r="B519" s="165"/>
      <c r="C519" s="538">
        <f>0</f>
        <v>0</v>
      </c>
      <c r="D519" s="538">
        <f>0</f>
        <v>0</v>
      </c>
      <c r="E519" s="538">
        <f>0</f>
        <v>0</v>
      </c>
      <c r="F519" s="538">
        <f>0</f>
        <v>0</v>
      </c>
      <c r="G519" s="538">
        <f>0</f>
        <v>0</v>
      </c>
      <c r="H519" s="538">
        <f>0</f>
        <v>0</v>
      </c>
      <c r="I519" s="538">
        <f>0</f>
        <v>0</v>
      </c>
      <c r="J519" s="538">
        <f>0</f>
        <v>0</v>
      </c>
      <c r="K519" s="538">
        <f>0</f>
        <v>0</v>
      </c>
      <c r="L519" s="538">
        <f>0</f>
        <v>0</v>
      </c>
      <c r="M519" s="538">
        <f>0</f>
        <v>0</v>
      </c>
      <c r="N519" s="538">
        <f>0</f>
        <v>0</v>
      </c>
    </row>
    <row r="520" spans="1:14">
      <c r="B520" s="140"/>
    </row>
    <row r="521" spans="1:14">
      <c r="B521" s="140"/>
    </row>
    <row r="522" spans="1:14">
      <c r="B522" s="182" t="str">
        <f t="shared" ref="B522:N522" si="370">B489</f>
        <v>Subject</v>
      </c>
      <c r="C522" s="182" t="str">
        <f t="shared" si="370"/>
        <v>2017/18</v>
      </c>
      <c r="D522" s="182" t="str">
        <f t="shared" si="370"/>
        <v>2018/19</v>
      </c>
      <c r="E522" s="182" t="str">
        <f t="shared" si="370"/>
        <v>2019/20</v>
      </c>
      <c r="F522" s="182" t="str">
        <f t="shared" si="370"/>
        <v>2020/21</v>
      </c>
      <c r="G522" s="182" t="str">
        <f t="shared" si="370"/>
        <v>2021/22</v>
      </c>
      <c r="H522" s="182" t="str">
        <f t="shared" si="370"/>
        <v>2022/23</v>
      </c>
      <c r="I522" s="182" t="str">
        <f t="shared" si="370"/>
        <v>2023/24</v>
      </c>
      <c r="J522" s="182" t="str">
        <f t="shared" si="370"/>
        <v>2024/25</v>
      </c>
      <c r="K522" s="182" t="str">
        <f t="shared" si="370"/>
        <v>2025/26</v>
      </c>
      <c r="L522" s="182" t="str">
        <f t="shared" si="370"/>
        <v>2026/27</v>
      </c>
      <c r="M522" s="182" t="str">
        <f t="shared" si="370"/>
        <v>2027/28</v>
      </c>
      <c r="N522" s="182" t="str">
        <f t="shared" si="370"/>
        <v>2028/29</v>
      </c>
    </row>
    <row r="523" spans="1:14" s="5" customFormat="1">
      <c r="A523" s="164"/>
      <c r="B523" s="182" t="str">
        <f t="shared" ref="B523:N523" si="371">B490</f>
        <v>Art &amp; Design</v>
      </c>
      <c r="C523" s="405">
        <f t="shared" si="371"/>
        <v>7973.7824984012041</v>
      </c>
      <c r="D523" s="405">
        <f t="shared" si="371"/>
        <v>7945.3881390292399</v>
      </c>
      <c r="E523" s="405">
        <f t="shared" si="371"/>
        <v>7967.0775456993069</v>
      </c>
      <c r="F523" s="405">
        <f t="shared" si="371"/>
        <v>7977.5827938200509</v>
      </c>
      <c r="G523" s="405">
        <f t="shared" si="371"/>
        <v>7970.9823369783408</v>
      </c>
      <c r="H523" s="405">
        <f t="shared" si="371"/>
        <v>7945.1109819233316</v>
      </c>
      <c r="I523" s="405">
        <f t="shared" si="371"/>
        <v>7970.4356962480797</v>
      </c>
      <c r="J523" s="405">
        <f t="shared" si="371"/>
        <v>8025.0214444196199</v>
      </c>
      <c r="K523" s="405">
        <f t="shared" si="371"/>
        <v>8030.3604596547202</v>
      </c>
      <c r="L523" s="405">
        <f t="shared" si="371"/>
        <v>8008.7965768556896</v>
      </c>
      <c r="M523" s="405">
        <f t="shared" si="371"/>
        <v>8008.7548384956654</v>
      </c>
      <c r="N523" s="405">
        <f t="shared" si="371"/>
        <v>8016.3015626760698</v>
      </c>
    </row>
    <row r="524" spans="1:14" s="5" customFormat="1">
      <c r="A524" s="164"/>
      <c r="B524" s="182" t="str">
        <f t="shared" ref="B524:N524" si="372">B491</f>
        <v>Biology</v>
      </c>
      <c r="C524" s="405">
        <f t="shared" si="372"/>
        <v>12036.149391750607</v>
      </c>
      <c r="D524" s="405">
        <f t="shared" si="372"/>
        <v>12145.768748974175</v>
      </c>
      <c r="E524" s="405">
        <f t="shared" si="372"/>
        <v>12254.839430985818</v>
      </c>
      <c r="F524" s="405">
        <f t="shared" si="372"/>
        <v>12353.579383977079</v>
      </c>
      <c r="G524" s="405">
        <f t="shared" si="372"/>
        <v>12471.549348214689</v>
      </c>
      <c r="H524" s="405">
        <f t="shared" si="372"/>
        <v>12610.827527395571</v>
      </c>
      <c r="I524" s="405">
        <f t="shared" si="372"/>
        <v>12758.897834117577</v>
      </c>
      <c r="J524" s="405">
        <f t="shared" si="372"/>
        <v>12860.091325696105</v>
      </c>
      <c r="K524" s="405">
        <f t="shared" si="372"/>
        <v>12927.24024971867</v>
      </c>
      <c r="L524" s="405">
        <f t="shared" si="372"/>
        <v>12959.010299385773</v>
      </c>
      <c r="M524" s="405">
        <f t="shared" si="372"/>
        <v>12945.809287239337</v>
      </c>
      <c r="N524" s="405">
        <f t="shared" si="372"/>
        <v>12893.104617660107</v>
      </c>
    </row>
    <row r="525" spans="1:14" s="5" customFormat="1">
      <c r="A525" s="164"/>
      <c r="B525" s="182" t="str">
        <f t="shared" ref="B525:N525" si="373">B492</f>
        <v>Business Studies</v>
      </c>
      <c r="C525" s="405">
        <f t="shared" si="373"/>
        <v>3977.8972446659877</v>
      </c>
      <c r="D525" s="405">
        <f t="shared" si="373"/>
        <v>3892.3295338487728</v>
      </c>
      <c r="E525" s="405">
        <f t="shared" si="373"/>
        <v>3835.9837547508914</v>
      </c>
      <c r="F525" s="405">
        <f t="shared" si="373"/>
        <v>3825.4850401536301</v>
      </c>
      <c r="G525" s="405">
        <f t="shared" si="373"/>
        <v>3836.785906951859</v>
      </c>
      <c r="H525" s="405">
        <f t="shared" si="373"/>
        <v>3874.2017894462624</v>
      </c>
      <c r="I525" s="405">
        <f t="shared" si="373"/>
        <v>3917.0539804057485</v>
      </c>
      <c r="J525" s="405">
        <f t="shared" si="373"/>
        <v>3982.9872914515149</v>
      </c>
      <c r="K525" s="405">
        <f t="shared" si="373"/>
        <v>4047.2404140145018</v>
      </c>
      <c r="L525" s="405">
        <f t="shared" si="373"/>
        <v>4104.9486965340002</v>
      </c>
      <c r="M525" s="405">
        <f t="shared" si="373"/>
        <v>4129.1679973221253</v>
      </c>
      <c r="N525" s="405">
        <f t="shared" si="373"/>
        <v>4120.6874383200357</v>
      </c>
    </row>
    <row r="526" spans="1:14" s="5" customFormat="1">
      <c r="A526" s="164"/>
      <c r="B526" s="182" t="str">
        <f t="shared" ref="B526:N526" si="374">B493</f>
        <v>Chemistry</v>
      </c>
      <c r="C526" s="405">
        <f t="shared" si="374"/>
        <v>10643.772799151991</v>
      </c>
      <c r="D526" s="405">
        <f t="shared" si="374"/>
        <v>10747.952905055356</v>
      </c>
      <c r="E526" s="405">
        <f t="shared" si="374"/>
        <v>10845.867461315709</v>
      </c>
      <c r="F526" s="405">
        <f t="shared" si="374"/>
        <v>10934.39766884147</v>
      </c>
      <c r="G526" s="405">
        <f t="shared" si="374"/>
        <v>11043.050232156413</v>
      </c>
      <c r="H526" s="405">
        <f t="shared" si="374"/>
        <v>11174.606880318423</v>
      </c>
      <c r="I526" s="405">
        <f t="shared" si="374"/>
        <v>11304.460610516528</v>
      </c>
      <c r="J526" s="405">
        <f t="shared" si="374"/>
        <v>11393.853887975609</v>
      </c>
      <c r="K526" s="405">
        <f t="shared" si="374"/>
        <v>11462.301846069928</v>
      </c>
      <c r="L526" s="405">
        <f t="shared" si="374"/>
        <v>11501.55752145027</v>
      </c>
      <c r="M526" s="405">
        <f t="shared" si="374"/>
        <v>11487.072941756487</v>
      </c>
      <c r="N526" s="405">
        <f t="shared" si="374"/>
        <v>11426.966008584966</v>
      </c>
    </row>
    <row r="527" spans="1:14" s="5" customFormat="1">
      <c r="A527" s="164"/>
      <c r="B527" s="182" t="str">
        <f t="shared" ref="B527:N527" si="375">B494</f>
        <v>Classics</v>
      </c>
      <c r="C527" s="405">
        <f t="shared" si="375"/>
        <v>298.39329447975808</v>
      </c>
      <c r="D527" s="405">
        <f t="shared" si="375"/>
        <v>295.60963670042617</v>
      </c>
      <c r="E527" s="405">
        <f t="shared" si="375"/>
        <v>295.07780413788191</v>
      </c>
      <c r="F527" s="405">
        <f t="shared" si="375"/>
        <v>296.48192261657937</v>
      </c>
      <c r="G527" s="405">
        <f t="shared" si="375"/>
        <v>298.71822439603972</v>
      </c>
      <c r="H527" s="405">
        <f t="shared" si="375"/>
        <v>301.83932410921295</v>
      </c>
      <c r="I527" s="405">
        <f t="shared" si="375"/>
        <v>305.96186186628057</v>
      </c>
      <c r="J527" s="405">
        <f t="shared" si="375"/>
        <v>309.64905626607714</v>
      </c>
      <c r="K527" s="405">
        <f t="shared" si="375"/>
        <v>311.66457697053562</v>
      </c>
      <c r="L527" s="405">
        <f t="shared" si="375"/>
        <v>312.69229343133583</v>
      </c>
      <c r="M527" s="405">
        <f t="shared" si="375"/>
        <v>313.65081958905529</v>
      </c>
      <c r="N527" s="405">
        <f t="shared" si="375"/>
        <v>314.31000415471016</v>
      </c>
    </row>
    <row r="528" spans="1:14" s="5" customFormat="1">
      <c r="A528" s="164"/>
      <c r="B528" s="182" t="str">
        <f t="shared" ref="B528:N528" si="376">B495</f>
        <v>Computing</v>
      </c>
      <c r="C528" s="405">
        <f t="shared" si="376"/>
        <v>6786.6107258960601</v>
      </c>
      <c r="D528" s="405">
        <f t="shared" si="376"/>
        <v>6759.6506351877524</v>
      </c>
      <c r="E528" s="405">
        <f t="shared" si="376"/>
        <v>6774.4698032205451</v>
      </c>
      <c r="F528" s="405">
        <f t="shared" si="376"/>
        <v>6782.1490261106528</v>
      </c>
      <c r="G528" s="405">
        <f t="shared" si="376"/>
        <v>6779.9099621790219</v>
      </c>
      <c r="H528" s="405">
        <f t="shared" si="376"/>
        <v>6767.2896719303717</v>
      </c>
      <c r="I528" s="405">
        <f t="shared" si="376"/>
        <v>6790.8919891489504</v>
      </c>
      <c r="J528" s="405">
        <f t="shared" si="376"/>
        <v>6840.1517058511909</v>
      </c>
      <c r="K528" s="405">
        <f t="shared" si="376"/>
        <v>6858.0403329620931</v>
      </c>
      <c r="L528" s="405">
        <f t="shared" si="376"/>
        <v>6855.5886295236924</v>
      </c>
      <c r="M528" s="405">
        <f t="shared" si="376"/>
        <v>6854.7860190160154</v>
      </c>
      <c r="N528" s="405">
        <f t="shared" si="376"/>
        <v>6847.3706687171361</v>
      </c>
    </row>
    <row r="529" spans="1:14" s="5" customFormat="1">
      <c r="A529" s="164"/>
      <c r="B529" s="182" t="str">
        <f t="shared" ref="B529:N529" si="377">B496</f>
        <v>Design &amp; Technology</v>
      </c>
      <c r="C529" s="405">
        <f t="shared" si="377"/>
        <v>9710.4883840981493</v>
      </c>
      <c r="D529" s="405">
        <f t="shared" si="377"/>
        <v>9717.255310983086</v>
      </c>
      <c r="E529" s="405">
        <f t="shared" si="377"/>
        <v>9782.2317861559168</v>
      </c>
      <c r="F529" s="405">
        <f t="shared" si="377"/>
        <v>9804.069047783174</v>
      </c>
      <c r="G529" s="405">
        <f t="shared" si="377"/>
        <v>9788.8652744392075</v>
      </c>
      <c r="H529" s="405">
        <f t="shared" si="377"/>
        <v>9731.2871828007883</v>
      </c>
      <c r="I529" s="405">
        <f t="shared" si="377"/>
        <v>9745.1810779981643</v>
      </c>
      <c r="J529" s="405">
        <f t="shared" si="377"/>
        <v>9789.7887906103388</v>
      </c>
      <c r="K529" s="405">
        <f t="shared" si="377"/>
        <v>9764.6715461165913</v>
      </c>
      <c r="L529" s="405">
        <f t="shared" si="377"/>
        <v>9703.6342924216715</v>
      </c>
      <c r="M529" s="405">
        <f t="shared" si="377"/>
        <v>9688.9530737087989</v>
      </c>
      <c r="N529" s="405">
        <f t="shared" si="377"/>
        <v>9700.3997302921489</v>
      </c>
    </row>
    <row r="530" spans="1:14" s="5" customFormat="1">
      <c r="A530" s="164"/>
      <c r="B530" s="182" t="str">
        <f t="shared" ref="B530:N530" si="378">B497</f>
        <v>Drama</v>
      </c>
      <c r="C530" s="405">
        <f t="shared" si="378"/>
        <v>4872.1271109115378</v>
      </c>
      <c r="D530" s="405">
        <f t="shared" si="378"/>
        <v>4863.04244064266</v>
      </c>
      <c r="E530" s="405">
        <f t="shared" si="378"/>
        <v>4884.2993908287981</v>
      </c>
      <c r="F530" s="405">
        <f t="shared" si="378"/>
        <v>4892.8664376847119</v>
      </c>
      <c r="G530" s="405">
        <f t="shared" si="378"/>
        <v>4886.9364607383068</v>
      </c>
      <c r="H530" s="405">
        <f t="shared" si="378"/>
        <v>4864.3445991764611</v>
      </c>
      <c r="I530" s="405">
        <f t="shared" si="378"/>
        <v>4876.5202360556859</v>
      </c>
      <c r="J530" s="405">
        <f t="shared" si="378"/>
        <v>4905.2585844093182</v>
      </c>
      <c r="K530" s="405">
        <f t="shared" si="378"/>
        <v>4899.402566734112</v>
      </c>
      <c r="L530" s="405">
        <f t="shared" si="378"/>
        <v>4875.8642958872488</v>
      </c>
      <c r="M530" s="405">
        <f t="shared" si="378"/>
        <v>4873.4081570784738</v>
      </c>
      <c r="N530" s="405">
        <f t="shared" si="378"/>
        <v>4882.0259515703856</v>
      </c>
    </row>
    <row r="531" spans="1:14" s="5" customFormat="1">
      <c r="A531" s="164"/>
      <c r="B531" s="182" t="str">
        <f t="shared" ref="B531:N531" si="379">B498</f>
        <v>English</v>
      </c>
      <c r="C531" s="405">
        <f t="shared" si="379"/>
        <v>30957.006377274411</v>
      </c>
      <c r="D531" s="405">
        <f t="shared" si="379"/>
        <v>31774.07117015728</v>
      </c>
      <c r="E531" s="405">
        <f t="shared" si="379"/>
        <v>32198.36610399064</v>
      </c>
      <c r="F531" s="405">
        <f t="shared" si="379"/>
        <v>32511.055251280977</v>
      </c>
      <c r="G531" s="405">
        <f t="shared" si="379"/>
        <v>32825.390242801564</v>
      </c>
      <c r="H531" s="405">
        <f t="shared" si="379"/>
        <v>33139.022987098506</v>
      </c>
      <c r="I531" s="405">
        <f t="shared" si="379"/>
        <v>33501.939790376935</v>
      </c>
      <c r="J531" s="405">
        <f t="shared" si="379"/>
        <v>33688.825834158408</v>
      </c>
      <c r="K531" s="405">
        <f t="shared" si="379"/>
        <v>33766.500612555159</v>
      </c>
      <c r="L531" s="405">
        <f t="shared" si="379"/>
        <v>33742.768694301078</v>
      </c>
      <c r="M531" s="405">
        <f t="shared" si="379"/>
        <v>33648.812451439466</v>
      </c>
      <c r="N531" s="405">
        <f t="shared" si="379"/>
        <v>33495.645121930349</v>
      </c>
    </row>
    <row r="532" spans="1:14" s="5" customFormat="1">
      <c r="A532" s="164"/>
      <c r="B532" s="182" t="str">
        <f t="shared" ref="B532:N532" si="380">B499</f>
        <v>Food</v>
      </c>
      <c r="C532" s="405">
        <f t="shared" si="380"/>
        <v>2023.8461181037446</v>
      </c>
      <c r="D532" s="405">
        <f t="shared" si="380"/>
        <v>2027.2422207080306</v>
      </c>
      <c r="E532" s="405">
        <f t="shared" si="380"/>
        <v>2041.2231426117582</v>
      </c>
      <c r="F532" s="405">
        <f t="shared" si="380"/>
        <v>2045.3454959601211</v>
      </c>
      <c r="G532" s="405">
        <f t="shared" si="380"/>
        <v>2045.8114213652541</v>
      </c>
      <c r="H532" s="405">
        <f t="shared" si="380"/>
        <v>2043.0121779732874</v>
      </c>
      <c r="I532" s="405">
        <f t="shared" si="380"/>
        <v>2046.4132574823579</v>
      </c>
      <c r="J532" s="405">
        <f t="shared" si="380"/>
        <v>2056.486003748415</v>
      </c>
      <c r="K532" s="405">
        <f t="shared" si="380"/>
        <v>2065.0079983499681</v>
      </c>
      <c r="L532" s="405">
        <f t="shared" si="380"/>
        <v>2069.0796038288022</v>
      </c>
      <c r="M532" s="405">
        <f t="shared" si="380"/>
        <v>2062.9406973086402</v>
      </c>
      <c r="N532" s="405">
        <f t="shared" si="380"/>
        <v>2046.8188534556305</v>
      </c>
    </row>
    <row r="533" spans="1:14" s="5" customFormat="1">
      <c r="A533" s="164"/>
      <c r="B533" s="182" t="str">
        <f t="shared" ref="B533:N533" si="381">B500</f>
        <v>Geography</v>
      </c>
      <c r="C533" s="405">
        <f t="shared" si="381"/>
        <v>10559.787253850564</v>
      </c>
      <c r="D533" s="405">
        <f t="shared" si="381"/>
        <v>10668.184586460404</v>
      </c>
      <c r="E533" s="405">
        <f t="shared" si="381"/>
        <v>10791.44445149007</v>
      </c>
      <c r="F533" s="405">
        <f t="shared" si="381"/>
        <v>10890.914981032376</v>
      </c>
      <c r="G533" s="405">
        <f t="shared" si="381"/>
        <v>10982.775741067133</v>
      </c>
      <c r="H533" s="405">
        <f t="shared" si="381"/>
        <v>11063.531697566756</v>
      </c>
      <c r="I533" s="405">
        <f t="shared" si="381"/>
        <v>11189.765775577254</v>
      </c>
      <c r="J533" s="405">
        <f t="shared" si="381"/>
        <v>11255.498404342954</v>
      </c>
      <c r="K533" s="405">
        <f t="shared" si="381"/>
        <v>11256.398976912798</v>
      </c>
      <c r="L533" s="405">
        <f t="shared" si="381"/>
        <v>11216.92703957411</v>
      </c>
      <c r="M533" s="405">
        <f t="shared" si="381"/>
        <v>11196.176136811102</v>
      </c>
      <c r="N533" s="405">
        <f t="shared" si="381"/>
        <v>11187.638651342153</v>
      </c>
    </row>
    <row r="534" spans="1:14" s="5" customFormat="1">
      <c r="A534" s="164"/>
      <c r="B534" s="182" t="str">
        <f>B501</f>
        <v>History</v>
      </c>
      <c r="C534" s="405">
        <f>C501</f>
        <v>11246.734953441399</v>
      </c>
      <c r="D534" s="405">
        <f t="shared" ref="D534:N534" si="382">D501</f>
        <v>11347.832265482877</v>
      </c>
      <c r="E534" s="405">
        <f t="shared" si="382"/>
        <v>11465.798341152407</v>
      </c>
      <c r="F534" s="405">
        <f t="shared" si="382"/>
        <v>11567.161962626466</v>
      </c>
      <c r="G534" s="405">
        <f t="shared" si="382"/>
        <v>11664.376668735726</v>
      </c>
      <c r="H534" s="405">
        <f t="shared" si="382"/>
        <v>11754.35453497635</v>
      </c>
      <c r="I534" s="405">
        <f t="shared" si="382"/>
        <v>11890.601899839419</v>
      </c>
      <c r="J534" s="405">
        <f t="shared" si="382"/>
        <v>11966.8419214643</v>
      </c>
      <c r="K534" s="405">
        <f t="shared" si="382"/>
        <v>11975.73117452537</v>
      </c>
      <c r="L534" s="405">
        <f t="shared" si="382"/>
        <v>11942.393981498482</v>
      </c>
      <c r="M534" s="405">
        <f t="shared" si="382"/>
        <v>11925.168484607424</v>
      </c>
      <c r="N534" s="405">
        <f t="shared" si="382"/>
        <v>11917.387558909948</v>
      </c>
    </row>
    <row r="535" spans="1:14" s="5" customFormat="1">
      <c r="A535" s="164"/>
      <c r="B535" s="182" t="str">
        <f t="shared" ref="B535:B542" si="383">B502</f>
        <v>Mathematics</v>
      </c>
      <c r="C535" s="405">
        <f>C502</f>
        <v>31127.045369971704</v>
      </c>
      <c r="D535" s="405">
        <f t="shared" ref="D535:N535" si="384">D502</f>
        <v>31661.10404713971</v>
      </c>
      <c r="E535" s="405">
        <f t="shared" si="384"/>
        <v>32191.255017772</v>
      </c>
      <c r="F535" s="405">
        <f t="shared" si="384"/>
        <v>32478.175310967425</v>
      </c>
      <c r="G535" s="405">
        <f t="shared" si="384"/>
        <v>32780.000912183772</v>
      </c>
      <c r="H535" s="405">
        <f t="shared" si="384"/>
        <v>33095.391469954506</v>
      </c>
      <c r="I535" s="405">
        <f t="shared" si="384"/>
        <v>33472.405508134143</v>
      </c>
      <c r="J535" s="405">
        <f t="shared" si="384"/>
        <v>33693.563135709235</v>
      </c>
      <c r="K535" s="405">
        <f t="shared" si="384"/>
        <v>33791.171508353844</v>
      </c>
      <c r="L535" s="405">
        <f t="shared" si="384"/>
        <v>33785.753051174739</v>
      </c>
      <c r="M535" s="405">
        <f t="shared" si="384"/>
        <v>33724.222836441098</v>
      </c>
      <c r="N535" s="405">
        <f t="shared" si="384"/>
        <v>33610.874882196294</v>
      </c>
    </row>
    <row r="536" spans="1:14" s="5" customFormat="1">
      <c r="A536" s="164"/>
      <c r="B536" s="182" t="str">
        <f t="shared" si="383"/>
        <v>Modern Foreign Languages</v>
      </c>
      <c r="C536" s="405">
        <f t="shared" ref="C536:N536" si="385">C503</f>
        <v>14503.765148343891</v>
      </c>
      <c r="D536" s="405">
        <f t="shared" si="385"/>
        <v>15033.624083540786</v>
      </c>
      <c r="E536" s="405">
        <f t="shared" si="385"/>
        <v>15630.013817442079</v>
      </c>
      <c r="F536" s="405">
        <f t="shared" si="385"/>
        <v>16287.496175275666</v>
      </c>
      <c r="G536" s="405">
        <f t="shared" si="385"/>
        <v>17079.597061747627</v>
      </c>
      <c r="H536" s="405">
        <f t="shared" si="385"/>
        <v>17997.60949187716</v>
      </c>
      <c r="I536" s="405">
        <f t="shared" si="385"/>
        <v>18844.735497896745</v>
      </c>
      <c r="J536" s="405">
        <f t="shared" si="385"/>
        <v>18988.253474696379</v>
      </c>
      <c r="K536" s="405">
        <f t="shared" si="385"/>
        <v>18985.818041934384</v>
      </c>
      <c r="L536" s="405">
        <f t="shared" si="385"/>
        <v>18888.043406255503</v>
      </c>
      <c r="M536" s="405">
        <f t="shared" si="385"/>
        <v>18820.445650651021</v>
      </c>
      <c r="N536" s="405">
        <f t="shared" si="385"/>
        <v>18831.444980905355</v>
      </c>
    </row>
    <row r="537" spans="1:14" s="5" customFormat="1">
      <c r="A537" s="164"/>
      <c r="B537" s="182" t="str">
        <f t="shared" si="383"/>
        <v>Music</v>
      </c>
      <c r="C537" s="405">
        <f t="shared" ref="C537:N537" si="386">C504</f>
        <v>4904.9273411349068</v>
      </c>
      <c r="D537" s="405">
        <f t="shared" si="386"/>
        <v>4905.6884081415828</v>
      </c>
      <c r="E537" s="405">
        <f t="shared" si="386"/>
        <v>4936.8942963537083</v>
      </c>
      <c r="F537" s="405">
        <f t="shared" si="386"/>
        <v>4947.8830368581557</v>
      </c>
      <c r="G537" s="405">
        <f t="shared" si="386"/>
        <v>4938.2695900468534</v>
      </c>
      <c r="H537" s="405">
        <f t="shared" si="386"/>
        <v>4904.5414468728031</v>
      </c>
      <c r="I537" s="405">
        <f t="shared" si="386"/>
        <v>4911.8626688353197</v>
      </c>
      <c r="J537" s="405">
        <f t="shared" si="386"/>
        <v>4934.6959086103416</v>
      </c>
      <c r="K537" s="405">
        <f t="shared" si="386"/>
        <v>4914.7630584207764</v>
      </c>
      <c r="L537" s="405">
        <f t="shared" si="386"/>
        <v>4874.9516369784351</v>
      </c>
      <c r="M537" s="405">
        <f t="shared" si="386"/>
        <v>4869.9220491231645</v>
      </c>
      <c r="N537" s="405">
        <f t="shared" si="386"/>
        <v>4886.8729657369195</v>
      </c>
    </row>
    <row r="538" spans="1:14" s="5" customFormat="1">
      <c r="A538" s="164"/>
      <c r="B538" s="182" t="str">
        <f t="shared" si="383"/>
        <v>Others</v>
      </c>
      <c r="C538" s="405">
        <f t="shared" ref="C538:N538" si="387">C505</f>
        <v>14550.293967632919</v>
      </c>
      <c r="D538" s="405">
        <f t="shared" si="387"/>
        <v>14251.920699269211</v>
      </c>
      <c r="E538" s="405">
        <f t="shared" si="387"/>
        <v>14065.078167887123</v>
      </c>
      <c r="F538" s="405">
        <f t="shared" si="387"/>
        <v>14030.317032337452</v>
      </c>
      <c r="G538" s="405">
        <f t="shared" si="387"/>
        <v>14045.870398170566</v>
      </c>
      <c r="H538" s="405">
        <f t="shared" si="387"/>
        <v>14119.201417631559</v>
      </c>
      <c r="I538" s="405">
        <f t="shared" si="387"/>
        <v>14258.381206769927</v>
      </c>
      <c r="J538" s="405">
        <f t="shared" si="387"/>
        <v>14481.917321755587</v>
      </c>
      <c r="K538" s="405">
        <f t="shared" si="387"/>
        <v>14636.02191023418</v>
      </c>
      <c r="L538" s="405">
        <f t="shared" si="387"/>
        <v>14751.024385775532</v>
      </c>
      <c r="M538" s="405">
        <f t="shared" si="387"/>
        <v>14844.315007558034</v>
      </c>
      <c r="N538" s="405">
        <f t="shared" si="387"/>
        <v>14896.588766162022</v>
      </c>
    </row>
    <row r="539" spans="1:14" s="5" customFormat="1">
      <c r="A539" s="164"/>
      <c r="B539" s="182" t="str">
        <f t="shared" si="383"/>
        <v>Physical Education</v>
      </c>
      <c r="C539" s="405">
        <f t="shared" ref="C539:N539" si="388">C506</f>
        <v>15979.429914660472</v>
      </c>
      <c r="D539" s="405">
        <f t="shared" si="388"/>
        <v>15993.744868729163</v>
      </c>
      <c r="E539" s="405">
        <f t="shared" si="388"/>
        <v>16098.935454874991</v>
      </c>
      <c r="F539" s="405">
        <f t="shared" si="388"/>
        <v>16133.815984328219</v>
      </c>
      <c r="G539" s="405">
        <f t="shared" si="388"/>
        <v>16124.28976615158</v>
      </c>
      <c r="H539" s="405">
        <f t="shared" si="388"/>
        <v>16067.137664350746</v>
      </c>
      <c r="I539" s="405">
        <f t="shared" si="388"/>
        <v>16095.406789396848</v>
      </c>
      <c r="J539" s="405">
        <f t="shared" si="388"/>
        <v>16174.190822033645</v>
      </c>
      <c r="K539" s="405">
        <f t="shared" si="388"/>
        <v>16184.675274356194</v>
      </c>
      <c r="L539" s="405">
        <f t="shared" si="388"/>
        <v>16146.941136397138</v>
      </c>
      <c r="M539" s="405">
        <f t="shared" si="388"/>
        <v>16113.572845335833</v>
      </c>
      <c r="N539" s="405">
        <f t="shared" si="388"/>
        <v>16067.386363962323</v>
      </c>
    </row>
    <row r="540" spans="1:14" s="5" customFormat="1">
      <c r="A540" s="164"/>
      <c r="B540" s="182" t="str">
        <f t="shared" si="383"/>
        <v>Physics</v>
      </c>
      <c r="C540" s="405">
        <f t="shared" ref="C540:N540" si="389">C507</f>
        <v>10372.778329565868</v>
      </c>
      <c r="D540" s="405">
        <f t="shared" si="389"/>
        <v>10491.000123768641</v>
      </c>
      <c r="E540" s="405">
        <f t="shared" si="389"/>
        <v>10599.890518470991</v>
      </c>
      <c r="F540" s="405">
        <f t="shared" si="389"/>
        <v>10691.743215882894</v>
      </c>
      <c r="G540" s="405">
        <f t="shared" si="389"/>
        <v>10799.921537508108</v>
      </c>
      <c r="H540" s="405">
        <f t="shared" si="389"/>
        <v>10926.777435683209</v>
      </c>
      <c r="I540" s="405">
        <f t="shared" si="389"/>
        <v>11050.835544778112</v>
      </c>
      <c r="J540" s="405">
        <f t="shared" si="389"/>
        <v>11130.867405313287</v>
      </c>
      <c r="K540" s="405">
        <f t="shared" si="389"/>
        <v>11192.041829943473</v>
      </c>
      <c r="L540" s="405">
        <f t="shared" si="389"/>
        <v>11224.699711206435</v>
      </c>
      <c r="M540" s="405">
        <f t="shared" si="389"/>
        <v>11204.040024378774</v>
      </c>
      <c r="N540" s="405">
        <f t="shared" si="389"/>
        <v>11138.91331723883</v>
      </c>
    </row>
    <row r="541" spans="1:14" s="5" customFormat="1">
      <c r="A541" s="164"/>
      <c r="B541" s="182" t="str">
        <f t="shared" si="383"/>
        <v>Religious Education</v>
      </c>
      <c r="C541" s="405">
        <f t="shared" ref="C541:N541" si="390">C508</f>
        <v>7145.0442076751924</v>
      </c>
      <c r="D541" s="405">
        <f t="shared" si="390"/>
        <v>7140.7771890698768</v>
      </c>
      <c r="E541" s="405">
        <f t="shared" si="390"/>
        <v>7178.3788621976155</v>
      </c>
      <c r="F541" s="405">
        <f t="shared" si="390"/>
        <v>7191.6105258222506</v>
      </c>
      <c r="G541" s="405">
        <f t="shared" si="390"/>
        <v>7186.9438309747111</v>
      </c>
      <c r="H541" s="405">
        <f t="shared" si="390"/>
        <v>7162.953804317649</v>
      </c>
      <c r="I541" s="405">
        <f t="shared" si="390"/>
        <v>7178.693398684306</v>
      </c>
      <c r="J541" s="405">
        <f t="shared" si="390"/>
        <v>7218.5943246926208</v>
      </c>
      <c r="K541" s="405">
        <f t="shared" si="390"/>
        <v>7224.9848720260234</v>
      </c>
      <c r="L541" s="405">
        <f t="shared" si="390"/>
        <v>7209.3454679739834</v>
      </c>
      <c r="M541" s="405">
        <f t="shared" si="390"/>
        <v>7199.0775119215859</v>
      </c>
      <c r="N541" s="405">
        <f t="shared" si="390"/>
        <v>7185.3948742029625</v>
      </c>
    </row>
    <row r="542" spans="1:14" s="5" customFormat="1">
      <c r="A542" s="164"/>
      <c r="B542" s="182" t="str">
        <f t="shared" si="383"/>
        <v>Total</v>
      </c>
      <c r="C542" s="450">
        <f>SUM(C523:C541)</f>
        <v>209669.88043101033</v>
      </c>
      <c r="D542" s="450">
        <f t="shared" ref="D542:N542" si="391">SUM(D523:D541)</f>
        <v>211662.18701288904</v>
      </c>
      <c r="E542" s="450">
        <f t="shared" si="391"/>
        <v>213837.12515133826</v>
      </c>
      <c r="F542" s="450">
        <f t="shared" si="391"/>
        <v>215642.13029335937</v>
      </c>
      <c r="G542" s="450">
        <f t="shared" si="391"/>
        <v>217550.04491680677</v>
      </c>
      <c r="H542" s="450">
        <f t="shared" si="391"/>
        <v>219543.04208540297</v>
      </c>
      <c r="I542" s="450">
        <f t="shared" si="391"/>
        <v>222110.4446241284</v>
      </c>
      <c r="J542" s="450">
        <f t="shared" si="391"/>
        <v>223696.53664320495</v>
      </c>
      <c r="K542" s="450">
        <f t="shared" si="391"/>
        <v>224294.03724985331</v>
      </c>
      <c r="L542" s="450">
        <f t="shared" si="391"/>
        <v>224174.0207204539</v>
      </c>
      <c r="M542" s="450">
        <f t="shared" si="391"/>
        <v>223910.29682978211</v>
      </c>
      <c r="N542" s="450">
        <f t="shared" si="391"/>
        <v>223466.13231801835</v>
      </c>
    </row>
    <row r="543" spans="1:14">
      <c r="A543" s="257">
        <f>SUM(C543:N543)</f>
        <v>0</v>
      </c>
      <c r="C543" s="10">
        <f t="shared" ref="C543:N543" si="392">SUM(C523:C541)-C542</f>
        <v>0</v>
      </c>
      <c r="D543" s="10">
        <f t="shared" si="392"/>
        <v>0</v>
      </c>
      <c r="E543" s="10">
        <f t="shared" si="392"/>
        <v>0</v>
      </c>
      <c r="F543" s="10">
        <f t="shared" si="392"/>
        <v>0</v>
      </c>
      <c r="G543" s="10">
        <f t="shared" si="392"/>
        <v>0</v>
      </c>
      <c r="H543" s="10">
        <f t="shared" si="392"/>
        <v>0</v>
      </c>
      <c r="I543" s="10">
        <f t="shared" si="392"/>
        <v>0</v>
      </c>
      <c r="J543" s="10">
        <f t="shared" si="392"/>
        <v>0</v>
      </c>
      <c r="K543" s="10">
        <f t="shared" si="392"/>
        <v>0</v>
      </c>
      <c r="L543" s="10">
        <f t="shared" si="392"/>
        <v>0</v>
      </c>
      <c r="M543" s="10">
        <f t="shared" si="392"/>
        <v>0</v>
      </c>
      <c r="N543" s="10">
        <f t="shared" si="392"/>
        <v>0</v>
      </c>
    </row>
    <row r="544" spans="1:14">
      <c r="B544" s="12"/>
    </row>
    <row r="545" spans="1:3" ht="15.75">
      <c r="B545" s="141" t="s">
        <v>1190</v>
      </c>
    </row>
    <row r="546" spans="1:3">
      <c r="B546" s="74"/>
    </row>
    <row r="547" spans="1:3">
      <c r="B547" s="75" t="s">
        <v>189</v>
      </c>
    </row>
    <row r="548" spans="1:3">
      <c r="B548" s="12"/>
    </row>
    <row r="549" spans="1:3">
      <c r="B549" s="138" t="str">
        <f t="shared" ref="B549:B568" si="393">B489</f>
        <v>Subject</v>
      </c>
      <c r="C549" s="8" t="s">
        <v>88</v>
      </c>
    </row>
    <row r="550" spans="1:3" s="5" customFormat="1">
      <c r="A550" s="164"/>
      <c r="B550" s="138" t="str">
        <f t="shared" si="393"/>
        <v>Art &amp; Design</v>
      </c>
      <c r="C550" s="255">
        <f>Stock_calculations!C44</f>
        <v>0.93100000000000005</v>
      </c>
    </row>
    <row r="551" spans="1:3" s="5" customFormat="1">
      <c r="A551" s="164"/>
      <c r="B551" s="138" t="str">
        <f t="shared" si="393"/>
        <v>Biology</v>
      </c>
      <c r="C551" s="255">
        <f>Stock_calculations!C45</f>
        <v>0.93100000000000005</v>
      </c>
    </row>
    <row r="552" spans="1:3" s="5" customFormat="1">
      <c r="A552" s="164"/>
      <c r="B552" s="138" t="str">
        <f t="shared" si="393"/>
        <v>Business Studies</v>
      </c>
      <c r="C552" s="255">
        <f>Stock_calculations!C46</f>
        <v>0.93100000000000005</v>
      </c>
    </row>
    <row r="553" spans="1:3" s="5" customFormat="1">
      <c r="A553" s="164"/>
      <c r="B553" s="138" t="str">
        <f t="shared" si="393"/>
        <v>Chemistry</v>
      </c>
      <c r="C553" s="255">
        <f>Stock_calculations!C47</f>
        <v>0.93100000000000005</v>
      </c>
    </row>
    <row r="554" spans="1:3" s="5" customFormat="1">
      <c r="A554" s="164"/>
      <c r="B554" s="138" t="str">
        <f t="shared" si="393"/>
        <v>Classics</v>
      </c>
      <c r="C554" s="255">
        <f>Stock_calculations!C48</f>
        <v>0.93100000000000005</v>
      </c>
    </row>
    <row r="555" spans="1:3" s="5" customFormat="1">
      <c r="A555" s="164"/>
      <c r="B555" s="138" t="str">
        <f t="shared" si="393"/>
        <v>Computing</v>
      </c>
      <c r="C555" s="255">
        <f>Stock_calculations!C49</f>
        <v>0.93100000000000005</v>
      </c>
    </row>
    <row r="556" spans="1:3" s="5" customFormat="1">
      <c r="A556" s="164"/>
      <c r="B556" s="138" t="str">
        <f t="shared" si="393"/>
        <v>Design &amp; Technology</v>
      </c>
      <c r="C556" s="255">
        <f>Stock_calculations!C50</f>
        <v>0.93100000000000005</v>
      </c>
    </row>
    <row r="557" spans="1:3" s="5" customFormat="1">
      <c r="A557" s="164"/>
      <c r="B557" s="138" t="str">
        <f t="shared" si="393"/>
        <v>Drama</v>
      </c>
      <c r="C557" s="255">
        <f>Stock_calculations!C51</f>
        <v>0.93100000000000005</v>
      </c>
    </row>
    <row r="558" spans="1:3" s="5" customFormat="1">
      <c r="A558" s="164"/>
      <c r="B558" s="138" t="str">
        <f t="shared" si="393"/>
        <v>English</v>
      </c>
      <c r="C558" s="255">
        <f>Stock_calculations!C52</f>
        <v>0.93100000000000005</v>
      </c>
    </row>
    <row r="559" spans="1:3" s="5" customFormat="1">
      <c r="A559" s="164"/>
      <c r="B559" s="138" t="str">
        <f t="shared" si="393"/>
        <v>Food</v>
      </c>
      <c r="C559" s="255">
        <f>Stock_calculations!C53</f>
        <v>0.93100000000000005</v>
      </c>
    </row>
    <row r="560" spans="1:3" s="5" customFormat="1">
      <c r="A560" s="164"/>
      <c r="B560" s="138" t="str">
        <f t="shared" si="393"/>
        <v>Geography</v>
      </c>
      <c r="C560" s="255">
        <f>Stock_calculations!C54</f>
        <v>0.93100000000000005</v>
      </c>
    </row>
    <row r="561" spans="1:14" s="5" customFormat="1">
      <c r="A561" s="164"/>
      <c r="B561" s="138" t="str">
        <f t="shared" si="393"/>
        <v>History</v>
      </c>
      <c r="C561" s="255">
        <f>Stock_calculations!C55</f>
        <v>0.93100000000000005</v>
      </c>
    </row>
    <row r="562" spans="1:14" s="5" customFormat="1">
      <c r="A562" s="164"/>
      <c r="B562" s="138" t="str">
        <f t="shared" si="393"/>
        <v>Mathematics</v>
      </c>
      <c r="C562" s="255">
        <f>Stock_calculations!C56</f>
        <v>0.93100000000000005</v>
      </c>
    </row>
    <row r="563" spans="1:14" s="5" customFormat="1">
      <c r="A563" s="164"/>
      <c r="B563" s="138" t="str">
        <f t="shared" si="393"/>
        <v>Modern Foreign Languages</v>
      </c>
      <c r="C563" s="255">
        <f>Stock_calculations!C57</f>
        <v>0.93100000000000005</v>
      </c>
    </row>
    <row r="564" spans="1:14" s="5" customFormat="1">
      <c r="A564" s="164"/>
      <c r="B564" s="138" t="str">
        <f t="shared" si="393"/>
        <v>Music</v>
      </c>
      <c r="C564" s="255">
        <f>Stock_calculations!C58</f>
        <v>0.93100000000000005</v>
      </c>
    </row>
    <row r="565" spans="1:14" s="5" customFormat="1">
      <c r="A565" s="164"/>
      <c r="B565" s="138" t="str">
        <f t="shared" si="393"/>
        <v>Others</v>
      </c>
      <c r="C565" s="255">
        <f>Stock_calculations!C59</f>
        <v>0.93100000000000005</v>
      </c>
    </row>
    <row r="566" spans="1:14" s="5" customFormat="1">
      <c r="A566" s="164"/>
      <c r="B566" s="138" t="str">
        <f t="shared" si="393"/>
        <v>Physical Education</v>
      </c>
      <c r="C566" s="255">
        <f>Stock_calculations!C60</f>
        <v>0.93100000000000005</v>
      </c>
    </row>
    <row r="567" spans="1:14" s="5" customFormat="1">
      <c r="A567" s="164"/>
      <c r="B567" s="138" t="str">
        <f t="shared" si="393"/>
        <v>Physics</v>
      </c>
      <c r="C567" s="255">
        <f>Stock_calculations!C61</f>
        <v>0.93100000000000005</v>
      </c>
    </row>
    <row r="568" spans="1:14" s="5" customFormat="1">
      <c r="A568" s="164"/>
      <c r="B568" s="138" t="str">
        <f t="shared" si="393"/>
        <v>Religious Education</v>
      </c>
      <c r="C568" s="255">
        <f>Stock_calculations!C62</f>
        <v>0.93100000000000005</v>
      </c>
    </row>
    <row r="570" spans="1:14">
      <c r="B570" s="75" t="s">
        <v>260</v>
      </c>
      <c r="E570" s="12"/>
    </row>
    <row r="571" spans="1:14">
      <c r="B571" s="12"/>
    </row>
    <row r="572" spans="1:14">
      <c r="B572" s="138" t="str">
        <f t="shared" ref="B572:N572" si="394">B489</f>
        <v>Subject</v>
      </c>
      <c r="C572" s="138" t="str">
        <f t="shared" si="394"/>
        <v>2017/18</v>
      </c>
      <c r="D572" s="138" t="str">
        <f t="shared" si="394"/>
        <v>2018/19</v>
      </c>
      <c r="E572" s="138" t="str">
        <f t="shared" si="394"/>
        <v>2019/20</v>
      </c>
      <c r="F572" s="138" t="str">
        <f t="shared" si="394"/>
        <v>2020/21</v>
      </c>
      <c r="G572" s="138" t="str">
        <f t="shared" si="394"/>
        <v>2021/22</v>
      </c>
      <c r="H572" s="138" t="str">
        <f t="shared" si="394"/>
        <v>2022/23</v>
      </c>
      <c r="I572" s="138" t="str">
        <f t="shared" si="394"/>
        <v>2023/24</v>
      </c>
      <c r="J572" s="138" t="str">
        <f t="shared" si="394"/>
        <v>2024/25</v>
      </c>
      <c r="K572" s="138" t="str">
        <f t="shared" si="394"/>
        <v>2025/26</v>
      </c>
      <c r="L572" s="138" t="str">
        <f t="shared" si="394"/>
        <v>2026/27</v>
      </c>
      <c r="M572" s="138" t="str">
        <f t="shared" si="394"/>
        <v>2027/28</v>
      </c>
      <c r="N572" s="138" t="str">
        <f t="shared" si="394"/>
        <v>2028/29</v>
      </c>
    </row>
    <row r="573" spans="1:14" s="5" customFormat="1">
      <c r="A573" s="164"/>
      <c r="B573" s="138" t="str">
        <f t="shared" ref="B573:B592" si="395">B490</f>
        <v>Art &amp; Design</v>
      </c>
      <c r="C573" s="450">
        <f t="shared" ref="C573:N573" si="396">C523/$C550</f>
        <v>8564.7502668111738</v>
      </c>
      <c r="D573" s="450">
        <f t="shared" si="396"/>
        <v>8534.2514919755522</v>
      </c>
      <c r="E573" s="450">
        <f t="shared" si="396"/>
        <v>8557.5483842097819</v>
      </c>
      <c r="F573" s="450">
        <f t="shared" si="396"/>
        <v>8568.8322167777133</v>
      </c>
      <c r="G573" s="450">
        <f t="shared" si="396"/>
        <v>8561.7425746276476</v>
      </c>
      <c r="H573" s="450">
        <f t="shared" si="396"/>
        <v>8533.9537936877878</v>
      </c>
      <c r="I573" s="450">
        <f t="shared" si="396"/>
        <v>8561.1554202449825</v>
      </c>
      <c r="J573" s="450">
        <f t="shared" si="396"/>
        <v>8619.7867286999135</v>
      </c>
      <c r="K573" s="450">
        <f t="shared" si="396"/>
        <v>8625.521438941696</v>
      </c>
      <c r="L573" s="450">
        <f t="shared" si="396"/>
        <v>8602.3593736366165</v>
      </c>
      <c r="M573" s="450">
        <f t="shared" si="396"/>
        <v>8602.3145418857839</v>
      </c>
      <c r="N573" s="450">
        <f t="shared" si="396"/>
        <v>8610.4205828958857</v>
      </c>
    </row>
    <row r="574" spans="1:14" s="5" customFormat="1">
      <c r="A574" s="164"/>
      <c r="B574" s="138" t="str">
        <f t="shared" si="395"/>
        <v>Biology</v>
      </c>
      <c r="C574" s="450">
        <f t="shared" ref="C574:N574" si="397">C524/$C551</f>
        <v>12928.194835392702</v>
      </c>
      <c r="D574" s="450">
        <f t="shared" si="397"/>
        <v>13045.938505879887</v>
      </c>
      <c r="E574" s="450">
        <f t="shared" si="397"/>
        <v>13163.092836719459</v>
      </c>
      <c r="F574" s="450">
        <f t="shared" si="397"/>
        <v>13269.150788374951</v>
      </c>
      <c r="G574" s="450">
        <f t="shared" si="397"/>
        <v>13395.8639615625</v>
      </c>
      <c r="H574" s="450">
        <f t="shared" si="397"/>
        <v>13545.464583668712</v>
      </c>
      <c r="I574" s="450">
        <f t="shared" si="397"/>
        <v>13704.508951791167</v>
      </c>
      <c r="J574" s="450">
        <f t="shared" si="397"/>
        <v>13813.20228323964</v>
      </c>
      <c r="K574" s="450">
        <f t="shared" si="397"/>
        <v>13885.327872952384</v>
      </c>
      <c r="L574" s="450">
        <f t="shared" si="397"/>
        <v>13919.452523507811</v>
      </c>
      <c r="M574" s="450">
        <f t="shared" si="397"/>
        <v>13905.273133447194</v>
      </c>
      <c r="N574" s="450">
        <f t="shared" si="397"/>
        <v>13848.662317572616</v>
      </c>
    </row>
    <row r="575" spans="1:14" s="5" customFormat="1">
      <c r="A575" s="164"/>
      <c r="B575" s="138" t="str">
        <f t="shared" si="395"/>
        <v>Business Studies</v>
      </c>
      <c r="C575" s="450">
        <f t="shared" ref="C575:N575" si="398">C525/$C552</f>
        <v>4272.7145485134133</v>
      </c>
      <c r="D575" s="450">
        <f t="shared" si="398"/>
        <v>4180.8050846925589</v>
      </c>
      <c r="E575" s="450">
        <f t="shared" si="398"/>
        <v>4120.2833026325361</v>
      </c>
      <c r="F575" s="450">
        <f t="shared" si="398"/>
        <v>4109.0064878127068</v>
      </c>
      <c r="G575" s="450">
        <f t="shared" si="398"/>
        <v>4121.1449054262712</v>
      </c>
      <c r="H575" s="450">
        <f t="shared" si="398"/>
        <v>4161.3338232505503</v>
      </c>
      <c r="I575" s="450">
        <f t="shared" si="398"/>
        <v>4207.3619553230383</v>
      </c>
      <c r="J575" s="450">
        <f t="shared" si="398"/>
        <v>4278.1818382937863</v>
      </c>
      <c r="K575" s="450">
        <f t="shared" si="398"/>
        <v>4347.1970075343734</v>
      </c>
      <c r="L575" s="450">
        <f t="shared" si="398"/>
        <v>4409.1822733984964</v>
      </c>
      <c r="M575" s="450">
        <f t="shared" si="398"/>
        <v>4435.1965599593177</v>
      </c>
      <c r="N575" s="450">
        <f t="shared" si="398"/>
        <v>4426.0874740279651</v>
      </c>
    </row>
    <row r="576" spans="1:14" s="5" customFormat="1">
      <c r="A576" s="164"/>
      <c r="B576" s="138" t="str">
        <f t="shared" si="395"/>
        <v>Chemistry</v>
      </c>
      <c r="C576" s="450">
        <f t="shared" ref="C576:N576" si="399">C526/$C553</f>
        <v>11432.623844416747</v>
      </c>
      <c r="D576" s="450">
        <f t="shared" si="399"/>
        <v>11544.525139694259</v>
      </c>
      <c r="E576" s="450">
        <f t="shared" si="399"/>
        <v>11649.696521284328</v>
      </c>
      <c r="F576" s="450">
        <f t="shared" si="399"/>
        <v>11744.788043868388</v>
      </c>
      <c r="G576" s="450">
        <f t="shared" si="399"/>
        <v>11861.493267622354</v>
      </c>
      <c r="H576" s="450">
        <f t="shared" si="399"/>
        <v>12002.800086271131</v>
      </c>
      <c r="I576" s="450">
        <f t="shared" si="399"/>
        <v>12142.277777139127</v>
      </c>
      <c r="J576" s="450">
        <f t="shared" si="399"/>
        <v>12238.296335097324</v>
      </c>
      <c r="K576" s="450">
        <f t="shared" si="399"/>
        <v>12311.817235306044</v>
      </c>
      <c r="L576" s="450">
        <f t="shared" si="399"/>
        <v>12353.982300161406</v>
      </c>
      <c r="M576" s="450">
        <f t="shared" si="399"/>
        <v>12338.424212412981</v>
      </c>
      <c r="N576" s="450">
        <f t="shared" si="399"/>
        <v>12273.862522647654</v>
      </c>
    </row>
    <row r="577" spans="1:14" s="5" customFormat="1">
      <c r="A577" s="164"/>
      <c r="B577" s="138" t="str">
        <f t="shared" si="395"/>
        <v>Classics</v>
      </c>
      <c r="C577" s="450">
        <f t="shared" ref="C577:N577" si="400">C527/$C554</f>
        <v>320.50837215870899</v>
      </c>
      <c r="D577" s="450">
        <f t="shared" si="400"/>
        <v>317.51840676737504</v>
      </c>
      <c r="E577" s="450">
        <f t="shared" si="400"/>
        <v>316.94715804283771</v>
      </c>
      <c r="F577" s="450">
        <f t="shared" si="400"/>
        <v>318.45534115636877</v>
      </c>
      <c r="G577" s="450">
        <f t="shared" si="400"/>
        <v>320.85738388403837</v>
      </c>
      <c r="H577" s="450">
        <f t="shared" si="400"/>
        <v>324.20980033212987</v>
      </c>
      <c r="I577" s="450">
        <f t="shared" si="400"/>
        <v>328.6378752591628</v>
      </c>
      <c r="J577" s="450">
        <f t="shared" si="400"/>
        <v>332.59834185400337</v>
      </c>
      <c r="K577" s="450">
        <f t="shared" si="400"/>
        <v>334.76324056985567</v>
      </c>
      <c r="L577" s="450">
        <f t="shared" si="400"/>
        <v>335.86712506051106</v>
      </c>
      <c r="M577" s="450">
        <f t="shared" si="400"/>
        <v>336.8966912879219</v>
      </c>
      <c r="N577" s="450">
        <f t="shared" si="400"/>
        <v>337.60473056359842</v>
      </c>
    </row>
    <row r="578" spans="1:14" s="5" customFormat="1">
      <c r="A578" s="164"/>
      <c r="B578" s="138" t="str">
        <f t="shared" si="395"/>
        <v>Computing</v>
      </c>
      <c r="C578" s="450">
        <f t="shared" ref="C578:N578" si="401">C528/$C555</f>
        <v>7289.5926164297098</v>
      </c>
      <c r="D578" s="450">
        <f t="shared" si="401"/>
        <v>7260.6344094390461</v>
      </c>
      <c r="E578" s="450">
        <f t="shared" si="401"/>
        <v>7276.5518831584795</v>
      </c>
      <c r="F578" s="450">
        <f t="shared" si="401"/>
        <v>7284.800242868585</v>
      </c>
      <c r="G578" s="450">
        <f t="shared" si="401"/>
        <v>7282.3952332749959</v>
      </c>
      <c r="H578" s="450">
        <f t="shared" si="401"/>
        <v>7268.8396046513117</v>
      </c>
      <c r="I578" s="450">
        <f t="shared" si="401"/>
        <v>7294.1911806111175</v>
      </c>
      <c r="J578" s="450">
        <f t="shared" si="401"/>
        <v>7347.1017248670141</v>
      </c>
      <c r="K578" s="450">
        <f t="shared" si="401"/>
        <v>7366.3161471128815</v>
      </c>
      <c r="L578" s="450">
        <f t="shared" si="401"/>
        <v>7363.6827384787239</v>
      </c>
      <c r="M578" s="450">
        <f t="shared" si="401"/>
        <v>7362.8206434114018</v>
      </c>
      <c r="N578" s="450">
        <f t="shared" si="401"/>
        <v>7354.8557129077717</v>
      </c>
    </row>
    <row r="579" spans="1:14" s="5" customFormat="1">
      <c r="A579" s="164"/>
      <c r="B579" s="138" t="str">
        <f t="shared" si="395"/>
        <v>Design &amp; Technology</v>
      </c>
      <c r="C579" s="450">
        <f t="shared" ref="C579:N579" si="402">C529/$C556</f>
        <v>10430.170122554402</v>
      </c>
      <c r="D579" s="450">
        <f t="shared" si="402"/>
        <v>10437.438572484518</v>
      </c>
      <c r="E579" s="450">
        <f t="shared" si="402"/>
        <v>10507.230704786161</v>
      </c>
      <c r="F579" s="450">
        <f t="shared" si="402"/>
        <v>10530.686410078597</v>
      </c>
      <c r="G579" s="450">
        <f t="shared" si="402"/>
        <v>10514.355826465313</v>
      </c>
      <c r="H579" s="450">
        <f t="shared" si="402"/>
        <v>10452.510400430492</v>
      </c>
      <c r="I579" s="450">
        <f t="shared" si="402"/>
        <v>10467.43402577676</v>
      </c>
      <c r="J579" s="450">
        <f t="shared" si="402"/>
        <v>10515.347787981029</v>
      </c>
      <c r="K579" s="450">
        <f t="shared" si="402"/>
        <v>10488.369007644029</v>
      </c>
      <c r="L579" s="450">
        <f t="shared" si="402"/>
        <v>10422.808047713932</v>
      </c>
      <c r="M579" s="450">
        <f t="shared" si="402"/>
        <v>10407.038747270461</v>
      </c>
      <c r="N579" s="450">
        <f t="shared" si="402"/>
        <v>10419.333759712297</v>
      </c>
    </row>
    <row r="580" spans="1:14" s="5" customFormat="1">
      <c r="A580" s="164"/>
      <c r="B580" s="138" t="str">
        <f t="shared" si="395"/>
        <v>Drama</v>
      </c>
      <c r="C580" s="450">
        <f t="shared" ref="C580:N580" si="403">C530/$C557</f>
        <v>5233.2192383582569</v>
      </c>
      <c r="D580" s="450">
        <f t="shared" si="403"/>
        <v>5223.4612681446397</v>
      </c>
      <c r="E580" s="450">
        <f t="shared" si="403"/>
        <v>5246.2936528773334</v>
      </c>
      <c r="F580" s="450">
        <f t="shared" si="403"/>
        <v>5255.4956366108609</v>
      </c>
      <c r="G580" s="450">
        <f t="shared" si="403"/>
        <v>5249.126166206559</v>
      </c>
      <c r="H580" s="450">
        <f t="shared" si="403"/>
        <v>5224.8599346685942</v>
      </c>
      <c r="I580" s="450">
        <f t="shared" si="403"/>
        <v>5237.9379549470304</v>
      </c>
      <c r="J580" s="450">
        <f t="shared" si="403"/>
        <v>5268.8062131141978</v>
      </c>
      <c r="K580" s="450">
        <f t="shared" si="403"/>
        <v>5262.5161833878756</v>
      </c>
      <c r="L580" s="450">
        <f t="shared" si="403"/>
        <v>5237.2334005233606</v>
      </c>
      <c r="M580" s="450">
        <f t="shared" si="403"/>
        <v>5234.595227796427</v>
      </c>
      <c r="N580" s="450">
        <f t="shared" si="403"/>
        <v>5243.8517202689427</v>
      </c>
    </row>
    <row r="581" spans="1:14" s="5" customFormat="1">
      <c r="A581" s="164"/>
      <c r="B581" s="138" t="str">
        <f t="shared" si="395"/>
        <v>English</v>
      </c>
      <c r="C581" s="450">
        <f t="shared" ref="C581:N581" si="404">C531/$C558</f>
        <v>33251.349492238893</v>
      </c>
      <c r="D581" s="450">
        <f t="shared" si="404"/>
        <v>34128.970107580317</v>
      </c>
      <c r="E581" s="450">
        <f t="shared" si="404"/>
        <v>34584.711175070501</v>
      </c>
      <c r="F581" s="450">
        <f t="shared" si="404"/>
        <v>34920.574920817373</v>
      </c>
      <c r="G581" s="450">
        <f t="shared" si="404"/>
        <v>35258.206490656885</v>
      </c>
      <c r="H581" s="450">
        <f t="shared" si="404"/>
        <v>35595.083767023098</v>
      </c>
      <c r="I581" s="450">
        <f t="shared" si="404"/>
        <v>35984.897734024635</v>
      </c>
      <c r="J581" s="450">
        <f t="shared" si="404"/>
        <v>36185.634623156184</v>
      </c>
      <c r="K581" s="450">
        <f t="shared" si="404"/>
        <v>36269.0661788992</v>
      </c>
      <c r="L581" s="450">
        <f t="shared" si="404"/>
        <v>36243.575396671404</v>
      </c>
      <c r="M581" s="450">
        <f t="shared" si="404"/>
        <v>36142.655694349589</v>
      </c>
      <c r="N581" s="450">
        <f t="shared" si="404"/>
        <v>35978.136543426794</v>
      </c>
    </row>
    <row r="582" spans="1:14" s="5" customFormat="1">
      <c r="A582" s="164"/>
      <c r="B582" s="138" t="str">
        <f t="shared" si="395"/>
        <v>Food</v>
      </c>
      <c r="C582" s="450">
        <f t="shared" ref="C582:N582" si="405">C532/$C559</f>
        <v>2173.8411580061702</v>
      </c>
      <c r="D582" s="450">
        <f t="shared" si="405"/>
        <v>2177.4889588700648</v>
      </c>
      <c r="E582" s="450">
        <f t="shared" si="405"/>
        <v>2192.5060608074737</v>
      </c>
      <c r="F582" s="450">
        <f t="shared" si="405"/>
        <v>2196.9339376585617</v>
      </c>
      <c r="G582" s="450">
        <f t="shared" si="405"/>
        <v>2197.4343945921096</v>
      </c>
      <c r="H582" s="450">
        <f t="shared" si="405"/>
        <v>2194.4276884782894</v>
      </c>
      <c r="I582" s="450">
        <f t="shared" si="405"/>
        <v>2198.0808351045735</v>
      </c>
      <c r="J582" s="450">
        <f t="shared" si="405"/>
        <v>2208.9001114376101</v>
      </c>
      <c r="K582" s="450">
        <f t="shared" si="405"/>
        <v>2218.0537039204814</v>
      </c>
      <c r="L582" s="450">
        <f t="shared" si="405"/>
        <v>2222.4270717817421</v>
      </c>
      <c r="M582" s="450">
        <f t="shared" si="405"/>
        <v>2215.8331872273257</v>
      </c>
      <c r="N582" s="450">
        <f t="shared" si="405"/>
        <v>2198.5164913594313</v>
      </c>
    </row>
    <row r="583" spans="1:14" s="5" customFormat="1">
      <c r="A583" s="164"/>
      <c r="B583" s="138" t="str">
        <f t="shared" si="395"/>
        <v>Geography</v>
      </c>
      <c r="C583" s="450">
        <f t="shared" ref="C583:N583" si="406">C533/$C560</f>
        <v>11342.413806498993</v>
      </c>
      <c r="D583" s="450">
        <f t="shared" si="406"/>
        <v>11458.844883416115</v>
      </c>
      <c r="E583" s="450">
        <f t="shared" si="406"/>
        <v>11591.240012341643</v>
      </c>
      <c r="F583" s="450">
        <f t="shared" si="406"/>
        <v>11698.082686393529</v>
      </c>
      <c r="G583" s="450">
        <f t="shared" si="406"/>
        <v>11796.751601575867</v>
      </c>
      <c r="H583" s="450">
        <f t="shared" si="406"/>
        <v>11883.492693412196</v>
      </c>
      <c r="I583" s="450">
        <f t="shared" si="406"/>
        <v>12019.082465711335</v>
      </c>
      <c r="J583" s="450">
        <f t="shared" si="406"/>
        <v>12089.686793064397</v>
      </c>
      <c r="K583" s="450">
        <f t="shared" si="406"/>
        <v>12090.654110540063</v>
      </c>
      <c r="L583" s="450">
        <f t="shared" si="406"/>
        <v>12048.256755718699</v>
      </c>
      <c r="M583" s="450">
        <f t="shared" si="406"/>
        <v>12025.967923535018</v>
      </c>
      <c r="N583" s="450">
        <f t="shared" si="406"/>
        <v>12016.797692096834</v>
      </c>
    </row>
    <row r="584" spans="1:14" s="5" customFormat="1">
      <c r="A584" s="164"/>
      <c r="B584" s="138" t="str">
        <f t="shared" si="395"/>
        <v>History</v>
      </c>
      <c r="C584" s="450">
        <f t="shared" ref="C584:N584" si="407">C534/$C561</f>
        <v>12080.273849024059</v>
      </c>
      <c r="D584" s="450">
        <f t="shared" si="407"/>
        <v>12188.863872699116</v>
      </c>
      <c r="E584" s="450">
        <f t="shared" si="407"/>
        <v>12315.572869121812</v>
      </c>
      <c r="F584" s="450">
        <f t="shared" si="407"/>
        <v>12424.448939448404</v>
      </c>
      <c r="G584" s="450">
        <f t="shared" si="407"/>
        <v>12528.868602294011</v>
      </c>
      <c r="H584" s="450">
        <f t="shared" si="407"/>
        <v>12625.515075162566</v>
      </c>
      <c r="I584" s="450">
        <f t="shared" si="407"/>
        <v>12771.860257614842</v>
      </c>
      <c r="J584" s="450">
        <f t="shared" si="407"/>
        <v>12853.750721229108</v>
      </c>
      <c r="K584" s="450">
        <f t="shared" si="407"/>
        <v>12863.298791112105</v>
      </c>
      <c r="L584" s="450">
        <f t="shared" si="407"/>
        <v>12827.490850159485</v>
      </c>
      <c r="M584" s="450">
        <f t="shared" si="407"/>
        <v>12808.988705271131</v>
      </c>
      <c r="N584" s="450">
        <f t="shared" si="407"/>
        <v>12800.631105166431</v>
      </c>
    </row>
    <row r="585" spans="1:14" s="5" customFormat="1">
      <c r="A585" s="164"/>
      <c r="B585" s="138" t="str">
        <f t="shared" si="395"/>
        <v>Mathematics</v>
      </c>
      <c r="C585" s="450">
        <f t="shared" ref="C585:N585" si="408">C535/$C562</f>
        <v>33433.990730367026</v>
      </c>
      <c r="D585" s="450">
        <f t="shared" si="408"/>
        <v>34007.630555466923</v>
      </c>
      <c r="E585" s="450">
        <f t="shared" si="408"/>
        <v>34577.07305883136</v>
      </c>
      <c r="F585" s="450">
        <f t="shared" si="408"/>
        <v>34885.258121339873</v>
      </c>
      <c r="G585" s="450">
        <f t="shared" si="408"/>
        <v>35209.453181722631</v>
      </c>
      <c r="H585" s="450">
        <f t="shared" si="408"/>
        <v>35548.218549897429</v>
      </c>
      <c r="I585" s="450">
        <f t="shared" si="408"/>
        <v>35953.174552238605</v>
      </c>
      <c r="J585" s="450">
        <f t="shared" si="408"/>
        <v>36190.723024392304</v>
      </c>
      <c r="K585" s="450">
        <f t="shared" si="408"/>
        <v>36295.565529918196</v>
      </c>
      <c r="L585" s="450">
        <f t="shared" si="408"/>
        <v>36289.745489983608</v>
      </c>
      <c r="M585" s="450">
        <f t="shared" si="408"/>
        <v>36223.65503377132</v>
      </c>
      <c r="N585" s="450">
        <f t="shared" si="408"/>
        <v>36101.90642555993</v>
      </c>
    </row>
    <row r="586" spans="1:14" s="5" customFormat="1">
      <c r="A586" s="164"/>
      <c r="B586" s="138" t="str">
        <f t="shared" si="395"/>
        <v>Modern Foreign Languages</v>
      </c>
      <c r="C586" s="450">
        <f t="shared" ref="C586:N586" si="409">C536/$C563</f>
        <v>15578.695111003104</v>
      </c>
      <c r="D586" s="450">
        <f t="shared" si="409"/>
        <v>16147.82393505992</v>
      </c>
      <c r="E586" s="450">
        <f t="shared" si="409"/>
        <v>16788.414411860449</v>
      </c>
      <c r="F586" s="450">
        <f t="shared" si="409"/>
        <v>17494.625322530253</v>
      </c>
      <c r="G586" s="450">
        <f t="shared" si="409"/>
        <v>18345.431860094119</v>
      </c>
      <c r="H586" s="450">
        <f t="shared" si="409"/>
        <v>19331.481731339591</v>
      </c>
      <c r="I586" s="450">
        <f t="shared" si="409"/>
        <v>20241.3915122414</v>
      </c>
      <c r="J586" s="450">
        <f t="shared" si="409"/>
        <v>20395.54615971684</v>
      </c>
      <c r="K586" s="450">
        <f t="shared" si="409"/>
        <v>20392.930227641657</v>
      </c>
      <c r="L586" s="450">
        <f t="shared" si="409"/>
        <v>20287.9091366869</v>
      </c>
      <c r="M586" s="450">
        <f t="shared" si="409"/>
        <v>20215.301450752977</v>
      </c>
      <c r="N586" s="450">
        <f t="shared" si="409"/>
        <v>20227.115983786633</v>
      </c>
    </row>
    <row r="587" spans="1:14" s="5" customFormat="1">
      <c r="A587" s="164"/>
      <c r="B587" s="138" t="str">
        <f t="shared" si="395"/>
        <v>Music</v>
      </c>
      <c r="C587" s="450">
        <f t="shared" ref="C587:N587" si="410">C537/$C564</f>
        <v>5268.4504201234231</v>
      </c>
      <c r="D587" s="450">
        <f t="shared" si="410"/>
        <v>5269.2678927406905</v>
      </c>
      <c r="E587" s="450">
        <f t="shared" si="410"/>
        <v>5302.7865696602667</v>
      </c>
      <c r="F587" s="450">
        <f t="shared" si="410"/>
        <v>5314.5897280968375</v>
      </c>
      <c r="G587" s="450">
        <f t="shared" si="410"/>
        <v>5304.2637916722379</v>
      </c>
      <c r="H587" s="450">
        <f t="shared" si="410"/>
        <v>5268.0359257495202</v>
      </c>
      <c r="I587" s="450">
        <f t="shared" si="410"/>
        <v>5275.8997517028138</v>
      </c>
      <c r="J587" s="450">
        <f t="shared" si="410"/>
        <v>5300.4252509241041</v>
      </c>
      <c r="K587" s="450">
        <f t="shared" si="410"/>
        <v>5279.0151003445499</v>
      </c>
      <c r="L587" s="450">
        <f t="shared" si="410"/>
        <v>5236.2531009435388</v>
      </c>
      <c r="M587" s="450">
        <f t="shared" si="410"/>
        <v>5230.8507509378778</v>
      </c>
      <c r="N587" s="450">
        <f t="shared" si="410"/>
        <v>5249.057965345778</v>
      </c>
    </row>
    <row r="588" spans="1:14" s="5" customFormat="1">
      <c r="A588" s="164"/>
      <c r="B588" s="138" t="str">
        <f t="shared" si="395"/>
        <v>Others</v>
      </c>
      <c r="C588" s="450">
        <f t="shared" ref="C588:N588" si="411">C538/$C565</f>
        <v>15628.672360507968</v>
      </c>
      <c r="D588" s="450">
        <f t="shared" si="411"/>
        <v>15308.185498677991</v>
      </c>
      <c r="E588" s="450">
        <f t="shared" si="411"/>
        <v>15107.495346817532</v>
      </c>
      <c r="F588" s="450">
        <f t="shared" si="411"/>
        <v>15070.157929470946</v>
      </c>
      <c r="G588" s="450">
        <f t="shared" si="411"/>
        <v>15086.864015220801</v>
      </c>
      <c r="H588" s="450">
        <f t="shared" si="411"/>
        <v>15165.6298793035</v>
      </c>
      <c r="I588" s="450">
        <f t="shared" si="411"/>
        <v>15315.124819301747</v>
      </c>
      <c r="J588" s="450">
        <f t="shared" si="411"/>
        <v>15555.22805773962</v>
      </c>
      <c r="K588" s="450">
        <f t="shared" si="411"/>
        <v>15720.753931508249</v>
      </c>
      <c r="L588" s="450">
        <f t="shared" si="411"/>
        <v>15844.279683969422</v>
      </c>
      <c r="M588" s="450">
        <f t="shared" si="411"/>
        <v>15944.484433467276</v>
      </c>
      <c r="N588" s="450">
        <f t="shared" si="411"/>
        <v>16000.632401892612</v>
      </c>
    </row>
    <row r="589" spans="1:14" s="5" customFormat="1">
      <c r="A589" s="164"/>
      <c r="B589" s="138" t="str">
        <f t="shared" si="395"/>
        <v>Physical Education</v>
      </c>
      <c r="C589" s="450">
        <f t="shared" ref="C589:N589" si="412">C539/$C566</f>
        <v>17163.727083416186</v>
      </c>
      <c r="D589" s="450">
        <f t="shared" si="412"/>
        <v>17179.102973930356</v>
      </c>
      <c r="E589" s="450">
        <f t="shared" si="412"/>
        <v>17292.089640037582</v>
      </c>
      <c r="F589" s="450">
        <f t="shared" si="412"/>
        <v>17329.555300030308</v>
      </c>
      <c r="G589" s="450">
        <f t="shared" si="412"/>
        <v>17319.323057090849</v>
      </c>
      <c r="H589" s="450">
        <f t="shared" si="412"/>
        <v>17257.935192643123</v>
      </c>
      <c r="I589" s="450">
        <f t="shared" si="412"/>
        <v>17288.299451554078</v>
      </c>
      <c r="J589" s="450">
        <f t="shared" si="412"/>
        <v>17372.922472646234</v>
      </c>
      <c r="K589" s="450">
        <f t="shared" si="412"/>
        <v>17384.183968159177</v>
      </c>
      <c r="L589" s="450">
        <f t="shared" si="412"/>
        <v>17343.653207730546</v>
      </c>
      <c r="M589" s="450">
        <f t="shared" si="412"/>
        <v>17307.811863948264</v>
      </c>
      <c r="N589" s="450">
        <f t="shared" si="412"/>
        <v>17258.202324341913</v>
      </c>
    </row>
    <row r="590" spans="1:14" s="5" customFormat="1">
      <c r="A590" s="164"/>
      <c r="B590" s="138" t="str">
        <f t="shared" si="395"/>
        <v>Physics</v>
      </c>
      <c r="C590" s="450">
        <f t="shared" ref="C590:N590" si="413">C540/$C567</f>
        <v>11141.544929716292</v>
      </c>
      <c r="D590" s="450">
        <f t="shared" si="413"/>
        <v>11268.528596958797</v>
      </c>
      <c r="E590" s="450">
        <f t="shared" si="413"/>
        <v>11385.489278701387</v>
      </c>
      <c r="F590" s="450">
        <f t="shared" si="413"/>
        <v>11484.149533708802</v>
      </c>
      <c r="G590" s="450">
        <f t="shared" si="413"/>
        <v>11600.345367892704</v>
      </c>
      <c r="H590" s="450">
        <f t="shared" si="413"/>
        <v>11736.603045846625</v>
      </c>
      <c r="I590" s="450">
        <f t="shared" si="413"/>
        <v>11869.855579783149</v>
      </c>
      <c r="J590" s="450">
        <f t="shared" si="413"/>
        <v>11955.818910110942</v>
      </c>
      <c r="K590" s="450">
        <f t="shared" si="413"/>
        <v>12021.527207243258</v>
      </c>
      <c r="L590" s="450">
        <f t="shared" si="413"/>
        <v>12056.605490017651</v>
      </c>
      <c r="M590" s="450">
        <f t="shared" si="413"/>
        <v>12034.41463413402</v>
      </c>
      <c r="N590" s="450">
        <f t="shared" si="413"/>
        <v>11964.461135594876</v>
      </c>
    </row>
    <row r="591" spans="1:14" s="5" customFormat="1">
      <c r="A591" s="164"/>
      <c r="B591" s="138" t="str">
        <f t="shared" si="395"/>
        <v>Religious Education</v>
      </c>
      <c r="C591" s="450">
        <f t="shared" ref="C591:N591" si="414">C541/$C568</f>
        <v>7674.5909856876387</v>
      </c>
      <c r="D591" s="450">
        <f t="shared" si="414"/>
        <v>7670.0077218795668</v>
      </c>
      <c r="E591" s="450">
        <f t="shared" si="414"/>
        <v>7710.3961999974381</v>
      </c>
      <c r="F591" s="450">
        <f t="shared" si="414"/>
        <v>7724.6085132354992</v>
      </c>
      <c r="G591" s="450">
        <f t="shared" si="414"/>
        <v>7719.5959516377125</v>
      </c>
      <c r="H591" s="450">
        <f t="shared" si="414"/>
        <v>7693.8279315979044</v>
      </c>
      <c r="I591" s="450">
        <f t="shared" si="414"/>
        <v>7710.7340479960321</v>
      </c>
      <c r="J591" s="450">
        <f t="shared" si="414"/>
        <v>7753.5921854915368</v>
      </c>
      <c r="K591" s="450">
        <f t="shared" si="414"/>
        <v>7760.4563609302077</v>
      </c>
      <c r="L591" s="450">
        <f t="shared" si="414"/>
        <v>7743.6578603372536</v>
      </c>
      <c r="M591" s="450">
        <f t="shared" si="414"/>
        <v>7732.6289064678685</v>
      </c>
      <c r="N591" s="450">
        <f t="shared" si="414"/>
        <v>7717.9321957067259</v>
      </c>
    </row>
    <row r="592" spans="1:14" s="5" customFormat="1">
      <c r="A592" s="164"/>
      <c r="B592" s="138" t="str">
        <f t="shared" si="395"/>
        <v>Total</v>
      </c>
      <c r="C592" s="450">
        <f t="shared" ref="C592:N592" si="415">SUM(C573:C591)</f>
        <v>225209.32377122488</v>
      </c>
      <c r="D592" s="450">
        <f t="shared" si="415"/>
        <v>227349.28787635767</v>
      </c>
      <c r="E592" s="450">
        <f t="shared" si="415"/>
        <v>229685.41906695836</v>
      </c>
      <c r="F592" s="450">
        <f t="shared" si="415"/>
        <v>231624.20010027854</v>
      </c>
      <c r="G592" s="450">
        <f t="shared" si="415"/>
        <v>233673.5176335196</v>
      </c>
      <c r="H592" s="450">
        <f t="shared" si="415"/>
        <v>235814.22350741454</v>
      </c>
      <c r="I592" s="450">
        <f t="shared" si="415"/>
        <v>238571.90614836558</v>
      </c>
      <c r="J592" s="450">
        <f t="shared" si="415"/>
        <v>240275.54956305583</v>
      </c>
      <c r="K592" s="450">
        <f t="shared" si="415"/>
        <v>240917.33324366625</v>
      </c>
      <c r="L592" s="450">
        <f t="shared" si="415"/>
        <v>240788.42182648112</v>
      </c>
      <c r="M592" s="450">
        <f t="shared" si="415"/>
        <v>240505.15234133415</v>
      </c>
      <c r="N592" s="450">
        <f t="shared" si="415"/>
        <v>240028.0690848747</v>
      </c>
    </row>
    <row r="593" spans="1:14">
      <c r="A593" s="10">
        <f>SUM(C593:N593)</f>
        <v>0</v>
      </c>
      <c r="C593" s="10">
        <f t="shared" ref="C593:N593" si="416">SUM(C573:C591)-C592</f>
        <v>0</v>
      </c>
      <c r="D593" s="10">
        <f t="shared" si="416"/>
        <v>0</v>
      </c>
      <c r="E593" s="10">
        <f t="shared" si="416"/>
        <v>0</v>
      </c>
      <c r="F593" s="10">
        <f t="shared" si="416"/>
        <v>0</v>
      </c>
      <c r="G593" s="10">
        <f t="shared" si="416"/>
        <v>0</v>
      </c>
      <c r="H593" s="10">
        <f t="shared" si="416"/>
        <v>0</v>
      </c>
      <c r="I593" s="10">
        <f t="shared" si="416"/>
        <v>0</v>
      </c>
      <c r="J593" s="10">
        <f t="shared" si="416"/>
        <v>0</v>
      </c>
      <c r="K593" s="10">
        <f t="shared" si="416"/>
        <v>0</v>
      </c>
      <c r="L593" s="10">
        <f t="shared" si="416"/>
        <v>0</v>
      </c>
      <c r="M593" s="10">
        <f t="shared" si="416"/>
        <v>0</v>
      </c>
      <c r="N593" s="10">
        <f t="shared" si="416"/>
        <v>0</v>
      </c>
    </row>
    <row r="594" spans="1:14">
      <c r="C594" s="10"/>
      <c r="D594" s="10"/>
      <c r="E594" s="10"/>
      <c r="F594" s="10"/>
      <c r="G594" s="10"/>
      <c r="H594" s="10"/>
      <c r="I594" s="10"/>
      <c r="J594" s="10"/>
      <c r="K594" s="10"/>
      <c r="L594" s="10"/>
      <c r="M594" s="10"/>
      <c r="N594" s="10"/>
    </row>
    <row r="595" spans="1:14" ht="15.75">
      <c r="B595" s="141" t="s">
        <v>1191</v>
      </c>
    </row>
    <row r="597" spans="1:14">
      <c r="B597" s="75" t="s">
        <v>469</v>
      </c>
    </row>
    <row r="599" spans="1:14" ht="25.5">
      <c r="B599" s="138" t="str">
        <f t="shared" ref="B599:B618" si="417">B549</f>
        <v>Subject</v>
      </c>
      <c r="C599" s="149" t="str">
        <f>Stock_calculations!D43</f>
        <v>Unqualified teacher rate</v>
      </c>
    </row>
    <row r="600" spans="1:14" s="5" customFormat="1">
      <c r="A600" s="164"/>
      <c r="B600" s="138" t="str">
        <f t="shared" si="417"/>
        <v>Art &amp; Design</v>
      </c>
      <c r="C600" s="507">
        <f>Data_selected_by_user_testing!D231</f>
        <v>5.5482785567752567E-2</v>
      </c>
    </row>
    <row r="601" spans="1:14" s="5" customFormat="1">
      <c r="A601" s="164"/>
      <c r="B601" s="138" t="str">
        <f t="shared" si="417"/>
        <v>Biology</v>
      </c>
      <c r="C601" s="507">
        <f>Data_selected_by_user_testing!D232</f>
        <v>4.7147483464243911E-2</v>
      </c>
    </row>
    <row r="602" spans="1:14" s="5" customFormat="1">
      <c r="A602" s="164"/>
      <c r="B602" s="138" t="str">
        <f t="shared" si="417"/>
        <v>Business Studies</v>
      </c>
      <c r="C602" s="507">
        <f>Data_selected_by_user_testing!D233</f>
        <v>9.1589119325306181E-2</v>
      </c>
    </row>
    <row r="603" spans="1:14" s="5" customFormat="1">
      <c r="A603" s="164"/>
      <c r="B603" s="138" t="str">
        <f t="shared" si="417"/>
        <v>Chemistry</v>
      </c>
      <c r="C603" s="507">
        <f>Data_selected_by_user_testing!D234</f>
        <v>4.6913086855563599E-2</v>
      </c>
    </row>
    <row r="604" spans="1:14" s="5" customFormat="1">
      <c r="A604" s="164"/>
      <c r="B604" s="138" t="str">
        <f t="shared" si="417"/>
        <v>Classics</v>
      </c>
      <c r="C604" s="507">
        <f>Data_selected_by_user_testing!D235</f>
        <v>6.704089375668533E-2</v>
      </c>
    </row>
    <row r="605" spans="1:14" s="5" customFormat="1">
      <c r="A605" s="164"/>
      <c r="B605" s="138" t="str">
        <f t="shared" si="417"/>
        <v>Computing</v>
      </c>
      <c r="C605" s="507">
        <f>Data_selected_by_user_testing!D236</f>
        <v>5.5336545757057175E-2</v>
      </c>
    </row>
    <row r="606" spans="1:14" s="5" customFormat="1">
      <c r="A606" s="164"/>
      <c r="B606" s="138" t="str">
        <f t="shared" si="417"/>
        <v>Design &amp; Technology</v>
      </c>
      <c r="C606" s="507">
        <f>Data_selected_by_user_testing!D237</f>
        <v>6.7710578130345755E-2</v>
      </c>
    </row>
    <row r="607" spans="1:14" s="5" customFormat="1">
      <c r="A607" s="164"/>
      <c r="B607" s="138" t="str">
        <f t="shared" si="417"/>
        <v>Drama</v>
      </c>
      <c r="C607" s="507">
        <f>Data_selected_by_user_testing!D238</f>
        <v>8.377556244402512E-2</v>
      </c>
    </row>
    <row r="608" spans="1:14" s="5" customFormat="1">
      <c r="A608" s="164"/>
      <c r="B608" s="138" t="str">
        <f t="shared" si="417"/>
        <v>English</v>
      </c>
      <c r="C608" s="507">
        <f>Data_selected_by_user_testing!D239</f>
        <v>8.773490743765272E-2</v>
      </c>
    </row>
    <row r="609" spans="1:14" s="5" customFormat="1">
      <c r="A609" s="164"/>
      <c r="B609" s="138" t="str">
        <f t="shared" si="417"/>
        <v>Food</v>
      </c>
      <c r="C609" s="507">
        <f>Data_selected_by_user_testing!D240</f>
        <v>0.10009363022572292</v>
      </c>
    </row>
    <row r="610" spans="1:14" s="5" customFormat="1">
      <c r="A610" s="164"/>
      <c r="B610" s="138" t="str">
        <f t="shared" si="417"/>
        <v>Geography</v>
      </c>
      <c r="C610" s="507">
        <f>Data_selected_by_user_testing!D241</f>
        <v>4.7550259871897121E-2</v>
      </c>
    </row>
    <row r="611" spans="1:14" s="5" customFormat="1">
      <c r="A611" s="164"/>
      <c r="B611" s="138" t="str">
        <f t="shared" si="417"/>
        <v>History</v>
      </c>
      <c r="C611" s="507">
        <f>Data_selected_by_user_testing!D242</f>
        <v>4.9790971050012442E-2</v>
      </c>
    </row>
    <row r="612" spans="1:14" s="5" customFormat="1">
      <c r="A612" s="164"/>
      <c r="B612" s="138" t="str">
        <f t="shared" si="417"/>
        <v>Mathematics</v>
      </c>
      <c r="C612" s="507">
        <f>Data_selected_by_user_testing!D243</f>
        <v>6.49038506637587E-2</v>
      </c>
    </row>
    <row r="613" spans="1:14" s="5" customFormat="1">
      <c r="A613" s="164"/>
      <c r="B613" s="138" t="str">
        <f t="shared" si="417"/>
        <v>Modern Foreign Languages</v>
      </c>
      <c r="C613" s="507">
        <f>Data_selected_by_user_testing!D244</f>
        <v>3.8975877543540892E-2</v>
      </c>
    </row>
    <row r="614" spans="1:14" s="5" customFormat="1">
      <c r="A614" s="164"/>
      <c r="B614" s="138" t="str">
        <f t="shared" si="417"/>
        <v>Music</v>
      </c>
      <c r="C614" s="507">
        <f>Data_selected_by_user_testing!D245</f>
        <v>4.5052436211548266E-2</v>
      </c>
    </row>
    <row r="615" spans="1:14" s="5" customFormat="1">
      <c r="A615" s="164"/>
      <c r="B615" s="138" t="str">
        <f t="shared" si="417"/>
        <v>Others</v>
      </c>
      <c r="C615" s="507">
        <f>Data_selected_by_user_testing!D246</f>
        <v>0.13826981448484513</v>
      </c>
    </row>
    <row r="616" spans="1:14" s="5" customFormat="1">
      <c r="A616" s="164"/>
      <c r="B616" s="138" t="str">
        <f t="shared" si="417"/>
        <v>Physical Education</v>
      </c>
      <c r="C616" s="507">
        <f>Data_selected_by_user_testing!D247</f>
        <v>4.057770218571477E-2</v>
      </c>
    </row>
    <row r="617" spans="1:14" s="5" customFormat="1">
      <c r="A617" s="164"/>
      <c r="B617" s="138" t="str">
        <f t="shared" si="417"/>
        <v>Physics</v>
      </c>
      <c r="C617" s="507">
        <f>Data_selected_by_user_testing!D248</f>
        <v>3.5327821376179305E-2</v>
      </c>
    </row>
    <row r="618" spans="1:14" s="5" customFormat="1">
      <c r="A618" s="164"/>
      <c r="B618" s="138" t="str">
        <f t="shared" si="417"/>
        <v>Religious Education</v>
      </c>
      <c r="C618" s="507">
        <f>Data_selected_by_user_testing!D249</f>
        <v>5.4816797336101404E-2</v>
      </c>
    </row>
    <row r="620" spans="1:14">
      <c r="B620" s="75" t="s">
        <v>261</v>
      </c>
      <c r="E620" s="12"/>
    </row>
    <row r="621" spans="1:14">
      <c r="B621" s="12"/>
    </row>
    <row r="622" spans="1:14">
      <c r="B622" s="138" t="str">
        <f t="shared" ref="B622:B641" si="418">B599</f>
        <v>Subject</v>
      </c>
      <c r="C622" s="138" t="str">
        <f t="shared" ref="C622:N622" si="419">C572</f>
        <v>2017/18</v>
      </c>
      <c r="D622" s="138" t="str">
        <f t="shared" si="419"/>
        <v>2018/19</v>
      </c>
      <c r="E622" s="138" t="str">
        <f t="shared" si="419"/>
        <v>2019/20</v>
      </c>
      <c r="F622" s="138" t="str">
        <f t="shared" si="419"/>
        <v>2020/21</v>
      </c>
      <c r="G622" s="138" t="str">
        <f t="shared" si="419"/>
        <v>2021/22</v>
      </c>
      <c r="H622" s="138" t="str">
        <f t="shared" si="419"/>
        <v>2022/23</v>
      </c>
      <c r="I622" s="138" t="str">
        <f t="shared" si="419"/>
        <v>2023/24</v>
      </c>
      <c r="J622" s="138" t="str">
        <f t="shared" si="419"/>
        <v>2024/25</v>
      </c>
      <c r="K622" s="138" t="str">
        <f t="shared" si="419"/>
        <v>2025/26</v>
      </c>
      <c r="L622" s="138" t="str">
        <f t="shared" si="419"/>
        <v>2026/27</v>
      </c>
      <c r="M622" s="138" t="str">
        <f t="shared" si="419"/>
        <v>2027/28</v>
      </c>
      <c r="N622" s="138" t="str">
        <f t="shared" si="419"/>
        <v>2028/29</v>
      </c>
    </row>
    <row r="623" spans="1:14" s="5" customFormat="1">
      <c r="A623" s="164"/>
      <c r="B623" s="138" t="str">
        <f t="shared" si="418"/>
        <v>Art &amp; Design</v>
      </c>
      <c r="C623" s="276">
        <f t="shared" ref="C623:N623" si="420">C573-($C600*C573)</f>
        <v>8089.5540643163376</v>
      </c>
      <c r="D623" s="276">
        <f t="shared" si="420"/>
        <v>8060.7474464650004</v>
      </c>
      <c r="E623" s="276">
        <f t="shared" si="420"/>
        <v>8082.7517622230034</v>
      </c>
      <c r="F623" s="276">
        <f t="shared" si="420"/>
        <v>8093.4095363281858</v>
      </c>
      <c r="G623" s="276">
        <f t="shared" si="420"/>
        <v>8086.7132472732837</v>
      </c>
      <c r="H623" s="276">
        <f t="shared" si="420"/>
        <v>8060.4662653074993</v>
      </c>
      <c r="I623" s="276">
        <f t="shared" si="420"/>
        <v>8086.1586698513274</v>
      </c>
      <c r="J623" s="276">
        <f t="shared" si="420"/>
        <v>8141.5369499916969</v>
      </c>
      <c r="K623" s="276">
        <f t="shared" si="420"/>
        <v>8146.953482534841</v>
      </c>
      <c r="L623" s="276">
        <f t="shared" si="420"/>
        <v>8125.0765131323897</v>
      </c>
      <c r="M623" s="276">
        <f t="shared" si="420"/>
        <v>8125.0341687719756</v>
      </c>
      <c r="N623" s="276">
        <f t="shared" si="420"/>
        <v>8132.6904640469102</v>
      </c>
    </row>
    <row r="624" spans="1:14" s="5" customFormat="1">
      <c r="A624" s="164"/>
      <c r="B624" s="138" t="str">
        <f t="shared" si="418"/>
        <v>Biology</v>
      </c>
      <c r="C624" s="276">
        <f t="shared" ref="C624:N624" si="421">C574-($C601*C574)</f>
        <v>12318.6629831685</v>
      </c>
      <c r="D624" s="276">
        <f t="shared" si="421"/>
        <v>12430.855335898372</v>
      </c>
      <c r="E624" s="276">
        <f t="shared" si="421"/>
        <v>12542.486134861922</v>
      </c>
      <c r="F624" s="276">
        <f t="shared" si="421"/>
        <v>12643.543720995483</v>
      </c>
      <c r="G624" s="276">
        <f t="shared" si="421"/>
        <v>12764.282686945471</v>
      </c>
      <c r="H624" s="276">
        <f t="shared" si="421"/>
        <v>12906.83001619469</v>
      </c>
      <c r="I624" s="276">
        <f t="shared" si="421"/>
        <v>13058.37584260101</v>
      </c>
      <c r="J624" s="276">
        <f t="shared" si="421"/>
        <v>13161.944557002342</v>
      </c>
      <c r="K624" s="276">
        <f t="shared" si="421"/>
        <v>13230.669606666757</v>
      </c>
      <c r="L624" s="276">
        <f t="shared" si="421"/>
        <v>13263.185365824398</v>
      </c>
      <c r="M624" s="276">
        <f t="shared" si="421"/>
        <v>13249.674498322198</v>
      </c>
      <c r="N624" s="276">
        <f t="shared" si="421"/>
        <v>13195.732739952964</v>
      </c>
    </row>
    <row r="625" spans="1:14" s="5" customFormat="1">
      <c r="A625" s="164"/>
      <c r="B625" s="138" t="str">
        <f t="shared" si="418"/>
        <v>Business Studies</v>
      </c>
      <c r="C625" s="276">
        <f t="shared" ref="C625:N625" si="422">C575-($C602*C575)</f>
        <v>3881.3803858866468</v>
      </c>
      <c r="D625" s="276">
        <f t="shared" si="422"/>
        <v>3797.8888289148053</v>
      </c>
      <c r="E625" s="276">
        <f t="shared" si="422"/>
        <v>3742.9101835736583</v>
      </c>
      <c r="F625" s="276">
        <f t="shared" si="422"/>
        <v>3732.6662022919718</v>
      </c>
      <c r="G625" s="276">
        <f t="shared" si="422"/>
        <v>3743.6928729263068</v>
      </c>
      <c r="H625" s="276">
        <f t="shared" si="422"/>
        <v>3780.2009231604229</v>
      </c>
      <c r="I625" s="276">
        <f t="shared" si="422"/>
        <v>3822.013379152203</v>
      </c>
      <c r="J625" s="276">
        <f t="shared" si="422"/>
        <v>3886.3469314109389</v>
      </c>
      <c r="K625" s="276">
        <f t="shared" si="422"/>
        <v>3949.0410620806938</v>
      </c>
      <c r="L625" s="276">
        <f t="shared" si="422"/>
        <v>4005.3491520331768</v>
      </c>
      <c r="M625" s="276">
        <f t="shared" si="422"/>
        <v>4028.9808129980165</v>
      </c>
      <c r="N625" s="276">
        <f t="shared" si="422"/>
        <v>4020.706020224975</v>
      </c>
    </row>
    <row r="626" spans="1:14" s="5" customFormat="1">
      <c r="A626" s="164"/>
      <c r="B626" s="138" t="str">
        <f t="shared" si="418"/>
        <v>Chemistry</v>
      </c>
      <c r="C626" s="276">
        <f t="shared" ref="C626:N626" si="423">C576-($C603*C576)</f>
        <v>10896.284169016637</v>
      </c>
      <c r="D626" s="276">
        <f t="shared" si="423"/>
        <v>11002.935829109545</v>
      </c>
      <c r="E626" s="276">
        <f t="shared" si="423"/>
        <v>11103.173296540359</v>
      </c>
      <c r="F626" s="276">
        <f t="shared" si="423"/>
        <v>11193.803782266205</v>
      </c>
      <c r="G626" s="276">
        <f t="shared" si="423"/>
        <v>11305.034003721705</v>
      </c>
      <c r="H626" s="276">
        <f t="shared" si="423"/>
        <v>11439.711683313926</v>
      </c>
      <c r="I626" s="276">
        <f t="shared" si="423"/>
        <v>11572.64604515582</v>
      </c>
      <c r="J626" s="276">
        <f t="shared" si="423"/>
        <v>11664.160076164777</v>
      </c>
      <c r="K626" s="276">
        <f t="shared" si="423"/>
        <v>11734.231883996306</v>
      </c>
      <c r="L626" s="276">
        <f t="shared" si="423"/>
        <v>11774.418855501839</v>
      </c>
      <c r="M626" s="276">
        <f t="shared" si="423"/>
        <v>11759.590645675262</v>
      </c>
      <c r="N626" s="276">
        <f t="shared" si="423"/>
        <v>11698.057744069438</v>
      </c>
    </row>
    <row r="627" spans="1:14" s="5" customFormat="1">
      <c r="A627" s="164"/>
      <c r="B627" s="138" t="str">
        <f t="shared" si="418"/>
        <v>Classics</v>
      </c>
      <c r="C627" s="276">
        <f t="shared" ref="C627:N627" si="424">C577-($C604*C577)</f>
        <v>299.02120443268882</v>
      </c>
      <c r="D627" s="276">
        <f t="shared" si="424"/>
        <v>296.23168899349145</v>
      </c>
      <c r="E627" s="276">
        <f t="shared" si="424"/>
        <v>295.6987372940045</v>
      </c>
      <c r="F627" s="276">
        <f t="shared" si="424"/>
        <v>297.1058104636557</v>
      </c>
      <c r="G627" s="276">
        <f t="shared" si="424"/>
        <v>299.34681810002053</v>
      </c>
      <c r="H627" s="276">
        <f t="shared" si="424"/>
        <v>302.47448555318738</v>
      </c>
      <c r="I627" s="276">
        <f t="shared" si="424"/>
        <v>306.60569837949043</v>
      </c>
      <c r="J627" s="276">
        <f t="shared" si="424"/>
        <v>310.30065175411943</v>
      </c>
      <c r="K627" s="276">
        <f t="shared" si="424"/>
        <v>312.32041372516829</v>
      </c>
      <c r="L627" s="276">
        <f t="shared" si="424"/>
        <v>313.35029281296602</v>
      </c>
      <c r="M627" s="276">
        <f t="shared" si="424"/>
        <v>314.31083600030951</v>
      </c>
      <c r="N627" s="276">
        <f t="shared" si="424"/>
        <v>314.97140769012987</v>
      </c>
    </row>
    <row r="628" spans="1:14" s="5" customFormat="1">
      <c r="A628" s="164"/>
      <c r="B628" s="138" t="str">
        <f t="shared" si="418"/>
        <v>Computing</v>
      </c>
      <c r="C628" s="276">
        <f t="shared" ref="C628:N628" si="425">C578-($C605*C578)</f>
        <v>6886.2117410603414</v>
      </c>
      <c r="D628" s="276">
        <f t="shared" si="425"/>
        <v>6858.8559812158583</v>
      </c>
      <c r="E628" s="276">
        <f t="shared" si="425"/>
        <v>6873.8926369224801</v>
      </c>
      <c r="F628" s="276">
        <f t="shared" si="425"/>
        <v>6881.6845608980666</v>
      </c>
      <c r="G628" s="276">
        <f t="shared" si="425"/>
        <v>6879.4126362278994</v>
      </c>
      <c r="H628" s="276">
        <f t="shared" si="425"/>
        <v>6866.6071292678153</v>
      </c>
      <c r="I628" s="276">
        <f t="shared" si="425"/>
        <v>6890.5558365845072</v>
      </c>
      <c r="J628" s="276">
        <f t="shared" si="425"/>
        <v>6940.5384940871572</v>
      </c>
      <c r="K628" s="276">
        <f t="shared" si="425"/>
        <v>6958.6896565772204</v>
      </c>
      <c r="L628" s="276">
        <f t="shared" si="425"/>
        <v>6956.2019716804443</v>
      </c>
      <c r="M628" s="276">
        <f t="shared" si="425"/>
        <v>6955.3875819762616</v>
      </c>
      <c r="N628" s="276">
        <f t="shared" si="425"/>
        <v>6947.8634032138971</v>
      </c>
    </row>
    <row r="629" spans="1:14" s="5" customFormat="1">
      <c r="A629" s="164"/>
      <c r="B629" s="138" t="str">
        <f t="shared" si="418"/>
        <v>Design &amp; Technology</v>
      </c>
      <c r="C629" s="276">
        <f t="shared" ref="C629:N629" si="426">C579-($C606*C579)</f>
        <v>9723.9372735583838</v>
      </c>
      <c r="D629" s="276">
        <f t="shared" si="426"/>
        <v>9730.713572541621</v>
      </c>
      <c r="E629" s="276">
        <f t="shared" si="426"/>
        <v>9795.7800392161698</v>
      </c>
      <c r="F629" s="276">
        <f t="shared" si="426"/>
        <v>9817.6475451427996</v>
      </c>
      <c r="G629" s="276">
        <f t="shared" si="426"/>
        <v>9802.422714787177</v>
      </c>
      <c r="H629" s="276">
        <f t="shared" si="426"/>
        <v>9744.7648783038912</v>
      </c>
      <c r="I629" s="276">
        <f t="shared" si="426"/>
        <v>9758.6780163501626</v>
      </c>
      <c r="J629" s="276">
        <f t="shared" si="426"/>
        <v>9803.3475100151809</v>
      </c>
      <c r="K629" s="276">
        <f t="shared" si="426"/>
        <v>9778.1954784920508</v>
      </c>
      <c r="L629" s="276">
        <f t="shared" si="426"/>
        <v>9717.0736890616008</v>
      </c>
      <c r="M629" s="276">
        <f t="shared" si="426"/>
        <v>9702.3721370678686</v>
      </c>
      <c r="N629" s="276">
        <f t="shared" si="426"/>
        <v>9713.8346471091481</v>
      </c>
    </row>
    <row r="630" spans="1:14" s="5" customFormat="1">
      <c r="A630" s="164"/>
      <c r="B630" s="138" t="str">
        <f t="shared" si="418"/>
        <v>Drama</v>
      </c>
      <c r="C630" s="276">
        <f t="shared" ref="C630:N630" si="427">C580-($C607*C580)</f>
        <v>4794.803353271901</v>
      </c>
      <c r="D630" s="276">
        <f t="shared" si="427"/>
        <v>4785.8628625012416</v>
      </c>
      <c r="E630" s="276">
        <f t="shared" si="427"/>
        <v>4806.7824513610158</v>
      </c>
      <c r="F630" s="276">
        <f t="shared" si="427"/>
        <v>4815.2135337316658</v>
      </c>
      <c r="G630" s="276">
        <f t="shared" si="427"/>
        <v>4809.377669292955</v>
      </c>
      <c r="H630" s="276">
        <f t="shared" si="427"/>
        <v>4787.1443549504802</v>
      </c>
      <c r="I630" s="276">
        <f t="shared" si="427"/>
        <v>4799.1267567244358</v>
      </c>
      <c r="J630" s="276">
        <f t="shared" si="427"/>
        <v>4827.4090092019815</v>
      </c>
      <c r="K630" s="276">
        <f t="shared" si="427"/>
        <v>4821.6459302537714</v>
      </c>
      <c r="L630" s="276">
        <f t="shared" si="427"/>
        <v>4798.481226743882</v>
      </c>
      <c r="M630" s="276">
        <f t="shared" si="427"/>
        <v>4796.064068420972</v>
      </c>
      <c r="N630" s="276">
        <f t="shared" si="427"/>
        <v>4804.5450930303432</v>
      </c>
    </row>
    <row r="631" spans="1:14" s="5" customFormat="1">
      <c r="A631" s="164"/>
      <c r="B631" s="138" t="str">
        <f t="shared" si="418"/>
        <v>English</v>
      </c>
      <c r="C631" s="276">
        <f t="shared" ref="C631:N631" si="428">C581-($C608*C581)</f>
        <v>30334.045422360272</v>
      </c>
      <c r="D631" s="276">
        <f t="shared" si="428"/>
        <v>31134.668074249341</v>
      </c>
      <c r="E631" s="276">
        <f t="shared" si="428"/>
        <v>31550.424741367737</v>
      </c>
      <c r="F631" s="276">
        <f t="shared" si="428"/>
        <v>31856.821512469844</v>
      </c>
      <c r="G631" s="276">
        <f t="shared" si="428"/>
        <v>32164.831007781457</v>
      </c>
      <c r="H631" s="276">
        <f t="shared" si="428"/>
        <v>32472.152387487833</v>
      </c>
      <c r="I631" s="276">
        <f t="shared" si="428"/>
        <v>32827.766062176583</v>
      </c>
      <c r="J631" s="276">
        <f t="shared" si="428"/>
        <v>33010.891318920854</v>
      </c>
      <c r="K631" s="276">
        <f t="shared" si="428"/>
        <v>33087.00301484338</v>
      </c>
      <c r="L631" s="276">
        <f t="shared" si="428"/>
        <v>33063.748664034851</v>
      </c>
      <c r="M631" s="276">
        <f t="shared" si="428"/>
        <v>32971.683142454873</v>
      </c>
      <c r="N631" s="276">
        <f t="shared" si="428"/>
        <v>32821.598064010017</v>
      </c>
    </row>
    <row r="632" spans="1:14" s="5" customFormat="1">
      <c r="A632" s="164"/>
      <c r="B632" s="138" t="str">
        <f t="shared" si="418"/>
        <v>Food</v>
      </c>
      <c r="C632" s="276">
        <f t="shared" ref="C632:N632" si="429">C582-($C609*C582)</f>
        <v>1956.2535049672433</v>
      </c>
      <c r="D632" s="276">
        <f t="shared" si="429"/>
        <v>1959.5361842003301</v>
      </c>
      <c r="E632" s="276">
        <f t="shared" si="429"/>
        <v>1973.050169889354</v>
      </c>
      <c r="F632" s="276">
        <f t="shared" si="429"/>
        <v>1977.0348444722242</v>
      </c>
      <c r="G632" s="276">
        <f t="shared" si="429"/>
        <v>1977.4852088545217</v>
      </c>
      <c r="H632" s="276">
        <f t="shared" si="429"/>
        <v>1974.7794548706556</v>
      </c>
      <c r="I632" s="276">
        <f t="shared" si="429"/>
        <v>1978.0669447893681</v>
      </c>
      <c r="J632" s="276">
        <f t="shared" si="429"/>
        <v>1987.8032804778159</v>
      </c>
      <c r="K632" s="276">
        <f t="shared" si="429"/>
        <v>1996.0406566594697</v>
      </c>
      <c r="L632" s="276">
        <f t="shared" si="429"/>
        <v>1999.9762782551843</v>
      </c>
      <c r="M632" s="276">
        <f t="shared" si="429"/>
        <v>1994.0423995431088</v>
      </c>
      <c r="N632" s="276">
        <f t="shared" si="429"/>
        <v>1978.4589946281467</v>
      </c>
    </row>
    <row r="633" spans="1:14" s="5" customFormat="1">
      <c r="A633" s="164"/>
      <c r="B633" s="138" t="str">
        <f t="shared" si="418"/>
        <v>Geography</v>
      </c>
      <c r="C633" s="276">
        <f>C583-($C610*C583)</f>
        <v>10803.079082425373</v>
      </c>
      <c r="D633" s="276">
        <f t="shared" ref="D633:N633" si="430">D583-($C610*D583)</f>
        <v>10913.97383137792</v>
      </c>
      <c r="E633" s="276">
        <f t="shared" si="430"/>
        <v>11040.073537517266</v>
      </c>
      <c r="F633" s="276">
        <f t="shared" si="430"/>
        <v>11141.835814652577</v>
      </c>
      <c r="G633" s="276">
        <f t="shared" si="430"/>
        <v>11235.812997276715</v>
      </c>
      <c r="H633" s="276">
        <f t="shared" si="430"/>
        <v>11318.429527654655</v>
      </c>
      <c r="I633" s="276">
        <f t="shared" si="430"/>
        <v>11447.571971044999</v>
      </c>
      <c r="J633" s="276">
        <f t="shared" si="430"/>
        <v>11514.819044284342</v>
      </c>
      <c r="K633" s="276">
        <f t="shared" si="430"/>
        <v>11515.740365562662</v>
      </c>
      <c r="L633" s="276">
        <f t="shared" si="430"/>
        <v>11475.359015980936</v>
      </c>
      <c r="M633" s="276">
        <f t="shared" si="430"/>
        <v>11454.130023559828</v>
      </c>
      <c r="N633" s="276">
        <f t="shared" si="430"/>
        <v>11445.395839009616</v>
      </c>
    </row>
    <row r="634" spans="1:14" s="5" customFormat="1">
      <c r="A634" s="164"/>
      <c r="B634" s="138" t="str">
        <f t="shared" si="418"/>
        <v>History</v>
      </c>
      <c r="C634" s="276">
        <f t="shared" ref="C634:N634" si="431">C584-($C611*C584)</f>
        <v>11478.78528353108</v>
      </c>
      <c r="D634" s="276">
        <f t="shared" si="431"/>
        <v>11581.968504481012</v>
      </c>
      <c r="E634" s="276">
        <f t="shared" si="431"/>
        <v>11702.36853693105</v>
      </c>
      <c r="F634" s="276">
        <f t="shared" si="431"/>
        <v>11805.823561991971</v>
      </c>
      <c r="G634" s="276">
        <f t="shared" si="431"/>
        <v>11905.04406842778</v>
      </c>
      <c r="H634" s="276">
        <f t="shared" si="431"/>
        <v>11996.878419563651</v>
      </c>
      <c r="I634" s="276">
        <f t="shared" si="431"/>
        <v>12135.936933273137</v>
      </c>
      <c r="J634" s="276">
        <f t="shared" si="431"/>
        <v>12213.749991184312</v>
      </c>
      <c r="K634" s="276">
        <f t="shared" si="431"/>
        <v>12222.822653396182</v>
      </c>
      <c r="L634" s="276">
        <f t="shared" si="431"/>
        <v>12188.797624594896</v>
      </c>
      <c r="M634" s="276">
        <f t="shared" si="431"/>
        <v>12171.21671946704</v>
      </c>
      <c r="N634" s="276">
        <f t="shared" si="431"/>
        <v>12163.2752523872</v>
      </c>
    </row>
    <row r="635" spans="1:14" s="5" customFormat="1">
      <c r="A635" s="164"/>
      <c r="B635" s="138" t="str">
        <f t="shared" si="418"/>
        <v>Mathematics</v>
      </c>
      <c r="C635" s="276">
        <f t="shared" ref="C635:N635" si="432">C585-($C612*C585)</f>
        <v>31263.995988909792</v>
      </c>
      <c r="D635" s="276">
        <f t="shared" si="432"/>
        <v>31800.404380466622</v>
      </c>
      <c r="E635" s="276">
        <f t="shared" si="432"/>
        <v>32332.887872631094</v>
      </c>
      <c r="F635" s="276">
        <f t="shared" si="432"/>
        <v>32621.070537865755</v>
      </c>
      <c r="G635" s="276">
        <f t="shared" si="432"/>
        <v>32924.224090463504</v>
      </c>
      <c r="H635" s="276">
        <f t="shared" si="432"/>
        <v>33241.002281772227</v>
      </c>
      <c r="I635" s="276">
        <f t="shared" si="432"/>
        <v>33619.675080212059</v>
      </c>
      <c r="J635" s="276">
        <f t="shared" si="432"/>
        <v>33841.805741803691</v>
      </c>
      <c r="K635" s="276">
        <f t="shared" si="432"/>
        <v>33939.843565007715</v>
      </c>
      <c r="L635" s="276">
        <f t="shared" si="432"/>
        <v>33934.401268075904</v>
      </c>
      <c r="M635" s="276">
        <f t="shared" si="432"/>
        <v>33872.600336963915</v>
      </c>
      <c r="N635" s="276">
        <f t="shared" si="432"/>
        <v>33758.753682238399</v>
      </c>
    </row>
    <row r="636" spans="1:14" s="5" customFormat="1">
      <c r="A636" s="164"/>
      <c r="B636" s="138" t="str">
        <f t="shared" si="418"/>
        <v>Modern Foreign Languages</v>
      </c>
      <c r="C636" s="276">
        <f t="shared" ref="C636:N636" si="433">C586-($C613*C586)</f>
        <v>14971.501798068488</v>
      </c>
      <c r="D636" s="276">
        <f t="shared" si="433"/>
        <v>15518.448326772366</v>
      </c>
      <c r="E636" s="276">
        <f t="shared" si="433"/>
        <v>16134.071227593558</v>
      </c>
      <c r="F636" s="276">
        <f t="shared" si="433"/>
        <v>16812.756948289185</v>
      </c>
      <c r="G636" s="276">
        <f t="shared" si="433"/>
        <v>17630.402554431716</v>
      </c>
      <c r="H636" s="276">
        <f t="shared" si="433"/>
        <v>18578.0202666437</v>
      </c>
      <c r="I636" s="276">
        <f t="shared" si="433"/>
        <v>19452.46551534941</v>
      </c>
      <c r="J636" s="276">
        <f t="shared" si="433"/>
        <v>19600.61185016208</v>
      </c>
      <c r="K636" s="276">
        <f t="shared" si="433"/>
        <v>19598.097876335123</v>
      </c>
      <c r="L636" s="276">
        <f t="shared" si="433"/>
        <v>19497.170074560905</v>
      </c>
      <c r="M636" s="276">
        <f t="shared" si="433"/>
        <v>19427.392336902663</v>
      </c>
      <c r="N636" s="276">
        <f t="shared" si="433"/>
        <v>19438.746388143565</v>
      </c>
    </row>
    <row r="637" spans="1:14" s="5" customFormat="1">
      <c r="A637" s="164"/>
      <c r="B637" s="138" t="str">
        <f t="shared" si="418"/>
        <v>Music</v>
      </c>
      <c r="C637" s="276">
        <f t="shared" ref="C637:N637" si="434">C587-($C614*C587)</f>
        <v>5031.0938936371076</v>
      </c>
      <c r="D637" s="276">
        <f t="shared" si="434"/>
        <v>5031.8745371214309</v>
      </c>
      <c r="E637" s="276">
        <f t="shared" si="434"/>
        <v>5063.8831159871925</v>
      </c>
      <c r="F637" s="276">
        <f t="shared" si="434"/>
        <v>5075.1545133812051</v>
      </c>
      <c r="G637" s="276">
        <f t="shared" si="434"/>
        <v>5065.2937855486989</v>
      </c>
      <c r="H637" s="276">
        <f t="shared" si="434"/>
        <v>5030.6980732445454</v>
      </c>
      <c r="I637" s="276">
        <f t="shared" si="434"/>
        <v>5038.2076146806994</v>
      </c>
      <c r="J637" s="276">
        <f t="shared" si="434"/>
        <v>5061.6281804127666</v>
      </c>
      <c r="K637" s="276">
        <f t="shared" si="434"/>
        <v>5041.1826092764768</v>
      </c>
      <c r="L637" s="276">
        <f t="shared" si="434"/>
        <v>5000.3471421257582</v>
      </c>
      <c r="M637" s="276">
        <f t="shared" si="434"/>
        <v>4995.1881811491194</v>
      </c>
      <c r="N637" s="276">
        <f t="shared" si="434"/>
        <v>5012.5751161913176</v>
      </c>
    </row>
    <row r="638" spans="1:14" s="5" customFormat="1">
      <c r="A638" s="164"/>
      <c r="B638" s="138" t="str">
        <f t="shared" si="418"/>
        <v>Others</v>
      </c>
      <c r="C638" s="276">
        <f t="shared" ref="C638:N638" si="435">C588-($C615*C588)</f>
        <v>13467.698732576104</v>
      </c>
      <c r="D638" s="276">
        <f t="shared" si="435"/>
        <v>13191.52552967619</v>
      </c>
      <c r="E638" s="276">
        <f t="shared" si="435"/>
        <v>13018.58476788241</v>
      </c>
      <c r="F638" s="276">
        <f t="shared" si="435"/>
        <v>12986.409988305681</v>
      </c>
      <c r="G638" s="276">
        <f t="shared" si="435"/>
        <v>13000.806126678135</v>
      </c>
      <c r="H638" s="276">
        <f t="shared" si="435"/>
        <v>13068.681049346382</v>
      </c>
      <c r="I638" s="276">
        <f t="shared" si="435"/>
        <v>13197.505351724647</v>
      </c>
      <c r="J638" s="276">
        <f t="shared" si="435"/>
        <v>13404.409559926506</v>
      </c>
      <c r="K638" s="276">
        <f t="shared" si="435"/>
        <v>13547.048201836704</v>
      </c>
      <c r="L638" s="276">
        <f t="shared" si="435"/>
        <v>13653.49407142097</v>
      </c>
      <c r="M638" s="276">
        <f t="shared" si="435"/>
        <v>13739.843528795254</v>
      </c>
      <c r="N638" s="276">
        <f t="shared" si="435"/>
        <v>13788.227928042717</v>
      </c>
    </row>
    <row r="639" spans="1:14" s="5" customFormat="1">
      <c r="A639" s="164"/>
      <c r="B639" s="138" t="str">
        <f t="shared" si="418"/>
        <v>Physical Education</v>
      </c>
      <c r="C639" s="276">
        <f t="shared" ref="C639:N639" si="436">C589-($C616*C589)</f>
        <v>16467.262477428438</v>
      </c>
      <c r="D639" s="276">
        <f t="shared" si="436"/>
        <v>16482.014449636485</v>
      </c>
      <c r="E639" s="276">
        <f t="shared" si="436"/>
        <v>16590.416376455454</v>
      </c>
      <c r="F639" s="276">
        <f t="shared" si="436"/>
        <v>16626.361766054804</v>
      </c>
      <c r="G639" s="276">
        <f t="shared" si="436"/>
        <v>16616.544724022035</v>
      </c>
      <c r="H639" s="276">
        <f t="shared" si="436"/>
        <v>16557.647838055684</v>
      </c>
      <c r="I639" s="276">
        <f t="shared" si="436"/>
        <v>16586.779985111461</v>
      </c>
      <c r="J639" s="276">
        <f t="shared" si="436"/>
        <v>16667.969198455685</v>
      </c>
      <c r="K639" s="276">
        <f t="shared" si="436"/>
        <v>16678.773728357537</v>
      </c>
      <c r="L639" s="276">
        <f t="shared" si="436"/>
        <v>16639.88761305494</v>
      </c>
      <c r="M639" s="276">
        <f t="shared" si="436"/>
        <v>16605.50062864659</v>
      </c>
      <c r="N639" s="276">
        <f t="shared" si="436"/>
        <v>16557.904130163955</v>
      </c>
    </row>
    <row r="640" spans="1:14" s="5" customFormat="1">
      <c r="A640" s="164"/>
      <c r="B640" s="138" t="str">
        <f t="shared" si="418"/>
        <v>Physics</v>
      </c>
      <c r="C640" s="276">
        <f t="shared" ref="C640:N640" si="437">C590-($C617*C590)</f>
        <v>10747.938420584598</v>
      </c>
      <c r="D640" s="276">
        <f t="shared" si="437"/>
        <v>10870.436031513067</v>
      </c>
      <c r="E640" s="276">
        <f t="shared" si="437"/>
        <v>10983.264747183021</v>
      </c>
      <c r="F640" s="276">
        <f t="shared" si="437"/>
        <v>11078.439550324605</v>
      </c>
      <c r="G640" s="276">
        <f t="shared" si="437"/>
        <v>11190.530438833801</v>
      </c>
      <c r="H640" s="276">
        <f t="shared" si="437"/>
        <v>11321.974429879834</v>
      </c>
      <c r="I640" s="276">
        <f t="shared" si="437"/>
        <v>11450.519442099525</v>
      </c>
      <c r="J640" s="276">
        <f t="shared" si="437"/>
        <v>11533.445875248595</v>
      </c>
      <c r="K640" s="276">
        <f t="shared" si="437"/>
        <v>11596.832841396888</v>
      </c>
      <c r="L640" s="276">
        <f t="shared" si="437"/>
        <v>11630.671884863244</v>
      </c>
      <c r="M640" s="276">
        <f t="shared" si="437"/>
        <v>11609.264983572455</v>
      </c>
      <c r="N640" s="276">
        <f t="shared" si="437"/>
        <v>11541.782789734341</v>
      </c>
    </row>
    <row r="641" spans="1:14" s="5" customFormat="1">
      <c r="A641" s="164"/>
      <c r="B641" s="138" t="str">
        <f t="shared" si="418"/>
        <v>Religious Education</v>
      </c>
      <c r="C641" s="276">
        <f t="shared" ref="C641:N641" si="438">C591-($C618*C591)</f>
        <v>7253.8944869877287</v>
      </c>
      <c r="D641" s="276">
        <f t="shared" si="438"/>
        <v>7249.5624630229613</v>
      </c>
      <c r="E641" s="276">
        <f t="shared" si="438"/>
        <v>7287.7369741211323</v>
      </c>
      <c r="F641" s="276">
        <f t="shared" si="438"/>
        <v>7301.1702138647452</v>
      </c>
      <c r="G641" s="276">
        <f t="shared" si="438"/>
        <v>7296.432424840199</v>
      </c>
      <c r="H641" s="276">
        <f t="shared" si="438"/>
        <v>7272.0769251326656</v>
      </c>
      <c r="I641" s="276">
        <f t="shared" si="438"/>
        <v>7288.0563023744571</v>
      </c>
      <c r="J641" s="276">
        <f t="shared" si="438"/>
        <v>7328.5650940326677</v>
      </c>
      <c r="K641" s="276">
        <f t="shared" si="438"/>
        <v>7335.0529973574376</v>
      </c>
      <c r="L641" s="276">
        <f t="shared" si="438"/>
        <v>7319.1753367670381</v>
      </c>
      <c r="M641" s="276">
        <f t="shared" si="438"/>
        <v>7308.7509548267399</v>
      </c>
      <c r="N641" s="276">
        <f t="shared" si="438"/>
        <v>7294.859870680898</v>
      </c>
    </row>
    <row r="642" spans="1:14" s="5" customFormat="1">
      <c r="A642" s="164"/>
      <c r="B642" s="138" t="s">
        <v>8</v>
      </c>
      <c r="C642" s="276">
        <f t="shared" ref="C642:N642" si="439">SUM(C623:C641)</f>
        <v>210665.40426618766</v>
      </c>
      <c r="D642" s="276">
        <f t="shared" si="439"/>
        <v>212698.50385815764</v>
      </c>
      <c r="E642" s="276">
        <f t="shared" si="439"/>
        <v>214920.23730955189</v>
      </c>
      <c r="F642" s="276">
        <f t="shared" si="439"/>
        <v>216757.95394379064</v>
      </c>
      <c r="G642" s="276">
        <f t="shared" si="439"/>
        <v>218697.69007643341</v>
      </c>
      <c r="H642" s="276">
        <f t="shared" si="439"/>
        <v>220720.5403897037</v>
      </c>
      <c r="I642" s="276">
        <f t="shared" si="439"/>
        <v>223316.71144763532</v>
      </c>
      <c r="J642" s="276">
        <f t="shared" si="439"/>
        <v>224901.28331453755</v>
      </c>
      <c r="K642" s="276">
        <f t="shared" si="439"/>
        <v>225490.18602435637</v>
      </c>
      <c r="L642" s="276">
        <f t="shared" si="439"/>
        <v>225356.16604052536</v>
      </c>
      <c r="M642" s="276">
        <f t="shared" si="439"/>
        <v>225081.02798511446</v>
      </c>
      <c r="N642" s="276">
        <f t="shared" si="439"/>
        <v>224629.97957456802</v>
      </c>
    </row>
    <row r="643" spans="1:14">
      <c r="A643" s="10">
        <f>SUM(C643:N643)</f>
        <v>0</v>
      </c>
      <c r="C643" s="10">
        <f>SUM(C623:C641)-C642</f>
        <v>0</v>
      </c>
      <c r="D643" s="10">
        <f t="shared" ref="D643:N643" si="440">SUM(D623:D641)-D642</f>
        <v>0</v>
      </c>
      <c r="E643" s="10">
        <f t="shared" si="440"/>
        <v>0</v>
      </c>
      <c r="F643" s="10">
        <f t="shared" si="440"/>
        <v>0</v>
      </c>
      <c r="G643" s="10">
        <f t="shared" si="440"/>
        <v>0</v>
      </c>
      <c r="H643" s="10">
        <f t="shared" si="440"/>
        <v>0</v>
      </c>
      <c r="I643" s="10">
        <f t="shared" si="440"/>
        <v>0</v>
      </c>
      <c r="J643" s="10">
        <f t="shared" si="440"/>
        <v>0</v>
      </c>
      <c r="K643" s="10">
        <f t="shared" si="440"/>
        <v>0</v>
      </c>
      <c r="L643" s="10">
        <f t="shared" si="440"/>
        <v>0</v>
      </c>
      <c r="M643" s="10">
        <f t="shared" si="440"/>
        <v>0</v>
      </c>
      <c r="N643" s="10">
        <f t="shared" si="440"/>
        <v>0</v>
      </c>
    </row>
    <row r="645" spans="1:14">
      <c r="C645" s="302"/>
      <c r="D645" s="302"/>
      <c r="E645" s="302"/>
    </row>
    <row r="647" spans="1:14">
      <c r="C647" s="302"/>
      <c r="D647" s="302"/>
      <c r="E647" s="302"/>
    </row>
    <row r="649" spans="1:14">
      <c r="C649" s="302"/>
      <c r="D649" s="302"/>
      <c r="E649" s="302"/>
    </row>
  </sheetData>
  <mergeCells count="35">
    <mergeCell ref="J175:N175"/>
    <mergeCell ref="E175:I175"/>
    <mergeCell ref="J173:N173"/>
    <mergeCell ref="J174:N174"/>
    <mergeCell ref="E169:I169"/>
    <mergeCell ref="E172:I172"/>
    <mergeCell ref="E171:I171"/>
    <mergeCell ref="E173:I173"/>
    <mergeCell ref="E170:I170"/>
    <mergeCell ref="E177:I177"/>
    <mergeCell ref="J177:N177"/>
    <mergeCell ref="B19:B20"/>
    <mergeCell ref="C19:E19"/>
    <mergeCell ref="B48:B49"/>
    <mergeCell ref="C48:E48"/>
    <mergeCell ref="B44:B45"/>
    <mergeCell ref="J162:N162"/>
    <mergeCell ref="J169:N169"/>
    <mergeCell ref="J170:N170"/>
    <mergeCell ref="E176:I176"/>
    <mergeCell ref="J176:N176"/>
    <mergeCell ref="E174:I174"/>
    <mergeCell ref="E163:I163"/>
    <mergeCell ref="E162:I162"/>
    <mergeCell ref="E167:I167"/>
    <mergeCell ref="E165:I165"/>
    <mergeCell ref="E166:I166"/>
    <mergeCell ref="D171:D172"/>
    <mergeCell ref="C171:C172"/>
    <mergeCell ref="J171:N172"/>
    <mergeCell ref="E168:I168"/>
    <mergeCell ref="J163:N168"/>
    <mergeCell ref="C163:C168"/>
    <mergeCell ref="D163:D168"/>
    <mergeCell ref="E164:I164"/>
  </mergeCells>
  <conditionalFormatting sqref="Q388">
    <cfRule type="cellIs" dxfId="7" priority="1" stopIfTrue="1" operator="lessThan">
      <formula>0</formula>
    </cfRule>
    <cfRule type="cellIs" dxfId="6" priority="2" stopIfTrue="1" operator="greaterThan">
      <formula>0</formula>
    </cfRule>
  </conditionalFormatting>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Q67"/>
  <sheetViews>
    <sheetView showGridLines="0" workbookViewId="0"/>
  </sheetViews>
  <sheetFormatPr defaultRowHeight="12.75"/>
  <cols>
    <col min="2" max="2" width="37.4257812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row>
    <row r="5" spans="1:17" s="46" customFormat="1">
      <c r="A5" s="59" t="s">
        <v>378</v>
      </c>
      <c r="B5" s="59"/>
      <c r="C5" s="59"/>
      <c r="D5" s="59"/>
      <c r="E5" s="59"/>
      <c r="F5" s="59"/>
      <c r="G5" s="59"/>
      <c r="H5" s="59"/>
      <c r="I5" s="59"/>
      <c r="J5" s="59"/>
      <c r="K5" s="59"/>
      <c r="L5" s="58"/>
      <c r="M5" s="58"/>
      <c r="N5" s="58"/>
      <c r="O5" s="58"/>
      <c r="P5" s="58"/>
      <c r="Q5" s="58"/>
    </row>
    <row r="6" spans="1:17" s="45" customFormat="1">
      <c r="A6" s="55" t="s">
        <v>1392</v>
      </c>
      <c r="B6" s="60"/>
      <c r="C6" s="60"/>
      <c r="D6" s="60"/>
      <c r="E6" s="285"/>
      <c r="F6" s="60"/>
      <c r="G6" s="60"/>
      <c r="H6" s="60"/>
      <c r="I6" s="60"/>
      <c r="J6" s="60"/>
      <c r="K6" s="60"/>
      <c r="L6" s="44"/>
      <c r="M6" s="44"/>
      <c r="N6" s="44"/>
      <c r="O6" s="44"/>
      <c r="P6" s="44"/>
      <c r="Q6" s="44"/>
    </row>
    <row r="7" spans="1:17" s="45" customFormat="1">
      <c r="A7" s="53" t="s">
        <v>1474</v>
      </c>
      <c r="B7" s="55"/>
      <c r="C7" s="60"/>
      <c r="D7" s="60"/>
      <c r="E7" s="285"/>
      <c r="F7" s="60"/>
      <c r="G7" s="60"/>
      <c r="H7" s="60"/>
      <c r="I7" s="60"/>
      <c r="J7" s="60"/>
      <c r="K7" s="60"/>
      <c r="L7" s="44"/>
      <c r="M7" s="44"/>
      <c r="N7" s="44"/>
      <c r="O7" s="44"/>
      <c r="P7" s="44"/>
      <c r="Q7" s="44"/>
    </row>
    <row r="8" spans="1:17" s="45" customFormat="1">
      <c r="A8" s="55" t="s">
        <v>24</v>
      </c>
      <c r="B8" s="60"/>
      <c r="C8" s="60"/>
      <c r="D8" s="60"/>
      <c r="E8" s="285"/>
      <c r="F8" s="60"/>
      <c r="G8" s="60"/>
      <c r="H8" s="60"/>
      <c r="I8" s="60"/>
      <c r="J8" s="60"/>
      <c r="K8" s="60"/>
      <c r="L8" s="44"/>
      <c r="M8" s="44"/>
      <c r="N8" s="44"/>
      <c r="O8" s="44"/>
      <c r="P8" s="44"/>
      <c r="Q8" s="44"/>
    </row>
    <row r="9" spans="1:17" s="45" customFormat="1">
      <c r="A9" s="53" t="s">
        <v>349</v>
      </c>
      <c r="B9" s="60"/>
      <c r="C9" s="60"/>
      <c r="D9" s="60"/>
      <c r="E9" s="285"/>
      <c r="F9" s="60"/>
      <c r="G9" s="60"/>
      <c r="H9" s="60"/>
      <c r="I9" s="60"/>
      <c r="J9" s="60"/>
      <c r="K9" s="60"/>
      <c r="L9" s="44"/>
      <c r="M9" s="44"/>
      <c r="N9" s="44"/>
      <c r="O9" s="44"/>
      <c r="P9" s="44"/>
      <c r="Q9" s="44"/>
    </row>
    <row r="10" spans="1:17" s="49" customFormat="1" ht="13.5" customHeight="1">
      <c r="A10" s="54">
        <f>SUM(A13:A2226)</f>
        <v>0</v>
      </c>
      <c r="B10" s="72"/>
      <c r="C10" s="70"/>
      <c r="D10" s="47"/>
      <c r="E10" s="47"/>
      <c r="F10" s="47"/>
      <c r="G10" s="71"/>
      <c r="H10" s="47"/>
      <c r="I10" s="47"/>
      <c r="J10" s="71"/>
      <c r="K10" s="48"/>
      <c r="L10" s="48"/>
      <c r="M10" s="48"/>
      <c r="N10" s="48"/>
      <c r="O10" s="48"/>
      <c r="P10" s="48"/>
      <c r="Q10" s="48"/>
    </row>
    <row r="12" spans="1:17" ht="15.75">
      <c r="B12" s="77" t="s">
        <v>262</v>
      </c>
    </row>
    <row r="14" spans="1:17">
      <c r="B14" s="8" t="s">
        <v>106</v>
      </c>
      <c r="C14" s="8" t="str">
        <f>Teacher_need_by_subject!C622</f>
        <v>2017/18</v>
      </c>
      <c r="D14" s="8" t="str">
        <f>Teacher_need_by_subject!D622</f>
        <v>2018/19</v>
      </c>
      <c r="E14" s="8" t="str">
        <f>Teacher_need_by_subject!E622</f>
        <v>2019/20</v>
      </c>
      <c r="F14" s="8" t="str">
        <f>Teacher_need_by_subject!F622</f>
        <v>2020/21</v>
      </c>
      <c r="G14" s="8" t="str">
        <f>Teacher_need_by_subject!G622</f>
        <v>2021/22</v>
      </c>
      <c r="H14" s="8" t="str">
        <f>Teacher_need_by_subject!H622</f>
        <v>2022/23</v>
      </c>
      <c r="I14" s="8" t="str">
        <f>Teacher_need_by_subject!I622</f>
        <v>2023/24</v>
      </c>
      <c r="J14" s="8" t="str">
        <f>Teacher_need_by_subject!J622</f>
        <v>2024/25</v>
      </c>
      <c r="K14" s="8" t="str">
        <f>Teacher_need_by_subject!K622</f>
        <v>2025/26</v>
      </c>
      <c r="L14" s="8" t="str">
        <f>Teacher_need_by_subject!L622</f>
        <v>2026/27</v>
      </c>
      <c r="M14" s="8" t="str">
        <f>Teacher_need_by_subject!M622</f>
        <v>2027/28</v>
      </c>
      <c r="N14" s="8" t="str">
        <f>Teacher_need_by_subject!N622</f>
        <v>2028/29</v>
      </c>
    </row>
    <row r="15" spans="1:17">
      <c r="B15" s="8" t="s">
        <v>40</v>
      </c>
      <c r="C15" s="433">
        <f>Calc_Primary_teacher_need!P63</f>
        <v>243605.32104784102</v>
      </c>
      <c r="D15" s="433">
        <f>Calc_Primary_teacher_need!Q63</f>
        <v>244269.7542551799</v>
      </c>
      <c r="E15" s="433">
        <f>Calc_Primary_teacher_need!R63</f>
        <v>244274.82192656255</v>
      </c>
      <c r="F15" s="433">
        <f>Calc_Primary_teacher_need!S63</f>
        <v>244504.52764222646</v>
      </c>
      <c r="G15" s="433">
        <f>Calc_Primary_teacher_need!T63</f>
        <v>244565.62003293994</v>
      </c>
      <c r="H15" s="433">
        <f>Calc_Primary_teacher_need!U63</f>
        <v>244409.39158641128</v>
      </c>
      <c r="I15" s="433">
        <f>Calc_Primary_teacher_need!V63</f>
        <v>244013.68182205909</v>
      </c>
      <c r="J15" s="433">
        <f>Calc_Primary_teacher_need!W63</f>
        <v>244249.37361793657</v>
      </c>
      <c r="K15" s="433">
        <f>Calc_Primary_teacher_need!X63</f>
        <v>244933.35980853782</v>
      </c>
      <c r="L15" s="433">
        <f>Calc_Primary_teacher_need!Y63</f>
        <v>245669.86163246437</v>
      </c>
      <c r="M15" s="433">
        <f>Calc_Primary_teacher_need!Z63</f>
        <v>246231.24083518205</v>
      </c>
      <c r="N15" s="433">
        <f>Calc_Primary_teacher_need!AA63</f>
        <v>246609.75140378298</v>
      </c>
    </row>
    <row r="16" spans="1:17">
      <c r="B16" s="8" t="str">
        <f>Teacher_need_by_subject!B623</f>
        <v>Art &amp; Design</v>
      </c>
      <c r="C16" s="300">
        <f>Teacher_need_by_subject!C623</f>
        <v>8089.5540643163376</v>
      </c>
      <c r="D16" s="300">
        <f>Teacher_need_by_subject!D623</f>
        <v>8060.7474464650004</v>
      </c>
      <c r="E16" s="300">
        <f>Teacher_need_by_subject!E623</f>
        <v>8082.7517622230034</v>
      </c>
      <c r="F16" s="300">
        <f>Teacher_need_by_subject!F623</f>
        <v>8093.4095363281858</v>
      </c>
      <c r="G16" s="300">
        <f>Teacher_need_by_subject!G623</f>
        <v>8086.7132472732837</v>
      </c>
      <c r="H16" s="300">
        <f>Teacher_need_by_subject!H623</f>
        <v>8060.4662653074993</v>
      </c>
      <c r="I16" s="300">
        <f>Teacher_need_by_subject!I623</f>
        <v>8086.1586698513274</v>
      </c>
      <c r="J16" s="300">
        <f>Teacher_need_by_subject!J623</f>
        <v>8141.5369499916969</v>
      </c>
      <c r="K16" s="300">
        <f>Teacher_need_by_subject!K623</f>
        <v>8146.953482534841</v>
      </c>
      <c r="L16" s="300">
        <f>Teacher_need_by_subject!L623</f>
        <v>8125.0765131323897</v>
      </c>
      <c r="M16" s="300">
        <f>Teacher_need_by_subject!M623</f>
        <v>8125.0341687719756</v>
      </c>
      <c r="N16" s="300">
        <f>Teacher_need_by_subject!N623</f>
        <v>8132.6904640469102</v>
      </c>
    </row>
    <row r="17" spans="2:14">
      <c r="B17" s="8" t="str">
        <f>Teacher_need_by_subject!B624</f>
        <v>Biology</v>
      </c>
      <c r="C17" s="300">
        <f>Teacher_need_by_subject!C624</f>
        <v>12318.6629831685</v>
      </c>
      <c r="D17" s="300">
        <f>Teacher_need_by_subject!D624</f>
        <v>12430.855335898372</v>
      </c>
      <c r="E17" s="300">
        <f>Teacher_need_by_subject!E624</f>
        <v>12542.486134861922</v>
      </c>
      <c r="F17" s="300">
        <f>Teacher_need_by_subject!F624</f>
        <v>12643.543720995483</v>
      </c>
      <c r="G17" s="300">
        <f>Teacher_need_by_subject!G624</f>
        <v>12764.282686945471</v>
      </c>
      <c r="H17" s="300">
        <f>Teacher_need_by_subject!H624</f>
        <v>12906.83001619469</v>
      </c>
      <c r="I17" s="300">
        <f>Teacher_need_by_subject!I624</f>
        <v>13058.37584260101</v>
      </c>
      <c r="J17" s="300">
        <f>Teacher_need_by_subject!J624</f>
        <v>13161.944557002342</v>
      </c>
      <c r="K17" s="300">
        <f>Teacher_need_by_subject!K624</f>
        <v>13230.669606666757</v>
      </c>
      <c r="L17" s="300">
        <f>Teacher_need_by_subject!L624</f>
        <v>13263.185365824398</v>
      </c>
      <c r="M17" s="300">
        <f>Teacher_need_by_subject!M624</f>
        <v>13249.674498322198</v>
      </c>
      <c r="N17" s="300">
        <f>Teacher_need_by_subject!N624</f>
        <v>13195.732739952964</v>
      </c>
    </row>
    <row r="18" spans="2:14">
      <c r="B18" s="8" t="str">
        <f>Teacher_need_by_subject!B625</f>
        <v>Business Studies</v>
      </c>
      <c r="C18" s="300">
        <f>Teacher_need_by_subject!C625</f>
        <v>3881.3803858866468</v>
      </c>
      <c r="D18" s="300">
        <f>Teacher_need_by_subject!D625</f>
        <v>3797.8888289148053</v>
      </c>
      <c r="E18" s="300">
        <f>Teacher_need_by_subject!E625</f>
        <v>3742.9101835736583</v>
      </c>
      <c r="F18" s="300">
        <f>Teacher_need_by_subject!F625</f>
        <v>3732.6662022919718</v>
      </c>
      <c r="G18" s="300">
        <f>Teacher_need_by_subject!G625</f>
        <v>3743.6928729263068</v>
      </c>
      <c r="H18" s="300">
        <f>Teacher_need_by_subject!H625</f>
        <v>3780.2009231604229</v>
      </c>
      <c r="I18" s="300">
        <f>Teacher_need_by_subject!I625</f>
        <v>3822.013379152203</v>
      </c>
      <c r="J18" s="300">
        <f>Teacher_need_by_subject!J625</f>
        <v>3886.3469314109389</v>
      </c>
      <c r="K18" s="300">
        <f>Teacher_need_by_subject!K625</f>
        <v>3949.0410620806938</v>
      </c>
      <c r="L18" s="300">
        <f>Teacher_need_by_subject!L625</f>
        <v>4005.3491520331768</v>
      </c>
      <c r="M18" s="300">
        <f>Teacher_need_by_subject!M625</f>
        <v>4028.9808129980165</v>
      </c>
      <c r="N18" s="300">
        <f>Teacher_need_by_subject!N625</f>
        <v>4020.706020224975</v>
      </c>
    </row>
    <row r="19" spans="2:14">
      <c r="B19" s="8" t="str">
        <f>Teacher_need_by_subject!B626</f>
        <v>Chemistry</v>
      </c>
      <c r="C19" s="300">
        <f>Teacher_need_by_subject!C626</f>
        <v>10896.284169016637</v>
      </c>
      <c r="D19" s="300">
        <f>Teacher_need_by_subject!D626</f>
        <v>11002.935829109545</v>
      </c>
      <c r="E19" s="300">
        <f>Teacher_need_by_subject!E626</f>
        <v>11103.173296540359</v>
      </c>
      <c r="F19" s="300">
        <f>Teacher_need_by_subject!F626</f>
        <v>11193.803782266205</v>
      </c>
      <c r="G19" s="300">
        <f>Teacher_need_by_subject!G626</f>
        <v>11305.034003721705</v>
      </c>
      <c r="H19" s="300">
        <f>Teacher_need_by_subject!H626</f>
        <v>11439.711683313926</v>
      </c>
      <c r="I19" s="300">
        <f>Teacher_need_by_subject!I626</f>
        <v>11572.64604515582</v>
      </c>
      <c r="J19" s="300">
        <f>Teacher_need_by_subject!J626</f>
        <v>11664.160076164777</v>
      </c>
      <c r="K19" s="300">
        <f>Teacher_need_by_subject!K626</f>
        <v>11734.231883996306</v>
      </c>
      <c r="L19" s="300">
        <f>Teacher_need_by_subject!L626</f>
        <v>11774.418855501839</v>
      </c>
      <c r="M19" s="300">
        <f>Teacher_need_by_subject!M626</f>
        <v>11759.590645675262</v>
      </c>
      <c r="N19" s="300">
        <f>Teacher_need_by_subject!N626</f>
        <v>11698.057744069438</v>
      </c>
    </row>
    <row r="20" spans="2:14">
      <c r="B20" s="8" t="str">
        <f>Teacher_need_by_subject!B627</f>
        <v>Classics</v>
      </c>
      <c r="C20" s="300">
        <f>Teacher_need_by_subject!C627</f>
        <v>299.02120443268882</v>
      </c>
      <c r="D20" s="300">
        <f>Teacher_need_by_subject!D627</f>
        <v>296.23168899349145</v>
      </c>
      <c r="E20" s="300">
        <f>Teacher_need_by_subject!E627</f>
        <v>295.6987372940045</v>
      </c>
      <c r="F20" s="300">
        <f>Teacher_need_by_subject!F627</f>
        <v>297.1058104636557</v>
      </c>
      <c r="G20" s="300">
        <f>Teacher_need_by_subject!G627</f>
        <v>299.34681810002053</v>
      </c>
      <c r="H20" s="300">
        <f>Teacher_need_by_subject!H627</f>
        <v>302.47448555318738</v>
      </c>
      <c r="I20" s="300">
        <f>Teacher_need_by_subject!I627</f>
        <v>306.60569837949043</v>
      </c>
      <c r="J20" s="300">
        <f>Teacher_need_by_subject!J627</f>
        <v>310.30065175411943</v>
      </c>
      <c r="K20" s="300">
        <f>Teacher_need_by_subject!K627</f>
        <v>312.32041372516829</v>
      </c>
      <c r="L20" s="300">
        <f>Teacher_need_by_subject!L627</f>
        <v>313.35029281296602</v>
      </c>
      <c r="M20" s="300">
        <f>Teacher_need_by_subject!M627</f>
        <v>314.31083600030951</v>
      </c>
      <c r="N20" s="300">
        <f>Teacher_need_by_subject!N627</f>
        <v>314.97140769012987</v>
      </c>
    </row>
    <row r="21" spans="2:14">
      <c r="B21" s="8" t="str">
        <f>Teacher_need_by_subject!B628</f>
        <v>Computing</v>
      </c>
      <c r="C21" s="300">
        <f>Teacher_need_by_subject!C628</f>
        <v>6886.2117410603414</v>
      </c>
      <c r="D21" s="300">
        <f>Teacher_need_by_subject!D628</f>
        <v>6858.8559812158583</v>
      </c>
      <c r="E21" s="300">
        <f>Teacher_need_by_subject!E628</f>
        <v>6873.8926369224801</v>
      </c>
      <c r="F21" s="300">
        <f>Teacher_need_by_subject!F628</f>
        <v>6881.6845608980666</v>
      </c>
      <c r="G21" s="300">
        <f>Teacher_need_by_subject!G628</f>
        <v>6879.4126362278994</v>
      </c>
      <c r="H21" s="300">
        <f>Teacher_need_by_subject!H628</f>
        <v>6866.6071292678153</v>
      </c>
      <c r="I21" s="300">
        <f>Teacher_need_by_subject!I628</f>
        <v>6890.5558365845072</v>
      </c>
      <c r="J21" s="300">
        <f>Teacher_need_by_subject!J628</f>
        <v>6940.5384940871572</v>
      </c>
      <c r="K21" s="300">
        <f>Teacher_need_by_subject!K628</f>
        <v>6958.6896565772204</v>
      </c>
      <c r="L21" s="300">
        <f>Teacher_need_by_subject!L628</f>
        <v>6956.2019716804443</v>
      </c>
      <c r="M21" s="300">
        <f>Teacher_need_by_subject!M628</f>
        <v>6955.3875819762616</v>
      </c>
      <c r="N21" s="300">
        <f>Teacher_need_by_subject!N628</f>
        <v>6947.8634032138971</v>
      </c>
    </row>
    <row r="22" spans="2:14">
      <c r="B22" s="8" t="str">
        <f>Teacher_need_by_subject!B629</f>
        <v>Design &amp; Technology</v>
      </c>
      <c r="C22" s="300">
        <f>Teacher_need_by_subject!C629</f>
        <v>9723.9372735583838</v>
      </c>
      <c r="D22" s="300">
        <f>Teacher_need_by_subject!D629</f>
        <v>9730.713572541621</v>
      </c>
      <c r="E22" s="300">
        <f>Teacher_need_by_subject!E629</f>
        <v>9795.7800392161698</v>
      </c>
      <c r="F22" s="300">
        <f>Teacher_need_by_subject!F629</f>
        <v>9817.6475451427996</v>
      </c>
      <c r="G22" s="300">
        <f>Teacher_need_by_subject!G629</f>
        <v>9802.422714787177</v>
      </c>
      <c r="H22" s="300">
        <f>Teacher_need_by_subject!H629</f>
        <v>9744.7648783038912</v>
      </c>
      <c r="I22" s="300">
        <f>Teacher_need_by_subject!I629</f>
        <v>9758.6780163501626</v>
      </c>
      <c r="J22" s="300">
        <f>Teacher_need_by_subject!J629</f>
        <v>9803.3475100151809</v>
      </c>
      <c r="K22" s="300">
        <f>Teacher_need_by_subject!K629</f>
        <v>9778.1954784920508</v>
      </c>
      <c r="L22" s="300">
        <f>Teacher_need_by_subject!L629</f>
        <v>9717.0736890616008</v>
      </c>
      <c r="M22" s="300">
        <f>Teacher_need_by_subject!M629</f>
        <v>9702.3721370678686</v>
      </c>
      <c r="N22" s="300">
        <f>Teacher_need_by_subject!N629</f>
        <v>9713.8346471091481</v>
      </c>
    </row>
    <row r="23" spans="2:14">
      <c r="B23" s="8" t="str">
        <f>Teacher_need_by_subject!B630</f>
        <v>Drama</v>
      </c>
      <c r="C23" s="300">
        <f>Teacher_need_by_subject!C630</f>
        <v>4794.803353271901</v>
      </c>
      <c r="D23" s="300">
        <f>Teacher_need_by_subject!D630</f>
        <v>4785.8628625012416</v>
      </c>
      <c r="E23" s="300">
        <f>Teacher_need_by_subject!E630</f>
        <v>4806.7824513610158</v>
      </c>
      <c r="F23" s="300">
        <f>Teacher_need_by_subject!F630</f>
        <v>4815.2135337316658</v>
      </c>
      <c r="G23" s="300">
        <f>Teacher_need_by_subject!G630</f>
        <v>4809.377669292955</v>
      </c>
      <c r="H23" s="300">
        <f>Teacher_need_by_subject!H630</f>
        <v>4787.1443549504802</v>
      </c>
      <c r="I23" s="300">
        <f>Teacher_need_by_subject!I630</f>
        <v>4799.1267567244358</v>
      </c>
      <c r="J23" s="300">
        <f>Teacher_need_by_subject!J630</f>
        <v>4827.4090092019815</v>
      </c>
      <c r="K23" s="300">
        <f>Teacher_need_by_subject!K630</f>
        <v>4821.6459302537714</v>
      </c>
      <c r="L23" s="300">
        <f>Teacher_need_by_subject!L630</f>
        <v>4798.481226743882</v>
      </c>
      <c r="M23" s="300">
        <f>Teacher_need_by_subject!M630</f>
        <v>4796.064068420972</v>
      </c>
      <c r="N23" s="300">
        <f>Teacher_need_by_subject!N630</f>
        <v>4804.5450930303432</v>
      </c>
    </row>
    <row r="24" spans="2:14">
      <c r="B24" s="8" t="str">
        <f>Teacher_need_by_subject!B631</f>
        <v>English</v>
      </c>
      <c r="C24" s="300">
        <f>Teacher_need_by_subject!C631</f>
        <v>30334.045422360272</v>
      </c>
      <c r="D24" s="300">
        <f>Teacher_need_by_subject!D631</f>
        <v>31134.668074249341</v>
      </c>
      <c r="E24" s="300">
        <f>Teacher_need_by_subject!E631</f>
        <v>31550.424741367737</v>
      </c>
      <c r="F24" s="300">
        <f>Teacher_need_by_subject!F631</f>
        <v>31856.821512469844</v>
      </c>
      <c r="G24" s="300">
        <f>Teacher_need_by_subject!G631</f>
        <v>32164.831007781457</v>
      </c>
      <c r="H24" s="300">
        <f>Teacher_need_by_subject!H631</f>
        <v>32472.152387487833</v>
      </c>
      <c r="I24" s="300">
        <f>Teacher_need_by_subject!I631</f>
        <v>32827.766062176583</v>
      </c>
      <c r="J24" s="300">
        <f>Teacher_need_by_subject!J631</f>
        <v>33010.891318920854</v>
      </c>
      <c r="K24" s="300">
        <f>Teacher_need_by_subject!K631</f>
        <v>33087.00301484338</v>
      </c>
      <c r="L24" s="300">
        <f>Teacher_need_by_subject!L631</f>
        <v>33063.748664034851</v>
      </c>
      <c r="M24" s="300">
        <f>Teacher_need_by_subject!M631</f>
        <v>32971.683142454873</v>
      </c>
      <c r="N24" s="300">
        <f>Teacher_need_by_subject!N631</f>
        <v>32821.598064010017</v>
      </c>
    </row>
    <row r="25" spans="2:14">
      <c r="B25" s="8" t="str">
        <f>Teacher_need_by_subject!B632</f>
        <v>Food</v>
      </c>
      <c r="C25" s="300">
        <f>Teacher_need_by_subject!C632</f>
        <v>1956.2535049672433</v>
      </c>
      <c r="D25" s="300">
        <f>Teacher_need_by_subject!D632</f>
        <v>1959.5361842003301</v>
      </c>
      <c r="E25" s="300">
        <f>Teacher_need_by_subject!E632</f>
        <v>1973.050169889354</v>
      </c>
      <c r="F25" s="300">
        <f>Teacher_need_by_subject!F632</f>
        <v>1977.0348444722242</v>
      </c>
      <c r="G25" s="300">
        <f>Teacher_need_by_subject!G632</f>
        <v>1977.4852088545217</v>
      </c>
      <c r="H25" s="300">
        <f>Teacher_need_by_subject!H632</f>
        <v>1974.7794548706556</v>
      </c>
      <c r="I25" s="300">
        <f>Teacher_need_by_subject!I632</f>
        <v>1978.0669447893681</v>
      </c>
      <c r="J25" s="300">
        <f>Teacher_need_by_subject!J632</f>
        <v>1987.8032804778159</v>
      </c>
      <c r="K25" s="300">
        <f>Teacher_need_by_subject!K632</f>
        <v>1996.0406566594697</v>
      </c>
      <c r="L25" s="300">
        <f>Teacher_need_by_subject!L632</f>
        <v>1999.9762782551843</v>
      </c>
      <c r="M25" s="300">
        <f>Teacher_need_by_subject!M632</f>
        <v>1994.0423995431088</v>
      </c>
      <c r="N25" s="300">
        <f>Teacher_need_by_subject!N632</f>
        <v>1978.4589946281467</v>
      </c>
    </row>
    <row r="26" spans="2:14">
      <c r="B26" s="8" t="str">
        <f>Teacher_need_by_subject!B633</f>
        <v>Geography</v>
      </c>
      <c r="C26" s="300">
        <f>Teacher_need_by_subject!C633</f>
        <v>10803.079082425373</v>
      </c>
      <c r="D26" s="300">
        <f>Teacher_need_by_subject!D633</f>
        <v>10913.97383137792</v>
      </c>
      <c r="E26" s="300">
        <f>Teacher_need_by_subject!E633</f>
        <v>11040.073537517266</v>
      </c>
      <c r="F26" s="300">
        <f>Teacher_need_by_subject!F633</f>
        <v>11141.835814652577</v>
      </c>
      <c r="G26" s="300">
        <f>Teacher_need_by_subject!G633</f>
        <v>11235.812997276715</v>
      </c>
      <c r="H26" s="300">
        <f>Teacher_need_by_subject!H633</f>
        <v>11318.429527654655</v>
      </c>
      <c r="I26" s="300">
        <f>Teacher_need_by_subject!I633</f>
        <v>11447.571971044999</v>
      </c>
      <c r="J26" s="300">
        <f>Teacher_need_by_subject!J633</f>
        <v>11514.819044284342</v>
      </c>
      <c r="K26" s="300">
        <f>Teacher_need_by_subject!K633</f>
        <v>11515.740365562662</v>
      </c>
      <c r="L26" s="300">
        <f>Teacher_need_by_subject!L633</f>
        <v>11475.359015980936</v>
      </c>
      <c r="M26" s="300">
        <f>Teacher_need_by_subject!M633</f>
        <v>11454.130023559828</v>
      </c>
      <c r="N26" s="300">
        <f>Teacher_need_by_subject!N633</f>
        <v>11445.395839009616</v>
      </c>
    </row>
    <row r="27" spans="2:14">
      <c r="B27" s="8" t="str">
        <f>Teacher_need_by_subject!B634</f>
        <v>History</v>
      </c>
      <c r="C27" s="300">
        <f>Teacher_need_by_subject!C634</f>
        <v>11478.78528353108</v>
      </c>
      <c r="D27" s="300">
        <f>Teacher_need_by_subject!D634</f>
        <v>11581.968504481012</v>
      </c>
      <c r="E27" s="300">
        <f>Teacher_need_by_subject!E634</f>
        <v>11702.36853693105</v>
      </c>
      <c r="F27" s="300">
        <f>Teacher_need_by_subject!F634</f>
        <v>11805.823561991971</v>
      </c>
      <c r="G27" s="300">
        <f>Teacher_need_by_subject!G634</f>
        <v>11905.04406842778</v>
      </c>
      <c r="H27" s="300">
        <f>Teacher_need_by_subject!H634</f>
        <v>11996.878419563651</v>
      </c>
      <c r="I27" s="300">
        <f>Teacher_need_by_subject!I634</f>
        <v>12135.936933273137</v>
      </c>
      <c r="J27" s="300">
        <f>Teacher_need_by_subject!J634</f>
        <v>12213.749991184312</v>
      </c>
      <c r="K27" s="300">
        <f>Teacher_need_by_subject!K634</f>
        <v>12222.822653396182</v>
      </c>
      <c r="L27" s="300">
        <f>Teacher_need_by_subject!L634</f>
        <v>12188.797624594896</v>
      </c>
      <c r="M27" s="300">
        <f>Teacher_need_by_subject!M634</f>
        <v>12171.21671946704</v>
      </c>
      <c r="N27" s="300">
        <f>Teacher_need_by_subject!N634</f>
        <v>12163.2752523872</v>
      </c>
    </row>
    <row r="28" spans="2:14">
      <c r="B28" s="8" t="str">
        <f>Teacher_need_by_subject!B635</f>
        <v>Mathematics</v>
      </c>
      <c r="C28" s="300">
        <f>Teacher_need_by_subject!C635</f>
        <v>31263.995988909792</v>
      </c>
      <c r="D28" s="300">
        <f>Teacher_need_by_subject!D635</f>
        <v>31800.404380466622</v>
      </c>
      <c r="E28" s="300">
        <f>Teacher_need_by_subject!E635</f>
        <v>32332.887872631094</v>
      </c>
      <c r="F28" s="300">
        <f>Teacher_need_by_subject!F635</f>
        <v>32621.070537865755</v>
      </c>
      <c r="G28" s="300">
        <f>Teacher_need_by_subject!G635</f>
        <v>32924.224090463504</v>
      </c>
      <c r="H28" s="300">
        <f>Teacher_need_by_subject!H635</f>
        <v>33241.002281772227</v>
      </c>
      <c r="I28" s="300">
        <f>Teacher_need_by_subject!I635</f>
        <v>33619.675080212059</v>
      </c>
      <c r="J28" s="300">
        <f>Teacher_need_by_subject!J635</f>
        <v>33841.805741803691</v>
      </c>
      <c r="K28" s="300">
        <f>Teacher_need_by_subject!K635</f>
        <v>33939.843565007715</v>
      </c>
      <c r="L28" s="300">
        <f>Teacher_need_by_subject!L635</f>
        <v>33934.401268075904</v>
      </c>
      <c r="M28" s="300">
        <f>Teacher_need_by_subject!M635</f>
        <v>33872.600336963915</v>
      </c>
      <c r="N28" s="300">
        <f>Teacher_need_by_subject!N635</f>
        <v>33758.753682238399</v>
      </c>
    </row>
    <row r="29" spans="2:14">
      <c r="B29" s="8" t="str">
        <f>Teacher_need_by_subject!B636</f>
        <v>Modern Foreign Languages</v>
      </c>
      <c r="C29" s="300">
        <f>Teacher_need_by_subject!C636</f>
        <v>14971.501798068488</v>
      </c>
      <c r="D29" s="300">
        <f>Teacher_need_by_subject!D636</f>
        <v>15518.448326772366</v>
      </c>
      <c r="E29" s="300">
        <f>Teacher_need_by_subject!E636</f>
        <v>16134.071227593558</v>
      </c>
      <c r="F29" s="300">
        <f>Teacher_need_by_subject!F636</f>
        <v>16812.756948289185</v>
      </c>
      <c r="G29" s="300">
        <f>Teacher_need_by_subject!G636</f>
        <v>17630.402554431716</v>
      </c>
      <c r="H29" s="300">
        <f>Teacher_need_by_subject!H636</f>
        <v>18578.0202666437</v>
      </c>
      <c r="I29" s="300">
        <f>Teacher_need_by_subject!I636</f>
        <v>19452.46551534941</v>
      </c>
      <c r="J29" s="300">
        <f>Teacher_need_by_subject!J636</f>
        <v>19600.61185016208</v>
      </c>
      <c r="K29" s="300">
        <f>Teacher_need_by_subject!K636</f>
        <v>19598.097876335123</v>
      </c>
      <c r="L29" s="300">
        <f>Teacher_need_by_subject!L636</f>
        <v>19497.170074560905</v>
      </c>
      <c r="M29" s="300">
        <f>Teacher_need_by_subject!M636</f>
        <v>19427.392336902663</v>
      </c>
      <c r="N29" s="300">
        <f>Teacher_need_by_subject!N636</f>
        <v>19438.746388143565</v>
      </c>
    </row>
    <row r="30" spans="2:14">
      <c r="B30" s="8" t="str">
        <f>Teacher_need_by_subject!B637</f>
        <v>Music</v>
      </c>
      <c r="C30" s="300">
        <f>Teacher_need_by_subject!C637</f>
        <v>5031.0938936371076</v>
      </c>
      <c r="D30" s="300">
        <f>Teacher_need_by_subject!D637</f>
        <v>5031.8745371214309</v>
      </c>
      <c r="E30" s="300">
        <f>Teacher_need_by_subject!E637</f>
        <v>5063.8831159871925</v>
      </c>
      <c r="F30" s="300">
        <f>Teacher_need_by_subject!F637</f>
        <v>5075.1545133812051</v>
      </c>
      <c r="G30" s="300">
        <f>Teacher_need_by_subject!G637</f>
        <v>5065.2937855486989</v>
      </c>
      <c r="H30" s="300">
        <f>Teacher_need_by_subject!H637</f>
        <v>5030.6980732445454</v>
      </c>
      <c r="I30" s="300">
        <f>Teacher_need_by_subject!I637</f>
        <v>5038.2076146806994</v>
      </c>
      <c r="J30" s="300">
        <f>Teacher_need_by_subject!J637</f>
        <v>5061.6281804127666</v>
      </c>
      <c r="K30" s="300">
        <f>Teacher_need_by_subject!K637</f>
        <v>5041.1826092764768</v>
      </c>
      <c r="L30" s="300">
        <f>Teacher_need_by_subject!L637</f>
        <v>5000.3471421257582</v>
      </c>
      <c r="M30" s="300">
        <f>Teacher_need_by_subject!M637</f>
        <v>4995.1881811491194</v>
      </c>
      <c r="N30" s="300">
        <f>Teacher_need_by_subject!N637</f>
        <v>5012.5751161913176</v>
      </c>
    </row>
    <row r="31" spans="2:14">
      <c r="B31" s="8" t="str">
        <f>Teacher_need_by_subject!B638</f>
        <v>Others</v>
      </c>
      <c r="C31" s="300">
        <f>Teacher_need_by_subject!C638</f>
        <v>13467.698732576104</v>
      </c>
      <c r="D31" s="300">
        <f>Teacher_need_by_subject!D638</f>
        <v>13191.52552967619</v>
      </c>
      <c r="E31" s="300">
        <f>Teacher_need_by_subject!E638</f>
        <v>13018.58476788241</v>
      </c>
      <c r="F31" s="300">
        <f>Teacher_need_by_subject!F638</f>
        <v>12986.409988305681</v>
      </c>
      <c r="G31" s="300">
        <f>Teacher_need_by_subject!G638</f>
        <v>13000.806126678135</v>
      </c>
      <c r="H31" s="300">
        <f>Teacher_need_by_subject!H638</f>
        <v>13068.681049346382</v>
      </c>
      <c r="I31" s="300">
        <f>Teacher_need_by_subject!I638</f>
        <v>13197.505351724647</v>
      </c>
      <c r="J31" s="300">
        <f>Teacher_need_by_subject!J638</f>
        <v>13404.409559926506</v>
      </c>
      <c r="K31" s="300">
        <f>Teacher_need_by_subject!K638</f>
        <v>13547.048201836704</v>
      </c>
      <c r="L31" s="300">
        <f>Teacher_need_by_subject!L638</f>
        <v>13653.49407142097</v>
      </c>
      <c r="M31" s="300">
        <f>Teacher_need_by_subject!M638</f>
        <v>13739.843528795254</v>
      </c>
      <c r="N31" s="300">
        <f>Teacher_need_by_subject!N638</f>
        <v>13788.227928042717</v>
      </c>
    </row>
    <row r="32" spans="2:14">
      <c r="B32" s="8" t="str">
        <f>Teacher_need_by_subject!B639</f>
        <v>Physical Education</v>
      </c>
      <c r="C32" s="300">
        <f>Teacher_need_by_subject!C639</f>
        <v>16467.262477428438</v>
      </c>
      <c r="D32" s="300">
        <f>Teacher_need_by_subject!D639</f>
        <v>16482.014449636485</v>
      </c>
      <c r="E32" s="300">
        <f>Teacher_need_by_subject!E639</f>
        <v>16590.416376455454</v>
      </c>
      <c r="F32" s="300">
        <f>Teacher_need_by_subject!F639</f>
        <v>16626.361766054804</v>
      </c>
      <c r="G32" s="300">
        <f>Teacher_need_by_subject!G639</f>
        <v>16616.544724022035</v>
      </c>
      <c r="H32" s="300">
        <f>Teacher_need_by_subject!H639</f>
        <v>16557.647838055684</v>
      </c>
      <c r="I32" s="300">
        <f>Teacher_need_by_subject!I639</f>
        <v>16586.779985111461</v>
      </c>
      <c r="J32" s="300">
        <f>Teacher_need_by_subject!J639</f>
        <v>16667.969198455685</v>
      </c>
      <c r="K32" s="300">
        <f>Teacher_need_by_subject!K639</f>
        <v>16678.773728357537</v>
      </c>
      <c r="L32" s="300">
        <f>Teacher_need_by_subject!L639</f>
        <v>16639.88761305494</v>
      </c>
      <c r="M32" s="300">
        <f>Teacher_need_by_subject!M639</f>
        <v>16605.50062864659</v>
      </c>
      <c r="N32" s="300">
        <f>Teacher_need_by_subject!N639</f>
        <v>16557.904130163955</v>
      </c>
    </row>
    <row r="33" spans="2:14">
      <c r="B33" s="8" t="str">
        <f>Teacher_need_by_subject!B640</f>
        <v>Physics</v>
      </c>
      <c r="C33" s="300">
        <f>Teacher_need_by_subject!C640</f>
        <v>10747.938420584598</v>
      </c>
      <c r="D33" s="300">
        <f>Teacher_need_by_subject!D640</f>
        <v>10870.436031513067</v>
      </c>
      <c r="E33" s="300">
        <f>Teacher_need_by_subject!E640</f>
        <v>10983.264747183021</v>
      </c>
      <c r="F33" s="300">
        <f>Teacher_need_by_subject!F640</f>
        <v>11078.439550324605</v>
      </c>
      <c r="G33" s="300">
        <f>Teacher_need_by_subject!G640</f>
        <v>11190.530438833801</v>
      </c>
      <c r="H33" s="300">
        <f>Teacher_need_by_subject!H640</f>
        <v>11321.974429879834</v>
      </c>
      <c r="I33" s="300">
        <f>Teacher_need_by_subject!I640</f>
        <v>11450.519442099525</v>
      </c>
      <c r="J33" s="300">
        <f>Teacher_need_by_subject!J640</f>
        <v>11533.445875248595</v>
      </c>
      <c r="K33" s="300">
        <f>Teacher_need_by_subject!K640</f>
        <v>11596.832841396888</v>
      </c>
      <c r="L33" s="300">
        <f>Teacher_need_by_subject!L640</f>
        <v>11630.671884863244</v>
      </c>
      <c r="M33" s="300">
        <f>Teacher_need_by_subject!M640</f>
        <v>11609.264983572455</v>
      </c>
      <c r="N33" s="300">
        <f>Teacher_need_by_subject!N640</f>
        <v>11541.782789734341</v>
      </c>
    </row>
    <row r="34" spans="2:14">
      <c r="B34" s="8" t="str">
        <f>Teacher_need_by_subject!B641</f>
        <v>Religious Education</v>
      </c>
      <c r="C34" s="300">
        <f>Teacher_need_by_subject!C641</f>
        <v>7253.8944869877287</v>
      </c>
      <c r="D34" s="300">
        <f>Teacher_need_by_subject!D641</f>
        <v>7249.5624630229613</v>
      </c>
      <c r="E34" s="300">
        <f>Teacher_need_by_subject!E641</f>
        <v>7287.7369741211323</v>
      </c>
      <c r="F34" s="300">
        <f>Teacher_need_by_subject!F641</f>
        <v>7301.1702138647452</v>
      </c>
      <c r="G34" s="300">
        <f>Teacher_need_by_subject!G641</f>
        <v>7296.432424840199</v>
      </c>
      <c r="H34" s="300">
        <f>Teacher_need_by_subject!H641</f>
        <v>7272.0769251326656</v>
      </c>
      <c r="I34" s="300">
        <f>Teacher_need_by_subject!I641</f>
        <v>7288.0563023744571</v>
      </c>
      <c r="J34" s="300">
        <f>Teacher_need_by_subject!J641</f>
        <v>7328.5650940326677</v>
      </c>
      <c r="K34" s="300">
        <f>Teacher_need_by_subject!K641</f>
        <v>7335.0529973574376</v>
      </c>
      <c r="L34" s="300">
        <f>Teacher_need_by_subject!L641</f>
        <v>7319.1753367670381</v>
      </c>
      <c r="M34" s="300">
        <f>Teacher_need_by_subject!M641</f>
        <v>7308.7509548267399</v>
      </c>
      <c r="N34" s="300">
        <f>Teacher_need_by_subject!N641</f>
        <v>7294.859870680898</v>
      </c>
    </row>
    <row r="36" spans="2:14" ht="15.75">
      <c r="B36" s="77" t="s">
        <v>107</v>
      </c>
      <c r="D36" s="147" t="s">
        <v>1557</v>
      </c>
    </row>
    <row r="38" spans="2:14">
      <c r="B38" s="8" t="str">
        <f>B14</f>
        <v>Phase/subject</v>
      </c>
      <c r="C38" s="8" t="str">
        <f>C14</f>
        <v>2017/18</v>
      </c>
      <c r="D38" s="8" t="str">
        <f t="shared" ref="D38:N38" si="0">D14</f>
        <v>2018/19</v>
      </c>
      <c r="E38" s="8" t="str">
        <f t="shared" si="0"/>
        <v>2019/20</v>
      </c>
      <c r="F38" s="8" t="str">
        <f t="shared" si="0"/>
        <v>2020/21</v>
      </c>
      <c r="G38" s="8" t="str">
        <f t="shared" si="0"/>
        <v>2021/22</v>
      </c>
      <c r="H38" s="8" t="str">
        <f t="shared" si="0"/>
        <v>2022/23</v>
      </c>
      <c r="I38" s="8" t="str">
        <f t="shared" si="0"/>
        <v>2023/24</v>
      </c>
      <c r="J38" s="8" t="str">
        <f t="shared" si="0"/>
        <v>2024/25</v>
      </c>
      <c r="K38" s="8" t="str">
        <f t="shared" si="0"/>
        <v>2025/26</v>
      </c>
      <c r="L38" s="8" t="str">
        <f t="shared" si="0"/>
        <v>2026/27</v>
      </c>
      <c r="M38" s="8" t="str">
        <f t="shared" si="0"/>
        <v>2027/28</v>
      </c>
      <c r="N38" s="8" t="str">
        <f t="shared" si="0"/>
        <v>2028/29</v>
      </c>
    </row>
    <row r="39" spans="2:14">
      <c r="B39" s="8" t="str">
        <f t="shared" ref="B39:B49" si="1">B15</f>
        <v>Primary</v>
      </c>
      <c r="C39" s="524">
        <f>RAW_DATA_INPUTS!AQ50+RAW_DATA_INPUTS!AR50</f>
        <v>241507.71000000002</v>
      </c>
      <c r="D39" s="447">
        <f>C15</f>
        <v>243605.32104784102</v>
      </c>
      <c r="E39" s="447">
        <f>D15</f>
        <v>244269.7542551799</v>
      </c>
      <c r="F39" s="447">
        <f t="shared" ref="F39:N39" si="2">E15</f>
        <v>244274.82192656255</v>
      </c>
      <c r="G39" s="447">
        <f t="shared" si="2"/>
        <v>244504.52764222646</v>
      </c>
      <c r="H39" s="447">
        <f t="shared" si="2"/>
        <v>244565.62003293994</v>
      </c>
      <c r="I39" s="447">
        <f t="shared" si="2"/>
        <v>244409.39158641128</v>
      </c>
      <c r="J39" s="447">
        <f t="shared" si="2"/>
        <v>244013.68182205909</v>
      </c>
      <c r="K39" s="447">
        <f t="shared" si="2"/>
        <v>244249.37361793657</v>
      </c>
      <c r="L39" s="447">
        <f t="shared" si="2"/>
        <v>244933.35980853782</v>
      </c>
      <c r="M39" s="447">
        <f t="shared" si="2"/>
        <v>245669.86163246437</v>
      </c>
      <c r="N39" s="447">
        <f t="shared" si="2"/>
        <v>246231.24083518205</v>
      </c>
    </row>
    <row r="40" spans="2:14">
      <c r="B40" s="8" t="str">
        <f t="shared" si="1"/>
        <v>Art &amp; Design</v>
      </c>
      <c r="C40" s="524">
        <f>Stock_calculations!E44</f>
        <v>8191.2871438966231</v>
      </c>
      <c r="D40" s="447">
        <f t="shared" ref="D40:E58" si="3">C16</f>
        <v>8089.5540643163376</v>
      </c>
      <c r="E40" s="447">
        <f t="shared" si="3"/>
        <v>8060.7474464650004</v>
      </c>
      <c r="F40" s="447">
        <f t="shared" ref="F40:N40" si="4">E16</f>
        <v>8082.7517622230034</v>
      </c>
      <c r="G40" s="447">
        <f t="shared" si="4"/>
        <v>8093.4095363281858</v>
      </c>
      <c r="H40" s="447">
        <f t="shared" si="4"/>
        <v>8086.7132472732837</v>
      </c>
      <c r="I40" s="447">
        <f t="shared" si="4"/>
        <v>8060.4662653074993</v>
      </c>
      <c r="J40" s="447">
        <f t="shared" si="4"/>
        <v>8086.1586698513274</v>
      </c>
      <c r="K40" s="447">
        <f t="shared" si="4"/>
        <v>8141.5369499916969</v>
      </c>
      <c r="L40" s="447">
        <f t="shared" si="4"/>
        <v>8146.953482534841</v>
      </c>
      <c r="M40" s="447">
        <f t="shared" si="4"/>
        <v>8125.0765131323897</v>
      </c>
      <c r="N40" s="447">
        <f t="shared" si="4"/>
        <v>8125.0341687719756</v>
      </c>
    </row>
    <row r="41" spans="2:14">
      <c r="B41" s="8" t="str">
        <f t="shared" si="1"/>
        <v>Biology</v>
      </c>
      <c r="C41" s="524">
        <f>Stock_calculations!E45</f>
        <v>11979.841967436023</v>
      </c>
      <c r="D41" s="447">
        <f t="shared" si="3"/>
        <v>12318.6629831685</v>
      </c>
      <c r="E41" s="447">
        <f t="shared" si="3"/>
        <v>12430.855335898372</v>
      </c>
      <c r="F41" s="447">
        <f t="shared" ref="F41:N41" si="5">E17</f>
        <v>12542.486134861922</v>
      </c>
      <c r="G41" s="447">
        <f t="shared" si="5"/>
        <v>12643.543720995483</v>
      </c>
      <c r="H41" s="447">
        <f t="shared" si="5"/>
        <v>12764.282686945471</v>
      </c>
      <c r="I41" s="447">
        <f t="shared" si="5"/>
        <v>12906.83001619469</v>
      </c>
      <c r="J41" s="447">
        <f t="shared" si="5"/>
        <v>13058.37584260101</v>
      </c>
      <c r="K41" s="447">
        <f t="shared" si="5"/>
        <v>13161.944557002342</v>
      </c>
      <c r="L41" s="447">
        <f t="shared" si="5"/>
        <v>13230.669606666757</v>
      </c>
      <c r="M41" s="447">
        <f t="shared" si="5"/>
        <v>13263.185365824398</v>
      </c>
      <c r="N41" s="447">
        <f t="shared" si="5"/>
        <v>13249.674498322198</v>
      </c>
    </row>
    <row r="42" spans="2:14">
      <c r="B42" s="8" t="str">
        <f t="shared" si="1"/>
        <v>Business Studies</v>
      </c>
      <c r="C42" s="524">
        <f>Stock_calculations!E46</f>
        <v>4044.1447389865116</v>
      </c>
      <c r="D42" s="447">
        <f t="shared" si="3"/>
        <v>3881.3803858866468</v>
      </c>
      <c r="E42" s="447">
        <f t="shared" si="3"/>
        <v>3797.8888289148053</v>
      </c>
      <c r="F42" s="447">
        <f t="shared" ref="F42:N42" si="6">E18</f>
        <v>3742.9101835736583</v>
      </c>
      <c r="G42" s="447">
        <f t="shared" si="6"/>
        <v>3732.6662022919718</v>
      </c>
      <c r="H42" s="447">
        <f t="shared" si="6"/>
        <v>3743.6928729263068</v>
      </c>
      <c r="I42" s="447">
        <f t="shared" si="6"/>
        <v>3780.2009231604229</v>
      </c>
      <c r="J42" s="447">
        <f t="shared" si="6"/>
        <v>3822.013379152203</v>
      </c>
      <c r="K42" s="447">
        <f t="shared" si="6"/>
        <v>3886.3469314109389</v>
      </c>
      <c r="L42" s="447">
        <f t="shared" si="6"/>
        <v>3949.0410620806938</v>
      </c>
      <c r="M42" s="447">
        <f t="shared" si="6"/>
        <v>4005.3491520331768</v>
      </c>
      <c r="N42" s="447">
        <f t="shared" si="6"/>
        <v>4028.9808129980165</v>
      </c>
    </row>
    <row r="43" spans="2:14">
      <c r="B43" s="8" t="str">
        <f t="shared" si="1"/>
        <v>Chemistry</v>
      </c>
      <c r="C43" s="524">
        <f>Stock_calculations!E47</f>
        <v>10610.907797574389</v>
      </c>
      <c r="D43" s="447">
        <f t="shared" si="3"/>
        <v>10896.284169016637</v>
      </c>
      <c r="E43" s="447">
        <f t="shared" si="3"/>
        <v>11002.935829109545</v>
      </c>
      <c r="F43" s="447">
        <f t="shared" ref="F43:N43" si="7">E19</f>
        <v>11103.173296540359</v>
      </c>
      <c r="G43" s="447">
        <f t="shared" si="7"/>
        <v>11193.803782266205</v>
      </c>
      <c r="H43" s="447">
        <f t="shared" si="7"/>
        <v>11305.034003721705</v>
      </c>
      <c r="I43" s="447">
        <f t="shared" si="7"/>
        <v>11439.711683313926</v>
      </c>
      <c r="J43" s="447">
        <f t="shared" si="7"/>
        <v>11572.64604515582</v>
      </c>
      <c r="K43" s="447">
        <f t="shared" si="7"/>
        <v>11664.160076164777</v>
      </c>
      <c r="L43" s="447">
        <f t="shared" si="7"/>
        <v>11734.231883996306</v>
      </c>
      <c r="M43" s="447">
        <f t="shared" si="7"/>
        <v>11774.418855501839</v>
      </c>
      <c r="N43" s="447">
        <f t="shared" si="7"/>
        <v>11759.590645675262</v>
      </c>
    </row>
    <row r="44" spans="2:14">
      <c r="B44" s="8" t="str">
        <f t="shared" si="1"/>
        <v>Classics</v>
      </c>
      <c r="C44" s="524">
        <f>Stock_calculations!E48</f>
        <v>306.05662545528151</v>
      </c>
      <c r="D44" s="447">
        <f t="shared" si="3"/>
        <v>299.02120443268882</v>
      </c>
      <c r="E44" s="447">
        <f t="shared" si="3"/>
        <v>296.23168899349145</v>
      </c>
      <c r="F44" s="447">
        <f t="shared" ref="F44:N44" si="8">E20</f>
        <v>295.6987372940045</v>
      </c>
      <c r="G44" s="447">
        <f t="shared" si="8"/>
        <v>297.1058104636557</v>
      </c>
      <c r="H44" s="447">
        <f t="shared" si="8"/>
        <v>299.34681810002053</v>
      </c>
      <c r="I44" s="447">
        <f t="shared" si="8"/>
        <v>302.47448555318738</v>
      </c>
      <c r="J44" s="447">
        <f t="shared" si="8"/>
        <v>306.60569837949043</v>
      </c>
      <c r="K44" s="447">
        <f t="shared" si="8"/>
        <v>310.30065175411943</v>
      </c>
      <c r="L44" s="447">
        <f t="shared" si="8"/>
        <v>312.32041372516829</v>
      </c>
      <c r="M44" s="447">
        <f t="shared" si="8"/>
        <v>313.35029281296602</v>
      </c>
      <c r="N44" s="447">
        <f t="shared" si="8"/>
        <v>314.31083600030951</v>
      </c>
    </row>
    <row r="45" spans="2:14">
      <c r="B45" s="8" t="str">
        <f t="shared" si="1"/>
        <v>Computing</v>
      </c>
      <c r="C45" s="524">
        <f>Stock_calculations!E49</f>
        <v>7004.0673985680132</v>
      </c>
      <c r="D45" s="447">
        <f t="shared" si="3"/>
        <v>6886.2117410603414</v>
      </c>
      <c r="E45" s="447">
        <f t="shared" si="3"/>
        <v>6858.8559812158583</v>
      </c>
      <c r="F45" s="447">
        <f t="shared" ref="F45:N45" si="9">E21</f>
        <v>6873.8926369224801</v>
      </c>
      <c r="G45" s="447">
        <f t="shared" si="9"/>
        <v>6881.6845608980666</v>
      </c>
      <c r="H45" s="447">
        <f t="shared" si="9"/>
        <v>6879.4126362278994</v>
      </c>
      <c r="I45" s="447">
        <f t="shared" si="9"/>
        <v>6866.6071292678153</v>
      </c>
      <c r="J45" s="447">
        <f t="shared" si="9"/>
        <v>6890.5558365845072</v>
      </c>
      <c r="K45" s="447">
        <f t="shared" si="9"/>
        <v>6940.5384940871572</v>
      </c>
      <c r="L45" s="447">
        <f t="shared" si="9"/>
        <v>6958.6896565772204</v>
      </c>
      <c r="M45" s="447">
        <f t="shared" si="9"/>
        <v>6956.2019716804443</v>
      </c>
      <c r="N45" s="447">
        <f t="shared" si="9"/>
        <v>6955.3875819762616</v>
      </c>
    </row>
    <row r="46" spans="2:14">
      <c r="B46" s="8" t="str">
        <f t="shared" si="1"/>
        <v>Design &amp; Technology</v>
      </c>
      <c r="C46" s="524">
        <f>Stock_calculations!E50</f>
        <v>9746.7002032465352</v>
      </c>
      <c r="D46" s="447">
        <f t="shared" si="3"/>
        <v>9723.9372735583838</v>
      </c>
      <c r="E46" s="447">
        <f t="shared" si="3"/>
        <v>9730.713572541621</v>
      </c>
      <c r="F46" s="447">
        <f t="shared" ref="F46:N46" si="10">E22</f>
        <v>9795.7800392161698</v>
      </c>
      <c r="G46" s="447">
        <f t="shared" si="10"/>
        <v>9817.6475451427996</v>
      </c>
      <c r="H46" s="447">
        <f t="shared" si="10"/>
        <v>9802.422714787177</v>
      </c>
      <c r="I46" s="447">
        <f t="shared" si="10"/>
        <v>9744.7648783038912</v>
      </c>
      <c r="J46" s="447">
        <f t="shared" si="10"/>
        <v>9758.6780163501626</v>
      </c>
      <c r="K46" s="447">
        <f t="shared" si="10"/>
        <v>9803.3475100151809</v>
      </c>
      <c r="L46" s="447">
        <f t="shared" si="10"/>
        <v>9778.1954784920508</v>
      </c>
      <c r="M46" s="447">
        <f t="shared" si="10"/>
        <v>9717.0736890616008</v>
      </c>
      <c r="N46" s="447">
        <f t="shared" si="10"/>
        <v>9702.3721370678686</v>
      </c>
    </row>
    <row r="47" spans="2:14">
      <c r="B47" s="8" t="str">
        <f t="shared" si="1"/>
        <v>Drama</v>
      </c>
      <c r="C47" s="524">
        <f>Stock_calculations!E51</f>
        <v>4814.8210367519205</v>
      </c>
      <c r="D47" s="447">
        <f t="shared" si="3"/>
        <v>4794.803353271901</v>
      </c>
      <c r="E47" s="447">
        <f t="shared" si="3"/>
        <v>4785.8628625012416</v>
      </c>
      <c r="F47" s="447">
        <f t="shared" ref="F47:N47" si="11">E23</f>
        <v>4806.7824513610158</v>
      </c>
      <c r="G47" s="447">
        <f t="shared" si="11"/>
        <v>4815.2135337316658</v>
      </c>
      <c r="H47" s="447">
        <f t="shared" si="11"/>
        <v>4809.377669292955</v>
      </c>
      <c r="I47" s="447">
        <f t="shared" si="11"/>
        <v>4787.1443549504802</v>
      </c>
      <c r="J47" s="447">
        <f t="shared" si="11"/>
        <v>4799.1267567244358</v>
      </c>
      <c r="K47" s="447">
        <f t="shared" si="11"/>
        <v>4827.4090092019815</v>
      </c>
      <c r="L47" s="447">
        <f t="shared" si="11"/>
        <v>4821.6459302537714</v>
      </c>
      <c r="M47" s="447">
        <f t="shared" si="11"/>
        <v>4798.481226743882</v>
      </c>
      <c r="N47" s="447">
        <f t="shared" si="11"/>
        <v>4796.064068420972</v>
      </c>
    </row>
    <row r="48" spans="2:14">
      <c r="B48" s="8" t="str">
        <f t="shared" si="1"/>
        <v>English</v>
      </c>
      <c r="C48" s="524">
        <f>Stock_calculations!E52</f>
        <v>29670.50860019396</v>
      </c>
      <c r="D48" s="447">
        <f t="shared" si="3"/>
        <v>30334.045422360272</v>
      </c>
      <c r="E48" s="447">
        <f t="shared" si="3"/>
        <v>31134.668074249341</v>
      </c>
      <c r="F48" s="447">
        <f t="shared" ref="F48:N48" si="12">E24</f>
        <v>31550.424741367737</v>
      </c>
      <c r="G48" s="447">
        <f t="shared" si="12"/>
        <v>31856.821512469844</v>
      </c>
      <c r="H48" s="447">
        <f t="shared" si="12"/>
        <v>32164.831007781457</v>
      </c>
      <c r="I48" s="447">
        <f t="shared" si="12"/>
        <v>32472.152387487833</v>
      </c>
      <c r="J48" s="447">
        <f t="shared" si="12"/>
        <v>32827.766062176583</v>
      </c>
      <c r="K48" s="447">
        <f t="shared" si="12"/>
        <v>33010.891318920854</v>
      </c>
      <c r="L48" s="447">
        <f t="shared" si="12"/>
        <v>33087.00301484338</v>
      </c>
      <c r="M48" s="447">
        <f t="shared" si="12"/>
        <v>33063.748664034851</v>
      </c>
      <c r="N48" s="447">
        <f t="shared" si="12"/>
        <v>32971.683142454873</v>
      </c>
    </row>
    <row r="49" spans="1:14">
      <c r="B49" s="8" t="str">
        <f t="shared" si="1"/>
        <v>Food</v>
      </c>
      <c r="C49" s="524">
        <f>Stock_calculations!E53</f>
        <v>1998.2378986711567</v>
      </c>
      <c r="D49" s="447">
        <f t="shared" si="3"/>
        <v>1956.2535049672433</v>
      </c>
      <c r="E49" s="447">
        <f t="shared" si="3"/>
        <v>1959.5361842003301</v>
      </c>
      <c r="F49" s="447">
        <f t="shared" ref="F49:N49" si="13">E25</f>
        <v>1973.050169889354</v>
      </c>
      <c r="G49" s="447">
        <f t="shared" si="13"/>
        <v>1977.0348444722242</v>
      </c>
      <c r="H49" s="447">
        <f t="shared" si="13"/>
        <v>1977.4852088545217</v>
      </c>
      <c r="I49" s="447">
        <f t="shared" si="13"/>
        <v>1974.7794548706556</v>
      </c>
      <c r="J49" s="447">
        <f t="shared" si="13"/>
        <v>1978.0669447893681</v>
      </c>
      <c r="K49" s="447">
        <f t="shared" si="13"/>
        <v>1987.8032804778159</v>
      </c>
      <c r="L49" s="447">
        <f t="shared" si="13"/>
        <v>1996.0406566594697</v>
      </c>
      <c r="M49" s="447">
        <f t="shared" si="13"/>
        <v>1999.9762782551843</v>
      </c>
      <c r="N49" s="447">
        <f t="shared" si="13"/>
        <v>1994.0423995431088</v>
      </c>
    </row>
    <row r="50" spans="1:14">
      <c r="B50" s="8" t="str">
        <f t="shared" ref="B50:B58" si="14">B26</f>
        <v>Geography</v>
      </c>
      <c r="C50" s="524">
        <f>Stock_calculations!E54</f>
        <v>10672.620142552178</v>
      </c>
      <c r="D50" s="447">
        <f t="shared" si="3"/>
        <v>10803.079082425373</v>
      </c>
      <c r="E50" s="447">
        <f t="shared" si="3"/>
        <v>10913.97383137792</v>
      </c>
      <c r="F50" s="447">
        <f t="shared" ref="F50:N50" si="15">E26</f>
        <v>11040.073537517266</v>
      </c>
      <c r="G50" s="447">
        <f t="shared" si="15"/>
        <v>11141.835814652577</v>
      </c>
      <c r="H50" s="447">
        <f t="shared" si="15"/>
        <v>11235.812997276715</v>
      </c>
      <c r="I50" s="447">
        <f t="shared" si="15"/>
        <v>11318.429527654655</v>
      </c>
      <c r="J50" s="447">
        <f t="shared" si="15"/>
        <v>11447.571971044999</v>
      </c>
      <c r="K50" s="447">
        <f t="shared" si="15"/>
        <v>11514.819044284342</v>
      </c>
      <c r="L50" s="447">
        <f t="shared" si="15"/>
        <v>11515.740365562662</v>
      </c>
      <c r="M50" s="447">
        <f t="shared" si="15"/>
        <v>11475.359015980936</v>
      </c>
      <c r="N50" s="447">
        <f t="shared" si="15"/>
        <v>11454.130023559828</v>
      </c>
    </row>
    <row r="51" spans="1:14">
      <c r="B51" s="8" t="str">
        <f t="shared" si="14"/>
        <v>History</v>
      </c>
      <c r="C51" s="524">
        <f>Stock_calculations!E55</f>
        <v>11356.501735842625</v>
      </c>
      <c r="D51" s="447">
        <f t="shared" si="3"/>
        <v>11478.78528353108</v>
      </c>
      <c r="E51" s="447">
        <f t="shared" si="3"/>
        <v>11581.968504481012</v>
      </c>
      <c r="F51" s="447">
        <f t="shared" ref="F51:N51" si="16">E27</f>
        <v>11702.36853693105</v>
      </c>
      <c r="G51" s="447">
        <f t="shared" si="16"/>
        <v>11805.823561991971</v>
      </c>
      <c r="H51" s="447">
        <f t="shared" si="16"/>
        <v>11905.04406842778</v>
      </c>
      <c r="I51" s="447">
        <f t="shared" si="16"/>
        <v>11996.878419563651</v>
      </c>
      <c r="J51" s="447">
        <f t="shared" si="16"/>
        <v>12135.936933273137</v>
      </c>
      <c r="K51" s="447">
        <f t="shared" si="16"/>
        <v>12213.749991184312</v>
      </c>
      <c r="L51" s="447">
        <f t="shared" si="16"/>
        <v>12222.822653396182</v>
      </c>
      <c r="M51" s="447">
        <f t="shared" si="16"/>
        <v>12188.797624594896</v>
      </c>
      <c r="N51" s="447">
        <f t="shared" si="16"/>
        <v>12171.21671946704</v>
      </c>
    </row>
    <row r="52" spans="1:14">
      <c r="B52" s="8" t="str">
        <f t="shared" si="14"/>
        <v>Mathematics</v>
      </c>
      <c r="C52" s="524">
        <f>Stock_calculations!E56</f>
        <v>30407.496560320695</v>
      </c>
      <c r="D52" s="447">
        <f t="shared" si="3"/>
        <v>31263.995988909792</v>
      </c>
      <c r="E52" s="447">
        <f t="shared" si="3"/>
        <v>31800.404380466622</v>
      </c>
      <c r="F52" s="447">
        <f t="shared" ref="F52:N52" si="17">E28</f>
        <v>32332.887872631094</v>
      </c>
      <c r="G52" s="447">
        <f t="shared" si="17"/>
        <v>32621.070537865755</v>
      </c>
      <c r="H52" s="447">
        <f t="shared" si="17"/>
        <v>32924.224090463504</v>
      </c>
      <c r="I52" s="447">
        <f t="shared" si="17"/>
        <v>33241.002281772227</v>
      </c>
      <c r="J52" s="447">
        <f t="shared" si="17"/>
        <v>33619.675080212059</v>
      </c>
      <c r="K52" s="447">
        <f t="shared" si="17"/>
        <v>33841.805741803691</v>
      </c>
      <c r="L52" s="447">
        <f t="shared" si="17"/>
        <v>33939.843565007715</v>
      </c>
      <c r="M52" s="447">
        <f t="shared" si="17"/>
        <v>33934.401268075904</v>
      </c>
      <c r="N52" s="447">
        <f t="shared" si="17"/>
        <v>33872.600336963915</v>
      </c>
    </row>
    <row r="53" spans="1:14">
      <c r="B53" s="8" t="str">
        <f t="shared" si="14"/>
        <v>Modern Foreign Languages</v>
      </c>
      <c r="C53" s="524">
        <f>Stock_calculations!E57</f>
        <v>14825.501850585661</v>
      </c>
      <c r="D53" s="447">
        <f t="shared" si="3"/>
        <v>14971.501798068488</v>
      </c>
      <c r="E53" s="447">
        <f t="shared" si="3"/>
        <v>15518.448326772366</v>
      </c>
      <c r="F53" s="447">
        <f t="shared" ref="F53:N53" si="18">E29</f>
        <v>16134.071227593558</v>
      </c>
      <c r="G53" s="447">
        <f t="shared" si="18"/>
        <v>16812.756948289185</v>
      </c>
      <c r="H53" s="447">
        <f t="shared" si="18"/>
        <v>17630.402554431716</v>
      </c>
      <c r="I53" s="447">
        <f t="shared" si="18"/>
        <v>18578.0202666437</v>
      </c>
      <c r="J53" s="447">
        <f t="shared" si="18"/>
        <v>19452.46551534941</v>
      </c>
      <c r="K53" s="447">
        <f t="shared" si="18"/>
        <v>19600.61185016208</v>
      </c>
      <c r="L53" s="447">
        <f t="shared" si="18"/>
        <v>19598.097876335123</v>
      </c>
      <c r="M53" s="447">
        <f t="shared" si="18"/>
        <v>19497.170074560905</v>
      </c>
      <c r="N53" s="447">
        <f t="shared" si="18"/>
        <v>19427.392336902663</v>
      </c>
    </row>
    <row r="54" spans="1:14">
      <c r="B54" s="8" t="str">
        <f t="shared" si="14"/>
        <v>Music</v>
      </c>
      <c r="C54" s="524">
        <f>Stock_calculations!E58</f>
        <v>5011.8247532695559</v>
      </c>
      <c r="D54" s="447">
        <f t="shared" si="3"/>
        <v>5031.0938936371076</v>
      </c>
      <c r="E54" s="447">
        <f t="shared" si="3"/>
        <v>5031.8745371214309</v>
      </c>
      <c r="F54" s="447">
        <f t="shared" ref="F54:N54" si="19">E30</f>
        <v>5063.8831159871925</v>
      </c>
      <c r="G54" s="447">
        <f t="shared" si="19"/>
        <v>5075.1545133812051</v>
      </c>
      <c r="H54" s="447">
        <f t="shared" si="19"/>
        <v>5065.2937855486989</v>
      </c>
      <c r="I54" s="447">
        <f t="shared" si="19"/>
        <v>5030.6980732445454</v>
      </c>
      <c r="J54" s="447">
        <f t="shared" si="19"/>
        <v>5038.2076146806994</v>
      </c>
      <c r="K54" s="447">
        <f t="shared" si="19"/>
        <v>5061.6281804127666</v>
      </c>
      <c r="L54" s="447">
        <f t="shared" si="19"/>
        <v>5041.1826092764768</v>
      </c>
      <c r="M54" s="447">
        <f t="shared" si="19"/>
        <v>5000.3471421257582</v>
      </c>
      <c r="N54" s="447">
        <f t="shared" si="19"/>
        <v>4995.1881811491194</v>
      </c>
    </row>
    <row r="55" spans="1:14">
      <c r="B55" s="8" t="str">
        <f t="shared" si="14"/>
        <v>Others</v>
      </c>
      <c r="C55" s="524">
        <f>Stock_calculations!E59</f>
        <v>13879.774277103697</v>
      </c>
      <c r="D55" s="447">
        <f t="shared" si="3"/>
        <v>13467.698732576104</v>
      </c>
      <c r="E55" s="447">
        <f t="shared" si="3"/>
        <v>13191.52552967619</v>
      </c>
      <c r="F55" s="447">
        <f t="shared" ref="F55:N55" si="20">E31</f>
        <v>13018.58476788241</v>
      </c>
      <c r="G55" s="447">
        <f t="shared" si="20"/>
        <v>12986.409988305681</v>
      </c>
      <c r="H55" s="447">
        <f t="shared" si="20"/>
        <v>13000.806126678135</v>
      </c>
      <c r="I55" s="447">
        <f t="shared" si="20"/>
        <v>13068.681049346382</v>
      </c>
      <c r="J55" s="447">
        <f t="shared" si="20"/>
        <v>13197.505351724647</v>
      </c>
      <c r="K55" s="447">
        <f t="shared" si="20"/>
        <v>13404.409559926506</v>
      </c>
      <c r="L55" s="447">
        <f t="shared" si="20"/>
        <v>13547.048201836704</v>
      </c>
      <c r="M55" s="447">
        <f t="shared" si="20"/>
        <v>13653.49407142097</v>
      </c>
      <c r="N55" s="447">
        <f t="shared" si="20"/>
        <v>13739.843528795254</v>
      </c>
    </row>
    <row r="56" spans="1:14">
      <c r="B56" s="8" t="str">
        <f t="shared" si="14"/>
        <v>Physical Education</v>
      </c>
      <c r="C56" s="524">
        <f>Stock_calculations!E60</f>
        <v>16696.033108673455</v>
      </c>
      <c r="D56" s="447">
        <f t="shared" si="3"/>
        <v>16467.262477428438</v>
      </c>
      <c r="E56" s="447">
        <f t="shared" si="3"/>
        <v>16482.014449636485</v>
      </c>
      <c r="F56" s="447">
        <f t="shared" ref="F56:N56" si="21">E32</f>
        <v>16590.416376455454</v>
      </c>
      <c r="G56" s="447">
        <f t="shared" si="21"/>
        <v>16626.361766054804</v>
      </c>
      <c r="H56" s="447">
        <f t="shared" si="21"/>
        <v>16616.544724022035</v>
      </c>
      <c r="I56" s="447">
        <f t="shared" si="21"/>
        <v>16557.647838055684</v>
      </c>
      <c r="J56" s="447">
        <f t="shared" si="21"/>
        <v>16586.779985111461</v>
      </c>
      <c r="K56" s="447">
        <f t="shared" si="21"/>
        <v>16667.969198455685</v>
      </c>
      <c r="L56" s="447">
        <f t="shared" si="21"/>
        <v>16678.773728357537</v>
      </c>
      <c r="M56" s="447">
        <f t="shared" si="21"/>
        <v>16639.88761305494</v>
      </c>
      <c r="N56" s="447">
        <f t="shared" si="21"/>
        <v>16605.50062864659</v>
      </c>
    </row>
    <row r="57" spans="1:14">
      <c r="B57" s="8" t="str">
        <f t="shared" si="14"/>
        <v>Physics</v>
      </c>
      <c r="C57" s="524">
        <f>Stock_calculations!E61</f>
        <v>10373.052443686078</v>
      </c>
      <c r="D57" s="447">
        <f t="shared" si="3"/>
        <v>10747.938420584598</v>
      </c>
      <c r="E57" s="447">
        <f t="shared" si="3"/>
        <v>10870.436031513067</v>
      </c>
      <c r="F57" s="447">
        <f t="shared" ref="F57:N57" si="22">E33</f>
        <v>10983.264747183021</v>
      </c>
      <c r="G57" s="447">
        <f t="shared" si="22"/>
        <v>11078.439550324605</v>
      </c>
      <c r="H57" s="447">
        <f t="shared" si="22"/>
        <v>11190.530438833801</v>
      </c>
      <c r="I57" s="447">
        <f t="shared" si="22"/>
        <v>11321.974429879834</v>
      </c>
      <c r="J57" s="447">
        <f t="shared" si="22"/>
        <v>11450.519442099525</v>
      </c>
      <c r="K57" s="447">
        <f t="shared" si="22"/>
        <v>11533.445875248595</v>
      </c>
      <c r="L57" s="447">
        <f t="shared" si="22"/>
        <v>11596.832841396888</v>
      </c>
      <c r="M57" s="447">
        <f t="shared" si="22"/>
        <v>11630.671884863244</v>
      </c>
      <c r="N57" s="447">
        <f t="shared" si="22"/>
        <v>11609.264983572455</v>
      </c>
    </row>
    <row r="58" spans="1:14">
      <c r="B58" s="8" t="str">
        <f t="shared" si="14"/>
        <v>Religious Education</v>
      </c>
      <c r="C58" s="524">
        <f>Stock_calculations!E62</f>
        <v>7314.6427209521516</v>
      </c>
      <c r="D58" s="447">
        <f t="shared" si="3"/>
        <v>7253.8944869877287</v>
      </c>
      <c r="E58" s="447">
        <f t="shared" si="3"/>
        <v>7249.5624630229613</v>
      </c>
      <c r="F58" s="447">
        <f t="shared" ref="F58:N58" si="23">E34</f>
        <v>7287.7369741211323</v>
      </c>
      <c r="G58" s="447">
        <f t="shared" si="23"/>
        <v>7301.1702138647452</v>
      </c>
      <c r="H58" s="447">
        <f t="shared" si="23"/>
        <v>7296.432424840199</v>
      </c>
      <c r="I58" s="447">
        <f t="shared" si="23"/>
        <v>7272.0769251326656</v>
      </c>
      <c r="J58" s="447">
        <f t="shared" si="23"/>
        <v>7288.0563023744571</v>
      </c>
      <c r="K58" s="447">
        <f t="shared" si="23"/>
        <v>7328.5650940326677</v>
      </c>
      <c r="L58" s="447">
        <f t="shared" si="23"/>
        <v>7335.0529973574376</v>
      </c>
      <c r="M58" s="447">
        <f t="shared" si="23"/>
        <v>7319.1753367670381</v>
      </c>
      <c r="N58" s="447">
        <f t="shared" si="23"/>
        <v>7308.7509548267399</v>
      </c>
    </row>
    <row r="59" spans="1:14">
      <c r="C59" s="10"/>
      <c r="D59" s="10"/>
      <c r="E59" s="10"/>
      <c r="F59" s="10"/>
      <c r="G59" s="10"/>
      <c r="H59" s="10"/>
      <c r="I59" s="10"/>
      <c r="J59" s="10"/>
    </row>
    <row r="60" spans="1:14">
      <c r="C60" s="10">
        <f>SUM(C39:C58)</f>
        <v>450411.73100376659</v>
      </c>
      <c r="E60" s="10"/>
    </row>
    <row r="61" spans="1:14">
      <c r="A61" s="10">
        <f>C60-C61</f>
        <v>0</v>
      </c>
      <c r="C61" s="10">
        <f>SUM(RAW_DATA_INPUTS!C50:AR50)-RAW_DATA_INPUTS!AO50-RAW_DATA_INPUTS!AP50</f>
        <v>450411.73100376647</v>
      </c>
    </row>
    <row r="67" spans="3:14">
      <c r="C67" s="302">
        <f>SUM(C40:C58)</f>
        <v>208904.02100376654</v>
      </c>
      <c r="D67" s="302">
        <f t="shared" ref="D67:N67" si="24">SUM(D40:D58)</f>
        <v>210665.40426618766</v>
      </c>
      <c r="E67" s="302">
        <f t="shared" si="24"/>
        <v>212698.50385815764</v>
      </c>
      <c r="F67" s="302">
        <f t="shared" si="24"/>
        <v>214920.23730955189</v>
      </c>
      <c r="G67" s="302">
        <f t="shared" si="24"/>
        <v>216757.95394379064</v>
      </c>
      <c r="H67" s="302">
        <f t="shared" si="24"/>
        <v>218697.69007643341</v>
      </c>
      <c r="I67" s="302">
        <f t="shared" si="24"/>
        <v>220720.5403897037</v>
      </c>
      <c r="J67" s="302">
        <f>SUM(J40:J58)</f>
        <v>223316.71144763532</v>
      </c>
      <c r="K67" s="302">
        <f t="shared" si="24"/>
        <v>224901.28331453755</v>
      </c>
      <c r="L67" s="302">
        <f t="shared" si="24"/>
        <v>225490.18602435637</v>
      </c>
      <c r="M67" s="302">
        <f t="shared" si="24"/>
        <v>225356.16604052536</v>
      </c>
      <c r="N67" s="302">
        <f t="shared" si="24"/>
        <v>225081.02798511446</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Q88"/>
  <sheetViews>
    <sheetView showGridLines="0" zoomScaleNormal="100" workbookViewId="0"/>
  </sheetViews>
  <sheetFormatPr defaultRowHeight="12.75"/>
  <cols>
    <col min="2" max="2" width="12.7109375" customWidth="1"/>
    <col min="3" max="13" width="9.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285"/>
      <c r="E4" s="57"/>
      <c r="F4" s="57"/>
      <c r="G4" s="57"/>
      <c r="H4" s="57"/>
      <c r="I4" s="57"/>
      <c r="J4" s="57"/>
      <c r="K4" s="57"/>
      <c r="L4" s="57"/>
      <c r="M4" s="57"/>
      <c r="N4" s="57"/>
      <c r="O4" s="57"/>
      <c r="P4" s="57"/>
      <c r="Q4" s="57"/>
    </row>
    <row r="5" spans="1:17" s="46" customFormat="1">
      <c r="A5" s="59" t="s">
        <v>357</v>
      </c>
      <c r="B5" s="59"/>
      <c r="C5" s="59"/>
      <c r="D5" s="59"/>
      <c r="E5" s="59"/>
      <c r="F5" s="59"/>
      <c r="G5" s="59"/>
      <c r="H5" s="59"/>
      <c r="I5" s="59"/>
      <c r="J5" s="59"/>
      <c r="K5" s="59"/>
      <c r="L5" s="59"/>
      <c r="M5" s="59"/>
      <c r="N5" s="59"/>
      <c r="O5" s="59"/>
      <c r="P5" s="59"/>
      <c r="Q5" s="59"/>
    </row>
    <row r="6" spans="1:17" s="45" customFormat="1">
      <c r="A6" s="55" t="s">
        <v>1392</v>
      </c>
      <c r="B6" s="60"/>
      <c r="C6" s="60"/>
      <c r="D6" s="285"/>
      <c r="E6" s="60"/>
      <c r="F6" s="60"/>
      <c r="G6" s="60"/>
      <c r="H6" s="60"/>
      <c r="I6" s="60"/>
      <c r="J6" s="60"/>
      <c r="K6" s="60"/>
      <c r="L6" s="60"/>
      <c r="M6" s="60"/>
      <c r="N6" s="60"/>
      <c r="O6" s="60"/>
      <c r="P6" s="326"/>
      <c r="Q6" s="326"/>
    </row>
    <row r="7" spans="1:17" s="45" customFormat="1">
      <c r="A7" s="53" t="s">
        <v>187</v>
      </c>
      <c r="B7" s="55"/>
      <c r="C7" s="60"/>
      <c r="D7" s="285"/>
      <c r="E7" s="60"/>
      <c r="F7" s="60"/>
      <c r="G7" s="60"/>
      <c r="H7" s="60"/>
      <c r="I7" s="60"/>
      <c r="J7" s="60"/>
      <c r="K7" s="60"/>
      <c r="L7" s="60"/>
      <c r="M7" s="60"/>
      <c r="N7" s="60"/>
      <c r="O7" s="60"/>
      <c r="P7" s="326"/>
      <c r="Q7" s="326"/>
    </row>
    <row r="8" spans="1:17" s="45" customFormat="1">
      <c r="A8" s="55" t="s">
        <v>24</v>
      </c>
      <c r="B8" s="60"/>
      <c r="C8" s="60"/>
      <c r="D8" s="285"/>
      <c r="E8" s="60"/>
      <c r="F8" s="60"/>
      <c r="G8" s="60"/>
      <c r="H8" s="60"/>
      <c r="I8" s="60"/>
      <c r="J8" s="60"/>
      <c r="K8" s="60"/>
      <c r="L8" s="60"/>
      <c r="M8" s="60"/>
      <c r="N8" s="60"/>
      <c r="O8" s="60"/>
      <c r="P8" s="326"/>
      <c r="Q8" s="326"/>
    </row>
    <row r="9" spans="1:17" s="45" customFormat="1">
      <c r="A9" s="53" t="s">
        <v>349</v>
      </c>
      <c r="B9" s="60"/>
      <c r="C9" s="60"/>
      <c r="D9" s="285"/>
      <c r="E9" s="60"/>
      <c r="F9" s="60"/>
      <c r="G9" s="60"/>
      <c r="H9" s="60"/>
      <c r="I9" s="60"/>
      <c r="J9" s="60"/>
      <c r="K9" s="60"/>
      <c r="L9" s="60"/>
      <c r="M9" s="60"/>
      <c r="N9" s="60"/>
      <c r="O9" s="60"/>
      <c r="P9" s="326"/>
      <c r="Q9" s="326"/>
    </row>
    <row r="10" spans="1:17" s="49" customFormat="1">
      <c r="A10" s="54">
        <f>SUM(A13:A2227)</f>
        <v>0</v>
      </c>
      <c r="B10" s="72"/>
      <c r="C10" s="47"/>
      <c r="D10" s="47"/>
      <c r="E10" s="47"/>
      <c r="F10" s="71"/>
      <c r="G10" s="47"/>
      <c r="H10" s="71"/>
      <c r="I10" s="48"/>
      <c r="J10" s="48"/>
      <c r="K10" s="48"/>
      <c r="L10" s="48"/>
      <c r="M10" s="48"/>
      <c r="N10" s="48"/>
      <c r="O10" s="48"/>
    </row>
    <row r="12" spans="1:17">
      <c r="H12" s="75" t="s">
        <v>115</v>
      </c>
    </row>
    <row r="14" spans="1:17">
      <c r="H14" s="5">
        <v>0.1</v>
      </c>
      <c r="I14" s="5">
        <v>0.2</v>
      </c>
      <c r="J14" s="5">
        <v>0.3</v>
      </c>
      <c r="K14" s="5">
        <v>0.4</v>
      </c>
    </row>
    <row r="17" spans="2:6" ht="18">
      <c r="B17" s="38" t="s">
        <v>171</v>
      </c>
    </row>
    <row r="19" spans="2:6">
      <c r="B19" s="75" t="s">
        <v>635</v>
      </c>
    </row>
    <row r="21" spans="2:6">
      <c r="B21" s="1243" t="str">
        <f>RAW_DATA_INPUTS!B131</f>
        <v>Age group</v>
      </c>
      <c r="C21" s="1292" t="s">
        <v>71</v>
      </c>
      <c r="D21" s="1292"/>
      <c r="E21" s="1292"/>
      <c r="F21" s="1292"/>
    </row>
    <row r="22" spans="2:6">
      <c r="B22" s="1244"/>
      <c r="C22" s="8" t="str">
        <f>RAW_DATA_INPUTS!C314</f>
        <v>2012/13</v>
      </c>
      <c r="D22" s="8" t="str">
        <f>RAW_DATA_INPUTS!D314</f>
        <v>2013/14</v>
      </c>
      <c r="E22" s="8" t="str">
        <f>RAW_DATA_INPUTS!E314</f>
        <v>2014/15</v>
      </c>
      <c r="F22" s="8" t="str">
        <f>RAW_DATA_INPUTS!F314</f>
        <v>2015/16</v>
      </c>
    </row>
    <row r="23" spans="2:6">
      <c r="B23" s="8" t="str">
        <f>RAW_DATA_INPUTS!B132</f>
        <v>20-24</v>
      </c>
      <c r="C23" s="300">
        <f>RAW_DATA_INPUTS!C315</f>
        <v>7805.9049999999997</v>
      </c>
      <c r="D23" s="300">
        <f>RAW_DATA_INPUTS!D315</f>
        <v>8371.7860000000001</v>
      </c>
      <c r="E23" s="300">
        <f>RAW_DATA_INPUTS!E315</f>
        <v>9002.3809999999994</v>
      </c>
      <c r="F23" s="300">
        <f>RAW_DATA_INPUTS!F315</f>
        <v>7671.3919999999998</v>
      </c>
    </row>
    <row r="24" spans="2:6">
      <c r="B24" s="8" t="str">
        <f>RAW_DATA_INPUTS!B133</f>
        <v>25-29</v>
      </c>
      <c r="C24" s="300">
        <f>RAW_DATA_INPUTS!C316</f>
        <v>6246.7449999999999</v>
      </c>
      <c r="D24" s="300">
        <f>RAW_DATA_INPUTS!D316</f>
        <v>6329.4530000000004</v>
      </c>
      <c r="E24" s="300">
        <f>RAW_DATA_INPUTS!E316</f>
        <v>6298.4939999999997</v>
      </c>
      <c r="F24" s="300">
        <f>RAW_DATA_INPUTS!F316</f>
        <v>6246.2359999999999</v>
      </c>
    </row>
    <row r="25" spans="2:6">
      <c r="B25" s="8" t="str">
        <f>RAW_DATA_INPUTS!B134</f>
        <v>30-34</v>
      </c>
      <c r="C25" s="300">
        <f>RAW_DATA_INPUTS!C317</f>
        <v>2923.1590000000001</v>
      </c>
      <c r="D25" s="300">
        <f>RAW_DATA_INPUTS!D317</f>
        <v>2986.8820000000001</v>
      </c>
      <c r="E25" s="300">
        <f>RAW_DATA_INPUTS!E317</f>
        <v>2855.6170000000002</v>
      </c>
      <c r="F25" s="300">
        <f>RAW_DATA_INPUTS!F317</f>
        <v>2933.306</v>
      </c>
    </row>
    <row r="26" spans="2:6">
      <c r="B26" s="8" t="str">
        <f>RAW_DATA_INPUTS!B135</f>
        <v>35-39</v>
      </c>
      <c r="C26" s="300">
        <f>RAW_DATA_INPUTS!C318</f>
        <v>2278.9189999999999</v>
      </c>
      <c r="D26" s="300">
        <f>RAW_DATA_INPUTS!D318</f>
        <v>2443.933</v>
      </c>
      <c r="E26" s="300">
        <f>RAW_DATA_INPUTS!E318</f>
        <v>2378.0929999999998</v>
      </c>
      <c r="F26" s="300">
        <f>RAW_DATA_INPUTS!F318</f>
        <v>2463.3209999999999</v>
      </c>
    </row>
    <row r="27" spans="2:6">
      <c r="B27" s="8" t="str">
        <f>RAW_DATA_INPUTS!B136</f>
        <v>40-44</v>
      </c>
      <c r="C27" s="300">
        <f>RAW_DATA_INPUTS!C319</f>
        <v>2325.431</v>
      </c>
      <c r="D27" s="300">
        <f>RAW_DATA_INPUTS!D319</f>
        <v>2423.105</v>
      </c>
      <c r="E27" s="300">
        <f>RAW_DATA_INPUTS!E319</f>
        <v>2288.395</v>
      </c>
      <c r="F27" s="300">
        <f>RAW_DATA_INPUTS!F319</f>
        <v>2235.558</v>
      </c>
    </row>
    <row r="28" spans="2:6">
      <c r="B28" s="8" t="str">
        <f>RAW_DATA_INPUTS!B137</f>
        <v>45-49</v>
      </c>
      <c r="C28" s="300">
        <f>RAW_DATA_INPUTS!C320</f>
        <v>1654.432</v>
      </c>
      <c r="D28" s="300">
        <f>RAW_DATA_INPUTS!D320</f>
        <v>1798.8140000000001</v>
      </c>
      <c r="E28" s="300">
        <f>RAW_DATA_INPUTS!E320</f>
        <v>1698.954</v>
      </c>
      <c r="F28" s="300">
        <f>RAW_DATA_INPUTS!F320</f>
        <v>1711.1610000000001</v>
      </c>
    </row>
    <row r="29" spans="2:6">
      <c r="B29" s="8" t="str">
        <f>RAW_DATA_INPUTS!B138</f>
        <v>50-54</v>
      </c>
      <c r="C29" s="300">
        <f>RAW_DATA_INPUTS!C321</f>
        <v>958.61900000000003</v>
      </c>
      <c r="D29" s="300">
        <f>RAW_DATA_INPUTS!D321</f>
        <v>1080.1659999999999</v>
      </c>
      <c r="E29" s="300">
        <f>RAW_DATA_INPUTS!E321</f>
        <v>1103.308</v>
      </c>
      <c r="F29" s="300">
        <f>RAW_DATA_INPUTS!F321</f>
        <v>1143.46</v>
      </c>
    </row>
    <row r="30" spans="2:6">
      <c r="B30" s="8" t="str">
        <f>RAW_DATA_INPUTS!B139</f>
        <v>55-59</v>
      </c>
      <c r="C30" s="300">
        <f>RAW_DATA_INPUTS!C322</f>
        <v>721.596</v>
      </c>
      <c r="D30" s="300">
        <f>RAW_DATA_INPUTS!D322</f>
        <v>694.83399999999995</v>
      </c>
      <c r="E30" s="300">
        <f>RAW_DATA_INPUTS!E322</f>
        <v>664.46400000000006</v>
      </c>
      <c r="F30" s="300">
        <f>RAW_DATA_INPUTS!F322</f>
        <v>606.54399999999998</v>
      </c>
    </row>
    <row r="31" spans="2:6">
      <c r="B31" s="8" t="str">
        <f>RAW_DATA_INPUTS!B140</f>
        <v>60-64</v>
      </c>
      <c r="C31" s="300">
        <f>RAW_DATA_INPUTS!C323</f>
        <v>273.24299999999999</v>
      </c>
      <c r="D31" s="300">
        <f>RAW_DATA_INPUTS!D323</f>
        <v>366.36099999999999</v>
      </c>
      <c r="E31" s="300">
        <f>RAW_DATA_INPUTS!E323</f>
        <v>309.40600000000001</v>
      </c>
      <c r="F31" s="300">
        <f>RAW_DATA_INPUTS!F323</f>
        <v>319.38400000000001</v>
      </c>
    </row>
    <row r="32" spans="2:6">
      <c r="B32" s="8" t="str">
        <f>RAW_DATA_INPUTS!B141</f>
        <v>65 plus</v>
      </c>
      <c r="C32" s="300">
        <f>RAW_DATA_INPUTS!C324</f>
        <v>89.367000000000004</v>
      </c>
      <c r="D32" s="300">
        <f>RAW_DATA_INPUTS!D324</f>
        <v>102.95099999999999</v>
      </c>
      <c r="E32" s="300">
        <f>RAW_DATA_INPUTS!E324</f>
        <v>94.555000000000007</v>
      </c>
      <c r="F32" s="300">
        <f>RAW_DATA_INPUTS!F324</f>
        <v>75.89</v>
      </c>
    </row>
    <row r="33" spans="1:6">
      <c r="B33" s="8" t="str">
        <f>RAW_DATA_INPUTS!B142</f>
        <v>Total</v>
      </c>
      <c r="C33" s="300">
        <f>RAW_DATA_INPUTS!C325</f>
        <v>25277.416000000001</v>
      </c>
      <c r="D33" s="300">
        <f>RAW_DATA_INPUTS!D325</f>
        <v>26598.285000000003</v>
      </c>
      <c r="E33" s="300">
        <f>RAW_DATA_INPUTS!E325</f>
        <v>26693.667000000001</v>
      </c>
      <c r="F33" s="300">
        <f>RAW_DATA_INPUTS!F325</f>
        <v>25406.252</v>
      </c>
    </row>
    <row r="34" spans="1:6">
      <c r="A34">
        <f>SUM(C34:F34)</f>
        <v>0</v>
      </c>
      <c r="C34" s="295">
        <f>SUM(C23:C32)-C33</f>
        <v>0</v>
      </c>
      <c r="D34" s="295">
        <f>SUM(D23:D32)-D33</f>
        <v>0</v>
      </c>
      <c r="E34" s="295">
        <f>SUM(E23:E32)-E33</f>
        <v>0</v>
      </c>
      <c r="F34" s="295">
        <f>SUM(F23:F32)-F33</f>
        <v>0</v>
      </c>
    </row>
    <row r="36" spans="1:6">
      <c r="B36" s="75" t="s">
        <v>172</v>
      </c>
    </row>
    <row r="38" spans="1:6">
      <c r="B38" s="1243" t="str">
        <f>RAW_DATA_INPUTS!B148</f>
        <v>Age group</v>
      </c>
      <c r="C38" s="1292" t="str">
        <f>C21</f>
        <v>Year</v>
      </c>
      <c r="D38" s="1292"/>
      <c r="E38" s="1292"/>
      <c r="F38" s="1292"/>
    </row>
    <row r="39" spans="1:6">
      <c r="B39" s="1244"/>
      <c r="C39" s="8" t="str">
        <f>C22</f>
        <v>2012/13</v>
      </c>
      <c r="D39" s="8" t="str">
        <f>D22</f>
        <v>2013/14</v>
      </c>
      <c r="E39" s="8" t="str">
        <f>E22</f>
        <v>2014/15</v>
      </c>
      <c r="F39" s="8" t="str">
        <f>F22</f>
        <v>2015/16</v>
      </c>
    </row>
    <row r="40" spans="1:6">
      <c r="B40" s="8" t="str">
        <f>RAW_DATA_INPUTS!B166</f>
        <v>20-24</v>
      </c>
      <c r="C40" s="300">
        <f>RAW_DATA_INPUTS!C331</f>
        <v>5187.049</v>
      </c>
      <c r="D40" s="300">
        <f>RAW_DATA_INPUTS!D331</f>
        <v>5468.2479999999996</v>
      </c>
      <c r="E40" s="300">
        <f>RAW_DATA_INPUTS!E331</f>
        <v>5489.415</v>
      </c>
      <c r="F40" s="300">
        <f>RAW_DATA_INPUTS!F331</f>
        <v>5288.9740000000002</v>
      </c>
    </row>
    <row r="41" spans="1:6">
      <c r="B41" s="8" t="str">
        <f>RAW_DATA_INPUTS!B167</f>
        <v>25-29</v>
      </c>
      <c r="C41" s="300">
        <f>RAW_DATA_INPUTS!C332</f>
        <v>5671.1139999999996</v>
      </c>
      <c r="D41" s="300">
        <f>RAW_DATA_INPUTS!D332</f>
        <v>5543.1809999999996</v>
      </c>
      <c r="E41" s="300">
        <f>RAW_DATA_INPUTS!E332</f>
        <v>5286.2619999999997</v>
      </c>
      <c r="F41" s="300">
        <f>RAW_DATA_INPUTS!F332</f>
        <v>5568.0209999999997</v>
      </c>
    </row>
    <row r="42" spans="1:6">
      <c r="B42" s="8" t="str">
        <f>RAW_DATA_INPUTS!B168</f>
        <v>30-34</v>
      </c>
      <c r="C42" s="300">
        <f>RAW_DATA_INPUTS!C333</f>
        <v>2838.741</v>
      </c>
      <c r="D42" s="300">
        <f>RAW_DATA_INPUTS!D333</f>
        <v>2705.0929999999998</v>
      </c>
      <c r="E42" s="300">
        <f>RAW_DATA_INPUTS!E333</f>
        <v>2606.721</v>
      </c>
      <c r="F42" s="300">
        <f>RAW_DATA_INPUTS!F333</f>
        <v>2798.3879999999999</v>
      </c>
    </row>
    <row r="43" spans="1:6">
      <c r="B43" s="8" t="str">
        <f>RAW_DATA_INPUTS!B169</f>
        <v>35-39</v>
      </c>
      <c r="C43" s="300">
        <f>RAW_DATA_INPUTS!C334</f>
        <v>1918.5360000000001</v>
      </c>
      <c r="D43" s="300">
        <f>RAW_DATA_INPUTS!D334</f>
        <v>2032.2750000000001</v>
      </c>
      <c r="E43" s="300">
        <f>RAW_DATA_INPUTS!E334</f>
        <v>1938.444</v>
      </c>
      <c r="F43" s="300">
        <f>RAW_DATA_INPUTS!F334</f>
        <v>2131.8150000000001</v>
      </c>
    </row>
    <row r="44" spans="1:6">
      <c r="B44" s="8" t="str">
        <f>RAW_DATA_INPUTS!B170</f>
        <v>40-44</v>
      </c>
      <c r="C44" s="300">
        <f>RAW_DATA_INPUTS!C335</f>
        <v>1750.5940000000001</v>
      </c>
      <c r="D44" s="300">
        <f>RAW_DATA_INPUTS!D335</f>
        <v>1810.991</v>
      </c>
      <c r="E44" s="300">
        <f>RAW_DATA_INPUTS!E335</f>
        <v>1637.8150000000001</v>
      </c>
      <c r="F44" s="300">
        <f>RAW_DATA_INPUTS!F335</f>
        <v>1794.403</v>
      </c>
    </row>
    <row r="45" spans="1:6">
      <c r="B45" s="8" t="str">
        <f>RAW_DATA_INPUTS!B171</f>
        <v>45-49</v>
      </c>
      <c r="C45" s="300">
        <f>RAW_DATA_INPUTS!C336</f>
        <v>1329.816</v>
      </c>
      <c r="D45" s="300">
        <f>RAW_DATA_INPUTS!D336</f>
        <v>1365.598</v>
      </c>
      <c r="E45" s="300">
        <f>RAW_DATA_INPUTS!E336</f>
        <v>1384.152</v>
      </c>
      <c r="F45" s="300">
        <f>RAW_DATA_INPUTS!F336</f>
        <v>1465.0940000000001</v>
      </c>
    </row>
    <row r="46" spans="1:6">
      <c r="B46" s="8" t="str">
        <f>RAW_DATA_INPUTS!B172</f>
        <v>50-54</v>
      </c>
      <c r="C46" s="300">
        <f>RAW_DATA_INPUTS!C337</f>
        <v>889.68899999999996</v>
      </c>
      <c r="D46" s="300">
        <f>RAW_DATA_INPUTS!D337</f>
        <v>1031.08</v>
      </c>
      <c r="E46" s="300">
        <f>RAW_DATA_INPUTS!E337</f>
        <v>1028.6310000000001</v>
      </c>
      <c r="F46" s="300">
        <f>RAW_DATA_INPUTS!F337</f>
        <v>1098.2909999999999</v>
      </c>
    </row>
    <row r="47" spans="1:6">
      <c r="B47" s="8" t="str">
        <f>RAW_DATA_INPUTS!B173</f>
        <v>55-59</v>
      </c>
      <c r="C47" s="300">
        <f>RAW_DATA_INPUTS!C338</f>
        <v>671.64800000000002</v>
      </c>
      <c r="D47" s="300">
        <f>RAW_DATA_INPUTS!D338</f>
        <v>670.28300000000002</v>
      </c>
      <c r="E47" s="300">
        <f>RAW_DATA_INPUTS!E338</f>
        <v>688.10900000000004</v>
      </c>
      <c r="F47" s="300">
        <f>RAW_DATA_INPUTS!F338</f>
        <v>669.61900000000003</v>
      </c>
    </row>
    <row r="48" spans="1:6">
      <c r="B48" s="8" t="str">
        <f>RAW_DATA_INPUTS!B174</f>
        <v>60-64</v>
      </c>
      <c r="C48" s="300">
        <f>RAW_DATA_INPUTS!C339</f>
        <v>305.32299999999998</v>
      </c>
      <c r="D48" s="300">
        <f>RAW_DATA_INPUTS!D339</f>
        <v>335.85500000000002</v>
      </c>
      <c r="E48" s="300">
        <f>RAW_DATA_INPUTS!E339</f>
        <v>362.947</v>
      </c>
      <c r="F48" s="300">
        <f>RAW_DATA_INPUTS!F339</f>
        <v>344.721</v>
      </c>
    </row>
    <row r="49" spans="1:11">
      <c r="B49" s="8" t="str">
        <f>RAW_DATA_INPUTS!B175</f>
        <v>65 plus</v>
      </c>
      <c r="C49" s="300">
        <f>RAW_DATA_INPUTS!C340</f>
        <v>96.197000000000003</v>
      </c>
      <c r="D49" s="300">
        <f>RAW_DATA_INPUTS!D340</f>
        <v>112.536</v>
      </c>
      <c r="E49" s="300">
        <f>RAW_DATA_INPUTS!E340</f>
        <v>104.408</v>
      </c>
      <c r="F49" s="300">
        <f>RAW_DATA_INPUTS!F340</f>
        <v>100.729</v>
      </c>
    </row>
    <row r="50" spans="1:11">
      <c r="B50" s="8" t="str">
        <f>RAW_DATA_INPUTS!B176</f>
        <v>Total</v>
      </c>
      <c r="C50" s="300">
        <f>RAW_DATA_INPUTS!C341</f>
        <v>20658.706999999999</v>
      </c>
      <c r="D50" s="300">
        <f>RAW_DATA_INPUTS!D341</f>
        <v>21075.14</v>
      </c>
      <c r="E50" s="300">
        <f>RAW_DATA_INPUTS!E341</f>
        <v>20526.904000000002</v>
      </c>
      <c r="F50" s="300">
        <f>RAW_DATA_INPUTS!F341</f>
        <v>21260.055</v>
      </c>
    </row>
    <row r="51" spans="1:11">
      <c r="A51">
        <f>SUM(C51:F51)</f>
        <v>0</v>
      </c>
      <c r="C51" s="295">
        <f>SUM(C40:C49)-C50</f>
        <v>0</v>
      </c>
      <c r="D51" s="295">
        <f>SUM(D40:D49)-D50</f>
        <v>0</v>
      </c>
      <c r="E51" s="295">
        <f>SUM(E40:E49)-E50</f>
        <v>0</v>
      </c>
      <c r="F51" s="295">
        <f>SUM(F40:F49)-F50</f>
        <v>0</v>
      </c>
    </row>
    <row r="53" spans="1:11" ht="18">
      <c r="B53" s="38" t="s">
        <v>173</v>
      </c>
    </row>
    <row r="55" spans="1:11">
      <c r="B55" s="75" t="s">
        <v>636</v>
      </c>
    </row>
    <row r="57" spans="1:11">
      <c r="B57" s="1243" t="str">
        <f>B38</f>
        <v>Age group</v>
      </c>
      <c r="C57" s="1241" t="str">
        <f>C39</f>
        <v>2012/13</v>
      </c>
      <c r="D57" s="1241" t="str">
        <f>D39</f>
        <v>2013/14</v>
      </c>
      <c r="E57" s="1241" t="str">
        <f>E39</f>
        <v>2014/15</v>
      </c>
      <c r="F57" s="1241" t="str">
        <f>F39</f>
        <v>2015/16</v>
      </c>
      <c r="G57" s="1241" t="str">
        <f>C57</f>
        <v>2012/13</v>
      </c>
      <c r="H57" s="1241" t="str">
        <f>D57</f>
        <v>2013/14</v>
      </c>
      <c r="I57" s="1241" t="str">
        <f>E57</f>
        <v>2014/15</v>
      </c>
      <c r="J57" s="1241" t="str">
        <f>F57</f>
        <v>2015/16</v>
      </c>
      <c r="K57" s="1290" t="s">
        <v>8</v>
      </c>
    </row>
    <row r="58" spans="1:11">
      <c r="B58" s="1244"/>
      <c r="C58" s="1242"/>
      <c r="D58" s="1242"/>
      <c r="E58" s="1242"/>
      <c r="F58" s="1242"/>
      <c r="G58" s="1242"/>
      <c r="H58" s="1242"/>
      <c r="I58" s="1242"/>
      <c r="J58" s="1242"/>
      <c r="K58" s="1291"/>
    </row>
    <row r="59" spans="1:11">
      <c r="B59" s="138" t="str">
        <f t="shared" ref="B59:B69" si="0">B40</f>
        <v>20-24</v>
      </c>
      <c r="C59" s="504">
        <f t="shared" ref="C59:F69" si="1">C23/C$33</f>
        <v>0.30880945267506771</v>
      </c>
      <c r="D59" s="504">
        <f t="shared" si="1"/>
        <v>0.31474909002591706</v>
      </c>
      <c r="E59" s="504">
        <f t="shared" si="1"/>
        <v>0.33724781986678709</v>
      </c>
      <c r="F59" s="504">
        <f t="shared" si="1"/>
        <v>0.30194898484042432</v>
      </c>
      <c r="G59" s="542">
        <f t="shared" ref="G59:G69" si="2">C59*H$14</f>
        <v>3.0880945267506774E-2</v>
      </c>
      <c r="H59" s="542">
        <f t="shared" ref="H59:J69" si="3">D59*I$14</f>
        <v>6.2949818005183414E-2</v>
      </c>
      <c r="I59" s="542">
        <f t="shared" si="3"/>
        <v>0.10117434596003612</v>
      </c>
      <c r="J59" s="542">
        <f t="shared" si="3"/>
        <v>0.12077959393616973</v>
      </c>
      <c r="K59" s="479">
        <f>SUM(G59:J59)</f>
        <v>0.31578470316889601</v>
      </c>
    </row>
    <row r="60" spans="1:11">
      <c r="B60" s="138" t="str">
        <f t="shared" si="0"/>
        <v>25-29</v>
      </c>
      <c r="C60" s="504">
        <f t="shared" si="1"/>
        <v>0.24712751493269722</v>
      </c>
      <c r="D60" s="504">
        <f t="shared" si="1"/>
        <v>0.23796470336339354</v>
      </c>
      <c r="E60" s="504">
        <f t="shared" si="1"/>
        <v>0.23595461799984241</v>
      </c>
      <c r="F60" s="504">
        <f t="shared" si="1"/>
        <v>0.24585428814923191</v>
      </c>
      <c r="G60" s="542">
        <f t="shared" si="2"/>
        <v>2.4712751493269722E-2</v>
      </c>
      <c r="H60" s="542">
        <f t="shared" si="3"/>
        <v>4.7592940672678712E-2</v>
      </c>
      <c r="I60" s="542">
        <f t="shared" si="3"/>
        <v>7.0786385399952717E-2</v>
      </c>
      <c r="J60" s="542">
        <f t="shared" si="3"/>
        <v>9.8341715259692764E-2</v>
      </c>
      <c r="K60" s="479">
        <f t="shared" ref="K60:K69" si="4">SUM(G60:J60)</f>
        <v>0.24143379282559391</v>
      </c>
    </row>
    <row r="61" spans="1:11">
      <c r="B61" s="138" t="str">
        <f t="shared" si="0"/>
        <v>30-34</v>
      </c>
      <c r="C61" s="504">
        <f t="shared" si="1"/>
        <v>0.11564311003941226</v>
      </c>
      <c r="D61" s="504">
        <f t="shared" si="1"/>
        <v>0.11229603713171732</v>
      </c>
      <c r="E61" s="504">
        <f t="shared" si="1"/>
        <v>0.10697732162463854</v>
      </c>
      <c r="F61" s="504">
        <f t="shared" si="1"/>
        <v>0.11545606963199452</v>
      </c>
      <c r="G61" s="542">
        <f t="shared" si="2"/>
        <v>1.1564311003941227E-2</v>
      </c>
      <c r="H61" s="542">
        <f t="shared" si="3"/>
        <v>2.2459207426343466E-2</v>
      </c>
      <c r="I61" s="542">
        <f t="shared" si="3"/>
        <v>3.2093196487391562E-2</v>
      </c>
      <c r="J61" s="542">
        <f t="shared" si="3"/>
        <v>4.618242785279781E-2</v>
      </c>
      <c r="K61" s="479">
        <f t="shared" si="4"/>
        <v>0.11229914277047406</v>
      </c>
    </row>
    <row r="62" spans="1:11">
      <c r="B62" s="138" t="str">
        <f t="shared" si="0"/>
        <v>35-39</v>
      </c>
      <c r="C62" s="504">
        <f t="shared" si="1"/>
        <v>9.0156327687925059E-2</v>
      </c>
      <c r="D62" s="504">
        <f t="shared" si="1"/>
        <v>9.1883104493391196E-2</v>
      </c>
      <c r="E62" s="504">
        <f t="shared" si="1"/>
        <v>8.9088284498341858E-2</v>
      </c>
      <c r="F62" s="504">
        <f t="shared" si="1"/>
        <v>9.6957276500288195E-2</v>
      </c>
      <c r="G62" s="542">
        <f t="shared" si="2"/>
        <v>9.0156327687925062E-3</v>
      </c>
      <c r="H62" s="542">
        <f t="shared" si="3"/>
        <v>1.8376620898678239E-2</v>
      </c>
      <c r="I62" s="542">
        <f t="shared" si="3"/>
        <v>2.6726485349502557E-2</v>
      </c>
      <c r="J62" s="542">
        <f t="shared" si="3"/>
        <v>3.8782910600115281E-2</v>
      </c>
      <c r="K62" s="479">
        <f t="shared" si="4"/>
        <v>9.2901649617088577E-2</v>
      </c>
    </row>
    <row r="63" spans="1:11">
      <c r="B63" s="138" t="str">
        <f t="shared" si="0"/>
        <v>40-44</v>
      </c>
      <c r="C63" s="504">
        <f t="shared" si="1"/>
        <v>9.199638918788218E-2</v>
      </c>
      <c r="D63" s="504">
        <f t="shared" si="1"/>
        <v>9.1100046487959649E-2</v>
      </c>
      <c r="E63" s="504">
        <f t="shared" si="1"/>
        <v>8.5728011816435704E-2</v>
      </c>
      <c r="F63" s="504">
        <f t="shared" si="1"/>
        <v>8.7992435877594227E-2</v>
      </c>
      <c r="G63" s="542">
        <f t="shared" si="2"/>
        <v>9.1996389187882187E-3</v>
      </c>
      <c r="H63" s="542">
        <f t="shared" si="3"/>
        <v>1.8220009297591929E-2</v>
      </c>
      <c r="I63" s="542">
        <f t="shared" si="3"/>
        <v>2.5718403544930709E-2</v>
      </c>
      <c r="J63" s="542">
        <f t="shared" si="3"/>
        <v>3.5196974351037691E-2</v>
      </c>
      <c r="K63" s="479">
        <f t="shared" si="4"/>
        <v>8.8335026112348544E-2</v>
      </c>
    </row>
    <row r="64" spans="1:11">
      <c r="B64" s="138" t="str">
        <f t="shared" si="0"/>
        <v>45-49</v>
      </c>
      <c r="C64" s="504">
        <f t="shared" si="1"/>
        <v>6.5450993883235525E-2</v>
      </c>
      <c r="D64" s="504">
        <f t="shared" si="1"/>
        <v>6.7628946753521879E-2</v>
      </c>
      <c r="E64" s="504">
        <f t="shared" si="1"/>
        <v>6.36463322929742E-2</v>
      </c>
      <c r="F64" s="504">
        <f t="shared" si="1"/>
        <v>6.7351965177705073E-2</v>
      </c>
      <c r="G64" s="542">
        <f t="shared" si="2"/>
        <v>6.5450993883235525E-3</v>
      </c>
      <c r="H64" s="542">
        <f t="shared" si="3"/>
        <v>1.3525789350704377E-2</v>
      </c>
      <c r="I64" s="542">
        <f t="shared" si="3"/>
        <v>1.9093899687892258E-2</v>
      </c>
      <c r="J64" s="542">
        <f t="shared" si="3"/>
        <v>2.694078607108203E-2</v>
      </c>
      <c r="K64" s="479">
        <f t="shared" si="4"/>
        <v>6.6105574498002223E-2</v>
      </c>
    </row>
    <row r="65" spans="1:11">
      <c r="B65" s="138" t="str">
        <f t="shared" si="0"/>
        <v>50-54</v>
      </c>
      <c r="C65" s="504">
        <f t="shared" si="1"/>
        <v>3.792393178163464E-2</v>
      </c>
      <c r="D65" s="504">
        <f t="shared" si="1"/>
        <v>4.0610362660600099E-2</v>
      </c>
      <c r="E65" s="504">
        <f t="shared" si="1"/>
        <v>4.1332200630209405E-2</v>
      </c>
      <c r="F65" s="504">
        <f t="shared" si="1"/>
        <v>4.5007032127367702E-2</v>
      </c>
      <c r="G65" s="542">
        <f t="shared" si="2"/>
        <v>3.7923931781634643E-3</v>
      </c>
      <c r="H65" s="542">
        <f t="shared" si="3"/>
        <v>8.1220725321200209E-3</v>
      </c>
      <c r="I65" s="542">
        <f t="shared" si="3"/>
        <v>1.2399660189062821E-2</v>
      </c>
      <c r="J65" s="542">
        <f t="shared" si="3"/>
        <v>1.800281285094708E-2</v>
      </c>
      <c r="K65" s="479">
        <f t="shared" si="4"/>
        <v>4.2316938750293381E-2</v>
      </c>
    </row>
    <row r="66" spans="1:11">
      <c r="B66" s="138" t="str">
        <f t="shared" si="0"/>
        <v>55-59</v>
      </c>
      <c r="C66" s="504">
        <f t="shared" si="1"/>
        <v>2.8547063513137575E-2</v>
      </c>
      <c r="D66" s="504">
        <f t="shared" si="1"/>
        <v>2.6123263210391191E-2</v>
      </c>
      <c r="E66" s="504">
        <f t="shared" si="1"/>
        <v>2.4892196340053244E-2</v>
      </c>
      <c r="F66" s="504">
        <f t="shared" si="1"/>
        <v>2.3873808698740766E-2</v>
      </c>
      <c r="G66" s="542">
        <f t="shared" si="2"/>
        <v>2.8547063513137579E-3</v>
      </c>
      <c r="H66" s="542">
        <f t="shared" si="3"/>
        <v>5.2246526420782384E-3</v>
      </c>
      <c r="I66" s="542">
        <f t="shared" si="3"/>
        <v>7.4676589020159726E-3</v>
      </c>
      <c r="J66" s="542">
        <f t="shared" si="3"/>
        <v>9.549523479496308E-3</v>
      </c>
      <c r="K66" s="479">
        <f t="shared" si="4"/>
        <v>2.5096541374904274E-2</v>
      </c>
    </row>
    <row r="67" spans="1:11">
      <c r="B67" s="138" t="str">
        <f t="shared" si="0"/>
        <v>60-64</v>
      </c>
      <c r="C67" s="504">
        <f t="shared" si="1"/>
        <v>1.080976789716164E-2</v>
      </c>
      <c r="D67" s="504">
        <f t="shared" si="1"/>
        <v>1.3773857976181544E-2</v>
      </c>
      <c r="E67" s="504">
        <f t="shared" si="1"/>
        <v>1.1590988978771631E-2</v>
      </c>
      <c r="F67" s="504">
        <f t="shared" si="1"/>
        <v>1.2571078961194276E-2</v>
      </c>
      <c r="G67" s="542">
        <f t="shared" si="2"/>
        <v>1.080976789716164E-3</v>
      </c>
      <c r="H67" s="542">
        <f t="shared" si="3"/>
        <v>2.7547715952363091E-3</v>
      </c>
      <c r="I67" s="542">
        <f t="shared" si="3"/>
        <v>3.4772966936314894E-3</v>
      </c>
      <c r="J67" s="542">
        <f t="shared" si="3"/>
        <v>5.0284315844777109E-3</v>
      </c>
      <c r="K67" s="479">
        <f t="shared" si="4"/>
        <v>1.2341476663061674E-2</v>
      </c>
    </row>
    <row r="68" spans="1:11">
      <c r="B68" s="138" t="str">
        <f t="shared" si="0"/>
        <v>65 plus</v>
      </c>
      <c r="C68" s="504">
        <f t="shared" si="1"/>
        <v>3.535448401846138E-3</v>
      </c>
      <c r="D68" s="504">
        <f t="shared" si="1"/>
        <v>3.8705878969264363E-3</v>
      </c>
      <c r="E68" s="504">
        <f t="shared" si="1"/>
        <v>3.5422259519458307E-3</v>
      </c>
      <c r="F68" s="504">
        <f t="shared" si="1"/>
        <v>2.9870600354589888E-3</v>
      </c>
      <c r="G68" s="542">
        <f t="shared" si="2"/>
        <v>3.5354484018461385E-4</v>
      </c>
      <c r="H68" s="542">
        <f t="shared" si="3"/>
        <v>7.7411757938528731E-4</v>
      </c>
      <c r="I68" s="542">
        <f t="shared" si="3"/>
        <v>1.0626677855837491E-3</v>
      </c>
      <c r="J68" s="542">
        <f t="shared" si="3"/>
        <v>1.1948240141835956E-3</v>
      </c>
      <c r="K68" s="479">
        <f t="shared" si="4"/>
        <v>3.3851542193372459E-3</v>
      </c>
    </row>
    <row r="69" spans="1:11">
      <c r="B69" s="138" t="str">
        <f t="shared" si="0"/>
        <v>Total</v>
      </c>
      <c r="C69" s="505">
        <f t="shared" si="1"/>
        <v>1</v>
      </c>
      <c r="D69" s="505">
        <f t="shared" si="1"/>
        <v>1</v>
      </c>
      <c r="E69" s="505">
        <f t="shared" si="1"/>
        <v>1</v>
      </c>
      <c r="F69" s="505">
        <f t="shared" si="1"/>
        <v>1</v>
      </c>
      <c r="G69" s="543">
        <f t="shared" si="2"/>
        <v>0.1</v>
      </c>
      <c r="H69" s="542">
        <f t="shared" si="3"/>
        <v>0.2</v>
      </c>
      <c r="I69" s="542">
        <f t="shared" si="3"/>
        <v>0.3</v>
      </c>
      <c r="J69" s="542">
        <f t="shared" si="3"/>
        <v>0.4</v>
      </c>
      <c r="K69" s="479">
        <f t="shared" si="4"/>
        <v>1</v>
      </c>
    </row>
    <row r="70" spans="1:11">
      <c r="A70" s="183">
        <f>SUM(C70:G70)</f>
        <v>0</v>
      </c>
      <c r="C70" s="1130">
        <f>C69-1</f>
        <v>0</v>
      </c>
      <c r="D70" s="1130">
        <f>D69-1</f>
        <v>0</v>
      </c>
      <c r="E70" s="1130">
        <f>E69-1</f>
        <v>0</v>
      </c>
      <c r="F70" s="1130">
        <f>F69-1</f>
        <v>0</v>
      </c>
      <c r="G70" s="1131">
        <f>SUM(G69:J69)-1</f>
        <v>0</v>
      </c>
    </row>
    <row r="71" spans="1:11">
      <c r="A71" s="183"/>
      <c r="C71" s="184"/>
      <c r="D71" s="184"/>
      <c r="E71" s="184"/>
      <c r="F71" s="184"/>
      <c r="G71" s="185"/>
    </row>
    <row r="72" spans="1:11">
      <c r="B72" s="75" t="s">
        <v>174</v>
      </c>
    </row>
    <row r="74" spans="1:11">
      <c r="B74" s="1243" t="str">
        <f>B57</f>
        <v>Age group</v>
      </c>
      <c r="C74" s="1241" t="str">
        <f>C57</f>
        <v>2012/13</v>
      </c>
      <c r="D74" s="1241" t="str">
        <f>D57</f>
        <v>2013/14</v>
      </c>
      <c r="E74" s="1241" t="str">
        <f>E57</f>
        <v>2014/15</v>
      </c>
      <c r="F74" s="1241" t="str">
        <f>F57</f>
        <v>2015/16</v>
      </c>
      <c r="G74" s="1241" t="str">
        <f>C74</f>
        <v>2012/13</v>
      </c>
      <c r="H74" s="1241" t="str">
        <f>D74</f>
        <v>2013/14</v>
      </c>
      <c r="I74" s="1241" t="str">
        <f>E74</f>
        <v>2014/15</v>
      </c>
      <c r="J74" s="1241" t="str">
        <f>F74</f>
        <v>2015/16</v>
      </c>
      <c r="K74" s="1290" t="s">
        <v>8</v>
      </c>
    </row>
    <row r="75" spans="1:11">
      <c r="B75" s="1244"/>
      <c r="C75" s="1242"/>
      <c r="D75" s="1242"/>
      <c r="E75" s="1242"/>
      <c r="F75" s="1242"/>
      <c r="G75" s="1242"/>
      <c r="H75" s="1242"/>
      <c r="I75" s="1242"/>
      <c r="J75" s="1242"/>
      <c r="K75" s="1291"/>
    </row>
    <row r="76" spans="1:11" s="5" customFormat="1">
      <c r="B76" s="138" t="str">
        <f t="shared" ref="B76:B86" si="5">B59</f>
        <v>20-24</v>
      </c>
      <c r="C76" s="504">
        <f t="shared" ref="C76:F86" si="6">C40/C$50</f>
        <v>0.25108294531695524</v>
      </c>
      <c r="D76" s="504">
        <f t="shared" si="6"/>
        <v>0.25946437366489616</v>
      </c>
      <c r="E76" s="504">
        <f t="shared" si="6"/>
        <v>0.26742537501027919</v>
      </c>
      <c r="F76" s="504">
        <f t="shared" si="6"/>
        <v>0.2487751795562147</v>
      </c>
      <c r="G76" s="542">
        <f>C76*H$14</f>
        <v>2.5108294531695524E-2</v>
      </c>
      <c r="H76" s="542">
        <f t="shared" ref="H76:J86" si="7">D76*I$14</f>
        <v>5.1892874732979238E-2</v>
      </c>
      <c r="I76" s="542">
        <f t="shared" si="7"/>
        <v>8.0227612503083759E-2</v>
      </c>
      <c r="J76" s="542">
        <f t="shared" si="7"/>
        <v>9.951007182248589E-2</v>
      </c>
      <c r="K76" s="479">
        <f>SUM(G76:J76)</f>
        <v>0.2567388535902444</v>
      </c>
    </row>
    <row r="77" spans="1:11" s="5" customFormat="1">
      <c r="B77" s="138" t="str">
        <f t="shared" si="5"/>
        <v>25-29</v>
      </c>
      <c r="C77" s="504">
        <f t="shared" si="6"/>
        <v>0.2745144698552528</v>
      </c>
      <c r="D77" s="504">
        <f t="shared" si="6"/>
        <v>0.26301988978483654</v>
      </c>
      <c r="E77" s="504">
        <f t="shared" si="6"/>
        <v>0.25752846118440459</v>
      </c>
      <c r="F77" s="504">
        <f t="shared" si="6"/>
        <v>0.26190059244907876</v>
      </c>
      <c r="G77" s="542">
        <f t="shared" ref="G77:G86" si="8">C77*H$14</f>
        <v>2.745144698552528E-2</v>
      </c>
      <c r="H77" s="542">
        <f t="shared" si="7"/>
        <v>5.2603977956967307E-2</v>
      </c>
      <c r="I77" s="542">
        <f t="shared" si="7"/>
        <v>7.7258538355321371E-2</v>
      </c>
      <c r="J77" s="542">
        <f t="shared" si="7"/>
        <v>0.10476023697963151</v>
      </c>
      <c r="K77" s="479">
        <f t="shared" ref="K77:K86" si="9">SUM(G77:J77)</f>
        <v>0.26207420027744543</v>
      </c>
    </row>
    <row r="78" spans="1:11" s="5" customFormat="1">
      <c r="B78" s="138" t="str">
        <f t="shared" si="5"/>
        <v>30-34</v>
      </c>
      <c r="C78" s="504">
        <f t="shared" si="6"/>
        <v>0.1374113588038206</v>
      </c>
      <c r="D78" s="504">
        <f t="shared" si="6"/>
        <v>0.12835468708630168</v>
      </c>
      <c r="E78" s="504">
        <f t="shared" si="6"/>
        <v>0.12699046090925353</v>
      </c>
      <c r="F78" s="504">
        <f t="shared" si="6"/>
        <v>0.13162656446561402</v>
      </c>
      <c r="G78" s="542">
        <f t="shared" si="8"/>
        <v>1.374113588038206E-2</v>
      </c>
      <c r="H78" s="542">
        <f t="shared" si="7"/>
        <v>2.5670937417260339E-2</v>
      </c>
      <c r="I78" s="542">
        <f t="shared" si="7"/>
        <v>3.8097138272776061E-2</v>
      </c>
      <c r="J78" s="542">
        <f t="shared" si="7"/>
        <v>5.265062578624561E-2</v>
      </c>
      <c r="K78" s="479">
        <f t="shared" si="9"/>
        <v>0.13015983735666406</v>
      </c>
    </row>
    <row r="79" spans="1:11" s="5" customFormat="1">
      <c r="B79" s="138" t="str">
        <f t="shared" si="5"/>
        <v>35-39</v>
      </c>
      <c r="C79" s="504">
        <f t="shared" si="6"/>
        <v>9.286815481724002E-2</v>
      </c>
      <c r="D79" s="504">
        <f t="shared" si="6"/>
        <v>9.6429964403557944E-2</v>
      </c>
      <c r="E79" s="504">
        <f t="shared" si="6"/>
        <v>9.443430923630762E-2</v>
      </c>
      <c r="F79" s="504">
        <f t="shared" si="6"/>
        <v>0.10027325893559541</v>
      </c>
      <c r="G79" s="542">
        <f t="shared" si="8"/>
        <v>9.286815481724003E-3</v>
      </c>
      <c r="H79" s="542">
        <f t="shared" si="7"/>
        <v>1.9285992880711589E-2</v>
      </c>
      <c r="I79" s="542">
        <f t="shared" si="7"/>
        <v>2.8330292770892284E-2</v>
      </c>
      <c r="J79" s="542">
        <f t="shared" si="7"/>
        <v>4.010930357423817E-2</v>
      </c>
      <c r="K79" s="479">
        <f t="shared" si="9"/>
        <v>9.7012404707566044E-2</v>
      </c>
    </row>
    <row r="80" spans="1:11" s="5" customFormat="1">
      <c r="B80" s="138" t="str">
        <f t="shared" si="5"/>
        <v>40-44</v>
      </c>
      <c r="C80" s="504">
        <f t="shared" si="6"/>
        <v>8.4738798028356765E-2</v>
      </c>
      <c r="D80" s="504">
        <f t="shared" si="6"/>
        <v>8.5930200226427916E-2</v>
      </c>
      <c r="E80" s="504">
        <f t="shared" si="6"/>
        <v>7.9788700721745459E-2</v>
      </c>
      <c r="F80" s="504">
        <f t="shared" si="6"/>
        <v>8.4402556813705329E-2</v>
      </c>
      <c r="G80" s="542">
        <f t="shared" si="8"/>
        <v>8.4738798028356765E-3</v>
      </c>
      <c r="H80" s="542">
        <f t="shared" si="7"/>
        <v>1.7186040045285584E-2</v>
      </c>
      <c r="I80" s="542">
        <f t="shared" si="7"/>
        <v>2.3936610216523636E-2</v>
      </c>
      <c r="J80" s="542">
        <f t="shared" si="7"/>
        <v>3.3761022725482134E-2</v>
      </c>
      <c r="K80" s="479">
        <f t="shared" si="9"/>
        <v>8.3357552790127035E-2</v>
      </c>
    </row>
    <row r="81" spans="1:11" s="5" customFormat="1">
      <c r="B81" s="138" t="str">
        <f t="shared" si="5"/>
        <v>45-49</v>
      </c>
      <c r="C81" s="504">
        <f t="shared" si="6"/>
        <v>6.437072755811872E-2</v>
      </c>
      <c r="D81" s="504">
        <f t="shared" si="6"/>
        <v>6.4796627685510033E-2</v>
      </c>
      <c r="E81" s="504">
        <f t="shared" si="6"/>
        <v>6.7431113820184477E-2</v>
      </c>
      <c r="F81" s="504">
        <f t="shared" si="6"/>
        <v>6.8912991993670764E-2</v>
      </c>
      <c r="G81" s="542">
        <f t="shared" si="8"/>
        <v>6.4370727558118726E-3</v>
      </c>
      <c r="H81" s="542">
        <f t="shared" si="7"/>
        <v>1.2959325537102008E-2</v>
      </c>
      <c r="I81" s="542">
        <f t="shared" si="7"/>
        <v>2.0229334146055343E-2</v>
      </c>
      <c r="J81" s="542">
        <f t="shared" si="7"/>
        <v>2.7565196797468307E-2</v>
      </c>
      <c r="K81" s="479">
        <f t="shared" si="9"/>
        <v>6.7190929236437519E-2</v>
      </c>
    </row>
    <row r="82" spans="1:11" s="5" customFormat="1">
      <c r="B82" s="138" t="str">
        <f t="shared" si="5"/>
        <v>50-54</v>
      </c>
      <c r="C82" s="504">
        <f t="shared" si="6"/>
        <v>4.3066054424412914E-2</v>
      </c>
      <c r="D82" s="504">
        <f t="shared" si="6"/>
        <v>4.8923992912977089E-2</v>
      </c>
      <c r="E82" s="504">
        <f t="shared" si="6"/>
        <v>5.011135629610778E-2</v>
      </c>
      <c r="F82" s="504">
        <f t="shared" si="6"/>
        <v>5.1659838133062214E-2</v>
      </c>
      <c r="G82" s="542">
        <f t="shared" si="8"/>
        <v>4.3066054424412917E-3</v>
      </c>
      <c r="H82" s="542">
        <f t="shared" si="7"/>
        <v>9.7847985825954189E-3</v>
      </c>
      <c r="I82" s="542">
        <f t="shared" si="7"/>
        <v>1.5033406888832333E-2</v>
      </c>
      <c r="J82" s="542">
        <f t="shared" si="7"/>
        <v>2.0663935253224887E-2</v>
      </c>
      <c r="K82" s="479">
        <f t="shared" si="9"/>
        <v>4.9788746167093931E-2</v>
      </c>
    </row>
    <row r="83" spans="1:11" s="5" customFormat="1">
      <c r="B83" s="138" t="str">
        <f t="shared" si="5"/>
        <v>55-59</v>
      </c>
      <c r="C83" s="504">
        <f t="shared" si="6"/>
        <v>3.2511618466731729E-2</v>
      </c>
      <c r="D83" s="504">
        <f t="shared" si="6"/>
        <v>3.1804438784273796E-2</v>
      </c>
      <c r="E83" s="504">
        <f t="shared" si="6"/>
        <v>3.352229834562484E-2</v>
      </c>
      <c r="F83" s="504">
        <f t="shared" si="6"/>
        <v>3.1496578912895569E-2</v>
      </c>
      <c r="G83" s="542">
        <f t="shared" si="8"/>
        <v>3.2511618466731732E-3</v>
      </c>
      <c r="H83" s="542">
        <f t="shared" si="7"/>
        <v>6.3608877568547594E-3</v>
      </c>
      <c r="I83" s="542">
        <f t="shared" si="7"/>
        <v>1.0056689503687452E-2</v>
      </c>
      <c r="J83" s="542">
        <f t="shared" si="7"/>
        <v>1.2598631565158228E-2</v>
      </c>
      <c r="K83" s="479">
        <f t="shared" si="9"/>
        <v>3.2267370672373619E-2</v>
      </c>
    </row>
    <row r="84" spans="1:11" s="5" customFormat="1">
      <c r="B84" s="138" t="str">
        <f t="shared" si="5"/>
        <v>60-64</v>
      </c>
      <c r="C84" s="504">
        <f t="shared" si="6"/>
        <v>1.4779385757298364E-2</v>
      </c>
      <c r="D84" s="504">
        <f t="shared" si="6"/>
        <v>1.5936074446006053E-2</v>
      </c>
      <c r="E84" s="504">
        <f t="shared" si="6"/>
        <v>1.7681526644251853E-2</v>
      </c>
      <c r="F84" s="504">
        <f t="shared" si="6"/>
        <v>1.621449238960106E-2</v>
      </c>
      <c r="G84" s="542">
        <f t="shared" si="8"/>
        <v>1.4779385757298365E-3</v>
      </c>
      <c r="H84" s="542">
        <f t="shared" si="7"/>
        <v>3.1872148892012108E-3</v>
      </c>
      <c r="I84" s="542">
        <f t="shared" si="7"/>
        <v>5.3044579932755558E-3</v>
      </c>
      <c r="J84" s="542">
        <f t="shared" si="7"/>
        <v>6.4857969558404244E-3</v>
      </c>
      <c r="K84" s="479">
        <f t="shared" si="9"/>
        <v>1.6455408414047027E-2</v>
      </c>
    </row>
    <row r="85" spans="1:11" s="5" customFormat="1">
      <c r="B85" s="138" t="str">
        <f t="shared" si="5"/>
        <v>65 plus</v>
      </c>
      <c r="C85" s="504">
        <f t="shared" si="6"/>
        <v>4.6564869718129023E-3</v>
      </c>
      <c r="D85" s="504">
        <f t="shared" si="6"/>
        <v>5.3397510052127766E-3</v>
      </c>
      <c r="E85" s="504">
        <f t="shared" si="6"/>
        <v>5.0863978318405924E-3</v>
      </c>
      <c r="F85" s="504">
        <f t="shared" si="6"/>
        <v>4.7379463505621226E-3</v>
      </c>
      <c r="G85" s="542">
        <f t="shared" si="8"/>
        <v>4.6564869718129028E-4</v>
      </c>
      <c r="H85" s="542">
        <f t="shared" si="7"/>
        <v>1.0679502010425555E-3</v>
      </c>
      <c r="I85" s="542">
        <f t="shared" si="7"/>
        <v>1.5259193495521777E-3</v>
      </c>
      <c r="J85" s="542">
        <f t="shared" si="7"/>
        <v>1.8951785402248492E-3</v>
      </c>
      <c r="K85" s="479">
        <f t="shared" si="9"/>
        <v>4.9546967880008726E-3</v>
      </c>
    </row>
    <row r="86" spans="1:11" s="5" customFormat="1">
      <c r="B86" s="138" t="str">
        <f t="shared" si="5"/>
        <v>Total</v>
      </c>
      <c r="C86" s="504">
        <f t="shared" si="6"/>
        <v>1</v>
      </c>
      <c r="D86" s="504">
        <f t="shared" si="6"/>
        <v>1</v>
      </c>
      <c r="E86" s="504">
        <f t="shared" si="6"/>
        <v>1</v>
      </c>
      <c r="F86" s="504">
        <f t="shared" si="6"/>
        <v>1</v>
      </c>
      <c r="G86" s="542">
        <f t="shared" si="8"/>
        <v>0.1</v>
      </c>
      <c r="H86" s="542">
        <f t="shared" si="7"/>
        <v>0.2</v>
      </c>
      <c r="I86" s="542">
        <f t="shared" si="7"/>
        <v>0.3</v>
      </c>
      <c r="J86" s="542">
        <f t="shared" si="7"/>
        <v>0.4</v>
      </c>
      <c r="K86" s="479">
        <f t="shared" si="9"/>
        <v>1</v>
      </c>
    </row>
    <row r="87" spans="1:11">
      <c r="A87" s="183">
        <f>SUM(C87:G87)</f>
        <v>0</v>
      </c>
      <c r="C87" s="1130">
        <f>C86-1</f>
        <v>0</v>
      </c>
      <c r="D87" s="1130">
        <f>D86-1</f>
        <v>0</v>
      </c>
      <c r="E87" s="1130">
        <f>E86-1</f>
        <v>0</v>
      </c>
      <c r="F87" s="1130">
        <f>F86-1</f>
        <v>0</v>
      </c>
      <c r="G87" s="1131">
        <f>SUM(G86:J86)-1</f>
        <v>0</v>
      </c>
      <c r="H87" s="295"/>
    </row>
    <row r="88" spans="1:11">
      <c r="C88" s="295"/>
      <c r="D88" s="295"/>
      <c r="E88" s="295"/>
      <c r="F88" s="295"/>
      <c r="G88" s="295"/>
      <c r="H88" s="295"/>
    </row>
  </sheetData>
  <mergeCells count="24">
    <mergeCell ref="K57:K58"/>
    <mergeCell ref="G57:G58"/>
    <mergeCell ref="H57:H58"/>
    <mergeCell ref="I57:I58"/>
    <mergeCell ref="B74:B75"/>
    <mergeCell ref="C74:C75"/>
    <mergeCell ref="D74:D75"/>
    <mergeCell ref="E74:E75"/>
    <mergeCell ref="F74:F75"/>
    <mergeCell ref="K74:K75"/>
    <mergeCell ref="J57:J58"/>
    <mergeCell ref="G74:G75"/>
    <mergeCell ref="H74:H75"/>
    <mergeCell ref="I74:I75"/>
    <mergeCell ref="J74:J75"/>
    <mergeCell ref="B21:B22"/>
    <mergeCell ref="C21:F21"/>
    <mergeCell ref="B38:B39"/>
    <mergeCell ref="C38:F38"/>
    <mergeCell ref="B57:B58"/>
    <mergeCell ref="C57:C58"/>
    <mergeCell ref="D57:D58"/>
    <mergeCell ref="E57:E58"/>
    <mergeCell ref="F57:F5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AC376"/>
  <sheetViews>
    <sheetView showGridLines="0" workbookViewId="0"/>
  </sheetViews>
  <sheetFormatPr defaultRowHeight="12.75"/>
  <cols>
    <col min="1" max="1" width="10.140625" customWidth="1"/>
    <col min="2" max="2" width="28.7109375" customWidth="1"/>
    <col min="3" max="14" width="10.7109375" customWidth="1"/>
  </cols>
  <sheetData>
    <row r="1" spans="1:17" s="65" customFormat="1" ht="15">
      <c r="A1" s="64" t="str">
        <f>'Title_&amp;_Contents'!E3</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row>
    <row r="5" spans="1:17" s="46" customFormat="1">
      <c r="A5" s="59" t="s">
        <v>1433</v>
      </c>
      <c r="B5" s="59"/>
      <c r="C5" s="59"/>
      <c r="D5" s="59"/>
      <c r="E5" s="59"/>
      <c r="F5" s="59"/>
      <c r="G5" s="59"/>
      <c r="H5" s="59"/>
      <c r="I5" s="59"/>
      <c r="J5" s="59"/>
      <c r="K5" s="59"/>
      <c r="L5" s="59"/>
      <c r="M5" s="59"/>
      <c r="N5" s="59"/>
      <c r="O5" s="58"/>
      <c r="P5" s="58"/>
      <c r="Q5" s="58"/>
    </row>
    <row r="6" spans="1:17" s="45" customFormat="1">
      <c r="A6" s="55" t="s">
        <v>1392</v>
      </c>
      <c r="B6" s="60"/>
      <c r="C6" s="60"/>
      <c r="D6" s="60"/>
      <c r="E6" s="285"/>
      <c r="F6" s="60"/>
      <c r="G6" s="60"/>
      <c r="H6" s="60"/>
      <c r="I6" s="60"/>
      <c r="J6" s="60"/>
      <c r="K6" s="60"/>
      <c r="L6" s="44"/>
      <c r="M6" s="44"/>
      <c r="N6" s="44"/>
      <c r="O6" s="44"/>
      <c r="P6" s="44"/>
      <c r="Q6" s="44"/>
    </row>
    <row r="7" spans="1:17" s="45" customFormat="1">
      <c r="A7" s="53" t="s">
        <v>351</v>
      </c>
      <c r="B7" s="55"/>
      <c r="C7" s="60"/>
      <c r="D7" s="60"/>
      <c r="E7" s="285"/>
      <c r="F7" s="60"/>
      <c r="G7" s="60"/>
      <c r="H7" s="60"/>
      <c r="I7" s="60"/>
      <c r="J7" s="60"/>
      <c r="K7" s="60"/>
      <c r="L7" s="44"/>
      <c r="M7" s="44"/>
      <c r="N7" s="44"/>
      <c r="O7" s="44"/>
      <c r="P7" s="44"/>
      <c r="Q7" s="44"/>
    </row>
    <row r="8" spans="1:17" s="45" customFormat="1">
      <c r="A8" s="55" t="s">
        <v>24</v>
      </c>
      <c r="B8" s="60"/>
      <c r="C8" s="60"/>
      <c r="D8" s="60"/>
      <c r="E8" s="285"/>
      <c r="F8" s="60"/>
      <c r="G8" s="60"/>
      <c r="H8" s="60"/>
      <c r="I8" s="60"/>
      <c r="J8" s="60"/>
      <c r="K8" s="60"/>
      <c r="L8" s="44"/>
      <c r="M8" s="44"/>
      <c r="N8" s="44"/>
      <c r="O8" s="44"/>
      <c r="P8" s="44"/>
      <c r="Q8" s="44"/>
    </row>
    <row r="9" spans="1:17" s="45" customFormat="1">
      <c r="A9" s="53" t="s">
        <v>352</v>
      </c>
      <c r="B9" s="60"/>
      <c r="C9" s="60"/>
      <c r="D9" s="60"/>
      <c r="E9" s="285"/>
      <c r="F9" s="60"/>
      <c r="G9" s="60"/>
      <c r="H9" s="60"/>
      <c r="I9" s="60"/>
      <c r="J9" s="60"/>
      <c r="K9" s="60"/>
      <c r="L9" s="44"/>
      <c r="M9" s="44"/>
      <c r="N9" s="44"/>
      <c r="O9" s="44"/>
      <c r="P9" s="44"/>
      <c r="Q9" s="44"/>
    </row>
    <row r="10" spans="1:17" s="49" customFormat="1">
      <c r="A10" s="54">
        <f>SUM(A13:A2249)</f>
        <v>0</v>
      </c>
      <c r="B10" s="72"/>
      <c r="C10" s="70"/>
      <c r="D10" s="47"/>
      <c r="E10" s="47"/>
      <c r="F10" s="47"/>
      <c r="G10" s="71"/>
      <c r="H10" s="47"/>
      <c r="I10" s="47"/>
      <c r="J10" s="71"/>
      <c r="K10" s="48"/>
      <c r="L10" s="48"/>
      <c r="M10" s="48"/>
      <c r="N10" s="48"/>
      <c r="O10" s="48"/>
      <c r="P10" s="48"/>
      <c r="Q10" s="48"/>
    </row>
    <row r="12" spans="1:17" ht="15.75">
      <c r="B12" s="77" t="s">
        <v>190</v>
      </c>
    </row>
    <row r="14" spans="1:17">
      <c r="B14" s="8" t="str">
        <f>Forecast_stock_figures!B14</f>
        <v>Phase/subject</v>
      </c>
      <c r="C14" s="8" t="str">
        <f>Forecast_stock_figures!C38</f>
        <v>2017/18</v>
      </c>
      <c r="D14" s="8" t="str">
        <f>Forecast_stock_figures!D38</f>
        <v>2018/19</v>
      </c>
      <c r="E14" s="8" t="str">
        <f>Forecast_stock_figures!E38</f>
        <v>2019/20</v>
      </c>
      <c r="F14" s="8" t="str">
        <f>Forecast_stock_figures!F38</f>
        <v>2020/21</v>
      </c>
      <c r="G14" s="8" t="str">
        <f>Forecast_stock_figures!G38</f>
        <v>2021/22</v>
      </c>
      <c r="H14" s="8" t="str">
        <f>Forecast_stock_figures!H38</f>
        <v>2022/23</v>
      </c>
      <c r="I14" s="8" t="str">
        <f>Forecast_stock_figures!I38</f>
        <v>2023/24</v>
      </c>
      <c r="J14" s="8" t="str">
        <f>Forecast_stock_figures!J38</f>
        <v>2024/25</v>
      </c>
      <c r="K14" s="8" t="str">
        <f>Forecast_stock_figures!K38</f>
        <v>2025/26</v>
      </c>
      <c r="L14" s="8" t="str">
        <f>Forecast_stock_figures!L38</f>
        <v>2026/27</v>
      </c>
      <c r="M14" s="8" t="str">
        <f>Forecast_stock_figures!M38</f>
        <v>2027/28</v>
      </c>
      <c r="N14" s="8" t="str">
        <f>Forecast_stock_figures!N38</f>
        <v>2028/29</v>
      </c>
    </row>
    <row r="15" spans="1:17" s="302" customFormat="1">
      <c r="B15" s="319" t="str">
        <f>Forecast_stock_figures!B15</f>
        <v>Primary</v>
      </c>
      <c r="C15" s="300">
        <f>Forecast_stock_figures!C39</f>
        <v>241507.71000000002</v>
      </c>
      <c r="D15" s="300">
        <f>Forecast_stock_figures!D39</f>
        <v>243605.32104784102</v>
      </c>
      <c r="E15" s="300">
        <f>Forecast_stock_figures!E39</f>
        <v>244269.7542551799</v>
      </c>
      <c r="F15" s="300">
        <f>Forecast_stock_figures!F39</f>
        <v>244274.82192656255</v>
      </c>
      <c r="G15" s="300">
        <f>Forecast_stock_figures!G39</f>
        <v>244504.52764222646</v>
      </c>
      <c r="H15" s="300">
        <f>Forecast_stock_figures!H39</f>
        <v>244565.62003293994</v>
      </c>
      <c r="I15" s="300">
        <f>Forecast_stock_figures!I39</f>
        <v>244409.39158641128</v>
      </c>
      <c r="J15" s="300">
        <f>Forecast_stock_figures!J39</f>
        <v>244013.68182205909</v>
      </c>
      <c r="K15" s="300">
        <f>Forecast_stock_figures!K39</f>
        <v>244249.37361793657</v>
      </c>
      <c r="L15" s="300">
        <f>Forecast_stock_figures!L39</f>
        <v>244933.35980853782</v>
      </c>
      <c r="M15" s="300">
        <f>Forecast_stock_figures!M39</f>
        <v>245669.86163246437</v>
      </c>
      <c r="N15" s="300">
        <f>Forecast_stock_figures!N39</f>
        <v>246231.24083518205</v>
      </c>
    </row>
    <row r="17" spans="1:9" ht="15.75">
      <c r="B17" s="77" t="s">
        <v>162</v>
      </c>
    </row>
    <row r="19" spans="1:9">
      <c r="B19" s="1171" t="str">
        <f>Stock_ages_breakdowns!B73</f>
        <v>Age group</v>
      </c>
      <c r="C19" s="1245" t="str">
        <f>Stock_ages_breakdowns!AQ73</f>
        <v>Primary</v>
      </c>
      <c r="D19" s="1247"/>
      <c r="H19" s="12" t="s">
        <v>133</v>
      </c>
    </row>
    <row r="20" spans="1:9">
      <c r="B20" s="1171"/>
      <c r="C20" s="138" t="str">
        <f>Stock_ages_breakdowns!AQ74</f>
        <v>Male</v>
      </c>
      <c r="D20" s="138" t="str">
        <f>Stock_ages_breakdowns!AR74</f>
        <v>Female</v>
      </c>
    </row>
    <row r="21" spans="1:9">
      <c r="B21" s="138" t="str">
        <f>Stock_ages_breakdowns!B75</f>
        <v>20-24</v>
      </c>
      <c r="C21" s="324">
        <f>Stock_ages_breakdowns!AQ20</f>
        <v>2077.39</v>
      </c>
      <c r="D21" s="324">
        <f>Stock_ages_breakdowns!AR20</f>
        <v>15356.2</v>
      </c>
    </row>
    <row r="22" spans="1:9">
      <c r="B22" s="138" t="str">
        <f>Stock_ages_breakdowns!B76</f>
        <v>25-29</v>
      </c>
      <c r="C22" s="324">
        <f>Stock_ages_breakdowns!AQ21</f>
        <v>6637.76</v>
      </c>
      <c r="D22" s="324">
        <f>Stock_ages_breakdowns!AR21</f>
        <v>36949.53</v>
      </c>
    </row>
    <row r="23" spans="1:9">
      <c r="B23" s="138" t="str">
        <f>Stock_ages_breakdowns!B77</f>
        <v>30-34</v>
      </c>
      <c r="C23" s="324">
        <f>Stock_ages_breakdowns!AQ22</f>
        <v>6187.76</v>
      </c>
      <c r="D23" s="324">
        <f>Stock_ages_breakdowns!AR22</f>
        <v>33583.74</v>
      </c>
    </row>
    <row r="24" spans="1:9">
      <c r="B24" s="138" t="str">
        <f>Stock_ages_breakdowns!B78</f>
        <v>35-39</v>
      </c>
      <c r="C24" s="324">
        <f>Stock_ages_breakdowns!AQ23</f>
        <v>5219.1499999999996</v>
      </c>
      <c r="D24" s="324">
        <f>Stock_ages_breakdowns!AR23</f>
        <v>31089.49</v>
      </c>
    </row>
    <row r="25" spans="1:9">
      <c r="B25" s="138" t="str">
        <f>Stock_ages_breakdowns!B79</f>
        <v>40-44</v>
      </c>
      <c r="C25" s="324">
        <f>Stock_ages_breakdowns!AQ24</f>
        <v>4636.84</v>
      </c>
      <c r="D25" s="324">
        <f>Stock_ages_breakdowns!AR24</f>
        <v>28767.97</v>
      </c>
    </row>
    <row r="26" spans="1:9">
      <c r="B26" s="138" t="str">
        <f>Stock_ages_breakdowns!B80</f>
        <v>45-49</v>
      </c>
      <c r="C26" s="324">
        <f>Stock_ages_breakdowns!AQ25</f>
        <v>3753.7</v>
      </c>
      <c r="D26" s="324">
        <f>Stock_ages_breakdowns!AR25</f>
        <v>24587.26</v>
      </c>
    </row>
    <row r="27" spans="1:9">
      <c r="B27" s="138" t="str">
        <f>Stock_ages_breakdowns!B81</f>
        <v>50-54</v>
      </c>
      <c r="C27" s="324">
        <f>Stock_ages_breakdowns!AQ26</f>
        <v>2853.97</v>
      </c>
      <c r="D27" s="324">
        <f>Stock_ages_breakdowns!AR26</f>
        <v>19833.46</v>
      </c>
    </row>
    <row r="28" spans="1:9">
      <c r="B28" s="138" t="str">
        <f>Stock_ages_breakdowns!B82</f>
        <v>55-59</v>
      </c>
      <c r="C28" s="324">
        <f>Stock_ages_breakdowns!AQ27</f>
        <v>1491.8</v>
      </c>
      <c r="D28" s="324">
        <f>Stock_ages_breakdowns!AR27</f>
        <v>12300.37</v>
      </c>
    </row>
    <row r="29" spans="1:9">
      <c r="B29" s="138" t="str">
        <f>Stock_ages_breakdowns!B83</f>
        <v>60-64</v>
      </c>
      <c r="C29" s="324">
        <f>Stock_ages_breakdowns!AQ28</f>
        <v>569.73</v>
      </c>
      <c r="D29" s="324">
        <f>Stock_ages_breakdowns!AR28</f>
        <v>4649.1899999999996</v>
      </c>
      <c r="F29" s="12"/>
    </row>
    <row r="30" spans="1:9">
      <c r="B30" s="138" t="str">
        <f>Stock_ages_breakdowns!B84</f>
        <v>65 plus</v>
      </c>
      <c r="C30" s="324">
        <f>Stock_ages_breakdowns!AQ29</f>
        <v>138.63999999999999</v>
      </c>
      <c r="D30" s="324">
        <f>Stock_ages_breakdowns!AR29</f>
        <v>823.76</v>
      </c>
      <c r="G30" s="8" t="s">
        <v>46</v>
      </c>
      <c r="H30" s="8" t="s">
        <v>47</v>
      </c>
    </row>
    <row r="31" spans="1:9">
      <c r="A31" s="10">
        <f>I31</f>
        <v>0</v>
      </c>
      <c r="B31" s="138" t="str">
        <f>Stock_ages_breakdowns!B85</f>
        <v>Total</v>
      </c>
      <c r="C31" s="324">
        <f>Stock_ages_breakdowns!AQ30</f>
        <v>33566.740000000005</v>
      </c>
      <c r="D31" s="324">
        <f>Stock_ages_breakdowns!AR30</f>
        <v>207940.97</v>
      </c>
      <c r="E31" s="320">
        <f>SUM(C31:D31)</f>
        <v>241507.71000000002</v>
      </c>
      <c r="G31" s="361">
        <f>C31/$E$31</f>
        <v>0.13898827494989704</v>
      </c>
      <c r="H31" s="361">
        <f>D31/$E$31</f>
        <v>0.86101172505010293</v>
      </c>
      <c r="I31" s="10">
        <f>(G31+H31)-1</f>
        <v>0</v>
      </c>
    </row>
    <row r="33" spans="2:29" ht="15.75">
      <c r="B33" s="77" t="s">
        <v>263</v>
      </c>
      <c r="H33" s="12"/>
    </row>
    <row r="34" spans="2:29">
      <c r="H34" s="12"/>
    </row>
    <row r="35" spans="2:29">
      <c r="B35" s="8" t="str">
        <f>B14</f>
        <v>Phase/subject</v>
      </c>
      <c r="C35" s="8" t="str">
        <f>C14</f>
        <v>2017/18</v>
      </c>
      <c r="D35" s="8" t="str">
        <f t="shared" ref="D35:N35" si="0">D14</f>
        <v>2018/19</v>
      </c>
      <c r="E35" s="8" t="str">
        <f t="shared" si="0"/>
        <v>2019/20</v>
      </c>
      <c r="F35" s="8" t="str">
        <f t="shared" si="0"/>
        <v>2020/21</v>
      </c>
      <c r="G35" s="8" t="str">
        <f t="shared" si="0"/>
        <v>2021/22</v>
      </c>
      <c r="H35" s="8" t="str">
        <f t="shared" si="0"/>
        <v>2022/23</v>
      </c>
      <c r="I35" s="8" t="str">
        <f t="shared" si="0"/>
        <v>2023/24</v>
      </c>
      <c r="J35" s="8" t="str">
        <f t="shared" si="0"/>
        <v>2024/25</v>
      </c>
      <c r="K35" s="8" t="str">
        <f t="shared" si="0"/>
        <v>2025/26</v>
      </c>
      <c r="L35" s="8" t="str">
        <f t="shared" si="0"/>
        <v>2026/27</v>
      </c>
      <c r="M35" s="8" t="str">
        <f t="shared" si="0"/>
        <v>2027/28</v>
      </c>
      <c r="N35" s="8" t="str">
        <f t="shared" si="0"/>
        <v>2028/29</v>
      </c>
    </row>
    <row r="36" spans="2:29">
      <c r="B36" s="8" t="str">
        <f>B15</f>
        <v>Primary</v>
      </c>
      <c r="C36" s="300">
        <f>Forecast_stock_figures!C15</f>
        <v>243605.32104784102</v>
      </c>
      <c r="D36" s="300">
        <f>Forecast_stock_figures!D15</f>
        <v>244269.7542551799</v>
      </c>
      <c r="E36" s="300">
        <f>Forecast_stock_figures!E15</f>
        <v>244274.82192656255</v>
      </c>
      <c r="F36" s="300">
        <f>Forecast_stock_figures!F15</f>
        <v>244504.52764222646</v>
      </c>
      <c r="G36" s="300">
        <f>Forecast_stock_figures!G15</f>
        <v>244565.62003293994</v>
      </c>
      <c r="H36" s="300">
        <f>Forecast_stock_figures!H15</f>
        <v>244409.39158641128</v>
      </c>
      <c r="I36" s="300">
        <f>Forecast_stock_figures!I15</f>
        <v>244013.68182205909</v>
      </c>
      <c r="J36" s="300">
        <f>Forecast_stock_figures!J15</f>
        <v>244249.37361793657</v>
      </c>
      <c r="K36" s="300">
        <f>Forecast_stock_figures!K15</f>
        <v>244933.35980853782</v>
      </c>
      <c r="L36" s="300">
        <f>Forecast_stock_figures!L15</f>
        <v>245669.86163246437</v>
      </c>
      <c r="M36" s="300">
        <f>Forecast_stock_figures!M15</f>
        <v>246231.24083518205</v>
      </c>
      <c r="N36" s="300">
        <f>Forecast_stock_figures!N15</f>
        <v>246609.75140378298</v>
      </c>
    </row>
    <row r="37" spans="2:29">
      <c r="C37" s="302"/>
      <c r="D37" s="302"/>
      <c r="E37" s="302"/>
      <c r="F37" s="302"/>
      <c r="G37" s="302"/>
      <c r="H37" s="318"/>
      <c r="I37" s="302"/>
      <c r="J37" s="302"/>
      <c r="K37" s="302"/>
      <c r="L37" s="302"/>
      <c r="M37" s="302"/>
      <c r="N37" s="302"/>
    </row>
    <row r="38" spans="2:29" ht="15.75">
      <c r="B38" s="77" t="s">
        <v>170</v>
      </c>
      <c r="C38" s="302"/>
      <c r="D38" s="302"/>
      <c r="E38" s="302"/>
      <c r="F38" s="302"/>
      <c r="G38" s="302"/>
      <c r="H38" s="318"/>
      <c r="I38" s="302"/>
      <c r="J38" s="302"/>
      <c r="K38" s="302"/>
      <c r="L38" s="302"/>
      <c r="M38" s="302"/>
      <c r="N38" s="302"/>
    </row>
    <row r="39" spans="2:29">
      <c r="C39" s="302"/>
      <c r="D39" s="302"/>
      <c r="E39" s="302"/>
      <c r="F39" s="302"/>
      <c r="G39" s="302"/>
      <c r="H39" s="318"/>
      <c r="I39" s="302"/>
      <c r="J39" s="302"/>
      <c r="K39" s="302"/>
      <c r="L39" s="302"/>
      <c r="M39" s="302"/>
      <c r="N39" s="302"/>
    </row>
    <row r="40" spans="2:29">
      <c r="B40" s="75" t="s">
        <v>46</v>
      </c>
      <c r="C40" s="302"/>
      <c r="D40" s="302"/>
      <c r="E40" s="302"/>
      <c r="F40" s="302"/>
      <c r="G40" s="302"/>
      <c r="H40" s="318"/>
      <c r="I40" s="302"/>
      <c r="J40" s="302"/>
      <c r="K40" s="302"/>
      <c r="L40" s="302"/>
      <c r="M40" s="302"/>
      <c r="N40" s="302"/>
    </row>
    <row r="41" spans="2:29">
      <c r="C41" s="302"/>
      <c r="D41" s="302"/>
      <c r="E41" s="302"/>
      <c r="F41" s="302"/>
      <c r="G41" s="302"/>
      <c r="H41" s="318"/>
      <c r="I41" s="302"/>
      <c r="J41" s="302"/>
      <c r="K41" s="302"/>
      <c r="L41" s="302"/>
      <c r="M41" s="302"/>
      <c r="N41" s="302"/>
    </row>
    <row r="42" spans="2:29">
      <c r="B42" s="149"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29">
      <c r="B43" s="138" t="str">
        <f>B21</f>
        <v>20-24</v>
      </c>
      <c r="C43" s="300">
        <f>C21</f>
        <v>2077.39</v>
      </c>
      <c r="D43" s="300">
        <f t="shared" ref="D43:L43" si="2">C340</f>
        <v>2660.6982386914965</v>
      </c>
      <c r="E43" s="300">
        <f t="shared" si="2"/>
        <v>3016.3472859215112</v>
      </c>
      <c r="F43" s="300">
        <f t="shared" si="2"/>
        <v>3240.3143291375327</v>
      </c>
      <c r="G43" s="300">
        <f t="shared" si="2"/>
        <v>3415.1545416359986</v>
      </c>
      <c r="H43" s="300">
        <f t="shared" si="2"/>
        <v>3527.5598748631514</v>
      </c>
      <c r="I43" s="300">
        <f t="shared" si="2"/>
        <v>3594.3158023026758</v>
      </c>
      <c r="J43" s="300">
        <f t="shared" si="2"/>
        <v>3627.9582854286537</v>
      </c>
      <c r="K43" s="300">
        <f t="shared" si="2"/>
        <v>3676.1911836077988</v>
      </c>
      <c r="L43" s="300">
        <f t="shared" si="2"/>
        <v>3729.9445486403838</v>
      </c>
      <c r="M43" s="300">
        <f t="shared" ref="M43:M53" si="3">L340</f>
        <v>3772.530795879783</v>
      </c>
      <c r="N43" s="300">
        <f t="shared" ref="N43:N53" si="4">M340</f>
        <v>3797.7256576239092</v>
      </c>
      <c r="Q43" s="302"/>
      <c r="R43" s="302"/>
      <c r="S43" s="302"/>
      <c r="T43" s="302"/>
      <c r="U43" s="302"/>
      <c r="V43" s="302"/>
      <c r="W43" s="302"/>
      <c r="X43" s="302"/>
      <c r="Y43" s="302"/>
      <c r="Z43" s="302"/>
      <c r="AA43" s="302"/>
      <c r="AB43" s="302"/>
      <c r="AC43" s="302"/>
    </row>
    <row r="44" spans="2:29">
      <c r="B44" s="138" t="str">
        <f t="shared" ref="B44:C53" si="5">B22</f>
        <v>25-29</v>
      </c>
      <c r="C44" s="300">
        <f t="shared" si="5"/>
        <v>6637.76</v>
      </c>
      <c r="D44" s="300">
        <f t="shared" ref="D44:G52" si="6">C341</f>
        <v>5998.2404346588974</v>
      </c>
      <c r="E44" s="300">
        <f t="shared" si="6"/>
        <v>5623.173903670373</v>
      </c>
      <c r="F44" s="300">
        <f t="shared" si="6"/>
        <v>5387.1984350716166</v>
      </c>
      <c r="G44" s="300">
        <f t="shared" si="6"/>
        <v>5279.6031826204053</v>
      </c>
      <c r="H44" s="300">
        <f t="shared" ref="F44:K53" si="7">G341</f>
        <v>5226.5473681499807</v>
      </c>
      <c r="I44" s="300">
        <f t="shared" si="7"/>
        <v>5199.6769131407518</v>
      </c>
      <c r="J44" s="300">
        <f t="shared" si="7"/>
        <v>5182.4252465691598</v>
      </c>
      <c r="K44" s="300">
        <f t="shared" si="7"/>
        <v>5195.0089645886464</v>
      </c>
      <c r="L44" s="300">
        <f t="shared" ref="L44:L53" si="8">K341</f>
        <v>5227.7925182074305</v>
      </c>
      <c r="M44" s="300">
        <f t="shared" si="3"/>
        <v>5264.4157732604317</v>
      </c>
      <c r="N44" s="300">
        <f t="shared" si="4"/>
        <v>5294.465491507236</v>
      </c>
      <c r="Q44" s="302"/>
      <c r="R44" s="302"/>
      <c r="S44" s="302"/>
      <c r="T44" s="302"/>
      <c r="U44" s="302"/>
      <c r="V44" s="302"/>
      <c r="W44" s="302"/>
      <c r="X44" s="302"/>
      <c r="Y44" s="302"/>
      <c r="Z44" s="302"/>
      <c r="AA44" s="302"/>
      <c r="AB44" s="302"/>
      <c r="AC44" s="302"/>
    </row>
    <row r="45" spans="2:29">
      <c r="B45" s="138" t="str">
        <f t="shared" si="5"/>
        <v>30-34</v>
      </c>
      <c r="C45" s="300">
        <f t="shared" si="5"/>
        <v>6187.76</v>
      </c>
      <c r="D45" s="300">
        <f t="shared" si="6"/>
        <v>6129.0070956676245</v>
      </c>
      <c r="E45" s="300">
        <f t="shared" si="6"/>
        <v>5968.6272150352843</v>
      </c>
      <c r="F45" s="300">
        <f t="shared" si="6"/>
        <v>5758.5079353904321</v>
      </c>
      <c r="G45" s="300">
        <f t="shared" si="6"/>
        <v>5577.2834232936721</v>
      </c>
      <c r="H45" s="300">
        <f t="shared" si="7"/>
        <v>5422.2921341380206</v>
      </c>
      <c r="I45" s="300">
        <f t="shared" si="7"/>
        <v>5295.6216659103784</v>
      </c>
      <c r="J45" s="300">
        <f t="shared" si="7"/>
        <v>5193.9115956745554</v>
      </c>
      <c r="K45" s="300">
        <f t="shared" si="7"/>
        <v>5125.5463042419242</v>
      </c>
      <c r="L45" s="300">
        <f t="shared" si="8"/>
        <v>5085.1988526654168</v>
      </c>
      <c r="M45" s="300">
        <f t="shared" si="3"/>
        <v>5063.5649535855755</v>
      </c>
      <c r="N45" s="300">
        <f t="shared" si="4"/>
        <v>5052.8411923860604</v>
      </c>
      <c r="Q45" s="302"/>
      <c r="R45" s="302"/>
      <c r="S45" s="302"/>
      <c r="T45" s="302"/>
      <c r="U45" s="302"/>
      <c r="V45" s="302"/>
      <c r="W45" s="302"/>
      <c r="X45" s="302"/>
      <c r="Y45" s="302"/>
      <c r="Z45" s="302"/>
      <c r="AA45" s="302"/>
      <c r="AB45" s="302"/>
      <c r="AC45" s="302"/>
    </row>
    <row r="46" spans="2:29">
      <c r="B46" s="138" t="str">
        <f t="shared" si="5"/>
        <v>35-39</v>
      </c>
      <c r="C46" s="300">
        <f t="shared" si="5"/>
        <v>5219.1499999999996</v>
      </c>
      <c r="D46" s="300">
        <f t="shared" si="6"/>
        <v>5343.2705794972071</v>
      </c>
      <c r="E46" s="300">
        <f t="shared" si="6"/>
        <v>5421.3014732078072</v>
      </c>
      <c r="F46" s="300">
        <f t="shared" si="6"/>
        <v>5429.4305015681148</v>
      </c>
      <c r="G46" s="300">
        <f t="shared" si="6"/>
        <v>5408.3652244063514</v>
      </c>
      <c r="H46" s="300">
        <f t="shared" si="7"/>
        <v>5356.4166301069499</v>
      </c>
      <c r="I46" s="300">
        <f t="shared" si="7"/>
        <v>5285.9419244469664</v>
      </c>
      <c r="J46" s="300">
        <f t="shared" si="7"/>
        <v>5206.6793792858698</v>
      </c>
      <c r="K46" s="300">
        <f t="shared" si="7"/>
        <v>5136.6498555052794</v>
      </c>
      <c r="L46" s="300">
        <f t="shared" si="8"/>
        <v>5078.2094215958277</v>
      </c>
      <c r="M46" s="300">
        <f t="shared" si="3"/>
        <v>5029.0733866425489</v>
      </c>
      <c r="N46" s="300">
        <f t="shared" si="4"/>
        <v>4987.44438032978</v>
      </c>
      <c r="Q46" s="302"/>
      <c r="R46" s="302"/>
      <c r="S46" s="302"/>
      <c r="T46" s="302"/>
      <c r="U46" s="302"/>
      <c r="V46" s="302"/>
      <c r="W46" s="302"/>
      <c r="X46" s="302"/>
      <c r="Y46" s="302"/>
      <c r="Z46" s="302"/>
      <c r="AA46" s="302"/>
      <c r="AB46" s="302"/>
      <c r="AC46" s="302"/>
    </row>
    <row r="47" spans="2:29">
      <c r="B47" s="138" t="str">
        <f t="shared" si="5"/>
        <v>40-44</v>
      </c>
      <c r="C47" s="300">
        <f t="shared" si="5"/>
        <v>4636.84</v>
      </c>
      <c r="D47" s="300">
        <f t="shared" si="6"/>
        <v>4679.314983171721</v>
      </c>
      <c r="E47" s="300">
        <f t="shared" si="6"/>
        <v>4730.7804918401707</v>
      </c>
      <c r="F47" s="300">
        <f t="shared" si="6"/>
        <v>4763.504700309637</v>
      </c>
      <c r="G47" s="300">
        <f t="shared" si="6"/>
        <v>4800.269234221284</v>
      </c>
      <c r="H47" s="300">
        <f t="shared" si="7"/>
        <v>4820.5176163775905</v>
      </c>
      <c r="I47" s="300">
        <f t="shared" si="7"/>
        <v>4822.4878383495216</v>
      </c>
      <c r="J47" s="300">
        <f t="shared" si="7"/>
        <v>4807.3700950781549</v>
      </c>
      <c r="K47" s="300">
        <f t="shared" si="7"/>
        <v>4788.7059885925783</v>
      </c>
      <c r="L47" s="300">
        <f t="shared" si="8"/>
        <v>4767.8220555984099</v>
      </c>
      <c r="M47" s="300">
        <f t="shared" si="3"/>
        <v>4743.2287835571742</v>
      </c>
      <c r="N47" s="300">
        <f t="shared" si="4"/>
        <v>4714.9456400406098</v>
      </c>
      <c r="Q47" s="302"/>
      <c r="R47" s="302"/>
      <c r="S47" s="302"/>
      <c r="T47" s="302"/>
      <c r="U47" s="302"/>
      <c r="V47" s="302"/>
      <c r="W47" s="302"/>
      <c r="X47" s="302"/>
      <c r="Y47" s="302"/>
      <c r="Z47" s="302"/>
      <c r="AA47" s="302"/>
      <c r="AB47" s="302"/>
      <c r="AC47" s="302"/>
    </row>
    <row r="48" spans="2:29">
      <c r="B48" s="138" t="str">
        <f t="shared" si="5"/>
        <v>45-49</v>
      </c>
      <c r="C48" s="300">
        <f t="shared" si="5"/>
        <v>3753.7</v>
      </c>
      <c r="D48" s="300">
        <f t="shared" si="6"/>
        <v>3810.0902896190928</v>
      </c>
      <c r="E48" s="300">
        <f t="shared" si="6"/>
        <v>3858.8667380262664</v>
      </c>
      <c r="F48" s="300">
        <f t="shared" si="6"/>
        <v>3887.2306542720758</v>
      </c>
      <c r="G48" s="300">
        <f t="shared" si="6"/>
        <v>3923.2426518370189</v>
      </c>
      <c r="H48" s="300">
        <f t="shared" si="7"/>
        <v>3953.931433007946</v>
      </c>
      <c r="I48" s="300">
        <f t="shared" si="7"/>
        <v>3977.3601370089477</v>
      </c>
      <c r="J48" s="300">
        <f t="shared" si="7"/>
        <v>3991.9681246561036</v>
      </c>
      <c r="K48" s="300">
        <f t="shared" si="7"/>
        <v>4004.9878499247702</v>
      </c>
      <c r="L48" s="300">
        <f t="shared" si="8"/>
        <v>4015.2293816515312</v>
      </c>
      <c r="M48" s="300">
        <f t="shared" si="3"/>
        <v>4019.9063590582887</v>
      </c>
      <c r="N48" s="300">
        <f t="shared" si="4"/>
        <v>4017.8708417261537</v>
      </c>
      <c r="Q48" s="302"/>
      <c r="R48" s="302"/>
      <c r="S48" s="302"/>
      <c r="T48" s="302"/>
      <c r="U48" s="302"/>
      <c r="V48" s="302"/>
      <c r="W48" s="302"/>
      <c r="X48" s="302"/>
      <c r="Y48" s="302"/>
      <c r="Z48" s="302"/>
      <c r="AA48" s="302"/>
      <c r="AB48" s="302"/>
      <c r="AC48" s="302"/>
    </row>
    <row r="49" spans="1:29">
      <c r="B49" s="138" t="str">
        <f t="shared" si="5"/>
        <v>50-54</v>
      </c>
      <c r="C49" s="300">
        <f t="shared" si="5"/>
        <v>2853.97</v>
      </c>
      <c r="D49" s="300">
        <f t="shared" si="6"/>
        <v>2845.1855365599822</v>
      </c>
      <c r="E49" s="300">
        <f t="shared" si="6"/>
        <v>2850.4661440862442</v>
      </c>
      <c r="F49" s="300">
        <f t="shared" si="6"/>
        <v>2851.0573117682052</v>
      </c>
      <c r="G49" s="300">
        <f t="shared" si="6"/>
        <v>2863.2626647145985</v>
      </c>
      <c r="H49" s="300">
        <f t="shared" si="7"/>
        <v>2876.9519750079708</v>
      </c>
      <c r="I49" s="300">
        <f t="shared" si="7"/>
        <v>2890.4911811159272</v>
      </c>
      <c r="J49" s="300">
        <f t="shared" si="7"/>
        <v>2902.4836494265251</v>
      </c>
      <c r="K49" s="300">
        <f t="shared" si="7"/>
        <v>2916.8791570081544</v>
      </c>
      <c r="L49" s="300">
        <f t="shared" si="8"/>
        <v>2932.0671832318717</v>
      </c>
      <c r="M49" s="300">
        <f t="shared" si="3"/>
        <v>2945.3101776188482</v>
      </c>
      <c r="N49" s="300">
        <f t="shared" si="4"/>
        <v>2954.9058041876224</v>
      </c>
      <c r="Q49" s="302"/>
      <c r="R49" s="302"/>
      <c r="S49" s="302"/>
      <c r="T49" s="302"/>
      <c r="U49" s="302"/>
      <c r="V49" s="302"/>
      <c r="W49" s="302"/>
      <c r="X49" s="302"/>
      <c r="Y49" s="302"/>
      <c r="Z49" s="302"/>
      <c r="AA49" s="302"/>
      <c r="AB49" s="302"/>
      <c r="AC49" s="302"/>
    </row>
    <row r="50" spans="1:29">
      <c r="B50" s="138" t="str">
        <f t="shared" si="5"/>
        <v>55-59</v>
      </c>
      <c r="C50" s="300">
        <f t="shared" si="5"/>
        <v>1491.8</v>
      </c>
      <c r="D50" s="300">
        <f t="shared" si="6"/>
        <v>1405.6599025354792</v>
      </c>
      <c r="E50" s="300">
        <f t="shared" si="6"/>
        <v>1352.0133500556747</v>
      </c>
      <c r="F50" s="300">
        <f t="shared" si="6"/>
        <v>1316.0693402480229</v>
      </c>
      <c r="G50" s="300">
        <f t="shared" si="6"/>
        <v>1297.6346513312899</v>
      </c>
      <c r="H50" s="300">
        <f t="shared" si="7"/>
        <v>1287.6895360942278</v>
      </c>
      <c r="I50" s="300">
        <f t="shared" si="7"/>
        <v>1282.8603841512388</v>
      </c>
      <c r="J50" s="300">
        <f t="shared" si="7"/>
        <v>1280.9601314544839</v>
      </c>
      <c r="K50" s="300">
        <f t="shared" si="7"/>
        <v>1283.5740564109983</v>
      </c>
      <c r="L50" s="300">
        <f t="shared" si="8"/>
        <v>1288.8565977749731</v>
      </c>
      <c r="M50" s="300">
        <f t="shared" si="3"/>
        <v>1294.6492825330795</v>
      </c>
      <c r="N50" s="300">
        <f t="shared" si="4"/>
        <v>1299.6954698100726</v>
      </c>
      <c r="Q50" s="302"/>
      <c r="R50" s="302"/>
      <c r="S50" s="302"/>
      <c r="T50" s="302"/>
      <c r="U50" s="302"/>
      <c r="V50" s="302"/>
      <c r="W50" s="302"/>
      <c r="X50" s="302"/>
      <c r="Y50" s="302"/>
      <c r="Z50" s="302"/>
      <c r="AA50" s="302"/>
      <c r="AB50" s="302"/>
      <c r="AC50" s="302"/>
    </row>
    <row r="51" spans="1:29">
      <c r="B51" s="138" t="str">
        <f t="shared" si="5"/>
        <v>60-64</v>
      </c>
      <c r="C51" s="300">
        <f t="shared" si="5"/>
        <v>569.73</v>
      </c>
      <c r="D51" s="300">
        <f t="shared" si="6"/>
        <v>525.83287906201667</v>
      </c>
      <c r="E51" s="300">
        <f t="shared" si="6"/>
        <v>491.72296832006361</v>
      </c>
      <c r="F51" s="300">
        <f t="shared" si="6"/>
        <v>465.51214185169499</v>
      </c>
      <c r="G51" s="300">
        <f t="shared" si="6"/>
        <v>448.8369008949669</v>
      </c>
      <c r="H51" s="300">
        <f t="shared" si="7"/>
        <v>437.62161810407315</v>
      </c>
      <c r="I51" s="300">
        <f t="shared" si="7"/>
        <v>430.18675546141571</v>
      </c>
      <c r="J51" s="300">
        <f t="shared" si="7"/>
        <v>425.27988906423178</v>
      </c>
      <c r="K51" s="300">
        <f t="shared" si="7"/>
        <v>423.50736842214422</v>
      </c>
      <c r="L51" s="300">
        <f t="shared" si="8"/>
        <v>423.71911777024752</v>
      </c>
      <c r="M51" s="300">
        <f t="shared" si="3"/>
        <v>424.69168809020812</v>
      </c>
      <c r="N51" s="300">
        <f t="shared" si="4"/>
        <v>425.74193200160454</v>
      </c>
      <c r="Q51" s="302"/>
      <c r="R51" s="302"/>
      <c r="S51" s="302"/>
      <c r="T51" s="302"/>
      <c r="U51" s="302"/>
      <c r="V51" s="302"/>
      <c r="W51" s="302"/>
      <c r="X51" s="302"/>
      <c r="Y51" s="302"/>
      <c r="Z51" s="302"/>
      <c r="AA51" s="302"/>
      <c r="AB51" s="302"/>
      <c r="AC51" s="302"/>
    </row>
    <row r="52" spans="1:29">
      <c r="B52" s="138" t="str">
        <f t="shared" si="5"/>
        <v>65 plus</v>
      </c>
      <c r="C52" s="300">
        <f t="shared" si="5"/>
        <v>138.63999999999999</v>
      </c>
      <c r="D52" s="300">
        <f t="shared" si="6"/>
        <v>175.59917221774595</v>
      </c>
      <c r="E52" s="300">
        <f t="shared" si="6"/>
        <v>193.77152712714835</v>
      </c>
      <c r="F52" s="300">
        <f t="shared" si="6"/>
        <v>200.23129209923189</v>
      </c>
      <c r="G52" s="300">
        <f t="shared" si="6"/>
        <v>201.5216074785601</v>
      </c>
      <c r="H52" s="300">
        <f t="shared" si="7"/>
        <v>200.09505587894816</v>
      </c>
      <c r="I52" s="300">
        <f t="shared" si="7"/>
        <v>197.59957616983206</v>
      </c>
      <c r="J52" s="300">
        <f t="shared" si="7"/>
        <v>194.88996808989302</v>
      </c>
      <c r="K52" s="300">
        <f t="shared" si="7"/>
        <v>192.773362764914</v>
      </c>
      <c r="L52" s="300">
        <f t="shared" si="8"/>
        <v>191.39337569208146</v>
      </c>
      <c r="M52" s="300">
        <f t="shared" si="3"/>
        <v>190.58346376880792</v>
      </c>
      <c r="N52" s="300">
        <f t="shared" si="4"/>
        <v>190.13687400843364</v>
      </c>
      <c r="Q52" s="302"/>
      <c r="R52" s="302"/>
      <c r="S52" s="302"/>
      <c r="T52" s="302"/>
      <c r="U52" s="302"/>
      <c r="V52" s="302"/>
      <c r="W52" s="302"/>
      <c r="X52" s="302"/>
      <c r="Y52" s="302"/>
      <c r="Z52" s="302"/>
      <c r="AA52" s="302"/>
      <c r="AB52" s="302"/>
      <c r="AC52" s="302"/>
    </row>
    <row r="53" spans="1:29">
      <c r="B53" s="138" t="str">
        <f t="shared" si="5"/>
        <v>Total</v>
      </c>
      <c r="C53" s="300">
        <f t="shared" si="5"/>
        <v>33566.740000000005</v>
      </c>
      <c r="D53" s="300">
        <f>C350</f>
        <v>33572.899111681269</v>
      </c>
      <c r="E53" s="300">
        <f>D350</f>
        <v>33507.071097290551</v>
      </c>
      <c r="F53" s="300">
        <f t="shared" si="7"/>
        <v>33299.056641716568</v>
      </c>
      <c r="G53" s="300">
        <f>F350</f>
        <v>33215.174082434147</v>
      </c>
      <c r="H53" s="300">
        <f t="shared" si="7"/>
        <v>33109.623241728863</v>
      </c>
      <c r="I53" s="300">
        <f t="shared" si="7"/>
        <v>32976.542178057658</v>
      </c>
      <c r="J53" s="300">
        <f t="shared" si="7"/>
        <v>32813.926364727631</v>
      </c>
      <c r="K53" s="300">
        <f t="shared" si="7"/>
        <v>32743.824091067207</v>
      </c>
      <c r="L53" s="300">
        <f t="shared" si="8"/>
        <v>32740.233052828175</v>
      </c>
      <c r="M53" s="300">
        <f t="shared" si="3"/>
        <v>32747.954663994744</v>
      </c>
      <c r="N53" s="300">
        <f t="shared" si="4"/>
        <v>32735.773283621482</v>
      </c>
    </row>
    <row r="54" spans="1:29">
      <c r="A54" s="10">
        <f>SUM(C54:N54)</f>
        <v>0</v>
      </c>
      <c r="C54" s="302">
        <f>SUM(C43:C52)-C53</f>
        <v>0</v>
      </c>
      <c r="D54" s="302">
        <f t="shared" ref="D54:N54" si="9">SUM(D43:D52)-D53</f>
        <v>0</v>
      </c>
      <c r="E54" s="302">
        <f t="shared" si="9"/>
        <v>0</v>
      </c>
      <c r="F54" s="302">
        <f t="shared" si="9"/>
        <v>0</v>
      </c>
      <c r="G54" s="302">
        <f t="shared" si="9"/>
        <v>0</v>
      </c>
      <c r="H54" s="302">
        <f t="shared" si="9"/>
        <v>0</v>
      </c>
      <c r="I54" s="302">
        <f t="shared" si="9"/>
        <v>0</v>
      </c>
      <c r="J54" s="302">
        <f t="shared" si="9"/>
        <v>0</v>
      </c>
      <c r="K54" s="302">
        <f t="shared" si="9"/>
        <v>0</v>
      </c>
      <c r="L54" s="302">
        <f t="shared" si="9"/>
        <v>0</v>
      </c>
      <c r="M54" s="302">
        <f t="shared" si="9"/>
        <v>0</v>
      </c>
      <c r="N54" s="302">
        <f t="shared" si="9"/>
        <v>0</v>
      </c>
    </row>
    <row r="55" spans="1:29">
      <c r="A55" s="10"/>
      <c r="C55" s="302"/>
      <c r="D55" s="302"/>
      <c r="E55" s="302"/>
      <c r="F55" s="302"/>
      <c r="G55" s="302"/>
      <c r="H55" s="302"/>
      <c r="I55" s="302"/>
      <c r="J55" s="302"/>
      <c r="K55" s="302"/>
      <c r="L55" s="302"/>
      <c r="M55" s="302"/>
      <c r="N55" s="302"/>
    </row>
    <row r="56" spans="1:29">
      <c r="B56" s="75" t="s">
        <v>47</v>
      </c>
      <c r="C56" s="302"/>
      <c r="D56" s="302"/>
      <c r="E56" s="302"/>
      <c r="F56" s="302"/>
      <c r="G56" s="302"/>
      <c r="H56" s="318"/>
      <c r="I56" s="302"/>
      <c r="J56" s="302"/>
      <c r="K56" s="302"/>
      <c r="L56" s="302"/>
      <c r="M56" s="302"/>
      <c r="N56" s="302"/>
    </row>
    <row r="57" spans="1:29">
      <c r="C57" s="302"/>
      <c r="D57" s="302"/>
      <c r="E57" s="302"/>
      <c r="F57" s="302"/>
      <c r="G57" s="302"/>
      <c r="H57" s="318"/>
      <c r="I57" s="302"/>
      <c r="J57" s="302"/>
      <c r="K57" s="302"/>
      <c r="L57" s="302"/>
      <c r="M57" s="302"/>
      <c r="N57" s="302"/>
    </row>
    <row r="58" spans="1:29">
      <c r="B58" s="149" t="str">
        <f t="shared" ref="B58:B69" si="10">B42</f>
        <v>Age group</v>
      </c>
      <c r="C58" s="331" t="str">
        <f t="shared" ref="C58:N58" si="11">C42</f>
        <v>2017/18</v>
      </c>
      <c r="D58" s="331" t="str">
        <f t="shared" si="11"/>
        <v>2018/19</v>
      </c>
      <c r="E58" s="331" t="str">
        <f t="shared" si="11"/>
        <v>2019/20</v>
      </c>
      <c r="F58" s="331" t="str">
        <f t="shared" si="11"/>
        <v>2020/21</v>
      </c>
      <c r="G58" s="331" t="str">
        <f t="shared" si="11"/>
        <v>2021/22</v>
      </c>
      <c r="H58" s="331" t="str">
        <f t="shared" si="11"/>
        <v>2022/23</v>
      </c>
      <c r="I58" s="331" t="str">
        <f t="shared" si="11"/>
        <v>2023/24</v>
      </c>
      <c r="J58" s="331" t="str">
        <f t="shared" si="11"/>
        <v>2024/25</v>
      </c>
      <c r="K58" s="331" t="str">
        <f t="shared" si="11"/>
        <v>2025/26</v>
      </c>
      <c r="L58" s="331" t="str">
        <f t="shared" si="11"/>
        <v>2026/27</v>
      </c>
      <c r="M58" s="331" t="str">
        <f t="shared" si="11"/>
        <v>2027/28</v>
      </c>
      <c r="N58" s="331" t="str">
        <f t="shared" si="11"/>
        <v>2028/29</v>
      </c>
    </row>
    <row r="59" spans="1:29">
      <c r="A59" s="10"/>
      <c r="B59" s="149" t="str">
        <f t="shared" si="10"/>
        <v>20-24</v>
      </c>
      <c r="C59" s="300">
        <f t="shared" ref="C59:C69" si="12">D21</f>
        <v>15356.2</v>
      </c>
      <c r="D59" s="300">
        <f t="shared" ref="D59:L59" si="13">C356</f>
        <v>18555.414812731167</v>
      </c>
      <c r="E59" s="300">
        <f t="shared" si="13"/>
        <v>20471.716709961744</v>
      </c>
      <c r="F59" s="300">
        <f t="shared" si="13"/>
        <v>21733.318825184328</v>
      </c>
      <c r="G59" s="300">
        <f t="shared" si="13"/>
        <v>22692.902342535701</v>
      </c>
      <c r="H59" s="300">
        <f t="shared" si="13"/>
        <v>23319.256907799892</v>
      </c>
      <c r="I59" s="300">
        <f t="shared" si="13"/>
        <v>23694.579052477966</v>
      </c>
      <c r="J59" s="300">
        <f t="shared" si="13"/>
        <v>23882.686008180335</v>
      </c>
      <c r="K59" s="300">
        <f t="shared" si="13"/>
        <v>24170.502484729583</v>
      </c>
      <c r="L59" s="300">
        <f t="shared" si="13"/>
        <v>24500.762794261052</v>
      </c>
      <c r="M59" s="300">
        <f t="shared" ref="M59:M69" si="14">L356</f>
        <v>24768.34875971972</v>
      </c>
      <c r="N59" s="300">
        <f t="shared" ref="N59:N69" si="15">M356</f>
        <v>24931.673399517764</v>
      </c>
    </row>
    <row r="60" spans="1:29">
      <c r="A60" s="10"/>
      <c r="B60" s="149" t="str">
        <f t="shared" si="10"/>
        <v>25-29</v>
      </c>
      <c r="C60" s="300">
        <f t="shared" si="12"/>
        <v>36949.53</v>
      </c>
      <c r="D60" s="300">
        <f t="shared" ref="D60:K69" si="16">C357</f>
        <v>35378.781682611392</v>
      </c>
      <c r="E60" s="300">
        <f t="shared" si="16"/>
        <v>34513.004712090005</v>
      </c>
      <c r="F60" s="300">
        <f t="shared" si="16"/>
        <v>34114.417713141156</v>
      </c>
      <c r="G60" s="300">
        <f t="shared" si="16"/>
        <v>34074.14607824928</v>
      </c>
      <c r="H60" s="300">
        <f t="shared" si="16"/>
        <v>34171.262250421976</v>
      </c>
      <c r="I60" s="300">
        <f t="shared" si="16"/>
        <v>34298.408467357331</v>
      </c>
      <c r="J60" s="300">
        <f t="shared" si="16"/>
        <v>34396.411274296064</v>
      </c>
      <c r="K60" s="300">
        <f t="shared" si="16"/>
        <v>34618.329125937082</v>
      </c>
      <c r="L60" s="300">
        <f t="shared" ref="L60:L69" si="17">K357</f>
        <v>34925.814913031645</v>
      </c>
      <c r="M60" s="300">
        <f t="shared" si="14"/>
        <v>35231.766433309858</v>
      </c>
      <c r="N60" s="300">
        <f t="shared" si="15"/>
        <v>35479.922842104119</v>
      </c>
    </row>
    <row r="61" spans="1:29">
      <c r="A61" s="10"/>
      <c r="B61" s="149" t="str">
        <f t="shared" si="10"/>
        <v>30-34</v>
      </c>
      <c r="C61" s="300">
        <f t="shared" si="12"/>
        <v>33583.74</v>
      </c>
      <c r="D61" s="300">
        <f t="shared" si="16"/>
        <v>34076.634484688533</v>
      </c>
      <c r="E61" s="300">
        <f t="shared" si="16"/>
        <v>34000.776178290798</v>
      </c>
      <c r="F61" s="300">
        <f t="shared" si="16"/>
        <v>33707.083530004871</v>
      </c>
      <c r="G61" s="300">
        <f t="shared" si="16"/>
        <v>33409.398720447134</v>
      </c>
      <c r="H61" s="300">
        <f t="shared" si="16"/>
        <v>33162.2745753282</v>
      </c>
      <c r="I61" s="300">
        <f t="shared" si="16"/>
        <v>32972.985900442662</v>
      </c>
      <c r="J61" s="300">
        <f t="shared" si="16"/>
        <v>32828.949374652067</v>
      </c>
      <c r="K61" s="300">
        <f t="shared" si="16"/>
        <v>32795.899807773014</v>
      </c>
      <c r="L61" s="300">
        <f t="shared" si="17"/>
        <v>32856.315169639965</v>
      </c>
      <c r="M61" s="300">
        <f t="shared" si="14"/>
        <v>32967.601097608589</v>
      </c>
      <c r="N61" s="300">
        <f t="shared" si="15"/>
        <v>33094.718412377406</v>
      </c>
    </row>
    <row r="62" spans="1:29">
      <c r="A62" s="10"/>
      <c r="B62" s="149" t="str">
        <f t="shared" si="10"/>
        <v>35-39</v>
      </c>
      <c r="C62" s="300">
        <f t="shared" si="12"/>
        <v>31089.49</v>
      </c>
      <c r="D62" s="300">
        <f t="shared" si="16"/>
        <v>31293.861049917195</v>
      </c>
      <c r="E62" s="300">
        <f t="shared" si="16"/>
        <v>31410.886637687054</v>
      </c>
      <c r="F62" s="300">
        <f t="shared" si="16"/>
        <v>31414.535352403112</v>
      </c>
      <c r="G62" s="300">
        <f t="shared" si="16"/>
        <v>31352.686493011151</v>
      </c>
      <c r="H62" s="300">
        <f t="shared" si="16"/>
        <v>31234.325949863902</v>
      </c>
      <c r="I62" s="300">
        <f t="shared" si="16"/>
        <v>31080.22357475114</v>
      </c>
      <c r="J62" s="300">
        <f t="shared" si="16"/>
        <v>30908.396343459292</v>
      </c>
      <c r="K62" s="300">
        <f t="shared" si="16"/>
        <v>30800.708675948226</v>
      </c>
      <c r="L62" s="300">
        <f t="shared" si="17"/>
        <v>30751.95348950597</v>
      </c>
      <c r="M62" s="300">
        <f t="shared" si="14"/>
        <v>30736.250569357038</v>
      </c>
      <c r="N62" s="300">
        <f t="shared" si="15"/>
        <v>30736.721717986904</v>
      </c>
    </row>
    <row r="63" spans="1:29">
      <c r="A63" s="10"/>
      <c r="B63" s="149" t="str">
        <f t="shared" si="10"/>
        <v>40-44</v>
      </c>
      <c r="C63" s="300">
        <f t="shared" si="12"/>
        <v>28767.97</v>
      </c>
      <c r="D63" s="300">
        <f t="shared" si="16"/>
        <v>29170.717598227093</v>
      </c>
      <c r="E63" s="300">
        <f t="shared" si="16"/>
        <v>29389.869393805366</v>
      </c>
      <c r="F63" s="300">
        <f t="shared" si="16"/>
        <v>29512.196162367498</v>
      </c>
      <c r="G63" s="300">
        <f t="shared" si="16"/>
        <v>29595.956201607729</v>
      </c>
      <c r="H63" s="300">
        <f t="shared" si="16"/>
        <v>29629.050866912559</v>
      </c>
      <c r="I63" s="300">
        <f t="shared" si="16"/>
        <v>29610.924631490456</v>
      </c>
      <c r="J63" s="300">
        <f t="shared" si="16"/>
        <v>29546.359146669198</v>
      </c>
      <c r="K63" s="300">
        <f t="shared" si="16"/>
        <v>29509.670063141952</v>
      </c>
      <c r="L63" s="300">
        <f t="shared" si="17"/>
        <v>29497.289051535296</v>
      </c>
      <c r="M63" s="300">
        <f t="shared" si="14"/>
        <v>29487.705528369654</v>
      </c>
      <c r="N63" s="300">
        <f t="shared" si="15"/>
        <v>29469.707818961338</v>
      </c>
    </row>
    <row r="64" spans="1:29">
      <c r="A64" s="10"/>
      <c r="B64" s="149" t="str">
        <f t="shared" si="10"/>
        <v>45-49</v>
      </c>
      <c r="C64" s="300">
        <f t="shared" si="12"/>
        <v>24587.26</v>
      </c>
      <c r="D64" s="300">
        <f t="shared" si="16"/>
        <v>24984.629417994962</v>
      </c>
      <c r="E64" s="300">
        <f t="shared" si="16"/>
        <v>25262.102999010051</v>
      </c>
      <c r="F64" s="300">
        <f t="shared" si="16"/>
        <v>25454.216495126191</v>
      </c>
      <c r="G64" s="300">
        <f t="shared" si="16"/>
        <v>25607.286966476368</v>
      </c>
      <c r="H64" s="300">
        <f t="shared" si="16"/>
        <v>25722.127946862711</v>
      </c>
      <c r="I64" s="300">
        <f t="shared" si="16"/>
        <v>25797.074088956386</v>
      </c>
      <c r="J64" s="300">
        <f t="shared" si="16"/>
        <v>25831.814192243619</v>
      </c>
      <c r="K64" s="300">
        <f t="shared" si="16"/>
        <v>25877.477304953973</v>
      </c>
      <c r="L64" s="300">
        <f t="shared" si="17"/>
        <v>25930.195036162426</v>
      </c>
      <c r="M64" s="300">
        <f t="shared" si="14"/>
        <v>25973.065511558038</v>
      </c>
      <c r="N64" s="300">
        <f t="shared" si="15"/>
        <v>25996.802500953632</v>
      </c>
    </row>
    <row r="65" spans="1:14">
      <c r="A65" s="10"/>
      <c r="B65" s="149" t="str">
        <f t="shared" si="10"/>
        <v>50-54</v>
      </c>
      <c r="C65" s="300">
        <f t="shared" si="12"/>
        <v>19833.46</v>
      </c>
      <c r="D65" s="300">
        <f t="shared" si="16"/>
        <v>19654.054768368849</v>
      </c>
      <c r="E65" s="300">
        <f t="shared" si="16"/>
        <v>19536.998593129316</v>
      </c>
      <c r="F65" s="300">
        <f t="shared" si="16"/>
        <v>19461.63453672389</v>
      </c>
      <c r="G65" s="300">
        <f t="shared" si="16"/>
        <v>19429.461545324837</v>
      </c>
      <c r="H65" s="300">
        <f t="shared" si="16"/>
        <v>19425.50073533618</v>
      </c>
      <c r="I65" s="300">
        <f t="shared" si="16"/>
        <v>19433.285118393305</v>
      </c>
      <c r="J65" s="300">
        <f t="shared" si="16"/>
        <v>19441.383945564703</v>
      </c>
      <c r="K65" s="300">
        <f t="shared" si="16"/>
        <v>19473.876825611806</v>
      </c>
      <c r="L65" s="300">
        <f t="shared" si="17"/>
        <v>19521.878969029203</v>
      </c>
      <c r="M65" s="300">
        <f t="shared" si="14"/>
        <v>19569.760555235713</v>
      </c>
      <c r="N65" s="300">
        <f t="shared" si="15"/>
        <v>19607.848498330801</v>
      </c>
    </row>
    <row r="66" spans="1:14">
      <c r="A66" s="10"/>
      <c r="B66" s="149" t="str">
        <f t="shared" si="10"/>
        <v>55-59</v>
      </c>
      <c r="C66" s="300">
        <f t="shared" si="12"/>
        <v>12300.37</v>
      </c>
      <c r="D66" s="300">
        <f t="shared" si="16"/>
        <v>11406.724456540454</v>
      </c>
      <c r="E66" s="300">
        <f t="shared" si="16"/>
        <v>10785.152034103477</v>
      </c>
      <c r="F66" s="300">
        <f t="shared" si="16"/>
        <v>10359.207217043815</v>
      </c>
      <c r="G66" s="300">
        <f t="shared" si="16"/>
        <v>10078.488918687182</v>
      </c>
      <c r="H66" s="300">
        <f t="shared" si="16"/>
        <v>9893.1002589410291</v>
      </c>
      <c r="I66" s="300">
        <f t="shared" si="16"/>
        <v>9770.7425066061369</v>
      </c>
      <c r="J66" s="300">
        <f t="shared" si="16"/>
        <v>9689.0439008748453</v>
      </c>
      <c r="K66" s="300">
        <f t="shared" si="16"/>
        <v>9651.4021856316522</v>
      </c>
      <c r="L66" s="300">
        <f t="shared" si="17"/>
        <v>9642.7915889831456</v>
      </c>
      <c r="M66" s="300">
        <f t="shared" si="14"/>
        <v>9647.3451719351033</v>
      </c>
      <c r="N66" s="300">
        <f t="shared" si="15"/>
        <v>9655.3940707893707</v>
      </c>
    </row>
    <row r="67" spans="1:14">
      <c r="A67" s="10"/>
      <c r="B67" s="149" t="str">
        <f t="shared" si="10"/>
        <v>60-64</v>
      </c>
      <c r="C67" s="300">
        <f t="shared" si="12"/>
        <v>4649.1899999999996</v>
      </c>
      <c r="D67" s="300">
        <f t="shared" si="16"/>
        <v>4328.038209577885</v>
      </c>
      <c r="E67" s="300">
        <f t="shared" si="16"/>
        <v>4027.4839974306205</v>
      </c>
      <c r="F67" s="300">
        <f t="shared" si="16"/>
        <v>3782.0157057939341</v>
      </c>
      <c r="G67" s="300">
        <f t="shared" si="16"/>
        <v>3598.5371858538915</v>
      </c>
      <c r="H67" s="300">
        <f t="shared" si="16"/>
        <v>3463.9016377931803</v>
      </c>
      <c r="I67" s="300">
        <f t="shared" si="16"/>
        <v>3366.6777603603791</v>
      </c>
      <c r="J67" s="300">
        <f t="shared" si="16"/>
        <v>3296.8882447083893</v>
      </c>
      <c r="K67" s="300">
        <f t="shared" si="16"/>
        <v>3255.8419331512637</v>
      </c>
      <c r="L67" s="300">
        <f t="shared" si="17"/>
        <v>3234.3805098271328</v>
      </c>
      <c r="M67" s="300">
        <f t="shared" si="14"/>
        <v>3223.2701686747146</v>
      </c>
      <c r="N67" s="300">
        <f t="shared" si="15"/>
        <v>3216.9528250110484</v>
      </c>
    </row>
    <row r="68" spans="1:14">
      <c r="A68" s="10"/>
      <c r="B68" s="149" t="str">
        <f t="shared" si="10"/>
        <v>65 plus</v>
      </c>
      <c r="C68" s="300">
        <f t="shared" si="12"/>
        <v>823.76</v>
      </c>
      <c r="D68" s="300">
        <f t="shared" si="16"/>
        <v>1183.5654555022013</v>
      </c>
      <c r="E68" s="300">
        <f t="shared" si="16"/>
        <v>1364.6919023808991</v>
      </c>
      <c r="F68" s="300">
        <f t="shared" si="16"/>
        <v>1437.1397470571576</v>
      </c>
      <c r="G68" s="300">
        <f t="shared" si="16"/>
        <v>1450.4891075990081</v>
      </c>
      <c r="H68" s="300">
        <f t="shared" si="16"/>
        <v>1435.1956619514119</v>
      </c>
      <c r="I68" s="300">
        <f t="shared" si="16"/>
        <v>1407.9483075178111</v>
      </c>
      <c r="J68" s="300">
        <f t="shared" si="16"/>
        <v>1377.8230266829157</v>
      </c>
      <c r="K68" s="300">
        <f t="shared" si="16"/>
        <v>1351.8411199907739</v>
      </c>
      <c r="L68" s="300">
        <f t="shared" si="17"/>
        <v>1331.7452337337718</v>
      </c>
      <c r="M68" s="300">
        <f t="shared" si="14"/>
        <v>1316.7931727011505</v>
      </c>
      <c r="N68" s="300">
        <f t="shared" si="15"/>
        <v>1305.7254655281315</v>
      </c>
    </row>
    <row r="69" spans="1:14">
      <c r="B69" s="149" t="str">
        <f t="shared" si="10"/>
        <v>Total</v>
      </c>
      <c r="C69" s="300">
        <f t="shared" si="12"/>
        <v>207940.97</v>
      </c>
      <c r="D69" s="300">
        <f t="shared" si="16"/>
        <v>210032.42193615972</v>
      </c>
      <c r="E69" s="300">
        <f t="shared" si="16"/>
        <v>210762.68315788938</v>
      </c>
      <c r="F69" s="300">
        <f t="shared" si="16"/>
        <v>210975.76528484595</v>
      </c>
      <c r="G69" s="300">
        <f t="shared" si="16"/>
        <v>211289.35355979227</v>
      </c>
      <c r="H69" s="300">
        <f t="shared" si="16"/>
        <v>211455.99679121104</v>
      </c>
      <c r="I69" s="300">
        <f t="shared" si="16"/>
        <v>211432.84940835356</v>
      </c>
      <c r="J69" s="300">
        <f t="shared" si="16"/>
        <v>211199.75545733143</v>
      </c>
      <c r="K69" s="300">
        <f t="shared" si="16"/>
        <v>211505.54952686935</v>
      </c>
      <c r="L69" s="300">
        <f t="shared" si="17"/>
        <v>212193.12675570961</v>
      </c>
      <c r="M69" s="300">
        <f t="shared" si="14"/>
        <v>212921.90696846956</v>
      </c>
      <c r="N69" s="300">
        <f t="shared" si="15"/>
        <v>213495.46755156052</v>
      </c>
    </row>
    <row r="70" spans="1:14">
      <c r="A70" s="10">
        <f>SUM(C70:N70)</f>
        <v>0</v>
      </c>
      <c r="C70" s="10">
        <f t="shared" ref="C70:N70" si="18">SUM(C59:C68)-C69</f>
        <v>0</v>
      </c>
      <c r="D70" s="10">
        <f t="shared" si="18"/>
        <v>0</v>
      </c>
      <c r="E70" s="10">
        <f t="shared" si="18"/>
        <v>0</v>
      </c>
      <c r="F70" s="10">
        <f t="shared" si="18"/>
        <v>0</v>
      </c>
      <c r="G70" s="10">
        <f t="shared" si="18"/>
        <v>0</v>
      </c>
      <c r="H70" s="10">
        <f t="shared" si="18"/>
        <v>0</v>
      </c>
      <c r="I70" s="10">
        <f t="shared" si="18"/>
        <v>0</v>
      </c>
      <c r="J70" s="10">
        <f t="shared" si="18"/>
        <v>0</v>
      </c>
      <c r="K70" s="10">
        <f t="shared" si="18"/>
        <v>0</v>
      </c>
      <c r="L70" s="10">
        <f t="shared" si="18"/>
        <v>0</v>
      </c>
      <c r="M70" s="10">
        <f t="shared" si="18"/>
        <v>0</v>
      </c>
      <c r="N70" s="10">
        <f t="shared" si="18"/>
        <v>0</v>
      </c>
    </row>
    <row r="71" spans="1:14">
      <c r="A71" s="10"/>
      <c r="C71" s="10"/>
      <c r="D71" s="10"/>
      <c r="E71" s="10"/>
      <c r="F71" s="10"/>
      <c r="G71" s="10"/>
      <c r="H71" s="10"/>
      <c r="I71" s="10"/>
      <c r="J71" s="10"/>
      <c r="K71" s="10"/>
      <c r="L71" s="10"/>
      <c r="M71" s="10"/>
      <c r="N71" s="10"/>
    </row>
    <row r="72" spans="1:14" ht="15.75">
      <c r="B72" s="77" t="s">
        <v>163</v>
      </c>
      <c r="H72" s="12"/>
    </row>
    <row r="73" spans="1:14">
      <c r="H73" s="12"/>
    </row>
    <row r="74" spans="1:14">
      <c r="B74" s="75" t="s">
        <v>46</v>
      </c>
      <c r="C74" s="256" t="s">
        <v>456</v>
      </c>
      <c r="H74" s="12"/>
    </row>
    <row r="75" spans="1:14">
      <c r="H75" s="12"/>
    </row>
    <row r="76" spans="1:14">
      <c r="B76" s="149" t="str">
        <f t="shared" ref="B76:B87" si="19">B42</f>
        <v>Age group</v>
      </c>
      <c r="C76" s="149" t="str">
        <f t="shared" ref="C76:N76" si="20">C42</f>
        <v>2017/18</v>
      </c>
      <c r="D76" s="149" t="str">
        <f t="shared" si="20"/>
        <v>2018/19</v>
      </c>
      <c r="E76" s="149" t="str">
        <f t="shared" si="20"/>
        <v>2019/20</v>
      </c>
      <c r="F76" s="149" t="str">
        <f t="shared" si="20"/>
        <v>2020/21</v>
      </c>
      <c r="G76" s="149" t="str">
        <f t="shared" si="20"/>
        <v>2021/22</v>
      </c>
      <c r="H76" s="149" t="str">
        <f t="shared" si="20"/>
        <v>2022/23</v>
      </c>
      <c r="I76" s="149" t="str">
        <f t="shared" si="20"/>
        <v>2023/24</v>
      </c>
      <c r="J76" s="149" t="str">
        <f t="shared" si="20"/>
        <v>2024/25</v>
      </c>
      <c r="K76" s="149" t="str">
        <f t="shared" si="20"/>
        <v>2025/26</v>
      </c>
      <c r="L76" s="149" t="str">
        <f t="shared" si="20"/>
        <v>2026/27</v>
      </c>
      <c r="M76" s="149" t="str">
        <f t="shared" si="20"/>
        <v>2027/28</v>
      </c>
      <c r="N76" s="149" t="str">
        <f t="shared" si="20"/>
        <v>2028/29</v>
      </c>
    </row>
    <row r="77" spans="1:14">
      <c r="B77" s="149" t="str">
        <f t="shared" si="19"/>
        <v>20-24</v>
      </c>
      <c r="C77" s="447">
        <f>C43-(0.2*C43)</f>
        <v>1661.9119999999998</v>
      </c>
      <c r="D77" s="447">
        <f>D43-(0.2*D43)</f>
        <v>2128.5585909531974</v>
      </c>
      <c r="E77" s="447">
        <f t="shared" ref="E77:N77" si="21">E43-(0.2*E43)</f>
        <v>2413.0778287372091</v>
      </c>
      <c r="F77" s="447">
        <f t="shared" si="21"/>
        <v>2592.2514633100263</v>
      </c>
      <c r="G77" s="447">
        <f t="shared" si="21"/>
        <v>2732.1236333087991</v>
      </c>
      <c r="H77" s="447">
        <f t="shared" si="21"/>
        <v>2822.047899890521</v>
      </c>
      <c r="I77" s="447">
        <f t="shared" si="21"/>
        <v>2875.4526418421406</v>
      </c>
      <c r="J77" s="447">
        <f t="shared" si="21"/>
        <v>2902.3666283429229</v>
      </c>
      <c r="K77" s="447">
        <f t="shared" si="21"/>
        <v>2940.9529468862393</v>
      </c>
      <c r="L77" s="447">
        <f t="shared" si="21"/>
        <v>2983.9556389123072</v>
      </c>
      <c r="M77" s="447">
        <f t="shared" si="21"/>
        <v>3018.0246367038262</v>
      </c>
      <c r="N77" s="447">
        <f t="shared" si="21"/>
        <v>3038.1805260991273</v>
      </c>
    </row>
    <row r="78" spans="1:14">
      <c r="B78" s="149" t="str">
        <f t="shared" si="19"/>
        <v>25-29</v>
      </c>
      <c r="C78" s="447">
        <f t="shared" ref="C78:C85" si="22">C44+(0.2*C43)-(0.2*C44)</f>
        <v>5725.6859999999997</v>
      </c>
      <c r="D78" s="447">
        <f t="shared" ref="D78:K78" si="23">D44+(0.2*D43)-(0.2*D44)</f>
        <v>5330.7319954654176</v>
      </c>
      <c r="E78" s="447">
        <f t="shared" si="23"/>
        <v>5101.8085801206007</v>
      </c>
      <c r="F78" s="447">
        <f t="shared" si="23"/>
        <v>4957.8216138847993</v>
      </c>
      <c r="G78" s="447">
        <f t="shared" si="23"/>
        <v>4906.7134544235232</v>
      </c>
      <c r="H78" s="447">
        <f t="shared" si="23"/>
        <v>4886.7498694926144</v>
      </c>
      <c r="I78" s="447">
        <f t="shared" si="23"/>
        <v>4878.6046909731367</v>
      </c>
      <c r="J78" s="447">
        <f t="shared" si="23"/>
        <v>4871.5318543410585</v>
      </c>
      <c r="K78" s="447">
        <f t="shared" si="23"/>
        <v>4891.2454083924767</v>
      </c>
      <c r="L78" s="447">
        <f t="shared" ref="L78:N85" si="24">L44+(0.2*L43)-(0.2*L44)</f>
        <v>4928.2229242940211</v>
      </c>
      <c r="M78" s="447">
        <f t="shared" si="24"/>
        <v>4966.0387777843025</v>
      </c>
      <c r="N78" s="447">
        <f t="shared" si="24"/>
        <v>4995.1175247305709</v>
      </c>
    </row>
    <row r="79" spans="1:14">
      <c r="B79" s="149" t="str">
        <f t="shared" si="19"/>
        <v>30-34</v>
      </c>
      <c r="C79" s="447">
        <f t="shared" si="22"/>
        <v>6277.76</v>
      </c>
      <c r="D79" s="447">
        <f t="shared" ref="D79:K85" si="25">D45+(0.2*D44)-(0.2*D45)</f>
        <v>6102.8537634658787</v>
      </c>
      <c r="E79" s="447">
        <f t="shared" si="25"/>
        <v>5899.5365527623017</v>
      </c>
      <c r="F79" s="447">
        <f t="shared" si="25"/>
        <v>5684.2460353266688</v>
      </c>
      <c r="G79" s="447">
        <f t="shared" si="25"/>
        <v>5517.7473751590187</v>
      </c>
      <c r="H79" s="447">
        <f t="shared" si="25"/>
        <v>5383.143180940413</v>
      </c>
      <c r="I79" s="447">
        <f t="shared" si="25"/>
        <v>5276.4327153564527</v>
      </c>
      <c r="J79" s="447">
        <f t="shared" si="25"/>
        <v>5191.6143258534757</v>
      </c>
      <c r="K79" s="447">
        <f t="shared" si="25"/>
        <v>5139.4388363112685</v>
      </c>
      <c r="L79" s="447">
        <f t="shared" si="24"/>
        <v>5113.7175857738193</v>
      </c>
      <c r="M79" s="447">
        <f t="shared" si="24"/>
        <v>5103.7351175205476</v>
      </c>
      <c r="N79" s="447">
        <f t="shared" si="24"/>
        <v>5101.1660522102957</v>
      </c>
    </row>
    <row r="80" spans="1:14">
      <c r="B80" s="149" t="str">
        <f t="shared" si="19"/>
        <v>35-39</v>
      </c>
      <c r="C80" s="447">
        <f t="shared" si="22"/>
        <v>5412.8719999999994</v>
      </c>
      <c r="D80" s="447">
        <f t="shared" si="25"/>
        <v>5500.4178827312908</v>
      </c>
      <c r="E80" s="447">
        <f t="shared" si="25"/>
        <v>5530.7666215733025</v>
      </c>
      <c r="F80" s="447">
        <f t="shared" si="25"/>
        <v>5495.2459883325791</v>
      </c>
      <c r="G80" s="447">
        <f t="shared" si="25"/>
        <v>5442.148864183815</v>
      </c>
      <c r="H80" s="447">
        <f t="shared" si="25"/>
        <v>5369.5917309131637</v>
      </c>
      <c r="I80" s="447">
        <f t="shared" si="25"/>
        <v>5287.8778727396493</v>
      </c>
      <c r="J80" s="447">
        <f t="shared" si="25"/>
        <v>5204.1258225636066</v>
      </c>
      <c r="K80" s="447">
        <f t="shared" si="25"/>
        <v>5134.4291452526086</v>
      </c>
      <c r="L80" s="447">
        <f t="shared" si="24"/>
        <v>5079.6073078097452</v>
      </c>
      <c r="M80" s="447">
        <f t="shared" si="24"/>
        <v>5035.9717000311539</v>
      </c>
      <c r="N80" s="447">
        <f t="shared" si="24"/>
        <v>5000.5237427410357</v>
      </c>
    </row>
    <row r="81" spans="1:14">
      <c r="B81" s="149" t="str">
        <f t="shared" si="19"/>
        <v>40-44</v>
      </c>
      <c r="C81" s="447">
        <f t="shared" si="22"/>
        <v>4753.3019999999997</v>
      </c>
      <c r="D81" s="447">
        <f t="shared" si="25"/>
        <v>4812.1061024368182</v>
      </c>
      <c r="E81" s="447">
        <f t="shared" si="25"/>
        <v>4868.8846881136978</v>
      </c>
      <c r="F81" s="447">
        <f t="shared" si="25"/>
        <v>4896.6898605613324</v>
      </c>
      <c r="G81" s="447">
        <f t="shared" si="25"/>
        <v>4921.8884322582981</v>
      </c>
      <c r="H81" s="447">
        <f t="shared" si="25"/>
        <v>4927.6974191234622</v>
      </c>
      <c r="I81" s="447">
        <f t="shared" si="25"/>
        <v>4915.1786555690105</v>
      </c>
      <c r="J81" s="447">
        <f t="shared" si="25"/>
        <v>4887.2319519196981</v>
      </c>
      <c r="K81" s="447">
        <f t="shared" si="25"/>
        <v>4858.2947619751185</v>
      </c>
      <c r="L81" s="447">
        <f t="shared" si="24"/>
        <v>4829.8995287978942</v>
      </c>
      <c r="M81" s="447">
        <f t="shared" si="24"/>
        <v>4800.3977041742492</v>
      </c>
      <c r="N81" s="447">
        <f t="shared" si="24"/>
        <v>4769.4453880984438</v>
      </c>
    </row>
    <row r="82" spans="1:14">
      <c r="B82" s="149" t="str">
        <f t="shared" si="19"/>
        <v>45-49</v>
      </c>
      <c r="C82" s="447">
        <f t="shared" si="22"/>
        <v>3930.3280000000004</v>
      </c>
      <c r="D82" s="447">
        <f t="shared" si="25"/>
        <v>3983.9352283296184</v>
      </c>
      <c r="E82" s="447">
        <f t="shared" si="25"/>
        <v>4033.2494887890471</v>
      </c>
      <c r="F82" s="447">
        <f t="shared" si="25"/>
        <v>4062.4854634795884</v>
      </c>
      <c r="G82" s="447">
        <f t="shared" si="25"/>
        <v>4098.6479683138723</v>
      </c>
      <c r="H82" s="447">
        <f t="shared" si="25"/>
        <v>4127.2486696818751</v>
      </c>
      <c r="I82" s="447">
        <f t="shared" si="25"/>
        <v>4146.3856772770632</v>
      </c>
      <c r="J82" s="447">
        <f t="shared" si="25"/>
        <v>4155.0485187405138</v>
      </c>
      <c r="K82" s="447">
        <f t="shared" si="25"/>
        <v>4161.7314776583326</v>
      </c>
      <c r="L82" s="447">
        <f t="shared" si="24"/>
        <v>4165.7479164409069</v>
      </c>
      <c r="M82" s="447">
        <f t="shared" si="24"/>
        <v>4164.5708439580667</v>
      </c>
      <c r="N82" s="447">
        <f t="shared" si="24"/>
        <v>4157.2858013890454</v>
      </c>
    </row>
    <row r="83" spans="1:14">
      <c r="B83" s="149" t="str">
        <f t="shared" si="19"/>
        <v>50-54</v>
      </c>
      <c r="C83" s="447">
        <f t="shared" si="22"/>
        <v>3033.9160000000002</v>
      </c>
      <c r="D83" s="447">
        <f t="shared" si="25"/>
        <v>3038.1664871718044</v>
      </c>
      <c r="E83" s="447">
        <f t="shared" si="25"/>
        <v>3052.1462628742484</v>
      </c>
      <c r="F83" s="447">
        <f t="shared" si="25"/>
        <v>3058.2919802689794</v>
      </c>
      <c r="G83" s="447">
        <f t="shared" si="25"/>
        <v>3075.2586621390828</v>
      </c>
      <c r="H83" s="447">
        <f t="shared" si="25"/>
        <v>3092.3478666079659</v>
      </c>
      <c r="I83" s="447">
        <f t="shared" si="25"/>
        <v>3107.8649722945311</v>
      </c>
      <c r="J83" s="447">
        <f t="shared" si="25"/>
        <v>3120.3805444724403</v>
      </c>
      <c r="K83" s="447">
        <f t="shared" si="25"/>
        <v>3134.5008955914777</v>
      </c>
      <c r="L83" s="447">
        <f t="shared" si="24"/>
        <v>3148.6996229158035</v>
      </c>
      <c r="M83" s="447">
        <f t="shared" si="24"/>
        <v>3160.2294139067362</v>
      </c>
      <c r="N83" s="447">
        <f t="shared" si="24"/>
        <v>3167.4988116953286</v>
      </c>
    </row>
    <row r="84" spans="1:14">
      <c r="B84" s="149" t="str">
        <f t="shared" si="19"/>
        <v>55-59</v>
      </c>
      <c r="C84" s="447">
        <f t="shared" si="22"/>
        <v>1764.2339999999999</v>
      </c>
      <c r="D84" s="447">
        <f t="shared" si="25"/>
        <v>1693.5650293403799</v>
      </c>
      <c r="E84" s="447">
        <f t="shared" si="25"/>
        <v>1651.7039088617885</v>
      </c>
      <c r="F84" s="447">
        <f t="shared" si="25"/>
        <v>1623.0669345520594</v>
      </c>
      <c r="G84" s="447">
        <f t="shared" si="25"/>
        <v>1610.7602540079517</v>
      </c>
      <c r="H84" s="447">
        <f t="shared" si="25"/>
        <v>1605.5420238769761</v>
      </c>
      <c r="I84" s="447">
        <f t="shared" si="25"/>
        <v>1604.3865435441764</v>
      </c>
      <c r="J84" s="447">
        <f t="shared" si="25"/>
        <v>1605.2648350488921</v>
      </c>
      <c r="K84" s="447">
        <f t="shared" si="25"/>
        <v>1610.2350765304295</v>
      </c>
      <c r="L84" s="447">
        <f t="shared" si="24"/>
        <v>1617.4987148663531</v>
      </c>
      <c r="M84" s="447">
        <f t="shared" si="24"/>
        <v>1624.781461550233</v>
      </c>
      <c r="N84" s="447">
        <f t="shared" si="24"/>
        <v>1630.7375366855824</v>
      </c>
    </row>
    <row r="85" spans="1:14">
      <c r="B85" s="149" t="str">
        <f t="shared" si="19"/>
        <v>60-64</v>
      </c>
      <c r="C85" s="447">
        <f t="shared" si="22"/>
        <v>754.14400000000001</v>
      </c>
      <c r="D85" s="447">
        <f t="shared" si="25"/>
        <v>701.79828375670922</v>
      </c>
      <c r="E85" s="447">
        <f t="shared" si="25"/>
        <v>663.78104466718582</v>
      </c>
      <c r="F85" s="447">
        <f t="shared" si="25"/>
        <v>635.62358153096056</v>
      </c>
      <c r="G85" s="447">
        <f t="shared" si="25"/>
        <v>618.59645098223154</v>
      </c>
      <c r="H85" s="447">
        <f t="shared" si="25"/>
        <v>607.63520170210404</v>
      </c>
      <c r="I85" s="447">
        <f t="shared" si="25"/>
        <v>600.72148119938038</v>
      </c>
      <c r="J85" s="447">
        <f t="shared" si="25"/>
        <v>596.41593754228222</v>
      </c>
      <c r="K85" s="447">
        <f t="shared" si="25"/>
        <v>595.52070601991511</v>
      </c>
      <c r="L85" s="447">
        <f t="shared" si="24"/>
        <v>596.74661377119264</v>
      </c>
      <c r="M85" s="447">
        <f t="shared" si="24"/>
        <v>598.68320697878244</v>
      </c>
      <c r="N85" s="447">
        <f t="shared" si="24"/>
        <v>600.53263956329818</v>
      </c>
    </row>
    <row r="86" spans="1:14">
      <c r="B86" s="149" t="str">
        <f t="shared" si="19"/>
        <v>65 plus</v>
      </c>
      <c r="C86" s="447">
        <f>C52+(0.2*C51)</f>
        <v>252.58600000000001</v>
      </c>
      <c r="D86" s="447">
        <f t="shared" ref="D86:N86" si="26">D52+(0.2*D51)</f>
        <v>280.76574803014927</v>
      </c>
      <c r="E86" s="447">
        <f t="shared" si="26"/>
        <v>292.11612079116105</v>
      </c>
      <c r="F86" s="447">
        <f t="shared" si="26"/>
        <v>293.33372046957089</v>
      </c>
      <c r="G86" s="447">
        <f t="shared" si="26"/>
        <v>291.28898765755349</v>
      </c>
      <c r="H86" s="447">
        <f t="shared" si="26"/>
        <v>287.61937949976277</v>
      </c>
      <c r="I86" s="447">
        <f t="shared" si="26"/>
        <v>283.63692726211519</v>
      </c>
      <c r="J86" s="447">
        <f t="shared" si="26"/>
        <v>279.94594590273937</v>
      </c>
      <c r="K86" s="447">
        <f t="shared" si="26"/>
        <v>277.47483644934283</v>
      </c>
      <c r="L86" s="447">
        <f t="shared" si="26"/>
        <v>276.13719924613099</v>
      </c>
      <c r="M86" s="447">
        <f t="shared" si="26"/>
        <v>275.52180138684957</v>
      </c>
      <c r="N86" s="447">
        <f t="shared" si="26"/>
        <v>275.28526040875454</v>
      </c>
    </row>
    <row r="87" spans="1:14">
      <c r="B87" s="149" t="str">
        <f t="shared" si="19"/>
        <v>Total</v>
      </c>
      <c r="C87" s="447">
        <f>SUM(C77:C86)</f>
        <v>33566.740000000005</v>
      </c>
      <c r="D87" s="447">
        <f t="shared" ref="D87:N87" si="27">SUM(D77:D86)</f>
        <v>33572.899111681261</v>
      </c>
      <c r="E87" s="447">
        <f t="shared" si="27"/>
        <v>33507.071097290551</v>
      </c>
      <c r="F87" s="447">
        <f t="shared" si="27"/>
        <v>33299.056641716561</v>
      </c>
      <c r="G87" s="447">
        <f t="shared" si="27"/>
        <v>33215.17408243414</v>
      </c>
      <c r="H87" s="447">
        <f t="shared" si="27"/>
        <v>33109.623241728856</v>
      </c>
      <c r="I87" s="447">
        <f t="shared" si="27"/>
        <v>32976.542178057651</v>
      </c>
      <c r="J87" s="447">
        <f t="shared" si="27"/>
        <v>32813.926364727631</v>
      </c>
      <c r="K87" s="447">
        <f t="shared" si="27"/>
        <v>32743.824091067207</v>
      </c>
      <c r="L87" s="447">
        <f t="shared" si="27"/>
        <v>32740.233052828171</v>
      </c>
      <c r="M87" s="447">
        <f t="shared" si="27"/>
        <v>32747.954663994744</v>
      </c>
      <c r="N87" s="447">
        <f t="shared" si="27"/>
        <v>32735.773283621482</v>
      </c>
    </row>
    <row r="88" spans="1:14">
      <c r="A88" s="10">
        <f>SUM(C88:N88)</f>
        <v>0</v>
      </c>
      <c r="C88" s="302">
        <f t="shared" ref="C88:N88" si="28">SUM(C77:C86)-C87</f>
        <v>0</v>
      </c>
      <c r="D88" s="302">
        <f t="shared" si="28"/>
        <v>0</v>
      </c>
      <c r="E88" s="302">
        <f t="shared" si="28"/>
        <v>0</v>
      </c>
      <c r="F88" s="302">
        <f t="shared" si="28"/>
        <v>0</v>
      </c>
      <c r="G88" s="302">
        <f t="shared" si="28"/>
        <v>0</v>
      </c>
      <c r="H88" s="302">
        <f t="shared" si="28"/>
        <v>0</v>
      </c>
      <c r="I88" s="302">
        <f t="shared" si="28"/>
        <v>0</v>
      </c>
      <c r="J88" s="302">
        <f t="shared" si="28"/>
        <v>0</v>
      </c>
      <c r="K88" s="302">
        <f t="shared" si="28"/>
        <v>0</v>
      </c>
      <c r="L88" s="302">
        <f t="shared" si="28"/>
        <v>0</v>
      </c>
      <c r="M88" s="302">
        <f t="shared" si="28"/>
        <v>0</v>
      </c>
      <c r="N88" s="302">
        <f t="shared" si="28"/>
        <v>0</v>
      </c>
    </row>
    <row r="89" spans="1:14">
      <c r="A89" s="10"/>
      <c r="C89" s="302"/>
      <c r="D89" s="302"/>
      <c r="E89" s="302"/>
      <c r="F89" s="302"/>
      <c r="G89" s="302"/>
      <c r="H89" s="302"/>
      <c r="I89" s="302"/>
      <c r="J89" s="302"/>
      <c r="K89" s="302"/>
      <c r="L89" s="302"/>
      <c r="M89" s="302"/>
      <c r="N89" s="302"/>
    </row>
    <row r="90" spans="1:14">
      <c r="B90" s="75" t="s">
        <v>47</v>
      </c>
      <c r="C90" s="302"/>
      <c r="D90" s="302"/>
      <c r="E90" s="302"/>
      <c r="F90" s="302"/>
      <c r="G90" s="302"/>
      <c r="H90" s="318"/>
      <c r="I90" s="302"/>
      <c r="J90" s="302"/>
      <c r="K90" s="302"/>
      <c r="L90" s="302"/>
      <c r="M90" s="302"/>
      <c r="N90" s="302"/>
    </row>
    <row r="91" spans="1:14">
      <c r="C91" s="302"/>
      <c r="D91" s="302"/>
      <c r="E91" s="302"/>
      <c r="F91" s="302"/>
      <c r="G91" s="302"/>
      <c r="H91" s="318"/>
      <c r="I91" s="302"/>
      <c r="J91" s="302"/>
      <c r="K91" s="302"/>
      <c r="L91" s="302"/>
      <c r="M91" s="302"/>
      <c r="N91" s="302"/>
    </row>
    <row r="92" spans="1:14">
      <c r="B92" s="149" t="str">
        <f t="shared" ref="B92:B103" si="29">B76</f>
        <v>Age group</v>
      </c>
      <c r="C92" s="331" t="str">
        <f t="shared" ref="C92:N92" si="30">C76</f>
        <v>2017/18</v>
      </c>
      <c r="D92" s="331" t="str">
        <f t="shared" si="30"/>
        <v>2018/19</v>
      </c>
      <c r="E92" s="331" t="str">
        <f t="shared" si="30"/>
        <v>2019/20</v>
      </c>
      <c r="F92" s="331" t="str">
        <f t="shared" si="30"/>
        <v>2020/21</v>
      </c>
      <c r="G92" s="331" t="str">
        <f t="shared" si="30"/>
        <v>2021/22</v>
      </c>
      <c r="H92" s="331" t="str">
        <f t="shared" si="30"/>
        <v>2022/23</v>
      </c>
      <c r="I92" s="331" t="str">
        <f t="shared" si="30"/>
        <v>2023/24</v>
      </c>
      <c r="J92" s="331" t="str">
        <f t="shared" si="30"/>
        <v>2024/25</v>
      </c>
      <c r="K92" s="331" t="str">
        <f t="shared" si="30"/>
        <v>2025/26</v>
      </c>
      <c r="L92" s="331" t="str">
        <f t="shared" si="30"/>
        <v>2026/27</v>
      </c>
      <c r="M92" s="331" t="str">
        <f t="shared" si="30"/>
        <v>2027/28</v>
      </c>
      <c r="N92" s="331" t="str">
        <f t="shared" si="30"/>
        <v>2028/29</v>
      </c>
    </row>
    <row r="93" spans="1:14">
      <c r="B93" s="149" t="str">
        <f t="shared" si="29"/>
        <v>20-24</v>
      </c>
      <c r="C93" s="447">
        <f>C59-(0.2*C59)</f>
        <v>12284.960000000001</v>
      </c>
      <c r="D93" s="447">
        <f t="shared" ref="D93:N93" si="31">D59-(0.2*D59)</f>
        <v>14844.331850184934</v>
      </c>
      <c r="E93" s="447">
        <f t="shared" si="31"/>
        <v>16377.373367969394</v>
      </c>
      <c r="F93" s="447">
        <f t="shared" si="31"/>
        <v>17386.655060147463</v>
      </c>
      <c r="G93" s="447">
        <f t="shared" si="31"/>
        <v>18154.321874028559</v>
      </c>
      <c r="H93" s="447">
        <f t="shared" si="31"/>
        <v>18655.405526239912</v>
      </c>
      <c r="I93" s="447">
        <f t="shared" si="31"/>
        <v>18955.663241982373</v>
      </c>
      <c r="J93" s="447">
        <f t="shared" si="31"/>
        <v>19106.148806544268</v>
      </c>
      <c r="K93" s="447">
        <f t="shared" si="31"/>
        <v>19336.401987783665</v>
      </c>
      <c r="L93" s="447">
        <f t="shared" si="31"/>
        <v>19600.610235408843</v>
      </c>
      <c r="M93" s="447">
        <f t="shared" si="31"/>
        <v>19814.679007775776</v>
      </c>
      <c r="N93" s="447">
        <f t="shared" si="31"/>
        <v>19945.33871961421</v>
      </c>
    </row>
    <row r="94" spans="1:14">
      <c r="B94" s="149" t="str">
        <f t="shared" si="29"/>
        <v>25-29</v>
      </c>
      <c r="C94" s="447">
        <f t="shared" ref="C94:C101" si="32">C60+(0.2*C59)-(0.2*C60)</f>
        <v>32630.863999999998</v>
      </c>
      <c r="D94" s="447">
        <f t="shared" ref="D94:J94" si="33">D60+(0.2*D59)-(0.2*D60)</f>
        <v>32014.10830863535</v>
      </c>
      <c r="E94" s="447">
        <f t="shared" si="33"/>
        <v>31704.74711166435</v>
      </c>
      <c r="F94" s="447">
        <f t="shared" si="33"/>
        <v>31638.19793554979</v>
      </c>
      <c r="G94" s="447">
        <f t="shared" si="33"/>
        <v>31797.897331106564</v>
      </c>
      <c r="H94" s="447">
        <f t="shared" si="33"/>
        <v>32000.861181897562</v>
      </c>
      <c r="I94" s="447">
        <f t="shared" si="33"/>
        <v>32177.642584381458</v>
      </c>
      <c r="J94" s="447">
        <f t="shared" si="33"/>
        <v>32293.666221072923</v>
      </c>
      <c r="K94" s="447">
        <f t="shared" ref="K94:N101" si="34">K60+(0.2*K59)-(0.2*K60)</f>
        <v>32528.763797695581</v>
      </c>
      <c r="L94" s="447">
        <f t="shared" si="34"/>
        <v>32840.804489277529</v>
      </c>
      <c r="M94" s="447">
        <f t="shared" si="34"/>
        <v>33139.082898591827</v>
      </c>
      <c r="N94" s="447">
        <f t="shared" si="34"/>
        <v>33370.272953586842</v>
      </c>
    </row>
    <row r="95" spans="1:14">
      <c r="B95" s="149" t="str">
        <f t="shared" si="29"/>
        <v>30-34</v>
      </c>
      <c r="C95" s="447">
        <f t="shared" si="32"/>
        <v>34256.898000000001</v>
      </c>
      <c r="D95" s="447">
        <f t="shared" ref="D95:J101" si="35">D61+(0.2*D60)-(0.2*D61)</f>
        <v>34337.063924273105</v>
      </c>
      <c r="E95" s="447">
        <f t="shared" si="35"/>
        <v>34103.22188505064</v>
      </c>
      <c r="F95" s="447">
        <f t="shared" si="35"/>
        <v>33788.550366632131</v>
      </c>
      <c r="G95" s="447">
        <f t="shared" si="35"/>
        <v>33542.348192007565</v>
      </c>
      <c r="H95" s="447">
        <f t="shared" si="35"/>
        <v>33364.072110346955</v>
      </c>
      <c r="I95" s="447">
        <f t="shared" si="35"/>
        <v>33238.070413825597</v>
      </c>
      <c r="J95" s="447">
        <f t="shared" si="35"/>
        <v>33142.441754580868</v>
      </c>
      <c r="K95" s="447">
        <f t="shared" si="34"/>
        <v>33160.385671405827</v>
      </c>
      <c r="L95" s="447">
        <f t="shared" si="34"/>
        <v>33270.215118318301</v>
      </c>
      <c r="M95" s="447">
        <f t="shared" si="34"/>
        <v>33420.43416474884</v>
      </c>
      <c r="N95" s="447">
        <f t="shared" si="34"/>
        <v>33571.759298322751</v>
      </c>
    </row>
    <row r="96" spans="1:14">
      <c r="B96" s="149" t="str">
        <f t="shared" si="29"/>
        <v>35-39</v>
      </c>
      <c r="C96" s="447">
        <f t="shared" si="32"/>
        <v>31588.339999999997</v>
      </c>
      <c r="D96" s="447">
        <f t="shared" si="35"/>
        <v>31850.415736871462</v>
      </c>
      <c r="E96" s="447">
        <f t="shared" si="35"/>
        <v>31928.864545807799</v>
      </c>
      <c r="F96" s="447">
        <f t="shared" si="35"/>
        <v>31873.044987923466</v>
      </c>
      <c r="G96" s="447">
        <f t="shared" si="35"/>
        <v>31764.028938498344</v>
      </c>
      <c r="H96" s="447">
        <f t="shared" si="35"/>
        <v>31619.915674956759</v>
      </c>
      <c r="I96" s="447">
        <f t="shared" si="35"/>
        <v>31458.776039889446</v>
      </c>
      <c r="J96" s="447">
        <f t="shared" si="35"/>
        <v>31292.506949697843</v>
      </c>
      <c r="K96" s="447">
        <f t="shared" si="34"/>
        <v>31199.746902313185</v>
      </c>
      <c r="L96" s="447">
        <f t="shared" si="34"/>
        <v>31172.825825532767</v>
      </c>
      <c r="M96" s="447">
        <f t="shared" si="34"/>
        <v>31182.520675007348</v>
      </c>
      <c r="N96" s="447">
        <f t="shared" si="34"/>
        <v>31208.321056865003</v>
      </c>
    </row>
    <row r="97" spans="1:14">
      <c r="B97" s="149" t="str">
        <f t="shared" si="29"/>
        <v>40-44</v>
      </c>
      <c r="C97" s="447">
        <f t="shared" si="32"/>
        <v>29232.274000000001</v>
      </c>
      <c r="D97" s="447">
        <f t="shared" si="35"/>
        <v>29595.346288565117</v>
      </c>
      <c r="E97" s="447">
        <f t="shared" si="35"/>
        <v>29794.072842581703</v>
      </c>
      <c r="F97" s="447">
        <f t="shared" si="35"/>
        <v>29892.664000374622</v>
      </c>
      <c r="G97" s="447">
        <f t="shared" si="35"/>
        <v>29947.302259888413</v>
      </c>
      <c r="H97" s="447">
        <f t="shared" si="35"/>
        <v>29950.105883502827</v>
      </c>
      <c r="I97" s="447">
        <f t="shared" si="35"/>
        <v>29904.784420142598</v>
      </c>
      <c r="J97" s="447">
        <f t="shared" si="35"/>
        <v>29818.766586027217</v>
      </c>
      <c r="K97" s="447">
        <f t="shared" si="34"/>
        <v>29767.877785703207</v>
      </c>
      <c r="L97" s="447">
        <f t="shared" si="34"/>
        <v>29748.221939129427</v>
      </c>
      <c r="M97" s="447">
        <f t="shared" si="34"/>
        <v>29737.414536567128</v>
      </c>
      <c r="N97" s="447">
        <f t="shared" si="34"/>
        <v>29723.110598766452</v>
      </c>
    </row>
    <row r="98" spans="1:14">
      <c r="B98" s="149" t="str">
        <f t="shared" si="29"/>
        <v>45-49</v>
      </c>
      <c r="C98" s="447">
        <f t="shared" si="32"/>
        <v>25423.401999999998</v>
      </c>
      <c r="D98" s="447">
        <f t="shared" si="35"/>
        <v>25821.847054041387</v>
      </c>
      <c r="E98" s="447">
        <f t="shared" si="35"/>
        <v>26087.656277969112</v>
      </c>
      <c r="F98" s="447">
        <f t="shared" si="35"/>
        <v>26265.812428574449</v>
      </c>
      <c r="G98" s="447">
        <f t="shared" si="35"/>
        <v>26405.020813502641</v>
      </c>
      <c r="H98" s="447">
        <f t="shared" si="35"/>
        <v>26503.512530872682</v>
      </c>
      <c r="I98" s="447">
        <f t="shared" si="35"/>
        <v>26559.844197463201</v>
      </c>
      <c r="J98" s="447">
        <f t="shared" si="35"/>
        <v>26574.723183128735</v>
      </c>
      <c r="K98" s="447">
        <f t="shared" si="34"/>
        <v>26603.915856591568</v>
      </c>
      <c r="L98" s="447">
        <f t="shared" si="34"/>
        <v>26643.613839237001</v>
      </c>
      <c r="M98" s="447">
        <f t="shared" si="34"/>
        <v>26675.993514920363</v>
      </c>
      <c r="N98" s="447">
        <f t="shared" si="34"/>
        <v>26691.383564555174</v>
      </c>
    </row>
    <row r="99" spans="1:14">
      <c r="B99" s="149" t="str">
        <f t="shared" si="29"/>
        <v>50-54</v>
      </c>
      <c r="C99" s="447">
        <f t="shared" si="32"/>
        <v>20784.22</v>
      </c>
      <c r="D99" s="447">
        <f t="shared" si="35"/>
        <v>20720.16969829407</v>
      </c>
      <c r="E99" s="447">
        <f t="shared" si="35"/>
        <v>20682.019474305464</v>
      </c>
      <c r="F99" s="447">
        <f t="shared" si="35"/>
        <v>20660.150928404353</v>
      </c>
      <c r="G99" s="447">
        <f t="shared" si="35"/>
        <v>20665.026629555141</v>
      </c>
      <c r="H99" s="447">
        <f t="shared" si="35"/>
        <v>20684.826177641487</v>
      </c>
      <c r="I99" s="447">
        <f t="shared" si="35"/>
        <v>20706.04291250592</v>
      </c>
      <c r="J99" s="447">
        <f t="shared" si="35"/>
        <v>20719.469994900486</v>
      </c>
      <c r="K99" s="447">
        <f t="shared" si="34"/>
        <v>20754.596921480239</v>
      </c>
      <c r="L99" s="447">
        <f t="shared" si="34"/>
        <v>20803.542182455847</v>
      </c>
      <c r="M99" s="447">
        <f t="shared" si="34"/>
        <v>20850.421546500176</v>
      </c>
      <c r="N99" s="447">
        <f t="shared" si="34"/>
        <v>20885.639298855367</v>
      </c>
    </row>
    <row r="100" spans="1:14">
      <c r="B100" s="149" t="str">
        <f t="shared" si="29"/>
        <v>55-59</v>
      </c>
      <c r="C100" s="447">
        <f t="shared" si="32"/>
        <v>13806.988000000001</v>
      </c>
      <c r="D100" s="447">
        <f t="shared" si="35"/>
        <v>13056.190518906133</v>
      </c>
      <c r="E100" s="447">
        <f t="shared" si="35"/>
        <v>12535.521345908646</v>
      </c>
      <c r="F100" s="447">
        <f t="shared" si="35"/>
        <v>12179.69268097983</v>
      </c>
      <c r="G100" s="447">
        <f t="shared" si="35"/>
        <v>11948.683444014714</v>
      </c>
      <c r="H100" s="447">
        <f t="shared" si="35"/>
        <v>11799.580354220059</v>
      </c>
      <c r="I100" s="447">
        <f t="shared" si="35"/>
        <v>11703.25102896357</v>
      </c>
      <c r="J100" s="447">
        <f t="shared" si="35"/>
        <v>11639.511909812816</v>
      </c>
      <c r="K100" s="447">
        <f t="shared" si="34"/>
        <v>11615.897113627683</v>
      </c>
      <c r="L100" s="447">
        <f t="shared" si="34"/>
        <v>11618.609064992357</v>
      </c>
      <c r="M100" s="447">
        <f t="shared" si="34"/>
        <v>11631.828248595226</v>
      </c>
      <c r="N100" s="447">
        <f t="shared" si="34"/>
        <v>11645.884956297657</v>
      </c>
    </row>
    <row r="101" spans="1:14">
      <c r="B101" s="149" t="str">
        <f t="shared" si="29"/>
        <v>60-64</v>
      </c>
      <c r="C101" s="447">
        <f t="shared" si="32"/>
        <v>6179.4260000000004</v>
      </c>
      <c r="D101" s="447">
        <f t="shared" si="35"/>
        <v>5743.7754589703991</v>
      </c>
      <c r="E101" s="447">
        <f t="shared" si="35"/>
        <v>5379.0176047651921</v>
      </c>
      <c r="F101" s="447">
        <f t="shared" si="35"/>
        <v>5097.4540080439101</v>
      </c>
      <c r="G101" s="447">
        <f t="shared" si="35"/>
        <v>4894.5275324205495</v>
      </c>
      <c r="H101" s="447">
        <f t="shared" si="35"/>
        <v>4749.7413620227508</v>
      </c>
      <c r="I101" s="447">
        <f t="shared" si="35"/>
        <v>4647.4907096095303</v>
      </c>
      <c r="J101" s="447">
        <f t="shared" si="35"/>
        <v>4575.3193759416808</v>
      </c>
      <c r="K101" s="447">
        <f t="shared" si="34"/>
        <v>4534.9539836473414</v>
      </c>
      <c r="L101" s="447">
        <f t="shared" si="34"/>
        <v>4516.0627256583357</v>
      </c>
      <c r="M101" s="447">
        <f t="shared" si="34"/>
        <v>4508.0851693267923</v>
      </c>
      <c r="N101" s="447">
        <f t="shared" si="34"/>
        <v>4504.6410741667132</v>
      </c>
    </row>
    <row r="102" spans="1:14">
      <c r="B102" s="149" t="str">
        <f t="shared" si="29"/>
        <v>65 plus</v>
      </c>
      <c r="C102" s="447">
        <f>C68+(0.2*C67)</f>
        <v>1753.598</v>
      </c>
      <c r="D102" s="447">
        <f t="shared" ref="D102:N102" si="36">D68+(0.2*D67)</f>
        <v>2049.1730974177781</v>
      </c>
      <c r="E102" s="447">
        <f t="shared" si="36"/>
        <v>2170.1887018670232</v>
      </c>
      <c r="F102" s="447">
        <f t="shared" si="36"/>
        <v>2193.5428882159445</v>
      </c>
      <c r="G102" s="447">
        <f t="shared" si="36"/>
        <v>2170.1965447697867</v>
      </c>
      <c r="H102" s="447">
        <f t="shared" si="36"/>
        <v>2127.9759895100478</v>
      </c>
      <c r="I102" s="447">
        <f t="shared" si="36"/>
        <v>2081.283859589887</v>
      </c>
      <c r="J102" s="447">
        <f t="shared" si="36"/>
        <v>2037.2006756245937</v>
      </c>
      <c r="K102" s="447">
        <f t="shared" si="36"/>
        <v>2003.0095066210267</v>
      </c>
      <c r="L102" s="447">
        <f t="shared" si="36"/>
        <v>1978.6213356991984</v>
      </c>
      <c r="M102" s="447">
        <f t="shared" si="36"/>
        <v>1961.4472064360934</v>
      </c>
      <c r="N102" s="447">
        <f t="shared" si="36"/>
        <v>1949.1160305303413</v>
      </c>
    </row>
    <row r="103" spans="1:14">
      <c r="B103" s="149" t="str">
        <f t="shared" si="29"/>
        <v>Total</v>
      </c>
      <c r="C103" s="447">
        <f>SUM(C93:C102)</f>
        <v>207940.97000000003</v>
      </c>
      <c r="D103" s="447">
        <f t="shared" ref="D103:N103" si="37">SUM(D93:D102)</f>
        <v>210032.42193615975</v>
      </c>
      <c r="E103" s="447">
        <f t="shared" si="37"/>
        <v>210762.68315788929</v>
      </c>
      <c r="F103" s="447">
        <f t="shared" si="37"/>
        <v>210975.76528484595</v>
      </c>
      <c r="G103" s="447">
        <f t="shared" si="37"/>
        <v>211289.35355979225</v>
      </c>
      <c r="H103" s="447">
        <f t="shared" si="37"/>
        <v>211455.99679121104</v>
      </c>
      <c r="I103" s="447">
        <f t="shared" si="37"/>
        <v>211432.84940835359</v>
      </c>
      <c r="J103" s="447">
        <f t="shared" si="37"/>
        <v>211199.75545733143</v>
      </c>
      <c r="K103" s="447">
        <f t="shared" si="37"/>
        <v>211505.54952686932</v>
      </c>
      <c r="L103" s="447">
        <f t="shared" si="37"/>
        <v>212193.12675570959</v>
      </c>
      <c r="M103" s="447">
        <f t="shared" si="37"/>
        <v>212921.90696846959</v>
      </c>
      <c r="N103" s="447">
        <f t="shared" si="37"/>
        <v>213495.46755156052</v>
      </c>
    </row>
    <row r="104" spans="1:14">
      <c r="A104" s="10">
        <f>SUM(C104:N104)</f>
        <v>0</v>
      </c>
      <c r="C104" s="10">
        <f t="shared" ref="C104:N104" si="38">SUM(C93:C102)-C103</f>
        <v>0</v>
      </c>
      <c r="D104" s="10">
        <f t="shared" si="38"/>
        <v>0</v>
      </c>
      <c r="E104" s="10">
        <f t="shared" si="38"/>
        <v>0</v>
      </c>
      <c r="F104" s="10">
        <f t="shared" si="38"/>
        <v>0</v>
      </c>
      <c r="G104" s="10">
        <f t="shared" si="38"/>
        <v>0</v>
      </c>
      <c r="H104" s="10">
        <f t="shared" si="38"/>
        <v>0</v>
      </c>
      <c r="I104" s="10">
        <f t="shared" si="38"/>
        <v>0</v>
      </c>
      <c r="J104" s="10">
        <f t="shared" si="38"/>
        <v>0</v>
      </c>
      <c r="K104" s="10">
        <f t="shared" si="38"/>
        <v>0</v>
      </c>
      <c r="L104" s="10">
        <f t="shared" si="38"/>
        <v>0</v>
      </c>
      <c r="M104" s="10">
        <f t="shared" si="38"/>
        <v>0</v>
      </c>
      <c r="N104" s="10">
        <f t="shared" si="38"/>
        <v>0</v>
      </c>
    </row>
    <row r="105" spans="1:14">
      <c r="A105" s="10"/>
      <c r="C105" s="10"/>
      <c r="D105" s="10"/>
      <c r="E105" s="10"/>
      <c r="F105" s="10"/>
      <c r="G105" s="10"/>
      <c r="H105" s="10"/>
      <c r="I105" s="10"/>
      <c r="J105" s="10"/>
      <c r="K105" s="10"/>
      <c r="L105" s="10"/>
      <c r="M105" s="10"/>
      <c r="N105" s="10"/>
    </row>
    <row r="106" spans="1:14" ht="15.75">
      <c r="B106" s="77" t="s">
        <v>164</v>
      </c>
      <c r="H106" s="12"/>
    </row>
    <row r="107" spans="1:14">
      <c r="H107" s="12"/>
    </row>
    <row r="108" spans="1:14">
      <c r="B108" s="75" t="s">
        <v>46</v>
      </c>
      <c r="H108" s="12"/>
    </row>
    <row r="109" spans="1:14">
      <c r="H109" s="12"/>
    </row>
    <row r="110" spans="1:14">
      <c r="B110" s="149" t="str">
        <f t="shared" ref="B110:B121" si="39">B76</f>
        <v>Age group</v>
      </c>
      <c r="C110" s="149" t="str">
        <f t="shared" ref="C110:N110" si="40">C76</f>
        <v>2017/18</v>
      </c>
      <c r="D110" s="149" t="str">
        <f t="shared" si="40"/>
        <v>2018/19</v>
      </c>
      <c r="E110" s="149" t="str">
        <f t="shared" si="40"/>
        <v>2019/20</v>
      </c>
      <c r="F110" s="149" t="str">
        <f t="shared" si="40"/>
        <v>2020/21</v>
      </c>
      <c r="G110" s="149" t="str">
        <f t="shared" si="40"/>
        <v>2021/22</v>
      </c>
      <c r="H110" s="149" t="str">
        <f t="shared" si="40"/>
        <v>2022/23</v>
      </c>
      <c r="I110" s="149" t="str">
        <f t="shared" si="40"/>
        <v>2023/24</v>
      </c>
      <c r="J110" s="149" t="str">
        <f t="shared" si="40"/>
        <v>2024/25</v>
      </c>
      <c r="K110" s="149" t="str">
        <f t="shared" si="40"/>
        <v>2025/26</v>
      </c>
      <c r="L110" s="149" t="str">
        <f t="shared" si="40"/>
        <v>2026/27</v>
      </c>
      <c r="M110" s="149" t="str">
        <f t="shared" si="40"/>
        <v>2027/28</v>
      </c>
      <c r="N110" s="149" t="str">
        <f t="shared" si="40"/>
        <v>2028/29</v>
      </c>
    </row>
    <row r="111" spans="1:14">
      <c r="B111" s="149" t="str">
        <f t="shared" si="39"/>
        <v>20-24</v>
      </c>
      <c r="C111" s="447">
        <f>C77*Projected_PRIM_wastage_rates!E55</f>
        <v>211.16640022313754</v>
      </c>
      <c r="D111" s="447">
        <f>D77*Projected_PRIM_wastage_rates!F55</f>
        <v>260.73535609904434</v>
      </c>
      <c r="E111" s="447">
        <f>E77*Projected_PRIM_wastage_rates!G55</f>
        <v>306.67974824182733</v>
      </c>
      <c r="F111" s="447">
        <f>F77*Projected_PRIM_wastage_rates!H55</f>
        <v>323.26475794054153</v>
      </c>
      <c r="G111" s="447">
        <f>G77*Projected_PRIM_wastage_rates!I55</f>
        <v>340.70741110025307</v>
      </c>
      <c r="H111" s="447">
        <f>H77*Projected_PRIM_wastage_rates!J55</f>
        <v>351.92134874517683</v>
      </c>
      <c r="I111" s="447">
        <f>I77*Projected_PRIM_wastage_rates!K55</f>
        <v>358.58114669464862</v>
      </c>
      <c r="J111" s="447">
        <f>J77*Projected_PRIM_wastage_rates!L55</f>
        <v>361.93743502335923</v>
      </c>
      <c r="K111" s="447">
        <f>K77*Projected_PRIM_wastage_rates!M55</f>
        <v>366.74931269042565</v>
      </c>
      <c r="L111" s="447">
        <f>L77*Projected_PRIM_wastage_rates!N55</f>
        <v>372.11193087209239</v>
      </c>
      <c r="M111" s="447">
        <f>M77*Projected_PRIM_wastage_rates!O55</f>
        <v>376.36047947172921</v>
      </c>
      <c r="N111" s="447">
        <f>N77*Projected_PRIM_wastage_rates!P55</f>
        <v>378.87400441275804</v>
      </c>
    </row>
    <row r="112" spans="1:14">
      <c r="B112" s="149" t="str">
        <f t="shared" si="39"/>
        <v>25-29</v>
      </c>
      <c r="C112" s="447">
        <f>C78*Projected_PRIM_wastage_rates!E56</f>
        <v>652.51714677313691</v>
      </c>
      <c r="D112" s="447">
        <f>D78*Projected_PRIM_wastage_rates!F56</f>
        <v>585.66433005795318</v>
      </c>
      <c r="E112" s="447">
        <f>E78*Projected_PRIM_wastage_rates!G56</f>
        <v>581.54796030414957</v>
      </c>
      <c r="F112" s="447">
        <f>F78*Projected_PRIM_wastage_rates!H56</f>
        <v>554.5232210392312</v>
      </c>
      <c r="G112" s="447">
        <f>G78*Projected_PRIM_wastage_rates!I56</f>
        <v>548.80686748458072</v>
      </c>
      <c r="H112" s="447">
        <f>H78*Projected_PRIM_wastage_rates!J56</f>
        <v>546.57397725949181</v>
      </c>
      <c r="I112" s="447">
        <f>I78*Projected_PRIM_wastage_rates!K56</f>
        <v>545.66295403592301</v>
      </c>
      <c r="J112" s="447">
        <f>J78*Projected_PRIM_wastage_rates!L56</f>
        <v>544.8718702784679</v>
      </c>
      <c r="K112" s="447">
        <f>K78*Projected_PRIM_wastage_rates!M56</f>
        <v>547.07679500994846</v>
      </c>
      <c r="L112" s="447">
        <f>L78*Projected_PRIM_wastage_rates!N56</f>
        <v>551.21266209446162</v>
      </c>
      <c r="M112" s="447">
        <f>M78*Projected_PRIM_wastage_rates!O56</f>
        <v>555.44229569504353</v>
      </c>
      <c r="N112" s="447">
        <f>N78*Projected_PRIM_wastage_rates!P56</f>
        <v>558.69470001214734</v>
      </c>
    </row>
    <row r="113" spans="1:14">
      <c r="B113" s="149" t="str">
        <f t="shared" si="39"/>
        <v>30-34</v>
      </c>
      <c r="C113" s="447">
        <f>C79*Projected_PRIM_wastage_rates!E57</f>
        <v>579.03544423841254</v>
      </c>
      <c r="D113" s="447">
        <f>D79*Projected_PRIM_wastage_rates!F57</f>
        <v>542.66389543265313</v>
      </c>
      <c r="E113" s="447">
        <f>E79*Projected_PRIM_wastage_rates!G57</f>
        <v>544.27114754572438</v>
      </c>
      <c r="F113" s="447">
        <f>F79*Projected_PRIM_wastage_rates!H57</f>
        <v>514.56204351963459</v>
      </c>
      <c r="G113" s="447">
        <f>G79*Projected_PRIM_wastage_rates!I57</f>
        <v>499.48987910474159</v>
      </c>
      <c r="H113" s="447">
        <f>H79*Projected_PRIM_wastage_rates!J57</f>
        <v>487.30493693070724</v>
      </c>
      <c r="I113" s="447">
        <f>I79*Projected_PRIM_wastage_rates!K57</f>
        <v>477.64505329890056</v>
      </c>
      <c r="J113" s="447">
        <f>J79*Projected_PRIM_wastage_rates!L57</f>
        <v>469.96693318244996</v>
      </c>
      <c r="K113" s="447">
        <f>K79*Projected_PRIM_wastage_rates!M57</f>
        <v>465.24378672580076</v>
      </c>
      <c r="L113" s="447">
        <f>L79*Projected_PRIM_wastage_rates!N57</f>
        <v>462.91539010887465</v>
      </c>
      <c r="M113" s="447">
        <f>M79*Projected_PRIM_wastage_rates!O57</f>
        <v>462.01173477237967</v>
      </c>
      <c r="N113" s="447">
        <f>N79*Projected_PRIM_wastage_rates!P57</f>
        <v>461.77917209163661</v>
      </c>
    </row>
    <row r="114" spans="1:14">
      <c r="B114" s="149" t="str">
        <f t="shared" si="39"/>
        <v>35-39</v>
      </c>
      <c r="C114" s="447">
        <f>C80*Projected_PRIM_wastage_rates!E58</f>
        <v>422.58954808111662</v>
      </c>
      <c r="D114" s="447">
        <f>D80*Projected_PRIM_wastage_rates!F58</f>
        <v>413.98461695137115</v>
      </c>
      <c r="E114" s="447">
        <f>E80*Projected_PRIM_wastage_rates!G58</f>
        <v>431.89015383485315</v>
      </c>
      <c r="F114" s="447">
        <f>F80*Projected_PRIM_wastage_rates!H58</f>
        <v>421.0586286327636</v>
      </c>
      <c r="G114" s="447">
        <f>G80*Projected_PRIM_wastage_rates!I58</f>
        <v>416.99020251937571</v>
      </c>
      <c r="H114" s="447">
        <f>H80*Projected_PRIM_wastage_rates!J58</f>
        <v>411.43070489227586</v>
      </c>
      <c r="I114" s="447">
        <f>I80*Projected_PRIM_wastage_rates!K58</f>
        <v>405.16959753950528</v>
      </c>
      <c r="J114" s="447">
        <f>J80*Projected_PRIM_wastage_rates!L58</f>
        <v>398.75231913792322</v>
      </c>
      <c r="K114" s="447">
        <f>K80*Projected_PRIM_wastage_rates!M58</f>
        <v>393.41199635143892</v>
      </c>
      <c r="L114" s="447">
        <f>L80*Projected_PRIM_wastage_rates!N58</f>
        <v>389.21141866268204</v>
      </c>
      <c r="M114" s="447">
        <f>M80*Projected_PRIM_wastage_rates!O58</f>
        <v>385.86795611162967</v>
      </c>
      <c r="N114" s="447">
        <f>N80*Projected_PRIM_wastage_rates!P58</f>
        <v>383.15185053308051</v>
      </c>
    </row>
    <row r="115" spans="1:14">
      <c r="B115" s="149" t="str">
        <f t="shared" si="39"/>
        <v>40-44</v>
      </c>
      <c r="C115" s="447">
        <f>C81*Projected_PRIM_wastage_rates!E59</f>
        <v>410.65146190317256</v>
      </c>
      <c r="D115" s="447">
        <f>D81*Projected_PRIM_wastage_rates!F59</f>
        <v>400.7842848007636</v>
      </c>
      <c r="E115" s="447">
        <f>E81*Projected_PRIM_wastage_rates!G59</f>
        <v>420.73092020999093</v>
      </c>
      <c r="F115" s="447">
        <f>F81*Projected_PRIM_wastage_rates!H59</f>
        <v>415.18820103137102</v>
      </c>
      <c r="G115" s="447">
        <f>G81*Projected_PRIM_wastage_rates!I59</f>
        <v>417.32477695293124</v>
      </c>
      <c r="H115" s="447">
        <f>H81*Projected_PRIM_wastage_rates!J59</f>
        <v>417.81731841972646</v>
      </c>
      <c r="I115" s="447">
        <f>I81*Projected_PRIM_wastage_rates!K59</f>
        <v>416.75585790919416</v>
      </c>
      <c r="J115" s="447">
        <f>J81*Projected_PRIM_wastage_rates!L59</f>
        <v>414.38626907605845</v>
      </c>
      <c r="K115" s="447">
        <f>K81*Projected_PRIM_wastage_rates!M59</f>
        <v>411.93269734125073</v>
      </c>
      <c r="L115" s="447">
        <f>L81*Projected_PRIM_wastage_rates!N59</f>
        <v>409.5250778847539</v>
      </c>
      <c r="M115" s="447">
        <f>M81*Projected_PRIM_wastage_rates!O59</f>
        <v>407.02363102137627</v>
      </c>
      <c r="N115" s="447">
        <f>N81*Projected_PRIM_wastage_rates!P59</f>
        <v>404.39919761938114</v>
      </c>
    </row>
    <row r="116" spans="1:14">
      <c r="B116" s="149" t="str">
        <f t="shared" si="39"/>
        <v>45-49</v>
      </c>
      <c r="C116" s="447">
        <f>C82*Projected_PRIM_wastage_rates!E60</f>
        <v>360.08289658887185</v>
      </c>
      <c r="D116" s="447">
        <f>D82*Projected_PRIM_wastage_rates!F60</f>
        <v>351.87101303747738</v>
      </c>
      <c r="E116" s="447">
        <f>E82*Projected_PRIM_wastage_rates!G60</f>
        <v>369.59472270702395</v>
      </c>
      <c r="F116" s="447">
        <f>F82*Projected_PRIM_wastage_rates!H60</f>
        <v>365.2834179147996</v>
      </c>
      <c r="G116" s="447">
        <f>G82*Projected_PRIM_wastage_rates!I60</f>
        <v>368.53501437833836</v>
      </c>
      <c r="H116" s="447">
        <f>H82*Projected_PRIM_wastage_rates!J60</f>
        <v>371.10668190659976</v>
      </c>
      <c r="I116" s="447">
        <f>I82*Projected_PRIM_wastage_rates!K60</f>
        <v>372.82740967433546</v>
      </c>
      <c r="J116" s="447">
        <f>J82*Projected_PRIM_wastage_rates!L60</f>
        <v>373.60633980641103</v>
      </c>
      <c r="K116" s="447">
        <f>K82*Projected_PRIM_wastage_rates!M60</f>
        <v>374.20724634434953</v>
      </c>
      <c r="L116" s="447">
        <f>L82*Projected_PRIM_wastage_rates!N60</f>
        <v>374.56838941785304</v>
      </c>
      <c r="M116" s="447">
        <f>M82*Projected_PRIM_wastage_rates!O60</f>
        <v>374.46255148599317</v>
      </c>
      <c r="N116" s="447">
        <f>N82*Projected_PRIM_wastage_rates!P60</f>
        <v>373.80750784997542</v>
      </c>
    </row>
    <row r="117" spans="1:14">
      <c r="B117" s="149" t="str">
        <f t="shared" si="39"/>
        <v>50-54</v>
      </c>
      <c r="C117" s="447">
        <f>C83*Projected_PRIM_wastage_rates!E61</f>
        <v>270.89282177298531</v>
      </c>
      <c r="D117" s="447">
        <f>D83*Projected_PRIM_wastage_rates!F61</f>
        <v>261.51887411353982</v>
      </c>
      <c r="E117" s="447">
        <f>E83*Projected_PRIM_wastage_rates!G61</f>
        <v>272.58142799129882</v>
      </c>
      <c r="F117" s="447">
        <f>F83*Projected_PRIM_wastage_rates!H61</f>
        <v>268.00156511009715</v>
      </c>
      <c r="G117" s="447">
        <f>G83*Projected_PRIM_wastage_rates!I61</f>
        <v>269.48837452046382</v>
      </c>
      <c r="H117" s="447">
        <f>H83*Projected_PRIM_wastage_rates!J61</f>
        <v>270.98592072393137</v>
      </c>
      <c r="I117" s="447">
        <f>I83*Projected_PRIM_wastage_rates!K61</f>
        <v>272.34570214336685</v>
      </c>
      <c r="J117" s="447">
        <f>J83*Projected_PRIM_wastage_rates!L61</f>
        <v>273.44245580638142</v>
      </c>
      <c r="K117" s="447">
        <f>K83*Projected_PRIM_wastage_rates!M61</f>
        <v>274.67983805249162</v>
      </c>
      <c r="L117" s="447">
        <f>L83*Projected_PRIM_wastage_rates!N61</f>
        <v>275.92408849360095</v>
      </c>
      <c r="M117" s="447">
        <f>M83*Projected_PRIM_wastage_rates!O61</f>
        <v>276.93445704274467</v>
      </c>
      <c r="N117" s="447">
        <f>N83*Projected_PRIM_wastage_rates!P61</f>
        <v>277.57148254499231</v>
      </c>
    </row>
    <row r="118" spans="1:14">
      <c r="B118" s="149" t="str">
        <f t="shared" si="39"/>
        <v>55-59</v>
      </c>
      <c r="C118" s="447">
        <f>C84*Projected_PRIM_wastage_rates!E62</f>
        <v>106.89360543503535</v>
      </c>
      <c r="D118" s="447">
        <f>D84*Projected_PRIM_wastage_rates!F62</f>
        <v>98.922467267648955</v>
      </c>
      <c r="E118" s="447">
        <f>E84*Projected_PRIM_wastage_rates!G62</f>
        <v>100.09784108281248</v>
      </c>
      <c r="F118" s="447">
        <f>F84*Projected_PRIM_wastage_rates!H62</f>
        <v>96.515354060900876</v>
      </c>
      <c r="G118" s="447">
        <f>G84*Projected_PRIM_wastage_rates!I62</f>
        <v>95.783539737817065</v>
      </c>
      <c r="H118" s="447">
        <f>H84*Projected_PRIM_wastage_rates!J62</f>
        <v>95.473238715757631</v>
      </c>
      <c r="I118" s="447">
        <f>I84*Projected_PRIM_wastage_rates!K62</f>
        <v>95.404528306435324</v>
      </c>
      <c r="J118" s="447">
        <f>J84*Projected_PRIM_wastage_rates!L62</f>
        <v>95.456755736950811</v>
      </c>
      <c r="K118" s="447">
        <f>K84*Projected_PRIM_wastage_rates!M62</f>
        <v>95.752310163047952</v>
      </c>
      <c r="L118" s="447">
        <f>L84*Projected_PRIM_wastage_rates!N62</f>
        <v>96.184240979231745</v>
      </c>
      <c r="M118" s="447">
        <f>M84*Projected_PRIM_wastage_rates!O62</f>
        <v>96.617308069545246</v>
      </c>
      <c r="N118" s="447">
        <f>N84*Projected_PRIM_wastage_rates!P62</f>
        <v>96.971484898771465</v>
      </c>
    </row>
    <row r="119" spans="1:14">
      <c r="B119" s="149" t="str">
        <f t="shared" si="39"/>
        <v>60-64</v>
      </c>
      <c r="C119" s="447">
        <f>C85*Projected_PRIM_wastage_rates!E63</f>
        <v>45.042010346202943</v>
      </c>
      <c r="D119" s="447">
        <f>D85*Projected_PRIM_wastage_rates!F63</f>
        <v>40.408554203065918</v>
      </c>
      <c r="E119" s="447">
        <f>E85*Projected_PRIM_wastage_rates!G63</f>
        <v>39.653845304538486</v>
      </c>
      <c r="F119" s="447">
        <f>F85*Projected_PRIM_wastage_rates!H63</f>
        <v>37.258719631378113</v>
      </c>
      <c r="G119" s="447">
        <f>G85*Projected_PRIM_wastage_rates!I63</f>
        <v>36.260630350747689</v>
      </c>
      <c r="H119" s="447">
        <f>H85*Projected_PRIM_wastage_rates!J63</f>
        <v>35.61810838396628</v>
      </c>
      <c r="I119" s="447">
        <f>I85*Projected_PRIM_wastage_rates!K63</f>
        <v>35.212842781327303</v>
      </c>
      <c r="J119" s="447">
        <f>J85*Projected_PRIM_wastage_rates!L63</f>
        <v>34.960462207916081</v>
      </c>
      <c r="K119" s="447">
        <f>K85*Projected_PRIM_wastage_rates!M63</f>
        <v>34.907985897618232</v>
      </c>
      <c r="L119" s="447">
        <f>L85*Projected_PRIM_wastage_rates!N63</f>
        <v>34.979845650034541</v>
      </c>
      <c r="M119" s="447">
        <f>M85*Projected_PRIM_wastage_rates!O63</f>
        <v>35.093364067944442</v>
      </c>
      <c r="N119" s="447">
        <f>N85*Projected_PRIM_wastage_rates!P63</f>
        <v>35.201773340579727</v>
      </c>
    </row>
    <row r="120" spans="1:14">
      <c r="B120" s="149" t="str">
        <f t="shared" si="39"/>
        <v>65 plus</v>
      </c>
      <c r="C120" s="447">
        <f>C86*Projected_PRIM_wastage_rates!E64</f>
        <v>17.194531690681679</v>
      </c>
      <c r="D120" s="447">
        <f>D86*Projected_PRIM_wastage_rates!F64</f>
        <v>18.425646111434236</v>
      </c>
      <c r="E120" s="447">
        <f>E86*Projected_PRIM_wastage_rates!G64</f>
        <v>19.889944765382058</v>
      </c>
      <c r="F120" s="447">
        <f>F86*Projected_PRIM_wastage_rates!H64</f>
        <v>19.597808369554812</v>
      </c>
      <c r="G120" s="447">
        <f>G86*Projected_PRIM_wastage_rates!I64</f>
        <v>19.461198498201771</v>
      </c>
      <c r="H120" s="447">
        <f>H86*Projected_PRIM_wastage_rates!J64</f>
        <v>19.216029694040376</v>
      </c>
      <c r="I120" s="447">
        <f>I86*Projected_PRIM_wastage_rates!K64</f>
        <v>18.949959582259897</v>
      </c>
      <c r="J120" s="447">
        <f>J86*Projected_PRIM_wastage_rates!L64</f>
        <v>18.703362821202724</v>
      </c>
      <c r="K120" s="447">
        <f>K86*Projected_PRIM_wastage_rates!M64</f>
        <v>18.538266461158145</v>
      </c>
      <c r="L120" s="447">
        <f>L86*Projected_PRIM_wastage_rates!N64</f>
        <v>18.448898087366789</v>
      </c>
      <c r="M120" s="447">
        <f>M86*Projected_PRIM_wastage_rates!O64</f>
        <v>18.407782973502879</v>
      </c>
      <c r="N120" s="447">
        <f>N86*Projected_PRIM_wastage_rates!P64</f>
        <v>18.391979523586404</v>
      </c>
    </row>
    <row r="121" spans="1:14">
      <c r="B121" s="149" t="str">
        <f t="shared" si="39"/>
        <v>Total</v>
      </c>
      <c r="C121" s="447">
        <f>SUM(C111:C120)</f>
        <v>3076.0658670527532</v>
      </c>
      <c r="D121" s="447">
        <f t="shared" ref="D121:N121" si="41">SUM(D111:D120)</f>
        <v>2974.9790380749519</v>
      </c>
      <c r="E121" s="447">
        <f t="shared" si="41"/>
        <v>3086.9377119876017</v>
      </c>
      <c r="F121" s="447">
        <f t="shared" si="41"/>
        <v>3015.2537172502721</v>
      </c>
      <c r="G121" s="447">
        <f t="shared" si="41"/>
        <v>3012.8478946474515</v>
      </c>
      <c r="H121" s="447">
        <f t="shared" si="41"/>
        <v>3007.4482656716746</v>
      </c>
      <c r="I121" s="447">
        <f t="shared" si="41"/>
        <v>2998.5550519658959</v>
      </c>
      <c r="J121" s="447">
        <f t="shared" si="41"/>
        <v>2986.0842030771209</v>
      </c>
      <c r="K121" s="447">
        <f t="shared" si="41"/>
        <v>2982.5002350375303</v>
      </c>
      <c r="L121" s="447">
        <f t="shared" si="41"/>
        <v>2985.0819422509508</v>
      </c>
      <c r="M121" s="447">
        <f t="shared" si="41"/>
        <v>2988.2215607118887</v>
      </c>
      <c r="N121" s="447">
        <f t="shared" si="41"/>
        <v>2988.8431528269089</v>
      </c>
    </row>
    <row r="122" spans="1:14">
      <c r="A122" s="10">
        <f>SUM(C122:N122)</f>
        <v>0</v>
      </c>
      <c r="C122" s="302">
        <f t="shared" ref="C122:N122" si="42">SUM(C111:C120)-C121</f>
        <v>0</v>
      </c>
      <c r="D122" s="302">
        <f t="shared" si="42"/>
        <v>0</v>
      </c>
      <c r="E122" s="302">
        <f t="shared" si="42"/>
        <v>0</v>
      </c>
      <c r="F122" s="302">
        <f t="shared" si="42"/>
        <v>0</v>
      </c>
      <c r="G122" s="302">
        <f t="shared" si="42"/>
        <v>0</v>
      </c>
      <c r="H122" s="302">
        <f t="shared" si="42"/>
        <v>0</v>
      </c>
      <c r="I122" s="302">
        <f t="shared" si="42"/>
        <v>0</v>
      </c>
      <c r="J122" s="302">
        <f t="shared" si="42"/>
        <v>0</v>
      </c>
      <c r="K122" s="302">
        <f t="shared" si="42"/>
        <v>0</v>
      </c>
      <c r="L122" s="302">
        <f t="shared" si="42"/>
        <v>0</v>
      </c>
      <c r="M122" s="302">
        <f t="shared" si="42"/>
        <v>0</v>
      </c>
      <c r="N122" s="302">
        <f t="shared" si="42"/>
        <v>0</v>
      </c>
    </row>
    <row r="123" spans="1:14">
      <c r="A123" s="10"/>
      <c r="C123" s="302"/>
      <c r="D123" s="302"/>
      <c r="E123" s="302"/>
      <c r="F123" s="302"/>
      <c r="G123" s="302"/>
      <c r="H123" s="302"/>
      <c r="I123" s="302"/>
      <c r="J123" s="302"/>
      <c r="K123" s="302"/>
      <c r="L123" s="302"/>
      <c r="M123" s="302"/>
      <c r="N123" s="302"/>
    </row>
    <row r="124" spans="1:14">
      <c r="B124" s="75" t="s">
        <v>47</v>
      </c>
      <c r="C124" s="322"/>
      <c r="D124" s="322"/>
      <c r="E124" s="322"/>
      <c r="F124" s="322"/>
      <c r="G124" s="322"/>
      <c r="H124" s="332"/>
      <c r="I124" s="322"/>
      <c r="J124" s="322"/>
      <c r="K124" s="322"/>
      <c r="L124" s="322"/>
      <c r="M124" s="302"/>
      <c r="N124" s="302"/>
    </row>
    <row r="125" spans="1:14">
      <c r="C125" s="322"/>
      <c r="D125" s="322"/>
      <c r="E125" s="322"/>
      <c r="F125" s="322"/>
      <c r="G125" s="322"/>
      <c r="H125" s="332"/>
      <c r="I125" s="322"/>
      <c r="J125" s="322"/>
      <c r="K125" s="322"/>
      <c r="L125" s="322"/>
      <c r="M125" s="302"/>
      <c r="N125" s="302"/>
    </row>
    <row r="126" spans="1:14">
      <c r="B126" s="149" t="str">
        <f t="shared" ref="B126:B137" si="43">B110</f>
        <v>Age group</v>
      </c>
      <c r="C126" s="331" t="str">
        <f t="shared" ref="C126:N126" si="44">C110</f>
        <v>2017/18</v>
      </c>
      <c r="D126" s="331" t="str">
        <f t="shared" si="44"/>
        <v>2018/19</v>
      </c>
      <c r="E126" s="331" t="str">
        <f t="shared" si="44"/>
        <v>2019/20</v>
      </c>
      <c r="F126" s="331" t="str">
        <f t="shared" si="44"/>
        <v>2020/21</v>
      </c>
      <c r="G126" s="331" t="str">
        <f t="shared" si="44"/>
        <v>2021/22</v>
      </c>
      <c r="H126" s="331" t="str">
        <f t="shared" si="44"/>
        <v>2022/23</v>
      </c>
      <c r="I126" s="331" t="str">
        <f t="shared" si="44"/>
        <v>2023/24</v>
      </c>
      <c r="J126" s="331" t="str">
        <f t="shared" si="44"/>
        <v>2024/25</v>
      </c>
      <c r="K126" s="331" t="str">
        <f t="shared" si="44"/>
        <v>2025/26</v>
      </c>
      <c r="L126" s="331" t="str">
        <f t="shared" si="44"/>
        <v>2026/27</v>
      </c>
      <c r="M126" s="331" t="str">
        <f t="shared" si="44"/>
        <v>2027/28</v>
      </c>
      <c r="N126" s="331" t="str">
        <f t="shared" si="44"/>
        <v>2028/29</v>
      </c>
    </row>
    <row r="127" spans="1:14">
      <c r="B127" s="149" t="str">
        <f t="shared" si="43"/>
        <v>20-24</v>
      </c>
      <c r="C127" s="447">
        <f>C93*Projected_PRIM_wastage_rates!E70</f>
        <v>1225.0221203868196</v>
      </c>
      <c r="D127" s="447">
        <f>D93*Projected_PRIM_wastage_rates!F70</f>
        <v>1487.5510931121503</v>
      </c>
      <c r="E127" s="447">
        <f>E93*Projected_PRIM_wastage_rates!G70</f>
        <v>1668.4973287514742</v>
      </c>
      <c r="F127" s="447">
        <f>F93*Projected_PRIM_wastage_rates!H70</f>
        <v>1794.0922696820578</v>
      </c>
      <c r="G127" s="447">
        <f>G93*Projected_PRIM_wastage_rates!I70</f>
        <v>1873.3061893066788</v>
      </c>
      <c r="H127" s="447">
        <f>H93*Projected_PRIM_wastage_rates!J70</f>
        <v>1925.0119546644471</v>
      </c>
      <c r="I127" s="447">
        <f>I93*Projected_PRIM_wastage_rates!K70</f>
        <v>1955.994915151234</v>
      </c>
      <c r="J127" s="447">
        <f>J93*Projected_PRIM_wastage_rates!L70</f>
        <v>1971.5232032057936</v>
      </c>
      <c r="K127" s="447">
        <f>K93*Projected_PRIM_wastage_rates!M70</f>
        <v>1995.2825434067834</v>
      </c>
      <c r="L127" s="447">
        <f>L93*Projected_PRIM_wastage_rates!N70</f>
        <v>2022.5456353017321</v>
      </c>
      <c r="M127" s="447">
        <f>M93*Projected_PRIM_wastage_rates!O70</f>
        <v>2044.6349404817811</v>
      </c>
      <c r="N127" s="447">
        <f>N93*Projected_PRIM_wastage_rates!P70</f>
        <v>2058.1174406037012</v>
      </c>
    </row>
    <row r="128" spans="1:14">
      <c r="B128" s="149" t="str">
        <f t="shared" si="43"/>
        <v>25-29</v>
      </c>
      <c r="C128" s="447">
        <f>C94*Projected_PRIM_wastage_rates!E71</f>
        <v>2981.2294898044393</v>
      </c>
      <c r="D128" s="447">
        <f>D94*Projected_PRIM_wastage_rates!F71</f>
        <v>2939.336434323146</v>
      </c>
      <c r="E128" s="447">
        <f>E94*Projected_PRIM_wastage_rates!G71</f>
        <v>2959.3900566072239</v>
      </c>
      <c r="F128" s="447">
        <f>F94*Projected_PRIM_wastage_rates!H71</f>
        <v>2991.1426599819861</v>
      </c>
      <c r="G128" s="447">
        <f>G94*Projected_PRIM_wastage_rates!I71</f>
        <v>3006.2409811884054</v>
      </c>
      <c r="H128" s="447">
        <f>H94*Projected_PRIM_wastage_rates!J71</f>
        <v>3025.4296161976395</v>
      </c>
      <c r="I128" s="447">
        <f>I94*Projected_PRIM_wastage_rates!K71</f>
        <v>3042.142906744029</v>
      </c>
      <c r="J128" s="447">
        <f>J94*Projected_PRIM_wastage_rates!L71</f>
        <v>3053.1120286257828</v>
      </c>
      <c r="K128" s="447">
        <f>K94*Projected_PRIM_wastage_rates!M71</f>
        <v>3075.3386545583635</v>
      </c>
      <c r="L128" s="447">
        <f>L94*Projected_PRIM_wastage_rates!N71</f>
        <v>3104.839646559943</v>
      </c>
      <c r="M128" s="447">
        <f>M94*Projected_PRIM_wastage_rates!O71</f>
        <v>3133.0395230658382</v>
      </c>
      <c r="N128" s="447">
        <f>N94*Projected_PRIM_wastage_rates!P71</f>
        <v>3154.8967235760529</v>
      </c>
    </row>
    <row r="129" spans="1:14">
      <c r="B129" s="149" t="str">
        <f t="shared" si="43"/>
        <v>30-34</v>
      </c>
      <c r="C129" s="447">
        <f>C95*Projected_PRIM_wastage_rates!E72</f>
        <v>2833.6301143779524</v>
      </c>
      <c r="D129" s="447">
        <f>D95*Projected_PRIM_wastage_rates!F72</f>
        <v>2854.2981396524046</v>
      </c>
      <c r="E129" s="447">
        <f>E95*Projected_PRIM_wastage_rates!G72</f>
        <v>2882.0507027721983</v>
      </c>
      <c r="F129" s="447">
        <f>F95*Projected_PRIM_wastage_rates!H72</f>
        <v>2892.1661383856995</v>
      </c>
      <c r="G129" s="447">
        <f>G95*Projected_PRIM_wastage_rates!I72</f>
        <v>2871.0922069823182</v>
      </c>
      <c r="H129" s="447">
        <f>H95*Projected_PRIM_wastage_rates!J72</f>
        <v>2855.8324802089528</v>
      </c>
      <c r="I129" s="447">
        <f>I95*Projected_PRIM_wastage_rates!K72</f>
        <v>2845.0472338428317</v>
      </c>
      <c r="J129" s="447">
        <f>J95*Projected_PRIM_wastage_rates!L72</f>
        <v>2836.8617992170252</v>
      </c>
      <c r="K129" s="447">
        <f>K95*Projected_PRIM_wastage_rates!M72</f>
        <v>2838.3977274550834</v>
      </c>
      <c r="L129" s="447">
        <f>L95*Projected_PRIM_wastage_rates!N72</f>
        <v>2847.7986932825957</v>
      </c>
      <c r="M129" s="447">
        <f>M95*Projected_PRIM_wastage_rates!O72</f>
        <v>2860.6568489214965</v>
      </c>
      <c r="N129" s="447">
        <f>N95*Projected_PRIM_wastage_rates!P72</f>
        <v>2873.6096812407359</v>
      </c>
    </row>
    <row r="130" spans="1:14">
      <c r="B130" s="149" t="str">
        <f t="shared" si="43"/>
        <v>35-39</v>
      </c>
      <c r="C130" s="447">
        <f>C96*Projected_PRIM_wastage_rates!E73</f>
        <v>2480.2711077677814</v>
      </c>
      <c r="D130" s="447">
        <f>D96*Projected_PRIM_wastage_rates!F73</f>
        <v>2513.2084345070766</v>
      </c>
      <c r="E130" s="447">
        <f>E96*Projected_PRIM_wastage_rates!G73</f>
        <v>2561.3380799676474</v>
      </c>
      <c r="F130" s="447">
        <f>F96*Projected_PRIM_wastage_rates!H73</f>
        <v>2589.7298274439113</v>
      </c>
      <c r="G130" s="447">
        <f>G96*Projected_PRIM_wastage_rates!I73</f>
        <v>2580.872119779855</v>
      </c>
      <c r="H130" s="447">
        <f>H96*Projected_PRIM_wastage_rates!J73</f>
        <v>2569.1627140024862</v>
      </c>
      <c r="I130" s="447">
        <f>I96*Projected_PRIM_wastage_rates!K73</f>
        <v>2556.0698915415205</v>
      </c>
      <c r="J130" s="447">
        <f>J96*Projected_PRIM_wastage_rates!L73</f>
        <v>2542.5602936222035</v>
      </c>
      <c r="K130" s="447">
        <f>K96*Projected_PRIM_wastage_rates!M73</f>
        <v>2535.0234090353001</v>
      </c>
      <c r="L130" s="447">
        <f>L96*Projected_PRIM_wastage_rates!N73</f>
        <v>2532.8360336040673</v>
      </c>
      <c r="M130" s="447">
        <f>M96*Projected_PRIM_wastage_rates!O73</f>
        <v>2533.623753787891</v>
      </c>
      <c r="N130" s="447">
        <f>N96*Projected_PRIM_wastage_rates!P73</f>
        <v>2535.7200711771306</v>
      </c>
    </row>
    <row r="131" spans="1:14">
      <c r="B131" s="149" t="str">
        <f t="shared" si="43"/>
        <v>40-44</v>
      </c>
      <c r="C131" s="447">
        <f>C97*Projected_PRIM_wastage_rates!E74</f>
        <v>2131.4419148023085</v>
      </c>
      <c r="D131" s="447">
        <f>D97*Projected_PRIM_wastage_rates!F74</f>
        <v>2168.5796588096764</v>
      </c>
      <c r="E131" s="447">
        <f>E97*Projected_PRIM_wastage_rates!G74</f>
        <v>2219.4831785257788</v>
      </c>
      <c r="F131" s="447">
        <f>F97*Projected_PRIM_wastage_rates!H74</f>
        <v>2255.4545213437564</v>
      </c>
      <c r="G131" s="447">
        <f>G97*Projected_PRIM_wastage_rates!I74</f>
        <v>2259.5770749394205</v>
      </c>
      <c r="H131" s="447">
        <f>H97*Projected_PRIM_wastage_rates!J74</f>
        <v>2259.7886133140933</v>
      </c>
      <c r="I131" s="447">
        <f>I97*Projected_PRIM_wastage_rates!K74</f>
        <v>2256.3690285140078</v>
      </c>
      <c r="J131" s="447">
        <f>J97*Projected_PRIM_wastage_rates!L74</f>
        <v>2249.8788303547103</v>
      </c>
      <c r="K131" s="447">
        <f>K97*Projected_PRIM_wastage_rates!M74</f>
        <v>2246.0391801055684</v>
      </c>
      <c r="L131" s="447">
        <f>L97*Projected_PRIM_wastage_rates!N74</f>
        <v>2244.5561116167542</v>
      </c>
      <c r="M131" s="447">
        <f>M97*Projected_PRIM_wastage_rates!O74</f>
        <v>2243.740673923653</v>
      </c>
      <c r="N131" s="447">
        <f>N97*Projected_PRIM_wastage_rates!P74</f>
        <v>2242.6614164447897</v>
      </c>
    </row>
    <row r="132" spans="1:14">
      <c r="B132" s="149" t="str">
        <f t="shared" si="43"/>
        <v>45-49</v>
      </c>
      <c r="C132" s="447">
        <f>C98*Projected_PRIM_wastage_rates!E75</f>
        <v>1960.7404978995746</v>
      </c>
      <c r="D132" s="447">
        <f>D98*Projected_PRIM_wastage_rates!F75</f>
        <v>2001.3120554466461</v>
      </c>
      <c r="E132" s="447">
        <f>E98*Projected_PRIM_wastage_rates!G75</f>
        <v>2055.5715561592219</v>
      </c>
      <c r="F132" s="447">
        <f>F98*Projected_PRIM_wastage_rates!H75</f>
        <v>2096.2151024010186</v>
      </c>
      <c r="G132" s="447">
        <f>G98*Projected_PRIM_wastage_rates!I75</f>
        <v>2107.325008849215</v>
      </c>
      <c r="H132" s="447">
        <f>H98*Projected_PRIM_wastage_rates!J75</f>
        <v>2115.1854101207891</v>
      </c>
      <c r="I132" s="447">
        <f>I98*Projected_PRIM_wastage_rates!K75</f>
        <v>2119.6811130643614</v>
      </c>
      <c r="J132" s="447">
        <f>J98*Projected_PRIM_wastage_rates!L75</f>
        <v>2120.8685712686456</v>
      </c>
      <c r="K132" s="447">
        <f>K98*Projected_PRIM_wastage_rates!M75</f>
        <v>2123.1983725324999</v>
      </c>
      <c r="L132" s="447">
        <f>L98*Projected_PRIM_wastage_rates!N75</f>
        <v>2126.3665787695049</v>
      </c>
      <c r="M132" s="447">
        <f>M98*Projected_PRIM_wastage_rates!O75</f>
        <v>2128.9507274747043</v>
      </c>
      <c r="N132" s="447">
        <f>N98*Projected_PRIM_wastage_rates!P75</f>
        <v>2130.1789725388508</v>
      </c>
    </row>
    <row r="133" spans="1:14">
      <c r="B133" s="149" t="str">
        <f t="shared" si="43"/>
        <v>50-54</v>
      </c>
      <c r="C133" s="447">
        <f>C99*Projected_PRIM_wastage_rates!E76</f>
        <v>1743.3655400475616</v>
      </c>
      <c r="D133" s="447">
        <f>D99*Projected_PRIM_wastage_rates!F76</f>
        <v>1746.58243100972</v>
      </c>
      <c r="E133" s="447">
        <f>E99*Projected_PRIM_wastage_rates!G76</f>
        <v>1772.3877951401901</v>
      </c>
      <c r="F133" s="447">
        <f>F99*Projected_PRIM_wastage_rates!H76</f>
        <v>1793.2744842418078</v>
      </c>
      <c r="G133" s="447">
        <f>G99*Projected_PRIM_wastage_rates!I76</f>
        <v>1793.6976888203608</v>
      </c>
      <c r="H133" s="447">
        <f>H99*Projected_PRIM_wastage_rates!J76</f>
        <v>1795.4162640866211</v>
      </c>
      <c r="I133" s="447">
        <f>I99*Projected_PRIM_wastage_rates!K76</f>
        <v>1797.2578493394667</v>
      </c>
      <c r="J133" s="447">
        <f>J99*Projected_PRIM_wastage_rates!L76</f>
        <v>1798.4233027932885</v>
      </c>
      <c r="K133" s="447">
        <f>K99*Projected_PRIM_wastage_rates!M76</f>
        <v>1801.4722747666103</v>
      </c>
      <c r="L133" s="447">
        <f>L99*Projected_PRIM_wastage_rates!N76</f>
        <v>1805.7206603634183</v>
      </c>
      <c r="M133" s="447">
        <f>M99*Projected_PRIM_wastage_rates!O76</f>
        <v>1809.7897287680737</v>
      </c>
      <c r="N133" s="447">
        <f>N99*Projected_PRIM_wastage_rates!P76</f>
        <v>1812.8465843016934</v>
      </c>
    </row>
    <row r="134" spans="1:14">
      <c r="B134" s="149" t="str">
        <f t="shared" si="43"/>
        <v>55-59</v>
      </c>
      <c r="C134" s="447">
        <f>C100*Projected_PRIM_wastage_rates!E77</f>
        <v>737.43442896054773</v>
      </c>
      <c r="D134" s="447">
        <f>D100*Projected_PRIM_wastage_rates!F77</f>
        <v>700.78047636072529</v>
      </c>
      <c r="E134" s="447">
        <f>E100*Projected_PRIM_wastage_rates!G77</f>
        <v>684.03440283643113</v>
      </c>
      <c r="F134" s="447">
        <f>F100*Projected_PRIM_wastage_rates!H77</f>
        <v>673.16161774323587</v>
      </c>
      <c r="G134" s="447">
        <f>G100*Projected_PRIM_wastage_rates!I77</f>
        <v>660.39392682178016</v>
      </c>
      <c r="H134" s="447">
        <f>H100*Projected_PRIM_wastage_rates!J77</f>
        <v>652.15312142827247</v>
      </c>
      <c r="I134" s="447">
        <f>I100*Projected_PRIM_wastage_rates!K77</f>
        <v>646.82907868563109</v>
      </c>
      <c r="J134" s="447">
        <f>J100*Projected_PRIM_wastage_rates!L77</f>
        <v>643.30626988536847</v>
      </c>
      <c r="K134" s="447">
        <f>K100*Projected_PRIM_wastage_rates!M77</f>
        <v>642.00109948254817</v>
      </c>
      <c r="L134" s="447">
        <f>L100*Projected_PRIM_wastage_rates!N77</f>
        <v>642.15098680858364</v>
      </c>
      <c r="M134" s="447">
        <f>M100*Projected_PRIM_wastage_rates!O77</f>
        <v>642.88160023639591</v>
      </c>
      <c r="N134" s="447">
        <f>N100*Projected_PRIM_wastage_rates!P77</f>
        <v>643.65850293377594</v>
      </c>
    </row>
    <row r="135" spans="1:14">
      <c r="B135" s="149" t="str">
        <f t="shared" si="43"/>
        <v>60-64</v>
      </c>
      <c r="C135" s="447">
        <f>C101*Projected_PRIM_wastage_rates!E78</f>
        <v>262.68387081042943</v>
      </c>
      <c r="D135" s="447">
        <f>D101*Projected_PRIM_wastage_rates!F78</f>
        <v>245.37130791265366</v>
      </c>
      <c r="E135" s="447">
        <f>E101*Projected_PRIM_wastage_rates!G78</f>
        <v>233.61424366392635</v>
      </c>
      <c r="F135" s="447">
        <f>F101*Projected_PRIM_wastage_rates!H78</f>
        <v>224.23176745707897</v>
      </c>
      <c r="G135" s="447">
        <f>G101*Projected_PRIM_wastage_rates!I78</f>
        <v>215.30524017089692</v>
      </c>
      <c r="H135" s="447">
        <f>H101*Projected_PRIM_wastage_rates!J78</f>
        <v>208.93624520980288</v>
      </c>
      <c r="I135" s="447">
        <f>I101*Projected_PRIM_wastage_rates!K78</f>
        <v>204.43834400695238</v>
      </c>
      <c r="J135" s="447">
        <f>J101*Projected_PRIM_wastage_rates!L78</f>
        <v>201.26360114854913</v>
      </c>
      <c r="K135" s="447">
        <f>K101*Projected_PRIM_wastage_rates!M78</f>
        <v>199.48796899101026</v>
      </c>
      <c r="L135" s="447">
        <f>L101*Projected_PRIM_wastage_rates!N78</f>
        <v>198.65696195069606</v>
      </c>
      <c r="M135" s="447">
        <f>M101*Projected_PRIM_wastage_rates!O78</f>
        <v>198.30603743948171</v>
      </c>
      <c r="N135" s="447">
        <f>N101*Projected_PRIM_wastage_rates!P78</f>
        <v>198.15453522998337</v>
      </c>
    </row>
    <row r="136" spans="1:14">
      <c r="B136" s="149" t="str">
        <f t="shared" si="43"/>
        <v>65 plus</v>
      </c>
      <c r="C136" s="447">
        <f>C102*Projected_PRIM_wastage_rates!E79</f>
        <v>129.00751933654877</v>
      </c>
      <c r="D136" s="447">
        <f>D102*Projected_PRIM_wastage_rates!F79</f>
        <v>151.49722614865726</v>
      </c>
      <c r="E136" s="447">
        <f>E102*Projected_PRIM_wastage_rates!G79</f>
        <v>163.11487307155991</v>
      </c>
      <c r="F136" s="447">
        <f>F102*Projected_PRIM_wastage_rates!H79</f>
        <v>166.98969278195713</v>
      </c>
      <c r="G136" s="447">
        <f>G102*Projected_PRIM_wastage_rates!I79</f>
        <v>165.21238596903825</v>
      </c>
      <c r="H136" s="447">
        <f>H102*Projected_PRIM_wastage_rates!J79</f>
        <v>161.99822608651067</v>
      </c>
      <c r="I136" s="447">
        <f>I102*Projected_PRIM_wastage_rates!K79</f>
        <v>158.44365486176272</v>
      </c>
      <c r="J136" s="447">
        <f>J102*Projected_PRIM_wastage_rates!L79</f>
        <v>155.08769707002696</v>
      </c>
      <c r="K136" s="447">
        <f>K102*Projected_PRIM_wastage_rates!M79</f>
        <v>152.48479705907468</v>
      </c>
      <c r="L136" s="447">
        <f>L102*Projected_PRIM_wastage_rates!N79</f>
        <v>150.62817816567238</v>
      </c>
      <c r="M136" s="447">
        <f>M102*Projected_PRIM_wastage_rates!O79</f>
        <v>149.32074871678839</v>
      </c>
      <c r="N136" s="447">
        <f>N102*Projected_PRIM_wastage_rates!P79</f>
        <v>148.38200286996496</v>
      </c>
    </row>
    <row r="137" spans="1:14">
      <c r="B137" s="149" t="str">
        <f t="shared" si="43"/>
        <v>Total</v>
      </c>
      <c r="C137" s="447">
        <f>SUM(C127:C136)</f>
        <v>16484.826604193964</v>
      </c>
      <c r="D137" s="447">
        <f t="shared" ref="D137:N137" si="45">SUM(D127:D136)</f>
        <v>16808.517257282856</v>
      </c>
      <c r="E137" s="447">
        <f t="shared" si="45"/>
        <v>17199.482217495657</v>
      </c>
      <c r="F137" s="447">
        <f t="shared" si="45"/>
        <v>17476.458081462511</v>
      </c>
      <c r="G137" s="447">
        <f t="shared" si="45"/>
        <v>17533.02282282797</v>
      </c>
      <c r="H137" s="447">
        <f t="shared" si="45"/>
        <v>17568.914645319615</v>
      </c>
      <c r="I137" s="447">
        <f t="shared" si="45"/>
        <v>17582.274015751798</v>
      </c>
      <c r="J137" s="447">
        <f t="shared" si="45"/>
        <v>17572.885597191394</v>
      </c>
      <c r="K137" s="447">
        <f t="shared" si="45"/>
        <v>17608.72602739284</v>
      </c>
      <c r="L137" s="447">
        <f t="shared" si="45"/>
        <v>17676.099486422969</v>
      </c>
      <c r="M137" s="447">
        <f t="shared" si="45"/>
        <v>17744.944582816108</v>
      </c>
      <c r="N137" s="447">
        <f t="shared" si="45"/>
        <v>17798.22593091668</v>
      </c>
    </row>
    <row r="138" spans="1:14">
      <c r="A138" s="10">
        <f>SUM(C138:N138)</f>
        <v>0</v>
      </c>
      <c r="C138" s="10">
        <f t="shared" ref="C138:N138" si="46">SUM(C127:C136)-C137</f>
        <v>0</v>
      </c>
      <c r="D138" s="10">
        <f t="shared" si="46"/>
        <v>0</v>
      </c>
      <c r="E138" s="10">
        <f t="shared" si="46"/>
        <v>0</v>
      </c>
      <c r="F138" s="10">
        <f t="shared" si="46"/>
        <v>0</v>
      </c>
      <c r="G138" s="10">
        <f t="shared" si="46"/>
        <v>0</v>
      </c>
      <c r="H138" s="10">
        <f t="shared" si="46"/>
        <v>0</v>
      </c>
      <c r="I138" s="10">
        <f t="shared" si="46"/>
        <v>0</v>
      </c>
      <c r="J138" s="10">
        <f t="shared" si="46"/>
        <v>0</v>
      </c>
      <c r="K138" s="10">
        <f t="shared" si="46"/>
        <v>0</v>
      </c>
      <c r="L138" s="10">
        <f t="shared" si="46"/>
        <v>0</v>
      </c>
      <c r="M138" s="10">
        <f t="shared" si="46"/>
        <v>0</v>
      </c>
      <c r="N138" s="10">
        <f t="shared" si="46"/>
        <v>0</v>
      </c>
    </row>
    <row r="139" spans="1:14">
      <c r="A139" s="10"/>
      <c r="C139" s="10"/>
      <c r="D139" s="10"/>
      <c r="E139" s="10"/>
      <c r="F139" s="10"/>
      <c r="G139" s="10"/>
      <c r="H139" s="10"/>
      <c r="I139" s="10"/>
      <c r="J139" s="10"/>
      <c r="K139" s="10"/>
      <c r="L139" s="10"/>
      <c r="M139" s="10"/>
      <c r="N139" s="10"/>
    </row>
    <row r="140" spans="1:14" ht="15.75">
      <c r="B140" s="77" t="s">
        <v>165</v>
      </c>
      <c r="H140" s="12"/>
    </row>
    <row r="141" spans="1:14">
      <c r="H141" s="12"/>
    </row>
    <row r="142" spans="1:14">
      <c r="B142" s="75" t="s">
        <v>46</v>
      </c>
      <c r="H142" s="12"/>
    </row>
    <row r="143" spans="1:14">
      <c r="H143" s="12"/>
    </row>
    <row r="144" spans="1:14">
      <c r="B144" s="149" t="str">
        <f t="shared" ref="B144:B155" si="47">B110</f>
        <v>Age group</v>
      </c>
      <c r="C144" s="149" t="str">
        <f t="shared" ref="C144:N144" si="48">C110</f>
        <v>2017/18</v>
      </c>
      <c r="D144" s="149" t="str">
        <f t="shared" si="48"/>
        <v>2018/19</v>
      </c>
      <c r="E144" s="149" t="str">
        <f t="shared" si="48"/>
        <v>2019/20</v>
      </c>
      <c r="F144" s="149" t="str">
        <f t="shared" si="48"/>
        <v>2020/21</v>
      </c>
      <c r="G144" s="149" t="str">
        <f t="shared" si="48"/>
        <v>2021/22</v>
      </c>
      <c r="H144" s="149" t="str">
        <f t="shared" si="48"/>
        <v>2022/23</v>
      </c>
      <c r="I144" s="149" t="str">
        <f t="shared" si="48"/>
        <v>2023/24</v>
      </c>
      <c r="J144" s="149" t="str">
        <f t="shared" si="48"/>
        <v>2024/25</v>
      </c>
      <c r="K144" s="149" t="str">
        <f t="shared" si="48"/>
        <v>2025/26</v>
      </c>
      <c r="L144" s="149" t="str">
        <f t="shared" si="48"/>
        <v>2026/27</v>
      </c>
      <c r="M144" s="149" t="str">
        <f t="shared" si="48"/>
        <v>2027/28</v>
      </c>
      <c r="N144" s="149" t="str">
        <f t="shared" si="48"/>
        <v>2028/29</v>
      </c>
    </row>
    <row r="145" spans="1:14">
      <c r="B145" s="149" t="str">
        <f t="shared" si="47"/>
        <v>20-24</v>
      </c>
      <c r="C145" s="525">
        <f>C77*Calc_PRIM_retirement_rates!$G124</f>
        <v>0</v>
      </c>
      <c r="D145" s="525">
        <f>D77*Calc_PRIM_retirement_rates!$G124</f>
        <v>0</v>
      </c>
      <c r="E145" s="525">
        <f>E77*Calc_PRIM_retirement_rates!$G124</f>
        <v>0</v>
      </c>
      <c r="F145" s="525">
        <f>F77*Calc_PRIM_retirement_rates!$G124</f>
        <v>0</v>
      </c>
      <c r="G145" s="525">
        <f>G77*Calc_PRIM_retirement_rates!$G124</f>
        <v>0</v>
      </c>
      <c r="H145" s="525">
        <f>H77*Calc_PRIM_retirement_rates!$G124</f>
        <v>0</v>
      </c>
      <c r="I145" s="525">
        <f>I77*Calc_PRIM_retirement_rates!$G124</f>
        <v>0</v>
      </c>
      <c r="J145" s="525">
        <f>J77*Calc_PRIM_retirement_rates!$G124</f>
        <v>0</v>
      </c>
      <c r="K145" s="525">
        <f>K77*Calc_PRIM_retirement_rates!$G124</f>
        <v>0</v>
      </c>
      <c r="L145" s="525">
        <f>L77*Calc_PRIM_retirement_rates!$G124</f>
        <v>0</v>
      </c>
      <c r="M145" s="525">
        <f>M77*Calc_PRIM_retirement_rates!$G124</f>
        <v>0</v>
      </c>
      <c r="N145" s="525">
        <f>N77*Calc_PRIM_retirement_rates!$G124</f>
        <v>0</v>
      </c>
    </row>
    <row r="146" spans="1:14">
      <c r="B146" s="149" t="str">
        <f t="shared" si="47"/>
        <v>25-29</v>
      </c>
      <c r="C146" s="525">
        <f>C78*Calc_PRIM_retirement_rates!$G125</f>
        <v>0</v>
      </c>
      <c r="D146" s="525">
        <f>D78*Calc_PRIM_retirement_rates!$G125</f>
        <v>0</v>
      </c>
      <c r="E146" s="525">
        <f>E78*Calc_PRIM_retirement_rates!$G125</f>
        <v>0</v>
      </c>
      <c r="F146" s="525">
        <f>F78*Calc_PRIM_retirement_rates!$G125</f>
        <v>0</v>
      </c>
      <c r="G146" s="525">
        <f>G78*Calc_PRIM_retirement_rates!$G125</f>
        <v>0</v>
      </c>
      <c r="H146" s="525">
        <f>H78*Calc_PRIM_retirement_rates!$G125</f>
        <v>0</v>
      </c>
      <c r="I146" s="525">
        <f>I78*Calc_PRIM_retirement_rates!$G125</f>
        <v>0</v>
      </c>
      <c r="J146" s="525">
        <f>J78*Calc_PRIM_retirement_rates!$G125</f>
        <v>0</v>
      </c>
      <c r="K146" s="525">
        <f>K78*Calc_PRIM_retirement_rates!$G125</f>
        <v>0</v>
      </c>
      <c r="L146" s="525">
        <f>L78*Calc_PRIM_retirement_rates!$G125</f>
        <v>0</v>
      </c>
      <c r="M146" s="525">
        <f>M78*Calc_PRIM_retirement_rates!$G125</f>
        <v>0</v>
      </c>
      <c r="N146" s="525">
        <f>N78*Calc_PRIM_retirement_rates!$G125</f>
        <v>0</v>
      </c>
    </row>
    <row r="147" spans="1:14">
      <c r="B147" s="149" t="str">
        <f t="shared" si="47"/>
        <v>30-34</v>
      </c>
      <c r="C147" s="525">
        <f>C79*Calc_PRIM_retirement_rates!$G126</f>
        <v>0</v>
      </c>
      <c r="D147" s="525">
        <f>D79*Calc_PRIM_retirement_rates!$G126</f>
        <v>0</v>
      </c>
      <c r="E147" s="525">
        <f>E79*Calc_PRIM_retirement_rates!$G126</f>
        <v>0</v>
      </c>
      <c r="F147" s="525">
        <f>F79*Calc_PRIM_retirement_rates!$G126</f>
        <v>0</v>
      </c>
      <c r="G147" s="525">
        <f>G79*Calc_PRIM_retirement_rates!$G126</f>
        <v>0</v>
      </c>
      <c r="H147" s="525">
        <f>H79*Calc_PRIM_retirement_rates!$G126</f>
        <v>0</v>
      </c>
      <c r="I147" s="525">
        <f>I79*Calc_PRIM_retirement_rates!$G126</f>
        <v>0</v>
      </c>
      <c r="J147" s="525">
        <f>J79*Calc_PRIM_retirement_rates!$G126</f>
        <v>0</v>
      </c>
      <c r="K147" s="525">
        <f>K79*Calc_PRIM_retirement_rates!$G126</f>
        <v>0</v>
      </c>
      <c r="L147" s="525">
        <f>L79*Calc_PRIM_retirement_rates!$G126</f>
        <v>0</v>
      </c>
      <c r="M147" s="525">
        <f>M79*Calc_PRIM_retirement_rates!$G126</f>
        <v>0</v>
      </c>
      <c r="N147" s="525">
        <f>N79*Calc_PRIM_retirement_rates!$G126</f>
        <v>0</v>
      </c>
    </row>
    <row r="148" spans="1:14">
      <c r="B148" s="149" t="str">
        <f t="shared" si="47"/>
        <v>35-39</v>
      </c>
      <c r="C148" s="525">
        <f>C80*Calc_PRIM_retirement_rates!$G127</f>
        <v>0</v>
      </c>
      <c r="D148" s="525">
        <f>D80*Calc_PRIM_retirement_rates!$G127</f>
        <v>0</v>
      </c>
      <c r="E148" s="525">
        <f>E80*Calc_PRIM_retirement_rates!$G127</f>
        <v>0</v>
      </c>
      <c r="F148" s="525">
        <f>F80*Calc_PRIM_retirement_rates!$G127</f>
        <v>0</v>
      </c>
      <c r="G148" s="525">
        <f>G80*Calc_PRIM_retirement_rates!$G127</f>
        <v>0</v>
      </c>
      <c r="H148" s="525">
        <f>H80*Calc_PRIM_retirement_rates!$G127</f>
        <v>0</v>
      </c>
      <c r="I148" s="525">
        <f>I80*Calc_PRIM_retirement_rates!$G127</f>
        <v>0</v>
      </c>
      <c r="J148" s="525">
        <f>J80*Calc_PRIM_retirement_rates!$G127</f>
        <v>0</v>
      </c>
      <c r="K148" s="525">
        <f>K80*Calc_PRIM_retirement_rates!$G127</f>
        <v>0</v>
      </c>
      <c r="L148" s="525">
        <f>L80*Calc_PRIM_retirement_rates!$G127</f>
        <v>0</v>
      </c>
      <c r="M148" s="525">
        <f>M80*Calc_PRIM_retirement_rates!$G127</f>
        <v>0</v>
      </c>
      <c r="N148" s="525">
        <f>N80*Calc_PRIM_retirement_rates!$G127</f>
        <v>0</v>
      </c>
    </row>
    <row r="149" spans="1:14">
      <c r="B149" s="149" t="str">
        <f t="shared" si="47"/>
        <v>40-44</v>
      </c>
      <c r="C149" s="525">
        <f>C81*Calc_PRIM_retirement_rates!$G128</f>
        <v>0</v>
      </c>
      <c r="D149" s="525">
        <f>D81*Calc_PRIM_retirement_rates!$G128</f>
        <v>0</v>
      </c>
      <c r="E149" s="525">
        <f>E81*Calc_PRIM_retirement_rates!$G128</f>
        <v>0</v>
      </c>
      <c r="F149" s="525">
        <f>F81*Calc_PRIM_retirement_rates!$G128</f>
        <v>0</v>
      </c>
      <c r="G149" s="525">
        <f>G81*Calc_PRIM_retirement_rates!$G128</f>
        <v>0</v>
      </c>
      <c r="H149" s="525">
        <f>H81*Calc_PRIM_retirement_rates!$G128</f>
        <v>0</v>
      </c>
      <c r="I149" s="525">
        <f>I81*Calc_PRIM_retirement_rates!$G128</f>
        <v>0</v>
      </c>
      <c r="J149" s="525">
        <f>J81*Calc_PRIM_retirement_rates!$G128</f>
        <v>0</v>
      </c>
      <c r="K149" s="525">
        <f>K81*Calc_PRIM_retirement_rates!$G128</f>
        <v>0</v>
      </c>
      <c r="L149" s="525">
        <f>L81*Calc_PRIM_retirement_rates!$G128</f>
        <v>0</v>
      </c>
      <c r="M149" s="525">
        <f>M81*Calc_PRIM_retirement_rates!$G128</f>
        <v>0</v>
      </c>
      <c r="N149" s="525">
        <f>N81*Calc_PRIM_retirement_rates!$G128</f>
        <v>0</v>
      </c>
    </row>
    <row r="150" spans="1:14">
      <c r="B150" s="149" t="str">
        <f t="shared" si="47"/>
        <v>45-49</v>
      </c>
      <c r="C150" s="525">
        <f>C82*Calc_PRIM_retirement_rates!$G129</f>
        <v>7.0627859874286454</v>
      </c>
      <c r="D150" s="525">
        <f>D82*Calc_PRIM_retirement_rates!$G129</f>
        <v>7.1591179935796116</v>
      </c>
      <c r="E150" s="525">
        <f>E82*Calc_PRIM_retirement_rates!$G129</f>
        <v>7.2477355511354338</v>
      </c>
      <c r="F150" s="525">
        <f>F82*Calc_PRIM_retirement_rates!$G129</f>
        <v>7.300272497765123</v>
      </c>
      <c r="G150" s="525">
        <f>G82*Calc_PRIM_retirement_rates!$G129</f>
        <v>7.3652563953975605</v>
      </c>
      <c r="H150" s="525">
        <f>H82*Calc_PRIM_retirement_rates!$G129</f>
        <v>7.4166517580371574</v>
      </c>
      <c r="I150" s="525">
        <f>I82*Calc_PRIM_retirement_rates!$G129</f>
        <v>7.4510408953011744</v>
      </c>
      <c r="J150" s="525">
        <f>J82*Calc_PRIM_retirement_rates!$G129</f>
        <v>7.4666079918130617</v>
      </c>
      <c r="K150" s="525">
        <f>K82*Calc_PRIM_retirement_rates!$G129</f>
        <v>7.4786172461550233</v>
      </c>
      <c r="L150" s="525">
        <f>L82*Calc_PRIM_retirement_rates!$G129</f>
        <v>7.4858347729245276</v>
      </c>
      <c r="M150" s="525">
        <f>M82*Calc_PRIM_retirement_rates!$G129</f>
        <v>7.4837195776945125</v>
      </c>
      <c r="N150" s="525">
        <f>N82*Calc_PRIM_retirement_rates!$G129</f>
        <v>7.470628381088452</v>
      </c>
    </row>
    <row r="151" spans="1:14">
      <c r="B151" s="149" t="str">
        <f t="shared" si="47"/>
        <v>50-54</v>
      </c>
      <c r="C151" s="525">
        <f>C83*Calc_PRIM_retirement_rates!$G130</f>
        <v>74.728281341687122</v>
      </c>
      <c r="D151" s="525">
        <f>D83*Calc_PRIM_retirement_rates!$G130</f>
        <v>74.832974945997137</v>
      </c>
      <c r="E151" s="525">
        <f>E83*Calc_PRIM_retirement_rates!$G130</f>
        <v>75.177310323702358</v>
      </c>
      <c r="F151" s="525">
        <f>F83*Calc_PRIM_retirement_rates!$G130</f>
        <v>75.328685278882389</v>
      </c>
      <c r="G151" s="525">
        <f>G83*Calc_PRIM_retirement_rates!$G130</f>
        <v>75.746591040355014</v>
      </c>
      <c r="H151" s="525">
        <f>H83*Calc_PRIM_retirement_rates!$G130</f>
        <v>76.16751465177218</v>
      </c>
      <c r="I151" s="525">
        <f>I83*Calc_PRIM_retirement_rates!$G130</f>
        <v>76.549715951793118</v>
      </c>
      <c r="J151" s="525">
        <f>J83*Calc_PRIM_retirement_rates!$G130</f>
        <v>76.857986582510307</v>
      </c>
      <c r="K151" s="525">
        <f>K83*Calc_PRIM_retirement_rates!$G130</f>
        <v>77.205784468498862</v>
      </c>
      <c r="L151" s="525">
        <f>L83*Calc_PRIM_retirement_rates!$G130</f>
        <v>77.555512836122134</v>
      </c>
      <c r="M151" s="525">
        <f>M83*Calc_PRIM_retirement_rates!$G130</f>
        <v>77.839502724102303</v>
      </c>
      <c r="N151" s="525">
        <f>N83*Calc_PRIM_retirement_rates!$G130</f>
        <v>78.018555012672778</v>
      </c>
    </row>
    <row r="152" spans="1:14">
      <c r="B152" s="149" t="str">
        <f t="shared" si="47"/>
        <v>55-59</v>
      </c>
      <c r="C152" s="525">
        <f>C84*Calc_PRIM_retirement_rates!$G131</f>
        <v>341.96904957618653</v>
      </c>
      <c r="D152" s="525">
        <f>D84*Calc_PRIM_retirement_rates!$G131</f>
        <v>328.27097963138465</v>
      </c>
      <c r="E152" s="525">
        <f>E84*Calc_PRIM_retirement_rates!$G131</f>
        <v>320.15685895110181</v>
      </c>
      <c r="F152" s="525">
        <f>F84*Calc_PRIM_retirement_rates!$G131</f>
        <v>314.60603129023838</v>
      </c>
      <c r="G152" s="525">
        <f>G84*Calc_PRIM_retirement_rates!$G131</f>
        <v>312.22057457128483</v>
      </c>
      <c r="H152" s="525">
        <f>H84*Calc_PRIM_retirement_rates!$G131</f>
        <v>311.20910262461587</v>
      </c>
      <c r="I152" s="525">
        <f>I84*Calc_PRIM_retirement_rates!$G131</f>
        <v>310.98513091155996</v>
      </c>
      <c r="J152" s="525">
        <f>J84*Calc_PRIM_retirement_rates!$G131</f>
        <v>311.15537392417536</v>
      </c>
      <c r="K152" s="525">
        <f>K84*Calc_PRIM_retirement_rates!$G131</f>
        <v>312.11877716637872</v>
      </c>
      <c r="L152" s="525">
        <f>L84*Calc_PRIM_retirement_rates!$G131</f>
        <v>313.52671936577008</v>
      </c>
      <c r="M152" s="525">
        <f>M84*Calc_PRIM_retirement_rates!$G131</f>
        <v>314.93836541827244</v>
      </c>
      <c r="N152" s="525">
        <f>N84*Calc_PRIM_retirement_rates!$G131</f>
        <v>316.09285702949853</v>
      </c>
    </row>
    <row r="153" spans="1:14">
      <c r="B153" s="149" t="str">
        <f t="shared" si="47"/>
        <v>60-64</v>
      </c>
      <c r="C153" s="525">
        <f>C85*Calc_PRIM_retirement_rates!$G132</f>
        <v>228.66040226754956</v>
      </c>
      <c r="D153" s="525">
        <f>D85*Calc_PRIM_retirement_rates!$G132</f>
        <v>212.78890752228355</v>
      </c>
      <c r="E153" s="525">
        <f>E85*Calc_PRIM_retirement_rates!$G132</f>
        <v>201.26188193657046</v>
      </c>
      <c r="F153" s="525">
        <f>F85*Calc_PRIM_retirement_rates!$G132</f>
        <v>192.7243919511526</v>
      </c>
      <c r="G153" s="525">
        <f>G85*Calc_PRIM_retirement_rates!$G132</f>
        <v>187.56167697797179</v>
      </c>
      <c r="H153" s="525">
        <f>H85*Calc_PRIM_retirement_rates!$G132</f>
        <v>184.23816890822803</v>
      </c>
      <c r="I153" s="525">
        <f>I85*Calc_PRIM_retirement_rates!$G132</f>
        <v>182.14189271784767</v>
      </c>
      <c r="J153" s="525">
        <f>J85*Calc_PRIM_retirement_rates!$G132</f>
        <v>180.83642937846878</v>
      </c>
      <c r="K153" s="525">
        <f>K85*Calc_PRIM_retirement_rates!$G132</f>
        <v>180.56499050203794</v>
      </c>
      <c r="L153" s="525">
        <f>L85*Calc_PRIM_retirement_rates!$G132</f>
        <v>180.93669213932478</v>
      </c>
      <c r="M153" s="525">
        <f>M85*Calc_PRIM_retirement_rates!$G132</f>
        <v>181.52387732130074</v>
      </c>
      <c r="N153" s="525">
        <f>N85*Calc_PRIM_retirement_rates!$G132</f>
        <v>182.08463494682329</v>
      </c>
    </row>
    <row r="154" spans="1:14">
      <c r="B154" s="149" t="str">
        <f t="shared" si="47"/>
        <v>65 plus</v>
      </c>
      <c r="C154" s="525">
        <f>C86*Calc_PRIM_retirement_rates!$G133</f>
        <v>70.874472472099953</v>
      </c>
      <c r="D154" s="525">
        <f>D86*Calc_PRIM_retirement_rates!$G133</f>
        <v>78.781580451297245</v>
      </c>
      <c r="E154" s="525">
        <f>E86*Calc_PRIM_retirement_rates!$G133</f>
        <v>81.966442960693655</v>
      </c>
      <c r="F154" s="525">
        <f>F86*Calc_PRIM_retirement_rates!$G133</f>
        <v>82.308095842838739</v>
      </c>
      <c r="G154" s="525">
        <f>G86*Calc_PRIM_retirement_rates!$G133</f>
        <v>81.734353199152523</v>
      </c>
      <c r="H154" s="525">
        <f>H86*Calc_PRIM_retirement_rates!$G133</f>
        <v>80.704677990064397</v>
      </c>
      <c r="I154" s="525">
        <f>I86*Calc_PRIM_retirement_rates!$G133</f>
        <v>79.587220167823233</v>
      </c>
      <c r="J154" s="525">
        <f>J86*Calc_PRIM_retirement_rates!$G133</f>
        <v>78.551547736452861</v>
      </c>
      <c r="K154" s="525">
        <f>K86*Calc_PRIM_retirement_rates!$G133</f>
        <v>77.858165763856206</v>
      </c>
      <c r="L154" s="525">
        <f>L86*Calc_PRIM_retirement_rates!$G133</f>
        <v>77.482830903109004</v>
      </c>
      <c r="M154" s="525">
        <f>M86*Calc_PRIM_retirement_rates!$G133</f>
        <v>77.310153087881588</v>
      </c>
      <c r="N154" s="525">
        <f>N86*Calc_PRIM_retirement_rates!$G133</f>
        <v>77.243780774924744</v>
      </c>
    </row>
    <row r="155" spans="1:14">
      <c r="B155" s="149" t="str">
        <f t="shared" si="47"/>
        <v>Total</v>
      </c>
      <c r="C155" s="525">
        <f t="shared" ref="C155:N155" si="49">SUM(C145:C154)</f>
        <v>723.29499164495178</v>
      </c>
      <c r="D155" s="525">
        <f t="shared" si="49"/>
        <v>701.83356054454225</v>
      </c>
      <c r="E155" s="525">
        <f t="shared" si="49"/>
        <v>685.81022972320375</v>
      </c>
      <c r="F155" s="525">
        <f t="shared" si="49"/>
        <v>672.2674768608772</v>
      </c>
      <c r="G155" s="525">
        <f t="shared" si="49"/>
        <v>664.62845218416169</v>
      </c>
      <c r="H155" s="525">
        <f t="shared" si="49"/>
        <v>659.73611593271755</v>
      </c>
      <c r="I155" s="525">
        <f t="shared" si="49"/>
        <v>656.71500064432519</v>
      </c>
      <c r="J155" s="525">
        <f t="shared" si="49"/>
        <v>654.86794561342049</v>
      </c>
      <c r="K155" s="525">
        <f t="shared" si="49"/>
        <v>655.22633514692677</v>
      </c>
      <c r="L155" s="525">
        <f t="shared" si="49"/>
        <v>656.98759001725057</v>
      </c>
      <c r="M155" s="525">
        <f t="shared" si="49"/>
        <v>659.09561812925153</v>
      </c>
      <c r="N155" s="525">
        <f t="shared" si="49"/>
        <v>660.91045614500774</v>
      </c>
    </row>
    <row r="156" spans="1:14">
      <c r="A156" s="10">
        <f>SUM(C156:N156)</f>
        <v>0</v>
      </c>
      <c r="C156" s="10">
        <f t="shared" ref="C156:N156" si="50">SUM(C145:C154)-C155</f>
        <v>0</v>
      </c>
      <c r="D156" s="10">
        <f t="shared" si="50"/>
        <v>0</v>
      </c>
      <c r="E156" s="10">
        <f t="shared" si="50"/>
        <v>0</v>
      </c>
      <c r="F156" s="10">
        <f t="shared" si="50"/>
        <v>0</v>
      </c>
      <c r="G156" s="10">
        <f t="shared" si="50"/>
        <v>0</v>
      </c>
      <c r="H156" s="10">
        <f t="shared" si="50"/>
        <v>0</v>
      </c>
      <c r="I156" s="10">
        <f t="shared" si="50"/>
        <v>0</v>
      </c>
      <c r="J156" s="10">
        <f t="shared" si="50"/>
        <v>0</v>
      </c>
      <c r="K156" s="10">
        <f t="shared" si="50"/>
        <v>0</v>
      </c>
      <c r="L156" s="10">
        <f t="shared" si="50"/>
        <v>0</v>
      </c>
      <c r="M156" s="10">
        <f t="shared" si="50"/>
        <v>0</v>
      </c>
      <c r="N156" s="10">
        <f t="shared" si="50"/>
        <v>0</v>
      </c>
    </row>
    <row r="157" spans="1:14">
      <c r="A157" s="10"/>
      <c r="C157" s="10"/>
      <c r="D157" s="10"/>
      <c r="E157" s="10"/>
      <c r="F157" s="10"/>
      <c r="G157" s="10"/>
      <c r="H157" s="10"/>
      <c r="I157" s="10"/>
      <c r="J157" s="10"/>
      <c r="K157" s="10"/>
      <c r="L157" s="10"/>
      <c r="M157" s="10"/>
      <c r="N157" s="10"/>
    </row>
    <row r="158" spans="1:14">
      <c r="B158" s="75" t="s">
        <v>47</v>
      </c>
      <c r="C158" s="115"/>
      <c r="D158" s="115"/>
      <c r="E158" s="115"/>
      <c r="F158" s="115"/>
      <c r="G158" s="115"/>
      <c r="H158" s="117"/>
      <c r="I158" s="115"/>
      <c r="J158" s="115"/>
      <c r="K158" s="115"/>
      <c r="L158" s="115"/>
    </row>
    <row r="159" spans="1:14">
      <c r="C159" s="115"/>
      <c r="D159" s="115"/>
      <c r="E159" s="115"/>
      <c r="F159" s="115"/>
      <c r="G159" s="115"/>
      <c r="H159" s="117"/>
      <c r="I159" s="115"/>
      <c r="J159" s="115"/>
      <c r="K159" s="115"/>
      <c r="L159" s="115"/>
    </row>
    <row r="160" spans="1:14">
      <c r="B160" s="149" t="str">
        <f t="shared" ref="B160:B171" si="51">B144</f>
        <v>Age group</v>
      </c>
      <c r="C160" s="149" t="str">
        <f t="shared" ref="C160:N160" si="52">C144</f>
        <v>2017/18</v>
      </c>
      <c r="D160" s="149" t="str">
        <f t="shared" si="52"/>
        <v>2018/19</v>
      </c>
      <c r="E160" s="149" t="str">
        <f t="shared" si="52"/>
        <v>2019/20</v>
      </c>
      <c r="F160" s="149" t="str">
        <f t="shared" si="52"/>
        <v>2020/21</v>
      </c>
      <c r="G160" s="149" t="str">
        <f t="shared" si="52"/>
        <v>2021/22</v>
      </c>
      <c r="H160" s="149" t="str">
        <f t="shared" si="52"/>
        <v>2022/23</v>
      </c>
      <c r="I160" s="149" t="str">
        <f t="shared" si="52"/>
        <v>2023/24</v>
      </c>
      <c r="J160" s="149" t="str">
        <f t="shared" si="52"/>
        <v>2024/25</v>
      </c>
      <c r="K160" s="149" t="str">
        <f t="shared" si="52"/>
        <v>2025/26</v>
      </c>
      <c r="L160" s="149" t="str">
        <f t="shared" si="52"/>
        <v>2026/27</v>
      </c>
      <c r="M160" s="149" t="str">
        <f t="shared" si="52"/>
        <v>2027/28</v>
      </c>
      <c r="N160" s="149" t="str">
        <f t="shared" si="52"/>
        <v>2028/29</v>
      </c>
    </row>
    <row r="161" spans="1:14">
      <c r="B161" s="149" t="str">
        <f t="shared" si="51"/>
        <v>20-24</v>
      </c>
      <c r="C161" s="447">
        <f>C93*Calc_PRIM_retirement_rates!$G140</f>
        <v>0</v>
      </c>
      <c r="D161" s="447">
        <f>D93*Calc_PRIM_retirement_rates!$G140</f>
        <v>0</v>
      </c>
      <c r="E161" s="447">
        <f>E93*Calc_PRIM_retirement_rates!$G140</f>
        <v>0</v>
      </c>
      <c r="F161" s="447">
        <f>F93*Calc_PRIM_retirement_rates!$G140</f>
        <v>0</v>
      </c>
      <c r="G161" s="447">
        <f>G93*Calc_PRIM_retirement_rates!$G140</f>
        <v>0</v>
      </c>
      <c r="H161" s="447">
        <f>H93*Calc_PRIM_retirement_rates!$G140</f>
        <v>0</v>
      </c>
      <c r="I161" s="447">
        <f>I93*Calc_PRIM_retirement_rates!$G140</f>
        <v>0</v>
      </c>
      <c r="J161" s="447">
        <f>J93*Calc_PRIM_retirement_rates!$G140</f>
        <v>0</v>
      </c>
      <c r="K161" s="447">
        <f>K93*Calc_PRIM_retirement_rates!$G140</f>
        <v>0</v>
      </c>
      <c r="L161" s="447">
        <f>L93*Calc_PRIM_retirement_rates!$G140</f>
        <v>0</v>
      </c>
      <c r="M161" s="447">
        <f>M93*Calc_PRIM_retirement_rates!$G140</f>
        <v>0</v>
      </c>
      <c r="N161" s="447">
        <f>N93*Calc_PRIM_retirement_rates!$G140</f>
        <v>0</v>
      </c>
    </row>
    <row r="162" spans="1:14">
      <c r="B162" s="149" t="str">
        <f t="shared" si="51"/>
        <v>25-29</v>
      </c>
      <c r="C162" s="447">
        <f>C94*Calc_PRIM_retirement_rates!$G141</f>
        <v>0</v>
      </c>
      <c r="D162" s="447">
        <f>D94*Calc_PRIM_retirement_rates!$G141</f>
        <v>0</v>
      </c>
      <c r="E162" s="447">
        <f>E94*Calc_PRIM_retirement_rates!$G141</f>
        <v>0</v>
      </c>
      <c r="F162" s="447">
        <f>F94*Calc_PRIM_retirement_rates!$G141</f>
        <v>0</v>
      </c>
      <c r="G162" s="447">
        <f>G94*Calc_PRIM_retirement_rates!$G141</f>
        <v>0</v>
      </c>
      <c r="H162" s="447">
        <f>H94*Calc_PRIM_retirement_rates!$G141</f>
        <v>0</v>
      </c>
      <c r="I162" s="447">
        <f>I94*Calc_PRIM_retirement_rates!$G141</f>
        <v>0</v>
      </c>
      <c r="J162" s="447">
        <f>J94*Calc_PRIM_retirement_rates!$G141</f>
        <v>0</v>
      </c>
      <c r="K162" s="447">
        <f>K94*Calc_PRIM_retirement_rates!$G141</f>
        <v>0</v>
      </c>
      <c r="L162" s="447">
        <f>L94*Calc_PRIM_retirement_rates!$G141</f>
        <v>0</v>
      </c>
      <c r="M162" s="447">
        <f>M94*Calc_PRIM_retirement_rates!$G141</f>
        <v>0</v>
      </c>
      <c r="N162" s="447">
        <f>N94*Calc_PRIM_retirement_rates!$G141</f>
        <v>0</v>
      </c>
    </row>
    <row r="163" spans="1:14">
      <c r="B163" s="149" t="str">
        <f t="shared" si="51"/>
        <v>30-34</v>
      </c>
      <c r="C163" s="447">
        <f>C95*Calc_PRIM_retirement_rates!$G142</f>
        <v>3.697676088252547</v>
      </c>
      <c r="D163" s="447">
        <f>D95*Calc_PRIM_retirement_rates!$G142</f>
        <v>3.7063291665691338</v>
      </c>
      <c r="E163" s="447">
        <f>E95*Calc_PRIM_retirement_rates!$G142</f>
        <v>3.6810883488844408</v>
      </c>
      <c r="F163" s="447">
        <f>F95*Calc_PRIM_retirement_rates!$G142</f>
        <v>3.6471228290259226</v>
      </c>
      <c r="G163" s="447">
        <f>G95*Calc_PRIM_retirement_rates!$G142</f>
        <v>3.6205478631902817</v>
      </c>
      <c r="H163" s="447">
        <f>H95*Calc_PRIM_retirement_rates!$G142</f>
        <v>3.6013048130967267</v>
      </c>
      <c r="I163" s="447">
        <f>I95*Calc_PRIM_retirement_rates!$G142</f>
        <v>3.5877042395624192</v>
      </c>
      <c r="J163" s="447">
        <f>J95*Calc_PRIM_retirement_rates!$G142</f>
        <v>3.5773821197183842</v>
      </c>
      <c r="K163" s="447">
        <f>K95*Calc_PRIM_retirement_rates!$G142</f>
        <v>3.5793189790386073</v>
      </c>
      <c r="L163" s="447">
        <f>L95*Calc_PRIM_retirement_rates!$G142</f>
        <v>3.591173926314752</v>
      </c>
      <c r="M163" s="447">
        <f>M95*Calc_PRIM_retirement_rates!$G142</f>
        <v>3.6073885110674722</v>
      </c>
      <c r="N163" s="447">
        <f>N95*Calc_PRIM_retirement_rates!$G142</f>
        <v>3.6237224864311459</v>
      </c>
    </row>
    <row r="164" spans="1:14">
      <c r="B164" s="149" t="str">
        <f t="shared" si="51"/>
        <v>35-39</v>
      </c>
      <c r="C164" s="447">
        <f>C96*Calc_PRIM_retirement_rates!$G143</f>
        <v>7.5343305870551465</v>
      </c>
      <c r="D164" s="447">
        <f>D96*Calc_PRIM_retirement_rates!$G143</f>
        <v>7.596839893984086</v>
      </c>
      <c r="E164" s="447">
        <f>E96*Calc_PRIM_retirement_rates!$G143</f>
        <v>7.6155512052048424</v>
      </c>
      <c r="F164" s="447">
        <f>F96*Calc_PRIM_retirement_rates!$G143</f>
        <v>7.6022373367861853</v>
      </c>
      <c r="G164" s="447">
        <f>G96*Calc_PRIM_retirement_rates!$G143</f>
        <v>7.5762352437460443</v>
      </c>
      <c r="H164" s="447">
        <f>H96*Calc_PRIM_retirement_rates!$G143</f>
        <v>7.541861896824309</v>
      </c>
      <c r="I164" s="447">
        <f>I96*Calc_PRIM_retirement_rates!$G143</f>
        <v>7.5034274845926268</v>
      </c>
      <c r="J164" s="447">
        <f>J96*Calc_PRIM_retirement_rates!$G143</f>
        <v>7.4637696142546339</v>
      </c>
      <c r="K164" s="447">
        <f>K96*Calc_PRIM_retirement_rates!$G143</f>
        <v>7.4416448409279283</v>
      </c>
      <c r="L164" s="447">
        <f>L96*Calc_PRIM_retirement_rates!$G143</f>
        <v>7.4352237281938249</v>
      </c>
      <c r="M164" s="447">
        <f>M96*Calc_PRIM_retirement_rates!$G143</f>
        <v>7.4375361067782411</v>
      </c>
      <c r="N164" s="447">
        <f>N96*Calc_PRIM_retirement_rates!$G143</f>
        <v>7.4436899156263099</v>
      </c>
    </row>
    <row r="165" spans="1:14">
      <c r="B165" s="149" t="str">
        <f t="shared" si="51"/>
        <v>40-44</v>
      </c>
      <c r="C165" s="447">
        <f>C97*Calc_PRIM_retirement_rates!$G144</f>
        <v>14.142026090432589</v>
      </c>
      <c r="D165" s="447">
        <f>D97*Calc_PRIM_retirement_rates!$G144</f>
        <v>14.317673656461865</v>
      </c>
      <c r="E165" s="447">
        <f>E97*Calc_PRIM_retirement_rates!$G144</f>
        <v>14.413813837405858</v>
      </c>
      <c r="F165" s="447">
        <f>F97*Calc_PRIM_retirement_rates!$G144</f>
        <v>14.461510391077782</v>
      </c>
      <c r="G165" s="447">
        <f>G97*Calc_PRIM_retirement_rates!$G144</f>
        <v>14.487943356627429</v>
      </c>
      <c r="H165" s="447">
        <f>H97*Calc_PRIM_retirement_rates!$G144</f>
        <v>14.489299697167437</v>
      </c>
      <c r="I165" s="447">
        <f>I97*Calc_PRIM_retirement_rates!$G144</f>
        <v>14.467374022917909</v>
      </c>
      <c r="J165" s="447">
        <f>J97*Calc_PRIM_retirement_rates!$G144</f>
        <v>14.425760207506141</v>
      </c>
      <c r="K165" s="447">
        <f>K97*Calc_PRIM_retirement_rates!$G144</f>
        <v>14.401141160014559</v>
      </c>
      <c r="L165" s="447">
        <f>L97*Calc_PRIM_retirement_rates!$G144</f>
        <v>14.391632029966177</v>
      </c>
      <c r="M165" s="447">
        <f>M97*Calc_PRIM_retirement_rates!$G144</f>
        <v>14.386403611232627</v>
      </c>
      <c r="N165" s="447">
        <f>N97*Calc_PRIM_retirement_rates!$G144</f>
        <v>14.379483634306675</v>
      </c>
    </row>
    <row r="166" spans="1:14">
      <c r="B166" s="149" t="str">
        <f t="shared" si="51"/>
        <v>45-49</v>
      </c>
      <c r="C166" s="447">
        <f>C98*Calc_PRIM_retirement_rates!$G145</f>
        <v>25.405836690497829</v>
      </c>
      <c r="D166" s="447">
        <f>D98*Calc_PRIM_retirement_rates!$G145</f>
        <v>25.804006454446498</v>
      </c>
      <c r="E166" s="447">
        <f>E98*Calc_PRIM_retirement_rates!$G145</f>
        <v>26.06963202784284</v>
      </c>
      <c r="F166" s="447">
        <f>F98*Calc_PRIM_retirement_rates!$G145</f>
        <v>26.247665088394175</v>
      </c>
      <c r="G166" s="447">
        <f>G98*Calc_PRIM_retirement_rates!$G145</f>
        <v>26.386777292710246</v>
      </c>
      <c r="H166" s="447">
        <f>H98*Calc_PRIM_retirement_rates!$G145</f>
        <v>26.485200961063914</v>
      </c>
      <c r="I166" s="447">
        <f>I98*Calc_PRIM_retirement_rates!$G145</f>
        <v>26.541493707483227</v>
      </c>
      <c r="J166" s="447">
        <f>J98*Calc_PRIM_retirement_rates!$G145</f>
        <v>26.556362413093076</v>
      </c>
      <c r="K166" s="447">
        <f>K98*Calc_PRIM_retirement_rates!$G145</f>
        <v>26.585534917015082</v>
      </c>
      <c r="L166" s="447">
        <f>L98*Calc_PRIM_retirement_rates!$G145</f>
        <v>26.625205471885437</v>
      </c>
      <c r="M166" s="447">
        <f>M98*Calc_PRIM_retirement_rates!$G145</f>
        <v>26.657562776092906</v>
      </c>
      <c r="N166" s="447">
        <f>N98*Calc_PRIM_retirement_rates!$G145</f>
        <v>26.672942192572282</v>
      </c>
    </row>
    <row r="167" spans="1:14">
      <c r="B167" s="149" t="str">
        <f t="shared" si="51"/>
        <v>50-54</v>
      </c>
      <c r="C167" s="447">
        <f>C99*Calc_PRIM_retirement_rates!$G146</f>
        <v>366.63617280520282</v>
      </c>
      <c r="D167" s="447">
        <f>D99*Calc_PRIM_retirement_rates!$G146</f>
        <v>365.50631768028205</v>
      </c>
      <c r="E167" s="447">
        <f>E99*Calc_PRIM_retirement_rates!$G146</f>
        <v>364.83334308153144</v>
      </c>
      <c r="F167" s="447">
        <f>F99*Calc_PRIM_retirement_rates!$G146</f>
        <v>364.44757926773434</v>
      </c>
      <c r="G167" s="447">
        <f>G99*Calc_PRIM_retirement_rates!$G146</f>
        <v>364.53358723000895</v>
      </c>
      <c r="H167" s="447">
        <f>H99*Calc_PRIM_retirement_rates!$G146</f>
        <v>364.88285367030119</v>
      </c>
      <c r="I167" s="447">
        <f>I99*Calc_PRIM_retirement_rates!$G146</f>
        <v>365.25711945800543</v>
      </c>
      <c r="J167" s="447">
        <f>J99*Calc_PRIM_retirement_rates!$G146</f>
        <v>365.49397482717893</v>
      </c>
      <c r="K167" s="447">
        <f>K99*Calc_PRIM_retirement_rates!$G146</f>
        <v>366.11361809132887</v>
      </c>
      <c r="L167" s="447">
        <f>L99*Calc_PRIM_retirement_rates!$G146</f>
        <v>366.97701845761873</v>
      </c>
      <c r="M167" s="447">
        <f>M99*Calc_PRIM_retirement_rates!$G146</f>
        <v>367.80397615036611</v>
      </c>
      <c r="N167" s="447">
        <f>N99*Calc_PRIM_retirement_rates!$G146</f>
        <v>368.4252215922595</v>
      </c>
    </row>
    <row r="168" spans="1:14">
      <c r="B168" s="149" t="str">
        <f t="shared" si="51"/>
        <v>55-59</v>
      </c>
      <c r="C168" s="447">
        <f>C100*Calc_PRIM_retirement_rates!$G147</f>
        <v>2237.6911971734949</v>
      </c>
      <c r="D168" s="447">
        <f>D100*Calc_PRIM_retirement_rates!$G147</f>
        <v>2116.0098489820007</v>
      </c>
      <c r="E168" s="447">
        <f>E100*Calc_PRIM_retirement_rates!$G147</f>
        <v>2031.6252732109435</v>
      </c>
      <c r="F168" s="447">
        <f>F100*Calc_PRIM_retirement_rates!$G147</f>
        <v>1973.9563108555615</v>
      </c>
      <c r="G168" s="447">
        <f>G100*Calc_PRIM_retirement_rates!$G147</f>
        <v>1936.5167667621934</v>
      </c>
      <c r="H168" s="447">
        <f>H100*Calc_PRIM_retirement_rates!$G147</f>
        <v>1912.3517083508391</v>
      </c>
      <c r="I168" s="447">
        <f>I100*Calc_PRIM_retirement_rates!$G147</f>
        <v>1896.7396658723414</v>
      </c>
      <c r="J168" s="447">
        <f>J100*Calc_PRIM_retirement_rates!$G147</f>
        <v>1886.4095007531107</v>
      </c>
      <c r="K168" s="447">
        <f>K100*Calc_PRIM_retirement_rates!$G147</f>
        <v>1882.5822633030227</v>
      </c>
      <c r="L168" s="447">
        <f>L100*Calc_PRIM_retirement_rates!$G147</f>
        <v>1883.021787817413</v>
      </c>
      <c r="M168" s="447">
        <f>M100*Calc_PRIM_retirement_rates!$G147</f>
        <v>1885.1642138687689</v>
      </c>
      <c r="N168" s="447">
        <f>N100*Calc_PRIM_retirement_rates!$G147</f>
        <v>1887.4423770052165</v>
      </c>
    </row>
    <row r="169" spans="1:14">
      <c r="B169" s="149" t="str">
        <f t="shared" si="51"/>
        <v>60-64</v>
      </c>
      <c r="C169" s="447">
        <f>C101*Calc_PRIM_retirement_rates!$G148</f>
        <v>1879.0676857459771</v>
      </c>
      <c r="D169" s="447">
        <f>D101*Calc_PRIM_retirement_rates!$G148</f>
        <v>1746.5931073747051</v>
      </c>
      <c r="E169" s="447">
        <f>E101*Calc_PRIM_retirement_rates!$G148</f>
        <v>1635.6758964623896</v>
      </c>
      <c r="F169" s="447">
        <f>F101*Calc_PRIM_retirement_rates!$G148</f>
        <v>1550.0567700125584</v>
      </c>
      <c r="G169" s="447">
        <f>G101*Calc_PRIM_retirement_rates!$G148</f>
        <v>1488.3499734709096</v>
      </c>
      <c r="H169" s="447">
        <f>H101*Calc_PRIM_retirement_rates!$G148</f>
        <v>1444.3227427641393</v>
      </c>
      <c r="I169" s="447">
        <f>I101*Calc_PRIM_retirement_rates!$G148</f>
        <v>1413.2299039153327</v>
      </c>
      <c r="J169" s="447">
        <f>J101*Calc_PRIM_retirement_rates!$G148</f>
        <v>1391.2837197661177</v>
      </c>
      <c r="K169" s="447">
        <f>K101*Calc_PRIM_retirement_rates!$G148</f>
        <v>1379.0092295007187</v>
      </c>
      <c r="L169" s="447">
        <f>L101*Calc_PRIM_retirement_rates!$G148</f>
        <v>1373.2646906988573</v>
      </c>
      <c r="M169" s="447">
        <f>M101*Calc_PRIM_retirement_rates!$G148</f>
        <v>1370.8388394444171</v>
      </c>
      <c r="N169" s="447">
        <f>N101*Calc_PRIM_retirement_rates!$G148</f>
        <v>1369.7915434784263</v>
      </c>
    </row>
    <row r="170" spans="1:14">
      <c r="B170" s="149" t="str">
        <f t="shared" si="51"/>
        <v>65 plus</v>
      </c>
      <c r="C170" s="447">
        <f>C102*Calc_PRIM_retirement_rates!$G149</f>
        <v>511.91808687125717</v>
      </c>
      <c r="D170" s="447">
        <f>D102*Calc_PRIM_retirement_rates!$G149</f>
        <v>598.20367706746777</v>
      </c>
      <c r="E170" s="447">
        <f>E102*Calc_PRIM_retirement_rates!$G149</f>
        <v>633.53108774609893</v>
      </c>
      <c r="F170" s="447">
        <f>F102*Calc_PRIM_retirement_rates!$G149</f>
        <v>640.34874515456693</v>
      </c>
      <c r="G170" s="447">
        <f>G102*Calc_PRIM_retirement_rates!$G149</f>
        <v>633.53337728097426</v>
      </c>
      <c r="H170" s="447">
        <f>H102*Calc_PRIM_retirement_rates!$G149</f>
        <v>621.20816598670513</v>
      </c>
      <c r="I170" s="447">
        <f>I102*Calc_PRIM_retirement_rates!$G149</f>
        <v>607.5775928332954</v>
      </c>
      <c r="J170" s="447">
        <f>J102*Calc_PRIM_retirement_rates!$G149</f>
        <v>594.70863472618839</v>
      </c>
      <c r="K170" s="447">
        <f>K102*Calc_PRIM_retirement_rates!$G149</f>
        <v>584.72739739346002</v>
      </c>
      <c r="L170" s="447">
        <f>L102*Calc_PRIM_retirement_rates!$G149</f>
        <v>577.60789463365336</v>
      </c>
      <c r="M170" s="447">
        <f>M102*Calc_PRIM_retirement_rates!$G149</f>
        <v>572.59434683304653</v>
      </c>
      <c r="N170" s="447">
        <f>N102*Calc_PRIM_retirement_rates!$G149</f>
        <v>568.99457540393587</v>
      </c>
    </row>
    <row r="171" spans="1:14">
      <c r="B171" s="149" t="str">
        <f t="shared" si="51"/>
        <v>Total</v>
      </c>
      <c r="C171" s="447">
        <f t="shared" ref="C171:N171" si="53">SUM(C161:C170)</f>
        <v>5046.0930120521698</v>
      </c>
      <c r="D171" s="447">
        <f t="shared" si="53"/>
        <v>4877.7378002759169</v>
      </c>
      <c r="E171" s="447">
        <f t="shared" si="53"/>
        <v>4717.4456859203019</v>
      </c>
      <c r="F171" s="447">
        <f t="shared" si="53"/>
        <v>4580.7679409357052</v>
      </c>
      <c r="G171" s="447">
        <f t="shared" si="53"/>
        <v>4475.0052085003608</v>
      </c>
      <c r="H171" s="447">
        <f t="shared" si="53"/>
        <v>4394.8831381401378</v>
      </c>
      <c r="I171" s="447">
        <f t="shared" si="53"/>
        <v>4334.9042815335315</v>
      </c>
      <c r="J171" s="447">
        <f t="shared" si="53"/>
        <v>4289.9191044271674</v>
      </c>
      <c r="K171" s="447">
        <f t="shared" si="53"/>
        <v>4264.4401481855266</v>
      </c>
      <c r="L171" s="447">
        <f t="shared" si="53"/>
        <v>4252.9146267639026</v>
      </c>
      <c r="M171" s="447">
        <f t="shared" si="53"/>
        <v>4248.4902673017696</v>
      </c>
      <c r="N171" s="447">
        <f t="shared" si="53"/>
        <v>4246.7735557087744</v>
      </c>
    </row>
    <row r="172" spans="1:14">
      <c r="A172" s="10">
        <f>SUM(C172:N172)</f>
        <v>0</v>
      </c>
      <c r="C172" s="10">
        <f t="shared" ref="C172:N172" si="54">SUM(C161:C170)-C171</f>
        <v>0</v>
      </c>
      <c r="D172" s="10">
        <f t="shared" si="54"/>
        <v>0</v>
      </c>
      <c r="E172" s="10">
        <f t="shared" si="54"/>
        <v>0</v>
      </c>
      <c r="F172" s="10">
        <f t="shared" si="54"/>
        <v>0</v>
      </c>
      <c r="G172" s="10">
        <f t="shared" si="54"/>
        <v>0</v>
      </c>
      <c r="H172" s="10">
        <f t="shared" si="54"/>
        <v>0</v>
      </c>
      <c r="I172" s="10">
        <f t="shared" si="54"/>
        <v>0</v>
      </c>
      <c r="J172" s="10">
        <f t="shared" si="54"/>
        <v>0</v>
      </c>
      <c r="K172" s="10">
        <f t="shared" si="54"/>
        <v>0</v>
      </c>
      <c r="L172" s="10">
        <f t="shared" si="54"/>
        <v>0</v>
      </c>
      <c r="M172" s="10">
        <f t="shared" si="54"/>
        <v>0</v>
      </c>
      <c r="N172" s="10">
        <f t="shared" si="54"/>
        <v>0</v>
      </c>
    </row>
    <row r="173" spans="1:14">
      <c r="A173" s="10"/>
      <c r="C173" s="10"/>
      <c r="D173" s="10"/>
      <c r="E173" s="10"/>
      <c r="F173" s="10"/>
      <c r="G173" s="10"/>
      <c r="H173" s="10"/>
      <c r="I173" s="10"/>
      <c r="J173" s="10"/>
      <c r="K173" s="10"/>
      <c r="L173" s="10"/>
      <c r="M173" s="10"/>
      <c r="N173" s="10"/>
    </row>
    <row r="174" spans="1:14" ht="15.75">
      <c r="B174" s="77" t="s">
        <v>527</v>
      </c>
      <c r="H174" s="12"/>
    </row>
    <row r="175" spans="1:14">
      <c r="H175" s="12"/>
    </row>
    <row r="176" spans="1:14">
      <c r="B176" s="75" t="s">
        <v>46</v>
      </c>
      <c r="H176" s="12"/>
    </row>
    <row r="177" spans="1:14">
      <c r="H177" s="12"/>
    </row>
    <row r="178" spans="1:14">
      <c r="B178" s="149" t="str">
        <f t="shared" ref="B178:B189" si="55">B144</f>
        <v>Age group</v>
      </c>
      <c r="C178" s="149" t="str">
        <f t="shared" ref="C178:N178" si="56">C144</f>
        <v>2017/18</v>
      </c>
      <c r="D178" s="149" t="str">
        <f t="shared" si="56"/>
        <v>2018/19</v>
      </c>
      <c r="E178" s="149" t="str">
        <f t="shared" si="56"/>
        <v>2019/20</v>
      </c>
      <c r="F178" s="149" t="str">
        <f t="shared" si="56"/>
        <v>2020/21</v>
      </c>
      <c r="G178" s="149" t="str">
        <f t="shared" si="56"/>
        <v>2021/22</v>
      </c>
      <c r="H178" s="149" t="str">
        <f t="shared" si="56"/>
        <v>2022/23</v>
      </c>
      <c r="I178" s="149" t="str">
        <f t="shared" si="56"/>
        <v>2023/24</v>
      </c>
      <c r="J178" s="149" t="str">
        <f t="shared" si="56"/>
        <v>2024/25</v>
      </c>
      <c r="K178" s="149" t="str">
        <f t="shared" si="56"/>
        <v>2025/26</v>
      </c>
      <c r="L178" s="149" t="str">
        <f t="shared" si="56"/>
        <v>2026/27</v>
      </c>
      <c r="M178" s="149" t="str">
        <f t="shared" si="56"/>
        <v>2027/28</v>
      </c>
      <c r="N178" s="149" t="str">
        <f t="shared" si="56"/>
        <v>2028/29</v>
      </c>
    </row>
    <row r="179" spans="1:14">
      <c r="B179" s="149" t="str">
        <f t="shared" si="55"/>
        <v>20-24</v>
      </c>
      <c r="C179" s="525">
        <f>C77*Calc_PRIM_death_rates!$G124</f>
        <v>0</v>
      </c>
      <c r="D179" s="525">
        <f>D77*Calc_PRIM_death_rates!$G124</f>
        <v>0</v>
      </c>
      <c r="E179" s="525">
        <f>E77*Calc_PRIM_death_rates!$G124</f>
        <v>0</v>
      </c>
      <c r="F179" s="525">
        <f>F77*Calc_PRIM_death_rates!$G124</f>
        <v>0</v>
      </c>
      <c r="G179" s="525">
        <f>G77*Calc_PRIM_death_rates!$G124</f>
        <v>0</v>
      </c>
      <c r="H179" s="525">
        <f>H77*Calc_PRIM_death_rates!$G124</f>
        <v>0</v>
      </c>
      <c r="I179" s="525">
        <f>I77*Calc_PRIM_death_rates!$G124</f>
        <v>0</v>
      </c>
      <c r="J179" s="525">
        <f>J77*Calc_PRIM_death_rates!$G124</f>
        <v>0</v>
      </c>
      <c r="K179" s="525">
        <f>K77*Calc_PRIM_death_rates!$G124</f>
        <v>0</v>
      </c>
      <c r="L179" s="525">
        <f>L77*Calc_PRIM_death_rates!$G124</f>
        <v>0</v>
      </c>
      <c r="M179" s="525">
        <f>M77*Calc_PRIM_death_rates!$G124</f>
        <v>0</v>
      </c>
      <c r="N179" s="525">
        <f>N77*Calc_PRIM_death_rates!$G124</f>
        <v>0</v>
      </c>
    </row>
    <row r="180" spans="1:14">
      <c r="B180" s="149" t="str">
        <f t="shared" si="55"/>
        <v>25-29</v>
      </c>
      <c r="C180" s="525">
        <f>C78*Calc_PRIM_death_rates!$G125</f>
        <v>0</v>
      </c>
      <c r="D180" s="525">
        <f>D78*Calc_PRIM_death_rates!$G125</f>
        <v>0</v>
      </c>
      <c r="E180" s="525">
        <f>E78*Calc_PRIM_death_rates!$G125</f>
        <v>0</v>
      </c>
      <c r="F180" s="525">
        <f>F78*Calc_PRIM_death_rates!$G125</f>
        <v>0</v>
      </c>
      <c r="G180" s="525">
        <f>G78*Calc_PRIM_death_rates!$G125</f>
        <v>0</v>
      </c>
      <c r="H180" s="525">
        <f>H78*Calc_PRIM_death_rates!$G125</f>
        <v>0</v>
      </c>
      <c r="I180" s="525">
        <f>I78*Calc_PRIM_death_rates!$G125</f>
        <v>0</v>
      </c>
      <c r="J180" s="525">
        <f>J78*Calc_PRIM_death_rates!$G125</f>
        <v>0</v>
      </c>
      <c r="K180" s="525">
        <f>K78*Calc_PRIM_death_rates!$G125</f>
        <v>0</v>
      </c>
      <c r="L180" s="525">
        <f>L78*Calc_PRIM_death_rates!$G125</f>
        <v>0</v>
      </c>
      <c r="M180" s="525">
        <f>M78*Calc_PRIM_death_rates!$G125</f>
        <v>0</v>
      </c>
      <c r="N180" s="525">
        <f>N78*Calc_PRIM_death_rates!$G125</f>
        <v>0</v>
      </c>
    </row>
    <row r="181" spans="1:14">
      <c r="B181" s="149" t="str">
        <f t="shared" si="55"/>
        <v>30-34</v>
      </c>
      <c r="C181" s="525">
        <f>C79*Calc_PRIM_death_rates!$G126</f>
        <v>0</v>
      </c>
      <c r="D181" s="525">
        <f>D79*Calc_PRIM_death_rates!$G126</f>
        <v>0</v>
      </c>
      <c r="E181" s="525">
        <f>E79*Calc_PRIM_death_rates!$G126</f>
        <v>0</v>
      </c>
      <c r="F181" s="525">
        <f>F79*Calc_PRIM_death_rates!$G126</f>
        <v>0</v>
      </c>
      <c r="G181" s="525">
        <f>G79*Calc_PRIM_death_rates!$G126</f>
        <v>0</v>
      </c>
      <c r="H181" s="525">
        <f>H79*Calc_PRIM_death_rates!$G126</f>
        <v>0</v>
      </c>
      <c r="I181" s="525">
        <f>I79*Calc_PRIM_death_rates!$G126</f>
        <v>0</v>
      </c>
      <c r="J181" s="525">
        <f>J79*Calc_PRIM_death_rates!$G126</f>
        <v>0</v>
      </c>
      <c r="K181" s="525">
        <f>K79*Calc_PRIM_death_rates!$G126</f>
        <v>0</v>
      </c>
      <c r="L181" s="525">
        <f>L79*Calc_PRIM_death_rates!$G126</f>
        <v>0</v>
      </c>
      <c r="M181" s="525">
        <f>M79*Calc_PRIM_death_rates!$G126</f>
        <v>0</v>
      </c>
      <c r="N181" s="525">
        <f>N79*Calc_PRIM_death_rates!$G126</f>
        <v>0</v>
      </c>
    </row>
    <row r="182" spans="1:14">
      <c r="B182" s="149" t="str">
        <f t="shared" si="55"/>
        <v>35-39</v>
      </c>
      <c r="C182" s="525">
        <f>C80*Calc_PRIM_death_rates!$G127</f>
        <v>2.9714707990519265</v>
      </c>
      <c r="D182" s="525">
        <f>D80*Calc_PRIM_death_rates!$G127</f>
        <v>3.0195303197856993</v>
      </c>
      <c r="E182" s="525">
        <f>E80*Calc_PRIM_death_rates!$G127</f>
        <v>3.0361906788810353</v>
      </c>
      <c r="F182" s="525">
        <f>F80*Calc_PRIM_death_rates!$G127</f>
        <v>3.0166911369671228</v>
      </c>
      <c r="G182" s="525">
        <f>G80*Calc_PRIM_death_rates!$G127</f>
        <v>2.9875427377584058</v>
      </c>
      <c r="H182" s="525">
        <f>H80*Calc_PRIM_death_rates!$G127</f>
        <v>2.9477114979329193</v>
      </c>
      <c r="I182" s="525">
        <f>I80*Calc_PRIM_death_rates!$G127</f>
        <v>2.9028535475804138</v>
      </c>
      <c r="J182" s="525">
        <f>J80*Calc_PRIM_death_rates!$G127</f>
        <v>2.8568767035946623</v>
      </c>
      <c r="K182" s="525">
        <f>K80*Calc_PRIM_death_rates!$G127</f>
        <v>2.8186157505515133</v>
      </c>
      <c r="L182" s="525">
        <f>L80*Calc_PRIM_death_rates!$G127</f>
        <v>2.7885205461735341</v>
      </c>
      <c r="M182" s="525">
        <f>M80*Calc_PRIM_death_rates!$G127</f>
        <v>2.7645661769748968</v>
      </c>
      <c r="N182" s="525">
        <f>N80*Calc_PRIM_death_rates!$G127</f>
        <v>2.7451065315272256</v>
      </c>
    </row>
    <row r="183" spans="1:14">
      <c r="B183" s="149" t="str">
        <f t="shared" si="55"/>
        <v>40-44</v>
      </c>
      <c r="C183" s="525">
        <f>C81*Calc_PRIM_death_rates!$G128</f>
        <v>1.7977948014445997</v>
      </c>
      <c r="D183" s="525">
        <f>D81*Calc_PRIM_death_rates!$G128</f>
        <v>1.820035700437453</v>
      </c>
      <c r="E183" s="525">
        <f>E81*Calc_PRIM_death_rates!$G128</f>
        <v>1.8415105080897485</v>
      </c>
      <c r="F183" s="525">
        <f>F81*Calc_PRIM_death_rates!$G128</f>
        <v>1.8520269857887517</v>
      </c>
      <c r="G183" s="525">
        <f>G81*Calc_PRIM_death_rates!$G128</f>
        <v>1.8615575944478762</v>
      </c>
      <c r="H183" s="525">
        <f>H81*Calc_PRIM_death_rates!$G128</f>
        <v>1.8637546705831296</v>
      </c>
      <c r="I183" s="525">
        <f>I81*Calc_PRIM_death_rates!$G128</f>
        <v>1.8590198214111839</v>
      </c>
      <c r="J183" s="525">
        <f>J81*Calc_PRIM_death_rates!$G128</f>
        <v>1.8484498137537184</v>
      </c>
      <c r="K183" s="525">
        <f>K81*Calc_PRIM_death_rates!$G128</f>
        <v>1.837505184178156</v>
      </c>
      <c r="L183" s="525">
        <f>L81*Calc_PRIM_death_rates!$G128</f>
        <v>1.8267655335959248</v>
      </c>
      <c r="M183" s="525">
        <f>M81*Calc_PRIM_death_rates!$G128</f>
        <v>1.8156073477828796</v>
      </c>
      <c r="N183" s="525">
        <f>N81*Calc_PRIM_death_rates!$G128</f>
        <v>1.8039005568123598</v>
      </c>
    </row>
    <row r="184" spans="1:14">
      <c r="B184" s="149" t="str">
        <f t="shared" si="55"/>
        <v>45-49</v>
      </c>
      <c r="C184" s="525">
        <f>C82*Calc_PRIM_death_rates!$G129</f>
        <v>6.3804661240732052</v>
      </c>
      <c r="D184" s="525">
        <f>D82*Calc_PRIM_death_rates!$G129</f>
        <v>6.4674917118517783</v>
      </c>
      <c r="E184" s="525">
        <f>E82*Calc_PRIM_death_rates!$G129</f>
        <v>6.5475481265568893</v>
      </c>
      <c r="F184" s="525">
        <f>F82*Calc_PRIM_death_rates!$G129</f>
        <v>6.5950095969779987</v>
      </c>
      <c r="G184" s="525">
        <f>G82*Calc_PRIM_death_rates!$G129</f>
        <v>6.6537155464704538</v>
      </c>
      <c r="H184" s="525">
        <f>H82*Calc_PRIM_death_rates!$G129</f>
        <v>6.7001457187622515</v>
      </c>
      <c r="I184" s="525">
        <f>I82*Calc_PRIM_death_rates!$G129</f>
        <v>6.7312125988489084</v>
      </c>
      <c r="J184" s="525">
        <f>J82*Calc_PRIM_death_rates!$G129</f>
        <v>6.7452757931919161</v>
      </c>
      <c r="K184" s="525">
        <f>K82*Calc_PRIM_death_rates!$G129</f>
        <v>6.7561248604920792</v>
      </c>
      <c r="L184" s="525">
        <f>L82*Calc_PRIM_death_rates!$G129</f>
        <v>6.7626451182394298</v>
      </c>
      <c r="M184" s="525">
        <f>M82*Calc_PRIM_death_rates!$G129</f>
        <v>6.7607342672615109</v>
      </c>
      <c r="N184" s="525">
        <f>N82*Calc_PRIM_death_rates!$G129</f>
        <v>6.7489077817050713</v>
      </c>
    </row>
    <row r="185" spans="1:14">
      <c r="B185" s="149" t="str">
        <f t="shared" si="55"/>
        <v>50-54</v>
      </c>
      <c r="C185" s="525">
        <f>C83*Calc_PRIM_death_rates!$G130</f>
        <v>5.2498668093519703</v>
      </c>
      <c r="D185" s="525">
        <f>D83*Calc_PRIM_death_rates!$G130</f>
        <v>5.2572218223209619</v>
      </c>
      <c r="E185" s="525">
        <f>E83*Calc_PRIM_death_rates!$G130</f>
        <v>5.2814123274181517</v>
      </c>
      <c r="F185" s="525">
        <f>F83*Calc_PRIM_death_rates!$G130</f>
        <v>5.2920468333735755</v>
      </c>
      <c r="G185" s="525">
        <f>G83*Calc_PRIM_death_rates!$G130</f>
        <v>5.3214058597983973</v>
      </c>
      <c r="H185" s="525">
        <f>H83*Calc_PRIM_death_rates!$G130</f>
        <v>5.3509768984624273</v>
      </c>
      <c r="I185" s="525">
        <f>I83*Calc_PRIM_death_rates!$G130</f>
        <v>5.3778275885016722</v>
      </c>
      <c r="J185" s="525">
        <f>J83*Calc_PRIM_death_rates!$G130</f>
        <v>5.3994844461657783</v>
      </c>
      <c r="K185" s="525">
        <f>K83*Calc_PRIM_death_rates!$G130</f>
        <v>5.4239182019705634</v>
      </c>
      <c r="L185" s="525">
        <f>L83*Calc_PRIM_death_rates!$G130</f>
        <v>5.448487579407189</v>
      </c>
      <c r="M185" s="525">
        <f>M83*Calc_PRIM_death_rates!$G130</f>
        <v>5.468438648270685</v>
      </c>
      <c r="N185" s="525">
        <f>N83*Calc_PRIM_death_rates!$G130</f>
        <v>5.481017562839944</v>
      </c>
    </row>
    <row r="186" spans="1:14">
      <c r="B186" s="149" t="str">
        <f t="shared" si="55"/>
        <v>55-59</v>
      </c>
      <c r="C186" s="525">
        <f>C84*Calc_PRIM_death_rates!$G131</f>
        <v>5.8707122326041432</v>
      </c>
      <c r="D186" s="525">
        <f>D84*Calc_PRIM_death_rates!$G131</f>
        <v>5.6355522762055159</v>
      </c>
      <c r="E186" s="525">
        <f>E84*Calc_PRIM_death_rates!$G131</f>
        <v>5.4962540923681216</v>
      </c>
      <c r="F186" s="525">
        <f>F84*Calc_PRIM_death_rates!$G131</f>
        <v>5.4009609309253097</v>
      </c>
      <c r="G186" s="525">
        <f>G84*Calc_PRIM_death_rates!$G131</f>
        <v>5.3600088916759567</v>
      </c>
      <c r="H186" s="525">
        <f>H84*Calc_PRIM_death_rates!$G131</f>
        <v>5.3426445695608278</v>
      </c>
      <c r="I186" s="525">
        <f>I84*Calc_PRIM_death_rates!$G131</f>
        <v>5.3387995623087843</v>
      </c>
      <c r="J186" s="525">
        <f>J84*Calc_PRIM_death_rates!$G131</f>
        <v>5.3417221886046882</v>
      </c>
      <c r="K186" s="525">
        <f>K84*Calc_PRIM_death_rates!$G131</f>
        <v>5.3582612970589283</v>
      </c>
      <c r="L186" s="525">
        <f>L84*Calc_PRIM_death_rates!$G131</f>
        <v>5.3824319742094193</v>
      </c>
      <c r="M186" s="525">
        <f>M84*Calc_PRIM_death_rates!$G131</f>
        <v>5.4066662368095111</v>
      </c>
      <c r="N186" s="525">
        <f>N84*Calc_PRIM_death_rates!$G131</f>
        <v>5.4264858316905791</v>
      </c>
    </row>
    <row r="187" spans="1:14">
      <c r="B187" s="149" t="str">
        <f t="shared" si="55"/>
        <v>60-64</v>
      </c>
      <c r="C187" s="525">
        <f>C85*Calc_PRIM_death_rates!$G132</f>
        <v>1.8959964883704057</v>
      </c>
      <c r="D187" s="525">
        <f>D85*Calc_PRIM_death_rates!$G132</f>
        <v>1.7643939109070659</v>
      </c>
      <c r="E187" s="525">
        <f>E85*Calc_PRIM_death_rates!$G132</f>
        <v>1.6688146159564006</v>
      </c>
      <c r="F187" s="525">
        <f>F85*Calc_PRIM_death_rates!$G132</f>
        <v>1.5980238237102218</v>
      </c>
      <c r="G187" s="525">
        <f>G85*Calc_PRIM_death_rates!$G132</f>
        <v>1.5552158457545333</v>
      </c>
      <c r="H187" s="525">
        <f>H85*Calc_PRIM_death_rates!$G132</f>
        <v>1.5276581244927128</v>
      </c>
      <c r="I187" s="525">
        <f>I85*Calc_PRIM_death_rates!$G132</f>
        <v>1.5102763117424443</v>
      </c>
      <c r="J187" s="525">
        <f>J85*Calc_PRIM_death_rates!$G132</f>
        <v>1.4994517269756311</v>
      </c>
      <c r="K187" s="525">
        <f>K85*Calc_PRIM_death_rates!$G132</f>
        <v>1.4972010217751832</v>
      </c>
      <c r="L187" s="525">
        <f>L85*Calc_PRIM_death_rates!$G132</f>
        <v>1.5002830814235901</v>
      </c>
      <c r="M187" s="525">
        <f>M85*Calc_PRIM_death_rates!$G132</f>
        <v>1.5051518782594626</v>
      </c>
      <c r="N187" s="525">
        <f>N85*Calc_PRIM_death_rates!$G132</f>
        <v>1.5098015442194381</v>
      </c>
    </row>
    <row r="188" spans="1:14">
      <c r="B188" s="149" t="str">
        <f t="shared" si="55"/>
        <v>65 plus</v>
      </c>
      <c r="C188" s="525">
        <f>C86*Calc_PRIM_death_rates!$G133</f>
        <v>1.888294448863598</v>
      </c>
      <c r="D188" s="525">
        <f>D86*Calc_PRIM_death_rates!$G133</f>
        <v>2.0989619513210016</v>
      </c>
      <c r="E188" s="525">
        <f>E86*Calc_PRIM_death_rates!$G133</f>
        <v>2.1838156085987253</v>
      </c>
      <c r="F188" s="525">
        <f>F86*Calc_PRIM_death_rates!$G133</f>
        <v>2.1929181982659256</v>
      </c>
      <c r="G188" s="525">
        <f>G86*Calc_PRIM_death_rates!$G133</f>
        <v>2.1776320873241404</v>
      </c>
      <c r="H188" s="525">
        <f>H86*Calc_PRIM_death_rates!$G133</f>
        <v>2.1501986558835191</v>
      </c>
      <c r="I188" s="525">
        <f>I86*Calc_PRIM_death_rates!$G133</f>
        <v>2.1204264497706928</v>
      </c>
      <c r="J188" s="525">
        <f>J86*Calc_PRIM_death_rates!$G133</f>
        <v>2.0928332355317072</v>
      </c>
      <c r="K188" s="525">
        <f>K86*Calc_PRIM_death_rates!$G133</f>
        <v>2.0743595977870064</v>
      </c>
      <c r="L188" s="525">
        <f>L86*Calc_PRIM_death_rates!$G133</f>
        <v>2.0643596258747929</v>
      </c>
      <c r="M188" s="525">
        <f>M86*Calc_PRIM_death_rates!$G133</f>
        <v>2.0597590052484573</v>
      </c>
      <c r="N188" s="525">
        <f>N86*Calc_PRIM_death_rates!$G133</f>
        <v>2.0579906609385366</v>
      </c>
    </row>
    <row r="189" spans="1:14">
      <c r="B189" s="149" t="str">
        <f t="shared" si="55"/>
        <v>Total</v>
      </c>
      <c r="C189" s="525">
        <f>SUM(C179:C188)</f>
        <v>26.05460170375985</v>
      </c>
      <c r="D189" s="525">
        <f t="shared" ref="D189:N189" si="57">SUM(D179:D188)</f>
        <v>26.063187692829477</v>
      </c>
      <c r="E189" s="525">
        <f t="shared" si="57"/>
        <v>26.055545957869072</v>
      </c>
      <c r="F189" s="525">
        <f t="shared" si="57"/>
        <v>25.947677506008905</v>
      </c>
      <c r="G189" s="525">
        <f t="shared" si="57"/>
        <v>25.917078563229762</v>
      </c>
      <c r="H189" s="525">
        <f t="shared" si="57"/>
        <v>25.883090135677786</v>
      </c>
      <c r="I189" s="525">
        <f t="shared" si="57"/>
        <v>25.840415880164105</v>
      </c>
      <c r="J189" s="525">
        <f t="shared" si="57"/>
        <v>25.784093907818104</v>
      </c>
      <c r="K189" s="525">
        <f t="shared" si="57"/>
        <v>25.765985913813427</v>
      </c>
      <c r="L189" s="525">
        <f t="shared" si="57"/>
        <v>25.77349345892388</v>
      </c>
      <c r="M189" s="525">
        <f t="shared" si="57"/>
        <v>25.780923560607398</v>
      </c>
      <c r="N189" s="525">
        <f t="shared" si="57"/>
        <v>25.773210469733154</v>
      </c>
    </row>
    <row r="190" spans="1:14">
      <c r="A190" s="10">
        <f>SUM(C190:N190)</f>
        <v>0</v>
      </c>
      <c r="C190" s="10">
        <f t="shared" ref="C190:N190" si="58">SUM(C179:C188)-C189</f>
        <v>0</v>
      </c>
      <c r="D190" s="10">
        <f t="shared" si="58"/>
        <v>0</v>
      </c>
      <c r="E190" s="10">
        <f t="shared" si="58"/>
        <v>0</v>
      </c>
      <c r="F190" s="10">
        <f t="shared" si="58"/>
        <v>0</v>
      </c>
      <c r="G190" s="10">
        <f t="shared" si="58"/>
        <v>0</v>
      </c>
      <c r="H190" s="10">
        <f t="shared" si="58"/>
        <v>0</v>
      </c>
      <c r="I190" s="10">
        <f t="shared" si="58"/>
        <v>0</v>
      </c>
      <c r="J190" s="10">
        <f t="shared" si="58"/>
        <v>0</v>
      </c>
      <c r="K190" s="10">
        <f t="shared" si="58"/>
        <v>0</v>
      </c>
      <c r="L190" s="10">
        <f t="shared" si="58"/>
        <v>0</v>
      </c>
      <c r="M190" s="10">
        <f t="shared" si="58"/>
        <v>0</v>
      </c>
      <c r="N190" s="10">
        <f t="shared" si="58"/>
        <v>0</v>
      </c>
    </row>
    <row r="191" spans="1:14">
      <c r="A191" s="10"/>
      <c r="C191" s="10"/>
      <c r="D191" s="10"/>
      <c r="E191" s="10"/>
      <c r="F191" s="10"/>
      <c r="G191" s="10"/>
      <c r="H191" s="10"/>
      <c r="I191" s="10"/>
      <c r="J191" s="10"/>
      <c r="K191" s="10"/>
      <c r="L191" s="10"/>
      <c r="M191" s="10"/>
      <c r="N191" s="10"/>
    </row>
    <row r="192" spans="1:14">
      <c r="B192" s="75" t="s">
        <v>47</v>
      </c>
      <c r="C192" s="115"/>
      <c r="D192" s="115"/>
      <c r="E192" s="115"/>
      <c r="F192" s="115"/>
      <c r="G192" s="115"/>
      <c r="H192" s="117"/>
      <c r="I192" s="115"/>
      <c r="J192" s="115"/>
      <c r="K192" s="115"/>
      <c r="L192" s="115"/>
    </row>
    <row r="193" spans="1:14">
      <c r="C193" s="115"/>
      <c r="D193" s="115"/>
      <c r="E193" s="115"/>
      <c r="F193" s="115"/>
      <c r="G193" s="115"/>
      <c r="H193" s="117"/>
      <c r="I193" s="115"/>
      <c r="J193" s="115"/>
      <c r="K193" s="115"/>
      <c r="L193" s="115"/>
    </row>
    <row r="194" spans="1:14">
      <c r="B194" s="149" t="str">
        <f t="shared" ref="B194:B205" si="59">B178</f>
        <v>Age group</v>
      </c>
      <c r="C194" s="149" t="str">
        <f t="shared" ref="C194:N194" si="60">C178</f>
        <v>2017/18</v>
      </c>
      <c r="D194" s="149" t="str">
        <f t="shared" si="60"/>
        <v>2018/19</v>
      </c>
      <c r="E194" s="149" t="str">
        <f t="shared" si="60"/>
        <v>2019/20</v>
      </c>
      <c r="F194" s="149" t="str">
        <f t="shared" si="60"/>
        <v>2020/21</v>
      </c>
      <c r="G194" s="149" t="str">
        <f t="shared" si="60"/>
        <v>2021/22</v>
      </c>
      <c r="H194" s="149" t="str">
        <f t="shared" si="60"/>
        <v>2022/23</v>
      </c>
      <c r="I194" s="149" t="str">
        <f t="shared" si="60"/>
        <v>2023/24</v>
      </c>
      <c r="J194" s="149" t="str">
        <f t="shared" si="60"/>
        <v>2024/25</v>
      </c>
      <c r="K194" s="149" t="str">
        <f t="shared" si="60"/>
        <v>2025/26</v>
      </c>
      <c r="L194" s="149" t="str">
        <f t="shared" si="60"/>
        <v>2026/27</v>
      </c>
      <c r="M194" s="149" t="str">
        <f t="shared" si="60"/>
        <v>2027/28</v>
      </c>
      <c r="N194" s="149" t="str">
        <f t="shared" si="60"/>
        <v>2028/29</v>
      </c>
    </row>
    <row r="195" spans="1:14">
      <c r="B195" s="149" t="str">
        <f t="shared" si="59"/>
        <v>20-24</v>
      </c>
      <c r="C195" s="525">
        <f>C93*Calc_PRIM_death_rates!$G140</f>
        <v>0</v>
      </c>
      <c r="D195" s="525">
        <f>D93*Calc_PRIM_death_rates!$G140</f>
        <v>0</v>
      </c>
      <c r="E195" s="525">
        <f>E93*Calc_PRIM_death_rates!$G140</f>
        <v>0</v>
      </c>
      <c r="F195" s="525">
        <f>F93*Calc_PRIM_death_rates!$G140</f>
        <v>0</v>
      </c>
      <c r="G195" s="525">
        <f>G93*Calc_PRIM_death_rates!$G140</f>
        <v>0</v>
      </c>
      <c r="H195" s="525">
        <f>H93*Calc_PRIM_death_rates!$G140</f>
        <v>0</v>
      </c>
      <c r="I195" s="525">
        <f>I93*Calc_PRIM_death_rates!$G140</f>
        <v>0</v>
      </c>
      <c r="J195" s="525">
        <f>J93*Calc_PRIM_death_rates!$G140</f>
        <v>0</v>
      </c>
      <c r="K195" s="525">
        <f>K93*Calc_PRIM_death_rates!$G140</f>
        <v>0</v>
      </c>
      <c r="L195" s="525">
        <f>L93*Calc_PRIM_death_rates!$G140</f>
        <v>0</v>
      </c>
      <c r="M195" s="525">
        <f>M93*Calc_PRIM_death_rates!$G140</f>
        <v>0</v>
      </c>
      <c r="N195" s="525">
        <f>N93*Calc_PRIM_death_rates!$G140</f>
        <v>0</v>
      </c>
    </row>
    <row r="196" spans="1:14">
      <c r="B196" s="149" t="str">
        <f t="shared" si="59"/>
        <v>25-29</v>
      </c>
      <c r="C196" s="525">
        <f>C94*Calc_PRIM_death_rates!$G141</f>
        <v>1.533911371609048</v>
      </c>
      <c r="D196" s="525">
        <f>D94*Calc_PRIM_death_rates!$G141</f>
        <v>1.5049189254240853</v>
      </c>
      <c r="E196" s="525">
        <f>E94*Calc_PRIM_death_rates!$G141</f>
        <v>1.4903764769627634</v>
      </c>
      <c r="F196" s="525">
        <f>F94*Calc_PRIM_death_rates!$G141</f>
        <v>1.4872481338697539</v>
      </c>
      <c r="G196" s="525">
        <f>G94*Calc_PRIM_death_rates!$G141</f>
        <v>1.4947552816695677</v>
      </c>
      <c r="H196" s="525">
        <f>H94*Calc_PRIM_death_rates!$G141</f>
        <v>1.5042962046054078</v>
      </c>
      <c r="I196" s="525">
        <f>I94*Calc_PRIM_death_rates!$G141</f>
        <v>1.5126063432385448</v>
      </c>
      <c r="J196" s="525">
        <f>J94*Calc_PRIM_death_rates!$G141</f>
        <v>1.5180603813448137</v>
      </c>
      <c r="K196" s="525">
        <f>K94*Calc_PRIM_death_rates!$G141</f>
        <v>1.5291118461855615</v>
      </c>
      <c r="L196" s="525">
        <f>L94*Calc_PRIM_death_rates!$G141</f>
        <v>1.5437802523062913</v>
      </c>
      <c r="M196" s="525">
        <f>M94*Calc_PRIM_death_rates!$G141</f>
        <v>1.5578017211816684</v>
      </c>
      <c r="N196" s="525">
        <f>N94*Calc_PRIM_death_rates!$G141</f>
        <v>1.5686695012796692</v>
      </c>
    </row>
    <row r="197" spans="1:14">
      <c r="B197" s="149" t="str">
        <f t="shared" si="59"/>
        <v>30-34</v>
      </c>
      <c r="C197" s="525">
        <f>C95*Calc_PRIM_death_rates!$G142</f>
        <v>8.4721672321294363</v>
      </c>
      <c r="D197" s="525">
        <f>D95*Calc_PRIM_death_rates!$G142</f>
        <v>8.4919932863378449</v>
      </c>
      <c r="E197" s="525">
        <f>E95*Calc_PRIM_death_rates!$G142</f>
        <v>8.4341611714103681</v>
      </c>
      <c r="F197" s="525">
        <f>F95*Calc_PRIM_death_rates!$G142</f>
        <v>8.356338896689822</v>
      </c>
      <c r="G197" s="525">
        <f>G95*Calc_PRIM_death_rates!$G142</f>
        <v>8.2954499628367557</v>
      </c>
      <c r="H197" s="525">
        <f>H95*Calc_PRIM_death_rates!$G142</f>
        <v>8.2513600170011028</v>
      </c>
      <c r="I197" s="525">
        <f>I95*Calc_PRIM_death_rates!$G142</f>
        <v>8.2201981924698515</v>
      </c>
      <c r="J197" s="525">
        <f>J95*Calc_PRIM_death_rates!$G142</f>
        <v>8.1965480069420895</v>
      </c>
      <c r="K197" s="525">
        <f>K95*Calc_PRIM_death_rates!$G142</f>
        <v>8.2009857661385137</v>
      </c>
      <c r="L197" s="525">
        <f>L95*Calc_PRIM_death_rates!$G142</f>
        <v>8.228147987342977</v>
      </c>
      <c r="M197" s="525">
        <f>M95*Calc_PRIM_death_rates!$G142</f>
        <v>8.2652990709819729</v>
      </c>
      <c r="N197" s="525">
        <f>N95*Calc_PRIM_death_rates!$G142</f>
        <v>8.3027237040606163</v>
      </c>
    </row>
    <row r="198" spans="1:14">
      <c r="B198" s="149" t="str">
        <f t="shared" si="59"/>
        <v>35-39</v>
      </c>
      <c r="C198" s="525">
        <f>C96*Calc_PRIM_death_rates!$G143</f>
        <v>11.790367502520755</v>
      </c>
      <c r="D198" s="525">
        <f>D96*Calc_PRIM_death_rates!$G143</f>
        <v>11.888187433900768</v>
      </c>
      <c r="E198" s="525">
        <f>E96*Calc_PRIM_death_rates!$G143</f>
        <v>11.917468500506182</v>
      </c>
      <c r="F198" s="525">
        <f>F96*Calc_PRIM_death_rates!$G143</f>
        <v>11.896633815895198</v>
      </c>
      <c r="G198" s="525">
        <f>G96*Calc_PRIM_death_rates!$G143</f>
        <v>11.855943507813318</v>
      </c>
      <c r="H198" s="525">
        <f>H96*Calc_PRIM_death_rates!$G143</f>
        <v>11.802153142788031</v>
      </c>
      <c r="I198" s="525">
        <f>I96*Calc_PRIM_death_rates!$G143</f>
        <v>11.742007674027542</v>
      </c>
      <c r="J198" s="525">
        <f>J96*Calc_PRIM_death_rates!$G143</f>
        <v>11.679947632959578</v>
      </c>
      <c r="K198" s="525">
        <f>K96*Calc_PRIM_death_rates!$G143</f>
        <v>11.645324887724586</v>
      </c>
      <c r="L198" s="525">
        <f>L96*Calc_PRIM_death_rates!$G143</f>
        <v>11.635276579114361</v>
      </c>
      <c r="M198" s="525">
        <f>M96*Calc_PRIM_death_rates!$G143</f>
        <v>11.638895187695468</v>
      </c>
      <c r="N198" s="525">
        <f>N96*Calc_PRIM_death_rates!$G143</f>
        <v>11.648525196230487</v>
      </c>
    </row>
    <row r="199" spans="1:14">
      <c r="B199" s="149" t="str">
        <f t="shared" si="59"/>
        <v>40-44</v>
      </c>
      <c r="C199" s="525">
        <f>C97*Calc_PRIM_death_rates!$G144</f>
        <v>12.695778910409372</v>
      </c>
      <c r="D199" s="525">
        <f>D97*Calc_PRIM_death_rates!$G144</f>
        <v>12.85346371810237</v>
      </c>
      <c r="E199" s="525">
        <f>E97*Calc_PRIM_death_rates!$G144</f>
        <v>12.939772035868621</v>
      </c>
      <c r="F199" s="525">
        <f>F97*Calc_PRIM_death_rates!$G144</f>
        <v>12.982590858032786</v>
      </c>
      <c r="G199" s="525">
        <f>G97*Calc_PRIM_death_rates!$G144</f>
        <v>13.006320632282874</v>
      </c>
      <c r="H199" s="525">
        <f>H97*Calc_PRIM_death_rates!$G144</f>
        <v>13.007538265422074</v>
      </c>
      <c r="I199" s="525">
        <f>I97*Calc_PRIM_death_rates!$G144</f>
        <v>12.987854840221637</v>
      </c>
      <c r="J199" s="525">
        <f>J97*Calc_PRIM_death_rates!$G144</f>
        <v>12.950496699548724</v>
      </c>
      <c r="K199" s="525">
        <f>K97*Calc_PRIM_death_rates!$G144</f>
        <v>12.928395341374207</v>
      </c>
      <c r="L199" s="525">
        <f>L97*Calc_PRIM_death_rates!$G144</f>
        <v>12.919858671172031</v>
      </c>
      <c r="M199" s="525">
        <f>M97*Calc_PRIM_death_rates!$G144</f>
        <v>12.915164941442804</v>
      </c>
      <c r="N199" s="525">
        <f>N97*Calc_PRIM_death_rates!$G144</f>
        <v>12.90895264226055</v>
      </c>
    </row>
    <row r="200" spans="1:14">
      <c r="B200" s="149" t="str">
        <f t="shared" si="59"/>
        <v>45-49</v>
      </c>
      <c r="C200" s="525">
        <f>C98*Calc_PRIM_death_rates!$G145</f>
        <v>21.710512194173926</v>
      </c>
      <c r="D200" s="525">
        <f>D98*Calc_PRIM_death_rates!$G145</f>
        <v>22.050767452084486</v>
      </c>
      <c r="E200" s="525">
        <f>E98*Calc_PRIM_death_rates!$G145</f>
        <v>22.277757309594776</v>
      </c>
      <c r="F200" s="525">
        <f>F98*Calc_PRIM_death_rates!$G145</f>
        <v>22.429895142296484</v>
      </c>
      <c r="G200" s="525">
        <f>G98*Calc_PRIM_death_rates!$G145</f>
        <v>22.548773227082883</v>
      </c>
      <c r="H200" s="525">
        <f>H98*Calc_PRIM_death_rates!$G145</f>
        <v>22.632880996412393</v>
      </c>
      <c r="I200" s="525">
        <f>I98*Calc_PRIM_death_rates!$G145</f>
        <v>22.680985861938716</v>
      </c>
      <c r="J200" s="525">
        <f>J98*Calc_PRIM_death_rates!$G145</f>
        <v>22.693691887659764</v>
      </c>
      <c r="K200" s="525">
        <f>K98*Calc_PRIM_death_rates!$G145</f>
        <v>22.718621198583428</v>
      </c>
      <c r="L200" s="525">
        <f>L98*Calc_PRIM_death_rates!$G145</f>
        <v>22.752521600123231</v>
      </c>
      <c r="M200" s="525">
        <f>M98*Calc_PRIM_death_rates!$G145</f>
        <v>22.780172476420866</v>
      </c>
      <c r="N200" s="525">
        <f>N98*Calc_PRIM_death_rates!$G145</f>
        <v>22.793314929199823</v>
      </c>
    </row>
    <row r="201" spans="1:14">
      <c r="B201" s="149" t="str">
        <f t="shared" si="59"/>
        <v>50-54</v>
      </c>
      <c r="C201" s="525">
        <f>C99*Calc_PRIM_death_rates!$G146</f>
        <v>24.599880324835354</v>
      </c>
      <c r="D201" s="525">
        <f>D99*Calc_PRIM_death_rates!$G146</f>
        <v>24.524071381476617</v>
      </c>
      <c r="E201" s="525">
        <f>E99*Calc_PRIM_death_rates!$G146</f>
        <v>24.478917368264412</v>
      </c>
      <c r="F201" s="525">
        <f>F99*Calc_PRIM_death_rates!$G146</f>
        <v>24.45303409662634</v>
      </c>
      <c r="G201" s="525">
        <f>G99*Calc_PRIM_death_rates!$G146</f>
        <v>24.45880490086191</v>
      </c>
      <c r="H201" s="525">
        <f>H99*Calc_PRIM_death_rates!$G146</f>
        <v>24.482239338786929</v>
      </c>
      <c r="I201" s="525">
        <f>I99*Calc_PRIM_death_rates!$G146</f>
        <v>24.507351136994838</v>
      </c>
      <c r="J201" s="525">
        <f>J99*Calc_PRIM_death_rates!$G146</f>
        <v>24.52324322339587</v>
      </c>
      <c r="K201" s="525">
        <f>K99*Calc_PRIM_death_rates!$G146</f>
        <v>24.564818908701412</v>
      </c>
      <c r="L201" s="525">
        <f>L99*Calc_PRIM_death_rates!$G146</f>
        <v>24.622749760206439</v>
      </c>
      <c r="M201" s="525">
        <f>M99*Calc_PRIM_death_rates!$G146</f>
        <v>24.678235448155995</v>
      </c>
      <c r="N201" s="525">
        <f>N99*Calc_PRIM_death_rates!$G146</f>
        <v>24.719918633440184</v>
      </c>
    </row>
    <row r="202" spans="1:14">
      <c r="B202" s="149" t="str">
        <f t="shared" si="59"/>
        <v>55-59</v>
      </c>
      <c r="C202" s="525">
        <f>C100*Calc_PRIM_death_rates!$G147</f>
        <v>20.830314990586341</v>
      </c>
      <c r="D202" s="525">
        <f>D100*Calc_PRIM_death_rates!$G147</f>
        <v>19.697602481143726</v>
      </c>
      <c r="E202" s="525">
        <f>E100*Calc_PRIM_death_rates!$G147</f>
        <v>18.912079753129063</v>
      </c>
      <c r="F202" s="525">
        <f>F100*Calc_PRIM_death_rates!$G147</f>
        <v>18.375248463556922</v>
      </c>
      <c r="G202" s="525">
        <f>G100*Calc_PRIM_death_rates!$G147</f>
        <v>18.026729643107572</v>
      </c>
      <c r="H202" s="525">
        <f>H100*Calc_PRIM_death_rates!$G147</f>
        <v>17.801780919570451</v>
      </c>
      <c r="I202" s="525">
        <f>I100*Calc_PRIM_death_rates!$G147</f>
        <v>17.656450874529252</v>
      </c>
      <c r="J202" s="525">
        <f>J100*Calc_PRIM_death_rates!$G147</f>
        <v>17.560288994100823</v>
      </c>
      <c r="K202" s="525">
        <f>K100*Calc_PRIM_death_rates!$G147</f>
        <v>17.524661843343917</v>
      </c>
      <c r="L202" s="525">
        <f>L100*Calc_PRIM_death_rates!$G147</f>
        <v>17.528753307837498</v>
      </c>
      <c r="M202" s="525">
        <f>M100*Calc_PRIM_death_rates!$G147</f>
        <v>17.548696814586844</v>
      </c>
      <c r="N202" s="525">
        <f>N100*Calc_PRIM_death_rates!$G147</f>
        <v>17.56990387648711</v>
      </c>
    </row>
    <row r="203" spans="1:14">
      <c r="B203" s="149" t="str">
        <f t="shared" si="59"/>
        <v>60-64</v>
      </c>
      <c r="C203" s="525">
        <f>C101*Calc_PRIM_death_rates!$G148</f>
        <v>2.5739623886663172</v>
      </c>
      <c r="D203" s="525">
        <f>D101*Calc_PRIM_death_rates!$G148</f>
        <v>2.392497620383256</v>
      </c>
      <c r="E203" s="525">
        <f>E101*Calc_PRIM_death_rates!$G148</f>
        <v>2.2405623115544366</v>
      </c>
      <c r="F203" s="525">
        <f>F101*Calc_PRIM_death_rates!$G148</f>
        <v>2.1232805271333284</v>
      </c>
      <c r="G203" s="525">
        <f>G101*Calc_PRIM_death_rates!$G148</f>
        <v>2.0387540491207847</v>
      </c>
      <c r="H203" s="525">
        <f>H101*Calc_PRIM_death_rates!$G148</f>
        <v>1.9784451859669954</v>
      </c>
      <c r="I203" s="525">
        <f>I101*Calc_PRIM_death_rates!$G148</f>
        <v>1.9358539592853874</v>
      </c>
      <c r="J203" s="525">
        <f>J101*Calc_PRIM_death_rates!$G148</f>
        <v>1.9057918955272113</v>
      </c>
      <c r="K203" s="525">
        <f>K101*Calc_PRIM_death_rates!$G148</f>
        <v>1.8889781976903262</v>
      </c>
      <c r="L203" s="525">
        <f>L101*Calc_PRIM_death_rates!$G148</f>
        <v>1.8811092811375116</v>
      </c>
      <c r="M203" s="525">
        <f>M101*Calc_PRIM_death_rates!$G148</f>
        <v>1.8777863301140898</v>
      </c>
      <c r="N203" s="525">
        <f>N101*Calc_PRIM_death_rates!$G148</f>
        <v>1.8763517354761685</v>
      </c>
    </row>
    <row r="204" spans="1:14">
      <c r="B204" s="149" t="str">
        <f t="shared" si="59"/>
        <v>65 plus</v>
      </c>
      <c r="C204" s="525">
        <f>C102*Calc_PRIM_death_rates!$G149</f>
        <v>9.4570791026037888</v>
      </c>
      <c r="D204" s="525">
        <f>D102*Calc_PRIM_death_rates!$G149</f>
        <v>11.051102976399122</v>
      </c>
      <c r="E204" s="525">
        <f>E102*Calc_PRIM_death_rates!$G149</f>
        <v>11.703734961566715</v>
      </c>
      <c r="F204" s="525">
        <f>F102*Calc_PRIM_death_rates!$G149</f>
        <v>11.829683090886375</v>
      </c>
      <c r="G204" s="525">
        <f>G102*Calc_PRIM_death_rates!$G149</f>
        <v>11.70377725800628</v>
      </c>
      <c r="H204" s="525">
        <f>H102*Calc_PRIM_death_rates!$G149</f>
        <v>11.476083607097005</v>
      </c>
      <c r="I204" s="525">
        <f>I102*Calc_PRIM_death_rates!$G149</f>
        <v>11.224274945063851</v>
      </c>
      <c r="J204" s="525">
        <f>J102*Calc_PRIM_death_rates!$G149</f>
        <v>10.986536217114564</v>
      </c>
      <c r="K204" s="525">
        <f>K102*Calc_PRIM_death_rates!$G149</f>
        <v>10.802144703280021</v>
      </c>
      <c r="L204" s="525">
        <f>L102*Calc_PRIM_death_rates!$G149</f>
        <v>10.670620339329131</v>
      </c>
      <c r="M204" s="525">
        <f>M102*Calc_PRIM_death_rates!$G149</f>
        <v>10.578000993869381</v>
      </c>
      <c r="N204" s="525">
        <f>N102*Calc_PRIM_death_rates!$G149</f>
        <v>10.511499488981247</v>
      </c>
    </row>
    <row r="205" spans="1:14">
      <c r="B205" s="149" t="str">
        <f t="shared" si="59"/>
        <v>Total</v>
      </c>
      <c r="C205" s="525">
        <f>SUM(C195:C204)</f>
        <v>113.66397401753434</v>
      </c>
      <c r="D205" s="525">
        <f t="shared" ref="D205:N205" si="61">SUM(D195:D204)</f>
        <v>114.45460527525228</v>
      </c>
      <c r="E205" s="525">
        <f t="shared" si="61"/>
        <v>114.39482988885734</v>
      </c>
      <c r="F205" s="525">
        <f t="shared" si="61"/>
        <v>113.93395302498701</v>
      </c>
      <c r="G205" s="525">
        <f t="shared" si="61"/>
        <v>113.42930846278195</v>
      </c>
      <c r="H205" s="525">
        <f t="shared" si="61"/>
        <v>112.93677767765038</v>
      </c>
      <c r="I205" s="525">
        <f t="shared" si="61"/>
        <v>112.46758382776962</v>
      </c>
      <c r="J205" s="525">
        <f t="shared" si="61"/>
        <v>112.01460493859342</v>
      </c>
      <c r="K205" s="525">
        <f t="shared" si="61"/>
        <v>111.80304269302196</v>
      </c>
      <c r="L205" s="525">
        <f t="shared" si="61"/>
        <v>111.78281777856948</v>
      </c>
      <c r="M205" s="525">
        <f t="shared" si="61"/>
        <v>111.8400529844491</v>
      </c>
      <c r="N205" s="525">
        <f t="shared" si="61"/>
        <v>111.89985970741584</v>
      </c>
    </row>
    <row r="206" spans="1:14">
      <c r="A206" s="10">
        <f>SUM(C206:N206)</f>
        <v>0</v>
      </c>
      <c r="C206" s="10">
        <f t="shared" ref="C206:N206" si="62">SUM(C195:C204)-C205</f>
        <v>0</v>
      </c>
      <c r="D206" s="10">
        <f t="shared" si="62"/>
        <v>0</v>
      </c>
      <c r="E206" s="10">
        <f t="shared" si="62"/>
        <v>0</v>
      </c>
      <c r="F206" s="10">
        <f t="shared" si="62"/>
        <v>0</v>
      </c>
      <c r="G206" s="10">
        <f t="shared" si="62"/>
        <v>0</v>
      </c>
      <c r="H206" s="10">
        <f t="shared" si="62"/>
        <v>0</v>
      </c>
      <c r="I206" s="10">
        <f t="shared" si="62"/>
        <v>0</v>
      </c>
      <c r="J206" s="10">
        <f t="shared" si="62"/>
        <v>0</v>
      </c>
      <c r="K206" s="10">
        <f t="shared" si="62"/>
        <v>0</v>
      </c>
      <c r="L206" s="10">
        <f t="shared" si="62"/>
        <v>0</v>
      </c>
      <c r="M206" s="10">
        <f t="shared" si="62"/>
        <v>0</v>
      </c>
      <c r="N206" s="10">
        <f t="shared" si="62"/>
        <v>0</v>
      </c>
    </row>
    <row r="207" spans="1:14">
      <c r="A207" s="10"/>
      <c r="C207" s="10"/>
      <c r="D207" s="10"/>
      <c r="E207" s="10"/>
      <c r="F207" s="10"/>
      <c r="G207" s="10"/>
      <c r="H207" s="10"/>
      <c r="I207" s="10"/>
      <c r="J207" s="10"/>
      <c r="K207" s="10"/>
      <c r="L207" s="10"/>
      <c r="M207" s="10"/>
      <c r="N207" s="10"/>
    </row>
    <row r="208" spans="1:14" ht="15.75">
      <c r="B208" s="77" t="s">
        <v>166</v>
      </c>
      <c r="C208" s="115"/>
      <c r="D208" s="115"/>
      <c r="E208" s="115"/>
      <c r="F208" s="115"/>
      <c r="G208" s="115"/>
      <c r="H208" s="117"/>
      <c r="I208" s="115"/>
      <c r="J208" s="115"/>
      <c r="K208" s="115"/>
      <c r="L208" s="115"/>
    </row>
    <row r="209" spans="1:14">
      <c r="C209" s="115"/>
      <c r="D209" s="115"/>
      <c r="E209" s="115"/>
      <c r="F209" s="115"/>
      <c r="G209" s="115"/>
      <c r="H209" s="117"/>
      <c r="I209" s="115"/>
      <c r="J209" s="115"/>
      <c r="K209" s="115"/>
      <c r="L209" s="115"/>
    </row>
    <row r="210" spans="1:14">
      <c r="B210" s="75" t="s">
        <v>46</v>
      </c>
      <c r="C210" s="115"/>
      <c r="D210" s="115"/>
      <c r="E210" s="115"/>
      <c r="F210" s="115"/>
      <c r="G210" s="115"/>
      <c r="H210" s="117"/>
      <c r="I210" s="115"/>
      <c r="J210" s="115"/>
      <c r="K210" s="115"/>
      <c r="L210" s="115"/>
    </row>
    <row r="211" spans="1:14">
      <c r="C211" s="115"/>
      <c r="D211" s="115"/>
      <c r="E211" s="115"/>
      <c r="F211" s="115"/>
      <c r="G211" s="115"/>
      <c r="H211" s="117"/>
      <c r="I211" s="115"/>
      <c r="J211" s="115"/>
      <c r="K211" s="115"/>
      <c r="L211" s="115"/>
    </row>
    <row r="212" spans="1:14">
      <c r="B212" s="149" t="str">
        <f t="shared" ref="B212:B223" si="63">B178</f>
        <v>Age group</v>
      </c>
      <c r="C212" s="149" t="str">
        <f t="shared" ref="C212:N212" si="64">C178</f>
        <v>2017/18</v>
      </c>
      <c r="D212" s="149" t="str">
        <f t="shared" si="64"/>
        <v>2018/19</v>
      </c>
      <c r="E212" s="149" t="str">
        <f t="shared" si="64"/>
        <v>2019/20</v>
      </c>
      <c r="F212" s="149" t="str">
        <f t="shared" si="64"/>
        <v>2020/21</v>
      </c>
      <c r="G212" s="149" t="str">
        <f t="shared" si="64"/>
        <v>2021/22</v>
      </c>
      <c r="H212" s="149" t="str">
        <f t="shared" si="64"/>
        <v>2022/23</v>
      </c>
      <c r="I212" s="149" t="str">
        <f t="shared" si="64"/>
        <v>2023/24</v>
      </c>
      <c r="J212" s="149" t="str">
        <f t="shared" si="64"/>
        <v>2024/25</v>
      </c>
      <c r="K212" s="149" t="str">
        <f t="shared" si="64"/>
        <v>2025/26</v>
      </c>
      <c r="L212" s="149" t="str">
        <f t="shared" si="64"/>
        <v>2026/27</v>
      </c>
      <c r="M212" s="149" t="str">
        <f t="shared" si="64"/>
        <v>2027/28</v>
      </c>
      <c r="N212" s="149" t="str">
        <f t="shared" si="64"/>
        <v>2028/29</v>
      </c>
    </row>
    <row r="213" spans="1:14">
      <c r="B213" s="149" t="str">
        <f t="shared" si="63"/>
        <v>20-24</v>
      </c>
      <c r="C213" s="447">
        <f t="shared" ref="C213:C222" si="65">C111+C145+C179</f>
        <v>211.16640022313754</v>
      </c>
      <c r="D213" s="447">
        <f t="shared" ref="D213:L213" si="66">D111+D145+D179</f>
        <v>260.73535609904434</v>
      </c>
      <c r="E213" s="447">
        <f t="shared" si="66"/>
        <v>306.67974824182733</v>
      </c>
      <c r="F213" s="447">
        <f t="shared" si="66"/>
        <v>323.26475794054153</v>
      </c>
      <c r="G213" s="447">
        <f t="shared" si="66"/>
        <v>340.70741110025307</v>
      </c>
      <c r="H213" s="447">
        <f t="shared" si="66"/>
        <v>351.92134874517683</v>
      </c>
      <c r="I213" s="447">
        <f t="shared" si="66"/>
        <v>358.58114669464862</v>
      </c>
      <c r="J213" s="447">
        <f t="shared" si="66"/>
        <v>361.93743502335923</v>
      </c>
      <c r="K213" s="447">
        <f t="shared" si="66"/>
        <v>366.74931269042565</v>
      </c>
      <c r="L213" s="447">
        <f t="shared" si="66"/>
        <v>372.11193087209239</v>
      </c>
      <c r="M213" s="447">
        <f t="shared" ref="M213:N222" si="67">M111+M145+M179</f>
        <v>376.36047947172921</v>
      </c>
      <c r="N213" s="447">
        <f t="shared" si="67"/>
        <v>378.87400441275804</v>
      </c>
    </row>
    <row r="214" spans="1:14">
      <c r="B214" s="149" t="str">
        <f t="shared" si="63"/>
        <v>25-29</v>
      </c>
      <c r="C214" s="447">
        <f t="shared" si="65"/>
        <v>652.51714677313691</v>
      </c>
      <c r="D214" s="447">
        <f t="shared" ref="D214:L214" si="68">D112+D146+D180</f>
        <v>585.66433005795318</v>
      </c>
      <c r="E214" s="447">
        <f t="shared" si="68"/>
        <v>581.54796030414957</v>
      </c>
      <c r="F214" s="447">
        <f t="shared" si="68"/>
        <v>554.5232210392312</v>
      </c>
      <c r="G214" s="447">
        <f t="shared" si="68"/>
        <v>548.80686748458072</v>
      </c>
      <c r="H214" s="447">
        <f t="shared" si="68"/>
        <v>546.57397725949181</v>
      </c>
      <c r="I214" s="447">
        <f t="shared" si="68"/>
        <v>545.66295403592301</v>
      </c>
      <c r="J214" s="447">
        <f t="shared" si="68"/>
        <v>544.8718702784679</v>
      </c>
      <c r="K214" s="447">
        <f t="shared" si="68"/>
        <v>547.07679500994846</v>
      </c>
      <c r="L214" s="447">
        <f t="shared" si="68"/>
        <v>551.21266209446162</v>
      </c>
      <c r="M214" s="447">
        <f t="shared" si="67"/>
        <v>555.44229569504353</v>
      </c>
      <c r="N214" s="447">
        <f t="shared" si="67"/>
        <v>558.69470001214734</v>
      </c>
    </row>
    <row r="215" spans="1:14">
      <c r="B215" s="149" t="str">
        <f t="shared" si="63"/>
        <v>30-34</v>
      </c>
      <c r="C215" s="447">
        <f t="shared" si="65"/>
        <v>579.03544423841254</v>
      </c>
      <c r="D215" s="447">
        <f t="shared" ref="D215:L215" si="69">D113+D147+D181</f>
        <v>542.66389543265313</v>
      </c>
      <c r="E215" s="447">
        <f t="shared" si="69"/>
        <v>544.27114754572438</v>
      </c>
      <c r="F215" s="447">
        <f t="shared" si="69"/>
        <v>514.56204351963459</v>
      </c>
      <c r="G215" s="447">
        <f t="shared" si="69"/>
        <v>499.48987910474159</v>
      </c>
      <c r="H215" s="447">
        <f t="shared" si="69"/>
        <v>487.30493693070724</v>
      </c>
      <c r="I215" s="447">
        <f t="shared" si="69"/>
        <v>477.64505329890056</v>
      </c>
      <c r="J215" s="447">
        <f t="shared" si="69"/>
        <v>469.96693318244996</v>
      </c>
      <c r="K215" s="447">
        <f t="shared" si="69"/>
        <v>465.24378672580076</v>
      </c>
      <c r="L215" s="447">
        <f t="shared" si="69"/>
        <v>462.91539010887465</v>
      </c>
      <c r="M215" s="447">
        <f t="shared" si="67"/>
        <v>462.01173477237967</v>
      </c>
      <c r="N215" s="447">
        <f t="shared" si="67"/>
        <v>461.77917209163661</v>
      </c>
    </row>
    <row r="216" spans="1:14">
      <c r="B216" s="149" t="str">
        <f t="shared" si="63"/>
        <v>35-39</v>
      </c>
      <c r="C216" s="447">
        <f t="shared" si="65"/>
        <v>425.56101888016855</v>
      </c>
      <c r="D216" s="447">
        <f t="shared" ref="D216:L216" si="70">D114+D148+D182</f>
        <v>417.00414727115685</v>
      </c>
      <c r="E216" s="447">
        <f t="shared" si="70"/>
        <v>434.92634451373419</v>
      </c>
      <c r="F216" s="447">
        <f t="shared" si="70"/>
        <v>424.0753197697307</v>
      </c>
      <c r="G216" s="447">
        <f t="shared" si="70"/>
        <v>419.97774525713413</v>
      </c>
      <c r="H216" s="447">
        <f t="shared" si="70"/>
        <v>414.37841639020877</v>
      </c>
      <c r="I216" s="447">
        <f t="shared" si="70"/>
        <v>408.07245108708571</v>
      </c>
      <c r="J216" s="447">
        <f t="shared" si="70"/>
        <v>401.60919584151787</v>
      </c>
      <c r="K216" s="447">
        <f t="shared" si="70"/>
        <v>396.2306121019904</v>
      </c>
      <c r="L216" s="447">
        <f t="shared" si="70"/>
        <v>391.99993920885555</v>
      </c>
      <c r="M216" s="447">
        <f t="shared" si="67"/>
        <v>388.63252228860455</v>
      </c>
      <c r="N216" s="447">
        <f t="shared" si="67"/>
        <v>385.8969570646077</v>
      </c>
    </row>
    <row r="217" spans="1:14">
      <c r="B217" s="149" t="str">
        <f t="shared" si="63"/>
        <v>40-44</v>
      </c>
      <c r="C217" s="447">
        <f t="shared" si="65"/>
        <v>412.44925670461714</v>
      </c>
      <c r="D217" s="447">
        <f t="shared" ref="D217:L217" si="71">D115+D149+D183</f>
        <v>402.60432050120107</v>
      </c>
      <c r="E217" s="447">
        <f t="shared" si="71"/>
        <v>422.57243071808068</v>
      </c>
      <c r="F217" s="447">
        <f t="shared" si="71"/>
        <v>417.04022801715979</v>
      </c>
      <c r="G217" s="447">
        <f t="shared" si="71"/>
        <v>419.18633454737915</v>
      </c>
      <c r="H217" s="447">
        <f t="shared" si="71"/>
        <v>419.68107309030961</v>
      </c>
      <c r="I217" s="447">
        <f t="shared" si="71"/>
        <v>418.61487773060537</v>
      </c>
      <c r="J217" s="447">
        <f t="shared" si="71"/>
        <v>416.2347188898122</v>
      </c>
      <c r="K217" s="447">
        <f t="shared" si="71"/>
        <v>413.77020252542889</v>
      </c>
      <c r="L217" s="447">
        <f t="shared" si="71"/>
        <v>411.3518434183498</v>
      </c>
      <c r="M217" s="447">
        <f t="shared" si="67"/>
        <v>408.83923836915915</v>
      </c>
      <c r="N217" s="447">
        <f t="shared" si="67"/>
        <v>406.20309817619352</v>
      </c>
    </row>
    <row r="218" spans="1:14">
      <c r="B218" s="149" t="str">
        <f t="shared" si="63"/>
        <v>45-49</v>
      </c>
      <c r="C218" s="447">
        <f t="shared" si="65"/>
        <v>373.52614870037371</v>
      </c>
      <c r="D218" s="447">
        <f t="shared" ref="D218:L218" si="72">D116+D150+D184</f>
        <v>365.49762274290879</v>
      </c>
      <c r="E218" s="447">
        <f t="shared" si="72"/>
        <v>383.39000638471623</v>
      </c>
      <c r="F218" s="447">
        <f t="shared" si="72"/>
        <v>379.17870000954275</v>
      </c>
      <c r="G218" s="447">
        <f t="shared" si="72"/>
        <v>382.55398632020638</v>
      </c>
      <c r="H218" s="447">
        <f t="shared" si="72"/>
        <v>385.22347938339919</v>
      </c>
      <c r="I218" s="447">
        <f t="shared" si="72"/>
        <v>387.00966316848553</v>
      </c>
      <c r="J218" s="447">
        <f t="shared" si="72"/>
        <v>387.81822359141603</v>
      </c>
      <c r="K218" s="447">
        <f t="shared" si="72"/>
        <v>388.44198845099663</v>
      </c>
      <c r="L218" s="447">
        <f t="shared" si="72"/>
        <v>388.81686930901702</v>
      </c>
      <c r="M218" s="447">
        <f t="shared" si="67"/>
        <v>388.70700533094919</v>
      </c>
      <c r="N218" s="447">
        <f t="shared" si="67"/>
        <v>388.0270440127689</v>
      </c>
    </row>
    <row r="219" spans="1:14">
      <c r="B219" s="149" t="str">
        <f t="shared" si="63"/>
        <v>50-54</v>
      </c>
      <c r="C219" s="447">
        <f t="shared" si="65"/>
        <v>350.87096992402439</v>
      </c>
      <c r="D219" s="447">
        <f t="shared" ref="D219:L219" si="73">D117+D151+D185</f>
        <v>341.60907088185792</v>
      </c>
      <c r="E219" s="447">
        <f t="shared" si="73"/>
        <v>353.04015064241935</v>
      </c>
      <c r="F219" s="447">
        <f t="shared" si="73"/>
        <v>348.62229722235315</v>
      </c>
      <c r="G219" s="447">
        <f t="shared" si="73"/>
        <v>350.55637142061727</v>
      </c>
      <c r="H219" s="447">
        <f t="shared" si="73"/>
        <v>352.50441227416599</v>
      </c>
      <c r="I219" s="447">
        <f t="shared" si="73"/>
        <v>354.27324568366163</v>
      </c>
      <c r="J219" s="447">
        <f t="shared" si="73"/>
        <v>355.69992683505751</v>
      </c>
      <c r="K219" s="447">
        <f t="shared" si="73"/>
        <v>357.309540722961</v>
      </c>
      <c r="L219" s="447">
        <f t="shared" si="73"/>
        <v>358.92808890913028</v>
      </c>
      <c r="M219" s="447">
        <f t="shared" si="67"/>
        <v>360.24239841511769</v>
      </c>
      <c r="N219" s="447">
        <f t="shared" si="67"/>
        <v>361.07105512050504</v>
      </c>
    </row>
    <row r="220" spans="1:14">
      <c r="B220" s="149" t="str">
        <f t="shared" si="63"/>
        <v>55-59</v>
      </c>
      <c r="C220" s="447">
        <f t="shared" si="65"/>
        <v>454.73336724382602</v>
      </c>
      <c r="D220" s="447">
        <f t="shared" ref="D220:L220" si="74">D118+D152+D186</f>
        <v>432.82899917523912</v>
      </c>
      <c r="E220" s="447">
        <f t="shared" si="74"/>
        <v>425.75095412628241</v>
      </c>
      <c r="F220" s="447">
        <f t="shared" si="74"/>
        <v>416.52234628206452</v>
      </c>
      <c r="G220" s="447">
        <f t="shared" si="74"/>
        <v>413.36412320077784</v>
      </c>
      <c r="H220" s="447">
        <f t="shared" si="74"/>
        <v>412.02498590993434</v>
      </c>
      <c r="I220" s="447">
        <f t="shared" si="74"/>
        <v>411.72845878030409</v>
      </c>
      <c r="J220" s="447">
        <f t="shared" si="74"/>
        <v>411.95385184973088</v>
      </c>
      <c r="K220" s="447">
        <f t="shared" si="74"/>
        <v>413.2293486264856</v>
      </c>
      <c r="L220" s="447">
        <f t="shared" si="74"/>
        <v>415.0933923192112</v>
      </c>
      <c r="M220" s="447">
        <f t="shared" si="67"/>
        <v>416.96233972462716</v>
      </c>
      <c r="N220" s="447">
        <f t="shared" si="67"/>
        <v>418.49082775996055</v>
      </c>
    </row>
    <row r="221" spans="1:14">
      <c r="B221" s="149" t="str">
        <f t="shared" si="63"/>
        <v>60-64</v>
      </c>
      <c r="C221" s="447">
        <f t="shared" si="65"/>
        <v>275.5984091021229</v>
      </c>
      <c r="D221" s="447">
        <f t="shared" ref="D221:L221" si="75">D119+D153+D187</f>
        <v>254.96185563625653</v>
      </c>
      <c r="E221" s="447">
        <f t="shared" si="75"/>
        <v>242.58454185706535</v>
      </c>
      <c r="F221" s="447">
        <f t="shared" si="75"/>
        <v>231.58113540624095</v>
      </c>
      <c r="G221" s="447">
        <f t="shared" si="75"/>
        <v>225.37752317447402</v>
      </c>
      <c r="H221" s="447">
        <f t="shared" si="75"/>
        <v>221.38393541668702</v>
      </c>
      <c r="I221" s="447">
        <f t="shared" si="75"/>
        <v>218.86501181091742</v>
      </c>
      <c r="J221" s="447">
        <f t="shared" si="75"/>
        <v>217.29634331336047</v>
      </c>
      <c r="K221" s="447">
        <f t="shared" si="75"/>
        <v>216.97017742143137</v>
      </c>
      <c r="L221" s="447">
        <f t="shared" si="75"/>
        <v>217.41682087078291</v>
      </c>
      <c r="M221" s="447">
        <f t="shared" si="67"/>
        <v>218.12239326750463</v>
      </c>
      <c r="N221" s="447">
        <f t="shared" si="67"/>
        <v>218.79620983162246</v>
      </c>
    </row>
    <row r="222" spans="1:14">
      <c r="B222" s="149" t="str">
        <f t="shared" si="63"/>
        <v>65 plus</v>
      </c>
      <c r="C222" s="447">
        <f t="shared" si="65"/>
        <v>89.957298611645228</v>
      </c>
      <c r="D222" s="447">
        <f t="shared" ref="D222:L222" si="76">D120+D154+D188</f>
        <v>99.306188514052479</v>
      </c>
      <c r="E222" s="447">
        <f t="shared" si="76"/>
        <v>104.04020333467443</v>
      </c>
      <c r="F222" s="447">
        <f t="shared" si="76"/>
        <v>104.09882241065948</v>
      </c>
      <c r="G222" s="447">
        <f t="shared" si="76"/>
        <v>103.37318378467843</v>
      </c>
      <c r="H222" s="447">
        <f t="shared" si="76"/>
        <v>102.07090633998828</v>
      </c>
      <c r="I222" s="447">
        <f t="shared" si="76"/>
        <v>100.65760619985382</v>
      </c>
      <c r="J222" s="447">
        <f t="shared" si="76"/>
        <v>99.347743793187306</v>
      </c>
      <c r="K222" s="447">
        <f t="shared" si="76"/>
        <v>98.47079182280136</v>
      </c>
      <c r="L222" s="447">
        <f t="shared" si="76"/>
        <v>97.996088616350576</v>
      </c>
      <c r="M222" s="447">
        <f t="shared" si="67"/>
        <v>97.777695066632916</v>
      </c>
      <c r="N222" s="447">
        <f t="shared" si="67"/>
        <v>97.693750959449687</v>
      </c>
    </row>
    <row r="223" spans="1:14">
      <c r="B223" s="149" t="str">
        <f t="shared" si="63"/>
        <v>Total</v>
      </c>
      <c r="C223" s="447">
        <f>SUM(C213:C222)</f>
        <v>3825.4154604014648</v>
      </c>
      <c r="D223" s="447">
        <f t="shared" ref="D223:N223" si="77">SUM(D213:D222)</f>
        <v>3702.8757863123233</v>
      </c>
      <c r="E223" s="447">
        <f t="shared" si="77"/>
        <v>3798.8034876686743</v>
      </c>
      <c r="F223" s="447">
        <f t="shared" si="77"/>
        <v>3713.4688716171586</v>
      </c>
      <c r="G223" s="447">
        <f t="shared" si="77"/>
        <v>3703.3934253948423</v>
      </c>
      <c r="H223" s="447">
        <f t="shared" si="77"/>
        <v>3693.0674717400689</v>
      </c>
      <c r="I223" s="447">
        <f t="shared" si="77"/>
        <v>3681.1104684903862</v>
      </c>
      <c r="J223" s="447">
        <f t="shared" si="77"/>
        <v>3666.7362425983592</v>
      </c>
      <c r="K223" s="447">
        <f t="shared" si="77"/>
        <v>3663.4925560982706</v>
      </c>
      <c r="L223" s="447">
        <f t="shared" si="77"/>
        <v>3667.8430257271257</v>
      </c>
      <c r="M223" s="447">
        <f t="shared" si="77"/>
        <v>3673.0981024017483</v>
      </c>
      <c r="N223" s="447">
        <f t="shared" si="77"/>
        <v>3675.5268194416499</v>
      </c>
    </row>
    <row r="224" spans="1:14">
      <c r="A224" s="10">
        <f>SUM(C224:N224)</f>
        <v>0</v>
      </c>
      <c r="C224" s="10">
        <f t="shared" ref="C224:N224" si="78">SUM(C213:C222)-C223</f>
        <v>0</v>
      </c>
      <c r="D224" s="10">
        <f t="shared" si="78"/>
        <v>0</v>
      </c>
      <c r="E224" s="10">
        <f t="shared" si="78"/>
        <v>0</v>
      </c>
      <c r="F224" s="10">
        <f t="shared" si="78"/>
        <v>0</v>
      </c>
      <c r="G224" s="10">
        <f t="shared" si="78"/>
        <v>0</v>
      </c>
      <c r="H224" s="10">
        <f t="shared" si="78"/>
        <v>0</v>
      </c>
      <c r="I224" s="10">
        <f t="shared" si="78"/>
        <v>0</v>
      </c>
      <c r="J224" s="10">
        <f t="shared" si="78"/>
        <v>0</v>
      </c>
      <c r="K224" s="10">
        <f t="shared" si="78"/>
        <v>0</v>
      </c>
      <c r="L224" s="10">
        <f t="shared" si="78"/>
        <v>0</v>
      </c>
      <c r="M224" s="10">
        <f t="shared" si="78"/>
        <v>0</v>
      </c>
      <c r="N224" s="10">
        <f t="shared" si="78"/>
        <v>0</v>
      </c>
    </row>
    <row r="225" spans="1:14">
      <c r="A225" s="10"/>
      <c r="C225" s="10"/>
      <c r="D225" s="10"/>
      <c r="E225" s="10"/>
      <c r="F225" s="10"/>
      <c r="G225" s="10"/>
      <c r="H225" s="10"/>
      <c r="I225" s="10"/>
      <c r="J225" s="10"/>
      <c r="K225" s="10"/>
      <c r="L225" s="10"/>
      <c r="M225" s="10"/>
      <c r="N225" s="10"/>
    </row>
    <row r="226" spans="1:14">
      <c r="B226" s="75" t="s">
        <v>47</v>
      </c>
      <c r="C226" s="322"/>
      <c r="D226" s="322"/>
      <c r="E226" s="322"/>
      <c r="F226" s="322"/>
      <c r="G226" s="322"/>
      <c r="H226" s="332"/>
      <c r="I226" s="322"/>
      <c r="J226" s="322"/>
      <c r="K226" s="322"/>
      <c r="L226" s="322"/>
      <c r="M226" s="302"/>
      <c r="N226" s="302"/>
    </row>
    <row r="227" spans="1:14">
      <c r="C227" s="322"/>
      <c r="D227" s="322"/>
      <c r="E227" s="322"/>
      <c r="F227" s="322"/>
      <c r="G227" s="322"/>
      <c r="H227" s="332"/>
      <c r="I227" s="322"/>
      <c r="J227" s="322"/>
      <c r="K227" s="322"/>
      <c r="L227" s="322"/>
      <c r="M227" s="302"/>
      <c r="N227" s="302"/>
    </row>
    <row r="228" spans="1:14">
      <c r="B228" s="149" t="str">
        <f t="shared" ref="B228:B239" si="79">B212</f>
        <v>Age group</v>
      </c>
      <c r="C228" s="331" t="str">
        <f t="shared" ref="C228:N228" si="80">C212</f>
        <v>2017/18</v>
      </c>
      <c r="D228" s="331" t="str">
        <f t="shared" si="80"/>
        <v>2018/19</v>
      </c>
      <c r="E228" s="331" t="str">
        <f t="shared" si="80"/>
        <v>2019/20</v>
      </c>
      <c r="F228" s="331" t="str">
        <f t="shared" si="80"/>
        <v>2020/21</v>
      </c>
      <c r="G228" s="331" t="str">
        <f t="shared" si="80"/>
        <v>2021/22</v>
      </c>
      <c r="H228" s="331" t="str">
        <f t="shared" si="80"/>
        <v>2022/23</v>
      </c>
      <c r="I228" s="331" t="str">
        <f t="shared" si="80"/>
        <v>2023/24</v>
      </c>
      <c r="J228" s="331" t="str">
        <f t="shared" si="80"/>
        <v>2024/25</v>
      </c>
      <c r="K228" s="331" t="str">
        <f t="shared" si="80"/>
        <v>2025/26</v>
      </c>
      <c r="L228" s="331" t="str">
        <f t="shared" si="80"/>
        <v>2026/27</v>
      </c>
      <c r="M228" s="331" t="str">
        <f t="shared" si="80"/>
        <v>2027/28</v>
      </c>
      <c r="N228" s="331" t="str">
        <f t="shared" si="80"/>
        <v>2028/29</v>
      </c>
    </row>
    <row r="229" spans="1:14">
      <c r="B229" s="149" t="str">
        <f t="shared" si="79"/>
        <v>20-24</v>
      </c>
      <c r="C229" s="447">
        <f t="shared" ref="C229:C238" si="81">C195+C161+C127</f>
        <v>1225.0221203868196</v>
      </c>
      <c r="D229" s="447">
        <f t="shared" ref="D229:L229" si="82">D195+D161+D127</f>
        <v>1487.5510931121503</v>
      </c>
      <c r="E229" s="447">
        <f t="shared" si="82"/>
        <v>1668.4973287514742</v>
      </c>
      <c r="F229" s="447">
        <f t="shared" si="82"/>
        <v>1794.0922696820578</v>
      </c>
      <c r="G229" s="447">
        <f t="shared" si="82"/>
        <v>1873.3061893066788</v>
      </c>
      <c r="H229" s="447">
        <f t="shared" si="82"/>
        <v>1925.0119546644471</v>
      </c>
      <c r="I229" s="447">
        <f t="shared" si="82"/>
        <v>1955.994915151234</v>
      </c>
      <c r="J229" s="447">
        <f t="shared" si="82"/>
        <v>1971.5232032057936</v>
      </c>
      <c r="K229" s="447">
        <f t="shared" si="82"/>
        <v>1995.2825434067834</v>
      </c>
      <c r="L229" s="447">
        <f t="shared" si="82"/>
        <v>2022.5456353017321</v>
      </c>
      <c r="M229" s="447">
        <f t="shared" ref="M229:N238" si="83">M195+M161+M127</f>
        <v>2044.6349404817811</v>
      </c>
      <c r="N229" s="447">
        <f t="shared" si="83"/>
        <v>2058.1174406037012</v>
      </c>
    </row>
    <row r="230" spans="1:14">
      <c r="B230" s="149" t="str">
        <f t="shared" si="79"/>
        <v>25-29</v>
      </c>
      <c r="C230" s="447">
        <f t="shared" si="81"/>
        <v>2982.7634011760483</v>
      </c>
      <c r="D230" s="447">
        <f t="shared" ref="D230:L230" si="84">D196+D162+D128</f>
        <v>2940.8413532485702</v>
      </c>
      <c r="E230" s="447">
        <f t="shared" si="84"/>
        <v>2960.8804330841867</v>
      </c>
      <c r="F230" s="447">
        <f t="shared" si="84"/>
        <v>2992.6299081158559</v>
      </c>
      <c r="G230" s="447">
        <f t="shared" si="84"/>
        <v>3007.7357364700752</v>
      </c>
      <c r="H230" s="447">
        <f t="shared" si="84"/>
        <v>3026.9339124022449</v>
      </c>
      <c r="I230" s="447">
        <f t="shared" si="84"/>
        <v>3043.6555130872675</v>
      </c>
      <c r="J230" s="447">
        <f t="shared" si="84"/>
        <v>3054.6300890071275</v>
      </c>
      <c r="K230" s="447">
        <f t="shared" si="84"/>
        <v>3076.867766404549</v>
      </c>
      <c r="L230" s="447">
        <f t="shared" si="84"/>
        <v>3106.3834268122491</v>
      </c>
      <c r="M230" s="447">
        <f t="shared" si="83"/>
        <v>3134.5973247870197</v>
      </c>
      <c r="N230" s="447">
        <f t="shared" si="83"/>
        <v>3156.4653930773325</v>
      </c>
    </row>
    <row r="231" spans="1:14">
      <c r="B231" s="149" t="str">
        <f t="shared" si="79"/>
        <v>30-34</v>
      </c>
      <c r="C231" s="447">
        <f t="shared" si="81"/>
        <v>2845.7999576983343</v>
      </c>
      <c r="D231" s="447">
        <f t="shared" ref="D231:L231" si="85">D197+D163+D129</f>
        <v>2866.4964621053118</v>
      </c>
      <c r="E231" s="447">
        <f t="shared" si="85"/>
        <v>2894.1659522924929</v>
      </c>
      <c r="F231" s="447">
        <f t="shared" si="85"/>
        <v>2904.1696001114151</v>
      </c>
      <c r="G231" s="447">
        <f t="shared" si="85"/>
        <v>2883.0082048083455</v>
      </c>
      <c r="H231" s="447">
        <f t="shared" si="85"/>
        <v>2867.6851450390504</v>
      </c>
      <c r="I231" s="447">
        <f t="shared" si="85"/>
        <v>2856.855136274864</v>
      </c>
      <c r="J231" s="447">
        <f t="shared" si="85"/>
        <v>2848.6357293436859</v>
      </c>
      <c r="K231" s="447">
        <f t="shared" si="85"/>
        <v>2850.1780322002605</v>
      </c>
      <c r="L231" s="447">
        <f t="shared" si="85"/>
        <v>2859.6180151962535</v>
      </c>
      <c r="M231" s="447">
        <f t="shared" si="83"/>
        <v>2872.5295365035458</v>
      </c>
      <c r="N231" s="447">
        <f t="shared" si="83"/>
        <v>2885.5361274312277</v>
      </c>
    </row>
    <row r="232" spans="1:14">
      <c r="B232" s="149" t="str">
        <f t="shared" si="79"/>
        <v>35-39</v>
      </c>
      <c r="C232" s="447">
        <f t="shared" si="81"/>
        <v>2499.5958058573574</v>
      </c>
      <c r="D232" s="447">
        <f t="shared" ref="D232:L232" si="86">D198+D164+D130</f>
        <v>2532.6934618349615</v>
      </c>
      <c r="E232" s="447">
        <f t="shared" si="86"/>
        <v>2580.8710996733585</v>
      </c>
      <c r="F232" s="447">
        <f t="shared" si="86"/>
        <v>2609.2286985965925</v>
      </c>
      <c r="G232" s="447">
        <f t="shared" si="86"/>
        <v>2600.3042985314141</v>
      </c>
      <c r="H232" s="447">
        <f t="shared" si="86"/>
        <v>2588.5067290420984</v>
      </c>
      <c r="I232" s="447">
        <f t="shared" si="86"/>
        <v>2575.3153267001408</v>
      </c>
      <c r="J232" s="447">
        <f t="shared" si="86"/>
        <v>2561.7040108694177</v>
      </c>
      <c r="K232" s="447">
        <f t="shared" si="86"/>
        <v>2554.1103787639527</v>
      </c>
      <c r="L232" s="447">
        <f t="shared" si="86"/>
        <v>2551.9065339113754</v>
      </c>
      <c r="M232" s="447">
        <f t="shared" si="83"/>
        <v>2552.7001850823649</v>
      </c>
      <c r="N232" s="447">
        <f t="shared" si="83"/>
        <v>2554.8122862889873</v>
      </c>
    </row>
    <row r="233" spans="1:14">
      <c r="B233" s="149" t="str">
        <f t="shared" si="79"/>
        <v>40-44</v>
      </c>
      <c r="C233" s="447">
        <f t="shared" si="81"/>
        <v>2158.2797198031503</v>
      </c>
      <c r="D233" s="447">
        <f t="shared" ref="D233:L233" si="87">D199+D165+D131</f>
        <v>2195.7507961842407</v>
      </c>
      <c r="E233" s="447">
        <f t="shared" si="87"/>
        <v>2246.8367643990532</v>
      </c>
      <c r="F233" s="447">
        <f t="shared" si="87"/>
        <v>2282.898622592867</v>
      </c>
      <c r="G233" s="447">
        <f t="shared" si="87"/>
        <v>2287.071338928331</v>
      </c>
      <c r="H233" s="447">
        <f t="shared" si="87"/>
        <v>2287.2854512766826</v>
      </c>
      <c r="I233" s="447">
        <f t="shared" si="87"/>
        <v>2283.8242573771472</v>
      </c>
      <c r="J233" s="447">
        <f t="shared" si="87"/>
        <v>2277.2550872617653</v>
      </c>
      <c r="K233" s="447">
        <f t="shared" si="87"/>
        <v>2273.3687166069572</v>
      </c>
      <c r="L233" s="447">
        <f t="shared" si="87"/>
        <v>2271.8676023178923</v>
      </c>
      <c r="M233" s="447">
        <f t="shared" si="83"/>
        <v>2271.0422424763283</v>
      </c>
      <c r="N233" s="447">
        <f t="shared" si="83"/>
        <v>2269.9498527213568</v>
      </c>
    </row>
    <row r="234" spans="1:14">
      <c r="B234" s="149" t="str">
        <f t="shared" si="79"/>
        <v>45-49</v>
      </c>
      <c r="C234" s="447">
        <f t="shared" si="81"/>
        <v>2007.8568467842463</v>
      </c>
      <c r="D234" s="447">
        <f t="shared" ref="D234:L234" si="88">D200+D166+D132</f>
        <v>2049.166829353177</v>
      </c>
      <c r="E234" s="447">
        <f t="shared" si="88"/>
        <v>2103.9189454966595</v>
      </c>
      <c r="F234" s="447">
        <f t="shared" si="88"/>
        <v>2144.8926626317093</v>
      </c>
      <c r="G234" s="447">
        <f t="shared" si="88"/>
        <v>2156.2605593690082</v>
      </c>
      <c r="H234" s="447">
        <f t="shared" si="88"/>
        <v>2164.3034920782657</v>
      </c>
      <c r="I234" s="447">
        <f t="shared" si="88"/>
        <v>2168.9035926337833</v>
      </c>
      <c r="J234" s="447">
        <f t="shared" si="88"/>
        <v>2170.1186255693983</v>
      </c>
      <c r="K234" s="447">
        <f t="shared" si="88"/>
        <v>2172.5025286480982</v>
      </c>
      <c r="L234" s="447">
        <f t="shared" si="88"/>
        <v>2175.7443058415138</v>
      </c>
      <c r="M234" s="447">
        <f t="shared" si="83"/>
        <v>2178.3884627272182</v>
      </c>
      <c r="N234" s="447">
        <f t="shared" si="83"/>
        <v>2179.645229660623</v>
      </c>
    </row>
    <row r="235" spans="1:14">
      <c r="B235" s="149" t="str">
        <f t="shared" si="79"/>
        <v>50-54</v>
      </c>
      <c r="C235" s="447">
        <f t="shared" si="81"/>
        <v>2134.6015931775996</v>
      </c>
      <c r="D235" s="447">
        <f t="shared" ref="D235:L235" si="89">D201+D167+D133</f>
        <v>2136.6128200714788</v>
      </c>
      <c r="E235" s="447">
        <f t="shared" si="89"/>
        <v>2161.7000555899858</v>
      </c>
      <c r="F235" s="447">
        <f t="shared" si="89"/>
        <v>2182.1750976061685</v>
      </c>
      <c r="G235" s="447">
        <f t="shared" si="89"/>
        <v>2182.6900809512317</v>
      </c>
      <c r="H235" s="447">
        <f t="shared" si="89"/>
        <v>2184.7813570957092</v>
      </c>
      <c r="I235" s="447">
        <f t="shared" si="89"/>
        <v>2187.0223199344669</v>
      </c>
      <c r="J235" s="447">
        <f t="shared" si="89"/>
        <v>2188.4405208438634</v>
      </c>
      <c r="K235" s="447">
        <f t="shared" si="89"/>
        <v>2192.1507117666406</v>
      </c>
      <c r="L235" s="447">
        <f t="shared" si="89"/>
        <v>2197.3204285812435</v>
      </c>
      <c r="M235" s="447">
        <f t="shared" si="83"/>
        <v>2202.271940366596</v>
      </c>
      <c r="N235" s="447">
        <f t="shared" si="83"/>
        <v>2205.9917245273932</v>
      </c>
    </row>
    <row r="236" spans="1:14">
      <c r="B236" s="149" t="str">
        <f t="shared" si="79"/>
        <v>55-59</v>
      </c>
      <c r="C236" s="447">
        <f t="shared" si="81"/>
        <v>2995.9559411246291</v>
      </c>
      <c r="D236" s="447">
        <f t="shared" ref="D236:L236" si="90">D202+D168+D134</f>
        <v>2836.4879278238695</v>
      </c>
      <c r="E236" s="447">
        <f t="shared" si="90"/>
        <v>2734.5717558005035</v>
      </c>
      <c r="F236" s="447">
        <f t="shared" si="90"/>
        <v>2665.4931770623543</v>
      </c>
      <c r="G236" s="447">
        <f t="shared" si="90"/>
        <v>2614.9374232270811</v>
      </c>
      <c r="H236" s="447">
        <f t="shared" si="90"/>
        <v>2582.3066106986821</v>
      </c>
      <c r="I236" s="447">
        <f t="shared" si="90"/>
        <v>2561.225195432502</v>
      </c>
      <c r="J236" s="447">
        <f t="shared" si="90"/>
        <v>2547.2760596325797</v>
      </c>
      <c r="K236" s="447">
        <f t="shared" si="90"/>
        <v>2542.1080246289148</v>
      </c>
      <c r="L236" s="447">
        <f t="shared" si="90"/>
        <v>2542.7015279338339</v>
      </c>
      <c r="M236" s="447">
        <f t="shared" si="83"/>
        <v>2545.5945109197519</v>
      </c>
      <c r="N236" s="447">
        <f t="shared" si="83"/>
        <v>2548.6707838154798</v>
      </c>
    </row>
    <row r="237" spans="1:14">
      <c r="B237" s="149" t="str">
        <f t="shared" si="79"/>
        <v>60-64</v>
      </c>
      <c r="C237" s="447">
        <f t="shared" si="81"/>
        <v>2144.3255189450729</v>
      </c>
      <c r="D237" s="447">
        <f t="shared" ref="D237:L237" si="91">D203+D169+D135</f>
        <v>1994.3569129077421</v>
      </c>
      <c r="E237" s="447">
        <f t="shared" si="91"/>
        <v>1871.5307024378703</v>
      </c>
      <c r="F237" s="447">
        <f t="shared" si="91"/>
        <v>1776.4118179967709</v>
      </c>
      <c r="G237" s="447">
        <f t="shared" si="91"/>
        <v>1705.6939676909274</v>
      </c>
      <c r="H237" s="447">
        <f t="shared" si="91"/>
        <v>1655.2374331599092</v>
      </c>
      <c r="I237" s="447">
        <f t="shared" si="91"/>
        <v>1619.6041018815704</v>
      </c>
      <c r="J237" s="447">
        <f t="shared" si="91"/>
        <v>1594.4531128101939</v>
      </c>
      <c r="K237" s="447">
        <f t="shared" si="91"/>
        <v>1580.3861766894192</v>
      </c>
      <c r="L237" s="447">
        <f t="shared" si="91"/>
        <v>1573.8027619306908</v>
      </c>
      <c r="M237" s="447">
        <f t="shared" si="83"/>
        <v>1571.0226632140129</v>
      </c>
      <c r="N237" s="447">
        <f t="shared" si="83"/>
        <v>1569.8224304438859</v>
      </c>
    </row>
    <row r="238" spans="1:14">
      <c r="B238" s="149" t="str">
        <f t="shared" si="79"/>
        <v>65 plus</v>
      </c>
      <c r="C238" s="447">
        <f t="shared" si="81"/>
        <v>650.38268531040967</v>
      </c>
      <c r="D238" s="447">
        <f t="shared" ref="D238:L238" si="92">D204+D170+D136</f>
        <v>760.75200619252405</v>
      </c>
      <c r="E238" s="447">
        <f t="shared" si="92"/>
        <v>808.34969577922561</v>
      </c>
      <c r="F238" s="447">
        <f t="shared" si="92"/>
        <v>819.16812102741051</v>
      </c>
      <c r="G238" s="447">
        <f t="shared" si="92"/>
        <v>810.4495405080188</v>
      </c>
      <c r="H238" s="447">
        <f t="shared" si="92"/>
        <v>794.68247568031279</v>
      </c>
      <c r="I238" s="447">
        <f t="shared" si="92"/>
        <v>777.24552264012198</v>
      </c>
      <c r="J238" s="447">
        <f t="shared" si="92"/>
        <v>760.7828680133299</v>
      </c>
      <c r="K238" s="447">
        <f t="shared" si="92"/>
        <v>748.0143391558147</v>
      </c>
      <c r="L238" s="447">
        <f t="shared" si="92"/>
        <v>738.90669313865487</v>
      </c>
      <c r="M238" s="447">
        <f t="shared" si="83"/>
        <v>732.49309654370427</v>
      </c>
      <c r="N238" s="447">
        <f t="shared" si="83"/>
        <v>727.88807776288206</v>
      </c>
    </row>
    <row r="239" spans="1:14">
      <c r="B239" s="149" t="str">
        <f t="shared" si="79"/>
        <v>Total</v>
      </c>
      <c r="C239" s="447">
        <f>SUM(C229:C238)</f>
        <v>21644.583590263672</v>
      </c>
      <c r="D239" s="447">
        <f t="shared" ref="D239:N239" si="93">SUM(D229:D238)</f>
        <v>21800.709662834022</v>
      </c>
      <c r="E239" s="447">
        <f t="shared" si="93"/>
        <v>22031.322733304809</v>
      </c>
      <c r="F239" s="447">
        <f t="shared" si="93"/>
        <v>22171.159975423205</v>
      </c>
      <c r="G239" s="447">
        <f t="shared" si="93"/>
        <v>22121.457339791112</v>
      </c>
      <c r="H239" s="447">
        <f t="shared" si="93"/>
        <v>22076.7345611374</v>
      </c>
      <c r="I239" s="447">
        <f t="shared" si="93"/>
        <v>22029.645881113098</v>
      </c>
      <c r="J239" s="447">
        <f t="shared" si="93"/>
        <v>21974.819306557154</v>
      </c>
      <c r="K239" s="447">
        <f t="shared" si="93"/>
        <v>21984.969218271392</v>
      </c>
      <c r="L239" s="447">
        <f t="shared" si="93"/>
        <v>22040.79693096544</v>
      </c>
      <c r="M239" s="447">
        <f t="shared" si="93"/>
        <v>22105.274903102323</v>
      </c>
      <c r="N239" s="447">
        <f t="shared" si="93"/>
        <v>22156.89934633287</v>
      </c>
    </row>
    <row r="240" spans="1:14">
      <c r="A240" s="10">
        <f>SUM(C240:N240)</f>
        <v>0</v>
      </c>
      <c r="C240" s="10">
        <f t="shared" ref="C240:N240" si="94">SUM(C229:C238)-C239</f>
        <v>0</v>
      </c>
      <c r="D240" s="10">
        <f t="shared" si="94"/>
        <v>0</v>
      </c>
      <c r="E240" s="10">
        <f t="shared" si="94"/>
        <v>0</v>
      </c>
      <c r="F240" s="10">
        <f t="shared" si="94"/>
        <v>0</v>
      </c>
      <c r="G240" s="10">
        <f t="shared" si="94"/>
        <v>0</v>
      </c>
      <c r="H240" s="10">
        <f t="shared" si="94"/>
        <v>0</v>
      </c>
      <c r="I240" s="10">
        <f t="shared" si="94"/>
        <v>0</v>
      </c>
      <c r="J240" s="10">
        <f t="shared" si="94"/>
        <v>0</v>
      </c>
      <c r="K240" s="10">
        <f t="shared" si="94"/>
        <v>0</v>
      </c>
      <c r="L240" s="10">
        <f t="shared" si="94"/>
        <v>0</v>
      </c>
      <c r="M240" s="10">
        <f t="shared" si="94"/>
        <v>0</v>
      </c>
      <c r="N240" s="10">
        <f t="shared" si="94"/>
        <v>0</v>
      </c>
    </row>
    <row r="241" spans="1:14">
      <c r="A241" s="10"/>
      <c r="C241" s="10"/>
      <c r="D241" s="10"/>
      <c r="E241" s="10"/>
      <c r="F241" s="10"/>
      <c r="G241" s="10"/>
      <c r="H241" s="10"/>
      <c r="I241" s="10"/>
      <c r="J241" s="10"/>
      <c r="K241" s="10"/>
      <c r="L241" s="10"/>
      <c r="M241" s="10"/>
      <c r="N241" s="10"/>
    </row>
    <row r="242" spans="1:14" ht="15.75">
      <c r="B242" s="77" t="s">
        <v>167</v>
      </c>
      <c r="C242" s="115"/>
      <c r="D242" s="115"/>
      <c r="E242" s="115"/>
      <c r="F242" s="115"/>
      <c r="G242" s="115"/>
      <c r="H242" s="117"/>
      <c r="I242" s="115"/>
      <c r="J242" s="115"/>
      <c r="K242" s="115"/>
      <c r="L242" s="115"/>
    </row>
    <row r="243" spans="1:14">
      <c r="C243" s="115"/>
      <c r="D243" s="115"/>
      <c r="E243" s="115"/>
      <c r="F243" s="115"/>
      <c r="G243" s="115"/>
      <c r="H243" s="117"/>
      <c r="I243" s="115"/>
      <c r="J243" s="115"/>
      <c r="K243" s="115"/>
      <c r="L243" s="115"/>
    </row>
    <row r="244" spans="1:14">
      <c r="B244" s="75" t="s">
        <v>46</v>
      </c>
      <c r="C244" s="115"/>
      <c r="D244" s="115"/>
      <c r="E244" s="115"/>
      <c r="F244" s="115"/>
      <c r="G244" s="115"/>
      <c r="H244" s="117"/>
      <c r="I244" s="115"/>
      <c r="J244" s="115"/>
      <c r="K244" s="115"/>
      <c r="L244" s="115"/>
    </row>
    <row r="245" spans="1:14">
      <c r="C245" s="115"/>
      <c r="D245" s="115"/>
      <c r="E245" s="115"/>
      <c r="F245" s="115"/>
      <c r="G245" s="115"/>
      <c r="H245" s="117"/>
      <c r="I245" s="115"/>
      <c r="J245" s="115"/>
      <c r="K245" s="115"/>
      <c r="L245" s="115"/>
    </row>
    <row r="246" spans="1:14">
      <c r="B246" s="149" t="str">
        <f t="shared" ref="B246:B257" si="95">B212</f>
        <v>Age group</v>
      </c>
      <c r="C246" s="149" t="str">
        <f t="shared" ref="C246:N246" si="96">C212</f>
        <v>2017/18</v>
      </c>
      <c r="D246" s="149" t="str">
        <f t="shared" si="96"/>
        <v>2018/19</v>
      </c>
      <c r="E246" s="149" t="str">
        <f t="shared" si="96"/>
        <v>2019/20</v>
      </c>
      <c r="F246" s="149" t="str">
        <f t="shared" si="96"/>
        <v>2020/21</v>
      </c>
      <c r="G246" s="149" t="str">
        <f t="shared" si="96"/>
        <v>2021/22</v>
      </c>
      <c r="H246" s="149" t="str">
        <f t="shared" si="96"/>
        <v>2022/23</v>
      </c>
      <c r="I246" s="149" t="str">
        <f t="shared" si="96"/>
        <v>2023/24</v>
      </c>
      <c r="J246" s="149" t="str">
        <f t="shared" si="96"/>
        <v>2024/25</v>
      </c>
      <c r="K246" s="149" t="str">
        <f t="shared" si="96"/>
        <v>2025/26</v>
      </c>
      <c r="L246" s="149" t="str">
        <f t="shared" si="96"/>
        <v>2026/27</v>
      </c>
      <c r="M246" s="149" t="str">
        <f t="shared" si="96"/>
        <v>2027/28</v>
      </c>
      <c r="N246" s="149" t="str">
        <f t="shared" si="96"/>
        <v>2028/29</v>
      </c>
    </row>
    <row r="247" spans="1:14">
      <c r="B247" s="149" t="str">
        <f t="shared" si="95"/>
        <v>20-24</v>
      </c>
      <c r="C247" s="447">
        <f t="shared" ref="C247:C256" si="97">C77-C213</f>
        <v>1450.7455997768623</v>
      </c>
      <c r="D247" s="447">
        <f t="shared" ref="D247:L247" si="98">D77-D213</f>
        <v>1867.823234854153</v>
      </c>
      <c r="E247" s="447">
        <f t="shared" si="98"/>
        <v>2106.3980804953817</v>
      </c>
      <c r="F247" s="447">
        <f t="shared" si="98"/>
        <v>2268.9867053694848</v>
      </c>
      <c r="G247" s="447">
        <f t="shared" si="98"/>
        <v>2391.4162222085461</v>
      </c>
      <c r="H247" s="447">
        <f t="shared" si="98"/>
        <v>2470.1265511453439</v>
      </c>
      <c r="I247" s="447">
        <f t="shared" si="98"/>
        <v>2516.8714951474922</v>
      </c>
      <c r="J247" s="447">
        <f t="shared" si="98"/>
        <v>2540.4291933195636</v>
      </c>
      <c r="K247" s="447">
        <f t="shared" si="98"/>
        <v>2574.2036341958137</v>
      </c>
      <c r="L247" s="447">
        <f t="shared" si="98"/>
        <v>2611.843708040215</v>
      </c>
      <c r="M247" s="447">
        <f t="shared" ref="M247:N256" si="99">M77-M213</f>
        <v>2641.6641572320968</v>
      </c>
      <c r="N247" s="447">
        <f t="shared" si="99"/>
        <v>2659.3065216863693</v>
      </c>
    </row>
    <row r="248" spans="1:14">
      <c r="B248" s="149" t="str">
        <f t="shared" si="95"/>
        <v>25-29</v>
      </c>
      <c r="C248" s="447">
        <f t="shared" si="97"/>
        <v>5073.1688532268627</v>
      </c>
      <c r="D248" s="447">
        <f t="shared" ref="D248:L248" si="100">D78-D214</f>
        <v>4745.0676654074641</v>
      </c>
      <c r="E248" s="447">
        <f t="shared" si="100"/>
        <v>4520.2606198164513</v>
      </c>
      <c r="F248" s="447">
        <f t="shared" si="100"/>
        <v>4403.2983928455678</v>
      </c>
      <c r="G248" s="447">
        <f t="shared" si="100"/>
        <v>4357.9065869389424</v>
      </c>
      <c r="H248" s="447">
        <f t="shared" si="100"/>
        <v>4340.1758922331228</v>
      </c>
      <c r="I248" s="447">
        <f t="shared" si="100"/>
        <v>4332.941736937214</v>
      </c>
      <c r="J248" s="447">
        <f t="shared" si="100"/>
        <v>4326.6599840625904</v>
      </c>
      <c r="K248" s="447">
        <f t="shared" si="100"/>
        <v>4344.1686133825278</v>
      </c>
      <c r="L248" s="447">
        <f t="shared" si="100"/>
        <v>4377.0102621995593</v>
      </c>
      <c r="M248" s="447">
        <f t="shared" si="99"/>
        <v>4410.5964820892586</v>
      </c>
      <c r="N248" s="447">
        <f t="shared" si="99"/>
        <v>4436.4228247184237</v>
      </c>
    </row>
    <row r="249" spans="1:14">
      <c r="B249" s="149" t="str">
        <f t="shared" si="95"/>
        <v>30-34</v>
      </c>
      <c r="C249" s="447">
        <f t="shared" si="97"/>
        <v>5698.7245557615879</v>
      </c>
      <c r="D249" s="447">
        <f t="shared" ref="D249:L249" si="101">D79-D215</f>
        <v>5560.1898680332251</v>
      </c>
      <c r="E249" s="447">
        <f t="shared" si="101"/>
        <v>5355.2654052165772</v>
      </c>
      <c r="F249" s="447">
        <f t="shared" si="101"/>
        <v>5169.6839918070345</v>
      </c>
      <c r="G249" s="447">
        <f t="shared" si="101"/>
        <v>5018.257496054277</v>
      </c>
      <c r="H249" s="447">
        <f t="shared" si="101"/>
        <v>4895.8382440097057</v>
      </c>
      <c r="I249" s="447">
        <f t="shared" si="101"/>
        <v>4798.7876620575526</v>
      </c>
      <c r="J249" s="447">
        <f t="shared" si="101"/>
        <v>4721.647392671026</v>
      </c>
      <c r="K249" s="447">
        <f t="shared" si="101"/>
        <v>4674.195049585468</v>
      </c>
      <c r="L249" s="447">
        <f t="shared" si="101"/>
        <v>4650.8021956649445</v>
      </c>
      <c r="M249" s="447">
        <f t="shared" si="99"/>
        <v>4641.7233827481678</v>
      </c>
      <c r="N249" s="447">
        <f t="shared" si="99"/>
        <v>4639.3868801186591</v>
      </c>
    </row>
    <row r="250" spans="1:14">
      <c r="B250" s="149" t="str">
        <f t="shared" si="95"/>
        <v>35-39</v>
      </c>
      <c r="C250" s="447">
        <f t="shared" si="97"/>
        <v>4987.310981119831</v>
      </c>
      <c r="D250" s="447">
        <f t="shared" ref="D250:L250" si="102">D80-D216</f>
        <v>5083.4137354601335</v>
      </c>
      <c r="E250" s="447">
        <f t="shared" si="102"/>
        <v>5095.8402770595685</v>
      </c>
      <c r="F250" s="447">
        <f t="shared" si="102"/>
        <v>5071.1706685628487</v>
      </c>
      <c r="G250" s="447">
        <f t="shared" si="102"/>
        <v>5022.1711189266807</v>
      </c>
      <c r="H250" s="447">
        <f t="shared" si="102"/>
        <v>4955.2133145229545</v>
      </c>
      <c r="I250" s="447">
        <f t="shared" si="102"/>
        <v>4879.8054216525634</v>
      </c>
      <c r="J250" s="447">
        <f t="shared" si="102"/>
        <v>4802.5166267220884</v>
      </c>
      <c r="K250" s="447">
        <f t="shared" si="102"/>
        <v>4738.1985331506185</v>
      </c>
      <c r="L250" s="447">
        <f t="shared" si="102"/>
        <v>4687.6073686008895</v>
      </c>
      <c r="M250" s="447">
        <f t="shared" si="99"/>
        <v>4647.3391777425495</v>
      </c>
      <c r="N250" s="447">
        <f t="shared" si="99"/>
        <v>4614.626785676428</v>
      </c>
    </row>
    <row r="251" spans="1:14">
      <c r="B251" s="149" t="str">
        <f t="shared" si="95"/>
        <v>40-44</v>
      </c>
      <c r="C251" s="447">
        <f t="shared" si="97"/>
        <v>4340.8527432953824</v>
      </c>
      <c r="D251" s="447">
        <f t="shared" ref="D251:L251" si="103">D81-D217</f>
        <v>4409.5017819356171</v>
      </c>
      <c r="E251" s="447">
        <f t="shared" si="103"/>
        <v>4446.3122573956171</v>
      </c>
      <c r="F251" s="447">
        <f t="shared" si="103"/>
        <v>4479.6496325441722</v>
      </c>
      <c r="G251" s="447">
        <f t="shared" si="103"/>
        <v>4502.7020977109187</v>
      </c>
      <c r="H251" s="447">
        <f t="shared" si="103"/>
        <v>4508.0163460331523</v>
      </c>
      <c r="I251" s="447">
        <f t="shared" si="103"/>
        <v>4496.5637778384053</v>
      </c>
      <c r="J251" s="447">
        <f t="shared" si="103"/>
        <v>4470.997233029886</v>
      </c>
      <c r="K251" s="447">
        <f t="shared" si="103"/>
        <v>4444.5245594496901</v>
      </c>
      <c r="L251" s="447">
        <f t="shared" si="103"/>
        <v>4418.5476853795444</v>
      </c>
      <c r="M251" s="447">
        <f t="shared" si="99"/>
        <v>4391.5584658050902</v>
      </c>
      <c r="N251" s="447">
        <f t="shared" si="99"/>
        <v>4363.2422899222502</v>
      </c>
    </row>
    <row r="252" spans="1:14">
      <c r="B252" s="149" t="str">
        <f t="shared" si="95"/>
        <v>45-49</v>
      </c>
      <c r="C252" s="447">
        <f t="shared" si="97"/>
        <v>3556.8018512996268</v>
      </c>
      <c r="D252" s="447">
        <f t="shared" ref="D252:L252" si="104">D82-D218</f>
        <v>3618.4376055867097</v>
      </c>
      <c r="E252" s="447">
        <f t="shared" si="104"/>
        <v>3649.8594824043307</v>
      </c>
      <c r="F252" s="447">
        <f t="shared" si="104"/>
        <v>3683.3067634700456</v>
      </c>
      <c r="G252" s="447">
        <f t="shared" si="104"/>
        <v>3716.0939819936657</v>
      </c>
      <c r="H252" s="447">
        <f t="shared" si="104"/>
        <v>3742.025190298476</v>
      </c>
      <c r="I252" s="447">
        <f t="shared" si="104"/>
        <v>3759.3760141085777</v>
      </c>
      <c r="J252" s="447">
        <f t="shared" si="104"/>
        <v>3767.2302951490979</v>
      </c>
      <c r="K252" s="447">
        <f t="shared" si="104"/>
        <v>3773.2894892073359</v>
      </c>
      <c r="L252" s="447">
        <f t="shared" si="104"/>
        <v>3776.93104713189</v>
      </c>
      <c r="M252" s="447">
        <f t="shared" si="99"/>
        <v>3775.8638386271177</v>
      </c>
      <c r="N252" s="447">
        <f t="shared" si="99"/>
        <v>3769.2587573762767</v>
      </c>
    </row>
    <row r="253" spans="1:14">
      <c r="B253" s="149" t="str">
        <f t="shared" si="95"/>
        <v>50-54</v>
      </c>
      <c r="C253" s="447">
        <f t="shared" si="97"/>
        <v>2683.0450300759758</v>
      </c>
      <c r="D253" s="447">
        <f t="shared" ref="D253:L253" si="105">D83-D219</f>
        <v>2696.5574162899466</v>
      </c>
      <c r="E253" s="447">
        <f t="shared" si="105"/>
        <v>2699.1061122318288</v>
      </c>
      <c r="F253" s="447">
        <f t="shared" si="105"/>
        <v>2709.6696830466262</v>
      </c>
      <c r="G253" s="447">
        <f t="shared" si="105"/>
        <v>2724.7022907184655</v>
      </c>
      <c r="H253" s="447">
        <f t="shared" si="105"/>
        <v>2739.8434543337999</v>
      </c>
      <c r="I253" s="447">
        <f t="shared" si="105"/>
        <v>2753.5917266108695</v>
      </c>
      <c r="J253" s="447">
        <f t="shared" si="105"/>
        <v>2764.680617637383</v>
      </c>
      <c r="K253" s="447">
        <f t="shared" si="105"/>
        <v>2777.1913548685166</v>
      </c>
      <c r="L253" s="447">
        <f t="shared" si="105"/>
        <v>2789.7715340066734</v>
      </c>
      <c r="M253" s="447">
        <f t="shared" si="99"/>
        <v>2799.9870154916184</v>
      </c>
      <c r="N253" s="447">
        <f t="shared" si="99"/>
        <v>2806.4277565748234</v>
      </c>
    </row>
    <row r="254" spans="1:14">
      <c r="B254" s="149" t="str">
        <f t="shared" si="95"/>
        <v>55-59</v>
      </c>
      <c r="C254" s="447">
        <f t="shared" si="97"/>
        <v>1309.5006327561739</v>
      </c>
      <c r="D254" s="447">
        <f t="shared" ref="D254:L254" si="106">D84-D220</f>
        <v>1260.7360301651406</v>
      </c>
      <c r="E254" s="447">
        <f t="shared" si="106"/>
        <v>1225.952954735506</v>
      </c>
      <c r="F254" s="447">
        <f t="shared" si="106"/>
        <v>1206.5445882699948</v>
      </c>
      <c r="G254" s="447">
        <f t="shared" si="106"/>
        <v>1197.3961308071739</v>
      </c>
      <c r="H254" s="447">
        <f t="shared" si="106"/>
        <v>1193.5170379670417</v>
      </c>
      <c r="I254" s="447">
        <f t="shared" si="106"/>
        <v>1192.6580847638725</v>
      </c>
      <c r="J254" s="447">
        <f t="shared" si="106"/>
        <v>1193.3109831991612</v>
      </c>
      <c r="K254" s="447">
        <f t="shared" si="106"/>
        <v>1197.0057279039438</v>
      </c>
      <c r="L254" s="447">
        <f t="shared" si="106"/>
        <v>1202.4053225471419</v>
      </c>
      <c r="M254" s="447">
        <f t="shared" si="99"/>
        <v>1207.8191218256059</v>
      </c>
      <c r="N254" s="447">
        <f t="shared" si="99"/>
        <v>1212.246708925622</v>
      </c>
    </row>
    <row r="255" spans="1:14">
      <c r="B255" s="149" t="str">
        <f t="shared" si="95"/>
        <v>60-64</v>
      </c>
      <c r="C255" s="447">
        <f t="shared" si="97"/>
        <v>478.5455908978771</v>
      </c>
      <c r="D255" s="447">
        <f t="shared" ref="D255:L255" si="107">D85-D221</f>
        <v>446.83642812045269</v>
      </c>
      <c r="E255" s="447">
        <f t="shared" si="107"/>
        <v>421.19650281012048</v>
      </c>
      <c r="F255" s="447">
        <f t="shared" si="107"/>
        <v>404.04244612471962</v>
      </c>
      <c r="G255" s="447">
        <f t="shared" si="107"/>
        <v>393.2189278077575</v>
      </c>
      <c r="H255" s="447">
        <f t="shared" si="107"/>
        <v>386.25126628541705</v>
      </c>
      <c r="I255" s="447">
        <f t="shared" si="107"/>
        <v>381.85646938846298</v>
      </c>
      <c r="J255" s="447">
        <f t="shared" si="107"/>
        <v>379.11959422892176</v>
      </c>
      <c r="K255" s="447">
        <f t="shared" si="107"/>
        <v>378.55052859848377</v>
      </c>
      <c r="L255" s="447">
        <f t="shared" si="107"/>
        <v>379.32979290040976</v>
      </c>
      <c r="M255" s="447">
        <f t="shared" si="99"/>
        <v>380.56081371127777</v>
      </c>
      <c r="N255" s="447">
        <f t="shared" si="99"/>
        <v>381.73642973167568</v>
      </c>
    </row>
    <row r="256" spans="1:14">
      <c r="B256" s="149" t="str">
        <f t="shared" si="95"/>
        <v>65 plus</v>
      </c>
      <c r="C256" s="447">
        <f t="shared" si="97"/>
        <v>162.62870138835478</v>
      </c>
      <c r="D256" s="447">
        <f t="shared" ref="D256:L256" si="108">D86-D222</f>
        <v>181.45955951609679</v>
      </c>
      <c r="E256" s="447">
        <f t="shared" si="108"/>
        <v>188.07591745648662</v>
      </c>
      <c r="F256" s="447">
        <f t="shared" si="108"/>
        <v>189.23489805891143</v>
      </c>
      <c r="G256" s="447">
        <f t="shared" si="108"/>
        <v>187.91580387287507</v>
      </c>
      <c r="H256" s="447">
        <f t="shared" si="108"/>
        <v>185.54847315977449</v>
      </c>
      <c r="I256" s="447">
        <f t="shared" si="108"/>
        <v>182.97932106226136</v>
      </c>
      <c r="J256" s="447">
        <f t="shared" si="108"/>
        <v>180.59820210955206</v>
      </c>
      <c r="K256" s="447">
        <f t="shared" si="108"/>
        <v>179.00404462654149</v>
      </c>
      <c r="L256" s="447">
        <f t="shared" si="108"/>
        <v>178.14111062978043</v>
      </c>
      <c r="M256" s="447">
        <f t="shared" si="99"/>
        <v>177.74410632021664</v>
      </c>
      <c r="N256" s="447">
        <f t="shared" si="99"/>
        <v>177.59150944930485</v>
      </c>
    </row>
    <row r="257" spans="1:14">
      <c r="B257" s="149" t="str">
        <f t="shared" si="95"/>
        <v>Total</v>
      </c>
      <c r="C257" s="447">
        <f>SUM(C247:C256)</f>
        <v>29741.324539598536</v>
      </c>
      <c r="D257" s="447">
        <f t="shared" ref="D257:N257" si="109">SUM(D247:D256)</f>
        <v>29870.023325368944</v>
      </c>
      <c r="E257" s="447">
        <f t="shared" si="109"/>
        <v>29708.267609621871</v>
      </c>
      <c r="F257" s="447">
        <f t="shared" si="109"/>
        <v>29585.587770099402</v>
      </c>
      <c r="G257" s="447">
        <f t="shared" si="109"/>
        <v>29511.7806570393</v>
      </c>
      <c r="H257" s="447">
        <f t="shared" si="109"/>
        <v>29416.555769988787</v>
      </c>
      <c r="I257" s="447">
        <f t="shared" si="109"/>
        <v>29295.43170956727</v>
      </c>
      <c r="J257" s="447">
        <f t="shared" si="109"/>
        <v>29147.190122129272</v>
      </c>
      <c r="K257" s="447">
        <f t="shared" si="109"/>
        <v>29080.331534968933</v>
      </c>
      <c r="L257" s="447">
        <f t="shared" si="109"/>
        <v>29072.39002710105</v>
      </c>
      <c r="M257" s="447">
        <f t="shared" si="109"/>
        <v>29074.856561593002</v>
      </c>
      <c r="N257" s="447">
        <f t="shared" si="109"/>
        <v>29060.246464179832</v>
      </c>
    </row>
    <row r="258" spans="1:14">
      <c r="A258" s="10">
        <f>SUM(C258:N258)</f>
        <v>0</v>
      </c>
      <c r="C258" s="302">
        <f t="shared" ref="C258:N258" si="110">SUM(C247:C256)-C257</f>
        <v>0</v>
      </c>
      <c r="D258" s="302">
        <f t="shared" si="110"/>
        <v>0</v>
      </c>
      <c r="E258" s="302">
        <f t="shared" si="110"/>
        <v>0</v>
      </c>
      <c r="F258" s="302">
        <f t="shared" si="110"/>
        <v>0</v>
      </c>
      <c r="G258" s="302">
        <f t="shared" si="110"/>
        <v>0</v>
      </c>
      <c r="H258" s="302">
        <f t="shared" si="110"/>
        <v>0</v>
      </c>
      <c r="I258" s="302">
        <f t="shared" si="110"/>
        <v>0</v>
      </c>
      <c r="J258" s="302">
        <f t="shared" si="110"/>
        <v>0</v>
      </c>
      <c r="K258" s="302">
        <f t="shared" si="110"/>
        <v>0</v>
      </c>
      <c r="L258" s="302">
        <f t="shared" si="110"/>
        <v>0</v>
      </c>
      <c r="M258" s="302">
        <f t="shared" si="110"/>
        <v>0</v>
      </c>
      <c r="N258" s="302">
        <f t="shared" si="110"/>
        <v>0</v>
      </c>
    </row>
    <row r="259" spans="1:14">
      <c r="A259" s="10"/>
      <c r="C259" s="302"/>
      <c r="D259" s="302"/>
      <c r="E259" s="302"/>
      <c r="F259" s="302"/>
      <c r="G259" s="302"/>
      <c r="H259" s="302"/>
      <c r="I259" s="302"/>
      <c r="J259" s="302"/>
      <c r="K259" s="302"/>
      <c r="L259" s="302"/>
      <c r="M259" s="302"/>
      <c r="N259" s="302"/>
    </row>
    <row r="260" spans="1:14">
      <c r="B260" s="75" t="s">
        <v>47</v>
      </c>
      <c r="C260" s="322"/>
      <c r="D260" s="322"/>
      <c r="E260" s="322"/>
      <c r="F260" s="322"/>
      <c r="G260" s="322"/>
      <c r="H260" s="332"/>
      <c r="I260" s="322"/>
      <c r="J260" s="322"/>
      <c r="K260" s="322"/>
      <c r="L260" s="322"/>
      <c r="M260" s="302"/>
      <c r="N260" s="302"/>
    </row>
    <row r="261" spans="1:14">
      <c r="C261" s="322"/>
      <c r="D261" s="322"/>
      <c r="E261" s="322"/>
      <c r="F261" s="322"/>
      <c r="G261" s="322"/>
      <c r="H261" s="332"/>
      <c r="I261" s="322"/>
      <c r="J261" s="322"/>
      <c r="K261" s="322"/>
      <c r="L261" s="322"/>
      <c r="M261" s="302"/>
      <c r="N261" s="302"/>
    </row>
    <row r="262" spans="1:14">
      <c r="B262" s="149" t="str">
        <f t="shared" ref="B262:B273" si="111">B246</f>
        <v>Age group</v>
      </c>
      <c r="C262" s="331" t="str">
        <f t="shared" ref="C262:N262" si="112">C246</f>
        <v>2017/18</v>
      </c>
      <c r="D262" s="331" t="str">
        <f t="shared" si="112"/>
        <v>2018/19</v>
      </c>
      <c r="E262" s="331" t="str">
        <f t="shared" si="112"/>
        <v>2019/20</v>
      </c>
      <c r="F262" s="331" t="str">
        <f t="shared" si="112"/>
        <v>2020/21</v>
      </c>
      <c r="G262" s="331" t="str">
        <f t="shared" si="112"/>
        <v>2021/22</v>
      </c>
      <c r="H262" s="331" t="str">
        <f t="shared" si="112"/>
        <v>2022/23</v>
      </c>
      <c r="I262" s="331" t="str">
        <f t="shared" si="112"/>
        <v>2023/24</v>
      </c>
      <c r="J262" s="331" t="str">
        <f t="shared" si="112"/>
        <v>2024/25</v>
      </c>
      <c r="K262" s="331" t="str">
        <f t="shared" si="112"/>
        <v>2025/26</v>
      </c>
      <c r="L262" s="331" t="str">
        <f t="shared" si="112"/>
        <v>2026/27</v>
      </c>
      <c r="M262" s="331" t="str">
        <f t="shared" si="112"/>
        <v>2027/28</v>
      </c>
      <c r="N262" s="331" t="str">
        <f t="shared" si="112"/>
        <v>2028/29</v>
      </c>
    </row>
    <row r="263" spans="1:14">
      <c r="B263" s="149" t="str">
        <f t="shared" si="111"/>
        <v>20-24</v>
      </c>
      <c r="C263" s="447">
        <f t="shared" ref="C263:C272" si="113">C93-C229</f>
        <v>11059.937879613182</v>
      </c>
      <c r="D263" s="447">
        <f t="shared" ref="D263:L263" si="114">D93-D229</f>
        <v>13356.780757072784</v>
      </c>
      <c r="E263" s="447">
        <f t="shared" si="114"/>
        <v>14708.876039217919</v>
      </c>
      <c r="F263" s="447">
        <f t="shared" si="114"/>
        <v>15592.562790465405</v>
      </c>
      <c r="G263" s="447">
        <f t="shared" si="114"/>
        <v>16281.01568472188</v>
      </c>
      <c r="H263" s="447">
        <f t="shared" si="114"/>
        <v>16730.393571575467</v>
      </c>
      <c r="I263" s="447">
        <f t="shared" si="114"/>
        <v>16999.668326831139</v>
      </c>
      <c r="J263" s="447">
        <f t="shared" si="114"/>
        <v>17134.625603338474</v>
      </c>
      <c r="K263" s="447">
        <f t="shared" si="114"/>
        <v>17341.119444376884</v>
      </c>
      <c r="L263" s="447">
        <f t="shared" si="114"/>
        <v>17578.064600107111</v>
      </c>
      <c r="M263" s="447">
        <f t="shared" ref="M263:N272" si="115">M93-M229</f>
        <v>17770.044067293995</v>
      </c>
      <c r="N263" s="447">
        <f t="shared" si="115"/>
        <v>17887.221279010508</v>
      </c>
    </row>
    <row r="264" spans="1:14">
      <c r="B264" s="149" t="str">
        <f t="shared" si="111"/>
        <v>25-29</v>
      </c>
      <c r="C264" s="447">
        <f t="shared" si="113"/>
        <v>29648.100598823949</v>
      </c>
      <c r="D264" s="447">
        <f t="shared" ref="D264:L264" si="116">D94-D230</f>
        <v>29073.266955386782</v>
      </c>
      <c r="E264" s="447">
        <f t="shared" si="116"/>
        <v>28743.866678580162</v>
      </c>
      <c r="F264" s="447">
        <f t="shared" si="116"/>
        <v>28645.568027433932</v>
      </c>
      <c r="G264" s="447">
        <f t="shared" si="116"/>
        <v>28790.161594636487</v>
      </c>
      <c r="H264" s="447">
        <f t="shared" si="116"/>
        <v>28973.927269495318</v>
      </c>
      <c r="I264" s="447">
        <f t="shared" si="116"/>
        <v>29133.987071294192</v>
      </c>
      <c r="J264" s="447">
        <f t="shared" si="116"/>
        <v>29239.036132065794</v>
      </c>
      <c r="K264" s="447">
        <f t="shared" si="116"/>
        <v>29451.896031291031</v>
      </c>
      <c r="L264" s="447">
        <f t="shared" si="116"/>
        <v>29734.421062465281</v>
      </c>
      <c r="M264" s="447">
        <f t="shared" si="115"/>
        <v>30004.485573804806</v>
      </c>
      <c r="N264" s="447">
        <f t="shared" si="115"/>
        <v>30213.807560509511</v>
      </c>
    </row>
    <row r="265" spans="1:14">
      <c r="B265" s="149" t="str">
        <f t="shared" si="111"/>
        <v>30-34</v>
      </c>
      <c r="C265" s="447">
        <f t="shared" si="113"/>
        <v>31411.098042301666</v>
      </c>
      <c r="D265" s="447">
        <f t="shared" ref="D265:L265" si="117">D95-D231</f>
        <v>31470.567462167794</v>
      </c>
      <c r="E265" s="447">
        <f t="shared" si="117"/>
        <v>31209.055932758147</v>
      </c>
      <c r="F265" s="447">
        <f t="shared" si="117"/>
        <v>30884.380766520717</v>
      </c>
      <c r="G265" s="447">
        <f t="shared" si="117"/>
        <v>30659.339987199219</v>
      </c>
      <c r="H265" s="447">
        <f t="shared" si="117"/>
        <v>30496.386965307905</v>
      </c>
      <c r="I265" s="447">
        <f t="shared" si="117"/>
        <v>30381.215277550735</v>
      </c>
      <c r="J265" s="447">
        <f t="shared" si="117"/>
        <v>30293.806025237183</v>
      </c>
      <c r="K265" s="447">
        <f t="shared" si="117"/>
        <v>30310.207639205568</v>
      </c>
      <c r="L265" s="447">
        <f t="shared" si="117"/>
        <v>30410.597103122047</v>
      </c>
      <c r="M265" s="447">
        <f t="shared" si="115"/>
        <v>30547.904628245295</v>
      </c>
      <c r="N265" s="447">
        <f t="shared" si="115"/>
        <v>30686.223170891524</v>
      </c>
    </row>
    <row r="266" spans="1:14">
      <c r="B266" s="149" t="str">
        <f t="shared" si="111"/>
        <v>35-39</v>
      </c>
      <c r="C266" s="447">
        <f t="shared" si="113"/>
        <v>29088.74419414264</v>
      </c>
      <c r="D266" s="447">
        <f t="shared" ref="D266:L266" si="118">D96-D232</f>
        <v>29317.7222750365</v>
      </c>
      <c r="E266" s="447">
        <f t="shared" si="118"/>
        <v>29347.993446134442</v>
      </c>
      <c r="F266" s="447">
        <f t="shared" si="118"/>
        <v>29263.816289326875</v>
      </c>
      <c r="G266" s="447">
        <f t="shared" si="118"/>
        <v>29163.724639966931</v>
      </c>
      <c r="H266" s="447">
        <f t="shared" si="118"/>
        <v>29031.40894591466</v>
      </c>
      <c r="I266" s="447">
        <f t="shared" si="118"/>
        <v>28883.460713189306</v>
      </c>
      <c r="J266" s="447">
        <f t="shared" si="118"/>
        <v>28730.802938828427</v>
      </c>
      <c r="K266" s="447">
        <f t="shared" si="118"/>
        <v>28645.636523549234</v>
      </c>
      <c r="L266" s="447">
        <f t="shared" si="118"/>
        <v>28620.919291621391</v>
      </c>
      <c r="M266" s="447">
        <f t="shared" si="115"/>
        <v>28629.820489924983</v>
      </c>
      <c r="N266" s="447">
        <f t="shared" si="115"/>
        <v>28653.508770576016</v>
      </c>
    </row>
    <row r="267" spans="1:14">
      <c r="B267" s="149" t="str">
        <f t="shared" si="111"/>
        <v>40-44</v>
      </c>
      <c r="C267" s="447">
        <f t="shared" si="113"/>
        <v>27073.99428019685</v>
      </c>
      <c r="D267" s="447">
        <f t="shared" ref="D267:L267" si="119">D97-D233</f>
        <v>27399.595492380875</v>
      </c>
      <c r="E267" s="447">
        <f t="shared" si="119"/>
        <v>27547.23607818265</v>
      </c>
      <c r="F267" s="447">
        <f t="shared" si="119"/>
        <v>27609.765377781754</v>
      </c>
      <c r="G267" s="447">
        <f t="shared" si="119"/>
        <v>27660.230920960083</v>
      </c>
      <c r="H267" s="447">
        <f t="shared" si="119"/>
        <v>27662.820432226144</v>
      </c>
      <c r="I267" s="447">
        <f t="shared" si="119"/>
        <v>27620.960162765452</v>
      </c>
      <c r="J267" s="447">
        <f t="shared" si="119"/>
        <v>27541.511498765452</v>
      </c>
      <c r="K267" s="447">
        <f t="shared" si="119"/>
        <v>27494.50906909625</v>
      </c>
      <c r="L267" s="447">
        <f t="shared" si="119"/>
        <v>27476.354336811535</v>
      </c>
      <c r="M267" s="447">
        <f t="shared" si="115"/>
        <v>27466.372294090801</v>
      </c>
      <c r="N267" s="447">
        <f t="shared" si="115"/>
        <v>27453.160746045094</v>
      </c>
    </row>
    <row r="268" spans="1:14">
      <c r="B268" s="149" t="str">
        <f t="shared" si="111"/>
        <v>45-49</v>
      </c>
      <c r="C268" s="447">
        <f t="shared" si="113"/>
        <v>23415.545153215753</v>
      </c>
      <c r="D268" s="447">
        <f t="shared" ref="D268:L268" si="120">D98-D234</f>
        <v>23772.680224688211</v>
      </c>
      <c r="E268" s="447">
        <f t="shared" si="120"/>
        <v>23983.737332472454</v>
      </c>
      <c r="F268" s="447">
        <f t="shared" si="120"/>
        <v>24120.919765942741</v>
      </c>
      <c r="G268" s="447">
        <f t="shared" si="120"/>
        <v>24248.760254133631</v>
      </c>
      <c r="H268" s="447">
        <f t="shared" si="120"/>
        <v>24339.209038794415</v>
      </c>
      <c r="I268" s="447">
        <f t="shared" si="120"/>
        <v>24390.940604829419</v>
      </c>
      <c r="J268" s="447">
        <f t="shared" si="120"/>
        <v>24404.604557559338</v>
      </c>
      <c r="K268" s="447">
        <f t="shared" si="120"/>
        <v>24431.413327943468</v>
      </c>
      <c r="L268" s="447">
        <f t="shared" si="120"/>
        <v>24467.869533395489</v>
      </c>
      <c r="M268" s="447">
        <f t="shared" si="115"/>
        <v>24497.605052193147</v>
      </c>
      <c r="N268" s="447">
        <f t="shared" si="115"/>
        <v>24511.738334894551</v>
      </c>
    </row>
    <row r="269" spans="1:14">
      <c r="B269" s="149" t="str">
        <f t="shared" si="111"/>
        <v>50-54</v>
      </c>
      <c r="C269" s="447">
        <f t="shared" si="113"/>
        <v>18649.618406822403</v>
      </c>
      <c r="D269" s="447">
        <f t="shared" ref="D269:L269" si="121">D99-D235</f>
        <v>18583.556878222593</v>
      </c>
      <c r="E269" s="447">
        <f t="shared" si="121"/>
        <v>18520.319418715477</v>
      </c>
      <c r="F269" s="447">
        <f t="shared" si="121"/>
        <v>18477.975830798183</v>
      </c>
      <c r="G269" s="447">
        <f t="shared" si="121"/>
        <v>18482.336548603911</v>
      </c>
      <c r="H269" s="447">
        <f t="shared" si="121"/>
        <v>18500.04482054578</v>
      </c>
      <c r="I269" s="447">
        <f t="shared" si="121"/>
        <v>18519.020592571454</v>
      </c>
      <c r="J269" s="447">
        <f t="shared" si="121"/>
        <v>18531.029474056624</v>
      </c>
      <c r="K269" s="447">
        <f t="shared" si="121"/>
        <v>18562.446209713598</v>
      </c>
      <c r="L269" s="447">
        <f t="shared" si="121"/>
        <v>18606.221753874604</v>
      </c>
      <c r="M269" s="447">
        <f t="shared" si="115"/>
        <v>18648.149606133578</v>
      </c>
      <c r="N269" s="447">
        <f t="shared" si="115"/>
        <v>18679.647574327973</v>
      </c>
    </row>
    <row r="270" spans="1:14">
      <c r="B270" s="149" t="str">
        <f t="shared" si="111"/>
        <v>55-59</v>
      </c>
      <c r="C270" s="447">
        <f t="shared" si="113"/>
        <v>10811.032058875371</v>
      </c>
      <c r="D270" s="447">
        <f t="shared" ref="D270:L270" si="122">D100-D236</f>
        <v>10219.702591082263</v>
      </c>
      <c r="E270" s="447">
        <f t="shared" si="122"/>
        <v>9800.9495901081427</v>
      </c>
      <c r="F270" s="447">
        <f t="shared" si="122"/>
        <v>9514.1995039174762</v>
      </c>
      <c r="G270" s="447">
        <f t="shared" si="122"/>
        <v>9333.746020787632</v>
      </c>
      <c r="H270" s="447">
        <f t="shared" si="122"/>
        <v>9217.2737435213767</v>
      </c>
      <c r="I270" s="447">
        <f t="shared" si="122"/>
        <v>9142.0258335310682</v>
      </c>
      <c r="J270" s="447">
        <f t="shared" si="122"/>
        <v>9092.2358501802373</v>
      </c>
      <c r="K270" s="447">
        <f t="shared" si="122"/>
        <v>9073.7890889987684</v>
      </c>
      <c r="L270" s="447">
        <f t="shared" si="122"/>
        <v>9075.9075370585233</v>
      </c>
      <c r="M270" s="447">
        <f t="shared" si="115"/>
        <v>9086.2337376754731</v>
      </c>
      <c r="N270" s="447">
        <f t="shared" si="115"/>
        <v>9097.2141724821777</v>
      </c>
    </row>
    <row r="271" spans="1:14">
      <c r="B271" s="149" t="str">
        <f t="shared" si="111"/>
        <v>60-64</v>
      </c>
      <c r="C271" s="447">
        <f t="shared" si="113"/>
        <v>4035.1004810549275</v>
      </c>
      <c r="D271" s="447">
        <f t="shared" ref="D271:L271" si="123">D101-D237</f>
        <v>3749.4185460626568</v>
      </c>
      <c r="E271" s="447">
        <f t="shared" si="123"/>
        <v>3507.4869023273218</v>
      </c>
      <c r="F271" s="447">
        <f t="shared" si="123"/>
        <v>3321.0421900471392</v>
      </c>
      <c r="G271" s="447">
        <f t="shared" si="123"/>
        <v>3188.8335647296221</v>
      </c>
      <c r="H271" s="447">
        <f t="shared" si="123"/>
        <v>3094.5039288628413</v>
      </c>
      <c r="I271" s="447">
        <f t="shared" si="123"/>
        <v>3027.8866077279599</v>
      </c>
      <c r="J271" s="447">
        <f t="shared" si="123"/>
        <v>2980.8662631314869</v>
      </c>
      <c r="K271" s="447">
        <f t="shared" si="123"/>
        <v>2954.5678069579221</v>
      </c>
      <c r="L271" s="447">
        <f t="shared" si="123"/>
        <v>2942.2599637276448</v>
      </c>
      <c r="M271" s="447">
        <f t="shared" si="115"/>
        <v>2937.0625061127794</v>
      </c>
      <c r="N271" s="447">
        <f t="shared" si="115"/>
        <v>2934.8186437228273</v>
      </c>
    </row>
    <row r="272" spans="1:14">
      <c r="B272" s="149" t="str">
        <f t="shared" si="111"/>
        <v>65 plus</v>
      </c>
      <c r="C272" s="447">
        <f t="shared" si="113"/>
        <v>1103.2153146895903</v>
      </c>
      <c r="D272" s="447">
        <f t="shared" ref="D272:L272" si="124">D102-D238</f>
        <v>1288.421091225254</v>
      </c>
      <c r="E272" s="447">
        <f t="shared" si="124"/>
        <v>1361.8390060877975</v>
      </c>
      <c r="F272" s="447">
        <f t="shared" si="124"/>
        <v>1374.374767188534</v>
      </c>
      <c r="G272" s="447">
        <f t="shared" si="124"/>
        <v>1359.7470042617679</v>
      </c>
      <c r="H272" s="447">
        <f t="shared" si="124"/>
        <v>1333.293513829735</v>
      </c>
      <c r="I272" s="447">
        <f t="shared" si="124"/>
        <v>1304.0383369497649</v>
      </c>
      <c r="J272" s="447">
        <f t="shared" si="124"/>
        <v>1276.4178076112639</v>
      </c>
      <c r="K272" s="447">
        <f t="shared" si="124"/>
        <v>1254.995167465212</v>
      </c>
      <c r="L272" s="447">
        <f t="shared" si="124"/>
        <v>1239.7146425605436</v>
      </c>
      <c r="M272" s="447">
        <f t="shared" si="115"/>
        <v>1228.9541098923892</v>
      </c>
      <c r="N272" s="447">
        <f t="shared" si="115"/>
        <v>1221.2279527674591</v>
      </c>
    </row>
    <row r="273" spans="1:14">
      <c r="B273" s="149" t="str">
        <f t="shared" si="111"/>
        <v>Total</v>
      </c>
      <c r="C273" s="447">
        <f>SUM(C263:C272)</f>
        <v>186296.38640973633</v>
      </c>
      <c r="D273" s="447">
        <f t="shared" ref="D273:N273" si="125">SUM(D263:D272)</f>
        <v>188231.71227332571</v>
      </c>
      <c r="E273" s="447">
        <f t="shared" si="125"/>
        <v>188731.36042458456</v>
      </c>
      <c r="F273" s="447">
        <f t="shared" si="125"/>
        <v>188804.60530942274</v>
      </c>
      <c r="G273" s="447">
        <f t="shared" si="125"/>
        <v>189167.89622000119</v>
      </c>
      <c r="H273" s="447">
        <f t="shared" si="125"/>
        <v>189379.26223007363</v>
      </c>
      <c r="I273" s="447">
        <f t="shared" si="125"/>
        <v>189403.20352724052</v>
      </c>
      <c r="J273" s="447">
        <f t="shared" si="125"/>
        <v>189224.93615077427</v>
      </c>
      <c r="K273" s="447">
        <f t="shared" si="125"/>
        <v>189520.58030859794</v>
      </c>
      <c r="L273" s="447">
        <f t="shared" si="125"/>
        <v>190152.32982474414</v>
      </c>
      <c r="M273" s="447">
        <f t="shared" si="125"/>
        <v>190816.63206536727</v>
      </c>
      <c r="N273" s="447">
        <f t="shared" si="125"/>
        <v>191338.56820522764</v>
      </c>
    </row>
    <row r="274" spans="1:14">
      <c r="A274" s="10">
        <f>SUM(C274:N274)</f>
        <v>0</v>
      </c>
      <c r="C274" s="10">
        <f t="shared" ref="C274:N274" si="126">SUM(C263:C272)-C273</f>
        <v>0</v>
      </c>
      <c r="D274" s="10">
        <f t="shared" si="126"/>
        <v>0</v>
      </c>
      <c r="E274" s="10">
        <f t="shared" si="126"/>
        <v>0</v>
      </c>
      <c r="F274" s="10">
        <f t="shared" si="126"/>
        <v>0</v>
      </c>
      <c r="G274" s="10">
        <f t="shared" si="126"/>
        <v>0</v>
      </c>
      <c r="H274" s="10">
        <f t="shared" si="126"/>
        <v>0</v>
      </c>
      <c r="I274" s="10">
        <f t="shared" si="126"/>
        <v>0</v>
      </c>
      <c r="J274" s="10">
        <f t="shared" si="126"/>
        <v>0</v>
      </c>
      <c r="K274" s="10">
        <f t="shared" si="126"/>
        <v>0</v>
      </c>
      <c r="L274" s="10">
        <f t="shared" si="126"/>
        <v>0</v>
      </c>
      <c r="M274" s="10">
        <f t="shared" si="126"/>
        <v>0</v>
      </c>
      <c r="N274" s="10">
        <f t="shared" si="126"/>
        <v>0</v>
      </c>
    </row>
    <row r="275" spans="1:14" ht="15.75">
      <c r="B275" s="77"/>
      <c r="H275" s="5"/>
    </row>
    <row r="276" spans="1:14" ht="15.75">
      <c r="B276" s="77" t="s">
        <v>528</v>
      </c>
      <c r="H276" s="5"/>
    </row>
    <row r="277" spans="1:14" ht="15.75">
      <c r="B277" s="77"/>
      <c r="H277" s="5"/>
    </row>
    <row r="278" spans="1:14" ht="15.75">
      <c r="B278" s="77"/>
      <c r="C278" s="8" t="str">
        <f>C262</f>
        <v>2017/18</v>
      </c>
      <c r="D278" s="8" t="str">
        <f t="shared" ref="D278:N278" si="127">D262</f>
        <v>2018/19</v>
      </c>
      <c r="E278" s="8" t="str">
        <f t="shared" si="127"/>
        <v>2019/20</v>
      </c>
      <c r="F278" s="8" t="str">
        <f t="shared" si="127"/>
        <v>2020/21</v>
      </c>
      <c r="G278" s="8" t="str">
        <f t="shared" si="127"/>
        <v>2021/22</v>
      </c>
      <c r="H278" s="8" t="str">
        <f t="shared" si="127"/>
        <v>2022/23</v>
      </c>
      <c r="I278" s="8" t="str">
        <f t="shared" si="127"/>
        <v>2023/24</v>
      </c>
      <c r="J278" s="8" t="str">
        <f t="shared" si="127"/>
        <v>2024/25</v>
      </c>
      <c r="K278" s="8" t="str">
        <f t="shared" si="127"/>
        <v>2025/26</v>
      </c>
      <c r="L278" s="8" t="str">
        <f t="shared" si="127"/>
        <v>2026/27</v>
      </c>
      <c r="M278" s="8" t="str">
        <f t="shared" si="127"/>
        <v>2027/28</v>
      </c>
      <c r="N278" s="8" t="str">
        <f t="shared" si="127"/>
        <v>2028/29</v>
      </c>
    </row>
    <row r="279" spans="1:14">
      <c r="B279" s="8" t="s">
        <v>206</v>
      </c>
      <c r="C279" s="447">
        <f>C223+C239</f>
        <v>25469.999050665137</v>
      </c>
      <c r="D279" s="447">
        <f t="shared" ref="D279:N279" si="128">D223+D239</f>
        <v>25503.585449146347</v>
      </c>
      <c r="E279" s="447">
        <f t="shared" si="128"/>
        <v>25830.126220973485</v>
      </c>
      <c r="F279" s="447">
        <f t="shared" si="128"/>
        <v>25884.628847040363</v>
      </c>
      <c r="G279" s="447">
        <f t="shared" si="128"/>
        <v>25824.850765185955</v>
      </c>
      <c r="H279" s="447">
        <f t="shared" si="128"/>
        <v>25769.802032877469</v>
      </c>
      <c r="I279" s="447">
        <f t="shared" si="128"/>
        <v>25710.756349603485</v>
      </c>
      <c r="J279" s="447">
        <f t="shared" si="128"/>
        <v>25641.555549155513</v>
      </c>
      <c r="K279" s="447">
        <f t="shared" si="128"/>
        <v>25648.461774369662</v>
      </c>
      <c r="L279" s="447">
        <f t="shared" si="128"/>
        <v>25708.639956692565</v>
      </c>
      <c r="M279" s="447">
        <f t="shared" si="128"/>
        <v>25778.373005504072</v>
      </c>
      <c r="N279" s="447">
        <f t="shared" si="128"/>
        <v>25832.426165774519</v>
      </c>
    </row>
    <row r="280" spans="1:14">
      <c r="B280" s="8" t="s">
        <v>207</v>
      </c>
      <c r="C280" s="447">
        <f>C155+C171</f>
        <v>5769.3880036971213</v>
      </c>
      <c r="D280" s="447">
        <f t="shared" ref="D280:N280" si="129">D155+D171</f>
        <v>5579.5713608204587</v>
      </c>
      <c r="E280" s="447">
        <f t="shared" si="129"/>
        <v>5403.2559156435054</v>
      </c>
      <c r="F280" s="447">
        <f t="shared" si="129"/>
        <v>5253.0354177965819</v>
      </c>
      <c r="G280" s="447">
        <f t="shared" si="129"/>
        <v>5139.6336606845225</v>
      </c>
      <c r="H280" s="447">
        <f t="shared" si="129"/>
        <v>5054.6192540728553</v>
      </c>
      <c r="I280" s="447">
        <f t="shared" si="129"/>
        <v>4991.6192821778568</v>
      </c>
      <c r="J280" s="447">
        <f t="shared" si="129"/>
        <v>4944.7870500405879</v>
      </c>
      <c r="K280" s="447">
        <f t="shared" si="129"/>
        <v>4919.666483332453</v>
      </c>
      <c r="L280" s="447">
        <f t="shared" si="129"/>
        <v>4909.9022167811527</v>
      </c>
      <c r="M280" s="447">
        <f t="shared" si="129"/>
        <v>4907.5858854310209</v>
      </c>
      <c r="N280" s="447">
        <f t="shared" si="129"/>
        <v>4907.6840118537821</v>
      </c>
    </row>
    <row r="281" spans="1:14">
      <c r="B281" s="8" t="s">
        <v>530</v>
      </c>
      <c r="C281" s="447">
        <f>C189+C205</f>
        <v>139.7185757212942</v>
      </c>
      <c r="D281" s="447">
        <f t="shared" ref="D281:N281" si="130">D189+D205</f>
        <v>140.51779296808175</v>
      </c>
      <c r="E281" s="447">
        <f t="shared" si="130"/>
        <v>140.45037584672642</v>
      </c>
      <c r="F281" s="447">
        <f t="shared" si="130"/>
        <v>139.88163053099592</v>
      </c>
      <c r="G281" s="447">
        <f t="shared" si="130"/>
        <v>139.34638702601171</v>
      </c>
      <c r="H281" s="447">
        <f t="shared" si="130"/>
        <v>138.81986781332816</v>
      </c>
      <c r="I281" s="447">
        <f t="shared" si="130"/>
        <v>138.30799970793373</v>
      </c>
      <c r="J281" s="447">
        <f t="shared" si="130"/>
        <v>137.79869884641153</v>
      </c>
      <c r="K281" s="447">
        <f t="shared" si="130"/>
        <v>137.56902860683539</v>
      </c>
      <c r="L281" s="447">
        <f t="shared" si="130"/>
        <v>137.55631123749336</v>
      </c>
      <c r="M281" s="447">
        <f t="shared" si="130"/>
        <v>137.62097654505649</v>
      </c>
      <c r="N281" s="447">
        <f t="shared" si="130"/>
        <v>137.67307017714899</v>
      </c>
    </row>
    <row r="282" spans="1:14">
      <c r="B282" s="8" t="s">
        <v>208</v>
      </c>
      <c r="C282" s="447">
        <f>C121+C137</f>
        <v>19560.892471246716</v>
      </c>
      <c r="D282" s="447">
        <f t="shared" ref="D282:N282" si="131">D121+D137</f>
        <v>19783.496295357807</v>
      </c>
      <c r="E282" s="447">
        <f t="shared" si="131"/>
        <v>20286.419929483258</v>
      </c>
      <c r="F282" s="447">
        <f t="shared" si="131"/>
        <v>20491.711798712782</v>
      </c>
      <c r="G282" s="447">
        <f t="shared" si="131"/>
        <v>20545.870717475424</v>
      </c>
      <c r="H282" s="447">
        <f t="shared" si="131"/>
        <v>20576.362910991291</v>
      </c>
      <c r="I282" s="447">
        <f t="shared" si="131"/>
        <v>20580.829067717696</v>
      </c>
      <c r="J282" s="447">
        <f t="shared" si="131"/>
        <v>20558.969800268515</v>
      </c>
      <c r="K282" s="447">
        <f t="shared" si="131"/>
        <v>20591.226262430369</v>
      </c>
      <c r="L282" s="447">
        <f t="shared" si="131"/>
        <v>20661.181428673921</v>
      </c>
      <c r="M282" s="447">
        <f t="shared" si="131"/>
        <v>20733.166143527997</v>
      </c>
      <c r="N282" s="447">
        <f t="shared" si="131"/>
        <v>20787.06908374359</v>
      </c>
    </row>
    <row r="283" spans="1:14" ht="15.75">
      <c r="A283" s="10">
        <f>SUM(C283:N283)</f>
        <v>0</v>
      </c>
      <c r="B283" s="77"/>
      <c r="C283" s="10">
        <f>C282+C281+C280-C279</f>
        <v>0</v>
      </c>
      <c r="D283" s="10">
        <f t="shared" ref="D283:N283" si="132">D282+D281+D280-D279</f>
        <v>0</v>
      </c>
      <c r="E283" s="10">
        <f t="shared" si="132"/>
        <v>0</v>
      </c>
      <c r="F283" s="10">
        <f t="shared" si="132"/>
        <v>0</v>
      </c>
      <c r="G283" s="10">
        <f t="shared" si="132"/>
        <v>0</v>
      </c>
      <c r="H283" s="10">
        <f t="shared" si="132"/>
        <v>0</v>
      </c>
      <c r="I283" s="10">
        <f t="shared" si="132"/>
        <v>0</v>
      </c>
      <c r="J283" s="10">
        <f t="shared" si="132"/>
        <v>0</v>
      </c>
      <c r="K283" s="10">
        <f t="shared" si="132"/>
        <v>0</v>
      </c>
      <c r="L283" s="10">
        <f t="shared" si="132"/>
        <v>0</v>
      </c>
      <c r="M283" s="10">
        <f t="shared" si="132"/>
        <v>0</v>
      </c>
      <c r="N283" s="10">
        <f t="shared" si="132"/>
        <v>0</v>
      </c>
    </row>
    <row r="284" spans="1:14" ht="15.75">
      <c r="B284" s="77"/>
      <c r="H284" s="5"/>
    </row>
    <row r="285" spans="1:14" ht="15.75">
      <c r="B285" s="77" t="s">
        <v>266</v>
      </c>
      <c r="G285" s="147" t="s">
        <v>267</v>
      </c>
      <c r="H285" s="5"/>
    </row>
    <row r="286" spans="1:14" ht="15.75">
      <c r="B286" s="77"/>
      <c r="H286" s="5"/>
    </row>
    <row r="287" spans="1:14" ht="15.75">
      <c r="B287" s="77" t="s">
        <v>212</v>
      </c>
      <c r="H287" s="5"/>
    </row>
    <row r="288" spans="1:14" ht="15.75">
      <c r="B288" s="77"/>
      <c r="H288" s="5"/>
    </row>
    <row r="289" spans="2:14" ht="15.75">
      <c r="B289" s="77"/>
      <c r="C289" s="8" t="str">
        <f>C278</f>
        <v>2017/18</v>
      </c>
      <c r="D289" s="8" t="str">
        <f t="shared" ref="D289:N289" si="133">D278</f>
        <v>2018/19</v>
      </c>
      <c r="E289" s="8" t="str">
        <f t="shared" si="133"/>
        <v>2019/20</v>
      </c>
      <c r="F289" s="8" t="str">
        <f t="shared" si="133"/>
        <v>2020/21</v>
      </c>
      <c r="G289" s="8" t="str">
        <f t="shared" si="133"/>
        <v>2021/22</v>
      </c>
      <c r="H289" s="8" t="str">
        <f t="shared" si="133"/>
        <v>2022/23</v>
      </c>
      <c r="I289" s="8" t="str">
        <f t="shared" si="133"/>
        <v>2023/24</v>
      </c>
      <c r="J289" s="8" t="str">
        <f t="shared" si="133"/>
        <v>2024/25</v>
      </c>
      <c r="K289" s="8" t="str">
        <f t="shared" si="133"/>
        <v>2025/26</v>
      </c>
      <c r="L289" s="8" t="str">
        <f t="shared" si="133"/>
        <v>2026/27</v>
      </c>
      <c r="M289" s="8" t="str">
        <f t="shared" si="133"/>
        <v>2027/28</v>
      </c>
      <c r="N289" s="8" t="str">
        <f t="shared" si="133"/>
        <v>2028/29</v>
      </c>
    </row>
    <row r="290" spans="2:14" ht="15.75">
      <c r="B290" s="77"/>
      <c r="C290" s="525">
        <f>C53+C69-C15</f>
        <v>0</v>
      </c>
      <c r="D290" s="525">
        <f>D53+D69-D15</f>
        <v>0</v>
      </c>
      <c r="E290" s="525">
        <f>E53+E69-E15</f>
        <v>0</v>
      </c>
      <c r="F290" s="525">
        <f t="shared" ref="F290:N290" si="134">F53+F69-F15</f>
        <v>0</v>
      </c>
      <c r="G290" s="525">
        <f t="shared" si="134"/>
        <v>0</v>
      </c>
      <c r="H290" s="525">
        <f t="shared" si="134"/>
        <v>0</v>
      </c>
      <c r="I290" s="525">
        <f t="shared" si="134"/>
        <v>0</v>
      </c>
      <c r="J290" s="525">
        <f t="shared" si="134"/>
        <v>0</v>
      </c>
      <c r="K290" s="525">
        <f t="shared" si="134"/>
        <v>0</v>
      </c>
      <c r="L290" s="525">
        <f t="shared" si="134"/>
        <v>0</v>
      </c>
      <c r="M290" s="525">
        <f t="shared" si="134"/>
        <v>0</v>
      </c>
      <c r="N290" s="525">
        <f t="shared" si="134"/>
        <v>0</v>
      </c>
    </row>
    <row r="291" spans="2:14" ht="15.75">
      <c r="B291" s="77"/>
      <c r="H291" s="5"/>
    </row>
    <row r="292" spans="2:14" ht="15.75">
      <c r="B292" s="77" t="s">
        <v>264</v>
      </c>
      <c r="H292" s="5"/>
    </row>
    <row r="293" spans="2:14" ht="15.75">
      <c r="B293" s="77"/>
      <c r="C293" s="178" t="str">
        <f t="shared" ref="C293:N293" si="135">C262</f>
        <v>2017/18</v>
      </c>
      <c r="D293" s="178" t="str">
        <f t="shared" si="135"/>
        <v>2018/19</v>
      </c>
      <c r="E293" s="178" t="str">
        <f t="shared" si="135"/>
        <v>2019/20</v>
      </c>
      <c r="F293" s="178" t="str">
        <f t="shared" si="135"/>
        <v>2020/21</v>
      </c>
      <c r="G293" s="178" t="str">
        <f t="shared" si="135"/>
        <v>2021/22</v>
      </c>
      <c r="H293" s="178" t="str">
        <f t="shared" si="135"/>
        <v>2022/23</v>
      </c>
      <c r="I293" s="178" t="str">
        <f t="shared" si="135"/>
        <v>2023/24</v>
      </c>
      <c r="J293" s="178" t="str">
        <f t="shared" si="135"/>
        <v>2024/25</v>
      </c>
      <c r="K293" s="178" t="str">
        <f t="shared" si="135"/>
        <v>2025/26</v>
      </c>
      <c r="L293" s="178" t="str">
        <f t="shared" si="135"/>
        <v>2026/27</v>
      </c>
      <c r="M293" s="178" t="str">
        <f t="shared" si="135"/>
        <v>2027/28</v>
      </c>
      <c r="N293" s="178" t="str">
        <f t="shared" si="135"/>
        <v>2028/29</v>
      </c>
    </row>
    <row r="294" spans="2:14">
      <c r="B294" s="356" t="s">
        <v>268</v>
      </c>
      <c r="C294" s="447">
        <f>C36-C15+C279-C290</f>
        <v>27567.610098506135</v>
      </c>
      <c r="D294" s="447">
        <f t="shared" ref="D294:N294" si="136">D36-D15+D279-D290</f>
        <v>26168.018656485227</v>
      </c>
      <c r="E294" s="447">
        <f t="shared" si="136"/>
        <v>25835.193892356139</v>
      </c>
      <c r="F294" s="447">
        <f t="shared" si="136"/>
        <v>26114.334562704269</v>
      </c>
      <c r="G294" s="447">
        <f t="shared" si="136"/>
        <v>25885.94315589944</v>
      </c>
      <c r="H294" s="447">
        <f t="shared" si="136"/>
        <v>25613.573586348804</v>
      </c>
      <c r="I294" s="447">
        <f t="shared" si="136"/>
        <v>25315.046585251301</v>
      </c>
      <c r="J294" s="447">
        <f t="shared" si="136"/>
        <v>25877.247345032985</v>
      </c>
      <c r="K294" s="447">
        <f t="shared" si="136"/>
        <v>26332.447964970914</v>
      </c>
      <c r="L294" s="447">
        <f t="shared" si="136"/>
        <v>26445.141780619113</v>
      </c>
      <c r="M294" s="447">
        <f t="shared" si="136"/>
        <v>26339.752208221755</v>
      </c>
      <c r="N294" s="447">
        <f t="shared" si="136"/>
        <v>26210.936734375453</v>
      </c>
    </row>
    <row r="295" spans="2:14" ht="12.75" customHeight="1">
      <c r="B295" s="1325" t="s">
        <v>265</v>
      </c>
      <c r="C295" s="1326"/>
      <c r="D295" s="1326"/>
      <c r="E295" s="1326"/>
      <c r="F295" s="1326"/>
      <c r="G295" s="1326"/>
      <c r="H295" s="1326"/>
      <c r="I295" s="1326"/>
      <c r="J295" s="1326"/>
      <c r="K295" s="1326"/>
      <c r="L295" s="1326"/>
      <c r="M295" s="1326"/>
      <c r="N295" s="1326"/>
    </row>
    <row r="296" spans="2:14">
      <c r="B296" s="319" t="s">
        <v>40</v>
      </c>
      <c r="C296" s="276">
        <f>IF(C294&lt;0,0,C294)</f>
        <v>27567.610098506135</v>
      </c>
      <c r="D296" s="276">
        <f t="shared" ref="D296:N296" si="137">IF(D294&lt;0,0,D294)</f>
        <v>26168.018656485227</v>
      </c>
      <c r="E296" s="276">
        <f t="shared" si="137"/>
        <v>25835.193892356139</v>
      </c>
      <c r="F296" s="276">
        <f t="shared" si="137"/>
        <v>26114.334562704269</v>
      </c>
      <c r="G296" s="276">
        <f t="shared" si="137"/>
        <v>25885.94315589944</v>
      </c>
      <c r="H296" s="276">
        <f t="shared" si="137"/>
        <v>25613.573586348804</v>
      </c>
      <c r="I296" s="276">
        <f t="shared" si="137"/>
        <v>25315.046585251301</v>
      </c>
      <c r="J296" s="276">
        <f t="shared" si="137"/>
        <v>25877.247345032985</v>
      </c>
      <c r="K296" s="276">
        <f t="shared" si="137"/>
        <v>26332.447964970914</v>
      </c>
      <c r="L296" s="276">
        <f t="shared" si="137"/>
        <v>26445.141780619113</v>
      </c>
      <c r="M296" s="276">
        <f t="shared" si="137"/>
        <v>26339.752208221755</v>
      </c>
      <c r="N296" s="276">
        <f t="shared" si="137"/>
        <v>26210.936734375453</v>
      </c>
    </row>
    <row r="297" spans="2:14" ht="15.75">
      <c r="B297" s="333"/>
      <c r="C297" s="302"/>
      <c r="D297" s="302"/>
      <c r="E297" s="302"/>
      <c r="F297" s="302"/>
      <c r="G297" s="302"/>
      <c r="H297" s="320"/>
      <c r="I297" s="302"/>
      <c r="J297" s="302"/>
      <c r="K297" s="302"/>
      <c r="L297" s="302"/>
      <c r="M297" s="302"/>
      <c r="N297" s="302"/>
    </row>
    <row r="298" spans="2:14" ht="15.75">
      <c r="B298" s="333" t="s">
        <v>175</v>
      </c>
      <c r="C298" s="302"/>
      <c r="D298" s="302"/>
      <c r="E298" s="302"/>
      <c r="F298" s="302"/>
      <c r="G298" s="302"/>
      <c r="H298" s="320"/>
      <c r="I298" s="302"/>
      <c r="J298" s="302"/>
      <c r="K298" s="302"/>
      <c r="L298" s="302"/>
      <c r="M298" s="302"/>
      <c r="N298" s="302"/>
    </row>
    <row r="299" spans="2:14" ht="15.75">
      <c r="B299" s="333"/>
      <c r="C299" s="302"/>
      <c r="D299" s="302"/>
      <c r="E299" s="302"/>
      <c r="F299" s="302"/>
      <c r="G299" s="302"/>
      <c r="H299" s="320"/>
      <c r="I299" s="302"/>
      <c r="J299" s="302"/>
      <c r="K299" s="302"/>
      <c r="L299" s="302"/>
      <c r="M299" s="302"/>
      <c r="N299" s="302"/>
    </row>
    <row r="300" spans="2:14">
      <c r="B300" s="334" t="s">
        <v>46</v>
      </c>
      <c r="C300" s="302"/>
      <c r="D300" s="302"/>
      <c r="E300" s="302"/>
      <c r="F300" s="302"/>
      <c r="G300" s="302"/>
      <c r="H300" s="318"/>
      <c r="I300" s="302"/>
      <c r="J300" s="302"/>
      <c r="K300" s="302"/>
      <c r="L300" s="302"/>
      <c r="M300" s="302"/>
      <c r="N300" s="302"/>
    </row>
    <row r="301" spans="2:14">
      <c r="B301" s="302"/>
      <c r="C301" s="302"/>
      <c r="D301" s="302"/>
      <c r="E301" s="302"/>
      <c r="F301" s="302"/>
      <c r="G301" s="302"/>
      <c r="H301" s="318"/>
      <c r="I301" s="302"/>
      <c r="J301" s="302"/>
      <c r="K301" s="302"/>
      <c r="L301" s="302"/>
      <c r="M301" s="302"/>
      <c r="N301" s="302"/>
    </row>
    <row r="302" spans="2:14">
      <c r="B302" s="331" t="str">
        <f t="shared" ref="B302:B313" si="138">B262</f>
        <v>Age group</v>
      </c>
      <c r="C302" s="331" t="str">
        <f>C293</f>
        <v>2017/18</v>
      </c>
      <c r="D302" s="331" t="str">
        <f t="shared" ref="D302:N302" si="139">D293</f>
        <v>2018/19</v>
      </c>
      <c r="E302" s="331" t="str">
        <f t="shared" si="139"/>
        <v>2019/20</v>
      </c>
      <c r="F302" s="331" t="str">
        <f t="shared" si="139"/>
        <v>2020/21</v>
      </c>
      <c r="G302" s="331" t="str">
        <f t="shared" si="139"/>
        <v>2021/22</v>
      </c>
      <c r="H302" s="331" t="str">
        <f t="shared" si="139"/>
        <v>2022/23</v>
      </c>
      <c r="I302" s="331" t="str">
        <f t="shared" si="139"/>
        <v>2023/24</v>
      </c>
      <c r="J302" s="331" t="str">
        <f t="shared" si="139"/>
        <v>2024/25</v>
      </c>
      <c r="K302" s="331" t="str">
        <f t="shared" si="139"/>
        <v>2025/26</v>
      </c>
      <c r="L302" s="331" t="str">
        <f t="shared" si="139"/>
        <v>2026/27</v>
      </c>
      <c r="M302" s="331" t="str">
        <f t="shared" si="139"/>
        <v>2027/28</v>
      </c>
      <c r="N302" s="331" t="str">
        <f t="shared" si="139"/>
        <v>2028/29</v>
      </c>
    </row>
    <row r="303" spans="2:14">
      <c r="B303" s="331" t="str">
        <f t="shared" si="138"/>
        <v>20-24</v>
      </c>
      <c r="C303" s="447">
        <f>C$296*Entrant_age_breakdowns!$K59*$G$31</f>
        <v>1209.9526389146342</v>
      </c>
      <c r="D303" s="447">
        <f>D$296*Entrant_age_breakdowns!$K59*$G$31</f>
        <v>1148.5240510673582</v>
      </c>
      <c r="E303" s="447">
        <f>E$296*Entrant_age_breakdowns!$K59*$G$31</f>
        <v>1133.916248642151</v>
      </c>
      <c r="F303" s="447">
        <f>F$296*Entrant_age_breakdowns!$K59*$G$31</f>
        <v>1146.1678362665139</v>
      </c>
      <c r="G303" s="447">
        <f>G$296*Entrant_age_breakdowns!$K59*$G$31</f>
        <v>1136.1436526546054</v>
      </c>
      <c r="H303" s="447">
        <f>H$296*Entrant_age_breakdowns!$K59*$G$31</f>
        <v>1124.1892511573319</v>
      </c>
      <c r="I303" s="447">
        <f>I$296*Entrant_age_breakdowns!$K59*$G$31</f>
        <v>1111.0867902811615</v>
      </c>
      <c r="J303" s="447">
        <f>J$296*Entrant_age_breakdowns!$K59*$G$31</f>
        <v>1135.761990288235</v>
      </c>
      <c r="K303" s="447">
        <f>K$296*Entrant_age_breakdowns!$K59*$G$31</f>
        <v>1155.7409144445701</v>
      </c>
      <c r="L303" s="447">
        <f>L$296*Entrant_age_breakdowns!$K59*$G$31</f>
        <v>1160.6870878395678</v>
      </c>
      <c r="M303" s="447">
        <f>M$296*Entrant_age_breakdowns!$K59*$G$31</f>
        <v>1156.0615003918124</v>
      </c>
      <c r="N303" s="447">
        <f>N$296*Entrant_age_breakdowns!$K59*$G$31</f>
        <v>1150.4077414349624</v>
      </c>
    </row>
    <row r="304" spans="2:14">
      <c r="B304" s="331" t="str">
        <f t="shared" si="138"/>
        <v>25-29</v>
      </c>
      <c r="C304" s="447">
        <f>C$296*Entrant_age_breakdowns!$K60*$G$31</f>
        <v>925.07158143203515</v>
      </c>
      <c r="D304" s="447">
        <f>D$296*Entrant_age_breakdowns!$K60*$G$31</f>
        <v>878.10623826290851</v>
      </c>
      <c r="E304" s="447">
        <f>E$296*Entrant_age_breakdowns!$K60*$G$31</f>
        <v>866.93781525516567</v>
      </c>
      <c r="F304" s="447">
        <f>F$296*Entrant_age_breakdowns!$K60*$G$31</f>
        <v>876.30478977483699</v>
      </c>
      <c r="G304" s="447">
        <f>G$296*Entrant_age_breakdowns!$K60*$G$31</f>
        <v>868.64078121103785</v>
      </c>
      <c r="H304" s="447">
        <f>H$296*Entrant_age_breakdowns!$K60*$G$31</f>
        <v>859.50102090762937</v>
      </c>
      <c r="I304" s="447">
        <f>I$296*Entrant_age_breakdowns!$K60*$G$31</f>
        <v>849.48350963194582</v>
      </c>
      <c r="J304" s="447">
        <f>J$296*Entrant_age_breakdowns!$K60*$G$31</f>
        <v>868.3489805260557</v>
      </c>
      <c r="K304" s="447">
        <f>K$296*Entrant_age_breakdowns!$K60*$G$31</f>
        <v>883.62390482490298</v>
      </c>
      <c r="L304" s="447">
        <f>L$296*Entrant_age_breakdowns!$K60*$G$31</f>
        <v>887.40551106087275</v>
      </c>
      <c r="M304" s="447">
        <f>M$296*Entrant_age_breakdowns!$K60*$G$31</f>
        <v>883.86900941797717</v>
      </c>
      <c r="N304" s="447">
        <f>N$296*Entrant_age_breakdowns!$K60*$G$31</f>
        <v>879.54641730070205</v>
      </c>
    </row>
    <row r="305" spans="1:14">
      <c r="B305" s="331" t="str">
        <f t="shared" si="138"/>
        <v>30-34</v>
      </c>
      <c r="C305" s="447">
        <f>C$296*Entrant_age_breakdowns!$K61*$G$31</f>
        <v>430.28253990603645</v>
      </c>
      <c r="D305" s="447">
        <f>D$296*Entrant_age_breakdowns!$K61*$G$31</f>
        <v>408.4373470020588</v>
      </c>
      <c r="E305" s="447">
        <f>E$296*Entrant_age_breakdowns!$K61*$G$31</f>
        <v>403.24253017385462</v>
      </c>
      <c r="F305" s="447">
        <f>F$296*Entrant_age_breakdowns!$K61*$G$31</f>
        <v>407.59943148663746</v>
      </c>
      <c r="G305" s="447">
        <f>G$296*Entrant_age_breakdowns!$K61*$G$31</f>
        <v>404.03463808374403</v>
      </c>
      <c r="H305" s="447">
        <f>H$296*Entrant_age_breakdowns!$K61*$G$31</f>
        <v>399.78342190067298</v>
      </c>
      <c r="I305" s="447">
        <f>I$296*Entrant_age_breakdowns!$K61*$G$31</f>
        <v>395.12393361700322</v>
      </c>
      <c r="J305" s="447">
        <f>J$296*Entrant_age_breakdowns!$K61*$G$31</f>
        <v>403.89891157089829</v>
      </c>
      <c r="K305" s="447">
        <f>K$296*Entrant_age_breakdowns!$K61*$G$31</f>
        <v>411.00380307994885</v>
      </c>
      <c r="L305" s="447">
        <f>L$296*Entrant_age_breakdowns!$K61*$G$31</f>
        <v>412.7627579206312</v>
      </c>
      <c r="M305" s="447">
        <f>M$296*Entrant_age_breakdowns!$K61*$G$31</f>
        <v>411.11780963789255</v>
      </c>
      <c r="N305" s="447">
        <f>N$296*Entrant_age_breakdowns!$K61*$G$31</f>
        <v>409.10722369780808</v>
      </c>
    </row>
    <row r="306" spans="1:14">
      <c r="B306" s="331" t="str">
        <f t="shared" si="138"/>
        <v>35-39</v>
      </c>
      <c r="C306" s="447">
        <f>C$296*Entrant_age_breakdowns!$K62*$G$31</f>
        <v>355.95959837737581</v>
      </c>
      <c r="D306" s="447">
        <f>D$296*Entrant_age_breakdowns!$K62*$G$31</f>
        <v>337.88773774767355</v>
      </c>
      <c r="E306" s="447">
        <f>E$296*Entrant_age_breakdowns!$K62*$G$31</f>
        <v>333.59022450854604</v>
      </c>
      <c r="F306" s="447">
        <f>F$296*Entrant_age_breakdowns!$K62*$G$31</f>
        <v>337.19455584350271</v>
      </c>
      <c r="G306" s="447">
        <f>G$296*Entrant_age_breakdowns!$K62*$G$31</f>
        <v>334.2455111802696</v>
      </c>
      <c r="H306" s="447">
        <f>H$296*Entrant_age_breakdowns!$K62*$G$31</f>
        <v>330.72860992401172</v>
      </c>
      <c r="I306" s="447">
        <f>I$296*Entrant_age_breakdowns!$K62*$G$31</f>
        <v>326.87395763330665</v>
      </c>
      <c r="J306" s="447">
        <f>J$296*Entrant_age_breakdowns!$K62*$G$31</f>
        <v>334.13322878319099</v>
      </c>
      <c r="K306" s="447">
        <f>K$296*Entrant_age_breakdowns!$K62*$G$31</f>
        <v>340.01088844520922</v>
      </c>
      <c r="L306" s="447">
        <f>L$296*Entrant_age_breakdowns!$K62*$G$31</f>
        <v>341.46601804165982</v>
      </c>
      <c r="M306" s="447">
        <f>M$296*Entrant_age_breakdowns!$K62*$G$31</f>
        <v>340.10520258723062</v>
      </c>
      <c r="N306" s="447">
        <f>N$296*Entrant_age_breakdowns!$K62*$G$31</f>
        <v>338.44190627060118</v>
      </c>
    </row>
    <row r="307" spans="1:14">
      <c r="B307" s="331" t="str">
        <f t="shared" si="138"/>
        <v>40-44</v>
      </c>
      <c r="C307" s="447">
        <f>C$296*Entrant_age_breakdowns!$K63*$G$31</f>
        <v>338.46223987633857</v>
      </c>
      <c r="D307" s="447">
        <f>D$296*Entrant_age_breakdowns!$K63*$G$31</f>
        <v>321.27870990455398</v>
      </c>
      <c r="E307" s="447">
        <f>E$296*Entrant_age_breakdowns!$K63*$G$31</f>
        <v>317.19244291401975</v>
      </c>
      <c r="F307" s="447">
        <f>F$296*Entrant_age_breakdowns!$K63*$G$31</f>
        <v>320.61960167711214</v>
      </c>
      <c r="G307" s="447">
        <f>G$296*Entrant_age_breakdowns!$K63*$G$31</f>
        <v>317.81551866667161</v>
      </c>
      <c r="H307" s="447">
        <f>H$296*Entrant_age_breakdowns!$K63*$G$31</f>
        <v>314.47149231636934</v>
      </c>
      <c r="I307" s="447">
        <f>I$296*Entrant_age_breakdowns!$K63*$G$31</f>
        <v>310.80631723974921</v>
      </c>
      <c r="J307" s="447">
        <f>J$296*Entrant_age_breakdowns!$K63*$G$31</f>
        <v>317.70875556269255</v>
      </c>
      <c r="K307" s="447">
        <f>K$296*Entrant_age_breakdowns!$K63*$G$31</f>
        <v>323.29749614871952</v>
      </c>
      <c r="L307" s="447">
        <f>L$296*Entrant_age_breakdowns!$K63*$G$31</f>
        <v>324.68109817762979</v>
      </c>
      <c r="M307" s="447">
        <f>M$296*Entrant_age_breakdowns!$K63*$G$31</f>
        <v>323.38717423551947</v>
      </c>
      <c r="N307" s="447">
        <f>N$296*Entrant_age_breakdowns!$K63*$G$31</f>
        <v>321.80563801772763</v>
      </c>
    </row>
    <row r="308" spans="1:14">
      <c r="B308" s="331" t="str">
        <f t="shared" si="138"/>
        <v>45-49</v>
      </c>
      <c r="C308" s="447">
        <f>C$296*Entrant_age_breakdowns!$K64*$G$31</f>
        <v>253.28843831946583</v>
      </c>
      <c r="D308" s="447">
        <f>D$296*Entrant_age_breakdowns!$K64*$G$31</f>
        <v>240.42913243955658</v>
      </c>
      <c r="E308" s="447">
        <f>E$296*Entrant_age_breakdowns!$K64*$G$31</f>
        <v>237.37117186774523</v>
      </c>
      <c r="F308" s="447">
        <f>F$296*Entrant_age_breakdowns!$K64*$G$31</f>
        <v>239.93588836697333</v>
      </c>
      <c r="G308" s="447">
        <f>G$296*Entrant_age_breakdowns!$K64*$G$31</f>
        <v>237.83745101428039</v>
      </c>
      <c r="H308" s="447">
        <f>H$296*Entrant_age_breakdowns!$K64*$G$31</f>
        <v>235.33494671047191</v>
      </c>
      <c r="I308" s="447">
        <f>I$296*Entrant_age_breakdowns!$K64*$G$31</f>
        <v>232.59211054752583</v>
      </c>
      <c r="J308" s="447">
        <f>J$296*Entrant_age_breakdowns!$K64*$G$31</f>
        <v>237.75755477567225</v>
      </c>
      <c r="K308" s="447">
        <f>K$296*Entrant_age_breakdowns!$K64*$G$31</f>
        <v>241.93989244419504</v>
      </c>
      <c r="L308" s="447">
        <f>L$296*Entrant_age_breakdowns!$K64*$G$31</f>
        <v>242.97531192639892</v>
      </c>
      <c r="M308" s="447">
        <f>M$296*Entrant_age_breakdowns!$K64*$G$31</f>
        <v>242.00700309903598</v>
      </c>
      <c r="N308" s="447">
        <f>N$296*Entrant_age_breakdowns!$K64*$G$31</f>
        <v>240.82345943727765</v>
      </c>
    </row>
    <row r="309" spans="1:14">
      <c r="B309" s="331" t="str">
        <f t="shared" si="138"/>
        <v>50-54</v>
      </c>
      <c r="C309" s="447">
        <f>C$296*Entrant_age_breakdowns!$K65*$G$31</f>
        <v>162.14050648400641</v>
      </c>
      <c r="D309" s="447">
        <f>D$296*Entrant_age_breakdowns!$K65*$G$31</f>
        <v>153.90872779629754</v>
      </c>
      <c r="E309" s="447">
        <f>E$296*Entrant_age_breakdowns!$K65*$G$31</f>
        <v>151.95119953637649</v>
      </c>
      <c r="F309" s="447">
        <f>F$296*Entrant_age_breakdowns!$K65*$G$31</f>
        <v>153.59298166797242</v>
      </c>
      <c r="G309" s="447">
        <f>G$296*Entrant_age_breakdowns!$K65*$G$31</f>
        <v>152.24968428950521</v>
      </c>
      <c r="H309" s="447">
        <f>H$296*Entrant_age_breakdowns!$K65*$G$31</f>
        <v>150.64772678212722</v>
      </c>
      <c r="I309" s="447">
        <f>I$296*Entrant_age_breakdowns!$K65*$G$31</f>
        <v>148.89192281565559</v>
      </c>
      <c r="J309" s="447">
        <f>J$296*Entrant_age_breakdowns!$K65*$G$31</f>
        <v>152.1985393707713</v>
      </c>
      <c r="K309" s="447">
        <f>K$296*Entrant_age_breakdowns!$K65*$G$31</f>
        <v>154.87582836335497</v>
      </c>
      <c r="L309" s="447">
        <f>L$296*Entrant_age_breakdowns!$K65*$G$31</f>
        <v>155.53864361217501</v>
      </c>
      <c r="M309" s="447">
        <f>M$296*Entrant_age_breakdowns!$K65*$G$31</f>
        <v>154.91878869600413</v>
      </c>
      <c r="N309" s="447">
        <f>N$296*Entrant_age_breakdowns!$K65*$G$31</f>
        <v>154.16115297430812</v>
      </c>
    </row>
    <row r="310" spans="1:14">
      <c r="B310" s="331" t="str">
        <f t="shared" si="138"/>
        <v>55-59</v>
      </c>
      <c r="C310" s="447">
        <f>C$296*Entrant_age_breakdowns!$K66*$G$31</f>
        <v>96.159269779305347</v>
      </c>
      <c r="D310" s="447">
        <f>D$296*Entrant_age_breakdowns!$K66*$G$31</f>
        <v>91.277319890533946</v>
      </c>
      <c r="E310" s="447">
        <f>E$296*Entrant_age_breakdowns!$K66*$G$31</f>
        <v>90.116385512516999</v>
      </c>
      <c r="F310" s="447">
        <f>F$296*Entrant_age_breakdowns!$K66*$G$31</f>
        <v>91.090063061295041</v>
      </c>
      <c r="G310" s="447">
        <f>G$296*Entrant_age_breakdowns!$K66*$G$31</f>
        <v>90.293405287054</v>
      </c>
      <c r="H310" s="447">
        <f>H$296*Entrant_age_breakdowns!$K66*$G$31</f>
        <v>89.343346184197202</v>
      </c>
      <c r="I310" s="447">
        <f>I$296*Entrant_age_breakdowns!$K66*$G$31</f>
        <v>88.302046690611519</v>
      </c>
      <c r="J310" s="447">
        <f>J$296*Entrant_age_breakdowns!$K66*$G$31</f>
        <v>90.263073211837124</v>
      </c>
      <c r="K310" s="447">
        <f>K$296*Entrant_age_breakdowns!$K66*$G$31</f>
        <v>91.850869871029232</v>
      </c>
      <c r="L310" s="447">
        <f>L$296*Entrant_age_breakdowns!$K66*$G$31</f>
        <v>92.243959985937735</v>
      </c>
      <c r="M310" s="447">
        <f>M$296*Entrant_age_breakdowns!$K66*$G$31</f>
        <v>91.876347984466761</v>
      </c>
      <c r="N310" s="447">
        <f>N$296*Entrant_age_breakdowns!$K66*$G$31</f>
        <v>91.427023510670352</v>
      </c>
    </row>
    <row r="311" spans="1:14">
      <c r="B311" s="331" t="str">
        <f t="shared" si="138"/>
        <v>60-64</v>
      </c>
      <c r="C311" s="447">
        <f>C$296*Entrant_age_breakdowns!$K67*$G$31</f>
        <v>47.287288164139518</v>
      </c>
      <c r="D311" s="447">
        <f>D$296*Entrant_age_breakdowns!$K67*$G$31</f>
        <v>44.886540199610934</v>
      </c>
      <c r="E311" s="447">
        <f>E$296*Entrant_age_breakdowns!$K67*$G$31</f>
        <v>44.315639041574507</v>
      </c>
      <c r="F311" s="447">
        <f>F$296*Entrant_age_breakdowns!$K67*$G$31</f>
        <v>44.794454770247278</v>
      </c>
      <c r="G311" s="447">
        <f>G$296*Entrant_age_breakdowns!$K67*$G$31</f>
        <v>44.402690296315662</v>
      </c>
      <c r="H311" s="447">
        <f>H$296*Entrant_age_breakdowns!$K67*$G$31</f>
        <v>43.93548917599869</v>
      </c>
      <c r="I311" s="447">
        <f>I$296*Entrant_age_breakdowns!$K67*$G$31</f>
        <v>43.423419675768812</v>
      </c>
      <c r="J311" s="447">
        <f>J$296*Entrant_age_breakdowns!$K67*$G$31</f>
        <v>44.387774193222448</v>
      </c>
      <c r="K311" s="447">
        <f>K$296*Entrant_age_breakdowns!$K67*$G$31</f>
        <v>45.168589171763735</v>
      </c>
      <c r="L311" s="447">
        <f>L$296*Entrant_age_breakdowns!$K67*$G$31</f>
        <v>45.361895189798346</v>
      </c>
      <c r="M311" s="447">
        <f>M$296*Entrant_age_breakdowns!$K67*$G$31</f>
        <v>45.181118290326758</v>
      </c>
      <c r="N311" s="447">
        <f>N$296*Entrant_age_breakdowns!$K67*$G$31</f>
        <v>44.960158460656935</v>
      </c>
    </row>
    <row r="312" spans="1:14">
      <c r="B312" s="331" t="str">
        <f t="shared" si="138"/>
        <v>65 plus</v>
      </c>
      <c r="C312" s="447">
        <f>C$296*Entrant_age_breakdowns!$K68*$G$31</f>
        <v>12.970470829391152</v>
      </c>
      <c r="D312" s="447">
        <f>D$296*Entrant_age_breakdowns!$K68*$G$31</f>
        <v>12.311967611051548</v>
      </c>
      <c r="E312" s="447">
        <f>E$296*Entrant_age_breakdowns!$K68*$G$31</f>
        <v>12.155374642745267</v>
      </c>
      <c r="F312" s="447">
        <f>F$296*Entrant_age_breakdowns!$K68*$G$31</f>
        <v>12.286709419648661</v>
      </c>
      <c r="G312" s="447">
        <f>G$296*Entrant_age_breakdowns!$K68*$G$31</f>
        <v>12.179252006073076</v>
      </c>
      <c r="H312" s="447">
        <f>H$296*Entrant_age_breakdowns!$K68*$G$31</f>
        <v>12.051103010057576</v>
      </c>
      <c r="I312" s="447">
        <f>I$296*Entrant_age_breakdowns!$K68*$G$31</f>
        <v>11.910647027631642</v>
      </c>
      <c r="J312" s="447">
        <f>J$296*Entrant_age_breakdowns!$K68*$G$31</f>
        <v>12.175160655361926</v>
      </c>
      <c r="K312" s="447">
        <f>K$296*Entrant_age_breakdowns!$K68*$G$31</f>
        <v>12.389331065539979</v>
      </c>
      <c r="L312" s="447">
        <f>L$296*Entrant_age_breakdowns!$K68*$G$31</f>
        <v>12.442353139027478</v>
      </c>
      <c r="M312" s="447">
        <f>M$296*Entrant_age_breakdowns!$K68*$G$31</f>
        <v>12.392767688216999</v>
      </c>
      <c r="N312" s="447">
        <f>N$296*Entrant_age_breakdowns!$K68*$G$31</f>
        <v>12.332160427017081</v>
      </c>
    </row>
    <row r="313" spans="1:14">
      <c r="B313" s="331" t="str">
        <f t="shared" si="138"/>
        <v>Total</v>
      </c>
      <c r="C313" s="447">
        <f>SUM(C303:C312)</f>
        <v>3831.574572082729</v>
      </c>
      <c r="D313" s="447">
        <f t="shared" ref="D313:N313" si="140">SUM(D303:D312)</f>
        <v>3637.0477719216037</v>
      </c>
      <c r="E313" s="447">
        <f t="shared" si="140"/>
        <v>3590.7890320946954</v>
      </c>
      <c r="F313" s="447">
        <f t="shared" si="140"/>
        <v>3629.5863123347399</v>
      </c>
      <c r="G313" s="447">
        <f t="shared" si="140"/>
        <v>3597.842584689557</v>
      </c>
      <c r="H313" s="447">
        <f t="shared" si="140"/>
        <v>3559.9864080688681</v>
      </c>
      <c r="I313" s="447">
        <f t="shared" si="140"/>
        <v>3518.4946551603598</v>
      </c>
      <c r="J313" s="447">
        <f t="shared" si="140"/>
        <v>3596.6339689379383</v>
      </c>
      <c r="K313" s="447">
        <f t="shared" si="140"/>
        <v>3659.9015178592335</v>
      </c>
      <c r="L313" s="447">
        <f t="shared" si="140"/>
        <v>3675.5646368936987</v>
      </c>
      <c r="M313" s="447">
        <f t="shared" si="140"/>
        <v>3660.9167220284826</v>
      </c>
      <c r="N313" s="447">
        <f t="shared" si="140"/>
        <v>3643.0128815317316</v>
      </c>
    </row>
    <row r="314" spans="1:14">
      <c r="A314" s="10">
        <f>SUM(C314:N314)</f>
        <v>0</v>
      </c>
      <c r="C314" s="10">
        <f t="shared" ref="C314:N314" si="141">SUM(C303:C312)-C313</f>
        <v>0</v>
      </c>
      <c r="D314" s="10">
        <f t="shared" si="141"/>
        <v>0</v>
      </c>
      <c r="E314" s="10">
        <f t="shared" si="141"/>
        <v>0</v>
      </c>
      <c r="F314" s="10">
        <f t="shared" si="141"/>
        <v>0</v>
      </c>
      <c r="G314" s="10">
        <f t="shared" si="141"/>
        <v>0</v>
      </c>
      <c r="H314" s="10">
        <f t="shared" si="141"/>
        <v>0</v>
      </c>
      <c r="I314" s="10">
        <f t="shared" si="141"/>
        <v>0</v>
      </c>
      <c r="J314" s="10">
        <f t="shared" si="141"/>
        <v>0</v>
      </c>
      <c r="K314" s="10">
        <f t="shared" si="141"/>
        <v>0</v>
      </c>
      <c r="L314" s="10">
        <f t="shared" si="141"/>
        <v>0</v>
      </c>
      <c r="M314" s="10">
        <f t="shared" si="141"/>
        <v>0</v>
      </c>
      <c r="N314" s="10">
        <f t="shared" si="141"/>
        <v>0</v>
      </c>
    </row>
    <row r="315" spans="1:14">
      <c r="A315" s="10"/>
      <c r="C315" s="10"/>
      <c r="D315" s="10"/>
      <c r="E315" s="10"/>
      <c r="F315" s="10"/>
      <c r="G315" s="10"/>
      <c r="H315" s="10"/>
      <c r="I315" s="10"/>
      <c r="J315" s="10"/>
      <c r="K315" s="10"/>
      <c r="L315" s="10"/>
      <c r="M315" s="10"/>
      <c r="N315" s="10"/>
    </row>
    <row r="316" spans="1:14">
      <c r="B316" s="75" t="s">
        <v>47</v>
      </c>
      <c r="H316" s="12"/>
    </row>
    <row r="317" spans="1:14">
      <c r="H317" s="12"/>
    </row>
    <row r="318" spans="1:14">
      <c r="B318" s="149" t="str">
        <f t="shared" ref="B318:B329" si="142">B302</f>
        <v>Age group</v>
      </c>
      <c r="C318" s="149" t="str">
        <f>C293</f>
        <v>2017/18</v>
      </c>
      <c r="D318" s="149" t="str">
        <f t="shared" ref="D318:N318" si="143">D302</f>
        <v>2018/19</v>
      </c>
      <c r="E318" s="149" t="str">
        <f t="shared" si="143"/>
        <v>2019/20</v>
      </c>
      <c r="F318" s="149" t="str">
        <f t="shared" si="143"/>
        <v>2020/21</v>
      </c>
      <c r="G318" s="149" t="str">
        <f t="shared" si="143"/>
        <v>2021/22</v>
      </c>
      <c r="H318" s="149" t="str">
        <f t="shared" si="143"/>
        <v>2022/23</v>
      </c>
      <c r="I318" s="149" t="str">
        <f t="shared" si="143"/>
        <v>2023/24</v>
      </c>
      <c r="J318" s="149" t="str">
        <f t="shared" si="143"/>
        <v>2024/25</v>
      </c>
      <c r="K318" s="149" t="str">
        <f t="shared" si="143"/>
        <v>2025/26</v>
      </c>
      <c r="L318" s="149" t="str">
        <f t="shared" si="143"/>
        <v>2026/27</v>
      </c>
      <c r="M318" s="149" t="str">
        <f t="shared" si="143"/>
        <v>2027/28</v>
      </c>
      <c r="N318" s="149" t="str">
        <f t="shared" si="143"/>
        <v>2028/29</v>
      </c>
    </row>
    <row r="319" spans="1:14">
      <c r="B319" s="149" t="str">
        <f t="shared" si="142"/>
        <v>20-24</v>
      </c>
      <c r="C319" s="447">
        <f>C$296*Entrant_age_breakdowns!$K59*$H$31</f>
        <v>7495.476933117985</v>
      </c>
      <c r="D319" s="447">
        <f>D$296*Entrant_age_breakdowns!$K59*$H$31</f>
        <v>7114.9359528889609</v>
      </c>
      <c r="E319" s="447">
        <f>E$296*Entrant_age_breakdowns!$K59*$H$31</f>
        <v>7024.4427859664074</v>
      </c>
      <c r="F319" s="447">
        <f>F$296*Entrant_age_breakdowns!$K59*$H$31</f>
        <v>7100.3395520702952</v>
      </c>
      <c r="G319" s="447">
        <f>G$296*Entrant_age_breakdowns!$K59*$H$31</f>
        <v>7038.2412230780137</v>
      </c>
      <c r="H319" s="447">
        <f>H$296*Entrant_age_breakdowns!$K59*$H$31</f>
        <v>6964.1854809024999</v>
      </c>
      <c r="I319" s="447">
        <f>I$296*Entrant_age_breakdowns!$K59*$H$31</f>
        <v>6883.0176813491953</v>
      </c>
      <c r="J319" s="447">
        <f>J$296*Entrant_age_breakdowns!$K59*$H$31</f>
        <v>7035.8768813911083</v>
      </c>
      <c r="K319" s="447">
        <f>K$296*Entrant_age_breakdowns!$K59*$H$31</f>
        <v>7159.6433498841689</v>
      </c>
      <c r="L319" s="447">
        <f>L$296*Entrant_age_breakdowns!$K59*$H$31</f>
        <v>7190.2841596126082</v>
      </c>
      <c r="M319" s="447">
        <f>M$296*Entrant_age_breakdowns!$K59*$H$31</f>
        <v>7161.629332223768</v>
      </c>
      <c r="N319" s="447">
        <f>N$296*Entrant_age_breakdowns!$K59*$H$31</f>
        <v>7126.6051350085017</v>
      </c>
    </row>
    <row r="320" spans="1:14">
      <c r="B320" s="149" t="str">
        <f t="shared" si="142"/>
        <v>25-29</v>
      </c>
      <c r="C320" s="447">
        <f>C$296*Entrant_age_breakdowns!$K60*$H$31</f>
        <v>5730.6810837874445</v>
      </c>
      <c r="D320" s="447">
        <f>D$296*Entrant_age_breakdowns!$K60*$H$31</f>
        <v>5439.7377567032217</v>
      </c>
      <c r="E320" s="447">
        <f>E$296*Entrant_age_breakdowns!$K60*$H$31</f>
        <v>5370.5510345609946</v>
      </c>
      <c r="F320" s="447">
        <f>F$296*Entrant_age_breakdowns!$K60*$H$31</f>
        <v>5428.5780508153512</v>
      </c>
      <c r="G320" s="447">
        <f>G$296*Entrant_age_breakdowns!$K60*$H$31</f>
        <v>5381.100655785488</v>
      </c>
      <c r="H320" s="447">
        <f>H$296*Entrant_age_breakdowns!$K60*$H$31</f>
        <v>5324.4811978620119</v>
      </c>
      <c r="I320" s="447">
        <f>I$296*Entrant_age_breakdowns!$K60*$H$31</f>
        <v>5262.424203001875</v>
      </c>
      <c r="J320" s="447">
        <f>J$296*Entrant_age_breakdowns!$K60*$H$31</f>
        <v>5379.2929938712878</v>
      </c>
      <c r="K320" s="447">
        <f>K$296*Entrant_age_breakdowns!$K60*$H$31</f>
        <v>5473.9188817406157</v>
      </c>
      <c r="L320" s="447">
        <f>L$296*Entrant_age_breakdowns!$K60*$H$31</f>
        <v>5497.3453708445795</v>
      </c>
      <c r="M320" s="447">
        <f>M$296*Entrant_age_breakdowns!$K60*$H$31</f>
        <v>5475.4372682993135</v>
      </c>
      <c r="N320" s="447">
        <f>N$296*Entrant_age_breakdowns!$K60*$H$31</f>
        <v>5448.6594519912496</v>
      </c>
    </row>
    <row r="321" spans="1:15">
      <c r="B321" s="149" t="str">
        <f t="shared" si="142"/>
        <v>30-34</v>
      </c>
      <c r="C321" s="447">
        <f>C$296*Entrant_age_breakdowns!$K61*$H$31</f>
        <v>2665.5364423868664</v>
      </c>
      <c r="D321" s="447">
        <f>D$296*Entrant_age_breakdowns!$K61*$H$31</f>
        <v>2530.2087161230047</v>
      </c>
      <c r="E321" s="447">
        <f>E$296*Entrant_age_breakdowns!$K61*$H$31</f>
        <v>2498.0275972467266</v>
      </c>
      <c r="F321" s="447">
        <f>F$296*Entrant_age_breakdowns!$K61*$H$31</f>
        <v>2525.0179539264145</v>
      </c>
      <c r="G321" s="447">
        <f>G$296*Entrant_age_breakdowns!$K61*$H$31</f>
        <v>2502.9345881289833</v>
      </c>
      <c r="H321" s="447">
        <f>H$296*Entrant_age_breakdowns!$K61*$H$31</f>
        <v>2476.5989351347548</v>
      </c>
      <c r="I321" s="447">
        <f>I$296*Entrant_age_breakdowns!$K61*$H$31</f>
        <v>2447.7340971013346</v>
      </c>
      <c r="J321" s="447">
        <f>J$296*Entrant_age_breakdowns!$K61*$H$31</f>
        <v>2502.0937825358319</v>
      </c>
      <c r="K321" s="447">
        <f>K$296*Entrant_age_breakdowns!$K61*$H$31</f>
        <v>2546.107530434399</v>
      </c>
      <c r="L321" s="447">
        <f>L$296*Entrant_age_breakdowns!$K61*$H$31</f>
        <v>2557.003994486543</v>
      </c>
      <c r="M321" s="447">
        <f>M$296*Entrant_age_breakdowns!$K61*$H$31</f>
        <v>2546.8137841321118</v>
      </c>
      <c r="N321" s="447">
        <f>N$296*Entrant_age_breakdowns!$K61*$H$31</f>
        <v>2534.3585027836843</v>
      </c>
    </row>
    <row r="322" spans="1:15">
      <c r="B322" s="149" t="str">
        <f t="shared" si="142"/>
        <v>35-39</v>
      </c>
      <c r="C322" s="447">
        <f>C$296*Entrant_age_breakdowns!$K62*$H$31</f>
        <v>2205.1168557745536</v>
      </c>
      <c r="D322" s="447">
        <f>D$296*Entrant_age_breakdowns!$K62*$H$31</f>
        <v>2093.1643626505538</v>
      </c>
      <c r="E322" s="447">
        <f>E$296*Entrant_age_breakdowns!$K62*$H$31</f>
        <v>2066.5419062686706</v>
      </c>
      <c r="F322" s="447">
        <f>F$296*Entrant_age_breakdowns!$K62*$H$31</f>
        <v>2088.8702036842756</v>
      </c>
      <c r="G322" s="447">
        <f>G$296*Entrant_age_breakdowns!$K62*$H$31</f>
        <v>2070.6013098969725</v>
      </c>
      <c r="H322" s="447">
        <f>H$296*Entrant_age_breakdowns!$K62*$H$31</f>
        <v>2048.8146288364796</v>
      </c>
      <c r="I322" s="447">
        <f>I$296*Entrant_age_breakdowns!$K62*$H$31</f>
        <v>2024.9356302699841</v>
      </c>
      <c r="J322" s="447">
        <f>J$296*Entrant_age_breakdowns!$K62*$H$31</f>
        <v>2069.9057371197991</v>
      </c>
      <c r="K322" s="447">
        <f>K$296*Entrant_age_breakdowns!$K62*$H$31</f>
        <v>2106.3169659567357</v>
      </c>
      <c r="L322" s="447">
        <f>L$296*Entrant_age_breakdowns!$K62*$H$31</f>
        <v>2115.3312777356468</v>
      </c>
      <c r="M322" s="447">
        <f>M$296*Entrant_age_breakdowns!$K62*$H$31</f>
        <v>2106.9012280619222</v>
      </c>
      <c r="N322" s="447">
        <f>N$296*Entrant_age_breakdowns!$K62*$H$31</f>
        <v>2096.597354362023</v>
      </c>
    </row>
    <row r="323" spans="1:15">
      <c r="B323" s="149" t="str">
        <f t="shared" si="142"/>
        <v>40-44</v>
      </c>
      <c r="C323" s="447">
        <f>C$296*Entrant_age_breakdowns!$K63*$H$31</f>
        <v>2096.7233180302442</v>
      </c>
      <c r="D323" s="447">
        <f>D$296*Entrant_age_breakdowns!$K63*$H$31</f>
        <v>1990.2739014244921</v>
      </c>
      <c r="E323" s="447">
        <f>E$296*Entrant_age_breakdowns!$K63*$H$31</f>
        <v>1964.9600841848476</v>
      </c>
      <c r="F323" s="447">
        <f>F$296*Entrant_age_breakdowns!$K63*$H$31</f>
        <v>1986.1908238259755</v>
      </c>
      <c r="G323" s="447">
        <f>G$296*Entrant_age_breakdowns!$K63*$H$31</f>
        <v>1968.8199459524756</v>
      </c>
      <c r="H323" s="447">
        <f>H$296*Entrant_age_breakdowns!$K63*$H$31</f>
        <v>1948.1041992643129</v>
      </c>
      <c r="I323" s="447">
        <f>I$296*Entrant_age_breakdowns!$K63*$H$31</f>
        <v>1925.3989839037445</v>
      </c>
      <c r="J323" s="447">
        <f>J$296*Entrant_age_breakdowns!$K63*$H$31</f>
        <v>1968.1585643764984</v>
      </c>
      <c r="K323" s="447">
        <f>K$296*Entrant_age_breakdowns!$K63*$H$31</f>
        <v>2002.7799824390452</v>
      </c>
      <c r="L323" s="447">
        <f>L$296*Entrant_age_breakdowns!$K63*$H$31</f>
        <v>2011.3511915581189</v>
      </c>
      <c r="M323" s="447">
        <f>M$296*Entrant_age_breakdowns!$K63*$H$31</f>
        <v>2003.3355248705393</v>
      </c>
      <c r="N323" s="447">
        <f>N$296*Entrant_age_breakdowns!$K63*$H$31</f>
        <v>1993.5381428424434</v>
      </c>
    </row>
    <row r="324" spans="1:15">
      <c r="B324" s="149" t="str">
        <f t="shared" si="142"/>
        <v>45-49</v>
      </c>
      <c r="C324" s="447">
        <f>C$296*Entrant_age_breakdowns!$K64*$H$31</f>
        <v>1569.0842647792097</v>
      </c>
      <c r="D324" s="447">
        <f>D$296*Entrant_age_breakdowns!$K64*$H$31</f>
        <v>1489.4227743218394</v>
      </c>
      <c r="E324" s="447">
        <f>E$296*Entrant_age_breakdowns!$K64*$H$31</f>
        <v>1470.4791626537356</v>
      </c>
      <c r="F324" s="447">
        <f>F$296*Entrant_age_breakdowns!$K64*$H$31</f>
        <v>1486.367200533628</v>
      </c>
      <c r="G324" s="447">
        <f>G$296*Entrant_age_breakdowns!$K64*$H$31</f>
        <v>1473.3676927290808</v>
      </c>
      <c r="H324" s="447">
        <f>H$296*Entrant_age_breakdowns!$K64*$H$31</f>
        <v>1457.8650501619709</v>
      </c>
      <c r="I324" s="447">
        <f>I$296*Entrant_age_breakdowns!$K64*$H$31</f>
        <v>1440.8735874142008</v>
      </c>
      <c r="J324" s="447">
        <f>J$296*Entrant_age_breakdowns!$K64*$H$31</f>
        <v>1472.8727473946358</v>
      </c>
      <c r="K324" s="447">
        <f>K$296*Entrant_age_breakdowns!$K64*$H$31</f>
        <v>1498.7817082189567</v>
      </c>
      <c r="L324" s="447">
        <f>L$296*Entrant_age_breakdowns!$K64*$H$31</f>
        <v>1505.195978162549</v>
      </c>
      <c r="M324" s="447">
        <f>M$296*Entrant_age_breakdowns!$K64*$H$31</f>
        <v>1499.1974487604857</v>
      </c>
      <c r="N324" s="447">
        <f>N$296*Entrant_age_breakdowns!$K64*$H$31</f>
        <v>1491.8655715194018</v>
      </c>
    </row>
    <row r="325" spans="1:15">
      <c r="B325" s="149" t="str">
        <f t="shared" si="142"/>
        <v>50-54</v>
      </c>
      <c r="C325" s="447">
        <f>C$296*Entrant_age_breakdowns!$K65*$H$31</f>
        <v>1004.436361546447</v>
      </c>
      <c r="D325" s="447">
        <f>D$296*Entrant_age_breakdowns!$K65*$H$31</f>
        <v>953.44171490672227</v>
      </c>
      <c r="E325" s="447">
        <f>E$296*Entrant_age_breakdowns!$K65*$H$31</f>
        <v>941.31511800841179</v>
      </c>
      <c r="F325" s="447">
        <f>F$296*Entrant_age_breakdowns!$K65*$H$31</f>
        <v>951.48571452665351</v>
      </c>
      <c r="G325" s="447">
        <f>G$296*Entrant_age_breakdowns!$K65*$H$31</f>
        <v>943.16418673226758</v>
      </c>
      <c r="H325" s="447">
        <f>H$296*Entrant_age_breakdowns!$K65*$H$31</f>
        <v>933.24029784752736</v>
      </c>
      <c r="I325" s="447">
        <f>I$296*Entrant_age_breakdowns!$K65*$H$31</f>
        <v>922.3633529932473</v>
      </c>
      <c r="J325" s="447">
        <f>J$296*Entrant_age_breakdowns!$K65*$H$31</f>
        <v>942.84735155518149</v>
      </c>
      <c r="K325" s="447">
        <f>K$296*Entrant_age_breakdowns!$K65*$H$31</f>
        <v>959.43275931560663</v>
      </c>
      <c r="L325" s="447">
        <f>L$296*Entrant_age_breakdowns!$K65*$H$31</f>
        <v>963.53880136110843</v>
      </c>
      <c r="M325" s="447">
        <f>M$296*Entrant_age_breakdowns!$K65*$H$31</f>
        <v>959.69889219722063</v>
      </c>
      <c r="N325" s="447">
        <f>N$296*Entrant_age_breakdowns!$K65*$H$31</f>
        <v>955.00545140207282</v>
      </c>
    </row>
    <row r="326" spans="1:15">
      <c r="B326" s="149" t="str">
        <f t="shared" si="142"/>
        <v>55-59</v>
      </c>
      <c r="C326" s="447">
        <f>C$296*Entrant_age_breakdowns!$K66*$H$31</f>
        <v>595.69239766508269</v>
      </c>
      <c r="D326" s="447">
        <f>D$296*Entrant_age_breakdowns!$K66*$H$31</f>
        <v>565.44944302121451</v>
      </c>
      <c r="E326" s="447">
        <f>E$296*Entrant_age_breakdowns!$K66*$H$31</f>
        <v>558.25762693567299</v>
      </c>
      <c r="F326" s="447">
        <f>F$296*Entrant_age_breakdowns!$K66*$H$31</f>
        <v>564.28941476970533</v>
      </c>
      <c r="G326" s="447">
        <f>G$296*Entrant_age_breakdowns!$K66*$H$31</f>
        <v>559.35423815339641</v>
      </c>
      <c r="H326" s="447">
        <f>H$296*Entrant_age_breakdowns!$K66*$H$31</f>
        <v>553.46876308476078</v>
      </c>
      <c r="I326" s="447">
        <f>I$296*Entrant_age_breakdowns!$K66*$H$31</f>
        <v>547.01806734377692</v>
      </c>
      <c r="J326" s="447">
        <f>J$296*Entrant_age_breakdowns!$K66*$H$31</f>
        <v>559.16633545141485</v>
      </c>
      <c r="K326" s="447">
        <f>K$296*Entrant_age_breakdowns!$K66*$H$31</f>
        <v>569.00249998437721</v>
      </c>
      <c r="L326" s="447">
        <f>L$296*Entrant_age_breakdowns!$K66*$H$31</f>
        <v>571.43763487657952</v>
      </c>
      <c r="M326" s="447">
        <f>M$296*Entrant_age_breakdowns!$K66*$H$31</f>
        <v>569.16033311389674</v>
      </c>
      <c r="N326" s="447">
        <f>N$296*Entrant_age_breakdowns!$K66*$H$31</f>
        <v>566.37683471858156</v>
      </c>
    </row>
    <row r="327" spans="1:15">
      <c r="B327" s="149" t="str">
        <f t="shared" si="142"/>
        <v>60-64</v>
      </c>
      <c r="C327" s="447">
        <f>C$296*Entrant_age_breakdowns!$K67*$H$31</f>
        <v>292.93772852295729</v>
      </c>
      <c r="D327" s="447">
        <f>D$296*Entrant_age_breakdowns!$K67*$H$31</f>
        <v>278.06545136796399</v>
      </c>
      <c r="E327" s="447">
        <f>E$296*Entrant_age_breakdowns!$K67*$H$31</f>
        <v>274.52880346661226</v>
      </c>
      <c r="F327" s="447">
        <f>F$296*Entrant_age_breakdowns!$K67*$H$31</f>
        <v>277.49499580675234</v>
      </c>
      <c r="G327" s="447">
        <f>G$296*Entrant_age_breakdowns!$K67*$H$31</f>
        <v>275.06807306355836</v>
      </c>
      <c r="H327" s="447">
        <f>H$296*Entrant_age_breakdowns!$K67*$H$31</f>
        <v>272.17383149753795</v>
      </c>
      <c r="I327" s="447">
        <f>I$296*Entrant_age_breakdowns!$K67*$H$31</f>
        <v>269.00163698042923</v>
      </c>
      <c r="J327" s="447">
        <f>J$296*Entrant_age_breakdowns!$K67*$H$31</f>
        <v>274.97567001977677</v>
      </c>
      <c r="K327" s="447">
        <f>K$296*Entrant_age_breakdowns!$K67*$H$31</f>
        <v>279.81270286921063</v>
      </c>
      <c r="L327" s="447">
        <f>L$296*Entrant_age_breakdowns!$K67*$H$31</f>
        <v>281.01020494706967</v>
      </c>
      <c r="M327" s="447">
        <f>M$296*Entrant_age_breakdowns!$K67*$H$31</f>
        <v>279.89031889826919</v>
      </c>
      <c r="N327" s="447">
        <f>N$296*Entrant_age_breakdowns!$K67*$H$31</f>
        <v>278.52150556362369</v>
      </c>
    </row>
    <row r="328" spans="1:15">
      <c r="B328" s="149" t="str">
        <f t="shared" si="142"/>
        <v>65 plus</v>
      </c>
      <c r="C328" s="447">
        <f>C$296*Entrant_age_breakdowns!$K68*$H$31</f>
        <v>80.350140812610945</v>
      </c>
      <c r="D328" s="447">
        <f>D$296*Entrant_age_breakdowns!$K68*$H$31</f>
        <v>76.270811155645177</v>
      </c>
      <c r="E328" s="447">
        <f>E$296*Entrant_age_breakdowns!$K68*$H$31</f>
        <v>75.300740969359964</v>
      </c>
      <c r="F328" s="447">
        <f>F$296*Entrant_age_breakdowns!$K68*$H$31</f>
        <v>76.114340410474171</v>
      </c>
      <c r="G328" s="447">
        <f>G$296*Entrant_age_breakdowns!$K68*$H$31</f>
        <v>75.448657689644008</v>
      </c>
      <c r="H328" s="447">
        <f>H$296*Entrant_age_breakdowns!$K68*$H$31</f>
        <v>74.654793688076111</v>
      </c>
      <c r="I328" s="447">
        <f>I$296*Entrant_age_breakdowns!$K68*$H$31</f>
        <v>73.784689733150742</v>
      </c>
      <c r="J328" s="447">
        <f>J$296*Entrant_age_breakdowns!$K68*$H$31</f>
        <v>75.423312379510023</v>
      </c>
      <c r="K328" s="447">
        <f>K$296*Entrant_age_breakdowns!$K68*$H$31</f>
        <v>76.750066268559792</v>
      </c>
      <c r="L328" s="447">
        <f>L$296*Entrant_age_breakdowns!$K68*$H$31</f>
        <v>77.078530140607</v>
      </c>
      <c r="M328" s="447">
        <f>M$296*Entrant_age_breakdowns!$K68*$H$31</f>
        <v>76.77135563574241</v>
      </c>
      <c r="N328" s="447">
        <f>N$296*Entrant_age_breakdowns!$K68*$H$31</f>
        <v>76.39590265213559</v>
      </c>
    </row>
    <row r="329" spans="1:15">
      <c r="B329" s="149" t="str">
        <f t="shared" si="142"/>
        <v>Total</v>
      </c>
      <c r="C329" s="447">
        <f>SUM(C319:C328)</f>
        <v>23736.035526423399</v>
      </c>
      <c r="D329" s="447">
        <f t="shared" ref="D329:N329" si="144">SUM(D319:D328)</f>
        <v>22530.97088456362</v>
      </c>
      <c r="E329" s="447">
        <f t="shared" si="144"/>
        <v>22244.404860261442</v>
      </c>
      <c r="F329" s="447">
        <f t="shared" si="144"/>
        <v>22484.748250369521</v>
      </c>
      <c r="G329" s="447">
        <f t="shared" si="144"/>
        <v>22288.100571209881</v>
      </c>
      <c r="H329" s="447">
        <f t="shared" si="144"/>
        <v>22053.58717827993</v>
      </c>
      <c r="I329" s="447">
        <f t="shared" si="144"/>
        <v>21796.55193009094</v>
      </c>
      <c r="J329" s="447">
        <f t="shared" si="144"/>
        <v>22280.613376095043</v>
      </c>
      <c r="K329" s="447">
        <f t="shared" si="144"/>
        <v>22672.546447111676</v>
      </c>
      <c r="L329" s="447">
        <f t="shared" si="144"/>
        <v>22769.577143725408</v>
      </c>
      <c r="M329" s="447">
        <f t="shared" si="144"/>
        <v>22678.835486193264</v>
      </c>
      <c r="N329" s="447">
        <f t="shared" si="144"/>
        <v>22567.923852843727</v>
      </c>
    </row>
    <row r="330" spans="1:15">
      <c r="A330" s="10">
        <f>SUM(C330:N330)</f>
        <v>0</v>
      </c>
      <c r="C330" s="302">
        <f t="shared" ref="C330:N330" si="145">SUM(C319:C328)-C329</f>
        <v>0</v>
      </c>
      <c r="D330" s="302">
        <f t="shared" si="145"/>
        <v>0</v>
      </c>
      <c r="E330" s="302">
        <f t="shared" si="145"/>
        <v>0</v>
      </c>
      <c r="F330" s="302">
        <f t="shared" si="145"/>
        <v>0</v>
      </c>
      <c r="G330" s="302">
        <f t="shared" si="145"/>
        <v>0</v>
      </c>
      <c r="H330" s="302">
        <f t="shared" si="145"/>
        <v>0</v>
      </c>
      <c r="I330" s="302">
        <f t="shared" si="145"/>
        <v>0</v>
      </c>
      <c r="J330" s="302">
        <f t="shared" si="145"/>
        <v>0</v>
      </c>
      <c r="K330" s="302">
        <f t="shared" si="145"/>
        <v>0</v>
      </c>
      <c r="L330" s="302">
        <f t="shared" si="145"/>
        <v>0</v>
      </c>
      <c r="M330" s="302">
        <f t="shared" si="145"/>
        <v>0</v>
      </c>
      <c r="N330" s="302">
        <f t="shared" si="145"/>
        <v>0</v>
      </c>
    </row>
    <row r="331" spans="1:15">
      <c r="C331" s="322">
        <f t="shared" ref="C331:N331" si="146">C296</f>
        <v>27567.610098506135</v>
      </c>
      <c r="D331" s="322">
        <f t="shared" si="146"/>
        <v>26168.018656485227</v>
      </c>
      <c r="E331" s="322">
        <f t="shared" si="146"/>
        <v>25835.193892356139</v>
      </c>
      <c r="F331" s="322">
        <f t="shared" si="146"/>
        <v>26114.334562704269</v>
      </c>
      <c r="G331" s="322">
        <f t="shared" si="146"/>
        <v>25885.94315589944</v>
      </c>
      <c r="H331" s="322">
        <f t="shared" si="146"/>
        <v>25613.573586348804</v>
      </c>
      <c r="I331" s="322">
        <f t="shared" si="146"/>
        <v>25315.046585251301</v>
      </c>
      <c r="J331" s="322">
        <f t="shared" si="146"/>
        <v>25877.247345032985</v>
      </c>
      <c r="K331" s="322">
        <f t="shared" si="146"/>
        <v>26332.447964970914</v>
      </c>
      <c r="L331" s="322">
        <f t="shared" si="146"/>
        <v>26445.141780619113</v>
      </c>
      <c r="M331" s="322">
        <f t="shared" si="146"/>
        <v>26339.752208221755</v>
      </c>
      <c r="N331" s="322">
        <f t="shared" si="146"/>
        <v>26210.936734375453</v>
      </c>
      <c r="O331" s="188"/>
    </row>
    <row r="332" spans="1:15">
      <c r="C332" s="322">
        <f t="shared" ref="C332:N332" si="147">C313+C329</f>
        <v>27567.610098506128</v>
      </c>
      <c r="D332" s="322">
        <f t="shared" si="147"/>
        <v>26168.018656485223</v>
      </c>
      <c r="E332" s="322">
        <f t="shared" si="147"/>
        <v>25835.193892356139</v>
      </c>
      <c r="F332" s="322">
        <f t="shared" si="147"/>
        <v>26114.334562704262</v>
      </c>
      <c r="G332" s="322">
        <f t="shared" si="147"/>
        <v>25885.94315589944</v>
      </c>
      <c r="H332" s="322">
        <f t="shared" si="147"/>
        <v>25613.573586348797</v>
      </c>
      <c r="I332" s="322">
        <f t="shared" si="147"/>
        <v>25315.046585251301</v>
      </c>
      <c r="J332" s="322">
        <f t="shared" si="147"/>
        <v>25877.247345032982</v>
      </c>
      <c r="K332" s="322">
        <f t="shared" si="147"/>
        <v>26332.44796497091</v>
      </c>
      <c r="L332" s="322">
        <f t="shared" si="147"/>
        <v>26445.141780619106</v>
      </c>
      <c r="M332" s="322">
        <f t="shared" si="147"/>
        <v>26339.752208221747</v>
      </c>
      <c r="N332" s="322">
        <f t="shared" si="147"/>
        <v>26210.93673437546</v>
      </c>
    </row>
    <row r="333" spans="1:15">
      <c r="A333" s="10">
        <f>SUM(C333:L333)</f>
        <v>0</v>
      </c>
      <c r="C333" s="322">
        <f>C331-C332</f>
        <v>0</v>
      </c>
      <c r="D333" s="322">
        <f t="shared" ref="D333:K333" si="148">D331-D332</f>
        <v>0</v>
      </c>
      <c r="E333" s="322">
        <f t="shared" si="148"/>
        <v>0</v>
      </c>
      <c r="F333" s="322">
        <f t="shared" si="148"/>
        <v>0</v>
      </c>
      <c r="G333" s="322">
        <f t="shared" si="148"/>
        <v>0</v>
      </c>
      <c r="H333" s="322">
        <f t="shared" si="148"/>
        <v>0</v>
      </c>
      <c r="I333" s="322">
        <f t="shared" si="148"/>
        <v>0</v>
      </c>
      <c r="J333" s="322">
        <f t="shared" si="148"/>
        <v>0</v>
      </c>
      <c r="K333" s="322">
        <f t="shared" si="148"/>
        <v>0</v>
      </c>
      <c r="L333" s="322">
        <f>L331-L332</f>
        <v>0</v>
      </c>
      <c r="M333" s="322">
        <f>M331-M332</f>
        <v>0</v>
      </c>
      <c r="N333" s="322">
        <f>N331-N332</f>
        <v>0</v>
      </c>
    </row>
    <row r="334" spans="1:15">
      <c r="C334" s="322"/>
      <c r="D334" s="322"/>
      <c r="E334" s="322"/>
      <c r="F334" s="322"/>
      <c r="G334" s="322"/>
      <c r="H334" s="335"/>
      <c r="I334" s="322"/>
      <c r="J334" s="322"/>
      <c r="K334" s="322"/>
      <c r="L334" s="322"/>
      <c r="M334" s="302"/>
      <c r="N334" s="302"/>
    </row>
    <row r="335" spans="1:15" ht="15.75">
      <c r="B335" s="77" t="s">
        <v>176</v>
      </c>
      <c r="C335" s="322"/>
      <c r="D335" s="322"/>
      <c r="E335" s="322"/>
      <c r="F335" s="322"/>
      <c r="G335" s="322"/>
      <c r="H335" s="335"/>
      <c r="I335" s="322"/>
      <c r="J335" s="322"/>
      <c r="K335" s="322"/>
      <c r="L335" s="322"/>
      <c r="M335" s="302"/>
      <c r="N335" s="302"/>
    </row>
    <row r="336" spans="1:15" ht="15.75">
      <c r="B336" s="77"/>
      <c r="C336" s="322"/>
      <c r="D336" s="322"/>
      <c r="E336" s="322"/>
      <c r="F336" s="322"/>
      <c r="G336" s="322"/>
      <c r="H336" s="335"/>
      <c r="I336" s="322"/>
      <c r="J336" s="322"/>
      <c r="K336" s="322"/>
      <c r="L336" s="322"/>
      <c r="M336" s="302"/>
      <c r="N336" s="302"/>
    </row>
    <row r="337" spans="1:14">
      <c r="B337" s="75" t="s">
        <v>46</v>
      </c>
      <c r="C337" s="322"/>
      <c r="D337" s="322"/>
      <c r="E337" s="322"/>
      <c r="F337" s="322"/>
      <c r="G337" s="322"/>
      <c r="H337" s="332"/>
      <c r="I337" s="322"/>
      <c r="J337" s="322"/>
      <c r="K337" s="322"/>
      <c r="L337" s="322"/>
      <c r="M337" s="302"/>
      <c r="N337" s="302"/>
    </row>
    <row r="338" spans="1:14">
      <c r="C338" s="322"/>
      <c r="D338" s="322"/>
      <c r="E338" s="322"/>
      <c r="F338" s="322"/>
      <c r="G338" s="322"/>
      <c r="H338" s="332"/>
      <c r="I338" s="322"/>
      <c r="J338" s="322"/>
      <c r="K338" s="322"/>
      <c r="L338" s="322"/>
      <c r="M338" s="302"/>
      <c r="N338" s="302"/>
    </row>
    <row r="339" spans="1:14">
      <c r="B339" s="149" t="str">
        <f>B318</f>
        <v>Age group</v>
      </c>
      <c r="C339" s="331" t="str">
        <f t="shared" ref="C339:N339" si="149">C318</f>
        <v>2017/18</v>
      </c>
      <c r="D339" s="331" t="str">
        <f t="shared" si="149"/>
        <v>2018/19</v>
      </c>
      <c r="E339" s="331" t="str">
        <f t="shared" si="149"/>
        <v>2019/20</v>
      </c>
      <c r="F339" s="331" t="str">
        <f t="shared" si="149"/>
        <v>2020/21</v>
      </c>
      <c r="G339" s="331" t="str">
        <f t="shared" si="149"/>
        <v>2021/22</v>
      </c>
      <c r="H339" s="331" t="str">
        <f t="shared" si="149"/>
        <v>2022/23</v>
      </c>
      <c r="I339" s="331" t="str">
        <f t="shared" si="149"/>
        <v>2023/24</v>
      </c>
      <c r="J339" s="331" t="str">
        <f t="shared" si="149"/>
        <v>2024/25</v>
      </c>
      <c r="K339" s="331" t="str">
        <f t="shared" si="149"/>
        <v>2025/26</v>
      </c>
      <c r="L339" s="331" t="str">
        <f t="shared" si="149"/>
        <v>2026/27</v>
      </c>
      <c r="M339" s="331" t="str">
        <f t="shared" si="149"/>
        <v>2027/28</v>
      </c>
      <c r="N339" s="331" t="str">
        <f t="shared" si="149"/>
        <v>2028/29</v>
      </c>
    </row>
    <row r="340" spans="1:14">
      <c r="B340" s="149" t="str">
        <f t="shared" ref="B340:B350" si="150">B319</f>
        <v>20-24</v>
      </c>
      <c r="C340" s="447">
        <f t="shared" ref="C340:N340" si="151">C303+C247</f>
        <v>2660.6982386914965</v>
      </c>
      <c r="D340" s="447">
        <f t="shared" si="151"/>
        <v>3016.3472859215112</v>
      </c>
      <c r="E340" s="447">
        <f t="shared" si="151"/>
        <v>3240.3143291375327</v>
      </c>
      <c r="F340" s="447">
        <f t="shared" si="151"/>
        <v>3415.1545416359986</v>
      </c>
      <c r="G340" s="447">
        <f t="shared" si="151"/>
        <v>3527.5598748631514</v>
      </c>
      <c r="H340" s="447">
        <f t="shared" si="151"/>
        <v>3594.3158023026758</v>
      </c>
      <c r="I340" s="447">
        <f t="shared" si="151"/>
        <v>3627.9582854286537</v>
      </c>
      <c r="J340" s="447">
        <f t="shared" si="151"/>
        <v>3676.1911836077988</v>
      </c>
      <c r="K340" s="447">
        <f t="shared" si="151"/>
        <v>3729.9445486403838</v>
      </c>
      <c r="L340" s="447">
        <f t="shared" si="151"/>
        <v>3772.530795879783</v>
      </c>
      <c r="M340" s="447">
        <f t="shared" si="151"/>
        <v>3797.7256576239092</v>
      </c>
      <c r="N340" s="447">
        <f t="shared" si="151"/>
        <v>3809.7142631213319</v>
      </c>
    </row>
    <row r="341" spans="1:14">
      <c r="B341" s="149" t="str">
        <f t="shared" si="150"/>
        <v>25-29</v>
      </c>
      <c r="C341" s="447">
        <f t="shared" ref="C341:N341" si="152">C304+C248</f>
        <v>5998.2404346588974</v>
      </c>
      <c r="D341" s="447">
        <f t="shared" si="152"/>
        <v>5623.173903670373</v>
      </c>
      <c r="E341" s="447">
        <f t="shared" si="152"/>
        <v>5387.1984350716166</v>
      </c>
      <c r="F341" s="447">
        <f t="shared" si="152"/>
        <v>5279.6031826204053</v>
      </c>
      <c r="G341" s="447">
        <f t="shared" si="152"/>
        <v>5226.5473681499807</v>
      </c>
      <c r="H341" s="447">
        <f t="shared" si="152"/>
        <v>5199.6769131407518</v>
      </c>
      <c r="I341" s="447">
        <f t="shared" si="152"/>
        <v>5182.4252465691598</v>
      </c>
      <c r="J341" s="447">
        <f t="shared" si="152"/>
        <v>5195.0089645886464</v>
      </c>
      <c r="K341" s="447">
        <f t="shared" si="152"/>
        <v>5227.7925182074305</v>
      </c>
      <c r="L341" s="447">
        <f t="shared" si="152"/>
        <v>5264.4157732604317</v>
      </c>
      <c r="M341" s="447">
        <f t="shared" si="152"/>
        <v>5294.465491507236</v>
      </c>
      <c r="N341" s="447">
        <f t="shared" si="152"/>
        <v>5315.9692420191259</v>
      </c>
    </row>
    <row r="342" spans="1:14">
      <c r="B342" s="149" t="str">
        <f t="shared" si="150"/>
        <v>30-34</v>
      </c>
      <c r="C342" s="447">
        <f t="shared" ref="C342:N342" si="153">C305+C249</f>
        <v>6129.0070956676245</v>
      </c>
      <c r="D342" s="447">
        <f t="shared" si="153"/>
        <v>5968.6272150352843</v>
      </c>
      <c r="E342" s="447">
        <f t="shared" si="153"/>
        <v>5758.5079353904321</v>
      </c>
      <c r="F342" s="447">
        <f t="shared" si="153"/>
        <v>5577.2834232936721</v>
      </c>
      <c r="G342" s="447">
        <f t="shared" si="153"/>
        <v>5422.2921341380206</v>
      </c>
      <c r="H342" s="447">
        <f t="shared" si="153"/>
        <v>5295.6216659103784</v>
      </c>
      <c r="I342" s="447">
        <f t="shared" si="153"/>
        <v>5193.9115956745554</v>
      </c>
      <c r="J342" s="447">
        <f t="shared" si="153"/>
        <v>5125.5463042419242</v>
      </c>
      <c r="K342" s="447">
        <f t="shared" si="153"/>
        <v>5085.1988526654168</v>
      </c>
      <c r="L342" s="447">
        <f t="shared" si="153"/>
        <v>5063.5649535855755</v>
      </c>
      <c r="M342" s="447">
        <f t="shared" si="153"/>
        <v>5052.8411923860604</v>
      </c>
      <c r="N342" s="447">
        <f t="shared" si="153"/>
        <v>5048.494103816467</v>
      </c>
    </row>
    <row r="343" spans="1:14">
      <c r="B343" s="149" t="str">
        <f t="shared" si="150"/>
        <v>35-39</v>
      </c>
      <c r="C343" s="447">
        <f t="shared" ref="C343:N343" si="154">C306+C250</f>
        <v>5343.2705794972071</v>
      </c>
      <c r="D343" s="447">
        <f t="shared" si="154"/>
        <v>5421.3014732078072</v>
      </c>
      <c r="E343" s="447">
        <f t="shared" si="154"/>
        <v>5429.4305015681148</v>
      </c>
      <c r="F343" s="447">
        <f t="shared" si="154"/>
        <v>5408.3652244063514</v>
      </c>
      <c r="G343" s="447">
        <f t="shared" si="154"/>
        <v>5356.4166301069499</v>
      </c>
      <c r="H343" s="447">
        <f t="shared" si="154"/>
        <v>5285.9419244469664</v>
      </c>
      <c r="I343" s="447">
        <f t="shared" si="154"/>
        <v>5206.6793792858698</v>
      </c>
      <c r="J343" s="447">
        <f t="shared" si="154"/>
        <v>5136.6498555052794</v>
      </c>
      <c r="K343" s="447">
        <f t="shared" si="154"/>
        <v>5078.2094215958277</v>
      </c>
      <c r="L343" s="447">
        <f t="shared" si="154"/>
        <v>5029.0733866425489</v>
      </c>
      <c r="M343" s="447">
        <f t="shared" si="154"/>
        <v>4987.44438032978</v>
      </c>
      <c r="N343" s="447">
        <f t="shared" si="154"/>
        <v>4953.068691947029</v>
      </c>
    </row>
    <row r="344" spans="1:14">
      <c r="B344" s="149" t="str">
        <f t="shared" si="150"/>
        <v>40-44</v>
      </c>
      <c r="C344" s="447">
        <f t="shared" ref="C344:N344" si="155">C307+C251</f>
        <v>4679.314983171721</v>
      </c>
      <c r="D344" s="447">
        <f t="shared" si="155"/>
        <v>4730.7804918401707</v>
      </c>
      <c r="E344" s="447">
        <f t="shared" si="155"/>
        <v>4763.504700309637</v>
      </c>
      <c r="F344" s="447">
        <f t="shared" si="155"/>
        <v>4800.269234221284</v>
      </c>
      <c r="G344" s="447">
        <f t="shared" si="155"/>
        <v>4820.5176163775905</v>
      </c>
      <c r="H344" s="447">
        <f t="shared" si="155"/>
        <v>4822.4878383495216</v>
      </c>
      <c r="I344" s="447">
        <f t="shared" si="155"/>
        <v>4807.3700950781549</v>
      </c>
      <c r="J344" s="447">
        <f t="shared" si="155"/>
        <v>4788.7059885925783</v>
      </c>
      <c r="K344" s="447">
        <f t="shared" si="155"/>
        <v>4767.8220555984099</v>
      </c>
      <c r="L344" s="447">
        <f t="shared" si="155"/>
        <v>4743.2287835571742</v>
      </c>
      <c r="M344" s="447">
        <f t="shared" si="155"/>
        <v>4714.9456400406098</v>
      </c>
      <c r="N344" s="447">
        <f t="shared" si="155"/>
        <v>4685.0479279399779</v>
      </c>
    </row>
    <row r="345" spans="1:14">
      <c r="B345" s="149" t="str">
        <f t="shared" si="150"/>
        <v>45-49</v>
      </c>
      <c r="C345" s="447">
        <f t="shared" ref="C345:N345" si="156">C308+C252</f>
        <v>3810.0902896190928</v>
      </c>
      <c r="D345" s="447">
        <f t="shared" si="156"/>
        <v>3858.8667380262664</v>
      </c>
      <c r="E345" s="447">
        <f t="shared" si="156"/>
        <v>3887.2306542720758</v>
      </c>
      <c r="F345" s="447">
        <f t="shared" si="156"/>
        <v>3923.2426518370189</v>
      </c>
      <c r="G345" s="447">
        <f t="shared" si="156"/>
        <v>3953.931433007946</v>
      </c>
      <c r="H345" s="447">
        <f t="shared" si="156"/>
        <v>3977.3601370089477</v>
      </c>
      <c r="I345" s="447">
        <f t="shared" si="156"/>
        <v>3991.9681246561036</v>
      </c>
      <c r="J345" s="447">
        <f t="shared" si="156"/>
        <v>4004.9878499247702</v>
      </c>
      <c r="K345" s="447">
        <f t="shared" si="156"/>
        <v>4015.2293816515312</v>
      </c>
      <c r="L345" s="447">
        <f t="shared" si="156"/>
        <v>4019.9063590582887</v>
      </c>
      <c r="M345" s="447">
        <f t="shared" si="156"/>
        <v>4017.8708417261537</v>
      </c>
      <c r="N345" s="447">
        <f t="shared" si="156"/>
        <v>4010.0822168135542</v>
      </c>
    </row>
    <row r="346" spans="1:14">
      <c r="B346" s="149" t="str">
        <f t="shared" si="150"/>
        <v>50-54</v>
      </c>
      <c r="C346" s="447">
        <f t="shared" ref="C346:N346" si="157">C309+C253</f>
        <v>2845.1855365599822</v>
      </c>
      <c r="D346" s="447">
        <f t="shared" si="157"/>
        <v>2850.4661440862442</v>
      </c>
      <c r="E346" s="447">
        <f t="shared" si="157"/>
        <v>2851.0573117682052</v>
      </c>
      <c r="F346" s="447">
        <f t="shared" si="157"/>
        <v>2863.2626647145985</v>
      </c>
      <c r="G346" s="447">
        <f t="shared" si="157"/>
        <v>2876.9519750079708</v>
      </c>
      <c r="H346" s="447">
        <f t="shared" si="157"/>
        <v>2890.4911811159272</v>
      </c>
      <c r="I346" s="447">
        <f t="shared" si="157"/>
        <v>2902.4836494265251</v>
      </c>
      <c r="J346" s="447">
        <f t="shared" si="157"/>
        <v>2916.8791570081544</v>
      </c>
      <c r="K346" s="447">
        <f t="shared" si="157"/>
        <v>2932.0671832318717</v>
      </c>
      <c r="L346" s="447">
        <f t="shared" si="157"/>
        <v>2945.3101776188482</v>
      </c>
      <c r="M346" s="447">
        <f t="shared" si="157"/>
        <v>2954.9058041876224</v>
      </c>
      <c r="N346" s="447">
        <f t="shared" si="157"/>
        <v>2960.5889095491316</v>
      </c>
    </row>
    <row r="347" spans="1:14">
      <c r="B347" s="149" t="str">
        <f t="shared" si="150"/>
        <v>55-59</v>
      </c>
      <c r="C347" s="447">
        <f t="shared" ref="C347:N347" si="158">C310+C254</f>
        <v>1405.6599025354792</v>
      </c>
      <c r="D347" s="447">
        <f t="shared" si="158"/>
        <v>1352.0133500556747</v>
      </c>
      <c r="E347" s="447">
        <f t="shared" si="158"/>
        <v>1316.0693402480229</v>
      </c>
      <c r="F347" s="447">
        <f t="shared" si="158"/>
        <v>1297.6346513312899</v>
      </c>
      <c r="G347" s="447">
        <f t="shared" si="158"/>
        <v>1287.6895360942278</v>
      </c>
      <c r="H347" s="447">
        <f t="shared" si="158"/>
        <v>1282.8603841512388</v>
      </c>
      <c r="I347" s="447">
        <f t="shared" si="158"/>
        <v>1280.9601314544839</v>
      </c>
      <c r="J347" s="447">
        <f t="shared" si="158"/>
        <v>1283.5740564109983</v>
      </c>
      <c r="K347" s="447">
        <f t="shared" si="158"/>
        <v>1288.8565977749731</v>
      </c>
      <c r="L347" s="447">
        <f t="shared" si="158"/>
        <v>1294.6492825330795</v>
      </c>
      <c r="M347" s="447">
        <f t="shared" si="158"/>
        <v>1299.6954698100726</v>
      </c>
      <c r="N347" s="447">
        <f t="shared" si="158"/>
        <v>1303.6737324362923</v>
      </c>
    </row>
    <row r="348" spans="1:14">
      <c r="B348" s="149" t="str">
        <f t="shared" si="150"/>
        <v>60-64</v>
      </c>
      <c r="C348" s="447">
        <f t="shared" ref="C348:N348" si="159">C311+C255</f>
        <v>525.83287906201667</v>
      </c>
      <c r="D348" s="447">
        <f t="shared" si="159"/>
        <v>491.72296832006361</v>
      </c>
      <c r="E348" s="447">
        <f t="shared" si="159"/>
        <v>465.51214185169499</v>
      </c>
      <c r="F348" s="447">
        <f t="shared" si="159"/>
        <v>448.8369008949669</v>
      </c>
      <c r="G348" s="447">
        <f t="shared" si="159"/>
        <v>437.62161810407315</v>
      </c>
      <c r="H348" s="447">
        <f t="shared" si="159"/>
        <v>430.18675546141571</v>
      </c>
      <c r="I348" s="447">
        <f t="shared" si="159"/>
        <v>425.27988906423178</v>
      </c>
      <c r="J348" s="447">
        <f t="shared" si="159"/>
        <v>423.50736842214422</v>
      </c>
      <c r="K348" s="447">
        <f t="shared" si="159"/>
        <v>423.71911777024752</v>
      </c>
      <c r="L348" s="447">
        <f t="shared" si="159"/>
        <v>424.69168809020812</v>
      </c>
      <c r="M348" s="447">
        <f t="shared" si="159"/>
        <v>425.74193200160454</v>
      </c>
      <c r="N348" s="447">
        <f t="shared" si="159"/>
        <v>426.69658819233263</v>
      </c>
    </row>
    <row r="349" spans="1:14">
      <c r="B349" s="149" t="str">
        <f t="shared" si="150"/>
        <v>65 plus</v>
      </c>
      <c r="C349" s="447">
        <f t="shared" ref="C349:N349" si="160">C312+C256</f>
        <v>175.59917221774595</v>
      </c>
      <c r="D349" s="447">
        <f t="shared" si="160"/>
        <v>193.77152712714835</v>
      </c>
      <c r="E349" s="447">
        <f t="shared" si="160"/>
        <v>200.23129209923189</v>
      </c>
      <c r="F349" s="447">
        <f t="shared" si="160"/>
        <v>201.5216074785601</v>
      </c>
      <c r="G349" s="447">
        <f t="shared" si="160"/>
        <v>200.09505587894816</v>
      </c>
      <c r="H349" s="447">
        <f t="shared" si="160"/>
        <v>197.59957616983206</v>
      </c>
      <c r="I349" s="447">
        <f t="shared" si="160"/>
        <v>194.88996808989302</v>
      </c>
      <c r="J349" s="447">
        <f t="shared" si="160"/>
        <v>192.773362764914</v>
      </c>
      <c r="K349" s="447">
        <f t="shared" si="160"/>
        <v>191.39337569208146</v>
      </c>
      <c r="L349" s="447">
        <f t="shared" si="160"/>
        <v>190.58346376880792</v>
      </c>
      <c r="M349" s="447">
        <f t="shared" si="160"/>
        <v>190.13687400843364</v>
      </c>
      <c r="N349" s="447">
        <f t="shared" si="160"/>
        <v>189.92366987632192</v>
      </c>
    </row>
    <row r="350" spans="1:14">
      <c r="B350" s="149" t="str">
        <f t="shared" si="150"/>
        <v>Total</v>
      </c>
      <c r="C350" s="447">
        <f t="shared" ref="C350:N350" si="161">SUM(C340:C349)</f>
        <v>33572.899111681269</v>
      </c>
      <c r="D350" s="447">
        <f t="shared" si="161"/>
        <v>33507.071097290551</v>
      </c>
      <c r="E350" s="447">
        <f t="shared" si="161"/>
        <v>33299.056641716568</v>
      </c>
      <c r="F350" s="447">
        <f t="shared" si="161"/>
        <v>33215.174082434147</v>
      </c>
      <c r="G350" s="447">
        <f t="shared" si="161"/>
        <v>33109.623241728863</v>
      </c>
      <c r="H350" s="447">
        <f t="shared" si="161"/>
        <v>32976.542178057658</v>
      </c>
      <c r="I350" s="447">
        <f t="shared" si="161"/>
        <v>32813.926364727631</v>
      </c>
      <c r="J350" s="447">
        <f t="shared" si="161"/>
        <v>32743.824091067207</v>
      </c>
      <c r="K350" s="447">
        <f t="shared" si="161"/>
        <v>32740.233052828175</v>
      </c>
      <c r="L350" s="447">
        <f t="shared" si="161"/>
        <v>32747.954663994744</v>
      </c>
      <c r="M350" s="447">
        <f t="shared" si="161"/>
        <v>32735.773283621482</v>
      </c>
      <c r="N350" s="447">
        <f t="shared" si="161"/>
        <v>32703.259345711562</v>
      </c>
    </row>
    <row r="351" spans="1:14">
      <c r="A351" s="10">
        <f>SUM(C351:N351)</f>
        <v>0</v>
      </c>
      <c r="C351" s="302">
        <f t="shared" ref="C351:N351" si="162">SUM(C340:C349)-C350</f>
        <v>0</v>
      </c>
      <c r="D351" s="302">
        <f t="shared" si="162"/>
        <v>0</v>
      </c>
      <c r="E351" s="302">
        <f t="shared" si="162"/>
        <v>0</v>
      </c>
      <c r="F351" s="302">
        <f t="shared" si="162"/>
        <v>0</v>
      </c>
      <c r="G351" s="302">
        <f t="shared" si="162"/>
        <v>0</v>
      </c>
      <c r="H351" s="302">
        <f t="shared" si="162"/>
        <v>0</v>
      </c>
      <c r="I351" s="302">
        <f t="shared" si="162"/>
        <v>0</v>
      </c>
      <c r="J351" s="302">
        <f t="shared" si="162"/>
        <v>0</v>
      </c>
      <c r="K351" s="302">
        <f t="shared" si="162"/>
        <v>0</v>
      </c>
      <c r="L351" s="302">
        <f t="shared" si="162"/>
        <v>0</v>
      </c>
      <c r="M351" s="302">
        <f t="shared" si="162"/>
        <v>0</v>
      </c>
      <c r="N351" s="302">
        <f t="shared" si="162"/>
        <v>0</v>
      </c>
    </row>
    <row r="352" spans="1:14">
      <c r="A352" s="10"/>
      <c r="C352" s="302"/>
      <c r="D352" s="302"/>
      <c r="E352" s="302"/>
      <c r="F352" s="302"/>
      <c r="G352" s="302"/>
      <c r="H352" s="302"/>
      <c r="I352" s="302"/>
      <c r="J352" s="302"/>
      <c r="K352" s="302"/>
      <c r="L352" s="302"/>
      <c r="M352" s="302"/>
      <c r="N352" s="302"/>
    </row>
    <row r="353" spans="1:14">
      <c r="B353" s="75" t="s">
        <v>47</v>
      </c>
      <c r="C353" s="322"/>
      <c r="D353" s="322"/>
      <c r="E353" s="322"/>
      <c r="F353" s="322"/>
      <c r="G353" s="322"/>
      <c r="H353" s="332"/>
      <c r="I353" s="322"/>
      <c r="J353" s="322"/>
      <c r="K353" s="322"/>
      <c r="L353" s="322"/>
      <c r="M353" s="302"/>
      <c r="N353" s="302"/>
    </row>
    <row r="354" spans="1:14">
      <c r="C354" s="322"/>
      <c r="D354" s="322"/>
      <c r="E354" s="322"/>
      <c r="F354" s="322"/>
      <c r="G354" s="322"/>
      <c r="H354" s="332"/>
      <c r="I354" s="322"/>
      <c r="J354" s="322"/>
      <c r="K354" s="322"/>
      <c r="L354" s="322"/>
      <c r="M354" s="302"/>
      <c r="N354" s="302"/>
    </row>
    <row r="355" spans="1:14">
      <c r="B355" s="149" t="str">
        <f t="shared" ref="B355:B366" si="163">B339</f>
        <v>Age group</v>
      </c>
      <c r="C355" s="331" t="str">
        <f t="shared" ref="C355:N355" si="164">C339</f>
        <v>2017/18</v>
      </c>
      <c r="D355" s="331" t="str">
        <f t="shared" si="164"/>
        <v>2018/19</v>
      </c>
      <c r="E355" s="331" t="str">
        <f t="shared" si="164"/>
        <v>2019/20</v>
      </c>
      <c r="F355" s="331" t="str">
        <f t="shared" si="164"/>
        <v>2020/21</v>
      </c>
      <c r="G355" s="331" t="str">
        <f t="shared" si="164"/>
        <v>2021/22</v>
      </c>
      <c r="H355" s="331" t="str">
        <f t="shared" si="164"/>
        <v>2022/23</v>
      </c>
      <c r="I355" s="331" t="str">
        <f t="shared" si="164"/>
        <v>2023/24</v>
      </c>
      <c r="J355" s="331" t="str">
        <f t="shared" si="164"/>
        <v>2024/25</v>
      </c>
      <c r="K355" s="331" t="str">
        <f t="shared" si="164"/>
        <v>2025/26</v>
      </c>
      <c r="L355" s="331" t="str">
        <f t="shared" si="164"/>
        <v>2026/27</v>
      </c>
      <c r="M355" s="331" t="str">
        <f t="shared" si="164"/>
        <v>2027/28</v>
      </c>
      <c r="N355" s="331" t="str">
        <f t="shared" si="164"/>
        <v>2028/29</v>
      </c>
    </row>
    <row r="356" spans="1:14">
      <c r="B356" s="149" t="str">
        <f t="shared" si="163"/>
        <v>20-24</v>
      </c>
      <c r="C356" s="447">
        <f t="shared" ref="C356:N356" si="165">C319+C263</f>
        <v>18555.414812731167</v>
      </c>
      <c r="D356" s="447">
        <f t="shared" si="165"/>
        <v>20471.716709961744</v>
      </c>
      <c r="E356" s="447">
        <f t="shared" si="165"/>
        <v>21733.318825184328</v>
      </c>
      <c r="F356" s="447">
        <f t="shared" si="165"/>
        <v>22692.902342535701</v>
      </c>
      <c r="G356" s="447">
        <f t="shared" si="165"/>
        <v>23319.256907799892</v>
      </c>
      <c r="H356" s="447">
        <f t="shared" si="165"/>
        <v>23694.579052477966</v>
      </c>
      <c r="I356" s="447">
        <f t="shared" si="165"/>
        <v>23882.686008180335</v>
      </c>
      <c r="J356" s="447">
        <f t="shared" si="165"/>
        <v>24170.502484729583</v>
      </c>
      <c r="K356" s="447">
        <f t="shared" si="165"/>
        <v>24500.762794261052</v>
      </c>
      <c r="L356" s="447">
        <f t="shared" si="165"/>
        <v>24768.34875971972</v>
      </c>
      <c r="M356" s="447">
        <f t="shared" si="165"/>
        <v>24931.673399517764</v>
      </c>
      <c r="N356" s="447">
        <f t="shared" si="165"/>
        <v>25013.826414019008</v>
      </c>
    </row>
    <row r="357" spans="1:14">
      <c r="B357" s="149" t="str">
        <f t="shared" si="163"/>
        <v>25-29</v>
      </c>
      <c r="C357" s="447">
        <f t="shared" ref="C357:N357" si="166">C320+C264</f>
        <v>35378.781682611392</v>
      </c>
      <c r="D357" s="447">
        <f t="shared" si="166"/>
        <v>34513.004712090005</v>
      </c>
      <c r="E357" s="447">
        <f t="shared" si="166"/>
        <v>34114.417713141156</v>
      </c>
      <c r="F357" s="447">
        <f t="shared" si="166"/>
        <v>34074.14607824928</v>
      </c>
      <c r="G357" s="447">
        <f t="shared" si="166"/>
        <v>34171.262250421976</v>
      </c>
      <c r="H357" s="447">
        <f t="shared" si="166"/>
        <v>34298.408467357331</v>
      </c>
      <c r="I357" s="447">
        <f t="shared" si="166"/>
        <v>34396.411274296064</v>
      </c>
      <c r="J357" s="447">
        <f t="shared" si="166"/>
        <v>34618.329125937082</v>
      </c>
      <c r="K357" s="447">
        <f t="shared" si="166"/>
        <v>34925.814913031645</v>
      </c>
      <c r="L357" s="447">
        <f t="shared" si="166"/>
        <v>35231.766433309858</v>
      </c>
      <c r="M357" s="447">
        <f t="shared" si="166"/>
        <v>35479.922842104119</v>
      </c>
      <c r="N357" s="447">
        <f t="shared" si="166"/>
        <v>35662.467012500761</v>
      </c>
    </row>
    <row r="358" spans="1:14">
      <c r="B358" s="149" t="str">
        <f t="shared" si="163"/>
        <v>30-34</v>
      </c>
      <c r="C358" s="447">
        <f t="shared" ref="C358:N358" si="167">C321+C265</f>
        <v>34076.634484688533</v>
      </c>
      <c r="D358" s="447">
        <f t="shared" si="167"/>
        <v>34000.776178290798</v>
      </c>
      <c r="E358" s="447">
        <f t="shared" si="167"/>
        <v>33707.083530004871</v>
      </c>
      <c r="F358" s="447">
        <f t="shared" si="167"/>
        <v>33409.398720447134</v>
      </c>
      <c r="G358" s="447">
        <f t="shared" si="167"/>
        <v>33162.2745753282</v>
      </c>
      <c r="H358" s="447">
        <f t="shared" si="167"/>
        <v>32972.985900442662</v>
      </c>
      <c r="I358" s="447">
        <f t="shared" si="167"/>
        <v>32828.949374652067</v>
      </c>
      <c r="J358" s="447">
        <f t="shared" si="167"/>
        <v>32795.899807773014</v>
      </c>
      <c r="K358" s="447">
        <f t="shared" si="167"/>
        <v>32856.315169639965</v>
      </c>
      <c r="L358" s="447">
        <f t="shared" si="167"/>
        <v>32967.601097608589</v>
      </c>
      <c r="M358" s="447">
        <f t="shared" si="167"/>
        <v>33094.718412377406</v>
      </c>
      <c r="N358" s="447">
        <f t="shared" si="167"/>
        <v>33220.581673675209</v>
      </c>
    </row>
    <row r="359" spans="1:14">
      <c r="B359" s="149" t="str">
        <f t="shared" si="163"/>
        <v>35-39</v>
      </c>
      <c r="C359" s="447">
        <f t="shared" ref="C359:N359" si="168">C322+C266</f>
        <v>31293.861049917195</v>
      </c>
      <c r="D359" s="447">
        <f t="shared" si="168"/>
        <v>31410.886637687054</v>
      </c>
      <c r="E359" s="447">
        <f t="shared" si="168"/>
        <v>31414.535352403112</v>
      </c>
      <c r="F359" s="447">
        <f t="shared" si="168"/>
        <v>31352.686493011151</v>
      </c>
      <c r="G359" s="447">
        <f t="shared" si="168"/>
        <v>31234.325949863902</v>
      </c>
      <c r="H359" s="447">
        <f t="shared" si="168"/>
        <v>31080.22357475114</v>
      </c>
      <c r="I359" s="447">
        <f t="shared" si="168"/>
        <v>30908.396343459292</v>
      </c>
      <c r="J359" s="447">
        <f t="shared" si="168"/>
        <v>30800.708675948226</v>
      </c>
      <c r="K359" s="447">
        <f t="shared" si="168"/>
        <v>30751.95348950597</v>
      </c>
      <c r="L359" s="447">
        <f t="shared" si="168"/>
        <v>30736.250569357038</v>
      </c>
      <c r="M359" s="447">
        <f t="shared" si="168"/>
        <v>30736.721717986904</v>
      </c>
      <c r="N359" s="447">
        <f t="shared" si="168"/>
        <v>30750.10612493804</v>
      </c>
    </row>
    <row r="360" spans="1:14">
      <c r="B360" s="149" t="str">
        <f t="shared" si="163"/>
        <v>40-44</v>
      </c>
      <c r="C360" s="447">
        <f t="shared" ref="C360:N360" si="169">C323+C267</f>
        <v>29170.717598227093</v>
      </c>
      <c r="D360" s="447">
        <f t="shared" si="169"/>
        <v>29389.869393805366</v>
      </c>
      <c r="E360" s="447">
        <f t="shared" si="169"/>
        <v>29512.196162367498</v>
      </c>
      <c r="F360" s="447">
        <f t="shared" si="169"/>
        <v>29595.956201607729</v>
      </c>
      <c r="G360" s="447">
        <f t="shared" si="169"/>
        <v>29629.050866912559</v>
      </c>
      <c r="H360" s="447">
        <f t="shared" si="169"/>
        <v>29610.924631490456</v>
      </c>
      <c r="I360" s="447">
        <f t="shared" si="169"/>
        <v>29546.359146669198</v>
      </c>
      <c r="J360" s="447">
        <f t="shared" si="169"/>
        <v>29509.670063141952</v>
      </c>
      <c r="K360" s="447">
        <f t="shared" si="169"/>
        <v>29497.289051535296</v>
      </c>
      <c r="L360" s="447">
        <f t="shared" si="169"/>
        <v>29487.705528369654</v>
      </c>
      <c r="M360" s="447">
        <f t="shared" si="169"/>
        <v>29469.707818961338</v>
      </c>
      <c r="N360" s="447">
        <f t="shared" si="169"/>
        <v>29446.698888887538</v>
      </c>
    </row>
    <row r="361" spans="1:14">
      <c r="B361" s="149" t="str">
        <f t="shared" si="163"/>
        <v>45-49</v>
      </c>
      <c r="C361" s="447">
        <f t="shared" ref="C361:N361" si="170">C324+C268</f>
        <v>24984.629417994962</v>
      </c>
      <c r="D361" s="447">
        <f t="shared" si="170"/>
        <v>25262.102999010051</v>
      </c>
      <c r="E361" s="447">
        <f t="shared" si="170"/>
        <v>25454.216495126191</v>
      </c>
      <c r="F361" s="447">
        <f t="shared" si="170"/>
        <v>25607.286966476368</v>
      </c>
      <c r="G361" s="447">
        <f t="shared" si="170"/>
        <v>25722.127946862711</v>
      </c>
      <c r="H361" s="447">
        <f t="shared" si="170"/>
        <v>25797.074088956386</v>
      </c>
      <c r="I361" s="447">
        <f t="shared" si="170"/>
        <v>25831.814192243619</v>
      </c>
      <c r="J361" s="447">
        <f t="shared" si="170"/>
        <v>25877.477304953973</v>
      </c>
      <c r="K361" s="447">
        <f t="shared" si="170"/>
        <v>25930.195036162426</v>
      </c>
      <c r="L361" s="447">
        <f t="shared" si="170"/>
        <v>25973.065511558038</v>
      </c>
      <c r="M361" s="447">
        <f t="shared" si="170"/>
        <v>25996.802500953632</v>
      </c>
      <c r="N361" s="447">
        <f t="shared" si="170"/>
        <v>26003.603906413955</v>
      </c>
    </row>
    <row r="362" spans="1:14">
      <c r="B362" s="149" t="str">
        <f t="shared" si="163"/>
        <v>50-54</v>
      </c>
      <c r="C362" s="447">
        <f t="shared" ref="C362:N362" si="171">C325+C269</f>
        <v>19654.054768368849</v>
      </c>
      <c r="D362" s="447">
        <f t="shared" si="171"/>
        <v>19536.998593129316</v>
      </c>
      <c r="E362" s="447">
        <f t="shared" si="171"/>
        <v>19461.63453672389</v>
      </c>
      <c r="F362" s="447">
        <f t="shared" si="171"/>
        <v>19429.461545324837</v>
      </c>
      <c r="G362" s="447">
        <f t="shared" si="171"/>
        <v>19425.50073533618</v>
      </c>
      <c r="H362" s="447">
        <f t="shared" si="171"/>
        <v>19433.285118393305</v>
      </c>
      <c r="I362" s="447">
        <f t="shared" si="171"/>
        <v>19441.383945564703</v>
      </c>
      <c r="J362" s="447">
        <f t="shared" si="171"/>
        <v>19473.876825611806</v>
      </c>
      <c r="K362" s="447">
        <f t="shared" si="171"/>
        <v>19521.878969029203</v>
      </c>
      <c r="L362" s="447">
        <f t="shared" si="171"/>
        <v>19569.760555235713</v>
      </c>
      <c r="M362" s="447">
        <f t="shared" si="171"/>
        <v>19607.848498330801</v>
      </c>
      <c r="N362" s="447">
        <f t="shared" si="171"/>
        <v>19634.653025730047</v>
      </c>
    </row>
    <row r="363" spans="1:14">
      <c r="B363" s="149" t="str">
        <f t="shared" si="163"/>
        <v>55-59</v>
      </c>
      <c r="C363" s="447">
        <f t="shared" ref="C363:N363" si="172">C326+C270</f>
        <v>11406.724456540454</v>
      </c>
      <c r="D363" s="447">
        <f t="shared" si="172"/>
        <v>10785.152034103477</v>
      </c>
      <c r="E363" s="447">
        <f t="shared" si="172"/>
        <v>10359.207217043815</v>
      </c>
      <c r="F363" s="447">
        <f t="shared" si="172"/>
        <v>10078.488918687182</v>
      </c>
      <c r="G363" s="447">
        <f t="shared" si="172"/>
        <v>9893.1002589410291</v>
      </c>
      <c r="H363" s="447">
        <f t="shared" si="172"/>
        <v>9770.7425066061369</v>
      </c>
      <c r="I363" s="447">
        <f t="shared" si="172"/>
        <v>9689.0439008748453</v>
      </c>
      <c r="J363" s="447">
        <f t="shared" si="172"/>
        <v>9651.4021856316522</v>
      </c>
      <c r="K363" s="447">
        <f t="shared" si="172"/>
        <v>9642.7915889831456</v>
      </c>
      <c r="L363" s="447">
        <f t="shared" si="172"/>
        <v>9647.3451719351033</v>
      </c>
      <c r="M363" s="447">
        <f t="shared" si="172"/>
        <v>9655.3940707893707</v>
      </c>
      <c r="N363" s="447">
        <f t="shared" si="172"/>
        <v>9663.5910072007591</v>
      </c>
    </row>
    <row r="364" spans="1:14">
      <c r="B364" s="149" t="str">
        <f t="shared" si="163"/>
        <v>60-64</v>
      </c>
      <c r="C364" s="447">
        <f t="shared" ref="C364:N364" si="173">C327+C271</f>
        <v>4328.038209577885</v>
      </c>
      <c r="D364" s="447">
        <f t="shared" si="173"/>
        <v>4027.4839974306205</v>
      </c>
      <c r="E364" s="447">
        <f t="shared" si="173"/>
        <v>3782.0157057939341</v>
      </c>
      <c r="F364" s="447">
        <f t="shared" si="173"/>
        <v>3598.5371858538915</v>
      </c>
      <c r="G364" s="447">
        <f t="shared" si="173"/>
        <v>3463.9016377931803</v>
      </c>
      <c r="H364" s="447">
        <f t="shared" si="173"/>
        <v>3366.6777603603791</v>
      </c>
      <c r="I364" s="447">
        <f t="shared" si="173"/>
        <v>3296.8882447083893</v>
      </c>
      <c r="J364" s="447">
        <f t="shared" si="173"/>
        <v>3255.8419331512637</v>
      </c>
      <c r="K364" s="447">
        <f t="shared" si="173"/>
        <v>3234.3805098271328</v>
      </c>
      <c r="L364" s="447">
        <f t="shared" si="173"/>
        <v>3223.2701686747146</v>
      </c>
      <c r="M364" s="447">
        <f t="shared" si="173"/>
        <v>3216.9528250110484</v>
      </c>
      <c r="N364" s="447">
        <f t="shared" si="173"/>
        <v>3213.3401492864509</v>
      </c>
    </row>
    <row r="365" spans="1:14">
      <c r="B365" s="149" t="str">
        <f t="shared" si="163"/>
        <v>65 plus</v>
      </c>
      <c r="C365" s="447">
        <f t="shared" ref="C365:N365" si="174">C328+C272</f>
        <v>1183.5654555022013</v>
      </c>
      <c r="D365" s="447">
        <f t="shared" si="174"/>
        <v>1364.6919023808991</v>
      </c>
      <c r="E365" s="447">
        <f t="shared" si="174"/>
        <v>1437.1397470571576</v>
      </c>
      <c r="F365" s="447">
        <f t="shared" si="174"/>
        <v>1450.4891075990081</v>
      </c>
      <c r="G365" s="447">
        <f t="shared" si="174"/>
        <v>1435.1956619514119</v>
      </c>
      <c r="H365" s="447">
        <f t="shared" si="174"/>
        <v>1407.9483075178111</v>
      </c>
      <c r="I365" s="447">
        <f t="shared" si="174"/>
        <v>1377.8230266829157</v>
      </c>
      <c r="J365" s="447">
        <f t="shared" si="174"/>
        <v>1351.8411199907739</v>
      </c>
      <c r="K365" s="447">
        <f t="shared" si="174"/>
        <v>1331.7452337337718</v>
      </c>
      <c r="L365" s="447">
        <f t="shared" si="174"/>
        <v>1316.7931727011505</v>
      </c>
      <c r="M365" s="447">
        <f t="shared" si="174"/>
        <v>1305.7254655281315</v>
      </c>
      <c r="N365" s="447">
        <f t="shared" si="174"/>
        <v>1297.6238554195947</v>
      </c>
    </row>
    <row r="366" spans="1:14">
      <c r="B366" s="149" t="str">
        <f t="shared" si="163"/>
        <v>Total</v>
      </c>
      <c r="C366" s="447">
        <f t="shared" ref="C366:N366" si="175">SUM(C356:C365)</f>
        <v>210032.42193615972</v>
      </c>
      <c r="D366" s="447">
        <f t="shared" si="175"/>
        <v>210762.68315788938</v>
      </c>
      <c r="E366" s="447">
        <f t="shared" si="175"/>
        <v>210975.76528484595</v>
      </c>
      <c r="F366" s="447">
        <f t="shared" si="175"/>
        <v>211289.35355979227</v>
      </c>
      <c r="G366" s="447">
        <f t="shared" si="175"/>
        <v>211455.99679121104</v>
      </c>
      <c r="H366" s="447">
        <f t="shared" si="175"/>
        <v>211432.84940835356</v>
      </c>
      <c r="I366" s="447">
        <f t="shared" si="175"/>
        <v>211199.75545733143</v>
      </c>
      <c r="J366" s="447">
        <f t="shared" si="175"/>
        <v>211505.54952686935</v>
      </c>
      <c r="K366" s="447">
        <f t="shared" si="175"/>
        <v>212193.12675570961</v>
      </c>
      <c r="L366" s="447">
        <f t="shared" si="175"/>
        <v>212921.90696846956</v>
      </c>
      <c r="M366" s="447">
        <f t="shared" si="175"/>
        <v>213495.46755156052</v>
      </c>
      <c r="N366" s="447">
        <f t="shared" si="175"/>
        <v>213906.4920580714</v>
      </c>
    </row>
    <row r="367" spans="1:14">
      <c r="A367" s="10">
        <f>SUM(C367:N367)</f>
        <v>0</v>
      </c>
      <c r="C367" s="10">
        <f t="shared" ref="C367:N367" si="176">SUM(C356:C365)-C366</f>
        <v>0</v>
      </c>
      <c r="D367" s="10">
        <f t="shared" si="176"/>
        <v>0</v>
      </c>
      <c r="E367" s="10">
        <f t="shared" si="176"/>
        <v>0</v>
      </c>
      <c r="F367" s="10">
        <f t="shared" si="176"/>
        <v>0</v>
      </c>
      <c r="G367" s="10">
        <f t="shared" si="176"/>
        <v>0</v>
      </c>
      <c r="H367" s="10">
        <f t="shared" si="176"/>
        <v>0</v>
      </c>
      <c r="I367" s="10">
        <f t="shared" si="176"/>
        <v>0</v>
      </c>
      <c r="J367" s="10">
        <f t="shared" si="176"/>
        <v>0</v>
      </c>
      <c r="K367" s="10">
        <f t="shared" si="176"/>
        <v>0</v>
      </c>
      <c r="L367" s="10">
        <f t="shared" si="176"/>
        <v>0</v>
      </c>
      <c r="M367" s="10">
        <f t="shared" si="176"/>
        <v>0</v>
      </c>
      <c r="N367" s="10">
        <f t="shared" si="176"/>
        <v>0</v>
      </c>
    </row>
    <row r="368" spans="1:14">
      <c r="C368" s="322">
        <f>C350+C366</f>
        <v>243605.32104784099</v>
      </c>
      <c r="D368" s="322">
        <f t="shared" ref="D368:N368" si="177">D350+D366</f>
        <v>244269.75425517993</v>
      </c>
      <c r="E368" s="322">
        <f t="shared" si="177"/>
        <v>244274.82192656252</v>
      </c>
      <c r="F368" s="322">
        <f t="shared" si="177"/>
        <v>244504.52764222643</v>
      </c>
      <c r="G368" s="322">
        <f t="shared" si="177"/>
        <v>244565.62003293991</v>
      </c>
      <c r="H368" s="322">
        <f t="shared" si="177"/>
        <v>244409.39158641122</v>
      </c>
      <c r="I368" s="322">
        <f t="shared" si="177"/>
        <v>244013.68182205906</v>
      </c>
      <c r="J368" s="322">
        <f t="shared" si="177"/>
        <v>244249.37361793657</v>
      </c>
      <c r="K368" s="322">
        <f t="shared" si="177"/>
        <v>244933.35980853779</v>
      </c>
      <c r="L368" s="322">
        <f t="shared" si="177"/>
        <v>245669.86163246431</v>
      </c>
      <c r="M368" s="322">
        <f t="shared" si="177"/>
        <v>246231.24083518199</v>
      </c>
      <c r="N368" s="322">
        <f t="shared" si="177"/>
        <v>246609.75140378295</v>
      </c>
    </row>
    <row r="369" spans="1:14">
      <c r="C369" s="322">
        <f t="shared" ref="C369:N369" si="178">C36</f>
        <v>243605.32104784102</v>
      </c>
      <c r="D369" s="322">
        <f t="shared" si="178"/>
        <v>244269.7542551799</v>
      </c>
      <c r="E369" s="322">
        <f t="shared" si="178"/>
        <v>244274.82192656255</v>
      </c>
      <c r="F369" s="322">
        <f t="shared" si="178"/>
        <v>244504.52764222646</v>
      </c>
      <c r="G369" s="322">
        <f t="shared" si="178"/>
        <v>244565.62003293994</v>
      </c>
      <c r="H369" s="322">
        <f t="shared" si="178"/>
        <v>244409.39158641128</v>
      </c>
      <c r="I369" s="322">
        <f t="shared" si="178"/>
        <v>244013.68182205909</v>
      </c>
      <c r="J369" s="322">
        <f t="shared" si="178"/>
        <v>244249.37361793657</v>
      </c>
      <c r="K369" s="322">
        <f t="shared" si="178"/>
        <v>244933.35980853782</v>
      </c>
      <c r="L369" s="322">
        <f t="shared" si="178"/>
        <v>245669.86163246437</v>
      </c>
      <c r="M369" s="322">
        <f t="shared" si="178"/>
        <v>246231.24083518205</v>
      </c>
      <c r="N369" s="322">
        <f t="shared" si="178"/>
        <v>246609.75140378298</v>
      </c>
    </row>
    <row r="370" spans="1:14">
      <c r="A370" s="10">
        <f>SUM(C370:L370)</f>
        <v>0</v>
      </c>
      <c r="C370" s="188">
        <f>C368-C369</f>
        <v>0</v>
      </c>
      <c r="D370" s="188">
        <f t="shared" ref="D370:N370" si="179">D368-D369</f>
        <v>0</v>
      </c>
      <c r="E370" s="188">
        <f t="shared" si="179"/>
        <v>0</v>
      </c>
      <c r="F370" s="188">
        <f t="shared" si="179"/>
        <v>0</v>
      </c>
      <c r="G370" s="188">
        <f t="shared" si="179"/>
        <v>0</v>
      </c>
      <c r="H370" s="188">
        <f t="shared" si="179"/>
        <v>0</v>
      </c>
      <c r="I370" s="188">
        <f t="shared" si="179"/>
        <v>0</v>
      </c>
      <c r="J370" s="188">
        <f t="shared" si="179"/>
        <v>0</v>
      </c>
      <c r="K370" s="188">
        <f t="shared" si="179"/>
        <v>0</v>
      </c>
      <c r="L370" s="188">
        <f t="shared" si="179"/>
        <v>0</v>
      </c>
      <c r="M370" s="188">
        <f t="shared" si="179"/>
        <v>0</v>
      </c>
      <c r="N370" s="188">
        <f t="shared" si="179"/>
        <v>0</v>
      </c>
    </row>
    <row r="371" spans="1:14">
      <c r="A371" s="10">
        <f>SUM(C371:N371)</f>
        <v>0</v>
      </c>
      <c r="C371" s="188">
        <f>IF(C294&gt;0,0,C294)</f>
        <v>0</v>
      </c>
      <c r="D371" s="188">
        <f>IF(D294&gt;0,0,D294)</f>
        <v>0</v>
      </c>
      <c r="E371" s="188">
        <f t="shared" ref="E371:N371" si="180">IF(E294&gt;0,0,E294)</f>
        <v>0</v>
      </c>
      <c r="F371" s="188">
        <f t="shared" si="180"/>
        <v>0</v>
      </c>
      <c r="G371" s="188">
        <f t="shared" si="180"/>
        <v>0</v>
      </c>
      <c r="H371" s="188">
        <f t="shared" si="180"/>
        <v>0</v>
      </c>
      <c r="I371" s="188">
        <f t="shared" si="180"/>
        <v>0</v>
      </c>
      <c r="J371" s="188">
        <f t="shared" si="180"/>
        <v>0</v>
      </c>
      <c r="K371" s="188">
        <f t="shared" si="180"/>
        <v>0</v>
      </c>
      <c r="L371" s="188">
        <f t="shared" si="180"/>
        <v>0</v>
      </c>
      <c r="M371" s="188">
        <f t="shared" si="180"/>
        <v>0</v>
      </c>
      <c r="N371" s="188">
        <f t="shared" si="180"/>
        <v>0</v>
      </c>
    </row>
    <row r="372" spans="1:14">
      <c r="C372" s="263"/>
      <c r="D372" s="262"/>
    </row>
    <row r="373" spans="1:14">
      <c r="D373" s="262"/>
    </row>
    <row r="374" spans="1:14">
      <c r="C374" s="265"/>
    </row>
    <row r="375" spans="1:14">
      <c r="C375" s="265"/>
    </row>
    <row r="376" spans="1:14">
      <c r="C376" s="264"/>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371"/>
  <sheetViews>
    <sheetView showGridLines="0" workbookViewId="0"/>
  </sheetViews>
  <sheetFormatPr defaultColWidth="9.140625" defaultRowHeight="12.75"/>
  <cols>
    <col min="1" max="1" width="9.140625" style="302"/>
    <col min="2" max="2" width="28.7109375" style="302" customWidth="1"/>
    <col min="3" max="15" width="10.7109375" style="302" customWidth="1"/>
    <col min="16"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561</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Forecast_stock_figures!B16</f>
        <v>Art &amp; Design</v>
      </c>
      <c r="C15" s="300">
        <f>Forecast_stock_figures!C40</f>
        <v>8191.2871438966231</v>
      </c>
      <c r="D15" s="300">
        <f>Forecast_stock_figures!D40</f>
        <v>8089.5540643163376</v>
      </c>
      <c r="E15" s="300">
        <f>Forecast_stock_figures!E40</f>
        <v>8060.7474464650004</v>
      </c>
      <c r="F15" s="300">
        <f>Forecast_stock_figures!F40</f>
        <v>8082.7517622230034</v>
      </c>
      <c r="G15" s="300">
        <f>Forecast_stock_figures!G40</f>
        <v>8093.4095363281858</v>
      </c>
      <c r="H15" s="300">
        <f>Forecast_stock_figures!H40</f>
        <v>8086.7132472732837</v>
      </c>
      <c r="I15" s="300">
        <f>Forecast_stock_figures!I40</f>
        <v>8060.4662653074993</v>
      </c>
      <c r="J15" s="300">
        <f>Forecast_stock_figures!J40</f>
        <v>8086.1586698513274</v>
      </c>
      <c r="K15" s="300">
        <f>Forecast_stock_figures!K40</f>
        <v>8141.5369499916969</v>
      </c>
      <c r="L15" s="300">
        <f>Forecast_stock_figures!L40</f>
        <v>8146.953482534841</v>
      </c>
      <c r="M15" s="300">
        <f>Forecast_stock_figures!M40</f>
        <v>8125.0765131323897</v>
      </c>
      <c r="N15" s="300">
        <f>Forecast_stock_figures!N40</f>
        <v>8125.0341687719756</v>
      </c>
    </row>
    <row r="17" spans="1:9" ht="15.75">
      <c r="B17" s="333" t="s">
        <v>162</v>
      </c>
    </row>
    <row r="19" spans="1:9">
      <c r="B19" s="1327" t="str">
        <f>Stock_ages_breakdowns!B73</f>
        <v>Age group</v>
      </c>
      <c r="C19" s="1328" t="str">
        <f>Stock_ages_breakdowns!C73:D73</f>
        <v>Art &amp; Design</v>
      </c>
      <c r="D19" s="1329"/>
      <c r="H19" s="318" t="s">
        <v>133</v>
      </c>
    </row>
    <row r="20" spans="1:9">
      <c r="B20" s="1327"/>
      <c r="C20" s="356" t="str">
        <f>Stock_ages_breakdowns!C74:D74</f>
        <v>Male</v>
      </c>
      <c r="D20" s="356" t="str">
        <f>Stock_ages_breakdowns!D74:E74</f>
        <v>Female</v>
      </c>
    </row>
    <row r="21" spans="1:9">
      <c r="B21" s="356" t="str">
        <f>Stock_ages_breakdowns!B75</f>
        <v>20-24</v>
      </c>
      <c r="C21" s="324">
        <f>Stock_ages_breakdowns!C20</f>
        <v>12.876218922468533</v>
      </c>
      <c r="D21" s="324">
        <f>Stock_ages_breakdowns!D20</f>
        <v>147.11060099923219</v>
      </c>
    </row>
    <row r="22" spans="1:9">
      <c r="B22" s="356" t="str">
        <f>Stock_ages_breakdowns!B76</f>
        <v>25-29</v>
      </c>
      <c r="C22" s="324">
        <f>Stock_ages_breakdowns!C21</f>
        <v>125.46405945559843</v>
      </c>
      <c r="D22" s="324">
        <f>Stock_ages_breakdowns!D21</f>
        <v>725.98692724102784</v>
      </c>
    </row>
    <row r="23" spans="1:9">
      <c r="B23" s="356" t="str">
        <f>Stock_ages_breakdowns!B77</f>
        <v>30-34</v>
      </c>
      <c r="C23" s="324">
        <f>Stock_ages_breakdowns!C22</f>
        <v>256.2621806834166</v>
      </c>
      <c r="D23" s="324">
        <f>Stock_ages_breakdowns!D22</f>
        <v>1131.5437815052085</v>
      </c>
    </row>
    <row r="24" spans="1:9">
      <c r="B24" s="356" t="str">
        <f>Stock_ages_breakdowns!B78</f>
        <v>35-39</v>
      </c>
      <c r="C24" s="324">
        <f>Stock_ages_breakdowns!C23</f>
        <v>297.68548944332315</v>
      </c>
      <c r="D24" s="324">
        <f>Stock_ages_breakdowns!D23</f>
        <v>1224.2327389398718</v>
      </c>
    </row>
    <row r="25" spans="1:9">
      <c r="B25" s="356" t="str">
        <f>Stock_ages_breakdowns!B79</f>
        <v>40-44</v>
      </c>
      <c r="C25" s="324">
        <f>Stock_ages_breakdowns!C24</f>
        <v>348.9641504661825</v>
      </c>
      <c r="D25" s="324">
        <f>Stock_ages_breakdowns!D24</f>
        <v>1123.1788435749327</v>
      </c>
    </row>
    <row r="26" spans="1:9">
      <c r="B26" s="356" t="str">
        <f>Stock_ages_breakdowns!B80</f>
        <v>45-49</v>
      </c>
      <c r="C26" s="324">
        <f>Stock_ages_breakdowns!C25</f>
        <v>286.79515503128511</v>
      </c>
      <c r="D26" s="324">
        <f>Stock_ages_breakdowns!D25</f>
        <v>884.20506877062644</v>
      </c>
    </row>
    <row r="27" spans="1:9">
      <c r="B27" s="356" t="str">
        <f>Stock_ages_breakdowns!B81</f>
        <v>50-54</v>
      </c>
      <c r="C27" s="324">
        <f>Stock_ages_breakdowns!C26</f>
        <v>264.60810056646568</v>
      </c>
      <c r="D27" s="324">
        <f>Stock_ages_breakdowns!D26</f>
        <v>685.06109055858292</v>
      </c>
    </row>
    <row r="28" spans="1:9">
      <c r="B28" s="356" t="str">
        <f>Stock_ages_breakdowns!B82</f>
        <v>55-59</v>
      </c>
      <c r="C28" s="324">
        <f>Stock_ages_breakdowns!C27</f>
        <v>171.82105004610565</v>
      </c>
      <c r="D28" s="324">
        <f>Stock_ages_breakdowns!D27</f>
        <v>304.03751721710933</v>
      </c>
    </row>
    <row r="29" spans="1:9">
      <c r="B29" s="356" t="str">
        <f>Stock_ages_breakdowns!B83</f>
        <v>60-64</v>
      </c>
      <c r="C29" s="324">
        <f>Stock_ages_breakdowns!C28</f>
        <v>53.994237976890552</v>
      </c>
      <c r="D29" s="324">
        <f>Stock_ages_breakdowns!D28</f>
        <v>122.40015195235868</v>
      </c>
      <c r="F29" s="318"/>
    </row>
    <row r="30" spans="1:9">
      <c r="B30" s="356" t="str">
        <f>Stock_ages_breakdowns!B84</f>
        <v>65 plus</v>
      </c>
      <c r="C30" s="324">
        <f>Stock_ages_breakdowns!C29</f>
        <v>12.586944414648771</v>
      </c>
      <c r="D30" s="324">
        <f>Stock_ages_breakdowns!D29</f>
        <v>12.472836131287345</v>
      </c>
      <c r="G30" s="319" t="s">
        <v>46</v>
      </c>
      <c r="H30" s="319" t="s">
        <v>47</v>
      </c>
    </row>
    <row r="31" spans="1:9">
      <c r="A31" s="302">
        <f>I31</f>
        <v>0</v>
      </c>
      <c r="B31" s="356" t="str">
        <f>Stock_ages_breakdowns!B85</f>
        <v>Total</v>
      </c>
      <c r="C31" s="324">
        <f>Stock_ages_breakdowns!C30</f>
        <v>1831.0575870063851</v>
      </c>
      <c r="D31" s="324">
        <f>Stock_ages_breakdowns!D30</f>
        <v>6360.2295568902382</v>
      </c>
      <c r="E31" s="320">
        <f>SUM(C31:D31)</f>
        <v>8191.2871438966231</v>
      </c>
      <c r="G31" s="359">
        <f>C31/$E$31</f>
        <v>0.22353722374031498</v>
      </c>
      <c r="H31" s="359">
        <f>D31/$E$31</f>
        <v>0.77646277625968507</v>
      </c>
      <c r="I31" s="302">
        <f>(G31+H31)-1</f>
        <v>0</v>
      </c>
    </row>
    <row r="32" spans="1:9">
      <c r="B32" s="320"/>
      <c r="C32" s="320"/>
      <c r="D32" s="320"/>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Art &amp; Design</v>
      </c>
      <c r="C36" s="300">
        <f>Teacher_need_by_subject!C623</f>
        <v>8089.5540643163376</v>
      </c>
      <c r="D36" s="300">
        <f>Teacher_need_by_subject!D623</f>
        <v>8060.7474464650004</v>
      </c>
      <c r="E36" s="300">
        <f>Teacher_need_by_subject!E623</f>
        <v>8082.7517622230034</v>
      </c>
      <c r="F36" s="300">
        <f>Teacher_need_by_subject!F623</f>
        <v>8093.4095363281858</v>
      </c>
      <c r="G36" s="300">
        <f>Teacher_need_by_subject!G623</f>
        <v>8086.7132472732837</v>
      </c>
      <c r="H36" s="300">
        <f>Teacher_need_by_subject!H623</f>
        <v>8060.4662653074993</v>
      </c>
      <c r="I36" s="300">
        <f>Teacher_need_by_subject!I623</f>
        <v>8086.1586698513274</v>
      </c>
      <c r="J36" s="300">
        <f>Teacher_need_by_subject!J623</f>
        <v>8141.5369499916969</v>
      </c>
      <c r="K36" s="300">
        <f>Teacher_need_by_subject!K623</f>
        <v>8146.953482534841</v>
      </c>
      <c r="L36" s="300">
        <f>Teacher_need_by_subject!L623</f>
        <v>8125.0765131323897</v>
      </c>
      <c r="M36" s="300">
        <f>Teacher_need_by_subject!M623</f>
        <v>8125.0341687719756</v>
      </c>
      <c r="N36" s="300">
        <f>Teacher_need_by_subject!N623</f>
        <v>8132.6904640469102</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12.876218922468533</v>
      </c>
      <c r="D43" s="300">
        <f>C340</f>
        <v>54.049499179047309</v>
      </c>
      <c r="E43" s="300">
        <f t="shared" ref="E43:L43" si="2">D340</f>
        <v>86.802636743191101</v>
      </c>
      <c r="F43" s="300">
        <f t="shared" si="2"/>
        <v>113.27305636357345</v>
      </c>
      <c r="G43" s="300">
        <f t="shared" si="2"/>
        <v>131.87056708053251</v>
      </c>
      <c r="H43" s="300">
        <f t="shared" si="2"/>
        <v>144.05602076423332</v>
      </c>
      <c r="I43" s="300">
        <f t="shared" si="2"/>
        <v>151.45459936212183</v>
      </c>
      <c r="J43" s="300">
        <f t="shared" si="2"/>
        <v>159.43714404596656</v>
      </c>
      <c r="K43" s="300">
        <f t="shared" si="2"/>
        <v>166.85956602445521</v>
      </c>
      <c r="L43" s="300">
        <f t="shared" si="2"/>
        <v>169.48051262055162</v>
      </c>
      <c r="M43" s="300">
        <f t="shared" ref="M43:N53" si="3">L340</f>
        <v>169.68927809419066</v>
      </c>
      <c r="N43" s="300">
        <f t="shared" si="3"/>
        <v>170.8397021495575</v>
      </c>
    </row>
    <row r="44" spans="2:14">
      <c r="B44" s="356" t="str">
        <f t="shared" ref="B44:C53" si="4">B22</f>
        <v>25-29</v>
      </c>
      <c r="C44" s="300">
        <f t="shared" si="4"/>
        <v>125.46405945559843</v>
      </c>
      <c r="D44" s="300">
        <f t="shared" ref="D44:L53" si="5">C341</f>
        <v>138.98026969543898</v>
      </c>
      <c r="E44" s="300">
        <f t="shared" si="5"/>
        <v>160.34886527551117</v>
      </c>
      <c r="F44" s="300">
        <f t="shared" si="5"/>
        <v>185.03725713308467</v>
      </c>
      <c r="G44" s="300">
        <f t="shared" si="5"/>
        <v>207.78065827565956</v>
      </c>
      <c r="H44" s="300">
        <f t="shared" si="5"/>
        <v>226.70056698420208</v>
      </c>
      <c r="I44" s="300">
        <f t="shared" si="5"/>
        <v>241.41018228800388</v>
      </c>
      <c r="J44" s="300">
        <f t="shared" si="5"/>
        <v>256.23838754364147</v>
      </c>
      <c r="K44" s="300">
        <f t="shared" si="5"/>
        <v>270.26691546647794</v>
      </c>
      <c r="L44" s="300">
        <f t="shared" si="5"/>
        <v>279.1159040435914</v>
      </c>
      <c r="M44" s="300">
        <f t="shared" si="3"/>
        <v>284.33078911138898</v>
      </c>
      <c r="N44" s="300">
        <f t="shared" si="3"/>
        <v>289.17063104747837</v>
      </c>
    </row>
    <row r="45" spans="2:14">
      <c r="B45" s="356" t="str">
        <f t="shared" si="4"/>
        <v>30-34</v>
      </c>
      <c r="C45" s="300">
        <f t="shared" si="4"/>
        <v>256.2621806834166</v>
      </c>
      <c r="D45" s="300">
        <f t="shared" si="5"/>
        <v>236.48340248030254</v>
      </c>
      <c r="E45" s="300">
        <f t="shared" si="5"/>
        <v>226.70892876397127</v>
      </c>
      <c r="F45" s="300">
        <f t="shared" si="5"/>
        <v>224.71854827980982</v>
      </c>
      <c r="G45" s="300">
        <f t="shared" si="5"/>
        <v>228.01573635450637</v>
      </c>
      <c r="H45" s="300">
        <f t="shared" si="5"/>
        <v>234.23954294592878</v>
      </c>
      <c r="I45" s="300">
        <f t="shared" si="5"/>
        <v>241.7906850832872</v>
      </c>
      <c r="J45" s="300">
        <f t="shared" si="5"/>
        <v>251.55045034652471</v>
      </c>
      <c r="K45" s="300">
        <f t="shared" si="5"/>
        <v>262.48292309347596</v>
      </c>
      <c r="L45" s="300">
        <f t="shared" si="5"/>
        <v>271.90471278442629</v>
      </c>
      <c r="M45" s="300">
        <f t="shared" si="3"/>
        <v>279.72989575360765</v>
      </c>
      <c r="N45" s="300">
        <f t="shared" si="3"/>
        <v>287.02966875263019</v>
      </c>
    </row>
    <row r="46" spans="2:14">
      <c r="B46" s="356" t="str">
        <f t="shared" si="4"/>
        <v>35-39</v>
      </c>
      <c r="C46" s="300">
        <f t="shared" si="4"/>
        <v>297.68548944332315</v>
      </c>
      <c r="D46" s="300">
        <f t="shared" si="5"/>
        <v>285.6570891598015</v>
      </c>
      <c r="E46" s="300">
        <f t="shared" si="5"/>
        <v>275.1368841561885</v>
      </c>
      <c r="F46" s="300">
        <f t="shared" si="5"/>
        <v>266.18852491018345</v>
      </c>
      <c r="G46" s="300">
        <f t="shared" si="5"/>
        <v>259.44371498455843</v>
      </c>
      <c r="H46" s="300">
        <f t="shared" si="5"/>
        <v>254.69879843783764</v>
      </c>
      <c r="I46" s="300">
        <f t="shared" si="5"/>
        <v>251.88191728430687</v>
      </c>
      <c r="J46" s="300">
        <f t="shared" si="5"/>
        <v>252.23949114106563</v>
      </c>
      <c r="K46" s="300">
        <f t="shared" si="5"/>
        <v>255.00153686917957</v>
      </c>
      <c r="L46" s="300">
        <f t="shared" si="5"/>
        <v>258.10446298927917</v>
      </c>
      <c r="M46" s="300">
        <f t="shared" si="3"/>
        <v>261.54559084363171</v>
      </c>
      <c r="N46" s="300">
        <f t="shared" si="3"/>
        <v>265.93877302740668</v>
      </c>
    </row>
    <row r="47" spans="2:14">
      <c r="B47" s="356" t="str">
        <f t="shared" si="4"/>
        <v>40-44</v>
      </c>
      <c r="C47" s="300">
        <f t="shared" si="4"/>
        <v>348.9641504661825</v>
      </c>
      <c r="D47" s="300">
        <f t="shared" si="5"/>
        <v>326.31577628166411</v>
      </c>
      <c r="E47" s="300">
        <f t="shared" si="5"/>
        <v>309.5114081966131</v>
      </c>
      <c r="F47" s="300">
        <f t="shared" si="5"/>
        <v>295.49299354315843</v>
      </c>
      <c r="G47" s="300">
        <f t="shared" si="5"/>
        <v>283.88887661984688</v>
      </c>
      <c r="H47" s="300">
        <f t="shared" si="5"/>
        <v>273.79513293051747</v>
      </c>
      <c r="I47" s="300">
        <f t="shared" si="5"/>
        <v>265.09493745219254</v>
      </c>
      <c r="J47" s="300">
        <f t="shared" si="5"/>
        <v>259.0612893249496</v>
      </c>
      <c r="K47" s="300">
        <f t="shared" si="5"/>
        <v>255.26376799296972</v>
      </c>
      <c r="L47" s="300">
        <f t="shared" si="5"/>
        <v>252.12743508576574</v>
      </c>
      <c r="M47" s="300">
        <f t="shared" si="3"/>
        <v>249.85559436845062</v>
      </c>
      <c r="N47" s="300">
        <f t="shared" si="3"/>
        <v>249.14055230956399</v>
      </c>
    </row>
    <row r="48" spans="2:14">
      <c r="B48" s="356" t="str">
        <f t="shared" si="4"/>
        <v>45-49</v>
      </c>
      <c r="C48" s="300">
        <f t="shared" si="4"/>
        <v>286.79515503128511</v>
      </c>
      <c r="D48" s="300">
        <f t="shared" si="5"/>
        <v>284.94558275120153</v>
      </c>
      <c r="E48" s="300">
        <f t="shared" si="5"/>
        <v>281.30856595720155</v>
      </c>
      <c r="F48" s="300">
        <f t="shared" si="5"/>
        <v>275.64695581479424</v>
      </c>
      <c r="G48" s="300">
        <f t="shared" si="5"/>
        <v>269.34633271405863</v>
      </c>
      <c r="H48" s="300">
        <f t="shared" si="5"/>
        <v>262.37782563279745</v>
      </c>
      <c r="I48" s="300">
        <f t="shared" si="5"/>
        <v>255.12534349989139</v>
      </c>
      <c r="J48" s="300">
        <f t="shared" si="5"/>
        <v>248.95460250252751</v>
      </c>
      <c r="K48" s="300">
        <f t="shared" si="5"/>
        <v>243.80877131477271</v>
      </c>
      <c r="L48" s="300">
        <f t="shared" si="5"/>
        <v>238.66830341782469</v>
      </c>
      <c r="M48" s="300">
        <f t="shared" si="3"/>
        <v>233.90587555652144</v>
      </c>
      <c r="N48" s="300">
        <f t="shared" si="3"/>
        <v>230.26891143005076</v>
      </c>
    </row>
    <row r="49" spans="1:14">
      <c r="B49" s="356" t="str">
        <f t="shared" si="4"/>
        <v>50-54</v>
      </c>
      <c r="C49" s="300">
        <f t="shared" si="4"/>
        <v>264.60810056646568</v>
      </c>
      <c r="D49" s="300">
        <f t="shared" si="5"/>
        <v>246.79817021769844</v>
      </c>
      <c r="E49" s="300">
        <f t="shared" si="5"/>
        <v>235.35186423833568</v>
      </c>
      <c r="F49" s="300">
        <f t="shared" si="5"/>
        <v>226.53276558829532</v>
      </c>
      <c r="G49" s="300">
        <f t="shared" si="5"/>
        <v>219.62857870366867</v>
      </c>
      <c r="H49" s="300">
        <f t="shared" si="5"/>
        <v>213.43991029138945</v>
      </c>
      <c r="I49" s="300">
        <f t="shared" si="5"/>
        <v>207.58718923224447</v>
      </c>
      <c r="J49" s="300">
        <f t="shared" si="5"/>
        <v>202.68901900878902</v>
      </c>
      <c r="K49" s="300">
        <f t="shared" si="5"/>
        <v>198.47122358083706</v>
      </c>
      <c r="L49" s="300">
        <f t="shared" si="5"/>
        <v>194.06294612013716</v>
      </c>
      <c r="M49" s="300">
        <f t="shared" si="3"/>
        <v>189.70815157126086</v>
      </c>
      <c r="N49" s="300">
        <f t="shared" si="3"/>
        <v>185.97018434750731</v>
      </c>
    </row>
    <row r="50" spans="1:14">
      <c r="B50" s="356" t="str">
        <f t="shared" si="4"/>
        <v>55-59</v>
      </c>
      <c r="C50" s="300">
        <f t="shared" si="4"/>
        <v>171.82105004610565</v>
      </c>
      <c r="D50" s="300">
        <f t="shared" si="5"/>
        <v>148.87728198390772</v>
      </c>
      <c r="E50" s="300">
        <f t="shared" si="5"/>
        <v>133.1562300865873</v>
      </c>
      <c r="F50" s="300">
        <f t="shared" si="5"/>
        <v>122.12449827418611</v>
      </c>
      <c r="G50" s="300">
        <f t="shared" si="5"/>
        <v>114.27034659128405</v>
      </c>
      <c r="H50" s="300">
        <f t="shared" si="5"/>
        <v>108.383717109899</v>
      </c>
      <c r="I50" s="300">
        <f t="shared" si="5"/>
        <v>103.75609583146452</v>
      </c>
      <c r="J50" s="300">
        <f t="shared" si="5"/>
        <v>100.43460615273207</v>
      </c>
      <c r="K50" s="300">
        <f t="shared" si="5"/>
        <v>97.921918555349421</v>
      </c>
      <c r="L50" s="300">
        <f t="shared" si="5"/>
        <v>95.445194711923705</v>
      </c>
      <c r="M50" s="300">
        <f t="shared" si="3"/>
        <v>93.083036615467051</v>
      </c>
      <c r="N50" s="300">
        <f t="shared" si="3"/>
        <v>91.129711511560885</v>
      </c>
    </row>
    <row r="51" spans="1:14">
      <c r="B51" s="356" t="str">
        <f t="shared" si="4"/>
        <v>60-64</v>
      </c>
      <c r="C51" s="300">
        <f t="shared" si="4"/>
        <v>53.994237976890552</v>
      </c>
      <c r="D51" s="300">
        <f t="shared" si="5"/>
        <v>52.464838440885998</v>
      </c>
      <c r="E51" s="300">
        <f t="shared" si="5"/>
        <v>49.12305522048878</v>
      </c>
      <c r="F51" s="300">
        <f t="shared" si="5"/>
        <v>45.499114549638207</v>
      </c>
      <c r="G51" s="300">
        <f t="shared" si="5"/>
        <v>42.284753957365645</v>
      </c>
      <c r="H51" s="300">
        <f t="shared" si="5"/>
        <v>39.574630536253792</v>
      </c>
      <c r="I51" s="300">
        <f t="shared" si="5"/>
        <v>37.357184111663905</v>
      </c>
      <c r="J51" s="300">
        <f t="shared" si="5"/>
        <v>35.806688031741551</v>
      </c>
      <c r="K51" s="300">
        <f t="shared" si="5"/>
        <v>34.702810591807101</v>
      </c>
      <c r="L51" s="300">
        <f t="shared" si="5"/>
        <v>33.648783447887403</v>
      </c>
      <c r="M51" s="300">
        <f t="shared" si="3"/>
        <v>32.686902203721985</v>
      </c>
      <c r="N51" s="300">
        <f t="shared" si="3"/>
        <v>31.956066123068322</v>
      </c>
    </row>
    <row r="52" spans="1:14">
      <c r="B52" s="356" t="str">
        <f t="shared" si="4"/>
        <v>65 plus</v>
      </c>
      <c r="C52" s="300">
        <f t="shared" si="4"/>
        <v>12.586944414648771</v>
      </c>
      <c r="D52" s="300">
        <f t="shared" si="5"/>
        <v>14.912242571620897</v>
      </c>
      <c r="E52" s="300">
        <f t="shared" si="5"/>
        <v>16.279997654801868</v>
      </c>
      <c r="F52" s="300">
        <f t="shared" si="5"/>
        <v>16.685769023339493</v>
      </c>
      <c r="G52" s="300">
        <f t="shared" si="5"/>
        <v>16.535248929396108</v>
      </c>
      <c r="H52" s="300">
        <f t="shared" si="5"/>
        <v>16.039978103210391</v>
      </c>
      <c r="I52" s="300">
        <f t="shared" si="5"/>
        <v>15.392539775488313</v>
      </c>
      <c r="J52" s="300">
        <f t="shared" si="5"/>
        <v>14.789095653899555</v>
      </c>
      <c r="K52" s="300">
        <f t="shared" si="5"/>
        <v>14.273736663732544</v>
      </c>
      <c r="L52" s="300">
        <f t="shared" si="5"/>
        <v>13.780166504062386</v>
      </c>
      <c r="M52" s="300">
        <f t="shared" si="3"/>
        <v>13.324392980161411</v>
      </c>
      <c r="N52" s="300">
        <f t="shared" si="3"/>
        <v>12.953419766158571</v>
      </c>
    </row>
    <row r="53" spans="1:14">
      <c r="B53" s="356" t="str">
        <f t="shared" si="4"/>
        <v>Total</v>
      </c>
      <c r="C53" s="300">
        <f t="shared" si="4"/>
        <v>1831.0575870063851</v>
      </c>
      <c r="D53" s="300">
        <f t="shared" si="5"/>
        <v>1789.4841527615692</v>
      </c>
      <c r="E53" s="300">
        <f t="shared" si="5"/>
        <v>1773.7284362928904</v>
      </c>
      <c r="F53" s="300">
        <f t="shared" si="5"/>
        <v>1771.199483480063</v>
      </c>
      <c r="G53" s="300">
        <f t="shared" si="5"/>
        <v>1773.0648142108769</v>
      </c>
      <c r="H53" s="300">
        <f t="shared" si="5"/>
        <v>1773.3061237362695</v>
      </c>
      <c r="I53" s="300">
        <f t="shared" si="5"/>
        <v>1770.850673920665</v>
      </c>
      <c r="J53" s="300">
        <f t="shared" si="5"/>
        <v>1781.2007737518377</v>
      </c>
      <c r="K53" s="300">
        <f t="shared" si="5"/>
        <v>1799.053170153057</v>
      </c>
      <c r="L53" s="300">
        <f t="shared" si="5"/>
        <v>1806.3384217254497</v>
      </c>
      <c r="M53" s="300">
        <f t="shared" si="3"/>
        <v>1807.8595070984027</v>
      </c>
      <c r="N53" s="300">
        <f t="shared" si="3"/>
        <v>1814.3976204649823</v>
      </c>
    </row>
    <row r="54" spans="1:14">
      <c r="A54" s="302">
        <f>SUM(C54:N54)</f>
        <v>0</v>
      </c>
      <c r="C54" s="302">
        <f>SUM(C43:C52)-C53</f>
        <v>0</v>
      </c>
      <c r="D54" s="302">
        <f t="shared" ref="D54:N54" si="6">SUM(D43:D52)-D53</f>
        <v>0</v>
      </c>
      <c r="E54" s="302">
        <f t="shared" si="6"/>
        <v>0</v>
      </c>
      <c r="F54" s="302">
        <f t="shared" si="6"/>
        <v>0</v>
      </c>
      <c r="G54" s="302">
        <f t="shared" si="6"/>
        <v>0</v>
      </c>
      <c r="H54" s="302">
        <f t="shared" si="6"/>
        <v>0</v>
      </c>
      <c r="I54" s="302">
        <f t="shared" si="6"/>
        <v>0</v>
      </c>
      <c r="J54" s="302">
        <f t="shared" si="6"/>
        <v>0</v>
      </c>
      <c r="K54" s="302">
        <f t="shared" si="6"/>
        <v>0</v>
      </c>
      <c r="L54" s="302">
        <f t="shared" si="6"/>
        <v>0</v>
      </c>
      <c r="M54" s="302">
        <f t="shared" si="6"/>
        <v>0</v>
      </c>
      <c r="N54" s="302">
        <f t="shared" si="6"/>
        <v>0</v>
      </c>
    </row>
    <row r="56" spans="1:14">
      <c r="B56" s="334" t="s">
        <v>47</v>
      </c>
      <c r="H56" s="318"/>
    </row>
    <row r="57" spans="1:14">
      <c r="H57" s="318"/>
    </row>
    <row r="58" spans="1:14">
      <c r="B58" s="331" t="str">
        <f t="shared" ref="B58:B69" si="7">B42</f>
        <v>Age group</v>
      </c>
      <c r="C58" s="331" t="str">
        <f t="shared" ref="C58:N58" si="8">C42</f>
        <v>2017/18</v>
      </c>
      <c r="D58" s="331" t="str">
        <f t="shared" si="8"/>
        <v>2018/19</v>
      </c>
      <c r="E58" s="331" t="str">
        <f t="shared" si="8"/>
        <v>2019/20</v>
      </c>
      <c r="F58" s="331" t="str">
        <f t="shared" si="8"/>
        <v>2020/21</v>
      </c>
      <c r="G58" s="331" t="str">
        <f t="shared" si="8"/>
        <v>2021/22</v>
      </c>
      <c r="H58" s="331" t="str">
        <f t="shared" si="8"/>
        <v>2022/23</v>
      </c>
      <c r="I58" s="331" t="str">
        <f t="shared" si="8"/>
        <v>2023/24</v>
      </c>
      <c r="J58" s="331" t="str">
        <f t="shared" si="8"/>
        <v>2024/25</v>
      </c>
      <c r="K58" s="331" t="str">
        <f t="shared" si="8"/>
        <v>2025/26</v>
      </c>
      <c r="L58" s="331" t="str">
        <f t="shared" si="8"/>
        <v>2026/27</v>
      </c>
      <c r="M58" s="331" t="str">
        <f t="shared" si="8"/>
        <v>2027/28</v>
      </c>
      <c r="N58" s="331" t="str">
        <f t="shared" si="8"/>
        <v>2028/29</v>
      </c>
    </row>
    <row r="59" spans="1:14">
      <c r="B59" s="331" t="str">
        <f t="shared" si="7"/>
        <v>20-24</v>
      </c>
      <c r="C59" s="300">
        <f t="shared" ref="C59:C69" si="9">D21</f>
        <v>147.11060099923219</v>
      </c>
      <c r="D59" s="300">
        <f t="shared" ref="D59:L59" si="10">C356</f>
        <v>260.29607021631062</v>
      </c>
      <c r="E59" s="300">
        <f t="shared" si="10"/>
        <v>352.85928281446184</v>
      </c>
      <c r="F59" s="300">
        <f t="shared" si="10"/>
        <v>430.4154470238874</v>
      </c>
      <c r="G59" s="300">
        <f t="shared" si="10"/>
        <v>483.86097764978558</v>
      </c>
      <c r="H59" s="300">
        <f t="shared" si="10"/>
        <v>518.31093534781928</v>
      </c>
      <c r="I59" s="300">
        <f t="shared" si="10"/>
        <v>538.44928392943939</v>
      </c>
      <c r="J59" s="300">
        <f t="shared" si="10"/>
        <v>562.25298746199837</v>
      </c>
      <c r="K59" s="300">
        <f t="shared" si="10"/>
        <v>585.26150014303346</v>
      </c>
      <c r="L59" s="300">
        <f t="shared" si="10"/>
        <v>592.40208277571469</v>
      </c>
      <c r="M59" s="300">
        <f t="shared" ref="M59:M69" si="11">L356</f>
        <v>591.74182098156984</v>
      </c>
      <c r="N59" s="300">
        <f t="shared" ref="N59:N69" si="12">M356</f>
        <v>594.76301697434974</v>
      </c>
    </row>
    <row r="60" spans="1:14">
      <c r="B60" s="331" t="str">
        <f t="shared" si="7"/>
        <v>25-29</v>
      </c>
      <c r="C60" s="300">
        <f t="shared" si="9"/>
        <v>725.98692724102784</v>
      </c>
      <c r="D60" s="300">
        <f t="shared" ref="D60:K69" si="13">C357</f>
        <v>712.9360681694983</v>
      </c>
      <c r="E60" s="300">
        <f t="shared" si="13"/>
        <v>736.67592165560814</v>
      </c>
      <c r="F60" s="300">
        <f t="shared" si="13"/>
        <v>782.6468294719391</v>
      </c>
      <c r="G60" s="300">
        <f t="shared" si="13"/>
        <v>828.3981206344248</v>
      </c>
      <c r="H60" s="300">
        <f t="shared" si="13"/>
        <v>867.91976952582957</v>
      </c>
      <c r="I60" s="300">
        <f t="shared" si="13"/>
        <v>898.5354035265741</v>
      </c>
      <c r="J60" s="300">
        <f t="shared" si="13"/>
        <v>934.14429449338934</v>
      </c>
      <c r="K60" s="300">
        <f t="shared" si="13"/>
        <v>970.58150956999782</v>
      </c>
      <c r="L60" s="300">
        <f t="shared" ref="L60:L69" si="14">K357</f>
        <v>991.84704568267659</v>
      </c>
      <c r="M60" s="300">
        <f t="shared" si="11"/>
        <v>1002.708389422588</v>
      </c>
      <c r="N60" s="300">
        <f t="shared" si="12"/>
        <v>1013.9982939635817</v>
      </c>
    </row>
    <row r="61" spans="1:14">
      <c r="B61" s="331" t="str">
        <f t="shared" si="7"/>
        <v>30-34</v>
      </c>
      <c r="C61" s="300">
        <f t="shared" si="9"/>
        <v>1131.5437815052085</v>
      </c>
      <c r="D61" s="300">
        <f t="shared" si="13"/>
        <v>1045.3196757407286</v>
      </c>
      <c r="E61" s="300">
        <f t="shared" si="13"/>
        <v>985.53257357554048</v>
      </c>
      <c r="F61" s="300">
        <f t="shared" si="13"/>
        <v>951.13332720339213</v>
      </c>
      <c r="G61" s="300">
        <f t="shared" si="13"/>
        <v>933.00455322668063</v>
      </c>
      <c r="H61" s="300">
        <f t="shared" si="13"/>
        <v>926.50330524103265</v>
      </c>
      <c r="I61" s="300">
        <f t="shared" si="13"/>
        <v>926.90676672374695</v>
      </c>
      <c r="J61" s="300">
        <f t="shared" si="13"/>
        <v>937.7034730196973</v>
      </c>
      <c r="K61" s="300">
        <f t="shared" si="13"/>
        <v>955.32917486745384</v>
      </c>
      <c r="L61" s="300">
        <f t="shared" si="14"/>
        <v>970.35484809985121</v>
      </c>
      <c r="M61" s="300">
        <f t="shared" si="11"/>
        <v>982.39488800784568</v>
      </c>
      <c r="N61" s="300">
        <f t="shared" si="12"/>
        <v>994.98521401653556</v>
      </c>
    </row>
    <row r="62" spans="1:14">
      <c r="B62" s="331" t="str">
        <f t="shared" si="7"/>
        <v>35-39</v>
      </c>
      <c r="C62" s="300">
        <f t="shared" si="9"/>
        <v>1224.2327389398718</v>
      </c>
      <c r="D62" s="300">
        <f t="shared" si="13"/>
        <v>1169.8965468341519</v>
      </c>
      <c r="E62" s="300">
        <f t="shared" si="13"/>
        <v>1118.3190521382655</v>
      </c>
      <c r="F62" s="300">
        <f t="shared" si="13"/>
        <v>1072.6991183331056</v>
      </c>
      <c r="G62" s="300">
        <f t="shared" si="13"/>
        <v>1031.4821032578225</v>
      </c>
      <c r="H62" s="300">
        <f t="shared" si="13"/>
        <v>996.67437475889039</v>
      </c>
      <c r="I62" s="300">
        <f t="shared" si="13"/>
        <v>968.35378894669839</v>
      </c>
      <c r="J62" s="300">
        <f t="shared" si="13"/>
        <v>951.25781074210863</v>
      </c>
      <c r="K62" s="300">
        <f t="shared" si="13"/>
        <v>943.04533789495395</v>
      </c>
      <c r="L62" s="300">
        <f t="shared" si="14"/>
        <v>936.83121672188383</v>
      </c>
      <c r="M62" s="300">
        <f t="shared" si="11"/>
        <v>932.87775665563777</v>
      </c>
      <c r="N62" s="300">
        <f t="shared" si="12"/>
        <v>933.5015238824501</v>
      </c>
    </row>
    <row r="63" spans="1:14">
      <c r="B63" s="331" t="str">
        <f t="shared" si="7"/>
        <v>40-44</v>
      </c>
      <c r="C63" s="300">
        <f t="shared" si="9"/>
        <v>1123.1788435749327</v>
      </c>
      <c r="D63" s="300">
        <f t="shared" si="13"/>
        <v>1102.9545227944375</v>
      </c>
      <c r="E63" s="300">
        <f t="shared" si="13"/>
        <v>1081.7553732139422</v>
      </c>
      <c r="F63" s="300">
        <f t="shared" si="13"/>
        <v>1059.3707035274979</v>
      </c>
      <c r="G63" s="300">
        <f t="shared" si="13"/>
        <v>1033.2253795352096</v>
      </c>
      <c r="H63" s="300">
        <f t="shared" si="13"/>
        <v>1005.450855353378</v>
      </c>
      <c r="I63" s="300">
        <f t="shared" si="13"/>
        <v>977.34803444034378</v>
      </c>
      <c r="J63" s="300">
        <f t="shared" si="13"/>
        <v>954.65310426575729</v>
      </c>
      <c r="K63" s="300">
        <f t="shared" si="13"/>
        <v>936.89204961390203</v>
      </c>
      <c r="L63" s="300">
        <f t="shared" si="14"/>
        <v>919.41223009019154</v>
      </c>
      <c r="M63" s="300">
        <f t="shared" si="11"/>
        <v>903.59660001136842</v>
      </c>
      <c r="N63" s="300">
        <f t="shared" si="12"/>
        <v>892.39412514810522</v>
      </c>
    </row>
    <row r="64" spans="1:14">
      <c r="B64" s="331" t="str">
        <f t="shared" si="7"/>
        <v>45-49</v>
      </c>
      <c r="C64" s="300">
        <f t="shared" si="9"/>
        <v>884.20506877062644</v>
      </c>
      <c r="D64" s="300">
        <f t="shared" si="13"/>
        <v>889.15706325419319</v>
      </c>
      <c r="E64" s="300">
        <f t="shared" si="13"/>
        <v>892.00031649360994</v>
      </c>
      <c r="F64" s="300">
        <f t="shared" si="13"/>
        <v>892.17811642961294</v>
      </c>
      <c r="G64" s="300">
        <f t="shared" si="13"/>
        <v>886.99511149995817</v>
      </c>
      <c r="H64" s="300">
        <f t="shared" si="13"/>
        <v>877.66840590947857</v>
      </c>
      <c r="I64" s="300">
        <f t="shared" si="13"/>
        <v>864.79052716403339</v>
      </c>
      <c r="J64" s="300">
        <f t="shared" si="13"/>
        <v>852.86994692820883</v>
      </c>
      <c r="K64" s="300">
        <f t="shared" si="13"/>
        <v>841.74226023184406</v>
      </c>
      <c r="L64" s="300">
        <f t="shared" si="14"/>
        <v>828.07860773702544</v>
      </c>
      <c r="M64" s="300">
        <f t="shared" si="11"/>
        <v>813.50520138704724</v>
      </c>
      <c r="N64" s="300">
        <f t="shared" si="12"/>
        <v>800.9730074630105</v>
      </c>
    </row>
    <row r="65" spans="1:14">
      <c r="B65" s="331" t="str">
        <f t="shared" si="7"/>
        <v>50-54</v>
      </c>
      <c r="C65" s="300">
        <f t="shared" si="9"/>
        <v>685.06109055858292</v>
      </c>
      <c r="D65" s="300">
        <f t="shared" si="13"/>
        <v>672.86771072751321</v>
      </c>
      <c r="E65" s="300">
        <f t="shared" si="13"/>
        <v>667.25468530087483</v>
      </c>
      <c r="F65" s="300">
        <f t="shared" si="13"/>
        <v>665.21544903927986</v>
      </c>
      <c r="G65" s="300">
        <f t="shared" si="13"/>
        <v>662.86203643234398</v>
      </c>
      <c r="H65" s="300">
        <f t="shared" si="13"/>
        <v>659.67365157818188</v>
      </c>
      <c r="I65" s="300">
        <f t="shared" si="13"/>
        <v>654.97878603025322</v>
      </c>
      <c r="J65" s="300">
        <f t="shared" si="13"/>
        <v>651.25487432217858</v>
      </c>
      <c r="K65" s="300">
        <f t="shared" si="13"/>
        <v>647.73208855779944</v>
      </c>
      <c r="L65" s="300">
        <f t="shared" si="14"/>
        <v>641.52276511956245</v>
      </c>
      <c r="M65" s="300">
        <f t="shared" si="11"/>
        <v>633.61848398143331</v>
      </c>
      <c r="N65" s="300">
        <f t="shared" si="12"/>
        <v>626.13365105737773</v>
      </c>
    </row>
    <row r="66" spans="1:14">
      <c r="B66" s="331" t="str">
        <f t="shared" si="7"/>
        <v>55-59</v>
      </c>
      <c r="C66" s="300">
        <f t="shared" si="9"/>
        <v>304.03751721710933</v>
      </c>
      <c r="D66" s="300">
        <f t="shared" si="13"/>
        <v>308.412289906056</v>
      </c>
      <c r="E66" s="300">
        <f t="shared" si="13"/>
        <v>310.70380103699927</v>
      </c>
      <c r="F66" s="300">
        <f t="shared" si="13"/>
        <v>312.46887005183163</v>
      </c>
      <c r="G66" s="300">
        <f t="shared" si="13"/>
        <v>312.84975318506662</v>
      </c>
      <c r="H66" s="300">
        <f t="shared" si="13"/>
        <v>312.32904190075686</v>
      </c>
      <c r="I66" s="300">
        <f t="shared" si="13"/>
        <v>311.01613452293168</v>
      </c>
      <c r="J66" s="300">
        <f t="shared" si="13"/>
        <v>310.72089846576358</v>
      </c>
      <c r="K66" s="300">
        <f t="shared" si="13"/>
        <v>310.76537304822187</v>
      </c>
      <c r="L66" s="300">
        <f t="shared" si="14"/>
        <v>309.12213187335306</v>
      </c>
      <c r="M66" s="300">
        <f t="shared" si="11"/>
        <v>306.47171236156555</v>
      </c>
      <c r="N66" s="300">
        <f t="shared" si="12"/>
        <v>304.10661155308662</v>
      </c>
    </row>
    <row r="67" spans="1:14">
      <c r="B67" s="331" t="str">
        <f t="shared" si="7"/>
        <v>60-64</v>
      </c>
      <c r="C67" s="300">
        <f t="shared" si="9"/>
        <v>122.40015195235868</v>
      </c>
      <c r="D67" s="300">
        <f t="shared" si="13"/>
        <v>111.63401150340323</v>
      </c>
      <c r="E67" s="300">
        <f t="shared" si="13"/>
        <v>107.45768242626778</v>
      </c>
      <c r="F67" s="300">
        <f t="shared" si="13"/>
        <v>106.30727794913415</v>
      </c>
      <c r="G67" s="300">
        <f t="shared" si="13"/>
        <v>105.80588170236719</v>
      </c>
      <c r="H67" s="300">
        <f t="shared" si="13"/>
        <v>105.3969800330747</v>
      </c>
      <c r="I67" s="300">
        <f t="shared" si="13"/>
        <v>104.85928197091978</v>
      </c>
      <c r="J67" s="300">
        <f t="shared" si="13"/>
        <v>105.0347773696806</v>
      </c>
      <c r="K67" s="300">
        <f t="shared" si="13"/>
        <v>105.48828371902573</v>
      </c>
      <c r="L67" s="300">
        <f t="shared" si="14"/>
        <v>105.14597763141126</v>
      </c>
      <c r="M67" s="300">
        <f t="shared" si="11"/>
        <v>104.39707540328767</v>
      </c>
      <c r="N67" s="300">
        <f t="shared" si="12"/>
        <v>103.89953320111852</v>
      </c>
    </row>
    <row r="68" spans="1:14">
      <c r="B68" s="331" t="str">
        <f t="shared" si="7"/>
        <v>65 plus</v>
      </c>
      <c r="C68" s="300">
        <f t="shared" si="9"/>
        <v>12.472836131287345</v>
      </c>
      <c r="D68" s="300">
        <f t="shared" si="13"/>
        <v>26.595952408476062</v>
      </c>
      <c r="E68" s="300">
        <f t="shared" si="13"/>
        <v>34.460321516540532</v>
      </c>
      <c r="F68" s="300">
        <f t="shared" si="13"/>
        <v>39.117139713259895</v>
      </c>
      <c r="G68" s="300">
        <f t="shared" si="13"/>
        <v>41.860804993650923</v>
      </c>
      <c r="H68" s="300">
        <f t="shared" si="13"/>
        <v>43.479803888574025</v>
      </c>
      <c r="I68" s="300">
        <f t="shared" si="13"/>
        <v>44.377584131894665</v>
      </c>
      <c r="J68" s="300">
        <f t="shared" si="13"/>
        <v>45.065729030708134</v>
      </c>
      <c r="K68" s="300">
        <f t="shared" si="13"/>
        <v>45.646202192408467</v>
      </c>
      <c r="L68" s="300">
        <f t="shared" si="14"/>
        <v>45.89815507772218</v>
      </c>
      <c r="M68" s="300">
        <f t="shared" si="11"/>
        <v>45.905077821644532</v>
      </c>
      <c r="N68" s="300">
        <f t="shared" si="12"/>
        <v>45.881571047377967</v>
      </c>
    </row>
    <row r="69" spans="1:14">
      <c r="B69" s="331" t="str">
        <f t="shared" si="7"/>
        <v>Total</v>
      </c>
      <c r="C69" s="300">
        <f t="shared" si="9"/>
        <v>6360.2295568902382</v>
      </c>
      <c r="D69" s="300">
        <f t="shared" si="13"/>
        <v>6300.0699115547695</v>
      </c>
      <c r="E69" s="300">
        <f t="shared" si="13"/>
        <v>6287.0190101721109</v>
      </c>
      <c r="F69" s="300">
        <f t="shared" si="13"/>
        <v>6311.5522787429409</v>
      </c>
      <c r="G69" s="300">
        <f t="shared" si="13"/>
        <v>6320.3447221173101</v>
      </c>
      <c r="H69" s="300">
        <f t="shared" si="13"/>
        <v>6313.4071235370166</v>
      </c>
      <c r="I69" s="300">
        <f t="shared" si="13"/>
        <v>6289.6155913868361</v>
      </c>
      <c r="J69" s="300">
        <f t="shared" si="13"/>
        <v>6304.9578960994913</v>
      </c>
      <c r="K69" s="300">
        <f t="shared" si="13"/>
        <v>6342.4837798386388</v>
      </c>
      <c r="L69" s="300">
        <f t="shared" si="14"/>
        <v>6340.6150608093931</v>
      </c>
      <c r="M69" s="300">
        <f t="shared" si="11"/>
        <v>6317.2170060339877</v>
      </c>
      <c r="N69" s="300">
        <f t="shared" si="12"/>
        <v>6310.6365483069931</v>
      </c>
    </row>
    <row r="70" spans="1:14">
      <c r="A70" s="302">
        <f>SUM(C70:N70)</f>
        <v>0</v>
      </c>
      <c r="C70" s="302">
        <f t="shared" ref="C70:N70" si="15">SUM(C59:C68)-C69</f>
        <v>0</v>
      </c>
      <c r="D70" s="302">
        <f t="shared" si="15"/>
        <v>0</v>
      </c>
      <c r="E70" s="302">
        <f t="shared" si="15"/>
        <v>0</v>
      </c>
      <c r="F70" s="302">
        <f t="shared" si="15"/>
        <v>0</v>
      </c>
      <c r="G70" s="302">
        <f t="shared" si="15"/>
        <v>0</v>
      </c>
      <c r="H70" s="302">
        <f t="shared" si="15"/>
        <v>0</v>
      </c>
      <c r="I70" s="302">
        <f t="shared" si="15"/>
        <v>0</v>
      </c>
      <c r="J70" s="302">
        <f t="shared" si="15"/>
        <v>0</v>
      </c>
      <c r="K70" s="302">
        <f t="shared" si="15"/>
        <v>0</v>
      </c>
      <c r="L70" s="302">
        <f t="shared" si="15"/>
        <v>0</v>
      </c>
      <c r="M70" s="302">
        <f t="shared" si="15"/>
        <v>0</v>
      </c>
      <c r="N70" s="302">
        <f t="shared" si="15"/>
        <v>0</v>
      </c>
    </row>
    <row r="72" spans="1:14" ht="15.75">
      <c r="B72" s="333" t="s">
        <v>163</v>
      </c>
      <c r="H72" s="318"/>
    </row>
    <row r="73" spans="1:14">
      <c r="H73" s="318"/>
    </row>
    <row r="74" spans="1:14">
      <c r="B74" s="334" t="s">
        <v>46</v>
      </c>
      <c r="C74" s="256" t="s">
        <v>456</v>
      </c>
      <c r="H74" s="318"/>
    </row>
    <row r="75" spans="1:14">
      <c r="H75" s="318"/>
    </row>
    <row r="76" spans="1:14">
      <c r="B76" s="331" t="str">
        <f t="shared" ref="B76:B87" si="16">B42</f>
        <v>Age group</v>
      </c>
      <c r="C76" s="331" t="str">
        <f t="shared" ref="C76:N76" si="17">C42</f>
        <v>2017/18</v>
      </c>
      <c r="D76" s="331" t="str">
        <f t="shared" si="17"/>
        <v>2018/19</v>
      </c>
      <c r="E76" s="331" t="str">
        <f t="shared" si="17"/>
        <v>2019/20</v>
      </c>
      <c r="F76" s="331" t="str">
        <f t="shared" si="17"/>
        <v>2020/21</v>
      </c>
      <c r="G76" s="331" t="str">
        <f t="shared" si="17"/>
        <v>2021/22</v>
      </c>
      <c r="H76" s="331" t="str">
        <f t="shared" si="17"/>
        <v>2022/23</v>
      </c>
      <c r="I76" s="331" t="str">
        <f t="shared" si="17"/>
        <v>2023/24</v>
      </c>
      <c r="J76" s="331" t="str">
        <f t="shared" si="17"/>
        <v>2024/25</v>
      </c>
      <c r="K76" s="331" t="str">
        <f t="shared" si="17"/>
        <v>2025/26</v>
      </c>
      <c r="L76" s="331" t="str">
        <f t="shared" si="17"/>
        <v>2026/27</v>
      </c>
      <c r="M76" s="331" t="str">
        <f t="shared" si="17"/>
        <v>2027/28</v>
      </c>
      <c r="N76" s="331" t="str">
        <f t="shared" si="17"/>
        <v>2028/29</v>
      </c>
    </row>
    <row r="77" spans="1:14">
      <c r="B77" s="331" t="str">
        <f t="shared" si="16"/>
        <v>20-24</v>
      </c>
      <c r="C77" s="447">
        <f>C43-(0.2*C43)</f>
        <v>10.300975137974827</v>
      </c>
      <c r="D77" s="447">
        <f>D43-(0.2*D43)</f>
        <v>43.239599343237849</v>
      </c>
      <c r="E77" s="447">
        <f t="shared" ref="E77:N77" si="18">E43-(0.2*E43)</f>
        <v>69.442109394552887</v>
      </c>
      <c r="F77" s="447">
        <f t="shared" si="18"/>
        <v>90.618445090858756</v>
      </c>
      <c r="G77" s="447">
        <f t="shared" si="18"/>
        <v>105.49645366442601</v>
      </c>
      <c r="H77" s="447">
        <f t="shared" si="18"/>
        <v>115.24481661138665</v>
      </c>
      <c r="I77" s="447">
        <f t="shared" si="18"/>
        <v>121.16367948969746</v>
      </c>
      <c r="J77" s="447">
        <f t="shared" si="18"/>
        <v>127.54971523677325</v>
      </c>
      <c r="K77" s="447">
        <f t="shared" si="18"/>
        <v>133.48765281956418</v>
      </c>
      <c r="L77" s="447">
        <f t="shared" si="18"/>
        <v>135.5844100964413</v>
      </c>
      <c r="M77" s="447">
        <f t="shared" si="18"/>
        <v>135.75142247535251</v>
      </c>
      <c r="N77" s="447">
        <f t="shared" si="18"/>
        <v>136.67176171964599</v>
      </c>
    </row>
    <row r="78" spans="1:14">
      <c r="B78" s="331" t="str">
        <f t="shared" si="16"/>
        <v>25-29</v>
      </c>
      <c r="C78" s="447">
        <f t="shared" ref="C78:C85" si="19">C44+(0.2*C43)-(0.2*C44)</f>
        <v>102.94649134897244</v>
      </c>
      <c r="D78" s="447">
        <f t="shared" ref="D78:N78" si="20">D44+(0.2*D43)-(0.2*D44)</f>
        <v>121.99411559216064</v>
      </c>
      <c r="E78" s="447">
        <f t="shared" si="20"/>
        <v>145.63961956904714</v>
      </c>
      <c r="F78" s="447">
        <f t="shared" si="20"/>
        <v>170.68441697918243</v>
      </c>
      <c r="G78" s="447">
        <f t="shared" si="20"/>
        <v>192.59864003663415</v>
      </c>
      <c r="H78" s="447">
        <f t="shared" si="20"/>
        <v>210.17165774020833</v>
      </c>
      <c r="I78" s="447">
        <f t="shared" si="20"/>
        <v>223.41906570282748</v>
      </c>
      <c r="J78" s="447">
        <f t="shared" si="20"/>
        <v>236.87813884410647</v>
      </c>
      <c r="K78" s="447">
        <f t="shared" si="20"/>
        <v>249.58544557807338</v>
      </c>
      <c r="L78" s="447">
        <f t="shared" si="20"/>
        <v>257.18882575898346</v>
      </c>
      <c r="M78" s="447">
        <f t="shared" si="20"/>
        <v>261.40248690794931</v>
      </c>
      <c r="N78" s="447">
        <f t="shared" si="20"/>
        <v>265.5044452678942</v>
      </c>
    </row>
    <row r="79" spans="1:14">
      <c r="B79" s="331" t="str">
        <f t="shared" si="16"/>
        <v>30-34</v>
      </c>
      <c r="C79" s="447">
        <f t="shared" si="19"/>
        <v>230.102556437853</v>
      </c>
      <c r="D79" s="447">
        <f t="shared" ref="D79:N79" si="21">D45+(0.2*D44)-(0.2*D45)</f>
        <v>216.98277592332983</v>
      </c>
      <c r="E79" s="447">
        <f t="shared" si="21"/>
        <v>213.43691606627922</v>
      </c>
      <c r="F79" s="447">
        <f t="shared" si="21"/>
        <v>216.78229005046478</v>
      </c>
      <c r="G79" s="447">
        <f t="shared" si="21"/>
        <v>223.96872073873703</v>
      </c>
      <c r="H79" s="447">
        <f t="shared" si="21"/>
        <v>232.73174775358348</v>
      </c>
      <c r="I79" s="447">
        <f t="shared" si="21"/>
        <v>241.71458452423053</v>
      </c>
      <c r="J79" s="447">
        <f t="shared" si="21"/>
        <v>252.48803778594808</v>
      </c>
      <c r="K79" s="447">
        <f t="shared" si="21"/>
        <v>264.03972156807635</v>
      </c>
      <c r="L79" s="447">
        <f t="shared" si="21"/>
        <v>273.34695103625933</v>
      </c>
      <c r="M79" s="447">
        <f t="shared" si="21"/>
        <v>280.65007442516389</v>
      </c>
      <c r="N79" s="447">
        <f t="shared" si="21"/>
        <v>287.45786121159983</v>
      </c>
    </row>
    <row r="80" spans="1:14">
      <c r="B80" s="331" t="str">
        <f t="shared" si="16"/>
        <v>35-39</v>
      </c>
      <c r="C80" s="447">
        <f t="shared" si="19"/>
        <v>289.40082769134187</v>
      </c>
      <c r="D80" s="447">
        <f t="shared" ref="D80:N80" si="22">D46+(0.2*D45)-(0.2*D46)</f>
        <v>275.82235182390173</v>
      </c>
      <c r="E80" s="447">
        <f t="shared" si="22"/>
        <v>265.45129307774505</v>
      </c>
      <c r="F80" s="447">
        <f t="shared" si="22"/>
        <v>257.89452958410874</v>
      </c>
      <c r="G80" s="447">
        <f t="shared" si="22"/>
        <v>253.15811925854803</v>
      </c>
      <c r="H80" s="447">
        <f t="shared" si="22"/>
        <v>250.60694733945587</v>
      </c>
      <c r="I80" s="447">
        <f t="shared" si="22"/>
        <v>249.8636708441029</v>
      </c>
      <c r="J80" s="447">
        <f t="shared" si="22"/>
        <v>252.10168298215743</v>
      </c>
      <c r="K80" s="447">
        <f t="shared" si="22"/>
        <v>256.49781411403882</v>
      </c>
      <c r="L80" s="447">
        <f t="shared" si="22"/>
        <v>260.86451294830857</v>
      </c>
      <c r="M80" s="447">
        <f t="shared" si="22"/>
        <v>265.18245182562691</v>
      </c>
      <c r="N80" s="447">
        <f t="shared" si="22"/>
        <v>270.15695217245138</v>
      </c>
    </row>
    <row r="81" spans="1:14">
      <c r="B81" s="331" t="str">
        <f t="shared" si="16"/>
        <v>40-44</v>
      </c>
      <c r="C81" s="447">
        <f t="shared" si="19"/>
        <v>338.70841826161063</v>
      </c>
      <c r="D81" s="447">
        <f t="shared" ref="D81:N81" si="23">D47+(0.2*D46)-(0.2*D47)</f>
        <v>318.18403885729157</v>
      </c>
      <c r="E81" s="447">
        <f t="shared" si="23"/>
        <v>302.63650338852818</v>
      </c>
      <c r="F81" s="447">
        <f t="shared" si="23"/>
        <v>289.63209981656343</v>
      </c>
      <c r="G81" s="447">
        <f t="shared" si="23"/>
        <v>278.99984429278919</v>
      </c>
      <c r="H81" s="447">
        <f t="shared" si="23"/>
        <v>269.97586603198147</v>
      </c>
      <c r="I81" s="447">
        <f t="shared" si="23"/>
        <v>262.45233341861541</v>
      </c>
      <c r="J81" s="447">
        <f t="shared" si="23"/>
        <v>257.69692968817282</v>
      </c>
      <c r="K81" s="447">
        <f t="shared" si="23"/>
        <v>255.21132176821169</v>
      </c>
      <c r="L81" s="447">
        <f t="shared" si="23"/>
        <v>253.32284066646844</v>
      </c>
      <c r="M81" s="447">
        <f t="shared" si="23"/>
        <v>252.19359366348684</v>
      </c>
      <c r="N81" s="447">
        <f t="shared" si="23"/>
        <v>252.50019645313256</v>
      </c>
    </row>
    <row r="82" spans="1:14">
      <c r="B82" s="331" t="str">
        <f t="shared" si="16"/>
        <v>45-49</v>
      </c>
      <c r="C82" s="447">
        <f t="shared" si="19"/>
        <v>299.2289541182646</v>
      </c>
      <c r="D82" s="447">
        <f t="shared" ref="D82:N82" si="24">D48+(0.2*D47)-(0.2*D48)</f>
        <v>293.21962145729401</v>
      </c>
      <c r="E82" s="447">
        <f t="shared" si="24"/>
        <v>286.94913440508384</v>
      </c>
      <c r="F82" s="447">
        <f t="shared" si="24"/>
        <v>279.61616336046711</v>
      </c>
      <c r="G82" s="447">
        <f t="shared" si="24"/>
        <v>272.25484149521628</v>
      </c>
      <c r="H82" s="447">
        <f t="shared" si="24"/>
        <v>264.66128709234147</v>
      </c>
      <c r="I82" s="447">
        <f t="shared" si="24"/>
        <v>257.11926229035157</v>
      </c>
      <c r="J82" s="447">
        <f t="shared" si="24"/>
        <v>250.97593986701193</v>
      </c>
      <c r="K82" s="447">
        <f t="shared" si="24"/>
        <v>246.09977065041213</v>
      </c>
      <c r="L82" s="447">
        <f t="shared" si="24"/>
        <v>241.3601297514129</v>
      </c>
      <c r="M82" s="447">
        <f t="shared" si="24"/>
        <v>237.09581931890725</v>
      </c>
      <c r="N82" s="447">
        <f t="shared" si="24"/>
        <v>234.0432396059534</v>
      </c>
    </row>
    <row r="83" spans="1:14">
      <c r="B83" s="331" t="str">
        <f t="shared" si="16"/>
        <v>50-54</v>
      </c>
      <c r="C83" s="447">
        <f t="shared" si="19"/>
        <v>269.04551145942952</v>
      </c>
      <c r="D83" s="447">
        <f t="shared" ref="D83:N83" si="25">D49+(0.2*D48)-(0.2*D49)</f>
        <v>254.42765272439908</v>
      </c>
      <c r="E83" s="447">
        <f t="shared" si="25"/>
        <v>244.54320458210887</v>
      </c>
      <c r="F83" s="447">
        <f t="shared" si="25"/>
        <v>236.35560363359514</v>
      </c>
      <c r="G83" s="447">
        <f t="shared" si="25"/>
        <v>229.57212950574666</v>
      </c>
      <c r="H83" s="447">
        <f t="shared" si="25"/>
        <v>223.22749335967103</v>
      </c>
      <c r="I83" s="447">
        <f t="shared" si="25"/>
        <v>217.09482008577385</v>
      </c>
      <c r="J83" s="447">
        <f t="shared" si="25"/>
        <v>211.94213570753672</v>
      </c>
      <c r="K83" s="447">
        <f t="shared" si="25"/>
        <v>207.5387331276242</v>
      </c>
      <c r="L83" s="447">
        <f t="shared" si="25"/>
        <v>202.98401757967468</v>
      </c>
      <c r="M83" s="447">
        <f t="shared" si="25"/>
        <v>198.54769636831298</v>
      </c>
      <c r="N83" s="447">
        <f t="shared" si="25"/>
        <v>194.82992976401599</v>
      </c>
    </row>
    <row r="84" spans="1:14">
      <c r="B84" s="331" t="str">
        <f t="shared" si="16"/>
        <v>55-59</v>
      </c>
      <c r="C84" s="447">
        <f t="shared" si="19"/>
        <v>190.37846015017766</v>
      </c>
      <c r="D84" s="447">
        <f t="shared" ref="D84:N84" si="26">D50+(0.2*D49)-(0.2*D50)</f>
        <v>168.46145963066587</v>
      </c>
      <c r="E84" s="447">
        <f t="shared" si="26"/>
        <v>153.59535691693696</v>
      </c>
      <c r="F84" s="447">
        <f t="shared" si="26"/>
        <v>143.00615173700797</v>
      </c>
      <c r="G84" s="447">
        <f t="shared" si="26"/>
        <v>135.34199301376097</v>
      </c>
      <c r="H84" s="447">
        <f t="shared" si="26"/>
        <v>129.3949557461971</v>
      </c>
      <c r="I84" s="447">
        <f t="shared" si="26"/>
        <v>124.52231451162049</v>
      </c>
      <c r="J84" s="447">
        <f t="shared" si="26"/>
        <v>120.88548872394347</v>
      </c>
      <c r="K84" s="447">
        <f t="shared" si="26"/>
        <v>118.03177956044694</v>
      </c>
      <c r="L84" s="447">
        <f t="shared" si="26"/>
        <v>115.16874499356638</v>
      </c>
      <c r="M84" s="447">
        <f t="shared" si="26"/>
        <v>112.40805960662581</v>
      </c>
      <c r="N84" s="447">
        <f t="shared" si="26"/>
        <v>110.09780607875018</v>
      </c>
    </row>
    <row r="85" spans="1:14">
      <c r="B85" s="331" t="str">
        <f t="shared" si="16"/>
        <v>60-64</v>
      </c>
      <c r="C85" s="447">
        <f t="shared" si="19"/>
        <v>77.559600390733578</v>
      </c>
      <c r="D85" s="447">
        <f t="shared" ref="D85:N85" si="27">D51+(0.2*D50)-(0.2*D51)</f>
        <v>71.747327149490346</v>
      </c>
      <c r="E85" s="447">
        <f t="shared" si="27"/>
        <v>65.929690193708495</v>
      </c>
      <c r="F85" s="447">
        <f t="shared" si="27"/>
        <v>60.824191294547788</v>
      </c>
      <c r="G85" s="447">
        <f t="shared" si="27"/>
        <v>56.681872484149324</v>
      </c>
      <c r="H85" s="447">
        <f t="shared" si="27"/>
        <v>53.336447850982836</v>
      </c>
      <c r="I85" s="447">
        <f t="shared" si="27"/>
        <v>50.636966455624027</v>
      </c>
      <c r="J85" s="447">
        <f t="shared" si="27"/>
        <v>48.732271655939655</v>
      </c>
      <c r="K85" s="447">
        <f t="shared" si="27"/>
        <v>47.346632184515563</v>
      </c>
      <c r="L85" s="447">
        <f t="shared" si="27"/>
        <v>46.008065700694658</v>
      </c>
      <c r="M85" s="447">
        <f t="shared" si="27"/>
        <v>44.766129086070997</v>
      </c>
      <c r="N85" s="447">
        <f t="shared" si="27"/>
        <v>43.790795200766837</v>
      </c>
    </row>
    <row r="86" spans="1:14">
      <c r="B86" s="331" t="str">
        <f t="shared" si="16"/>
        <v>65 plus</v>
      </c>
      <c r="C86" s="447">
        <f>C52+(0.2*C51)</f>
        <v>23.385792010026883</v>
      </c>
      <c r="D86" s="447">
        <f t="shared" ref="D86:N86" si="28">D52+(0.2*D51)</f>
        <v>25.405210259798096</v>
      </c>
      <c r="E86" s="447">
        <f t="shared" si="28"/>
        <v>26.104608698899625</v>
      </c>
      <c r="F86" s="447">
        <f t="shared" si="28"/>
        <v>25.785591933267135</v>
      </c>
      <c r="G86" s="447">
        <f t="shared" si="28"/>
        <v>24.992199720869237</v>
      </c>
      <c r="H86" s="447">
        <f t="shared" si="28"/>
        <v>23.954904210461152</v>
      </c>
      <c r="I86" s="447">
        <f t="shared" si="28"/>
        <v>22.863976597821093</v>
      </c>
      <c r="J86" s="447">
        <f t="shared" si="28"/>
        <v>21.950433260247866</v>
      </c>
      <c r="K86" s="447">
        <f t="shared" si="28"/>
        <v>21.214298782093962</v>
      </c>
      <c r="L86" s="447">
        <f t="shared" si="28"/>
        <v>20.509923193639867</v>
      </c>
      <c r="M86" s="447">
        <f t="shared" si="28"/>
        <v>19.861773420905809</v>
      </c>
      <c r="N86" s="447">
        <f t="shared" si="28"/>
        <v>19.344632990772237</v>
      </c>
    </row>
    <row r="87" spans="1:14">
      <c r="B87" s="331" t="str">
        <f t="shared" si="16"/>
        <v>Total</v>
      </c>
      <c r="C87" s="447">
        <f>SUM(C77:C86)</f>
        <v>1831.0575870063851</v>
      </c>
      <c r="D87" s="447">
        <f t="shared" ref="D87:N87" si="29">SUM(D77:D86)</f>
        <v>1789.4841527615692</v>
      </c>
      <c r="E87" s="447">
        <f t="shared" si="29"/>
        <v>1773.7284362928904</v>
      </c>
      <c r="F87" s="447">
        <f t="shared" si="29"/>
        <v>1771.1994834800632</v>
      </c>
      <c r="G87" s="447">
        <f t="shared" si="29"/>
        <v>1773.0648142108766</v>
      </c>
      <c r="H87" s="447">
        <f t="shared" si="29"/>
        <v>1773.3061237362692</v>
      </c>
      <c r="I87" s="447">
        <f t="shared" si="29"/>
        <v>1770.8506739206648</v>
      </c>
      <c r="J87" s="447">
        <f t="shared" si="29"/>
        <v>1781.2007737518375</v>
      </c>
      <c r="K87" s="447">
        <f t="shared" si="29"/>
        <v>1799.0531701530574</v>
      </c>
      <c r="L87" s="447">
        <f t="shared" si="29"/>
        <v>1806.3384217254497</v>
      </c>
      <c r="M87" s="447">
        <f t="shared" si="29"/>
        <v>1807.8595070984022</v>
      </c>
      <c r="N87" s="447">
        <f t="shared" si="29"/>
        <v>1814.3976204649825</v>
      </c>
    </row>
    <row r="88" spans="1:14">
      <c r="A88" s="302">
        <f>SUM(C88:N88)</f>
        <v>0</v>
      </c>
      <c r="C88" s="302">
        <f t="shared" ref="C88:N88" si="30">SUM(C77:C86)-C87</f>
        <v>0</v>
      </c>
      <c r="D88" s="302">
        <f t="shared" si="30"/>
        <v>0</v>
      </c>
      <c r="E88" s="302">
        <f t="shared" si="30"/>
        <v>0</v>
      </c>
      <c r="F88" s="302">
        <f t="shared" si="30"/>
        <v>0</v>
      </c>
      <c r="G88" s="302">
        <f t="shared" si="30"/>
        <v>0</v>
      </c>
      <c r="H88" s="302">
        <f t="shared" si="30"/>
        <v>0</v>
      </c>
      <c r="I88" s="302">
        <f t="shared" si="30"/>
        <v>0</v>
      </c>
      <c r="J88" s="302">
        <f t="shared" si="30"/>
        <v>0</v>
      </c>
      <c r="K88" s="302">
        <f t="shared" si="30"/>
        <v>0</v>
      </c>
      <c r="L88" s="302">
        <f t="shared" si="30"/>
        <v>0</v>
      </c>
      <c r="M88" s="302">
        <f t="shared" si="30"/>
        <v>0</v>
      </c>
      <c r="N88" s="302">
        <f t="shared" si="30"/>
        <v>0</v>
      </c>
    </row>
    <row r="90" spans="1:14">
      <c r="B90" s="334" t="s">
        <v>47</v>
      </c>
      <c r="H90" s="318"/>
    </row>
    <row r="91" spans="1:14">
      <c r="H91" s="318"/>
    </row>
    <row r="92" spans="1:14">
      <c r="B92" s="331" t="str">
        <f t="shared" ref="B92:B103" si="31">B76</f>
        <v>Age group</v>
      </c>
      <c r="C92" s="331" t="str">
        <f t="shared" ref="C92:N92" si="32">C76</f>
        <v>2017/18</v>
      </c>
      <c r="D92" s="331" t="str">
        <f t="shared" si="32"/>
        <v>2018/19</v>
      </c>
      <c r="E92" s="331" t="str">
        <f t="shared" si="32"/>
        <v>2019/20</v>
      </c>
      <c r="F92" s="331" t="str">
        <f t="shared" si="32"/>
        <v>2020/21</v>
      </c>
      <c r="G92" s="331" t="str">
        <f t="shared" si="32"/>
        <v>2021/22</v>
      </c>
      <c r="H92" s="331" t="str">
        <f t="shared" si="32"/>
        <v>2022/23</v>
      </c>
      <c r="I92" s="331" t="str">
        <f t="shared" si="32"/>
        <v>2023/24</v>
      </c>
      <c r="J92" s="331" t="str">
        <f t="shared" si="32"/>
        <v>2024/25</v>
      </c>
      <c r="K92" s="331" t="str">
        <f t="shared" si="32"/>
        <v>2025/26</v>
      </c>
      <c r="L92" s="331" t="str">
        <f t="shared" si="32"/>
        <v>2026/27</v>
      </c>
      <c r="M92" s="331" t="str">
        <f t="shared" si="32"/>
        <v>2027/28</v>
      </c>
      <c r="N92" s="331" t="str">
        <f t="shared" si="32"/>
        <v>2028/29</v>
      </c>
    </row>
    <row r="93" spans="1:14">
      <c r="B93" s="331" t="str">
        <f t="shared" si="31"/>
        <v>20-24</v>
      </c>
      <c r="C93" s="447">
        <f>C59-(0.2*C59)</f>
        <v>117.68848079938576</v>
      </c>
      <c r="D93" s="447">
        <f t="shared" ref="D93:N93" si="33">D59-(0.2*D59)</f>
        <v>208.23685617304849</v>
      </c>
      <c r="E93" s="447">
        <f t="shared" si="33"/>
        <v>282.28742625156946</v>
      </c>
      <c r="F93" s="447">
        <f t="shared" si="33"/>
        <v>344.33235761910993</v>
      </c>
      <c r="G93" s="447">
        <f t="shared" si="33"/>
        <v>387.08878211982847</v>
      </c>
      <c r="H93" s="447">
        <f t="shared" si="33"/>
        <v>414.64874827825543</v>
      </c>
      <c r="I93" s="447">
        <f t="shared" si="33"/>
        <v>430.75942714355153</v>
      </c>
      <c r="J93" s="447">
        <f t="shared" si="33"/>
        <v>449.80238996959872</v>
      </c>
      <c r="K93" s="447">
        <f t="shared" si="33"/>
        <v>468.20920011442678</v>
      </c>
      <c r="L93" s="447">
        <f t="shared" si="33"/>
        <v>473.92166622057175</v>
      </c>
      <c r="M93" s="447">
        <f t="shared" si="33"/>
        <v>473.39345678525586</v>
      </c>
      <c r="N93" s="447">
        <f t="shared" si="33"/>
        <v>475.81041357947981</v>
      </c>
    </row>
    <row r="94" spans="1:14">
      <c r="B94" s="331" t="str">
        <f t="shared" si="31"/>
        <v>25-29</v>
      </c>
      <c r="C94" s="447">
        <f t="shared" ref="C94:C101" si="34">C60+(0.2*C59)-(0.2*C60)</f>
        <v>610.21166199266872</v>
      </c>
      <c r="D94" s="447">
        <f t="shared" ref="D94:N94" si="35">D60+(0.2*D59)-(0.2*D60)</f>
        <v>622.40806857886082</v>
      </c>
      <c r="E94" s="447">
        <f t="shared" si="35"/>
        <v>659.91259388737876</v>
      </c>
      <c r="F94" s="447">
        <f t="shared" si="35"/>
        <v>712.20055298232876</v>
      </c>
      <c r="G94" s="447">
        <f t="shared" si="35"/>
        <v>759.49069203749696</v>
      </c>
      <c r="H94" s="447">
        <f t="shared" si="35"/>
        <v>797.99800269022751</v>
      </c>
      <c r="I94" s="447">
        <f t="shared" si="35"/>
        <v>826.51817960714709</v>
      </c>
      <c r="J94" s="447">
        <f t="shared" si="35"/>
        <v>859.76603308711105</v>
      </c>
      <c r="K94" s="447">
        <f t="shared" si="35"/>
        <v>893.51750768460499</v>
      </c>
      <c r="L94" s="447">
        <f t="shared" si="35"/>
        <v>911.95805310128412</v>
      </c>
      <c r="M94" s="447">
        <f t="shared" si="35"/>
        <v>920.51507573438425</v>
      </c>
      <c r="N94" s="447">
        <f t="shared" si="35"/>
        <v>930.15123856573518</v>
      </c>
    </row>
    <row r="95" spans="1:14">
      <c r="B95" s="331" t="str">
        <f t="shared" si="31"/>
        <v>30-34</v>
      </c>
      <c r="C95" s="447">
        <f t="shared" si="34"/>
        <v>1050.4324106523723</v>
      </c>
      <c r="D95" s="447">
        <f t="shared" ref="D95:N95" si="36">D61+(0.2*D60)-(0.2*D61)</f>
        <v>978.84295422648256</v>
      </c>
      <c r="E95" s="447">
        <f t="shared" si="36"/>
        <v>935.76124319155394</v>
      </c>
      <c r="F95" s="447">
        <f t="shared" si="36"/>
        <v>917.43602765710159</v>
      </c>
      <c r="G95" s="447">
        <f t="shared" si="36"/>
        <v>912.08326670822953</v>
      </c>
      <c r="H95" s="447">
        <f t="shared" si="36"/>
        <v>914.78659809799194</v>
      </c>
      <c r="I95" s="447">
        <f t="shared" si="36"/>
        <v>921.23249408431229</v>
      </c>
      <c r="J95" s="447">
        <f t="shared" si="36"/>
        <v>936.99163731443559</v>
      </c>
      <c r="K95" s="447">
        <f t="shared" si="36"/>
        <v>958.37964180796257</v>
      </c>
      <c r="L95" s="447">
        <f t="shared" si="36"/>
        <v>974.65328761641638</v>
      </c>
      <c r="M95" s="447">
        <f t="shared" si="36"/>
        <v>986.45758829079409</v>
      </c>
      <c r="N95" s="447">
        <f t="shared" si="36"/>
        <v>998.7878300059449</v>
      </c>
    </row>
    <row r="96" spans="1:14">
      <c r="B96" s="331" t="str">
        <f t="shared" si="31"/>
        <v>35-39</v>
      </c>
      <c r="C96" s="447">
        <f t="shared" si="34"/>
        <v>1205.6949474529392</v>
      </c>
      <c r="D96" s="447">
        <f t="shared" ref="D96:N96" si="37">D62+(0.2*D61)-(0.2*D62)</f>
        <v>1144.9811726154671</v>
      </c>
      <c r="E96" s="447">
        <f t="shared" si="37"/>
        <v>1091.7617564257207</v>
      </c>
      <c r="F96" s="447">
        <f t="shared" si="37"/>
        <v>1048.3859601071631</v>
      </c>
      <c r="G96" s="447">
        <f t="shared" si="37"/>
        <v>1011.7865932515941</v>
      </c>
      <c r="H96" s="447">
        <f t="shared" si="37"/>
        <v>982.64016085531875</v>
      </c>
      <c r="I96" s="447">
        <f t="shared" si="37"/>
        <v>960.06438450210817</v>
      </c>
      <c r="J96" s="447">
        <f t="shared" si="37"/>
        <v>948.54694319762643</v>
      </c>
      <c r="K96" s="447">
        <f t="shared" si="37"/>
        <v>945.50210528945399</v>
      </c>
      <c r="L96" s="447">
        <f t="shared" si="37"/>
        <v>943.53594299747726</v>
      </c>
      <c r="M96" s="447">
        <f t="shared" si="37"/>
        <v>942.78118292607928</v>
      </c>
      <c r="N96" s="447">
        <f t="shared" si="37"/>
        <v>945.79826190926713</v>
      </c>
    </row>
    <row r="97" spans="1:14">
      <c r="B97" s="331" t="str">
        <f t="shared" si="31"/>
        <v>40-44</v>
      </c>
      <c r="C97" s="447">
        <f t="shared" si="34"/>
        <v>1143.3896226479205</v>
      </c>
      <c r="D97" s="447">
        <f t="shared" ref="D97:N97" si="38">D63+(0.2*D62)-(0.2*D63)</f>
        <v>1116.3429276023803</v>
      </c>
      <c r="E97" s="447">
        <f t="shared" si="38"/>
        <v>1089.0681089988068</v>
      </c>
      <c r="F97" s="447">
        <f t="shared" si="38"/>
        <v>1062.0363864886194</v>
      </c>
      <c r="G97" s="447">
        <f t="shared" si="38"/>
        <v>1032.8767242797323</v>
      </c>
      <c r="H97" s="447">
        <f t="shared" si="38"/>
        <v>1003.6955592344804</v>
      </c>
      <c r="I97" s="447">
        <f t="shared" si="38"/>
        <v>975.5491853416147</v>
      </c>
      <c r="J97" s="447">
        <f t="shared" si="38"/>
        <v>953.97404556102754</v>
      </c>
      <c r="K97" s="447">
        <f t="shared" si="38"/>
        <v>938.1227072701123</v>
      </c>
      <c r="L97" s="447">
        <f t="shared" si="38"/>
        <v>922.89602741652993</v>
      </c>
      <c r="M97" s="447">
        <f t="shared" si="38"/>
        <v>909.45283134022225</v>
      </c>
      <c r="N97" s="447">
        <f t="shared" si="38"/>
        <v>900.61560489497424</v>
      </c>
    </row>
    <row r="98" spans="1:14">
      <c r="B98" s="331" t="str">
        <f t="shared" si="31"/>
        <v>45-49</v>
      </c>
      <c r="C98" s="447">
        <f t="shared" si="34"/>
        <v>931.99982373148782</v>
      </c>
      <c r="D98" s="447">
        <f t="shared" ref="D98:N98" si="39">D64+(0.2*D63)-(0.2*D64)</f>
        <v>931.91655516224216</v>
      </c>
      <c r="E98" s="447">
        <f t="shared" si="39"/>
        <v>929.95132783767644</v>
      </c>
      <c r="F98" s="447">
        <f t="shared" si="39"/>
        <v>925.61663384918995</v>
      </c>
      <c r="G98" s="447">
        <f t="shared" si="39"/>
        <v>916.24116510700856</v>
      </c>
      <c r="H98" s="447">
        <f t="shared" si="39"/>
        <v>903.22489579825844</v>
      </c>
      <c r="I98" s="447">
        <f t="shared" si="39"/>
        <v>887.30202861929547</v>
      </c>
      <c r="J98" s="447">
        <f t="shared" si="39"/>
        <v>873.22657839571855</v>
      </c>
      <c r="K98" s="447">
        <f t="shared" si="39"/>
        <v>860.77221810825552</v>
      </c>
      <c r="L98" s="447">
        <f t="shared" si="39"/>
        <v>846.34533220765866</v>
      </c>
      <c r="M98" s="447">
        <f t="shared" si="39"/>
        <v>831.52348111191145</v>
      </c>
      <c r="N98" s="447">
        <f t="shared" si="39"/>
        <v>819.25723100002938</v>
      </c>
    </row>
    <row r="99" spans="1:14">
      <c r="B99" s="331" t="str">
        <f t="shared" si="31"/>
        <v>50-54</v>
      </c>
      <c r="C99" s="447">
        <f t="shared" si="34"/>
        <v>724.88988620099155</v>
      </c>
      <c r="D99" s="447">
        <f t="shared" ref="D99:N99" si="40">D65+(0.2*D64)-(0.2*D65)</f>
        <v>716.12558123284919</v>
      </c>
      <c r="E99" s="447">
        <f t="shared" si="40"/>
        <v>712.20381153942185</v>
      </c>
      <c r="F99" s="447">
        <f t="shared" si="40"/>
        <v>710.6079825173465</v>
      </c>
      <c r="G99" s="447">
        <f t="shared" si="40"/>
        <v>707.68865144586687</v>
      </c>
      <c r="H99" s="447">
        <f t="shared" si="40"/>
        <v>703.27260244444119</v>
      </c>
      <c r="I99" s="447">
        <f t="shared" si="40"/>
        <v>696.94113425700925</v>
      </c>
      <c r="J99" s="447">
        <f t="shared" si="40"/>
        <v>691.57788884338459</v>
      </c>
      <c r="K99" s="447">
        <f t="shared" si="40"/>
        <v>686.53412289260837</v>
      </c>
      <c r="L99" s="447">
        <f t="shared" si="40"/>
        <v>678.83393364305505</v>
      </c>
      <c r="M99" s="447">
        <f t="shared" si="40"/>
        <v>669.59582746255614</v>
      </c>
      <c r="N99" s="447">
        <f t="shared" si="40"/>
        <v>661.10152233850431</v>
      </c>
    </row>
    <row r="100" spans="1:14">
      <c r="B100" s="331" t="str">
        <f t="shared" si="31"/>
        <v>55-59</v>
      </c>
      <c r="C100" s="447">
        <f t="shared" si="34"/>
        <v>380.24223188540407</v>
      </c>
      <c r="D100" s="447">
        <f t="shared" ref="D100:N100" si="41">D66+(0.2*D65)-(0.2*D66)</f>
        <v>381.30337407034745</v>
      </c>
      <c r="E100" s="447">
        <f t="shared" si="41"/>
        <v>382.01397788977437</v>
      </c>
      <c r="F100" s="447">
        <f t="shared" si="41"/>
        <v>383.0181858493213</v>
      </c>
      <c r="G100" s="447">
        <f t="shared" si="41"/>
        <v>382.85220983452211</v>
      </c>
      <c r="H100" s="447">
        <f t="shared" si="41"/>
        <v>381.79796383624188</v>
      </c>
      <c r="I100" s="447">
        <f t="shared" si="41"/>
        <v>379.80866482439598</v>
      </c>
      <c r="J100" s="447">
        <f t="shared" si="41"/>
        <v>378.82769363704654</v>
      </c>
      <c r="K100" s="447">
        <f t="shared" si="41"/>
        <v>378.15871615013737</v>
      </c>
      <c r="L100" s="447">
        <f t="shared" si="41"/>
        <v>375.60225852259492</v>
      </c>
      <c r="M100" s="447">
        <f t="shared" si="41"/>
        <v>371.90106668553909</v>
      </c>
      <c r="N100" s="447">
        <f t="shared" si="41"/>
        <v>368.51201945394484</v>
      </c>
    </row>
    <row r="101" spans="1:14">
      <c r="B101" s="331" t="str">
        <f t="shared" si="31"/>
        <v>60-64</v>
      </c>
      <c r="C101" s="447">
        <f t="shared" si="34"/>
        <v>158.72762500530879</v>
      </c>
      <c r="D101" s="447">
        <f t="shared" ref="D101:N101" si="42">D67+(0.2*D66)-(0.2*D67)</f>
        <v>150.98966718393379</v>
      </c>
      <c r="E101" s="447">
        <f t="shared" si="42"/>
        <v>148.10690614841408</v>
      </c>
      <c r="F101" s="447">
        <f t="shared" si="42"/>
        <v>147.53959636967366</v>
      </c>
      <c r="G101" s="447">
        <f t="shared" si="42"/>
        <v>147.21465599890706</v>
      </c>
      <c r="H101" s="447">
        <f t="shared" si="42"/>
        <v>146.78339240661114</v>
      </c>
      <c r="I101" s="447">
        <f t="shared" si="42"/>
        <v>146.09065248132217</v>
      </c>
      <c r="J101" s="447">
        <f t="shared" si="42"/>
        <v>146.17200158889719</v>
      </c>
      <c r="K101" s="447">
        <f t="shared" si="42"/>
        <v>146.54370158486495</v>
      </c>
      <c r="L101" s="447">
        <f t="shared" si="42"/>
        <v>145.94120847979963</v>
      </c>
      <c r="M101" s="447">
        <f t="shared" si="42"/>
        <v>144.81200279494325</v>
      </c>
      <c r="N101" s="447">
        <f t="shared" si="42"/>
        <v>143.94094887151212</v>
      </c>
    </row>
    <row r="102" spans="1:14">
      <c r="B102" s="331" t="str">
        <f t="shared" si="31"/>
        <v>65 plus</v>
      </c>
      <c r="C102" s="447">
        <f>C68+(0.2*C67)</f>
        <v>36.952866521759084</v>
      </c>
      <c r="D102" s="447">
        <f t="shared" ref="D102:N102" si="43">D68+(0.2*D67)</f>
        <v>48.922754709156706</v>
      </c>
      <c r="E102" s="447">
        <f t="shared" si="43"/>
        <v>55.951858001794093</v>
      </c>
      <c r="F102" s="447">
        <f t="shared" si="43"/>
        <v>60.378595303086726</v>
      </c>
      <c r="G102" s="447">
        <f t="shared" si="43"/>
        <v>63.021981334124362</v>
      </c>
      <c r="H102" s="447">
        <f t="shared" si="43"/>
        <v>64.559199895188968</v>
      </c>
      <c r="I102" s="447">
        <f t="shared" si="43"/>
        <v>65.349440526078624</v>
      </c>
      <c r="J102" s="447">
        <f t="shared" si="43"/>
        <v>66.072684504644258</v>
      </c>
      <c r="K102" s="447">
        <f t="shared" si="43"/>
        <v>66.743858936213613</v>
      </c>
      <c r="L102" s="447">
        <f t="shared" si="43"/>
        <v>66.927350604004431</v>
      </c>
      <c r="M102" s="447">
        <f t="shared" si="43"/>
        <v>66.784492902302077</v>
      </c>
      <c r="N102" s="447">
        <f t="shared" si="43"/>
        <v>66.661477687601675</v>
      </c>
    </row>
    <row r="103" spans="1:14">
      <c r="B103" s="331" t="str">
        <f t="shared" si="31"/>
        <v>Total</v>
      </c>
      <c r="C103" s="447">
        <f>SUM(C93:C102)</f>
        <v>6360.2295568902391</v>
      </c>
      <c r="D103" s="447">
        <f t="shared" ref="D103:N103" si="44">SUM(D93:D102)</f>
        <v>6300.0699115547695</v>
      </c>
      <c r="E103" s="447">
        <f t="shared" si="44"/>
        <v>6287.01901017211</v>
      </c>
      <c r="F103" s="447">
        <f t="shared" si="44"/>
        <v>6311.5522787429409</v>
      </c>
      <c r="G103" s="447">
        <f t="shared" si="44"/>
        <v>6320.3447221173101</v>
      </c>
      <c r="H103" s="447">
        <f t="shared" si="44"/>
        <v>6313.4071235370147</v>
      </c>
      <c r="I103" s="447">
        <f t="shared" si="44"/>
        <v>6289.6155913868361</v>
      </c>
      <c r="J103" s="447">
        <f t="shared" si="44"/>
        <v>6304.9578960994895</v>
      </c>
      <c r="K103" s="447">
        <f t="shared" si="44"/>
        <v>6342.4837798386407</v>
      </c>
      <c r="L103" s="447">
        <f t="shared" si="44"/>
        <v>6340.6150608093922</v>
      </c>
      <c r="M103" s="447">
        <f t="shared" si="44"/>
        <v>6317.2170060339886</v>
      </c>
      <c r="N103" s="447">
        <f t="shared" si="44"/>
        <v>6310.6365483069931</v>
      </c>
    </row>
    <row r="104" spans="1:14">
      <c r="A104" s="302">
        <f>SUM(C104:N104)</f>
        <v>0</v>
      </c>
      <c r="C104" s="302">
        <f t="shared" ref="C104:N104" si="45">SUM(C93:C102)-C103</f>
        <v>0</v>
      </c>
      <c r="D104" s="302">
        <f t="shared" si="45"/>
        <v>0</v>
      </c>
      <c r="E104" s="302">
        <f t="shared" si="45"/>
        <v>0</v>
      </c>
      <c r="F104" s="302">
        <f t="shared" si="45"/>
        <v>0</v>
      </c>
      <c r="G104" s="302">
        <f t="shared" si="45"/>
        <v>0</v>
      </c>
      <c r="H104" s="302">
        <f t="shared" si="45"/>
        <v>0</v>
      </c>
      <c r="I104" s="302">
        <f t="shared" si="45"/>
        <v>0</v>
      </c>
      <c r="J104" s="302">
        <f t="shared" si="45"/>
        <v>0</v>
      </c>
      <c r="K104" s="302">
        <f t="shared" si="45"/>
        <v>0</v>
      </c>
      <c r="L104" s="302">
        <f t="shared" si="45"/>
        <v>0</v>
      </c>
      <c r="M104" s="302">
        <f t="shared" si="45"/>
        <v>0</v>
      </c>
      <c r="N104" s="302">
        <f t="shared" si="45"/>
        <v>0</v>
      </c>
    </row>
    <row r="106" spans="1:14" ht="15.75">
      <c r="B106" s="333" t="s">
        <v>164</v>
      </c>
      <c r="H106" s="318"/>
    </row>
    <row r="107" spans="1:14">
      <c r="H107" s="318"/>
    </row>
    <row r="108" spans="1:14">
      <c r="B108" s="334" t="s">
        <v>46</v>
      </c>
      <c r="H108" s="318"/>
    </row>
    <row r="109" spans="1:14">
      <c r="H109" s="318"/>
    </row>
    <row r="110" spans="1:14">
      <c r="B110" s="331" t="str">
        <f t="shared" ref="B110:B121" si="46">B76</f>
        <v>Age group</v>
      </c>
      <c r="C110" s="331" t="str">
        <f t="shared" ref="C110:N110" si="47">C76</f>
        <v>2017/18</v>
      </c>
      <c r="D110" s="331" t="str">
        <f t="shared" si="47"/>
        <v>2018/19</v>
      </c>
      <c r="E110" s="331" t="str">
        <f t="shared" si="47"/>
        <v>2019/20</v>
      </c>
      <c r="F110" s="331" t="str">
        <f t="shared" si="47"/>
        <v>2020/21</v>
      </c>
      <c r="G110" s="331" t="str">
        <f t="shared" si="47"/>
        <v>2021/22</v>
      </c>
      <c r="H110" s="331" t="str">
        <f t="shared" si="47"/>
        <v>2022/23</v>
      </c>
      <c r="I110" s="331" t="str">
        <f t="shared" si="47"/>
        <v>2023/24</v>
      </c>
      <c r="J110" s="331" t="str">
        <f t="shared" si="47"/>
        <v>2024/25</v>
      </c>
      <c r="K110" s="331" t="str">
        <f t="shared" si="47"/>
        <v>2025/26</v>
      </c>
      <c r="L110" s="331" t="str">
        <f t="shared" si="47"/>
        <v>2026/27</v>
      </c>
      <c r="M110" s="331" t="str">
        <f t="shared" si="47"/>
        <v>2027/28</v>
      </c>
      <c r="N110" s="331" t="str">
        <f t="shared" si="47"/>
        <v>2028/29</v>
      </c>
    </row>
    <row r="111" spans="1:14">
      <c r="B111" s="331" t="str">
        <f t="shared" si="46"/>
        <v>20-24</v>
      </c>
      <c r="C111" s="447">
        <f>C77*Group_3_rates!E74</f>
        <v>1.2611682046701669</v>
      </c>
      <c r="D111" s="447">
        <f>D77*Group_3_rates!F74</f>
        <v>5.1035674580635346</v>
      </c>
      <c r="E111" s="447">
        <f>E77*Group_3_rates!G74</f>
        <v>8.5038297082438206</v>
      </c>
      <c r="F111" s="447">
        <f>F77*Group_3_rates!H74</f>
        <v>10.888692159312839</v>
      </c>
      <c r="G111" s="447">
        <f>G77*Group_3_rates!I74</f>
        <v>12.676430352555499</v>
      </c>
      <c r="H111" s="447">
        <f>H77*Group_3_rates!J74</f>
        <v>13.847791470926905</v>
      </c>
      <c r="I111" s="447">
        <f>I77*Group_3_rates!K74</f>
        <v>14.559000714811978</v>
      </c>
      <c r="J111" s="447">
        <f>J77*Group_3_rates!L74</f>
        <v>15.326345346454639</v>
      </c>
      <c r="K111" s="447">
        <f>K77*Group_3_rates!M74</f>
        <v>16.039846602577459</v>
      </c>
      <c r="L111" s="447">
        <f>L77*Group_3_rates!N74</f>
        <v>16.291792489508346</v>
      </c>
      <c r="M111" s="447">
        <f>M77*Group_3_rates!O74</f>
        <v>16.311860659723969</v>
      </c>
      <c r="N111" s="447">
        <f>N77*Group_3_rates!P74</f>
        <v>16.422448418134504</v>
      </c>
    </row>
    <row r="112" spans="1:14">
      <c r="B112" s="331" t="str">
        <f t="shared" si="46"/>
        <v>25-29</v>
      </c>
      <c r="C112" s="447">
        <f>C78*Group_3_rates!E75</f>
        <v>9.9019341802644973</v>
      </c>
      <c r="D112" s="447">
        <f>D78*Group_3_rates!F75</f>
        <v>11.312143164123938</v>
      </c>
      <c r="E112" s="447">
        <f>E78*Group_3_rates!G75</f>
        <v>14.011511816921884</v>
      </c>
      <c r="F112" s="447">
        <f>F78*Group_3_rates!H75</f>
        <v>16.112643505906416</v>
      </c>
      <c r="G112" s="447">
        <f>G78*Group_3_rates!I75</f>
        <v>18.181350597525096</v>
      </c>
      <c r="H112" s="447">
        <f>H78*Group_3_rates!J75</f>
        <v>19.840247025165628</v>
      </c>
      <c r="I112" s="447">
        <f>I78*Group_3_rates!K75</f>
        <v>21.09080501784414</v>
      </c>
      <c r="J112" s="447">
        <f>J78*Group_3_rates!L75</f>
        <v>22.361344246224888</v>
      </c>
      <c r="K112" s="447">
        <f>K78*Group_3_rates!M75</f>
        <v>23.560916573613071</v>
      </c>
      <c r="L112" s="447">
        <f>L78*Group_3_rates!N75</f>
        <v>24.27867720146125</v>
      </c>
      <c r="M112" s="447">
        <f>M78*Group_3_rates!O75</f>
        <v>24.676447666683366</v>
      </c>
      <c r="N112" s="447">
        <f>N78*Group_3_rates!P75</f>
        <v>25.063673366015514</v>
      </c>
    </row>
    <row r="113" spans="1:14">
      <c r="B113" s="331" t="str">
        <f t="shared" si="46"/>
        <v>30-34</v>
      </c>
      <c r="C113" s="447">
        <f>C79*Group_3_rates!E76</f>
        <v>16.343202360288888</v>
      </c>
      <c r="D113" s="447">
        <f>D79*Group_3_rates!F76</f>
        <v>14.857252339458009</v>
      </c>
      <c r="E113" s="447">
        <f>E79*Group_3_rates!G76</f>
        <v>15.16289848827476</v>
      </c>
      <c r="F113" s="447">
        <f>F79*Group_3_rates!H76</f>
        <v>15.111373984464246</v>
      </c>
      <c r="G113" s="447">
        <f>G79*Group_3_rates!I76</f>
        <v>15.612322847577705</v>
      </c>
      <c r="H113" s="447">
        <f>H79*Group_3_rates!J76</f>
        <v>16.22317246276759</v>
      </c>
      <c r="I113" s="447">
        <f>I79*Group_3_rates!K76</f>
        <v>16.849344489324945</v>
      </c>
      <c r="J113" s="447">
        <f>J79*Group_3_rates!L76</f>
        <v>17.600336100789431</v>
      </c>
      <c r="K113" s="447">
        <f>K79*Group_3_rates!M76</f>
        <v>18.405576297031359</v>
      </c>
      <c r="L113" s="447">
        <f>L79*Group_3_rates!N76</f>
        <v>19.054360961222326</v>
      </c>
      <c r="M113" s="447">
        <f>M79*Group_3_rates!O76</f>
        <v>19.563444192877153</v>
      </c>
      <c r="N113" s="447">
        <f>N79*Group_3_rates!P76</f>
        <v>20.037998696902271</v>
      </c>
    </row>
    <row r="114" spans="1:14">
      <c r="B114" s="331" t="str">
        <f t="shared" si="46"/>
        <v>35-39</v>
      </c>
      <c r="C114" s="447">
        <f>C80*Group_3_rates!E77</f>
        <v>20.50976343552874</v>
      </c>
      <c r="D114" s="447">
        <f>D80*Group_3_rates!F77</f>
        <v>18.844640797532012</v>
      </c>
      <c r="E114" s="447">
        <f>E80*Group_3_rates!G77</f>
        <v>18.816667178971258</v>
      </c>
      <c r="F114" s="447">
        <f>F80*Group_3_rates!H77</f>
        <v>17.937728730559133</v>
      </c>
      <c r="G114" s="447">
        <f>G80*Group_3_rates!I77</f>
        <v>17.608290011120076</v>
      </c>
      <c r="H114" s="447">
        <f>H80*Group_3_rates!J77</f>
        <v>17.43084448754308</v>
      </c>
      <c r="I114" s="447">
        <f>I80*Group_3_rates!K77</f>
        <v>17.379146251962268</v>
      </c>
      <c r="J114" s="447">
        <f>J80*Group_3_rates!L77</f>
        <v>17.534810099089462</v>
      </c>
      <c r="K114" s="447">
        <f>K80*Group_3_rates!M77</f>
        <v>17.840580864505938</v>
      </c>
      <c r="L114" s="447">
        <f>L80*Group_3_rates!N77</f>
        <v>18.144304480759043</v>
      </c>
      <c r="M114" s="447">
        <f>M80*Group_3_rates!O77</f>
        <v>18.444636621891998</v>
      </c>
      <c r="N114" s="447">
        <f>N80*Group_3_rates!P77</f>
        <v>18.790635577105618</v>
      </c>
    </row>
    <row r="115" spans="1:14">
      <c r="B115" s="331" t="str">
        <f t="shared" si="46"/>
        <v>40-44</v>
      </c>
      <c r="C115" s="447">
        <f>C81*Group_3_rates!E78</f>
        <v>26.534247292137131</v>
      </c>
      <c r="D115" s="447">
        <f>D81*Group_3_rates!F78</f>
        <v>24.030161856656605</v>
      </c>
      <c r="E115" s="447">
        <f>E81*Group_3_rates!G78</f>
        <v>23.713686166955512</v>
      </c>
      <c r="F115" s="447">
        <f>F81*Group_3_rates!H78</f>
        <v>22.268548714383726</v>
      </c>
      <c r="G115" s="447">
        <f>G81*Group_3_rates!I78</f>
        <v>21.451080967456175</v>
      </c>
      <c r="H115" s="447">
        <f>H81*Group_3_rates!J78</f>
        <v>20.757266643610137</v>
      </c>
      <c r="I115" s="447">
        <f>I81*Group_3_rates!K78</f>
        <v>20.178815040313729</v>
      </c>
      <c r="J115" s="447">
        <f>J81*Group_3_rates!L78</f>
        <v>19.813192791623091</v>
      </c>
      <c r="K115" s="447">
        <f>K81*Group_3_rates!M78</f>
        <v>19.622085241439365</v>
      </c>
      <c r="L115" s="447">
        <f>L81*Group_3_rates!N78</f>
        <v>19.476888167506615</v>
      </c>
      <c r="M115" s="447">
        <f>M81*Group_3_rates!O78</f>
        <v>19.390065291477356</v>
      </c>
      <c r="N115" s="447">
        <f>N81*Group_3_rates!P78</f>
        <v>19.413638642502729</v>
      </c>
    </row>
    <row r="116" spans="1:14">
      <c r="B116" s="331" t="str">
        <f t="shared" si="46"/>
        <v>45-49</v>
      </c>
      <c r="C116" s="447">
        <f>C82*Group_3_rates!E79</f>
        <v>25.313468159391057</v>
      </c>
      <c r="D116" s="447">
        <f>D82*Group_3_rates!F79</f>
        <v>23.913249196146982</v>
      </c>
      <c r="E116" s="447">
        <f>E82*Group_3_rates!G79</f>
        <v>24.280069834247744</v>
      </c>
      <c r="F116" s="447">
        <f>F82*Group_3_rates!H79</f>
        <v>23.215323974232806</v>
      </c>
      <c r="G116" s="447">
        <f>G82*Group_3_rates!I79</f>
        <v>22.604145171381944</v>
      </c>
      <c r="H116" s="447">
        <f>H82*Group_3_rates!J79</f>
        <v>21.973685102621754</v>
      </c>
      <c r="I116" s="447">
        <f>I82*Group_3_rates!K79</f>
        <v>21.347503314360193</v>
      </c>
      <c r="J116" s="447">
        <f>J82*Group_3_rates!L79</f>
        <v>20.837449751569039</v>
      </c>
      <c r="K116" s="447">
        <f>K82*Group_3_rates!M79</f>
        <v>20.432602453916182</v>
      </c>
      <c r="L116" s="447">
        <f>L82*Group_3_rates!N79</f>
        <v>20.039090513585524</v>
      </c>
      <c r="M116" s="447">
        <f>M82*Group_3_rates!O79</f>
        <v>19.685043211642906</v>
      </c>
      <c r="N116" s="447">
        <f>N82*Group_3_rates!P79</f>
        <v>19.431600684781412</v>
      </c>
    </row>
    <row r="117" spans="1:14">
      <c r="B117" s="331" t="str">
        <f t="shared" si="46"/>
        <v>50-54</v>
      </c>
      <c r="C117" s="447">
        <f>C83*Group_3_rates!E80</f>
        <v>22.922295635692699</v>
      </c>
      <c r="D117" s="447">
        <f>D83*Group_3_rates!F80</f>
        <v>20.897493263647736</v>
      </c>
      <c r="E117" s="447">
        <f>E83*Group_3_rates!G80</f>
        <v>20.839386688532485</v>
      </c>
      <c r="F117" s="447">
        <f>F83*Group_3_rates!H80</f>
        <v>19.763447358872078</v>
      </c>
      <c r="G117" s="447">
        <f>G83*Group_3_rates!I80</f>
        <v>19.196230708304171</v>
      </c>
      <c r="H117" s="447">
        <f>H83*Group_3_rates!J80</f>
        <v>18.665708560504584</v>
      </c>
      <c r="I117" s="447">
        <f>I83*Group_3_rates!K80</f>
        <v>18.152910202629723</v>
      </c>
      <c r="J117" s="447">
        <f>J83*Group_3_rates!L80</f>
        <v>17.722055994391706</v>
      </c>
      <c r="K117" s="447">
        <f>K83*Group_3_rates!M80</f>
        <v>17.353854801992927</v>
      </c>
      <c r="L117" s="447">
        <f>L83*Group_3_rates!N80</f>
        <v>16.973001208582538</v>
      </c>
      <c r="M117" s="447">
        <f>M83*Group_3_rates!O80</f>
        <v>16.602047444931923</v>
      </c>
      <c r="N117" s="447">
        <f>N83*Group_3_rates!P80</f>
        <v>16.291177368458083</v>
      </c>
    </row>
    <row r="118" spans="1:14">
      <c r="B118" s="331" t="str">
        <f t="shared" si="46"/>
        <v>55-59</v>
      </c>
      <c r="C118" s="447">
        <f>C84*Group_3_rates!E81</f>
        <v>9.660375014147462</v>
      </c>
      <c r="D118" s="447">
        <f>D84*Group_3_rates!F81</f>
        <v>8.2408927046866918</v>
      </c>
      <c r="E118" s="447">
        <f>E84*Group_3_rates!G81</f>
        <v>7.795630382447265</v>
      </c>
      <c r="F118" s="447">
        <f>F84*Group_3_rates!H81</f>
        <v>7.1218912189052155</v>
      </c>
      <c r="G118" s="447">
        <f>G84*Group_3_rates!I81</f>
        <v>6.7402062071179687</v>
      </c>
      <c r="H118" s="447">
        <f>H84*Group_3_rates!J81</f>
        <v>6.444036063526835</v>
      </c>
      <c r="I118" s="447">
        <f>I84*Group_3_rates!K81</f>
        <v>6.201372231237821</v>
      </c>
      <c r="J118" s="447">
        <f>J84*Group_3_rates!L81</f>
        <v>6.0202536057287741</v>
      </c>
      <c r="K118" s="447">
        <f>K84*Group_3_rates!M81</f>
        <v>5.8781352004297398</v>
      </c>
      <c r="L118" s="447">
        <f>L84*Group_3_rates!N81</f>
        <v>5.7355523779873394</v>
      </c>
      <c r="M118" s="447">
        <f>M84*Group_3_rates!O81</f>
        <v>5.5980666770115546</v>
      </c>
      <c r="N118" s="447">
        <f>N84*Group_3_rates!P81</f>
        <v>5.4830130648852711</v>
      </c>
    </row>
    <row r="119" spans="1:14">
      <c r="B119" s="331" t="str">
        <f t="shared" si="46"/>
        <v>60-64</v>
      </c>
      <c r="C119" s="447">
        <f>C85*Group_3_rates!E82</f>
        <v>4.1890294750122044</v>
      </c>
      <c r="D119" s="447">
        <f>D85*Group_3_rates!F82</f>
        <v>3.7357783785173715</v>
      </c>
      <c r="E119" s="447">
        <f>E85*Group_3_rates!G82</f>
        <v>3.5616879273646598</v>
      </c>
      <c r="F119" s="447">
        <f>F85*Group_3_rates!H82</f>
        <v>3.2241752241600228</v>
      </c>
      <c r="G119" s="447">
        <f>G85*Group_3_rates!I82</f>
        <v>3.0045987465315247</v>
      </c>
      <c r="H119" s="447">
        <f>H85*Group_3_rates!J82</f>
        <v>2.827264120505566</v>
      </c>
      <c r="I119" s="447">
        <f>I85*Group_3_rates!K82</f>
        <v>2.6841697225735217</v>
      </c>
      <c r="J119" s="447">
        <f>J85*Group_3_rates!L82</f>
        <v>2.5832054573358634</v>
      </c>
      <c r="K119" s="447">
        <f>K85*Group_3_rates!M82</f>
        <v>2.5097553323395574</v>
      </c>
      <c r="L119" s="447">
        <f>L85*Group_3_rates!N82</f>
        <v>2.4388004572944171</v>
      </c>
      <c r="M119" s="447">
        <f>M85*Group_3_rates!O82</f>
        <v>2.3729677486693914</v>
      </c>
      <c r="N119" s="447">
        <f>N85*Group_3_rates!P82</f>
        <v>2.3212671459757508</v>
      </c>
    </row>
    <row r="120" spans="1:14">
      <c r="B120" s="331" t="str">
        <f t="shared" si="46"/>
        <v>65 plus</v>
      </c>
      <c r="C120" s="447">
        <f>C86*Group_3_rates!E83</f>
        <v>2.1629237667628018</v>
      </c>
      <c r="D120" s="447">
        <f>D86*Group_3_rates!F83</f>
        <v>2.2652150989398989</v>
      </c>
      <c r="E120" s="447">
        <f>E86*Group_3_rates!G83</f>
        <v>2.4149230316735024</v>
      </c>
      <c r="F120" s="447">
        <f>F86*Group_3_rates!H83</f>
        <v>2.3406187253652577</v>
      </c>
      <c r="G120" s="447">
        <f>G86*Group_3_rates!I83</f>
        <v>2.2686006513298249</v>
      </c>
      <c r="H120" s="447">
        <f>H86*Group_3_rates!J83</f>
        <v>2.1744429022394844</v>
      </c>
      <c r="I120" s="447">
        <f>I86*Group_3_rates!K83</f>
        <v>2.0754168412992651</v>
      </c>
      <c r="J120" s="447">
        <f>J86*Group_3_rates!L83</f>
        <v>1.9924923675121069</v>
      </c>
      <c r="K120" s="447">
        <f>K86*Group_3_rates!M83</f>
        <v>1.9256717124574103</v>
      </c>
      <c r="L120" s="447">
        <f>L86*Group_3_rates!N83</f>
        <v>1.8617338863918858</v>
      </c>
      <c r="M120" s="447">
        <f>M86*Group_3_rates!O83</f>
        <v>1.8028998096396927</v>
      </c>
      <c r="N120" s="447">
        <f>N86*Group_3_rates!P83</f>
        <v>1.7559577585304273</v>
      </c>
    </row>
    <row r="121" spans="1:14">
      <c r="B121" s="331" t="str">
        <f t="shared" si="46"/>
        <v>Total</v>
      </c>
      <c r="C121" s="447">
        <f>SUM(C111:C120)</f>
        <v>138.79840752389566</v>
      </c>
      <c r="D121" s="447">
        <f t="shared" ref="D121:N121" si="48">SUM(D111:D120)</f>
        <v>133.20039425777279</v>
      </c>
      <c r="E121" s="447">
        <f t="shared" si="48"/>
        <v>139.10029122363289</v>
      </c>
      <c r="F121" s="447">
        <f t="shared" si="48"/>
        <v>137.98444359616175</v>
      </c>
      <c r="G121" s="447">
        <f t="shared" si="48"/>
        <v>139.34325626089998</v>
      </c>
      <c r="H121" s="447">
        <f t="shared" si="48"/>
        <v>140.18445883941155</v>
      </c>
      <c r="I121" s="447">
        <f t="shared" si="48"/>
        <v>140.5184838263576</v>
      </c>
      <c r="J121" s="447">
        <f t="shared" si="48"/>
        <v>141.79148576071898</v>
      </c>
      <c r="K121" s="447">
        <f t="shared" si="48"/>
        <v>143.56902508030299</v>
      </c>
      <c r="L121" s="447">
        <f t="shared" si="48"/>
        <v>144.29420174429927</v>
      </c>
      <c r="M121" s="447">
        <f t="shared" si="48"/>
        <v>144.44747932454931</v>
      </c>
      <c r="N121" s="447">
        <f t="shared" si="48"/>
        <v>145.01141072329162</v>
      </c>
    </row>
    <row r="122" spans="1:14">
      <c r="A122" s="302">
        <f>SUM(C122:N122)</f>
        <v>0</v>
      </c>
      <c r="C122" s="302">
        <f t="shared" ref="C122:N122" si="49">SUM(C111:C120)-C121</f>
        <v>0</v>
      </c>
      <c r="D122" s="302">
        <f t="shared" si="49"/>
        <v>0</v>
      </c>
      <c r="E122" s="302">
        <f t="shared" si="49"/>
        <v>0</v>
      </c>
      <c r="F122" s="302">
        <f t="shared" si="49"/>
        <v>0</v>
      </c>
      <c r="G122" s="302">
        <f t="shared" si="49"/>
        <v>0</v>
      </c>
      <c r="H122" s="302">
        <f t="shared" si="49"/>
        <v>0</v>
      </c>
      <c r="I122" s="302">
        <f t="shared" si="49"/>
        <v>0</v>
      </c>
      <c r="J122" s="302">
        <f t="shared" si="49"/>
        <v>0</v>
      </c>
      <c r="K122" s="302">
        <f t="shared" si="49"/>
        <v>0</v>
      </c>
      <c r="L122" s="302">
        <f t="shared" si="49"/>
        <v>0</v>
      </c>
      <c r="M122" s="302">
        <f t="shared" si="49"/>
        <v>0</v>
      </c>
      <c r="N122" s="302">
        <f t="shared" si="49"/>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0">B110</f>
        <v>Age group</v>
      </c>
      <c r="C126" s="331" t="str">
        <f t="shared" ref="C126:N126" si="51">C110</f>
        <v>2017/18</v>
      </c>
      <c r="D126" s="331" t="str">
        <f t="shared" si="51"/>
        <v>2018/19</v>
      </c>
      <c r="E126" s="331" t="str">
        <f t="shared" si="51"/>
        <v>2019/20</v>
      </c>
      <c r="F126" s="331" t="str">
        <f t="shared" si="51"/>
        <v>2020/21</v>
      </c>
      <c r="G126" s="331" t="str">
        <f t="shared" si="51"/>
        <v>2021/22</v>
      </c>
      <c r="H126" s="331" t="str">
        <f t="shared" si="51"/>
        <v>2022/23</v>
      </c>
      <c r="I126" s="331" t="str">
        <f t="shared" si="51"/>
        <v>2023/24</v>
      </c>
      <c r="J126" s="331" t="str">
        <f t="shared" si="51"/>
        <v>2024/25</v>
      </c>
      <c r="K126" s="331" t="str">
        <f t="shared" si="51"/>
        <v>2025/26</v>
      </c>
      <c r="L126" s="331" t="str">
        <f t="shared" si="51"/>
        <v>2026/27</v>
      </c>
      <c r="M126" s="331" t="str">
        <f t="shared" si="51"/>
        <v>2027/28</v>
      </c>
      <c r="N126" s="331" t="str">
        <f t="shared" si="51"/>
        <v>2028/29</v>
      </c>
    </row>
    <row r="127" spans="1:14">
      <c r="B127" s="331" t="str">
        <f t="shared" si="50"/>
        <v>20-24</v>
      </c>
      <c r="C127" s="447">
        <f>C93*Group_3_rates!E89</f>
        <v>13.734830941319968</v>
      </c>
      <c r="D127" s="447">
        <f>D93*Group_3_rates!F89</f>
        <v>24.422381587426468</v>
      </c>
      <c r="E127" s="447">
        <f>E93*Group_3_rates!G89</f>
        <v>33.658284496313712</v>
      </c>
      <c r="F127" s="447">
        <f>F93*Group_3_rates!H89</f>
        <v>41.583950990581215</v>
      </c>
      <c r="G127" s="447">
        <f>G93*Group_3_rates!I89</f>
        <v>46.747511781859259</v>
      </c>
      <c r="H127" s="447">
        <f>H93*Group_3_rates!J89</f>
        <v>50.07584342619991</v>
      </c>
      <c r="I127" s="447">
        <f>I93*Group_3_rates!K89</f>
        <v>52.021480150531637</v>
      </c>
      <c r="J127" s="447">
        <f>J93*Group_3_rates!L89</f>
        <v>54.321239715241965</v>
      </c>
      <c r="K127" s="447">
        <f>K93*Group_3_rates!M89</f>
        <v>56.544173093469972</v>
      </c>
      <c r="L127" s="447">
        <f>L93*Group_3_rates!N89</f>
        <v>57.234049909682689</v>
      </c>
      <c r="M127" s="447">
        <f>M93*Group_3_rates!O89</f>
        <v>57.170259694255897</v>
      </c>
      <c r="N127" s="447">
        <f>N93*Group_3_rates!P89</f>
        <v>57.462148070858994</v>
      </c>
    </row>
    <row r="128" spans="1:14">
      <c r="B128" s="331" t="str">
        <f t="shared" si="50"/>
        <v>25-29</v>
      </c>
      <c r="C128" s="447">
        <f>C94*Group_3_rates!E90</f>
        <v>56.795620514636646</v>
      </c>
      <c r="D128" s="447">
        <f>D94*Group_3_rates!F90</f>
        <v>58.217105923004461</v>
      </c>
      <c r="E128" s="447">
        <f>E94*Group_3_rates!G90</f>
        <v>62.752617193329172</v>
      </c>
      <c r="F128" s="447">
        <f>F94*Group_3_rates!H90</f>
        <v>68.595433436499917</v>
      </c>
      <c r="G128" s="447">
        <f>G94*Group_3_rates!I90</f>
        <v>73.150172368080206</v>
      </c>
      <c r="H128" s="447">
        <f>H94*Group_3_rates!J90</f>
        <v>76.858995190018589</v>
      </c>
      <c r="I128" s="447">
        <f>I94*Group_3_rates!K90</f>
        <v>79.605909509460716</v>
      </c>
      <c r="J128" s="447">
        <f>J94*Group_3_rates!L90</f>
        <v>82.808168916226379</v>
      </c>
      <c r="K128" s="447">
        <f>K94*Group_3_rates!M90</f>
        <v>86.05893447578859</v>
      </c>
      <c r="L128" s="447">
        <f>L94*Group_3_rates!N90</f>
        <v>87.835031391700355</v>
      </c>
      <c r="M128" s="447">
        <f>M94*Group_3_rates!O90</f>
        <v>88.659199070292431</v>
      </c>
      <c r="N128" s="447">
        <f>N94*Group_3_rates!P90</f>
        <v>89.58730389036495</v>
      </c>
    </row>
    <row r="129" spans="1:14">
      <c r="B129" s="331" t="str">
        <f t="shared" si="50"/>
        <v>30-34</v>
      </c>
      <c r="C129" s="447">
        <f>C95*Group_3_rates!E91</f>
        <v>84.190867376094161</v>
      </c>
      <c r="D129" s="447">
        <f>D95*Group_3_rates!F91</f>
        <v>78.840785470222443</v>
      </c>
      <c r="E129" s="447">
        <f>E95*Group_3_rates!G91</f>
        <v>76.625444337891238</v>
      </c>
      <c r="F129" s="447">
        <f>F95*Group_3_rates!H91</f>
        <v>76.090636001126569</v>
      </c>
      <c r="G129" s="447">
        <f>G95*Group_3_rates!I91</f>
        <v>75.646686807195522</v>
      </c>
      <c r="H129" s="447">
        <f>H95*Group_3_rates!J91</f>
        <v>75.87089666877479</v>
      </c>
      <c r="I129" s="447">
        <f>I95*Group_3_rates!K91</f>
        <v>76.405508685755166</v>
      </c>
      <c r="J129" s="447">
        <f>J95*Group_3_rates!L91</f>
        <v>77.712546119498839</v>
      </c>
      <c r="K129" s="447">
        <f>K95*Group_3_rates!M91</f>
        <v>79.486432053391638</v>
      </c>
      <c r="L129" s="447">
        <f>L95*Group_3_rates!N91</f>
        <v>80.836141485213872</v>
      </c>
      <c r="M129" s="447">
        <f>M95*Group_3_rates!O91</f>
        <v>81.815170778575833</v>
      </c>
      <c r="N129" s="447">
        <f>N95*Group_3_rates!P91</f>
        <v>82.837820757288142</v>
      </c>
    </row>
    <row r="130" spans="1:14">
      <c r="B130" s="331" t="str">
        <f t="shared" si="50"/>
        <v>35-39</v>
      </c>
      <c r="C130" s="447">
        <f>C96*Group_3_rates!E92</f>
        <v>93.96148335236083</v>
      </c>
      <c r="D130" s="447">
        <f>D96*Group_3_rates!F92</f>
        <v>89.670960456833754</v>
      </c>
      <c r="E130" s="447">
        <f>E96*Group_3_rates!G92</f>
        <v>86.926337557672838</v>
      </c>
      <c r="F130" s="447">
        <f>F96*Group_3_rates!H92</f>
        <v>84.545826157959951</v>
      </c>
      <c r="G130" s="447">
        <f>G96*Group_3_rates!I92</f>
        <v>81.594314190605814</v>
      </c>
      <c r="H130" s="447">
        <f>H96*Group_3_rates!J92</f>
        <v>79.243835168311065</v>
      </c>
      <c r="I130" s="447">
        <f>I96*Group_3_rates!K92</f>
        <v>77.423238808222052</v>
      </c>
      <c r="J130" s="447">
        <f>J96*Group_3_rates!L92</f>
        <v>76.494428591979101</v>
      </c>
      <c r="K130" s="447">
        <f>K96*Group_3_rates!M92</f>
        <v>76.248881297128634</v>
      </c>
      <c r="L130" s="447">
        <f>L96*Group_3_rates!N92</f>
        <v>76.090322501359566</v>
      </c>
      <c r="M130" s="447">
        <f>M96*Group_3_rates!O92</f>
        <v>76.029455782216488</v>
      </c>
      <c r="N130" s="447">
        <f>N96*Group_3_rates!P92</f>
        <v>76.272764491912824</v>
      </c>
    </row>
    <row r="131" spans="1:14">
      <c r="B131" s="331" t="str">
        <f t="shared" si="50"/>
        <v>40-44</v>
      </c>
      <c r="C131" s="447">
        <f>C97*Group_3_rates!E93</f>
        <v>89.917929373636824</v>
      </c>
      <c r="D131" s="447">
        <f>D97*Group_3_rates!F93</f>
        <v>88.224809482470036</v>
      </c>
      <c r="E131" s="447">
        <f>E97*Group_3_rates!G93</f>
        <v>87.502039055426962</v>
      </c>
      <c r="F131" s="447">
        <f>F97*Group_3_rates!H93</f>
        <v>86.427111832569381</v>
      </c>
      <c r="G131" s="447">
        <f>G97*Group_3_rates!I93</f>
        <v>84.054137216266597</v>
      </c>
      <c r="H131" s="447">
        <f>H97*Group_3_rates!J93</f>
        <v>81.679412727674247</v>
      </c>
      <c r="I131" s="447">
        <f>I97*Group_3_rates!K93</f>
        <v>79.38889816991707</v>
      </c>
      <c r="J131" s="447">
        <f>J97*Group_3_rates!L93</f>
        <v>77.6331419243281</v>
      </c>
      <c r="K131" s="447">
        <f>K97*Group_3_rates!M93</f>
        <v>76.343181048604848</v>
      </c>
      <c r="L131" s="447">
        <f>L97*Group_3_rates!N93</f>
        <v>75.104054047603185</v>
      </c>
      <c r="M131" s="447">
        <f>M97*Group_3_rates!O93</f>
        <v>74.010064589750783</v>
      </c>
      <c r="N131" s="447">
        <f>N97*Group_3_rates!P93</f>
        <v>73.290902828449518</v>
      </c>
    </row>
    <row r="132" spans="1:14">
      <c r="B132" s="331" t="str">
        <f t="shared" si="50"/>
        <v>45-49</v>
      </c>
      <c r="C132" s="447">
        <f>C98*Group_3_rates!E94</f>
        <v>82.015272069607022</v>
      </c>
      <c r="D132" s="447">
        <f>D98*Group_3_rates!F94</f>
        <v>82.413238279521551</v>
      </c>
      <c r="E132" s="447">
        <f>E98*Group_3_rates!G94</f>
        <v>83.608455356878864</v>
      </c>
      <c r="F132" s="447">
        <f>F98*Group_3_rates!H94</f>
        <v>84.288553905703651</v>
      </c>
      <c r="G132" s="447">
        <f>G98*Group_3_rates!I94</f>
        <v>83.43480444446034</v>
      </c>
      <c r="H132" s="447">
        <f>H98*Group_3_rates!J94</f>
        <v>82.249516197511554</v>
      </c>
      <c r="I132" s="447">
        <f>I98*Group_3_rates!K94</f>
        <v>80.799547172034806</v>
      </c>
      <c r="J132" s="447">
        <f>J98*Group_3_rates!L94</f>
        <v>79.517807733123306</v>
      </c>
      <c r="K132" s="447">
        <f>K98*Group_3_rates!M94</f>
        <v>78.383688077034762</v>
      </c>
      <c r="L132" s="447">
        <f>L98*Group_3_rates!N94</f>
        <v>77.06994618276147</v>
      </c>
      <c r="M132" s="447">
        <f>M98*Group_3_rates!O94</f>
        <v>75.720237945701257</v>
      </c>
      <c r="N132" s="447">
        <f>N98*Group_3_rates!P94</f>
        <v>74.603247988988073</v>
      </c>
    </row>
    <row r="133" spans="1:14">
      <c r="B133" s="331" t="str">
        <f t="shared" si="50"/>
        <v>50-54</v>
      </c>
      <c r="C133" s="447">
        <f>C99*Group_3_rates!E95</f>
        <v>63.004962203595902</v>
      </c>
      <c r="D133" s="447">
        <f>D99*Group_3_rates!F95</f>
        <v>62.550812510762675</v>
      </c>
      <c r="E133" s="447">
        <f>E99*Group_3_rates!G95</f>
        <v>63.243819422454649</v>
      </c>
      <c r="F133" s="447">
        <f>F99*Group_3_rates!H95</f>
        <v>63.913315834228818</v>
      </c>
      <c r="G133" s="447">
        <f>G99*Group_3_rates!I95</f>
        <v>63.650746128587208</v>
      </c>
      <c r="H133" s="447">
        <f>H99*Group_3_rates!J95</f>
        <v>63.253559013452794</v>
      </c>
      <c r="I133" s="447">
        <f>I99*Group_3_rates!K95</f>
        <v>62.684095770830368</v>
      </c>
      <c r="J133" s="447">
        <f>J99*Group_3_rates!L95</f>
        <v>62.201716165688367</v>
      </c>
      <c r="K133" s="447">
        <f>K99*Group_3_rates!M95</f>
        <v>61.748071098173213</v>
      </c>
      <c r="L133" s="447">
        <f>L99*Group_3_rates!N95</f>
        <v>61.05550270660153</v>
      </c>
      <c r="M133" s="447">
        <f>M99*Group_3_rates!O95</f>
        <v>60.224611395849962</v>
      </c>
      <c r="N133" s="447">
        <f>N99*Group_3_rates!P95</f>
        <v>59.460618843637697</v>
      </c>
    </row>
    <row r="134" spans="1:14">
      <c r="B134" s="331" t="str">
        <f t="shared" si="50"/>
        <v>55-59</v>
      </c>
      <c r="C134" s="447">
        <f>C100*Group_3_rates!E96</f>
        <v>22.356519687651378</v>
      </c>
      <c r="D134" s="447">
        <f>D100*Group_3_rates!F96</f>
        <v>22.529707167163387</v>
      </c>
      <c r="E134" s="447">
        <f>E100*Group_3_rates!G96</f>
        <v>22.947436750093239</v>
      </c>
      <c r="F134" s="447">
        <f>F100*Group_3_rates!H96</f>
        <v>23.303534348156429</v>
      </c>
      <c r="G134" s="447">
        <f>G100*Group_3_rates!I96</f>
        <v>23.293436060647529</v>
      </c>
      <c r="H134" s="447">
        <f>H100*Group_3_rates!J96</f>
        <v>23.22929378558074</v>
      </c>
      <c r="I134" s="447">
        <f>I100*Group_3_rates!K96</f>
        <v>23.108261156938031</v>
      </c>
      <c r="J134" s="447">
        <f>J100*Group_3_rates!L96</f>
        <v>23.048577056799921</v>
      </c>
      <c r="K134" s="447">
        <f>K100*Group_3_rates!M96</f>
        <v>23.00787523004524</v>
      </c>
      <c r="L134" s="447">
        <f>L100*Group_3_rates!N96</f>
        <v>22.852335622961206</v>
      </c>
      <c r="M134" s="447">
        <f>M100*Group_3_rates!O96</f>
        <v>22.627148270792301</v>
      </c>
      <c r="N134" s="447">
        <f>N100*Group_3_rates!P96</f>
        <v>22.420952373347237</v>
      </c>
    </row>
    <row r="135" spans="1:14">
      <c r="B135" s="331" t="str">
        <f t="shared" si="50"/>
        <v>60-64</v>
      </c>
      <c r="C135" s="447">
        <f>C101*Group_3_rates!E97</f>
        <v>7.8343037675435783</v>
      </c>
      <c r="D135" s="447">
        <f>D101*Group_3_rates!F97</f>
        <v>7.4892127732498297</v>
      </c>
      <c r="E135" s="447">
        <f>E101*Group_3_rates!G97</f>
        <v>7.4685153887368196</v>
      </c>
      <c r="F135" s="447">
        <f>F101*Group_3_rates!H97</f>
        <v>7.5355513308046653</v>
      </c>
      <c r="G135" s="447">
        <f>G101*Group_3_rates!I97</f>
        <v>7.5189550752664083</v>
      </c>
      <c r="H135" s="447">
        <f>H101*Group_3_rates!J97</f>
        <v>7.4969283853687996</v>
      </c>
      <c r="I135" s="447">
        <f>I101*Group_3_rates!K97</f>
        <v>7.4615468512290883</v>
      </c>
      <c r="J135" s="447">
        <f>J101*Group_3_rates!L97</f>
        <v>7.4657017383978914</v>
      </c>
      <c r="K135" s="447">
        <f>K101*Group_3_rates!M97</f>
        <v>7.484686231159122</v>
      </c>
      <c r="L135" s="447">
        <f>L101*Group_3_rates!N97</f>
        <v>7.4539140328382052</v>
      </c>
      <c r="M135" s="447">
        <f>M101*Group_3_rates!O97</f>
        <v>7.3962401092905825</v>
      </c>
      <c r="N135" s="447">
        <f>N101*Group_3_rates!P97</f>
        <v>7.3517512282483182</v>
      </c>
    </row>
    <row r="136" spans="1:14">
      <c r="B136" s="331" t="str">
        <f t="shared" si="50"/>
        <v>65 plus</v>
      </c>
      <c r="C136" s="447">
        <f>C102*Group_3_rates!E98</f>
        <v>2.8238293764351527</v>
      </c>
      <c r="D136" s="447">
        <f>D102*Group_3_rates!F98</f>
        <v>3.7570093364636525</v>
      </c>
      <c r="E136" s="447">
        <f>E102*Group_3_rates!G98</f>
        <v>4.3683347645699602</v>
      </c>
      <c r="F136" s="447">
        <f>F102*Group_3_rates!H98</f>
        <v>4.7745437403708211</v>
      </c>
      <c r="G136" s="447">
        <f>G102*Group_3_rates!I98</f>
        <v>4.9835741453433124</v>
      </c>
      <c r="H136" s="447">
        <f>H102*Group_3_rates!J98</f>
        <v>5.1051324098486424</v>
      </c>
      <c r="I136" s="447">
        <f>I102*Group_3_rates!K98</f>
        <v>5.1676220792200658</v>
      </c>
      <c r="J136" s="447">
        <f>J102*Group_3_rates!L98</f>
        <v>5.2248138703388785</v>
      </c>
      <c r="K136" s="447">
        <f>K102*Group_3_rates!M98</f>
        <v>5.2778881703430489</v>
      </c>
      <c r="L136" s="447">
        <f>L102*Group_3_rates!N98</f>
        <v>5.2923980970722662</v>
      </c>
      <c r="M136" s="447">
        <f>M102*Group_3_rates!O98</f>
        <v>5.2811013727612277</v>
      </c>
      <c r="N136" s="447">
        <f>N102*Group_3_rates!P98</f>
        <v>5.271373728049225</v>
      </c>
    </row>
    <row r="137" spans="1:14">
      <c r="B137" s="331" t="str">
        <f t="shared" si="50"/>
        <v>Total</v>
      </c>
      <c r="C137" s="447">
        <f>SUM(C127:C136)</f>
        <v>516.63561866288137</v>
      </c>
      <c r="D137" s="447">
        <f t="shared" ref="D137:N137" si="52">SUM(D127:D136)</f>
        <v>518.1160229871183</v>
      </c>
      <c r="E137" s="447">
        <f t="shared" si="52"/>
        <v>529.10128432336739</v>
      </c>
      <c r="F137" s="447">
        <f t="shared" si="52"/>
        <v>541.05845757800137</v>
      </c>
      <c r="G137" s="447">
        <f t="shared" si="52"/>
        <v>544.07433821831228</v>
      </c>
      <c r="H137" s="447">
        <f t="shared" si="52"/>
        <v>545.06341297274116</v>
      </c>
      <c r="I137" s="447">
        <f t="shared" si="52"/>
        <v>544.06610835413903</v>
      </c>
      <c r="J137" s="447">
        <f t="shared" si="52"/>
        <v>546.42814183162272</v>
      </c>
      <c r="K137" s="447">
        <f t="shared" si="52"/>
        <v>550.58381077513911</v>
      </c>
      <c r="L137" s="447">
        <f t="shared" si="52"/>
        <v>550.82369597779416</v>
      </c>
      <c r="M137" s="447">
        <f t="shared" si="52"/>
        <v>548.93348900948672</v>
      </c>
      <c r="N137" s="447">
        <f t="shared" si="52"/>
        <v>548.55888420114502</v>
      </c>
    </row>
    <row r="138" spans="1:14">
      <c r="A138" s="302">
        <f>SUM(C138:N138)</f>
        <v>0</v>
      </c>
      <c r="C138" s="302">
        <f t="shared" ref="C138:N138" si="53">SUM(C127:C136)-C137</f>
        <v>0</v>
      </c>
      <c r="D138" s="302">
        <f t="shared" si="53"/>
        <v>0</v>
      </c>
      <c r="E138" s="302">
        <f t="shared" si="53"/>
        <v>0</v>
      </c>
      <c r="F138" s="302">
        <f t="shared" si="53"/>
        <v>0</v>
      </c>
      <c r="G138" s="302">
        <f t="shared" si="53"/>
        <v>0</v>
      </c>
      <c r="H138" s="302">
        <f t="shared" si="53"/>
        <v>0</v>
      </c>
      <c r="I138" s="302">
        <f t="shared" si="53"/>
        <v>0</v>
      </c>
      <c r="J138" s="302">
        <f t="shared" si="53"/>
        <v>0</v>
      </c>
      <c r="K138" s="302">
        <f t="shared" si="53"/>
        <v>0</v>
      </c>
      <c r="L138" s="302">
        <f t="shared" si="53"/>
        <v>0</v>
      </c>
      <c r="M138" s="302">
        <f t="shared" si="53"/>
        <v>0</v>
      </c>
      <c r="N138" s="302">
        <f t="shared" si="53"/>
        <v>0</v>
      </c>
    </row>
    <row r="140" spans="1:14" ht="15.75">
      <c r="B140" s="333" t="s">
        <v>165</v>
      </c>
      <c r="H140" s="318"/>
    </row>
    <row r="141" spans="1:14">
      <c r="H141" s="318"/>
    </row>
    <row r="142" spans="1:14">
      <c r="B142" s="334" t="s">
        <v>46</v>
      </c>
      <c r="H142" s="318"/>
    </row>
    <row r="143" spans="1:14">
      <c r="H143" s="318"/>
    </row>
    <row r="144" spans="1:14">
      <c r="B144" s="331" t="str">
        <f t="shared" ref="B144:B155" si="54">B110</f>
        <v>Age group</v>
      </c>
      <c r="C144" s="331" t="str">
        <f t="shared" ref="C144:N144" si="55">C110</f>
        <v>2017/18</v>
      </c>
      <c r="D144" s="331" t="str">
        <f t="shared" si="55"/>
        <v>2018/19</v>
      </c>
      <c r="E144" s="331" t="str">
        <f t="shared" si="55"/>
        <v>2019/20</v>
      </c>
      <c r="F144" s="331" t="str">
        <f t="shared" si="55"/>
        <v>2020/21</v>
      </c>
      <c r="G144" s="331" t="str">
        <f t="shared" si="55"/>
        <v>2021/22</v>
      </c>
      <c r="H144" s="331" t="str">
        <f t="shared" si="55"/>
        <v>2022/23</v>
      </c>
      <c r="I144" s="331" t="str">
        <f t="shared" si="55"/>
        <v>2023/24</v>
      </c>
      <c r="J144" s="331" t="str">
        <f t="shared" si="55"/>
        <v>2024/25</v>
      </c>
      <c r="K144" s="331" t="str">
        <f t="shared" si="55"/>
        <v>2025/26</v>
      </c>
      <c r="L144" s="331" t="str">
        <f t="shared" si="55"/>
        <v>2026/27</v>
      </c>
      <c r="M144" s="331" t="str">
        <f t="shared" si="55"/>
        <v>2027/28</v>
      </c>
      <c r="N144" s="331" t="str">
        <f t="shared" si="55"/>
        <v>2028/29</v>
      </c>
    </row>
    <row r="145" spans="1:14">
      <c r="B145" s="331" t="str">
        <f t="shared" si="54"/>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4"/>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4"/>
        <v>30-34</v>
      </c>
      <c r="C147" s="447">
        <f>C79*Calc_SEC_retirement_rates!$G126</f>
        <v>3.1467664145135965E-2</v>
      </c>
      <c r="D147" s="447">
        <f>D79*Calc_SEC_retirement_rates!$G126</f>
        <v>2.9673469185809563E-2</v>
      </c>
      <c r="E147" s="447">
        <f>E79*Calc_SEC_retirement_rates!$G126</f>
        <v>2.9188555289959284E-2</v>
      </c>
      <c r="F147" s="447">
        <f>F79*Calc_SEC_retirement_rates!$G126</f>
        <v>2.9646051749815688E-2</v>
      </c>
      <c r="G147" s="447">
        <f>G79*Calc_SEC_retirement_rates!$G126</f>
        <v>3.0628831736277621E-2</v>
      </c>
      <c r="H147" s="447">
        <f>H79*Calc_SEC_retirement_rates!$G126</f>
        <v>3.1827219078281871E-2</v>
      </c>
      <c r="I147" s="447">
        <f>I79*Calc_SEC_retirement_rates!$G126</f>
        <v>3.3055666492970391E-2</v>
      </c>
      <c r="J147" s="447">
        <f>J79*Calc_SEC_retirement_rates!$G126</f>
        <v>3.4528989580602444E-2</v>
      </c>
      <c r="K147" s="447">
        <f>K79*Calc_SEC_retirement_rates!$G126</f>
        <v>3.6108739545983655E-2</v>
      </c>
      <c r="L147" s="447">
        <f>L79*Calc_SEC_retirement_rates!$G126</f>
        <v>3.7381549268571831E-2</v>
      </c>
      <c r="M147" s="447">
        <f>M79*Calc_SEC_retirement_rates!$G126</f>
        <v>3.8380287559750294E-2</v>
      </c>
      <c r="N147" s="447">
        <f>N79*Calc_SEC_retirement_rates!$G126</f>
        <v>3.9311286117452625E-2</v>
      </c>
    </row>
    <row r="148" spans="1:14">
      <c r="B148" s="331" t="str">
        <f t="shared" si="54"/>
        <v>35-39</v>
      </c>
      <c r="C148" s="447">
        <f>C80*Calc_SEC_retirement_rates!$G127</f>
        <v>8.5171351097081113E-2</v>
      </c>
      <c r="D148" s="447">
        <f>D80*Calc_SEC_retirement_rates!$G127</f>
        <v>8.1175173391941857E-2</v>
      </c>
      <c r="E148" s="447">
        <f>E80*Calc_SEC_retirement_rates!$G127</f>
        <v>7.812294616521305E-2</v>
      </c>
      <c r="F148" s="447">
        <f>F80*Calc_SEC_retirement_rates!$G127</f>
        <v>7.5898972717008018E-2</v>
      </c>
      <c r="G148" s="447">
        <f>G80*Calc_SEC_retirement_rates!$G127</f>
        <v>7.4505035906266004E-2</v>
      </c>
      <c r="H148" s="447">
        <f>H80*Calc_SEC_retirement_rates!$G127</f>
        <v>7.3754219949852221E-2</v>
      </c>
      <c r="I148" s="447">
        <f>I80*Calc_SEC_retirement_rates!$G127</f>
        <v>7.3535471911524444E-2</v>
      </c>
      <c r="J148" s="447">
        <f>J80*Calc_SEC_retirement_rates!$G127</f>
        <v>7.4194124200428993E-2</v>
      </c>
      <c r="K148" s="447">
        <f>K80*Calc_SEC_retirement_rates!$G127</f>
        <v>7.5487916036095809E-2</v>
      </c>
      <c r="L148" s="447">
        <f>L80*Calc_SEC_retirement_rates!$G127</f>
        <v>7.6773045876655455E-2</v>
      </c>
      <c r="M148" s="447">
        <f>M80*Calc_SEC_retirement_rates!$G127</f>
        <v>7.8043825546048981E-2</v>
      </c>
      <c r="N148" s="447">
        <f>N80*Calc_SEC_retirement_rates!$G127</f>
        <v>7.9507832815661275E-2</v>
      </c>
    </row>
    <row r="149" spans="1:14">
      <c r="B149" s="331" t="str">
        <f t="shared" si="54"/>
        <v>40-44</v>
      </c>
      <c r="C149" s="447">
        <f>C81*Calc_SEC_retirement_rates!$G128</f>
        <v>0.19874732798667993</v>
      </c>
      <c r="D149" s="447">
        <f>D81*Calc_SEC_retirement_rates!$G128</f>
        <v>0.18670403249928344</v>
      </c>
      <c r="E149" s="447">
        <f>E81*Calc_SEC_retirement_rates!$G128</f>
        <v>0.17758104953046869</v>
      </c>
      <c r="F149" s="447">
        <f>F81*Calc_SEC_retirement_rates!$G128</f>
        <v>0.16995032551347022</v>
      </c>
      <c r="G149" s="447">
        <f>G81*Calc_SEC_retirement_rates!$G128</f>
        <v>0.16371153054443108</v>
      </c>
      <c r="H149" s="447">
        <f>H81*Calc_SEC_retirement_rates!$G128</f>
        <v>0.15841644051876724</v>
      </c>
      <c r="I149" s="447">
        <f>I81*Calc_SEC_retirement_rates!$G128</f>
        <v>0.15400178200038278</v>
      </c>
      <c r="J149" s="447">
        <f>J81*Calc_SEC_retirement_rates!$G128</f>
        <v>0.15121140616687351</v>
      </c>
      <c r="K149" s="447">
        <f>K81*Calc_SEC_retirement_rates!$G128</f>
        <v>0.14975290113457979</v>
      </c>
      <c r="L149" s="447">
        <f>L81*Calc_SEC_retirement_rates!$G128</f>
        <v>0.14864477818076846</v>
      </c>
      <c r="M149" s="447">
        <f>M81*Calc_SEC_retirement_rates!$G128</f>
        <v>0.14798215861662697</v>
      </c>
      <c r="N149" s="447">
        <f>N81*Calc_SEC_retirement_rates!$G128</f>
        <v>0.1481620670036346</v>
      </c>
    </row>
    <row r="150" spans="1:14">
      <c r="B150" s="331" t="str">
        <f t="shared" si="54"/>
        <v>45-49</v>
      </c>
      <c r="C150" s="447">
        <f>C82*Calc_SEC_retirement_rates!$G129</f>
        <v>0.38255579084430374</v>
      </c>
      <c r="D150" s="447">
        <f>D82*Calc_SEC_retirement_rates!$G129</f>
        <v>0.3748730282742902</v>
      </c>
      <c r="E150" s="447">
        <f>E82*Calc_SEC_retirement_rates!$G129</f>
        <v>0.36685638716980284</v>
      </c>
      <c r="F150" s="447">
        <f>F82*Calc_SEC_retirement_rates!$G129</f>
        <v>0.35748139020308889</v>
      </c>
      <c r="G150" s="447">
        <f>G82*Calc_SEC_retirement_rates!$G129</f>
        <v>0.34807014751062043</v>
      </c>
      <c r="H150" s="447">
        <f>H82*Calc_SEC_retirement_rates!$G129</f>
        <v>0.33836200205901784</v>
      </c>
      <c r="I150" s="447">
        <f>I82*Calc_SEC_retirement_rates!$G129</f>
        <v>0.32871973575095109</v>
      </c>
      <c r="J150" s="447">
        <f>J82*Calc_SEC_retirement_rates!$G129</f>
        <v>0.32086567104321767</v>
      </c>
      <c r="K150" s="447">
        <f>K82*Calc_SEC_retirement_rates!$G129</f>
        <v>0.31463162602426636</v>
      </c>
      <c r="L150" s="447">
        <f>L82*Calc_SEC_retirement_rates!$G129</f>
        <v>0.30857212861440664</v>
      </c>
      <c r="M150" s="447">
        <f>M82*Calc_SEC_retirement_rates!$G129</f>
        <v>0.30312032781952747</v>
      </c>
      <c r="N150" s="447">
        <f>N82*Calc_SEC_retirement_rates!$G129</f>
        <v>0.29921769062438897</v>
      </c>
    </row>
    <row r="151" spans="1:14">
      <c r="B151" s="331" t="str">
        <f t="shared" si="54"/>
        <v>50-54</v>
      </c>
      <c r="C151" s="447">
        <f>C83*Calc_SEC_retirement_rates!$G130</f>
        <v>7.6723171519325541</v>
      </c>
      <c r="D151" s="447">
        <f>D83*Calc_SEC_retirement_rates!$G130</f>
        <v>7.2554625919403382</v>
      </c>
      <c r="E151" s="447">
        <f>E83*Calc_SEC_retirement_rates!$G130</f>
        <v>6.9735897570875753</v>
      </c>
      <c r="F151" s="447">
        <f>F83*Calc_SEC_retirement_rates!$G130</f>
        <v>6.7401055749887639</v>
      </c>
      <c r="G151" s="447">
        <f>G83*Calc_SEC_retirement_rates!$G130</f>
        <v>6.5466625971874759</v>
      </c>
      <c r="H151" s="447">
        <f>H83*Calc_SEC_retirement_rates!$G130</f>
        <v>6.3657338745254455</v>
      </c>
      <c r="I151" s="447">
        <f>I83*Calc_SEC_retirement_rates!$G130</f>
        <v>6.1908496547840031</v>
      </c>
      <c r="J151" s="447">
        <f>J83*Calc_SEC_retirement_rates!$G130</f>
        <v>6.0439115827857082</v>
      </c>
      <c r="K151" s="447">
        <f>K83*Calc_SEC_retirement_rates!$G130</f>
        <v>5.9183406302823007</v>
      </c>
      <c r="L151" s="447">
        <f>L83*Calc_SEC_retirement_rates!$G130</f>
        <v>5.7884547160696922</v>
      </c>
      <c r="M151" s="447">
        <f>M83*Calc_SEC_retirement_rates!$G130</f>
        <v>5.6619450295234248</v>
      </c>
      <c r="N151" s="447">
        <f>N83*Calc_SEC_retirement_rates!$G130</f>
        <v>5.5559262212916769</v>
      </c>
    </row>
    <row r="152" spans="1:14">
      <c r="B152" s="331" t="str">
        <f t="shared" si="54"/>
        <v>55-59</v>
      </c>
      <c r="C152" s="447">
        <f>C84*Calc_SEC_retirement_rates!$G131</f>
        <v>37.120995837521669</v>
      </c>
      <c r="D152" s="447">
        <f>D84*Calc_SEC_retirement_rates!$G131</f>
        <v>32.847503529547467</v>
      </c>
      <c r="E152" s="447">
        <f>E84*Calc_SEC_retirement_rates!$G131</f>
        <v>29.94883244815945</v>
      </c>
      <c r="F152" s="447">
        <f>F84*Calc_SEC_retirement_rates!$G131</f>
        <v>27.884093395764925</v>
      </c>
      <c r="G152" s="447">
        <f>G84*Calc_SEC_retirement_rates!$G131</f>
        <v>26.389695322372944</v>
      </c>
      <c r="H152" s="447">
        <f>H84*Calc_SEC_retirement_rates!$G131</f>
        <v>25.230110643094203</v>
      </c>
      <c r="I152" s="447">
        <f>I84*Calc_SEC_retirement_rates!$G131</f>
        <v>24.280017366555608</v>
      </c>
      <c r="J152" s="447">
        <f>J84*Calc_SEC_retirement_rates!$G131</f>
        <v>23.570889901086797</v>
      </c>
      <c r="K152" s="447">
        <f>K84*Calc_SEC_retirement_rates!$G131</f>
        <v>23.014458643600584</v>
      </c>
      <c r="L152" s="447">
        <f>L84*Calc_SEC_retirement_rates!$G131</f>
        <v>22.45620906979892</v>
      </c>
      <c r="M152" s="447">
        <f>M84*Calc_SEC_retirement_rates!$G131</f>
        <v>21.917916078688013</v>
      </c>
      <c r="N152" s="447">
        <f>N84*Calc_SEC_retirement_rates!$G131</f>
        <v>21.467450666139548</v>
      </c>
    </row>
    <row r="153" spans="1:14">
      <c r="B153" s="331" t="str">
        <f t="shared" si="54"/>
        <v>60-64</v>
      </c>
      <c r="C153" s="447">
        <f>C85*Calc_SEC_retirement_rates!$G132</f>
        <v>23.53701292455046</v>
      </c>
      <c r="D153" s="447">
        <f>D85*Calc_SEC_retirement_rates!$G132</f>
        <v>21.773162289542476</v>
      </c>
      <c r="E153" s="447">
        <f>E85*Calc_SEC_retirement_rates!$G132</f>
        <v>20.007683928014721</v>
      </c>
      <c r="F153" s="447">
        <f>F85*Calc_SEC_retirement_rates!$G132</f>
        <v>18.458318111656276</v>
      </c>
      <c r="G153" s="447">
        <f>G85*Calc_SEC_retirement_rates!$G132</f>
        <v>17.201248569178262</v>
      </c>
      <c r="H153" s="447">
        <f>H85*Calc_SEC_retirement_rates!$G132</f>
        <v>16.186012512877529</v>
      </c>
      <c r="I153" s="447">
        <f>I85*Calc_SEC_retirement_rates!$G132</f>
        <v>15.366800859232457</v>
      </c>
      <c r="J153" s="447">
        <f>J85*Calc_SEC_retirement_rates!$G132</f>
        <v>14.788783103962391</v>
      </c>
      <c r="K153" s="447">
        <f>K85*Calc_SEC_retirement_rates!$G132</f>
        <v>14.36828307581149</v>
      </c>
      <c r="L153" s="447">
        <f>L85*Calc_SEC_retirement_rates!$G132</f>
        <v>13.962068287811798</v>
      </c>
      <c r="M153" s="447">
        <f>M85*Calc_SEC_retirement_rates!$G132</f>
        <v>13.585177767455765</v>
      </c>
      <c r="N153" s="447">
        <f>N85*Calc_SEC_retirement_rates!$G132</f>
        <v>13.289193180783002</v>
      </c>
    </row>
    <row r="154" spans="1:14">
      <c r="B154" s="331" t="str">
        <f t="shared" si="54"/>
        <v>65 plus</v>
      </c>
      <c r="C154" s="447">
        <f>C86*Calc_SEC_retirement_rates!$G133</f>
        <v>7.0998313919984373</v>
      </c>
      <c r="D154" s="447">
        <f>D86*Calc_SEC_retirement_rates!$G133</f>
        <v>7.7129185637800406</v>
      </c>
      <c r="E154" s="447">
        <f>E86*Calc_SEC_retirement_rates!$G133</f>
        <v>7.9252530868664808</v>
      </c>
      <c r="F154" s="447">
        <f>F86*Calc_SEC_retirement_rates!$G133</f>
        <v>7.8284008936099845</v>
      </c>
      <c r="G154" s="447">
        <f>G86*Calc_SEC_retirement_rates!$G133</f>
        <v>7.5875302430314404</v>
      </c>
      <c r="H154" s="447">
        <f>H86*Calc_SEC_retirement_rates!$G133</f>
        <v>7.2726115426334932</v>
      </c>
      <c r="I154" s="447">
        <f>I86*Calc_SEC_retirement_rates!$G133</f>
        <v>6.9414103540101237</v>
      </c>
      <c r="J154" s="447">
        <f>J86*Calc_SEC_retirement_rates!$G133</f>
        <v>6.6640623102375418</v>
      </c>
      <c r="K154" s="447">
        <f>K86*Calc_SEC_retirement_rates!$G133</f>
        <v>6.4405748750252307</v>
      </c>
      <c r="L154" s="447">
        <f>L86*Calc_SEC_retirement_rates!$G133</f>
        <v>6.2267293096272507</v>
      </c>
      <c r="M154" s="447">
        <f>M86*Calc_SEC_retirement_rates!$G133</f>
        <v>6.029953673326335</v>
      </c>
      <c r="N154" s="447">
        <f>N86*Calc_SEC_retirement_rates!$G133</f>
        <v>5.8729519408915438</v>
      </c>
    </row>
    <row r="155" spans="1:14">
      <c r="B155" s="331" t="str">
        <f t="shared" si="54"/>
        <v>Total</v>
      </c>
      <c r="C155" s="447">
        <f>SUM(C145:C154)</f>
        <v>76.128099440076312</v>
      </c>
      <c r="D155" s="447">
        <f t="shared" ref="D155:N155" si="56">SUM(D145:D154)</f>
        <v>70.261472678161653</v>
      </c>
      <c r="E155" s="447">
        <f t="shared" si="56"/>
        <v>65.507108158283671</v>
      </c>
      <c r="F155" s="447">
        <f t="shared" si="56"/>
        <v>61.543894716203326</v>
      </c>
      <c r="G155" s="447">
        <f t="shared" si="56"/>
        <v>58.342052277467715</v>
      </c>
      <c r="H155" s="447">
        <f t="shared" si="56"/>
        <v>55.656828454736591</v>
      </c>
      <c r="I155" s="447">
        <f t="shared" si="56"/>
        <v>53.36839089073802</v>
      </c>
      <c r="J155" s="447">
        <f t="shared" si="56"/>
        <v>51.648447089063559</v>
      </c>
      <c r="K155" s="447">
        <f t="shared" si="56"/>
        <v>50.317638407460535</v>
      </c>
      <c r="L155" s="447">
        <f t="shared" si="56"/>
        <v>49.004832885248064</v>
      </c>
      <c r="M155" s="447">
        <f t="shared" si="56"/>
        <v>47.762519148535489</v>
      </c>
      <c r="N155" s="447">
        <f t="shared" si="56"/>
        <v>46.751720885666913</v>
      </c>
    </row>
    <row r="156" spans="1:14">
      <c r="A156" s="302">
        <f>SUM(C156:N156)</f>
        <v>0</v>
      </c>
      <c r="C156" s="302">
        <f t="shared" ref="C156:N156" si="57">SUM(C145:C154)-C155</f>
        <v>0</v>
      </c>
      <c r="D156" s="302">
        <f t="shared" si="57"/>
        <v>0</v>
      </c>
      <c r="E156" s="302">
        <f t="shared" si="57"/>
        <v>0</v>
      </c>
      <c r="F156" s="302">
        <f t="shared" si="57"/>
        <v>0</v>
      </c>
      <c r="G156" s="302">
        <f t="shared" si="57"/>
        <v>0</v>
      </c>
      <c r="H156" s="302">
        <f t="shared" si="57"/>
        <v>0</v>
      </c>
      <c r="I156" s="302">
        <f t="shared" si="57"/>
        <v>0</v>
      </c>
      <c r="J156" s="302">
        <f t="shared" si="57"/>
        <v>0</v>
      </c>
      <c r="K156" s="302">
        <f t="shared" si="57"/>
        <v>0</v>
      </c>
      <c r="L156" s="302">
        <f t="shared" si="57"/>
        <v>0</v>
      </c>
      <c r="M156" s="302">
        <f t="shared" si="57"/>
        <v>0</v>
      </c>
      <c r="N156" s="302">
        <f t="shared" si="57"/>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58">B144</f>
        <v>Age group</v>
      </c>
      <c r="C160" s="331" t="str">
        <f t="shared" ref="C160:N160" si="59">C144</f>
        <v>2017/18</v>
      </c>
      <c r="D160" s="331" t="str">
        <f t="shared" si="59"/>
        <v>2018/19</v>
      </c>
      <c r="E160" s="331" t="str">
        <f t="shared" si="59"/>
        <v>2019/20</v>
      </c>
      <c r="F160" s="331" t="str">
        <f t="shared" si="59"/>
        <v>2020/21</v>
      </c>
      <c r="G160" s="331" t="str">
        <f t="shared" si="59"/>
        <v>2021/22</v>
      </c>
      <c r="H160" s="331" t="str">
        <f t="shared" si="59"/>
        <v>2022/23</v>
      </c>
      <c r="I160" s="331" t="str">
        <f t="shared" si="59"/>
        <v>2023/24</v>
      </c>
      <c r="J160" s="331" t="str">
        <f t="shared" si="59"/>
        <v>2024/25</v>
      </c>
      <c r="K160" s="331" t="str">
        <f t="shared" si="59"/>
        <v>2025/26</v>
      </c>
      <c r="L160" s="331" t="str">
        <f t="shared" si="59"/>
        <v>2026/27</v>
      </c>
      <c r="M160" s="331" t="str">
        <f t="shared" si="59"/>
        <v>2027/28</v>
      </c>
      <c r="N160" s="331" t="str">
        <f t="shared" si="59"/>
        <v>2028/29</v>
      </c>
    </row>
    <row r="161" spans="1:14">
      <c r="B161" s="331" t="str">
        <f t="shared" si="58"/>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58"/>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58"/>
        <v>30-34</v>
      </c>
      <c r="C163" s="447">
        <f>C95*Calc_SEC_retirement_rates!$G142</f>
        <v>8.7595643672589416E-2</v>
      </c>
      <c r="D163" s="447">
        <f>D95*Calc_SEC_retirement_rates!$G142</f>
        <v>8.1625793111807468E-2</v>
      </c>
      <c r="E163" s="447">
        <f>E95*Calc_SEC_retirement_rates!$G142</f>
        <v>7.8033205744594214E-2</v>
      </c>
      <c r="F163" s="447">
        <f>F95*Calc_SEC_retirement_rates!$G142</f>
        <v>7.6505064539219209E-2</v>
      </c>
      <c r="G163" s="447">
        <f>G95*Calc_SEC_retirement_rates!$G142</f>
        <v>7.6058697370815914E-2</v>
      </c>
      <c r="H163" s="447">
        <f>H95*Calc_SEC_retirement_rates!$G142</f>
        <v>7.6284128394026152E-2</v>
      </c>
      <c r="I163" s="447">
        <f>I95*Calc_SEC_retirement_rates!$G142</f>
        <v>7.6821652181603903E-2</v>
      </c>
      <c r="J163" s="447">
        <f>J95*Calc_SEC_retirement_rates!$G142</f>
        <v>7.8135808410003088E-2</v>
      </c>
      <c r="K163" s="447">
        <f>K95*Calc_SEC_retirement_rates!$G142</f>
        <v>7.9919355834362535E-2</v>
      </c>
      <c r="L163" s="447">
        <f>L95*Calc_SEC_retirement_rates!$G142</f>
        <v>8.1276416474376431E-2</v>
      </c>
      <c r="M163" s="447">
        <f>M95*Calc_SEC_retirement_rates!$G142</f>
        <v>8.2260778062224552E-2</v>
      </c>
      <c r="N163" s="447">
        <f>N95*Calc_SEC_retirement_rates!$G142</f>
        <v>8.3288997915995505E-2</v>
      </c>
    </row>
    <row r="164" spans="1:14">
      <c r="B164" s="331" t="str">
        <f t="shared" si="58"/>
        <v>35-39</v>
      </c>
      <c r="C164" s="447">
        <f>C96*Calc_SEC_retirement_rates!$G143</f>
        <v>0.37471324802343869</v>
      </c>
      <c r="D164" s="447">
        <f>D96*Calc_SEC_retirement_rates!$G143</f>
        <v>0.35584424984344848</v>
      </c>
      <c r="E164" s="447">
        <f>E96*Calc_SEC_retirement_rates!$G143</f>
        <v>0.33930439426845493</v>
      </c>
      <c r="F164" s="447">
        <f>F96*Calc_SEC_retirement_rates!$G143</f>
        <v>0.32582379906610653</v>
      </c>
      <c r="G164" s="447">
        <f>G96*Calc_SEC_retirement_rates!$G143</f>
        <v>0.31444922404692494</v>
      </c>
      <c r="H164" s="447">
        <f>H96*Calc_SEC_retirement_rates!$G143</f>
        <v>0.30539091757016978</v>
      </c>
      <c r="I164" s="447">
        <f>I96*Calc_SEC_retirement_rates!$G143</f>
        <v>0.29837467975493048</v>
      </c>
      <c r="J164" s="447">
        <f>J96*Calc_SEC_retirement_rates!$G143</f>
        <v>0.29479521892262067</v>
      </c>
      <c r="K164" s="447">
        <f>K96*Calc_SEC_retirement_rates!$G143</f>
        <v>0.29384892557977599</v>
      </c>
      <c r="L164" s="447">
        <f>L96*Calc_SEC_retirement_rates!$G143</f>
        <v>0.29323786964052351</v>
      </c>
      <c r="M164" s="447">
        <f>M96*Calc_SEC_retirement_rates!$G143</f>
        <v>0.29300330069053376</v>
      </c>
      <c r="N164" s="447">
        <f>N96*Calc_SEC_retirement_rates!$G143</f>
        <v>0.29394096694493904</v>
      </c>
    </row>
    <row r="165" spans="1:14">
      <c r="B165" s="331" t="str">
        <f t="shared" si="58"/>
        <v>40-44</v>
      </c>
      <c r="C165" s="447">
        <f>C97*Calc_SEC_retirement_rates!$G144</f>
        <v>0.83039753885102385</v>
      </c>
      <c r="D165" s="447">
        <f>D97*Calc_SEC_retirement_rates!$G144</f>
        <v>0.81075462050105851</v>
      </c>
      <c r="E165" s="447">
        <f>E97*Calc_SEC_retirement_rates!$G144</f>
        <v>0.79094602525723956</v>
      </c>
      <c r="F165" s="447">
        <f>F97*Calc_SEC_retirement_rates!$G144</f>
        <v>0.77131398085283143</v>
      </c>
      <c r="G165" s="447">
        <f>G97*Calc_SEC_retirement_rates!$G144</f>
        <v>0.75013650009530042</v>
      </c>
      <c r="H165" s="447">
        <f>H97*Calc_SEC_retirement_rates!$G144</f>
        <v>0.72894340269927438</v>
      </c>
      <c r="I165" s="447">
        <f>I97*Calc_SEC_retirement_rates!$G144</f>
        <v>0.70850183217488161</v>
      </c>
      <c r="J165" s="447">
        <f>J97*Calc_SEC_retirement_rates!$G144</f>
        <v>0.69283268263976883</v>
      </c>
      <c r="K165" s="447">
        <f>K97*Calc_SEC_retirement_rates!$G144</f>
        <v>0.68132049812843165</v>
      </c>
      <c r="L165" s="447">
        <f>L97*Calc_SEC_retirement_rates!$G144</f>
        <v>0.67026197772135898</v>
      </c>
      <c r="M165" s="447">
        <f>M97*Calc_SEC_retirement_rates!$G144</f>
        <v>0.66049872929322873</v>
      </c>
      <c r="N165" s="447">
        <f>N97*Calc_SEC_retirement_rates!$G144</f>
        <v>0.65408060991813033</v>
      </c>
    </row>
    <row r="166" spans="1:14">
      <c r="B166" s="331" t="str">
        <f t="shared" si="58"/>
        <v>45-49</v>
      </c>
      <c r="C166" s="447">
        <f>C98*Calc_SEC_retirement_rates!$G145</f>
        <v>1.0328783240827291</v>
      </c>
      <c r="D166" s="447">
        <f>D98*Calc_SEC_retirement_rates!$G145</f>
        <v>1.0327860426272382</v>
      </c>
      <c r="E166" s="447">
        <f>E98*Calc_SEC_retirement_rates!$G145</f>
        <v>1.0306081015442536</v>
      </c>
      <c r="F166" s="447">
        <f>F98*Calc_SEC_retirement_rates!$G145</f>
        <v>1.0258042256762157</v>
      </c>
      <c r="G166" s="447">
        <f>G98*Calc_SEC_retirement_rates!$G145</f>
        <v>1.0154139678721497</v>
      </c>
      <c r="H166" s="447">
        <f>H98*Calc_SEC_retirement_rates!$G145</f>
        <v>1.0009888337818833</v>
      </c>
      <c r="I166" s="447">
        <f>I98*Calc_SEC_retirement_rates!$G145</f>
        <v>0.98334249528736284</v>
      </c>
      <c r="J166" s="447">
        <f>J98*Calc_SEC_retirement_rates!$G145</f>
        <v>0.9677435358589902</v>
      </c>
      <c r="K166" s="447">
        <f>K98*Calc_SEC_retirement_rates!$G145</f>
        <v>0.9539411311227598</v>
      </c>
      <c r="L166" s="447">
        <f>L98*Calc_SEC_retirement_rates!$G145</f>
        <v>0.93795269705731055</v>
      </c>
      <c r="M166" s="447">
        <f>M98*Calc_SEC_retirement_rates!$G145</f>
        <v>0.92152654725581684</v>
      </c>
      <c r="N166" s="447">
        <f>N98*Calc_SEC_retirement_rates!$G145</f>
        <v>0.90793261350632892</v>
      </c>
    </row>
    <row r="167" spans="1:14">
      <c r="B167" s="331" t="str">
        <f t="shared" si="58"/>
        <v>50-54</v>
      </c>
      <c r="C167" s="447">
        <f>C99*Calc_SEC_retirement_rates!$G146</f>
        <v>18.418027321408708</v>
      </c>
      <c r="D167" s="447">
        <f>D99*Calc_SEC_retirement_rates!$G146</f>
        <v>18.195343557392658</v>
      </c>
      <c r="E167" s="447">
        <f>E99*Calc_SEC_retirement_rates!$G146</f>
        <v>18.095699097265939</v>
      </c>
      <c r="F167" s="447">
        <f>F99*Calc_SEC_retirement_rates!$G146</f>
        <v>18.055152218231772</v>
      </c>
      <c r="G167" s="447">
        <f>G99*Calc_SEC_retirement_rates!$G146</f>
        <v>17.980977753311951</v>
      </c>
      <c r="H167" s="447">
        <f>H99*Calc_SEC_retirement_rates!$G146</f>
        <v>17.868774627417618</v>
      </c>
      <c r="I167" s="447">
        <f>I99*Calc_SEC_retirement_rates!$G146</f>
        <v>17.707904464541024</v>
      </c>
      <c r="J167" s="447">
        <f>J99*Calc_SEC_retirement_rates!$G146</f>
        <v>17.571634939417354</v>
      </c>
      <c r="K167" s="447">
        <f>K99*Calc_SEC_retirement_rates!$G146</f>
        <v>17.44348275954485</v>
      </c>
      <c r="L167" s="447">
        <f>L99*Calc_SEC_retirement_rates!$G146</f>
        <v>17.247836084542179</v>
      </c>
      <c r="M167" s="447">
        <f>M99*Calc_SEC_retirement_rates!$G146</f>
        <v>17.013113962921452</v>
      </c>
      <c r="N167" s="447">
        <f>N99*Calc_SEC_retirement_rates!$G146</f>
        <v>16.797290364290376</v>
      </c>
    </row>
    <row r="168" spans="1:14">
      <c r="B168" s="331" t="str">
        <f t="shared" si="58"/>
        <v>55-59</v>
      </c>
      <c r="C168" s="447">
        <f>C100*Calc_SEC_retirement_rates!$G147</f>
        <v>68.43104533817413</v>
      </c>
      <c r="D168" s="447">
        <f>D100*Calc_SEC_retirement_rates!$G147</f>
        <v>68.622015890308887</v>
      </c>
      <c r="E168" s="447">
        <f>E100*Calc_SEC_retirement_rates!$G147</f>
        <v>68.749901112167507</v>
      </c>
      <c r="F168" s="447">
        <f>F100*Calc_SEC_retirement_rates!$G147</f>
        <v>68.930625383819219</v>
      </c>
      <c r="G168" s="447">
        <f>G100*Calc_SEC_retirement_rates!$G147</f>
        <v>68.900755182033762</v>
      </c>
      <c r="H168" s="447">
        <f>H100*Calc_SEC_retirement_rates!$G147</f>
        <v>68.711025715771726</v>
      </c>
      <c r="I168" s="447">
        <f>I100*Calc_SEC_retirement_rates!$G147</f>
        <v>68.353017584492292</v>
      </c>
      <c r="J168" s="447">
        <f>J100*Calc_SEC_retirement_rates!$G147</f>
        <v>68.176475164508858</v>
      </c>
      <c r="K168" s="447">
        <f>K100*Calc_SEC_retirement_rates!$G147</f>
        <v>68.056081307914056</v>
      </c>
      <c r="L168" s="447">
        <f>L100*Calc_SEC_retirement_rates!$G147</f>
        <v>67.596003354584028</v>
      </c>
      <c r="M168" s="447">
        <f>M100*Calc_SEC_retirement_rates!$G147</f>
        <v>66.929911045081752</v>
      </c>
      <c r="N168" s="447">
        <f>N100*Calc_SEC_retirement_rates!$G147</f>
        <v>66.31999445688875</v>
      </c>
    </row>
    <row r="169" spans="1:14">
      <c r="B169" s="331" t="str">
        <f t="shared" si="58"/>
        <v>60-64</v>
      </c>
      <c r="C169" s="447">
        <f>C101*Calc_SEC_retirement_rates!$G148</f>
        <v>48.995485975524986</v>
      </c>
      <c r="D169" s="447">
        <f>D101*Calc_SEC_retirement_rates!$G148</f>
        <v>46.606960324090949</v>
      </c>
      <c r="E169" s="447">
        <f>E101*Calc_SEC_retirement_rates!$G148</f>
        <v>45.7171197693553</v>
      </c>
      <c r="F169" s="447">
        <f>F101*Calc_SEC_retirement_rates!$G148</f>
        <v>45.542004578744184</v>
      </c>
      <c r="G169" s="447">
        <f>G101*Calc_SEC_retirement_rates!$G148</f>
        <v>45.441703125999304</v>
      </c>
      <c r="H169" s="447">
        <f>H101*Calc_SEC_retirement_rates!$G148</f>
        <v>45.308582194545927</v>
      </c>
      <c r="I169" s="447">
        <f>I101*Calc_SEC_retirement_rates!$G148</f>
        <v>45.094749666698</v>
      </c>
      <c r="J169" s="447">
        <f>J101*Calc_SEC_retirement_rates!$G148</f>
        <v>45.119860223598103</v>
      </c>
      <c r="K169" s="447">
        <f>K101*Calc_SEC_retirement_rates!$G148</f>
        <v>45.234595273271601</v>
      </c>
      <c r="L169" s="447">
        <f>L101*Calc_SEC_retirement_rates!$G148</f>
        <v>45.048619817023258</v>
      </c>
      <c r="M169" s="447">
        <f>M101*Calc_SEC_retirement_rates!$G148</f>
        <v>44.700060570994012</v>
      </c>
      <c r="N169" s="447">
        <f>N101*Calc_SEC_retirement_rates!$G148</f>
        <v>44.431186704280712</v>
      </c>
    </row>
    <row r="170" spans="1:14">
      <c r="B170" s="331" t="str">
        <f t="shared" si="58"/>
        <v>65 plus</v>
      </c>
      <c r="C170" s="447">
        <f>C102*Calc_SEC_retirement_rates!$G149</f>
        <v>10.297248414425429</v>
      </c>
      <c r="D170" s="447">
        <f>D102*Calc_SEC_retirement_rates!$G149</f>
        <v>13.632765351547263</v>
      </c>
      <c r="E170" s="447">
        <f>E102*Calc_SEC_retirement_rates!$G149</f>
        <v>15.591488166523549</v>
      </c>
      <c r="F170" s="447">
        <f>F102*Calc_SEC_retirement_rates!$G149</f>
        <v>16.825038306131056</v>
      </c>
      <c r="G170" s="447">
        <f>G102*Calc_SEC_retirement_rates!$G149</f>
        <v>17.561641584276984</v>
      </c>
      <c r="H170" s="447">
        <f>H102*Calc_SEC_retirement_rates!$G149</f>
        <v>17.990001353910202</v>
      </c>
      <c r="I170" s="447">
        <f>I102*Calc_SEC_retirement_rates!$G149</f>
        <v>18.210209008941554</v>
      </c>
      <c r="J170" s="447">
        <f>J102*Calc_SEC_retirement_rates!$G149</f>
        <v>18.411747444590176</v>
      </c>
      <c r="K170" s="447">
        <f>K102*Calc_SEC_retirement_rates!$G149</f>
        <v>18.598776232930881</v>
      </c>
      <c r="L170" s="447">
        <f>L102*Calc_SEC_retirement_rates!$G149</f>
        <v>18.649907835511883</v>
      </c>
      <c r="M170" s="447">
        <f>M102*Calc_SEC_retirement_rates!$G149</f>
        <v>18.610099252827862</v>
      </c>
      <c r="N170" s="447">
        <f>N102*Calc_SEC_retirement_rates!$G149</f>
        <v>18.575819957505047</v>
      </c>
    </row>
    <row r="171" spans="1:14">
      <c r="B171" s="331" t="str">
        <f t="shared" si="58"/>
        <v>Total</v>
      </c>
      <c r="C171" s="447">
        <f>SUM(C161:C170)</f>
        <v>148.46739180416304</v>
      </c>
      <c r="D171" s="447">
        <f t="shared" ref="D171:N171" si="60">SUM(D161:D170)</f>
        <v>149.33809582942331</v>
      </c>
      <c r="E171" s="447">
        <f t="shared" si="60"/>
        <v>150.39309987212684</v>
      </c>
      <c r="F171" s="447">
        <f t="shared" si="60"/>
        <v>151.55226755706062</v>
      </c>
      <c r="G171" s="447">
        <f t="shared" si="60"/>
        <v>152.04113603500718</v>
      </c>
      <c r="H171" s="447">
        <f t="shared" si="60"/>
        <v>151.98999117409082</v>
      </c>
      <c r="I171" s="447">
        <f t="shared" si="60"/>
        <v>151.43292138407165</v>
      </c>
      <c r="J171" s="447">
        <f t="shared" si="60"/>
        <v>151.31322501794585</v>
      </c>
      <c r="K171" s="447">
        <f t="shared" si="60"/>
        <v>151.34196548432672</v>
      </c>
      <c r="L171" s="447">
        <f t="shared" si="60"/>
        <v>150.52509605255494</v>
      </c>
      <c r="M171" s="447">
        <f t="shared" si="60"/>
        <v>149.21047418712686</v>
      </c>
      <c r="N171" s="447">
        <f t="shared" si="60"/>
        <v>148.0635346712503</v>
      </c>
    </row>
    <row r="172" spans="1:14">
      <c r="A172" s="302">
        <f>SUM(C172:N172)</f>
        <v>0</v>
      </c>
      <c r="C172" s="302">
        <f t="shared" ref="C172:N172" si="61">SUM(C161:C170)-C171</f>
        <v>0</v>
      </c>
      <c r="D172" s="302">
        <f t="shared" si="61"/>
        <v>0</v>
      </c>
      <c r="E172" s="302">
        <f t="shared" si="61"/>
        <v>0</v>
      </c>
      <c r="F172" s="302">
        <f t="shared" si="61"/>
        <v>0</v>
      </c>
      <c r="G172" s="302">
        <f t="shared" si="61"/>
        <v>0</v>
      </c>
      <c r="H172" s="302">
        <f t="shared" si="61"/>
        <v>0</v>
      </c>
      <c r="I172" s="302">
        <f t="shared" si="61"/>
        <v>0</v>
      </c>
      <c r="J172" s="302">
        <f t="shared" si="61"/>
        <v>0</v>
      </c>
      <c r="K172" s="302">
        <f t="shared" si="61"/>
        <v>0</v>
      </c>
      <c r="L172" s="302">
        <f t="shared" si="61"/>
        <v>0</v>
      </c>
      <c r="M172" s="302">
        <f t="shared" si="61"/>
        <v>0</v>
      </c>
      <c r="N172" s="302">
        <f t="shared" si="61"/>
        <v>0</v>
      </c>
    </row>
    <row r="174" spans="1:14" ht="15.75">
      <c r="B174" s="333" t="s">
        <v>527</v>
      </c>
      <c r="H174" s="318"/>
    </row>
    <row r="175" spans="1:14">
      <c r="H175" s="318"/>
    </row>
    <row r="176" spans="1:14">
      <c r="B176" s="334" t="s">
        <v>46</v>
      </c>
      <c r="H176" s="318"/>
    </row>
    <row r="177" spans="1:14">
      <c r="H177" s="318"/>
    </row>
    <row r="178" spans="1:14">
      <c r="B178" s="331" t="str">
        <f t="shared" ref="B178:B189" si="62">B144</f>
        <v>Age group</v>
      </c>
      <c r="C178" s="331" t="str">
        <f t="shared" ref="C178:N178" si="63">C144</f>
        <v>2017/18</v>
      </c>
      <c r="D178" s="331" t="str">
        <f t="shared" si="63"/>
        <v>2018/19</v>
      </c>
      <c r="E178" s="331" t="str">
        <f t="shared" si="63"/>
        <v>2019/20</v>
      </c>
      <c r="F178" s="331" t="str">
        <f t="shared" si="63"/>
        <v>2020/21</v>
      </c>
      <c r="G178" s="331" t="str">
        <f t="shared" si="63"/>
        <v>2021/22</v>
      </c>
      <c r="H178" s="331" t="str">
        <f t="shared" si="63"/>
        <v>2022/23</v>
      </c>
      <c r="I178" s="331" t="str">
        <f t="shared" si="63"/>
        <v>2023/24</v>
      </c>
      <c r="J178" s="331" t="str">
        <f t="shared" si="63"/>
        <v>2024/25</v>
      </c>
      <c r="K178" s="331" t="str">
        <f t="shared" si="63"/>
        <v>2025/26</v>
      </c>
      <c r="L178" s="331" t="str">
        <f t="shared" si="63"/>
        <v>2026/27</v>
      </c>
      <c r="M178" s="331" t="str">
        <f t="shared" si="63"/>
        <v>2027/28</v>
      </c>
      <c r="N178" s="331" t="str">
        <f t="shared" si="63"/>
        <v>2028/29</v>
      </c>
    </row>
    <row r="179" spans="1:14">
      <c r="B179" s="331" t="str">
        <f t="shared" si="62"/>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2"/>
        <v>25-29</v>
      </c>
      <c r="C180" s="447">
        <f>C78*Calc_SEC_death_rates!$G125</f>
        <v>9.3360511643230757E-3</v>
      </c>
      <c r="D180" s="447">
        <f>D78*Calc_SEC_death_rates!$G125</f>
        <v>1.1063449467684297E-2</v>
      </c>
      <c r="E180" s="447">
        <f>E78*Calc_SEC_death_rates!$G125</f>
        <v>1.3207822063988626E-2</v>
      </c>
      <c r="F180" s="447">
        <f>F78*Calc_SEC_death_rates!$G125</f>
        <v>1.5479094323560035E-2</v>
      </c>
      <c r="G180" s="447">
        <f>G78*Calc_SEC_death_rates!$G125</f>
        <v>1.7466459847239924E-2</v>
      </c>
      <c r="H180" s="447">
        <f>H78*Calc_SEC_death_rates!$G125</f>
        <v>1.9060128463258875E-2</v>
      </c>
      <c r="I180" s="447">
        <f>I78*Calc_SEC_death_rates!$G125</f>
        <v>2.0261514512584466E-2</v>
      </c>
      <c r="J180" s="447">
        <f>J78*Calc_SEC_death_rates!$G125</f>
        <v>2.1482096135375259E-2</v>
      </c>
      <c r="K180" s="447">
        <f>K78*Calc_SEC_death_rates!$G125</f>
        <v>2.2634501275895343E-2</v>
      </c>
      <c r="L180" s="447">
        <f>L78*Calc_SEC_death_rates!$G125</f>
        <v>2.3324039554088301E-2</v>
      </c>
      <c r="M180" s="447">
        <f>M78*Calc_SEC_death_rates!$G125</f>
        <v>2.3706169683637958E-2</v>
      </c>
      <c r="N180" s="447">
        <f>N78*Calc_SEC_death_rates!$G125</f>
        <v>2.4078169667518422E-2</v>
      </c>
    </row>
    <row r="181" spans="1:14">
      <c r="B181" s="331" t="str">
        <f t="shared" si="62"/>
        <v>30-34</v>
      </c>
      <c r="C181" s="447">
        <f>C79*Calc_SEC_death_rates!$G126</f>
        <v>6.3212537122217985E-2</v>
      </c>
      <c r="D181" s="447">
        <f>D79*Calc_SEC_death_rates!$G126</f>
        <v>5.9608341559820407E-2</v>
      </c>
      <c r="E181" s="447">
        <f>E79*Calc_SEC_death_rates!$G126</f>
        <v>5.8634242004761659E-2</v>
      </c>
      <c r="F181" s="447">
        <f>F79*Calc_SEC_death_rates!$G126</f>
        <v>5.9553265158770581E-2</v>
      </c>
      <c r="G181" s="447">
        <f>G79*Calc_SEC_death_rates!$G126</f>
        <v>6.1527482758483985E-2</v>
      </c>
      <c r="H181" s="447">
        <f>H79*Calc_SEC_death_rates!$G126</f>
        <v>6.3934814424217071E-2</v>
      </c>
      <c r="I181" s="447">
        <f>I79*Calc_SEC_death_rates!$G126</f>
        <v>6.6402531044222182E-2</v>
      </c>
      <c r="J181" s="447">
        <f>J79*Calc_SEC_death_rates!$G126</f>
        <v>6.9362156199124503E-2</v>
      </c>
      <c r="K181" s="447">
        <f>K79*Calc_SEC_death_rates!$G126</f>
        <v>7.2535572658315922E-2</v>
      </c>
      <c r="L181" s="447">
        <f>L79*Calc_SEC_death_rates!$G126</f>
        <v>7.5092404696040019E-2</v>
      </c>
      <c r="M181" s="447">
        <f>M79*Calc_SEC_death_rates!$G126</f>
        <v>7.7098679487054567E-2</v>
      </c>
      <c r="N181" s="447">
        <f>N79*Calc_SEC_death_rates!$G126</f>
        <v>7.8968878069893667E-2</v>
      </c>
    </row>
    <row r="182" spans="1:14">
      <c r="B182" s="331" t="str">
        <f t="shared" si="62"/>
        <v>35-39</v>
      </c>
      <c r="C182" s="447">
        <f>C80*Calc_SEC_death_rates!$G127</f>
        <v>0.15635215001852656</v>
      </c>
      <c r="D182" s="447">
        <f>D80*Calc_SEC_death_rates!$G127</f>
        <v>0.14901622111747576</v>
      </c>
      <c r="E182" s="447">
        <f>E80*Calc_SEC_death_rates!$G127</f>
        <v>0.14341313647578469</v>
      </c>
      <c r="F182" s="447">
        <f>F80*Calc_SEC_death_rates!$G127</f>
        <v>0.13933050744933392</v>
      </c>
      <c r="G182" s="447">
        <f>G80*Calc_SEC_death_rates!$G127</f>
        <v>0.13677160689718626</v>
      </c>
      <c r="H182" s="447">
        <f>H80*Calc_SEC_death_rates!$G127</f>
        <v>0.13539330671125047</v>
      </c>
      <c r="I182" s="447">
        <f>I80*Calc_SEC_death_rates!$G127</f>
        <v>0.13499174297339336</v>
      </c>
      <c r="J182" s="447">
        <f>J80*Calc_SEC_death_rates!$G127</f>
        <v>0.13620085495950554</v>
      </c>
      <c r="K182" s="447">
        <f>K80*Calc_SEC_death_rates!$G127</f>
        <v>0.13857591573495748</v>
      </c>
      <c r="L182" s="447">
        <f>L80*Calc_SEC_death_rates!$G127</f>
        <v>0.14093507537063635</v>
      </c>
      <c r="M182" s="447">
        <f>M80*Calc_SEC_death_rates!$G127</f>
        <v>0.14326789187466291</v>
      </c>
      <c r="N182" s="447">
        <f>N80*Calc_SEC_death_rates!$G127</f>
        <v>0.14595542331919437</v>
      </c>
    </row>
    <row r="183" spans="1:14">
      <c r="B183" s="331" t="str">
        <f t="shared" si="62"/>
        <v>40-44</v>
      </c>
      <c r="C183" s="447">
        <f>C81*Calc_SEC_death_rates!$G128</f>
        <v>0.27332092334928476</v>
      </c>
      <c r="D183" s="447">
        <f>D81*Calc_SEC_death_rates!$G128</f>
        <v>0.25675876537650388</v>
      </c>
      <c r="E183" s="447">
        <f>E81*Calc_SEC_death_rates!$G128</f>
        <v>0.24421267404538743</v>
      </c>
      <c r="F183" s="447">
        <f>F81*Calc_SEC_death_rates!$G128</f>
        <v>0.2337187642390158</v>
      </c>
      <c r="G183" s="447">
        <f>G81*Calc_SEC_death_rates!$G128</f>
        <v>0.22513906045734314</v>
      </c>
      <c r="H183" s="447">
        <f>H81*Calc_SEC_death_rates!$G128</f>
        <v>0.21785715679759171</v>
      </c>
      <c r="I183" s="447">
        <f>I81*Calc_SEC_death_rates!$G128</f>
        <v>0.21178603848500993</v>
      </c>
      <c r="J183" s="447">
        <f>J81*Calc_SEC_death_rates!$G128</f>
        <v>0.20794866312488733</v>
      </c>
      <c r="K183" s="447">
        <f>K81*Calc_SEC_death_rates!$G128</f>
        <v>0.20594290060131362</v>
      </c>
      <c r="L183" s="447">
        <f>L81*Calc_SEC_death_rates!$G128</f>
        <v>0.20441898985499887</v>
      </c>
      <c r="M183" s="447">
        <f>M81*Calc_SEC_death_rates!$G128</f>
        <v>0.20350774343505912</v>
      </c>
      <c r="N183" s="447">
        <f>N81*Calc_SEC_death_rates!$G128</f>
        <v>0.20375515670573466</v>
      </c>
    </row>
    <row r="184" spans="1:14">
      <c r="B184" s="331" t="str">
        <f t="shared" si="62"/>
        <v>45-49</v>
      </c>
      <c r="C184" s="447">
        <f>C82*Calc_SEC_death_rates!$G129</f>
        <v>0.36679958912810862</v>
      </c>
      <c r="D184" s="447">
        <f>D82*Calc_SEC_death_rates!$G129</f>
        <v>0.35943325401701187</v>
      </c>
      <c r="E184" s="447">
        <f>E82*Calc_SEC_death_rates!$G129</f>
        <v>0.3517467917187318</v>
      </c>
      <c r="F184" s="447">
        <f>F82*Calc_SEC_death_rates!$G129</f>
        <v>0.34275791972210456</v>
      </c>
      <c r="G184" s="447">
        <f>G82*Calc_SEC_death_rates!$G129</f>
        <v>0.33373429484071493</v>
      </c>
      <c r="H184" s="447">
        <f>H82*Calc_SEC_death_rates!$G129</f>
        <v>0.32442599563817326</v>
      </c>
      <c r="I184" s="447">
        <f>I82*Calc_SEC_death_rates!$G129</f>
        <v>0.31518086223617459</v>
      </c>
      <c r="J184" s="447">
        <f>J82*Calc_SEC_death_rates!$G129</f>
        <v>0.30765028035313968</v>
      </c>
      <c r="K184" s="447">
        <f>K82*Calc_SEC_death_rates!$G129</f>
        <v>0.30167299493155231</v>
      </c>
      <c r="L184" s="447">
        <f>L82*Calc_SEC_death_rates!$G129</f>
        <v>0.29586306808309437</v>
      </c>
      <c r="M184" s="447">
        <f>M82*Calc_SEC_death_rates!$G129</f>
        <v>0.29063580884554219</v>
      </c>
      <c r="N184" s="447">
        <f>N82*Calc_SEC_death_rates!$G129</f>
        <v>0.28689390830723488</v>
      </c>
    </row>
    <row r="185" spans="1:14">
      <c r="B185" s="331" t="str">
        <f t="shared" si="62"/>
        <v>50-54</v>
      </c>
      <c r="C185" s="447">
        <f>C83*Calc_SEC_death_rates!$G130</f>
        <v>0.38134942808156513</v>
      </c>
      <c r="D185" s="447">
        <f>D83*Calc_SEC_death_rates!$G130</f>
        <v>0.36062984038748991</v>
      </c>
      <c r="E185" s="447">
        <f>E83*Calc_SEC_death_rates!$G130</f>
        <v>0.34661946487326145</v>
      </c>
      <c r="F185" s="447">
        <f>F83*Calc_SEC_death_rates!$G130</f>
        <v>0.33501422781824142</v>
      </c>
      <c r="G185" s="447">
        <f>G83*Calc_SEC_death_rates!$G130</f>
        <v>0.32539922266528909</v>
      </c>
      <c r="H185" s="447">
        <f>H83*Calc_SEC_death_rates!$G130</f>
        <v>0.31640623351424568</v>
      </c>
      <c r="I185" s="447">
        <f>I83*Calc_SEC_death_rates!$G130</f>
        <v>0.30771368394177512</v>
      </c>
      <c r="J185" s="447">
        <f>J83*Calc_SEC_death_rates!$G130</f>
        <v>0.30041018636596872</v>
      </c>
      <c r="K185" s="447">
        <f>K83*Calc_SEC_death_rates!$G130</f>
        <v>0.29416873284253481</v>
      </c>
      <c r="L185" s="447">
        <f>L83*Calc_SEC_death_rates!$G130</f>
        <v>0.28771280588853071</v>
      </c>
      <c r="M185" s="447">
        <f>M83*Calc_SEC_death_rates!$G130</f>
        <v>0.28142469296829709</v>
      </c>
      <c r="N185" s="447">
        <f>N83*Calc_SEC_death_rates!$G130</f>
        <v>0.2761550708861491</v>
      </c>
    </row>
    <row r="186" spans="1:14">
      <c r="B186" s="331" t="str">
        <f t="shared" si="62"/>
        <v>55-59</v>
      </c>
      <c r="C186" s="447">
        <f>C84*Calc_SEC_death_rates!$G131</f>
        <v>0.3767010929798979</v>
      </c>
      <c r="D186" s="447">
        <f>D84*Calc_SEC_death_rates!$G131</f>
        <v>0.33333401225013304</v>
      </c>
      <c r="E186" s="447">
        <f>E84*Calc_SEC_death_rates!$G131</f>
        <v>0.30391851463451225</v>
      </c>
      <c r="F186" s="447">
        <f>F84*Calc_SEC_death_rates!$G131</f>
        <v>0.28296569695796941</v>
      </c>
      <c r="G186" s="447">
        <f>G84*Calc_SEC_death_rates!$G131</f>
        <v>0.26780065693431804</v>
      </c>
      <c r="H186" s="447">
        <f>H84*Calc_SEC_death_rates!$G131</f>
        <v>0.25603327822500238</v>
      </c>
      <c r="I186" s="447">
        <f>I84*Calc_SEC_death_rates!$G131</f>
        <v>0.24639180262258398</v>
      </c>
      <c r="J186" s="447">
        <f>J84*Calc_SEC_death_rates!$G131</f>
        <v>0.23919563007178854</v>
      </c>
      <c r="K186" s="447">
        <f>K84*Calc_SEC_death_rates!$G131</f>
        <v>0.23354900723384828</v>
      </c>
      <c r="L186" s="447">
        <f>L84*Calc_SEC_death_rates!$G131</f>
        <v>0.22788393225775924</v>
      </c>
      <c r="M186" s="447">
        <f>M84*Calc_SEC_death_rates!$G131</f>
        <v>0.22242137519214483</v>
      </c>
      <c r="N186" s="447">
        <f>N84*Calc_SEC_death_rates!$G131</f>
        <v>0.21785008583343843</v>
      </c>
    </row>
    <row r="187" spans="1:14">
      <c r="B187" s="331" t="str">
        <f t="shared" si="62"/>
        <v>60-64</v>
      </c>
      <c r="C187" s="447">
        <f>C85*Calc_SEC_death_rates!$G132</f>
        <v>0.25356871953587695</v>
      </c>
      <c r="D187" s="447">
        <f>D85*Calc_SEC_death_rates!$G132</f>
        <v>0.23456642096871247</v>
      </c>
      <c r="E187" s="447">
        <f>E85*Calc_SEC_death_rates!$G132</f>
        <v>0.21554658659397985</v>
      </c>
      <c r="F187" s="447">
        <f>F85*Calc_SEC_death_rates!$G132</f>
        <v>0.19885497379646624</v>
      </c>
      <c r="G187" s="447">
        <f>G85*Calc_SEC_death_rates!$G132</f>
        <v>0.18531232438400733</v>
      </c>
      <c r="H187" s="447">
        <f>H85*Calc_SEC_death_rates!$G132</f>
        <v>0.17437499314116667</v>
      </c>
      <c r="I187" s="447">
        <f>I85*Calc_SEC_death_rates!$G132</f>
        <v>0.16554947009329601</v>
      </c>
      <c r="J187" s="447">
        <f>J85*Calc_SEC_death_rates!$G132</f>
        <v>0.15932237481393055</v>
      </c>
      <c r="K187" s="447">
        <f>K85*Calc_SEC_death_rates!$G132</f>
        <v>0.15479224798582283</v>
      </c>
      <c r="L187" s="447">
        <f>L85*Calc_SEC_death_rates!$G132</f>
        <v>0.15041601876847038</v>
      </c>
      <c r="M187" s="447">
        <f>M85*Calc_SEC_death_rates!$G132</f>
        <v>0.14635570546710805</v>
      </c>
      <c r="N187" s="447">
        <f>N85*Calc_SEC_death_rates!$G132</f>
        <v>0.14316700718642331</v>
      </c>
    </row>
    <row r="188" spans="1:14">
      <c r="B188" s="331" t="str">
        <f t="shared" si="62"/>
        <v>65 plus</v>
      </c>
      <c r="C188" s="447">
        <f>C86*Calc_SEC_death_rates!$G133</f>
        <v>7.9417686193146889E-2</v>
      </c>
      <c r="D188" s="447">
        <f>D86*Calc_SEC_death_rates!$G133</f>
        <v>8.6275590547392436E-2</v>
      </c>
      <c r="E188" s="447">
        <f>E86*Calc_SEC_death_rates!$G133</f>
        <v>8.865073378550585E-2</v>
      </c>
      <c r="F188" s="447">
        <f>F86*Calc_SEC_death_rates!$G133</f>
        <v>8.7567359171873305E-2</v>
      </c>
      <c r="G188" s="447">
        <f>G86*Calc_SEC_death_rates!$G133</f>
        <v>8.4873014942467392E-2</v>
      </c>
      <c r="H188" s="447">
        <f>H86*Calc_SEC_death_rates!$G133</f>
        <v>8.1350379946832932E-2</v>
      </c>
      <c r="I188" s="447">
        <f>I86*Calc_SEC_death_rates!$G133</f>
        <v>7.7645611394930147E-2</v>
      </c>
      <c r="J188" s="447">
        <f>J86*Calc_SEC_death_rates!$G133</f>
        <v>7.4543236325652032E-2</v>
      </c>
      <c r="K188" s="447">
        <f>K86*Calc_SEC_death_rates!$G133</f>
        <v>7.2043338226972439E-2</v>
      </c>
      <c r="L188" s="447">
        <f>L86*Calc_SEC_death_rates!$G133</f>
        <v>6.9651292688297686E-2</v>
      </c>
      <c r="M188" s="447">
        <f>M86*Calc_SEC_death_rates!$G133</f>
        <v>6.7450188905493036E-2</v>
      </c>
      <c r="N188" s="447">
        <f>N86*Calc_SEC_death_rates!$G133</f>
        <v>6.5693990253742104E-2</v>
      </c>
    </row>
    <row r="189" spans="1:14">
      <c r="B189" s="331" t="str">
        <f t="shared" si="62"/>
        <v>Total</v>
      </c>
      <c r="C189" s="447">
        <f>SUM(C179:C188)</f>
        <v>1.9600581775729478</v>
      </c>
      <c r="D189" s="447">
        <f t="shared" ref="D189:N189" si="64">SUM(D179:D188)</f>
        <v>1.8506858956922239</v>
      </c>
      <c r="E189" s="447">
        <f t="shared" si="64"/>
        <v>1.7659499661959135</v>
      </c>
      <c r="F189" s="447">
        <f t="shared" si="64"/>
        <v>1.6952418086373353</v>
      </c>
      <c r="G189" s="447">
        <f t="shared" si="64"/>
        <v>1.6380241237270501</v>
      </c>
      <c r="H189" s="447">
        <f t="shared" si="64"/>
        <v>1.5888362868617389</v>
      </c>
      <c r="I189" s="447">
        <f t="shared" si="64"/>
        <v>1.5459232573039698</v>
      </c>
      <c r="J189" s="447">
        <f t="shared" si="64"/>
        <v>1.516115478349372</v>
      </c>
      <c r="K189" s="447">
        <f t="shared" si="64"/>
        <v>1.4959152114912131</v>
      </c>
      <c r="L189" s="447">
        <f t="shared" si="64"/>
        <v>1.475297627161916</v>
      </c>
      <c r="M189" s="447">
        <f t="shared" si="64"/>
        <v>1.4558682558589997</v>
      </c>
      <c r="N189" s="447">
        <f t="shared" si="64"/>
        <v>1.4425176902293289</v>
      </c>
    </row>
    <row r="190" spans="1:14">
      <c r="A190" s="302">
        <f>SUM(C190:N190)</f>
        <v>0</v>
      </c>
      <c r="C190" s="302">
        <f t="shared" ref="C190:N190" si="65">SUM(C179:C188)-C189</f>
        <v>0</v>
      </c>
      <c r="D190" s="302">
        <f t="shared" si="65"/>
        <v>0</v>
      </c>
      <c r="E190" s="302">
        <f t="shared" si="65"/>
        <v>0</v>
      </c>
      <c r="F190" s="302">
        <f t="shared" si="65"/>
        <v>0</v>
      </c>
      <c r="G190" s="302">
        <f t="shared" si="65"/>
        <v>0</v>
      </c>
      <c r="H190" s="302">
        <f t="shared" si="65"/>
        <v>0</v>
      </c>
      <c r="I190" s="302">
        <f t="shared" si="65"/>
        <v>0</v>
      </c>
      <c r="J190" s="302">
        <f t="shared" si="65"/>
        <v>0</v>
      </c>
      <c r="K190" s="302">
        <f t="shared" si="65"/>
        <v>0</v>
      </c>
      <c r="L190" s="302">
        <f t="shared" si="65"/>
        <v>0</v>
      </c>
      <c r="M190" s="302">
        <f t="shared" si="65"/>
        <v>0</v>
      </c>
      <c r="N190" s="302">
        <f t="shared" si="65"/>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6">B178</f>
        <v>Age group</v>
      </c>
      <c r="C194" s="331" t="str">
        <f t="shared" ref="C194:N194" si="67">C178</f>
        <v>2017/18</v>
      </c>
      <c r="D194" s="331" t="str">
        <f t="shared" si="67"/>
        <v>2018/19</v>
      </c>
      <c r="E194" s="331" t="str">
        <f t="shared" si="67"/>
        <v>2019/20</v>
      </c>
      <c r="F194" s="331" t="str">
        <f t="shared" si="67"/>
        <v>2020/21</v>
      </c>
      <c r="G194" s="331" t="str">
        <f t="shared" si="67"/>
        <v>2021/22</v>
      </c>
      <c r="H194" s="331" t="str">
        <f t="shared" si="67"/>
        <v>2022/23</v>
      </c>
      <c r="I194" s="331" t="str">
        <f t="shared" si="67"/>
        <v>2023/24</v>
      </c>
      <c r="J194" s="331" t="str">
        <f t="shared" si="67"/>
        <v>2024/25</v>
      </c>
      <c r="K194" s="331" t="str">
        <f t="shared" si="67"/>
        <v>2025/26</v>
      </c>
      <c r="L194" s="331" t="str">
        <f t="shared" si="67"/>
        <v>2026/27</v>
      </c>
      <c r="M194" s="331" t="str">
        <f t="shared" si="67"/>
        <v>2027/28</v>
      </c>
      <c r="N194" s="331" t="str">
        <f t="shared" si="67"/>
        <v>2028/29</v>
      </c>
    </row>
    <row r="195" spans="1:14">
      <c r="B195" s="331" t="str">
        <f t="shared" si="66"/>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6"/>
        <v>25-29</v>
      </c>
      <c r="C196" s="447">
        <f>C94*Calc_SEC_death_rates!$G141</f>
        <v>7.1379953282197039E-2</v>
      </c>
      <c r="D196" s="447">
        <f>D94*Calc_SEC_death_rates!$G141</f>
        <v>7.2806636819332596E-2</v>
      </c>
      <c r="E196" s="447">
        <f>E94*Calc_SEC_death_rates!$G141</f>
        <v>7.7193755963615926E-2</v>
      </c>
      <c r="F196" s="447">
        <f>F94*Calc_SEC_death_rates!$G141</f>
        <v>8.3310178034657567E-2</v>
      </c>
      <c r="G196" s="447">
        <f>G94*Calc_SEC_death_rates!$G141</f>
        <v>8.8841976469062223E-2</v>
      </c>
      <c r="H196" s="447">
        <f>H94*Calc_SEC_death_rates!$G141</f>
        <v>9.3346397158826061E-2</v>
      </c>
      <c r="I196" s="447">
        <f>I94*Calc_SEC_death_rates!$G141</f>
        <v>9.6682565611067431E-2</v>
      </c>
      <c r="J196" s="447">
        <f>J94*Calc_SEC_death_rates!$G141</f>
        <v>0.10057175747014022</v>
      </c>
      <c r="K196" s="447">
        <f>K94*Calc_SEC_death_rates!$G141</f>
        <v>0.10451986077597858</v>
      </c>
      <c r="L196" s="447">
        <f>L94*Calc_SEC_death_rates!$G141</f>
        <v>0.10667695699738217</v>
      </c>
      <c r="M196" s="447">
        <f>M94*Calc_SEC_death_rates!$G141</f>
        <v>0.10767792094781012</v>
      </c>
      <c r="N196" s="447">
        <f>N94*Calc_SEC_death_rates!$G141</f>
        <v>0.10880511810834183</v>
      </c>
    </row>
    <row r="197" spans="1:14">
      <c r="B197" s="331" t="str">
        <f t="shared" si="66"/>
        <v>30-34</v>
      </c>
      <c r="C197" s="447">
        <f>C95*Calc_SEC_death_rates!$G142</f>
        <v>9.5761616584513654E-2</v>
      </c>
      <c r="D197" s="447">
        <f>D95*Calc_SEC_death_rates!$G142</f>
        <v>8.9235235631081183E-2</v>
      </c>
      <c r="E197" s="447">
        <f>E95*Calc_SEC_death_rates!$G142</f>
        <v>8.5307734678050376E-2</v>
      </c>
      <c r="F197" s="447">
        <f>F95*Calc_SEC_death_rates!$G142</f>
        <v>8.363713479361902E-2</v>
      </c>
      <c r="G197" s="447">
        <f>G95*Calc_SEC_death_rates!$G142</f>
        <v>8.314915571333141E-2</v>
      </c>
      <c r="H197" s="447">
        <f>H95*Calc_SEC_death_rates!$G142</f>
        <v>8.3395602206625091E-2</v>
      </c>
      <c r="I197" s="447">
        <f>I95*Calc_SEC_death_rates!$G142</f>
        <v>8.3983235845616025E-2</v>
      </c>
      <c r="J197" s="447">
        <f>J95*Calc_SEC_death_rates!$G142</f>
        <v>8.5419902323534636E-2</v>
      </c>
      <c r="K197" s="447">
        <f>K95*Calc_SEC_death_rates!$G142</f>
        <v>8.7369718289842246E-2</v>
      </c>
      <c r="L197" s="447">
        <f>L95*Calc_SEC_death_rates!$G142</f>
        <v>8.8853288878999417E-2</v>
      </c>
      <c r="M197" s="447">
        <f>M95*Calc_SEC_death_rates!$G142</f>
        <v>8.9929416104097173E-2</v>
      </c>
      <c r="N197" s="447">
        <f>N95*Calc_SEC_death_rates!$G142</f>
        <v>9.1053490216383301E-2</v>
      </c>
    </row>
    <row r="198" spans="1:14">
      <c r="B198" s="331" t="str">
        <f t="shared" si="66"/>
        <v>35-39</v>
      </c>
      <c r="C198" s="447">
        <f>C96*Calc_SEC_death_rates!$G143</f>
        <v>0.53839737463457582</v>
      </c>
      <c r="D198" s="447">
        <f>D96*Calc_SEC_death_rates!$G143</f>
        <v>0.51128592571816112</v>
      </c>
      <c r="E198" s="447">
        <f>E96*Calc_SEC_death_rates!$G143</f>
        <v>0.48752104720002931</v>
      </c>
      <c r="F198" s="447">
        <f>F96*Calc_SEC_death_rates!$G143</f>
        <v>0.46815179056514822</v>
      </c>
      <c r="G198" s="447">
        <f>G96*Calc_SEC_death_rates!$G143</f>
        <v>0.45180851644763337</v>
      </c>
      <c r="H198" s="447">
        <f>H96*Calc_SEC_death_rates!$G143</f>
        <v>0.43879331495303531</v>
      </c>
      <c r="I198" s="447">
        <f>I96*Calc_SEC_death_rates!$G143</f>
        <v>0.42871220882865191</v>
      </c>
      <c r="J198" s="447">
        <f>J96*Calc_SEC_death_rates!$G143</f>
        <v>0.42356914990322431</v>
      </c>
      <c r="K198" s="447">
        <f>K96*Calc_SEC_death_rates!$G143</f>
        <v>0.42220949194047763</v>
      </c>
      <c r="L198" s="447">
        <f>L96*Calc_SEC_death_rates!$G143</f>
        <v>0.42133151147092185</v>
      </c>
      <c r="M198" s="447">
        <f>M96*Calc_SEC_death_rates!$G143</f>
        <v>0.4209944769318138</v>
      </c>
      <c r="N198" s="447">
        <f>N96*Calc_SEC_death_rates!$G143</f>
        <v>0.42234173927793628</v>
      </c>
    </row>
    <row r="199" spans="1:14">
      <c r="B199" s="331" t="str">
        <f t="shared" si="66"/>
        <v>40-44</v>
      </c>
      <c r="C199" s="447">
        <f>C97*Calc_SEC_death_rates!$G144</f>
        <v>0.44777532183569452</v>
      </c>
      <c r="D199" s="447">
        <f>D97*Calc_SEC_death_rates!$G144</f>
        <v>0.43718326962643822</v>
      </c>
      <c r="E199" s="447">
        <f>E97*Calc_SEC_death_rates!$G144</f>
        <v>0.42650187945434459</v>
      </c>
      <c r="F199" s="447">
        <f>F97*Calc_SEC_death_rates!$G144</f>
        <v>0.415915690803497</v>
      </c>
      <c r="G199" s="447">
        <f>G97*Calc_SEC_death_rates!$G144</f>
        <v>0.40449615640194581</v>
      </c>
      <c r="H199" s="447">
        <f>H97*Calc_SEC_death_rates!$G144</f>
        <v>0.39306820103934781</v>
      </c>
      <c r="I199" s="447">
        <f>I97*Calc_SEC_death_rates!$G144</f>
        <v>0.38204549156329143</v>
      </c>
      <c r="J199" s="447">
        <f>J97*Calc_SEC_death_rates!$G144</f>
        <v>0.37359621498464846</v>
      </c>
      <c r="K199" s="447">
        <f>K97*Calc_SEC_death_rates!$G144</f>
        <v>0.36738849894092268</v>
      </c>
      <c r="L199" s="447">
        <f>L97*Calc_SEC_death_rates!$G144</f>
        <v>0.36142541222325847</v>
      </c>
      <c r="M199" s="447">
        <f>M97*Calc_SEC_death_rates!$G144</f>
        <v>0.35616077510364857</v>
      </c>
      <c r="N199" s="447">
        <f>N97*Calc_SEC_death_rates!$G144</f>
        <v>0.3526999321527638</v>
      </c>
    </row>
    <row r="200" spans="1:14">
      <c r="B200" s="331" t="str">
        <f t="shared" si="66"/>
        <v>45-49</v>
      </c>
      <c r="C200" s="447">
        <f>C98*Calc_SEC_death_rates!$G145</f>
        <v>0.71086547714917248</v>
      </c>
      <c r="D200" s="447">
        <f>D98*Calc_SEC_death_rates!$G145</f>
        <v>0.71080196560152931</v>
      </c>
      <c r="E200" s="447">
        <f>E98*Calc_SEC_death_rates!$G145</f>
        <v>0.70930302512513443</v>
      </c>
      <c r="F200" s="447">
        <f>F98*Calc_SEC_death_rates!$G145</f>
        <v>0.70599681815818027</v>
      </c>
      <c r="G200" s="447">
        <f>G98*Calc_SEC_death_rates!$G145</f>
        <v>0.69884585429401969</v>
      </c>
      <c r="H200" s="447">
        <f>H98*Calc_SEC_death_rates!$G145</f>
        <v>0.68891793772444254</v>
      </c>
      <c r="I200" s="447">
        <f>I98*Calc_SEC_death_rates!$G145</f>
        <v>0.67677306785801061</v>
      </c>
      <c r="J200" s="447">
        <f>J98*Calc_SEC_death_rates!$G145</f>
        <v>0.66603728080688007</v>
      </c>
      <c r="K200" s="447">
        <f>K98*Calc_SEC_death_rates!$G145</f>
        <v>0.65653794985970404</v>
      </c>
      <c r="L200" s="447">
        <f>L98*Calc_SEC_death_rates!$G145</f>
        <v>0.64553411180269271</v>
      </c>
      <c r="M200" s="447">
        <f>M98*Calc_SEC_death_rates!$G145</f>
        <v>0.63422902141198045</v>
      </c>
      <c r="N200" s="447">
        <f>N98*Calc_SEC_death_rates!$G145</f>
        <v>0.62487316799164083</v>
      </c>
    </row>
    <row r="201" spans="1:14">
      <c r="B201" s="331" t="str">
        <f t="shared" si="66"/>
        <v>50-54</v>
      </c>
      <c r="C201" s="447">
        <f>C99*Calc_SEC_death_rates!$G146</f>
        <v>0.91829415322236596</v>
      </c>
      <c r="D201" s="447">
        <f>D99*Calc_SEC_death_rates!$G146</f>
        <v>0.90719148761410096</v>
      </c>
      <c r="E201" s="447">
        <f>E99*Calc_SEC_death_rates!$G146</f>
        <v>0.90222337004436504</v>
      </c>
      <c r="F201" s="447">
        <f>F99*Calc_SEC_death_rates!$G146</f>
        <v>0.90020176581397027</v>
      </c>
      <c r="G201" s="447">
        <f>G99*Calc_SEC_death_rates!$G146</f>
        <v>0.89650354253165943</v>
      </c>
      <c r="H201" s="447">
        <f>H99*Calc_SEC_death_rates!$G146</f>
        <v>0.89090926944888083</v>
      </c>
      <c r="I201" s="447">
        <f>I99*Calc_SEC_death_rates!$G146</f>
        <v>0.88288853370885967</v>
      </c>
      <c r="J201" s="447">
        <f>J99*Calc_SEC_death_rates!$G146</f>
        <v>0.87609434744777193</v>
      </c>
      <c r="K201" s="447">
        <f>K99*Calc_SEC_death_rates!$G146</f>
        <v>0.86970487937684393</v>
      </c>
      <c r="L201" s="447">
        <f>L99*Calc_SEC_death_rates!$G146</f>
        <v>0.85995024091219596</v>
      </c>
      <c r="M201" s="447">
        <f>M99*Calc_SEC_death_rates!$G146</f>
        <v>0.84824736154542912</v>
      </c>
      <c r="N201" s="447">
        <f>N99*Calc_SEC_death_rates!$G146</f>
        <v>0.83748673309745436</v>
      </c>
    </row>
    <row r="202" spans="1:14">
      <c r="B202" s="331" t="str">
        <f t="shared" si="66"/>
        <v>55-59</v>
      </c>
      <c r="C202" s="447">
        <f>C100*Calc_SEC_death_rates!$G147</f>
        <v>0.69175514061605015</v>
      </c>
      <c r="D202" s="447">
        <f>D100*Calc_SEC_death_rates!$G147</f>
        <v>0.69368562202975159</v>
      </c>
      <c r="E202" s="447">
        <f>E100*Calc_SEC_death_rates!$G147</f>
        <v>0.69497838701956505</v>
      </c>
      <c r="F202" s="447">
        <f>F100*Calc_SEC_death_rates!$G147</f>
        <v>0.69680529092453036</v>
      </c>
      <c r="G202" s="447">
        <f>G100*Calc_SEC_death_rates!$G147</f>
        <v>0.69650333929520447</v>
      </c>
      <c r="H202" s="447">
        <f>H100*Calc_SEC_death_rates!$G147</f>
        <v>0.694585403759301</v>
      </c>
      <c r="I202" s="447">
        <f>I100*Calc_SEC_death_rates!$G147</f>
        <v>0.69096637435574559</v>
      </c>
      <c r="J202" s="447">
        <f>J100*Calc_SEC_death_rates!$G147</f>
        <v>0.68918174391561671</v>
      </c>
      <c r="K202" s="447">
        <f>K100*Calc_SEC_death_rates!$G147</f>
        <v>0.687964707572149</v>
      </c>
      <c r="L202" s="447">
        <f>L100*Calc_SEC_death_rates!$G147</f>
        <v>0.68331387566205082</v>
      </c>
      <c r="M202" s="447">
        <f>M100*Calc_SEC_death_rates!$G147</f>
        <v>0.67658048766620837</v>
      </c>
      <c r="N202" s="447">
        <f>N100*Calc_SEC_death_rates!$G147</f>
        <v>0.67041496830077274</v>
      </c>
    </row>
    <row r="203" spans="1:14">
      <c r="B203" s="331" t="str">
        <f t="shared" si="66"/>
        <v>60-64</v>
      </c>
      <c r="C203" s="447">
        <f>C101*Calc_SEC_death_rates!$G148</f>
        <v>0.28442774401151805</v>
      </c>
      <c r="D203" s="447">
        <f>D101*Calc_SEC_death_rates!$G148</f>
        <v>0.27056191639445165</v>
      </c>
      <c r="E203" s="447">
        <f>E101*Calc_SEC_death_rates!$G148</f>
        <v>0.26539622946484659</v>
      </c>
      <c r="F203" s="447">
        <f>F101*Calc_SEC_death_rates!$G148</f>
        <v>0.26437965380249784</v>
      </c>
      <c r="G203" s="447">
        <f>G101*Calc_SEC_death_rates!$G148</f>
        <v>0.26379738555150928</v>
      </c>
      <c r="H203" s="447">
        <f>H101*Calc_SEC_death_rates!$G148</f>
        <v>0.26302459423287822</v>
      </c>
      <c r="I203" s="447">
        <f>I101*Calc_SEC_death_rates!$G148</f>
        <v>0.26178325735701896</v>
      </c>
      <c r="J203" s="447">
        <f>J101*Calc_SEC_death_rates!$G148</f>
        <v>0.26192902872570251</v>
      </c>
      <c r="K203" s="447">
        <f>K101*Calc_SEC_death_rates!$G148</f>
        <v>0.2625950866428336</v>
      </c>
      <c r="L203" s="447">
        <f>L101*Calc_SEC_death_rates!$G148</f>
        <v>0.26151546515507751</v>
      </c>
      <c r="M203" s="447">
        <f>M101*Calc_SEC_death_rates!$G148</f>
        <v>0.25949201507537056</v>
      </c>
      <c r="N203" s="447">
        <f>N101*Calc_SEC_death_rates!$G148</f>
        <v>0.25793115317533516</v>
      </c>
    </row>
    <row r="204" spans="1:14">
      <c r="B204" s="331" t="str">
        <f t="shared" si="66"/>
        <v>65 plus</v>
      </c>
      <c r="C204" s="447">
        <f>C102*Calc_SEC_death_rates!$G149</f>
        <v>0.2530239321076776</v>
      </c>
      <c r="D204" s="447">
        <f>D102*Calc_SEC_death_rates!$G149</f>
        <v>0.3349842361691015</v>
      </c>
      <c r="E204" s="447">
        <f>E102*Calc_SEC_death_rates!$G149</f>
        <v>0.38311396253950031</v>
      </c>
      <c r="F204" s="447">
        <f>F102*Calc_SEC_death_rates!$G149</f>
        <v>0.41342474986965932</v>
      </c>
      <c r="G204" s="447">
        <f>G102*Calc_SEC_death_rates!$G149</f>
        <v>0.43152456161925157</v>
      </c>
      <c r="H204" s="447">
        <f>H102*Calc_SEC_death_rates!$G149</f>
        <v>0.4420502155519565</v>
      </c>
      <c r="I204" s="447">
        <f>I102*Calc_SEC_death_rates!$G149</f>
        <v>0.44746115685528448</v>
      </c>
      <c r="J204" s="447">
        <f>J102*Calc_SEC_death_rates!$G149</f>
        <v>0.45241335820134576</v>
      </c>
      <c r="K204" s="447">
        <f>K102*Calc_SEC_death_rates!$G149</f>
        <v>0.45700902857256892</v>
      </c>
      <c r="L204" s="447">
        <f>L102*Calc_SEC_death_rates!$G149</f>
        <v>0.4582654340334576</v>
      </c>
      <c r="M204" s="447">
        <f>M102*Calc_SEC_death_rates!$G149</f>
        <v>0.45728725775597423</v>
      </c>
      <c r="N204" s="447">
        <f>N102*Calc_SEC_death_rates!$G149</f>
        <v>0.45644494709749694</v>
      </c>
    </row>
    <row r="205" spans="1:14">
      <c r="B205" s="331" t="str">
        <f t="shared" si="66"/>
        <v>Total</v>
      </c>
      <c r="C205" s="447">
        <f>SUM(C195:C204)</f>
        <v>4.0116807134437655</v>
      </c>
      <c r="D205" s="447">
        <f t="shared" ref="D205:N205" si="68">SUM(D195:D204)</f>
        <v>4.0277362956039484</v>
      </c>
      <c r="E205" s="447">
        <f t="shared" si="68"/>
        <v>4.031539391489452</v>
      </c>
      <c r="F205" s="447">
        <f t="shared" si="68"/>
        <v>4.0318230727657598</v>
      </c>
      <c r="G205" s="447">
        <f t="shared" si="68"/>
        <v>4.0154704883236167</v>
      </c>
      <c r="H205" s="447">
        <f t="shared" si="68"/>
        <v>3.9880909360752934</v>
      </c>
      <c r="I205" s="447">
        <f t="shared" si="68"/>
        <v>3.9512958919835461</v>
      </c>
      <c r="J205" s="447">
        <f t="shared" si="68"/>
        <v>3.9288127837788647</v>
      </c>
      <c r="K205" s="447">
        <f t="shared" si="68"/>
        <v>3.9152992219713205</v>
      </c>
      <c r="L205" s="447">
        <f t="shared" si="68"/>
        <v>3.8868662971360366</v>
      </c>
      <c r="M205" s="447">
        <f t="shared" si="68"/>
        <v>3.8505987325423323</v>
      </c>
      <c r="N205" s="447">
        <f t="shared" si="68"/>
        <v>3.8220512494181254</v>
      </c>
    </row>
    <row r="206" spans="1:14">
      <c r="A206" s="302">
        <f>SUM(C206:N206)</f>
        <v>0</v>
      </c>
      <c r="C206" s="302">
        <f t="shared" ref="C206:N206" si="69">SUM(C195:C204)-C205</f>
        <v>0</v>
      </c>
      <c r="D206" s="302">
        <f t="shared" si="69"/>
        <v>0</v>
      </c>
      <c r="E206" s="302">
        <f t="shared" si="69"/>
        <v>0</v>
      </c>
      <c r="F206" s="302">
        <f t="shared" si="69"/>
        <v>0</v>
      </c>
      <c r="G206" s="302">
        <f t="shared" si="69"/>
        <v>0</v>
      </c>
      <c r="H206" s="302">
        <f t="shared" si="69"/>
        <v>0</v>
      </c>
      <c r="I206" s="302">
        <f t="shared" si="69"/>
        <v>0</v>
      </c>
      <c r="J206" s="302">
        <f t="shared" si="69"/>
        <v>0</v>
      </c>
      <c r="K206" s="302">
        <f t="shared" si="69"/>
        <v>0</v>
      </c>
      <c r="L206" s="302">
        <f t="shared" si="69"/>
        <v>0</v>
      </c>
      <c r="M206" s="302">
        <f t="shared" si="69"/>
        <v>0</v>
      </c>
      <c r="N206" s="302">
        <f t="shared" si="69"/>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0">B178</f>
        <v>Age group</v>
      </c>
      <c r="C212" s="331" t="str">
        <f t="shared" ref="C212:N212" si="71">C178</f>
        <v>2017/18</v>
      </c>
      <c r="D212" s="331" t="str">
        <f t="shared" si="71"/>
        <v>2018/19</v>
      </c>
      <c r="E212" s="331" t="str">
        <f t="shared" si="71"/>
        <v>2019/20</v>
      </c>
      <c r="F212" s="331" t="str">
        <f t="shared" si="71"/>
        <v>2020/21</v>
      </c>
      <c r="G212" s="331" t="str">
        <f t="shared" si="71"/>
        <v>2021/22</v>
      </c>
      <c r="H212" s="331" t="str">
        <f t="shared" si="71"/>
        <v>2022/23</v>
      </c>
      <c r="I212" s="331" t="str">
        <f t="shared" si="71"/>
        <v>2023/24</v>
      </c>
      <c r="J212" s="331" t="str">
        <f t="shared" si="71"/>
        <v>2024/25</v>
      </c>
      <c r="K212" s="331" t="str">
        <f t="shared" si="71"/>
        <v>2025/26</v>
      </c>
      <c r="L212" s="331" t="str">
        <f t="shared" si="71"/>
        <v>2026/27</v>
      </c>
      <c r="M212" s="331" t="str">
        <f t="shared" si="71"/>
        <v>2027/28</v>
      </c>
      <c r="N212" s="331" t="str">
        <f t="shared" si="71"/>
        <v>2028/29</v>
      </c>
    </row>
    <row r="213" spans="1:14">
      <c r="B213" s="331" t="str">
        <f t="shared" si="70"/>
        <v>20-24</v>
      </c>
      <c r="C213" s="447">
        <f t="shared" ref="C213:C222" si="72">C111+C145+C179</f>
        <v>1.2611682046701669</v>
      </c>
      <c r="D213" s="447">
        <f t="shared" ref="D213:N213" si="73">D111+D145+D179</f>
        <v>5.1035674580635346</v>
      </c>
      <c r="E213" s="447">
        <f t="shared" si="73"/>
        <v>8.5038297082438206</v>
      </c>
      <c r="F213" s="447">
        <f t="shared" si="73"/>
        <v>10.888692159312839</v>
      </c>
      <c r="G213" s="447">
        <f t="shared" si="73"/>
        <v>12.676430352555499</v>
      </c>
      <c r="H213" s="447">
        <f t="shared" si="73"/>
        <v>13.847791470926905</v>
      </c>
      <c r="I213" s="447">
        <f t="shared" si="73"/>
        <v>14.559000714811978</v>
      </c>
      <c r="J213" s="447">
        <f t="shared" si="73"/>
        <v>15.326345346454639</v>
      </c>
      <c r="K213" s="447">
        <f t="shared" si="73"/>
        <v>16.039846602577459</v>
      </c>
      <c r="L213" s="447">
        <f t="shared" si="73"/>
        <v>16.291792489508346</v>
      </c>
      <c r="M213" s="447">
        <f t="shared" si="73"/>
        <v>16.311860659723969</v>
      </c>
      <c r="N213" s="447">
        <f t="shared" si="73"/>
        <v>16.422448418134504</v>
      </c>
    </row>
    <row r="214" spans="1:14">
      <c r="B214" s="331" t="str">
        <f t="shared" si="70"/>
        <v>25-29</v>
      </c>
      <c r="C214" s="447">
        <f t="shared" si="72"/>
        <v>9.911270231428821</v>
      </c>
      <c r="D214" s="447">
        <f t="shared" ref="D214:N214" si="74">D112+D146+D180</f>
        <v>11.323206613591623</v>
      </c>
      <c r="E214" s="447">
        <f t="shared" si="74"/>
        <v>14.024719638985871</v>
      </c>
      <c r="F214" s="447">
        <f t="shared" si="74"/>
        <v>16.128122600229975</v>
      </c>
      <c r="G214" s="447">
        <f t="shared" si="74"/>
        <v>18.198817057372334</v>
      </c>
      <c r="H214" s="447">
        <f t="shared" si="74"/>
        <v>19.859307153628887</v>
      </c>
      <c r="I214" s="447">
        <f t="shared" si="74"/>
        <v>21.111066532356723</v>
      </c>
      <c r="J214" s="447">
        <f t="shared" si="74"/>
        <v>22.382826342360264</v>
      </c>
      <c r="K214" s="447">
        <f t="shared" si="74"/>
        <v>23.583551074888966</v>
      </c>
      <c r="L214" s="447">
        <f t="shared" si="74"/>
        <v>24.302001241015336</v>
      </c>
      <c r="M214" s="447">
        <f t="shared" si="74"/>
        <v>24.700153836367004</v>
      </c>
      <c r="N214" s="447">
        <f t="shared" si="74"/>
        <v>25.087751535683033</v>
      </c>
    </row>
    <row r="215" spans="1:14">
      <c r="B215" s="331" t="str">
        <f t="shared" si="70"/>
        <v>30-34</v>
      </c>
      <c r="C215" s="447">
        <f t="shared" si="72"/>
        <v>16.437882561556243</v>
      </c>
      <c r="D215" s="447">
        <f t="shared" ref="D215:N215" si="75">D113+D147+D181</f>
        <v>14.94653415020364</v>
      </c>
      <c r="E215" s="447">
        <f t="shared" si="75"/>
        <v>15.250721285569481</v>
      </c>
      <c r="F215" s="447">
        <f t="shared" si="75"/>
        <v>15.200573301372833</v>
      </c>
      <c r="G215" s="447">
        <f t="shared" si="75"/>
        <v>15.704479162072467</v>
      </c>
      <c r="H215" s="447">
        <f t="shared" si="75"/>
        <v>16.318934496270089</v>
      </c>
      <c r="I215" s="447">
        <f t="shared" si="75"/>
        <v>16.948802686862138</v>
      </c>
      <c r="J215" s="447">
        <f t="shared" si="75"/>
        <v>17.704227246569157</v>
      </c>
      <c r="K215" s="447">
        <f t="shared" si="75"/>
        <v>18.514220609235661</v>
      </c>
      <c r="L215" s="447">
        <f t="shared" si="75"/>
        <v>19.166834915186936</v>
      </c>
      <c r="M215" s="447">
        <f t="shared" si="75"/>
        <v>19.678923159923958</v>
      </c>
      <c r="N215" s="447">
        <f t="shared" si="75"/>
        <v>20.156278861089618</v>
      </c>
    </row>
    <row r="216" spans="1:14">
      <c r="B216" s="331" t="str">
        <f t="shared" si="70"/>
        <v>35-39</v>
      </c>
      <c r="C216" s="447">
        <f t="shared" si="72"/>
        <v>20.751286936644348</v>
      </c>
      <c r="D216" s="447">
        <f t="shared" ref="D216:N216" si="76">D114+D148+D182</f>
        <v>19.074832192041427</v>
      </c>
      <c r="E216" s="447">
        <f t="shared" si="76"/>
        <v>19.038203261612257</v>
      </c>
      <c r="F216" s="447">
        <f t="shared" si="76"/>
        <v>18.152958210725476</v>
      </c>
      <c r="G216" s="447">
        <f t="shared" si="76"/>
        <v>17.81956665392353</v>
      </c>
      <c r="H216" s="447">
        <f t="shared" si="76"/>
        <v>17.639992014204182</v>
      </c>
      <c r="I216" s="447">
        <f t="shared" si="76"/>
        <v>17.587673466847185</v>
      </c>
      <c r="J216" s="447">
        <f t="shared" si="76"/>
        <v>17.745205078249395</v>
      </c>
      <c r="K216" s="447">
        <f t="shared" si="76"/>
        <v>18.054644696276991</v>
      </c>
      <c r="L216" s="447">
        <f t="shared" si="76"/>
        <v>18.362012602006335</v>
      </c>
      <c r="M216" s="447">
        <f t="shared" si="76"/>
        <v>18.665948339312713</v>
      </c>
      <c r="N216" s="447">
        <f t="shared" si="76"/>
        <v>19.016098833240473</v>
      </c>
    </row>
    <row r="217" spans="1:14">
      <c r="B217" s="331" t="str">
        <f t="shared" si="70"/>
        <v>40-44</v>
      </c>
      <c r="C217" s="447">
        <f t="shared" si="72"/>
        <v>27.006315543473097</v>
      </c>
      <c r="D217" s="447">
        <f t="shared" ref="D217:N217" si="77">D115+D149+D183</f>
        <v>24.47362465453239</v>
      </c>
      <c r="E217" s="447">
        <f t="shared" si="77"/>
        <v>24.135479890531368</v>
      </c>
      <c r="F217" s="447">
        <f t="shared" si="77"/>
        <v>22.67221780413621</v>
      </c>
      <c r="G217" s="447">
        <f t="shared" si="77"/>
        <v>21.839931558457952</v>
      </c>
      <c r="H217" s="447">
        <f t="shared" si="77"/>
        <v>21.133540240926497</v>
      </c>
      <c r="I217" s="447">
        <f t="shared" si="77"/>
        <v>20.54460286079912</v>
      </c>
      <c r="J217" s="447">
        <f t="shared" si="77"/>
        <v>20.172352860914852</v>
      </c>
      <c r="K217" s="447">
        <f t="shared" si="77"/>
        <v>19.977781043175259</v>
      </c>
      <c r="L217" s="447">
        <f t="shared" si="77"/>
        <v>19.829951935542383</v>
      </c>
      <c r="M217" s="447">
        <f t="shared" si="77"/>
        <v>19.741555193529042</v>
      </c>
      <c r="N217" s="447">
        <f t="shared" si="77"/>
        <v>19.7655558662121</v>
      </c>
    </row>
    <row r="218" spans="1:14">
      <c r="B218" s="331" t="str">
        <f t="shared" si="70"/>
        <v>45-49</v>
      </c>
      <c r="C218" s="447">
        <f t="shared" si="72"/>
        <v>26.062823539363471</v>
      </c>
      <c r="D218" s="447">
        <f t="shared" ref="D218:N218" si="78">D116+D150+D184</f>
        <v>24.647555478438285</v>
      </c>
      <c r="E218" s="447">
        <f t="shared" si="78"/>
        <v>24.99867301313628</v>
      </c>
      <c r="F218" s="447">
        <f t="shared" si="78"/>
        <v>23.915563284157997</v>
      </c>
      <c r="G218" s="447">
        <f t="shared" si="78"/>
        <v>23.285949613733276</v>
      </c>
      <c r="H218" s="447">
        <f t="shared" si="78"/>
        <v>22.636473100318945</v>
      </c>
      <c r="I218" s="447">
        <f t="shared" si="78"/>
        <v>21.99140391234732</v>
      </c>
      <c r="J218" s="447">
        <f t="shared" si="78"/>
        <v>21.465965702965399</v>
      </c>
      <c r="K218" s="447">
        <f t="shared" si="78"/>
        <v>21.048907074872002</v>
      </c>
      <c r="L218" s="447">
        <f t="shared" si="78"/>
        <v>20.643525710283026</v>
      </c>
      <c r="M218" s="447">
        <f t="shared" si="78"/>
        <v>20.278799348307977</v>
      </c>
      <c r="N218" s="447">
        <f t="shared" si="78"/>
        <v>20.017712283713035</v>
      </c>
    </row>
    <row r="219" spans="1:14">
      <c r="B219" s="331" t="str">
        <f t="shared" si="70"/>
        <v>50-54</v>
      </c>
      <c r="C219" s="447">
        <f t="shared" si="72"/>
        <v>30.975962215706819</v>
      </c>
      <c r="D219" s="447">
        <f t="shared" ref="D219:N219" si="79">D117+D151+D185</f>
        <v>28.513585695975564</v>
      </c>
      <c r="E219" s="447">
        <f t="shared" si="79"/>
        <v>28.159595910493319</v>
      </c>
      <c r="F219" s="447">
        <f t="shared" si="79"/>
        <v>26.838567161679084</v>
      </c>
      <c r="G219" s="447">
        <f t="shared" si="79"/>
        <v>26.068292528156938</v>
      </c>
      <c r="H219" s="447">
        <f t="shared" si="79"/>
        <v>25.347848668544277</v>
      </c>
      <c r="I219" s="447">
        <f t="shared" si="79"/>
        <v>24.6514735413555</v>
      </c>
      <c r="J219" s="447">
        <f t="shared" si="79"/>
        <v>24.066377763543382</v>
      </c>
      <c r="K219" s="447">
        <f t="shared" si="79"/>
        <v>23.566364165117765</v>
      </c>
      <c r="L219" s="447">
        <f t="shared" si="79"/>
        <v>23.049168730540764</v>
      </c>
      <c r="M219" s="447">
        <f t="shared" si="79"/>
        <v>22.545417167423647</v>
      </c>
      <c r="N219" s="447">
        <f t="shared" si="79"/>
        <v>22.123258660635909</v>
      </c>
    </row>
    <row r="220" spans="1:14">
      <c r="B220" s="331" t="str">
        <f t="shared" si="70"/>
        <v>55-59</v>
      </c>
      <c r="C220" s="447">
        <f t="shared" si="72"/>
        <v>47.158071944649031</v>
      </c>
      <c r="D220" s="447">
        <f t="shared" ref="D220:N220" si="80">D118+D152+D186</f>
        <v>41.421730246484294</v>
      </c>
      <c r="E220" s="447">
        <f t="shared" si="80"/>
        <v>38.048381345241225</v>
      </c>
      <c r="F220" s="447">
        <f t="shared" si="80"/>
        <v>35.288950311628106</v>
      </c>
      <c r="G220" s="447">
        <f t="shared" si="80"/>
        <v>33.397702186425235</v>
      </c>
      <c r="H220" s="447">
        <f t="shared" si="80"/>
        <v>31.930179984846038</v>
      </c>
      <c r="I220" s="447">
        <f t="shared" si="80"/>
        <v>30.727781400416013</v>
      </c>
      <c r="J220" s="447">
        <f t="shared" si="80"/>
        <v>29.830339136887357</v>
      </c>
      <c r="K220" s="447">
        <f t="shared" si="80"/>
        <v>29.12614285126417</v>
      </c>
      <c r="L220" s="447">
        <f t="shared" si="80"/>
        <v>28.419645380044017</v>
      </c>
      <c r="M220" s="447">
        <f t="shared" si="80"/>
        <v>27.738404130891713</v>
      </c>
      <c r="N220" s="447">
        <f t="shared" si="80"/>
        <v>27.168313816858255</v>
      </c>
    </row>
    <row r="221" spans="1:14">
      <c r="B221" s="331" t="str">
        <f t="shared" si="70"/>
        <v>60-64</v>
      </c>
      <c r="C221" s="447">
        <f t="shared" si="72"/>
        <v>27.979611119098543</v>
      </c>
      <c r="D221" s="447">
        <f t="shared" ref="D221:N221" si="81">D119+D153+D187</f>
        <v>25.743507089028558</v>
      </c>
      <c r="E221" s="447">
        <f t="shared" si="81"/>
        <v>23.78491844197336</v>
      </c>
      <c r="F221" s="447">
        <f t="shared" si="81"/>
        <v>21.881348309612761</v>
      </c>
      <c r="G221" s="447">
        <f t="shared" si="81"/>
        <v>20.391159640093793</v>
      </c>
      <c r="H221" s="447">
        <f t="shared" si="81"/>
        <v>19.187651626524261</v>
      </c>
      <c r="I221" s="447">
        <f t="shared" si="81"/>
        <v>18.216520051899273</v>
      </c>
      <c r="J221" s="447">
        <f t="shared" si="81"/>
        <v>17.531310936112188</v>
      </c>
      <c r="K221" s="447">
        <f t="shared" si="81"/>
        <v>17.032830656136873</v>
      </c>
      <c r="L221" s="447">
        <f t="shared" si="81"/>
        <v>16.551284763874687</v>
      </c>
      <c r="M221" s="447">
        <f t="shared" si="81"/>
        <v>16.104501221592265</v>
      </c>
      <c r="N221" s="447">
        <f t="shared" si="81"/>
        <v>15.753627333945177</v>
      </c>
    </row>
    <row r="222" spans="1:14">
      <c r="B222" s="331" t="str">
        <f t="shared" si="70"/>
        <v>65 plus</v>
      </c>
      <c r="C222" s="447">
        <f t="shared" si="72"/>
        <v>9.3421728449543853</v>
      </c>
      <c r="D222" s="447">
        <f t="shared" ref="D222:N222" si="82">D120+D154+D188</f>
        <v>10.064409253267332</v>
      </c>
      <c r="E222" s="447">
        <f t="shared" si="82"/>
        <v>10.428826852325489</v>
      </c>
      <c r="F222" s="447">
        <f t="shared" si="82"/>
        <v>10.256586978147114</v>
      </c>
      <c r="G222" s="447">
        <f t="shared" si="82"/>
        <v>9.9410039093037312</v>
      </c>
      <c r="H222" s="447">
        <f t="shared" si="82"/>
        <v>9.5284048248198108</v>
      </c>
      <c r="I222" s="447">
        <f t="shared" si="82"/>
        <v>9.094472806704319</v>
      </c>
      <c r="J222" s="447">
        <f t="shared" si="82"/>
        <v>8.7310979140753009</v>
      </c>
      <c r="K222" s="447">
        <f t="shared" si="82"/>
        <v>8.4382899257096131</v>
      </c>
      <c r="L222" s="447">
        <f t="shared" si="82"/>
        <v>8.1581144887074331</v>
      </c>
      <c r="M222" s="447">
        <f t="shared" si="82"/>
        <v>7.9003036718715212</v>
      </c>
      <c r="N222" s="447">
        <f t="shared" si="82"/>
        <v>7.6946036896757128</v>
      </c>
    </row>
    <row r="223" spans="1:14">
      <c r="B223" s="331" t="str">
        <f t="shared" si="70"/>
        <v>Total</v>
      </c>
      <c r="C223" s="447">
        <f>SUM(C213:C222)</f>
        <v>216.88656514154493</v>
      </c>
      <c r="D223" s="447">
        <f t="shared" ref="D223:N223" si="83">SUM(D213:D222)</f>
        <v>205.31255283162665</v>
      </c>
      <c r="E223" s="447">
        <f t="shared" si="83"/>
        <v>206.37334934811247</v>
      </c>
      <c r="F223" s="447">
        <f t="shared" si="83"/>
        <v>201.22358012100241</v>
      </c>
      <c r="G223" s="447">
        <f t="shared" si="83"/>
        <v>199.32333266209474</v>
      </c>
      <c r="H223" s="447">
        <f t="shared" si="83"/>
        <v>197.43012358100987</v>
      </c>
      <c r="I223" s="447">
        <f t="shared" si="83"/>
        <v>195.43279797439953</v>
      </c>
      <c r="J223" s="447">
        <f t="shared" si="83"/>
        <v>194.95604832813194</v>
      </c>
      <c r="K223" s="447">
        <f t="shared" si="83"/>
        <v>195.38257869925479</v>
      </c>
      <c r="L223" s="447">
        <f t="shared" si="83"/>
        <v>194.77433225670927</v>
      </c>
      <c r="M223" s="447">
        <f t="shared" si="83"/>
        <v>193.6658667289438</v>
      </c>
      <c r="N223" s="447">
        <f t="shared" si="83"/>
        <v>193.20564929918783</v>
      </c>
    </row>
    <row r="224" spans="1:14">
      <c r="A224" s="302">
        <f>SUM(C224:N224)</f>
        <v>0</v>
      </c>
      <c r="C224" s="302">
        <f t="shared" ref="C224:N224" si="84">SUM(C213:C222)-C223</f>
        <v>0</v>
      </c>
      <c r="D224" s="302">
        <f t="shared" si="84"/>
        <v>0</v>
      </c>
      <c r="E224" s="302">
        <f t="shared" si="84"/>
        <v>0</v>
      </c>
      <c r="F224" s="302">
        <f t="shared" si="84"/>
        <v>0</v>
      </c>
      <c r="G224" s="302">
        <f t="shared" si="84"/>
        <v>0</v>
      </c>
      <c r="H224" s="302">
        <f t="shared" si="84"/>
        <v>0</v>
      </c>
      <c r="I224" s="302">
        <f t="shared" si="84"/>
        <v>0</v>
      </c>
      <c r="J224" s="302">
        <f t="shared" si="84"/>
        <v>0</v>
      </c>
      <c r="K224" s="302">
        <f t="shared" si="84"/>
        <v>0</v>
      </c>
      <c r="L224" s="302">
        <f t="shared" si="84"/>
        <v>0</v>
      </c>
      <c r="M224" s="302">
        <f t="shared" si="84"/>
        <v>0</v>
      </c>
      <c r="N224" s="302">
        <f t="shared" si="84"/>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5">B212</f>
        <v>Age group</v>
      </c>
      <c r="C228" s="331" t="str">
        <f t="shared" ref="C228:N228" si="86">C212</f>
        <v>2017/18</v>
      </c>
      <c r="D228" s="331" t="str">
        <f t="shared" si="86"/>
        <v>2018/19</v>
      </c>
      <c r="E228" s="331" t="str">
        <f t="shared" si="86"/>
        <v>2019/20</v>
      </c>
      <c r="F228" s="331" t="str">
        <f t="shared" si="86"/>
        <v>2020/21</v>
      </c>
      <c r="G228" s="331" t="str">
        <f t="shared" si="86"/>
        <v>2021/22</v>
      </c>
      <c r="H228" s="331" t="str">
        <f t="shared" si="86"/>
        <v>2022/23</v>
      </c>
      <c r="I228" s="331" t="str">
        <f t="shared" si="86"/>
        <v>2023/24</v>
      </c>
      <c r="J228" s="331" t="str">
        <f t="shared" si="86"/>
        <v>2024/25</v>
      </c>
      <c r="K228" s="331" t="str">
        <f t="shared" si="86"/>
        <v>2025/26</v>
      </c>
      <c r="L228" s="331" t="str">
        <f t="shared" si="86"/>
        <v>2026/27</v>
      </c>
      <c r="M228" s="331" t="str">
        <f t="shared" si="86"/>
        <v>2027/28</v>
      </c>
      <c r="N228" s="331" t="str">
        <f t="shared" si="86"/>
        <v>2028/29</v>
      </c>
    </row>
    <row r="229" spans="1:14">
      <c r="B229" s="331" t="str">
        <f t="shared" si="85"/>
        <v>20-24</v>
      </c>
      <c r="C229" s="447">
        <f>C195+C161+C127</f>
        <v>13.734830941319968</v>
      </c>
      <c r="D229" s="447">
        <f t="shared" ref="D229:N229" si="87">D195+D161+D127</f>
        <v>24.422381587426468</v>
      </c>
      <c r="E229" s="447">
        <f t="shared" si="87"/>
        <v>33.658284496313712</v>
      </c>
      <c r="F229" s="447">
        <f t="shared" si="87"/>
        <v>41.583950990581215</v>
      </c>
      <c r="G229" s="447">
        <f t="shared" si="87"/>
        <v>46.747511781859259</v>
      </c>
      <c r="H229" s="447">
        <f t="shared" si="87"/>
        <v>50.07584342619991</v>
      </c>
      <c r="I229" s="447">
        <f t="shared" si="87"/>
        <v>52.021480150531637</v>
      </c>
      <c r="J229" s="447">
        <f t="shared" si="87"/>
        <v>54.321239715241965</v>
      </c>
      <c r="K229" s="447">
        <f t="shared" si="87"/>
        <v>56.544173093469972</v>
      </c>
      <c r="L229" s="447">
        <f t="shared" si="87"/>
        <v>57.234049909682689</v>
      </c>
      <c r="M229" s="447">
        <f t="shared" si="87"/>
        <v>57.170259694255897</v>
      </c>
      <c r="N229" s="447">
        <f t="shared" si="87"/>
        <v>57.462148070858994</v>
      </c>
    </row>
    <row r="230" spans="1:14">
      <c r="B230" s="331" t="str">
        <f t="shared" si="85"/>
        <v>25-29</v>
      </c>
      <c r="C230" s="447">
        <f t="shared" ref="C230:N230" si="88">C196+C162+C128</f>
        <v>56.867000467918842</v>
      </c>
      <c r="D230" s="447">
        <f t="shared" si="88"/>
        <v>58.28991255982379</v>
      </c>
      <c r="E230" s="447">
        <f t="shared" si="88"/>
        <v>62.829810949292785</v>
      </c>
      <c r="F230" s="447">
        <f t="shared" si="88"/>
        <v>68.678743614534568</v>
      </c>
      <c r="G230" s="447">
        <f t="shared" si="88"/>
        <v>73.239014344549261</v>
      </c>
      <c r="H230" s="447">
        <f t="shared" si="88"/>
        <v>76.952341587177415</v>
      </c>
      <c r="I230" s="447">
        <f t="shared" si="88"/>
        <v>79.702592075071777</v>
      </c>
      <c r="J230" s="447">
        <f t="shared" si="88"/>
        <v>82.908740673696514</v>
      </c>
      <c r="K230" s="447">
        <f t="shared" si="88"/>
        <v>86.16345433656457</v>
      </c>
      <c r="L230" s="447">
        <f t="shared" si="88"/>
        <v>87.94170834869773</v>
      </c>
      <c r="M230" s="447">
        <f t="shared" si="88"/>
        <v>88.766876991240238</v>
      </c>
      <c r="N230" s="447">
        <f t="shared" si="88"/>
        <v>89.696109008473286</v>
      </c>
    </row>
    <row r="231" spans="1:14">
      <c r="B231" s="331" t="str">
        <f t="shared" si="85"/>
        <v>30-34</v>
      </c>
      <c r="C231" s="447">
        <f t="shared" ref="C231:N231" si="89">C197+C163+C129</f>
        <v>84.374224636351258</v>
      </c>
      <c r="D231" s="447">
        <f t="shared" si="89"/>
        <v>79.011646498965334</v>
      </c>
      <c r="E231" s="447">
        <f t="shared" si="89"/>
        <v>76.788785278313881</v>
      </c>
      <c r="F231" s="447">
        <f t="shared" si="89"/>
        <v>76.250778200459408</v>
      </c>
      <c r="G231" s="447">
        <f t="shared" si="89"/>
        <v>75.805894660279662</v>
      </c>
      <c r="H231" s="447">
        <f t="shared" si="89"/>
        <v>76.030576399375448</v>
      </c>
      <c r="I231" s="447">
        <f t="shared" si="89"/>
        <v>76.566313573782381</v>
      </c>
      <c r="J231" s="447">
        <f t="shared" si="89"/>
        <v>77.876101830232372</v>
      </c>
      <c r="K231" s="447">
        <f t="shared" si="89"/>
        <v>79.653721127515837</v>
      </c>
      <c r="L231" s="447">
        <f t="shared" si="89"/>
        <v>81.006271190567247</v>
      </c>
      <c r="M231" s="447">
        <f t="shared" si="89"/>
        <v>81.987360972742152</v>
      </c>
      <c r="N231" s="447">
        <f t="shared" si="89"/>
        <v>83.012163245420524</v>
      </c>
    </row>
    <row r="232" spans="1:14">
      <c r="B232" s="331" t="str">
        <f t="shared" si="85"/>
        <v>35-39</v>
      </c>
      <c r="C232" s="447">
        <f t="shared" ref="C232:N232" si="90">C198+C164+C130</f>
        <v>94.87459397501884</v>
      </c>
      <c r="D232" s="447">
        <f t="shared" si="90"/>
        <v>90.538090632395367</v>
      </c>
      <c r="E232" s="447">
        <f t="shared" si="90"/>
        <v>87.753162999141324</v>
      </c>
      <c r="F232" s="447">
        <f t="shared" si="90"/>
        <v>85.33980174759121</v>
      </c>
      <c r="G232" s="447">
        <f t="shared" si="90"/>
        <v>82.360571931100367</v>
      </c>
      <c r="H232" s="447">
        <f t="shared" si="90"/>
        <v>79.988019400834276</v>
      </c>
      <c r="I232" s="447">
        <f t="shared" si="90"/>
        <v>78.150325696805638</v>
      </c>
      <c r="J232" s="447">
        <f t="shared" si="90"/>
        <v>77.212792960804947</v>
      </c>
      <c r="K232" s="447">
        <f t="shared" si="90"/>
        <v>76.964939714648892</v>
      </c>
      <c r="L232" s="447">
        <f t="shared" si="90"/>
        <v>76.804891882471011</v>
      </c>
      <c r="M232" s="447">
        <f t="shared" si="90"/>
        <v>76.743453559838841</v>
      </c>
      <c r="N232" s="447">
        <f t="shared" si="90"/>
        <v>76.989047198135694</v>
      </c>
    </row>
    <row r="233" spans="1:14">
      <c r="B233" s="331" t="str">
        <f t="shared" si="85"/>
        <v>40-44</v>
      </c>
      <c r="C233" s="447">
        <f t="shared" ref="C233:N233" si="91">C199+C165+C131</f>
        <v>91.196102234323547</v>
      </c>
      <c r="D233" s="447">
        <f t="shared" si="91"/>
        <v>89.472747372597539</v>
      </c>
      <c r="E233" s="447">
        <f t="shared" si="91"/>
        <v>88.719486960138553</v>
      </c>
      <c r="F233" s="447">
        <f t="shared" si="91"/>
        <v>87.614341504225706</v>
      </c>
      <c r="G233" s="447">
        <f t="shared" si="91"/>
        <v>85.208769872763838</v>
      </c>
      <c r="H233" s="447">
        <f t="shared" si="91"/>
        <v>82.801424331412875</v>
      </c>
      <c r="I233" s="447">
        <f t="shared" si="91"/>
        <v>80.479445493655248</v>
      </c>
      <c r="J233" s="447">
        <f t="shared" si="91"/>
        <v>78.69957082195252</v>
      </c>
      <c r="K233" s="447">
        <f t="shared" si="91"/>
        <v>77.391890045674202</v>
      </c>
      <c r="L233" s="447">
        <f t="shared" si="91"/>
        <v>76.135741437547807</v>
      </c>
      <c r="M233" s="447">
        <f t="shared" si="91"/>
        <v>75.026724094147667</v>
      </c>
      <c r="N233" s="447">
        <f t="shared" si="91"/>
        <v>74.297683370520417</v>
      </c>
    </row>
    <row r="234" spans="1:14">
      <c r="B234" s="331" t="str">
        <f t="shared" si="85"/>
        <v>45-49</v>
      </c>
      <c r="C234" s="447">
        <f t="shared" ref="C234:N234" si="92">C200+C166+C132</f>
        <v>83.759015870838923</v>
      </c>
      <c r="D234" s="447">
        <f t="shared" si="92"/>
        <v>84.15682628775032</v>
      </c>
      <c r="E234" s="447">
        <f t="shared" si="92"/>
        <v>85.348366483548247</v>
      </c>
      <c r="F234" s="447">
        <f t="shared" si="92"/>
        <v>86.020354949538046</v>
      </c>
      <c r="G234" s="447">
        <f t="shared" si="92"/>
        <v>85.14906426662651</v>
      </c>
      <c r="H234" s="447">
        <f t="shared" si="92"/>
        <v>83.939422969017883</v>
      </c>
      <c r="I234" s="447">
        <f t="shared" si="92"/>
        <v>82.459662735180174</v>
      </c>
      <c r="J234" s="447">
        <f t="shared" si="92"/>
        <v>81.151588549789182</v>
      </c>
      <c r="K234" s="447">
        <f t="shared" si="92"/>
        <v>79.99416715801722</v>
      </c>
      <c r="L234" s="447">
        <f t="shared" si="92"/>
        <v>78.653432991621472</v>
      </c>
      <c r="M234" s="447">
        <f t="shared" si="92"/>
        <v>77.275993514369048</v>
      </c>
      <c r="N234" s="447">
        <f t="shared" si="92"/>
        <v>76.136053770486043</v>
      </c>
    </row>
    <row r="235" spans="1:14">
      <c r="B235" s="331" t="str">
        <f t="shared" si="85"/>
        <v>50-54</v>
      </c>
      <c r="C235" s="447">
        <f t="shared" ref="C235:N235" si="93">C201+C167+C133</f>
        <v>82.341283678226972</v>
      </c>
      <c r="D235" s="447">
        <f t="shared" si="93"/>
        <v>81.653347555769429</v>
      </c>
      <c r="E235" s="447">
        <f t="shared" si="93"/>
        <v>82.241741889764953</v>
      </c>
      <c r="F235" s="447">
        <f t="shared" si="93"/>
        <v>82.868669818274554</v>
      </c>
      <c r="G235" s="447">
        <f t="shared" si="93"/>
        <v>82.52822742443081</v>
      </c>
      <c r="H235" s="447">
        <f t="shared" si="93"/>
        <v>82.013242910319292</v>
      </c>
      <c r="I235" s="447">
        <f t="shared" si="93"/>
        <v>81.274888769080249</v>
      </c>
      <c r="J235" s="447">
        <f t="shared" si="93"/>
        <v>80.649445452553493</v>
      </c>
      <c r="K235" s="447">
        <f t="shared" si="93"/>
        <v>80.061258737094903</v>
      </c>
      <c r="L235" s="447">
        <f t="shared" si="93"/>
        <v>79.1632890320559</v>
      </c>
      <c r="M235" s="447">
        <f t="shared" si="93"/>
        <v>78.085972720316846</v>
      </c>
      <c r="N235" s="447">
        <f t="shared" si="93"/>
        <v>77.095395941025529</v>
      </c>
    </row>
    <row r="236" spans="1:14">
      <c r="B236" s="331" t="str">
        <f t="shared" si="85"/>
        <v>55-59</v>
      </c>
      <c r="C236" s="447">
        <f t="shared" ref="C236:N236" si="94">C202+C168+C134</f>
        <v>91.479320166441568</v>
      </c>
      <c r="D236" s="447">
        <f t="shared" si="94"/>
        <v>91.845408679502015</v>
      </c>
      <c r="E236" s="447">
        <f t="shared" si="94"/>
        <v>92.392316249280299</v>
      </c>
      <c r="F236" s="447">
        <f t="shared" si="94"/>
        <v>92.930965022900182</v>
      </c>
      <c r="G236" s="447">
        <f t="shared" si="94"/>
        <v>92.890694581976504</v>
      </c>
      <c r="H236" s="447">
        <f t="shared" si="94"/>
        <v>92.634904905111767</v>
      </c>
      <c r="I236" s="447">
        <f t="shared" si="94"/>
        <v>92.152245115786059</v>
      </c>
      <c r="J236" s="447">
        <f t="shared" si="94"/>
        <v>91.914233965224383</v>
      </c>
      <c r="K236" s="447">
        <f t="shared" si="94"/>
        <v>91.751921245531449</v>
      </c>
      <c r="L236" s="447">
        <f t="shared" si="94"/>
        <v>91.131652853207285</v>
      </c>
      <c r="M236" s="447">
        <f t="shared" si="94"/>
        <v>90.233639803540271</v>
      </c>
      <c r="N236" s="447">
        <f t="shared" si="94"/>
        <v>89.41136179853676</v>
      </c>
    </row>
    <row r="237" spans="1:14">
      <c r="B237" s="331" t="str">
        <f t="shared" si="85"/>
        <v>60-64</v>
      </c>
      <c r="C237" s="447">
        <f t="shared" ref="C237:N237" si="95">C203+C169+C135</f>
        <v>57.114217487080083</v>
      </c>
      <c r="D237" s="447">
        <f t="shared" si="95"/>
        <v>54.36673501373523</v>
      </c>
      <c r="E237" s="447">
        <f t="shared" si="95"/>
        <v>53.451031387556966</v>
      </c>
      <c r="F237" s="447">
        <f t="shared" si="95"/>
        <v>53.341935563351349</v>
      </c>
      <c r="G237" s="447">
        <f t="shared" si="95"/>
        <v>53.224455586817228</v>
      </c>
      <c r="H237" s="447">
        <f t="shared" si="95"/>
        <v>53.068535174147605</v>
      </c>
      <c r="I237" s="447">
        <f t="shared" si="95"/>
        <v>52.818079775284104</v>
      </c>
      <c r="J237" s="447">
        <f t="shared" si="95"/>
        <v>52.847490990721695</v>
      </c>
      <c r="K237" s="447">
        <f t="shared" si="95"/>
        <v>52.981876591073558</v>
      </c>
      <c r="L237" s="447">
        <f t="shared" si="95"/>
        <v>52.764049315016543</v>
      </c>
      <c r="M237" s="447">
        <f t="shared" si="95"/>
        <v>52.355792695359966</v>
      </c>
      <c r="N237" s="447">
        <f t="shared" si="95"/>
        <v>52.040869085704365</v>
      </c>
    </row>
    <row r="238" spans="1:14">
      <c r="B238" s="331" t="str">
        <f t="shared" si="85"/>
        <v>65 plus</v>
      </c>
      <c r="C238" s="447">
        <f t="shared" ref="C238:N238" si="96">C204+C170+C136</f>
        <v>13.374101722968259</v>
      </c>
      <c r="D238" s="447">
        <f t="shared" si="96"/>
        <v>17.724758924180016</v>
      </c>
      <c r="E238" s="447">
        <f t="shared" si="96"/>
        <v>20.342936893633009</v>
      </c>
      <c r="F238" s="447">
        <f t="shared" si="96"/>
        <v>22.013006796371535</v>
      </c>
      <c r="G238" s="447">
        <f t="shared" si="96"/>
        <v>22.976740291239548</v>
      </c>
      <c r="H238" s="447">
        <f t="shared" si="96"/>
        <v>23.5371839793108</v>
      </c>
      <c r="I238" s="447">
        <f t="shared" si="96"/>
        <v>23.825292245016904</v>
      </c>
      <c r="J238" s="447">
        <f t="shared" si="96"/>
        <v>24.088974673130398</v>
      </c>
      <c r="K238" s="447">
        <f t="shared" si="96"/>
        <v>24.333673431846499</v>
      </c>
      <c r="L238" s="447">
        <f t="shared" si="96"/>
        <v>24.400571366617605</v>
      </c>
      <c r="M238" s="447">
        <f t="shared" si="96"/>
        <v>24.348487883345065</v>
      </c>
      <c r="N238" s="447">
        <f t="shared" si="96"/>
        <v>24.303638632651769</v>
      </c>
    </row>
    <row r="239" spans="1:14">
      <c r="B239" s="331" t="str">
        <f t="shared" si="85"/>
        <v>Total</v>
      </c>
      <c r="C239" s="447">
        <f>SUM(C229:C238)</f>
        <v>669.11469118048819</v>
      </c>
      <c r="D239" s="447">
        <f t="shared" ref="D239:N239" si="97">SUM(D229:D238)</f>
        <v>671.48185511214558</v>
      </c>
      <c r="E239" s="447">
        <f t="shared" si="97"/>
        <v>683.52592358698371</v>
      </c>
      <c r="F239" s="447">
        <f t="shared" si="97"/>
        <v>696.64254820782787</v>
      </c>
      <c r="G239" s="447">
        <f t="shared" si="97"/>
        <v>700.13094474164313</v>
      </c>
      <c r="H239" s="447">
        <f t="shared" si="97"/>
        <v>701.04149508290732</v>
      </c>
      <c r="I239" s="447">
        <f t="shared" si="97"/>
        <v>699.45032563019424</v>
      </c>
      <c r="J239" s="447">
        <f t="shared" si="97"/>
        <v>701.67017963334763</v>
      </c>
      <c r="K239" s="447">
        <f t="shared" si="97"/>
        <v>705.84107548143709</v>
      </c>
      <c r="L239" s="447">
        <f t="shared" si="97"/>
        <v>705.23565832748523</v>
      </c>
      <c r="M239" s="447">
        <f t="shared" si="97"/>
        <v>701.99456192915602</v>
      </c>
      <c r="N239" s="447">
        <f t="shared" si="97"/>
        <v>700.44447012181331</v>
      </c>
    </row>
    <row r="240" spans="1:14">
      <c r="A240" s="302">
        <f>SUM(C240:N240)</f>
        <v>0</v>
      </c>
      <c r="C240" s="302">
        <f t="shared" ref="C240:N240" si="98">SUM(C229:C238)-C239</f>
        <v>0</v>
      </c>
      <c r="D240" s="302">
        <f t="shared" si="98"/>
        <v>0</v>
      </c>
      <c r="E240" s="302">
        <f t="shared" si="98"/>
        <v>0</v>
      </c>
      <c r="F240" s="302">
        <f t="shared" si="98"/>
        <v>0</v>
      </c>
      <c r="G240" s="302">
        <f t="shared" si="98"/>
        <v>0</v>
      </c>
      <c r="H240" s="302">
        <f t="shared" si="98"/>
        <v>0</v>
      </c>
      <c r="I240" s="302">
        <f t="shared" si="98"/>
        <v>0</v>
      </c>
      <c r="J240" s="302">
        <f t="shared" si="98"/>
        <v>0</v>
      </c>
      <c r="K240" s="302">
        <f t="shared" si="98"/>
        <v>0</v>
      </c>
      <c r="L240" s="302">
        <f t="shared" si="98"/>
        <v>0</v>
      </c>
      <c r="M240" s="302">
        <f t="shared" si="98"/>
        <v>0</v>
      </c>
      <c r="N240" s="302">
        <f t="shared" si="98"/>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99">B212</f>
        <v>Age group</v>
      </c>
      <c r="C246" s="331" t="str">
        <f t="shared" ref="C246:N246" si="100">C212</f>
        <v>2017/18</v>
      </c>
      <c r="D246" s="331" t="str">
        <f t="shared" si="100"/>
        <v>2018/19</v>
      </c>
      <c r="E246" s="331" t="str">
        <f t="shared" si="100"/>
        <v>2019/20</v>
      </c>
      <c r="F246" s="331" t="str">
        <f t="shared" si="100"/>
        <v>2020/21</v>
      </c>
      <c r="G246" s="331" t="str">
        <f t="shared" si="100"/>
        <v>2021/22</v>
      </c>
      <c r="H246" s="331" t="str">
        <f t="shared" si="100"/>
        <v>2022/23</v>
      </c>
      <c r="I246" s="331" t="str">
        <f t="shared" si="100"/>
        <v>2023/24</v>
      </c>
      <c r="J246" s="331" t="str">
        <f t="shared" si="100"/>
        <v>2024/25</v>
      </c>
      <c r="K246" s="331" t="str">
        <f t="shared" si="100"/>
        <v>2025/26</v>
      </c>
      <c r="L246" s="331" t="str">
        <f t="shared" si="100"/>
        <v>2026/27</v>
      </c>
      <c r="M246" s="331" t="str">
        <f t="shared" si="100"/>
        <v>2027/28</v>
      </c>
      <c r="N246" s="331" t="str">
        <f t="shared" si="100"/>
        <v>2028/29</v>
      </c>
    </row>
    <row r="247" spans="2:14">
      <c r="B247" s="331" t="str">
        <f t="shared" si="99"/>
        <v>20-24</v>
      </c>
      <c r="C247" s="447">
        <f t="shared" ref="C247:C256" si="101">C77-C213</f>
        <v>9.0398069333046607</v>
      </c>
      <c r="D247" s="447">
        <f t="shared" ref="D247:N247" si="102">D77-D213</f>
        <v>38.136031885174312</v>
      </c>
      <c r="E247" s="447">
        <f t="shared" si="102"/>
        <v>60.938279686309066</v>
      </c>
      <c r="F247" s="447">
        <f t="shared" si="102"/>
        <v>79.729752931545917</v>
      </c>
      <c r="G247" s="447">
        <f t="shared" si="102"/>
        <v>92.820023311870514</v>
      </c>
      <c r="H247" s="447">
        <f t="shared" si="102"/>
        <v>101.39702514045975</v>
      </c>
      <c r="I247" s="447">
        <f t="shared" si="102"/>
        <v>106.60467877488549</v>
      </c>
      <c r="J247" s="447">
        <f t="shared" si="102"/>
        <v>112.22336989031861</v>
      </c>
      <c r="K247" s="447">
        <f t="shared" si="102"/>
        <v>117.44780621698672</v>
      </c>
      <c r="L247" s="447">
        <f t="shared" si="102"/>
        <v>119.29261760693296</v>
      </c>
      <c r="M247" s="447">
        <f t="shared" si="102"/>
        <v>119.43956181562854</v>
      </c>
      <c r="N247" s="447">
        <f t="shared" si="102"/>
        <v>120.24931330151148</v>
      </c>
    </row>
    <row r="248" spans="2:14">
      <c r="B248" s="331" t="str">
        <f t="shared" si="99"/>
        <v>25-29</v>
      </c>
      <c r="C248" s="447">
        <f t="shared" si="101"/>
        <v>93.035221117543628</v>
      </c>
      <c r="D248" s="447">
        <f t="shared" ref="D248:N248" si="103">D78-D214</f>
        <v>110.67090897856902</v>
      </c>
      <c r="E248" s="447">
        <f t="shared" si="103"/>
        <v>131.61489993006126</v>
      </c>
      <c r="F248" s="447">
        <f t="shared" si="103"/>
        <v>154.55629437895246</v>
      </c>
      <c r="G248" s="447">
        <f t="shared" si="103"/>
        <v>174.39982297926181</v>
      </c>
      <c r="H248" s="447">
        <f t="shared" si="103"/>
        <v>190.31235058657944</v>
      </c>
      <c r="I248" s="447">
        <f t="shared" si="103"/>
        <v>202.30799917047077</v>
      </c>
      <c r="J248" s="447">
        <f t="shared" si="103"/>
        <v>214.49531250174621</v>
      </c>
      <c r="K248" s="447">
        <f t="shared" si="103"/>
        <v>226.00189450318442</v>
      </c>
      <c r="L248" s="447">
        <f t="shared" si="103"/>
        <v>232.88682451796811</v>
      </c>
      <c r="M248" s="447">
        <f t="shared" si="103"/>
        <v>236.7023330715823</v>
      </c>
      <c r="N248" s="447">
        <f t="shared" si="103"/>
        <v>240.41669373221117</v>
      </c>
    </row>
    <row r="249" spans="2:14">
      <c r="B249" s="331" t="str">
        <f t="shared" si="99"/>
        <v>30-34</v>
      </c>
      <c r="C249" s="447">
        <f t="shared" si="101"/>
        <v>213.66467387629675</v>
      </c>
      <c r="D249" s="447">
        <f t="shared" ref="D249:N249" si="104">D79-D215</f>
        <v>202.03624177312619</v>
      </c>
      <c r="E249" s="447">
        <f t="shared" si="104"/>
        <v>198.18619478070974</v>
      </c>
      <c r="F249" s="447">
        <f t="shared" si="104"/>
        <v>201.58171674909195</v>
      </c>
      <c r="G249" s="447">
        <f t="shared" si="104"/>
        <v>208.26424157666457</v>
      </c>
      <c r="H249" s="447">
        <f t="shared" si="104"/>
        <v>216.41281325731339</v>
      </c>
      <c r="I249" s="447">
        <f t="shared" si="104"/>
        <v>224.76578183736839</v>
      </c>
      <c r="J249" s="447">
        <f t="shared" si="104"/>
        <v>234.78381053937892</v>
      </c>
      <c r="K249" s="447">
        <f t="shared" si="104"/>
        <v>245.52550095884069</v>
      </c>
      <c r="L249" s="447">
        <f t="shared" si="104"/>
        <v>254.18011612107239</v>
      </c>
      <c r="M249" s="447">
        <f t="shared" si="104"/>
        <v>260.97115126523994</v>
      </c>
      <c r="N249" s="447">
        <f t="shared" si="104"/>
        <v>267.30158235051022</v>
      </c>
    </row>
    <row r="250" spans="2:14">
      <c r="B250" s="331" t="str">
        <f t="shared" si="99"/>
        <v>35-39</v>
      </c>
      <c r="C250" s="447">
        <f t="shared" si="101"/>
        <v>268.64954075469751</v>
      </c>
      <c r="D250" s="447">
        <f t="shared" ref="D250:N250" si="105">D80-D216</f>
        <v>256.74751963186031</v>
      </c>
      <c r="E250" s="447">
        <f t="shared" si="105"/>
        <v>246.41308981613278</v>
      </c>
      <c r="F250" s="447">
        <f t="shared" si="105"/>
        <v>239.74157137338327</v>
      </c>
      <c r="G250" s="447">
        <f t="shared" si="105"/>
        <v>235.33855260462451</v>
      </c>
      <c r="H250" s="447">
        <f t="shared" si="105"/>
        <v>232.96695532525169</v>
      </c>
      <c r="I250" s="447">
        <f t="shared" si="105"/>
        <v>232.27599737725572</v>
      </c>
      <c r="J250" s="447">
        <f t="shared" si="105"/>
        <v>234.35647790390803</v>
      </c>
      <c r="K250" s="447">
        <f t="shared" si="105"/>
        <v>238.44316941776182</v>
      </c>
      <c r="L250" s="447">
        <f t="shared" si="105"/>
        <v>242.50250034630224</v>
      </c>
      <c r="M250" s="447">
        <f t="shared" si="105"/>
        <v>246.51650348631421</v>
      </c>
      <c r="N250" s="447">
        <f t="shared" si="105"/>
        <v>251.14085333921091</v>
      </c>
    </row>
    <row r="251" spans="2:14">
      <c r="B251" s="331" t="str">
        <f t="shared" si="99"/>
        <v>40-44</v>
      </c>
      <c r="C251" s="447">
        <f t="shared" si="101"/>
        <v>311.70210271813755</v>
      </c>
      <c r="D251" s="447">
        <f t="shared" ref="D251:N251" si="106">D81-D217</f>
        <v>293.71041420275918</v>
      </c>
      <c r="E251" s="447">
        <f t="shared" si="106"/>
        <v>278.50102349799681</v>
      </c>
      <c r="F251" s="447">
        <f t="shared" si="106"/>
        <v>266.95988201242722</v>
      </c>
      <c r="G251" s="447">
        <f t="shared" si="106"/>
        <v>257.15991273433121</v>
      </c>
      <c r="H251" s="447">
        <f t="shared" si="106"/>
        <v>248.84232579105498</v>
      </c>
      <c r="I251" s="447">
        <f t="shared" si="106"/>
        <v>241.90773055781628</v>
      </c>
      <c r="J251" s="447">
        <f t="shared" si="106"/>
        <v>237.52457682725796</v>
      </c>
      <c r="K251" s="447">
        <f t="shared" si="106"/>
        <v>235.23354072503642</v>
      </c>
      <c r="L251" s="447">
        <f t="shared" si="106"/>
        <v>233.49288873092604</v>
      </c>
      <c r="M251" s="447">
        <f t="shared" si="106"/>
        <v>232.45203846995778</v>
      </c>
      <c r="N251" s="447">
        <f t="shared" si="106"/>
        <v>232.73464058692045</v>
      </c>
    </row>
    <row r="252" spans="2:14">
      <c r="B252" s="331" t="str">
        <f t="shared" si="99"/>
        <v>45-49</v>
      </c>
      <c r="C252" s="447">
        <f t="shared" si="101"/>
        <v>273.16613057890112</v>
      </c>
      <c r="D252" s="447">
        <f t="shared" ref="D252:N252" si="107">D82-D218</f>
        <v>268.57206597885573</v>
      </c>
      <c r="E252" s="447">
        <f t="shared" si="107"/>
        <v>261.95046139194756</v>
      </c>
      <c r="F252" s="447">
        <f t="shared" si="107"/>
        <v>255.70060007630912</v>
      </c>
      <c r="G252" s="447">
        <f t="shared" si="107"/>
        <v>248.96889188148302</v>
      </c>
      <c r="H252" s="447">
        <f t="shared" si="107"/>
        <v>242.02481399202253</v>
      </c>
      <c r="I252" s="447">
        <f t="shared" si="107"/>
        <v>235.12785837800425</v>
      </c>
      <c r="J252" s="447">
        <f t="shared" si="107"/>
        <v>229.50997416404653</v>
      </c>
      <c r="K252" s="447">
        <f t="shared" si="107"/>
        <v>225.05086357554012</v>
      </c>
      <c r="L252" s="447">
        <f t="shared" si="107"/>
        <v>220.71660404112987</v>
      </c>
      <c r="M252" s="447">
        <f t="shared" si="107"/>
        <v>216.81701997059926</v>
      </c>
      <c r="N252" s="447">
        <f t="shared" si="107"/>
        <v>214.02552732224038</v>
      </c>
    </row>
    <row r="253" spans="2:14">
      <c r="B253" s="331" t="str">
        <f t="shared" si="99"/>
        <v>50-54</v>
      </c>
      <c r="C253" s="447">
        <f t="shared" si="101"/>
        <v>238.06954924372269</v>
      </c>
      <c r="D253" s="447">
        <f t="shared" ref="D253:N253" si="108">D83-D219</f>
        <v>225.91406702842352</v>
      </c>
      <c r="E253" s="447">
        <f t="shared" si="108"/>
        <v>216.38360867161555</v>
      </c>
      <c r="F253" s="447">
        <f t="shared" si="108"/>
        <v>209.51703647191604</v>
      </c>
      <c r="G253" s="447">
        <f t="shared" si="108"/>
        <v>203.50383697758971</v>
      </c>
      <c r="H253" s="447">
        <f t="shared" si="108"/>
        <v>197.87964469112674</v>
      </c>
      <c r="I253" s="447">
        <f t="shared" si="108"/>
        <v>192.44334654441835</v>
      </c>
      <c r="J253" s="447">
        <f t="shared" si="108"/>
        <v>187.87575794399334</v>
      </c>
      <c r="K253" s="447">
        <f t="shared" si="108"/>
        <v>183.97236896250644</v>
      </c>
      <c r="L253" s="447">
        <f t="shared" si="108"/>
        <v>179.93484884913391</v>
      </c>
      <c r="M253" s="447">
        <f t="shared" si="108"/>
        <v>176.00227920088935</v>
      </c>
      <c r="N253" s="447">
        <f t="shared" si="108"/>
        <v>172.70667110338007</v>
      </c>
    </row>
    <row r="254" spans="2:14">
      <c r="B254" s="331" t="str">
        <f t="shared" si="99"/>
        <v>55-59</v>
      </c>
      <c r="C254" s="447">
        <f t="shared" si="101"/>
        <v>143.22038820552862</v>
      </c>
      <c r="D254" s="447">
        <f t="shared" ref="D254:N254" si="109">D84-D220</f>
        <v>127.03972938418158</v>
      </c>
      <c r="E254" s="447">
        <f t="shared" si="109"/>
        <v>115.54697557169574</v>
      </c>
      <c r="F254" s="447">
        <f t="shared" si="109"/>
        <v>107.71720142537987</v>
      </c>
      <c r="G254" s="447">
        <f t="shared" si="109"/>
        <v>101.94429082733573</v>
      </c>
      <c r="H254" s="447">
        <f t="shared" si="109"/>
        <v>97.464775761351063</v>
      </c>
      <c r="I254" s="447">
        <f t="shared" si="109"/>
        <v>93.794533111204487</v>
      </c>
      <c r="J254" s="447">
        <f t="shared" si="109"/>
        <v>91.055149587056107</v>
      </c>
      <c r="K254" s="447">
        <f t="shared" si="109"/>
        <v>88.905636709182772</v>
      </c>
      <c r="L254" s="447">
        <f t="shared" si="109"/>
        <v>86.749099613522361</v>
      </c>
      <c r="M254" s="447">
        <f t="shared" si="109"/>
        <v>84.669655475734103</v>
      </c>
      <c r="N254" s="447">
        <f t="shared" si="109"/>
        <v>82.929492261891923</v>
      </c>
    </row>
    <row r="255" spans="2:14">
      <c r="B255" s="331" t="str">
        <f t="shared" si="99"/>
        <v>60-64</v>
      </c>
      <c r="C255" s="447">
        <f t="shared" si="101"/>
        <v>49.579989271635036</v>
      </c>
      <c r="D255" s="447">
        <f t="shared" ref="D255:N255" si="110">D85-D221</f>
        <v>46.003820060461791</v>
      </c>
      <c r="E255" s="447">
        <f t="shared" si="110"/>
        <v>42.144771751735135</v>
      </c>
      <c r="F255" s="447">
        <f t="shared" si="110"/>
        <v>38.942842984935027</v>
      </c>
      <c r="G255" s="447">
        <f t="shared" si="110"/>
        <v>36.290712844055534</v>
      </c>
      <c r="H255" s="447">
        <f t="shared" si="110"/>
        <v>34.148796224458579</v>
      </c>
      <c r="I255" s="447">
        <f t="shared" si="110"/>
        <v>32.420446403724753</v>
      </c>
      <c r="J255" s="447">
        <f t="shared" si="110"/>
        <v>31.200960719827467</v>
      </c>
      <c r="K255" s="447">
        <f t="shared" si="110"/>
        <v>30.31380152837869</v>
      </c>
      <c r="L255" s="447">
        <f t="shared" si="110"/>
        <v>29.456780936819971</v>
      </c>
      <c r="M255" s="447">
        <f t="shared" si="110"/>
        <v>28.661627864478731</v>
      </c>
      <c r="N255" s="447">
        <f t="shared" si="110"/>
        <v>28.037167866821662</v>
      </c>
    </row>
    <row r="256" spans="2:14">
      <c r="B256" s="331" t="str">
        <f t="shared" si="99"/>
        <v>65 plus</v>
      </c>
      <c r="C256" s="447">
        <f t="shared" si="101"/>
        <v>14.043619165072498</v>
      </c>
      <c r="D256" s="447">
        <f t="shared" ref="D256:N256" si="111">D86-D222</f>
        <v>15.340801006530764</v>
      </c>
      <c r="E256" s="447">
        <f t="shared" si="111"/>
        <v>15.675781846574136</v>
      </c>
      <c r="F256" s="447">
        <f t="shared" si="111"/>
        <v>15.529004955120021</v>
      </c>
      <c r="G256" s="447">
        <f t="shared" si="111"/>
        <v>15.051195811565506</v>
      </c>
      <c r="H256" s="447">
        <f t="shared" si="111"/>
        <v>14.426499385641341</v>
      </c>
      <c r="I256" s="447">
        <f t="shared" si="111"/>
        <v>13.769503791116774</v>
      </c>
      <c r="J256" s="447">
        <f t="shared" si="111"/>
        <v>13.219335346172565</v>
      </c>
      <c r="K256" s="447">
        <f t="shared" si="111"/>
        <v>12.776008856384349</v>
      </c>
      <c r="L256" s="447">
        <f t="shared" si="111"/>
        <v>12.351808704932434</v>
      </c>
      <c r="M256" s="447">
        <f t="shared" si="111"/>
        <v>11.961469749034288</v>
      </c>
      <c r="N256" s="447">
        <f t="shared" si="111"/>
        <v>11.650029301096524</v>
      </c>
    </row>
    <row r="257" spans="1:14">
      <c r="B257" s="331" t="str">
        <f t="shared" si="99"/>
        <v>Total</v>
      </c>
      <c r="C257" s="447">
        <f>SUM(C247:C256)</f>
        <v>1614.17102186484</v>
      </c>
      <c r="D257" s="447">
        <f t="shared" ref="D257:N257" si="112">SUM(D247:D256)</f>
        <v>1584.1715999299422</v>
      </c>
      <c r="E257" s="447">
        <f t="shared" si="112"/>
        <v>1567.3550869447779</v>
      </c>
      <c r="F257" s="447">
        <f t="shared" si="112"/>
        <v>1569.9759033590608</v>
      </c>
      <c r="G257" s="447">
        <f t="shared" si="112"/>
        <v>1573.7414815487823</v>
      </c>
      <c r="H257" s="447">
        <f t="shared" si="112"/>
        <v>1575.8760001552596</v>
      </c>
      <c r="I257" s="447">
        <f t="shared" si="112"/>
        <v>1575.4178759462652</v>
      </c>
      <c r="J257" s="447">
        <f t="shared" si="112"/>
        <v>1586.2447254237056</v>
      </c>
      <c r="K257" s="447">
        <f t="shared" si="112"/>
        <v>1603.6705914538024</v>
      </c>
      <c r="L257" s="447">
        <f t="shared" si="112"/>
        <v>1611.5640894687401</v>
      </c>
      <c r="M257" s="447">
        <f t="shared" si="112"/>
        <v>1614.1936403694585</v>
      </c>
      <c r="N257" s="447">
        <f t="shared" si="112"/>
        <v>1621.1919711657947</v>
      </c>
    </row>
    <row r="258" spans="1:14">
      <c r="A258" s="302">
        <f>SUM(C258:N258)</f>
        <v>0</v>
      </c>
      <c r="C258" s="302">
        <f t="shared" ref="C258:N258" si="113">SUM(C247:C256)-C257</f>
        <v>0</v>
      </c>
      <c r="D258" s="302">
        <f t="shared" si="113"/>
        <v>0</v>
      </c>
      <c r="E258" s="302">
        <f t="shared" si="113"/>
        <v>0</v>
      </c>
      <c r="F258" s="302">
        <f t="shared" si="113"/>
        <v>0</v>
      </c>
      <c r="G258" s="302">
        <f t="shared" si="113"/>
        <v>0</v>
      </c>
      <c r="H258" s="302">
        <f t="shared" si="113"/>
        <v>0</v>
      </c>
      <c r="I258" s="302">
        <f t="shared" si="113"/>
        <v>0</v>
      </c>
      <c r="J258" s="302">
        <f t="shared" si="113"/>
        <v>0</v>
      </c>
      <c r="K258" s="302">
        <f t="shared" si="113"/>
        <v>0</v>
      </c>
      <c r="L258" s="302">
        <f t="shared" si="113"/>
        <v>0</v>
      </c>
      <c r="M258" s="302">
        <f t="shared" si="113"/>
        <v>0</v>
      </c>
      <c r="N258" s="302">
        <f t="shared" si="113"/>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4">B246</f>
        <v>Age group</v>
      </c>
      <c r="C262" s="331" t="str">
        <f t="shared" ref="C262:N262" si="115">C246</f>
        <v>2017/18</v>
      </c>
      <c r="D262" s="331" t="str">
        <f t="shared" si="115"/>
        <v>2018/19</v>
      </c>
      <c r="E262" s="331" t="str">
        <f t="shared" si="115"/>
        <v>2019/20</v>
      </c>
      <c r="F262" s="331" t="str">
        <f t="shared" si="115"/>
        <v>2020/21</v>
      </c>
      <c r="G262" s="331" t="str">
        <f t="shared" si="115"/>
        <v>2021/22</v>
      </c>
      <c r="H262" s="331" t="str">
        <f t="shared" si="115"/>
        <v>2022/23</v>
      </c>
      <c r="I262" s="331" t="str">
        <f t="shared" si="115"/>
        <v>2023/24</v>
      </c>
      <c r="J262" s="331" t="str">
        <f t="shared" si="115"/>
        <v>2024/25</v>
      </c>
      <c r="K262" s="331" t="str">
        <f t="shared" si="115"/>
        <v>2025/26</v>
      </c>
      <c r="L262" s="331" t="str">
        <f t="shared" si="115"/>
        <v>2026/27</v>
      </c>
      <c r="M262" s="331" t="str">
        <f t="shared" si="115"/>
        <v>2027/28</v>
      </c>
      <c r="N262" s="331" t="str">
        <f t="shared" si="115"/>
        <v>2028/29</v>
      </c>
    </row>
    <row r="263" spans="1:14">
      <c r="B263" s="331" t="str">
        <f t="shared" si="114"/>
        <v>20-24</v>
      </c>
      <c r="C263" s="447">
        <f t="shared" ref="C263:C272" si="116">C93-C229</f>
        <v>103.95364985806579</v>
      </c>
      <c r="D263" s="447">
        <f t="shared" ref="D263:N263" si="117">D93-D229</f>
        <v>183.81447458562204</v>
      </c>
      <c r="E263" s="447">
        <f t="shared" si="117"/>
        <v>248.62914175525574</v>
      </c>
      <c r="F263" s="447">
        <f t="shared" si="117"/>
        <v>302.7484066285287</v>
      </c>
      <c r="G263" s="447">
        <f t="shared" si="117"/>
        <v>340.34127033796921</v>
      </c>
      <c r="H263" s="447">
        <f t="shared" si="117"/>
        <v>364.5729048520555</v>
      </c>
      <c r="I263" s="447">
        <f t="shared" si="117"/>
        <v>378.73794699301988</v>
      </c>
      <c r="J263" s="447">
        <f t="shared" si="117"/>
        <v>395.48115025435675</v>
      </c>
      <c r="K263" s="447">
        <f t="shared" si="117"/>
        <v>411.66502702095681</v>
      </c>
      <c r="L263" s="447">
        <f t="shared" si="117"/>
        <v>416.68761631088904</v>
      </c>
      <c r="M263" s="447">
        <f t="shared" si="117"/>
        <v>416.22319709099997</v>
      </c>
      <c r="N263" s="447">
        <f t="shared" si="117"/>
        <v>418.34826550862084</v>
      </c>
    </row>
    <row r="264" spans="1:14">
      <c r="B264" s="331" t="str">
        <f t="shared" si="114"/>
        <v>25-29</v>
      </c>
      <c r="C264" s="447">
        <f t="shared" si="116"/>
        <v>553.34466152474988</v>
      </c>
      <c r="D264" s="447">
        <f t="shared" ref="D264:N264" si="118">D94-D230</f>
        <v>564.11815601903709</v>
      </c>
      <c r="E264" s="447">
        <f t="shared" si="118"/>
        <v>597.08278293808598</v>
      </c>
      <c r="F264" s="447">
        <f t="shared" si="118"/>
        <v>643.52180936779416</v>
      </c>
      <c r="G264" s="447">
        <f t="shared" si="118"/>
        <v>686.25167769294774</v>
      </c>
      <c r="H264" s="447">
        <f t="shared" si="118"/>
        <v>721.04566110305007</v>
      </c>
      <c r="I264" s="447">
        <f t="shared" si="118"/>
        <v>746.81558753207537</v>
      </c>
      <c r="J264" s="447">
        <f t="shared" si="118"/>
        <v>776.8572924134146</v>
      </c>
      <c r="K264" s="447">
        <f t="shared" si="118"/>
        <v>807.35405334804045</v>
      </c>
      <c r="L264" s="447">
        <f t="shared" si="118"/>
        <v>824.01634475258641</v>
      </c>
      <c r="M264" s="447">
        <f t="shared" si="118"/>
        <v>831.74819874314403</v>
      </c>
      <c r="N264" s="447">
        <f t="shared" si="118"/>
        <v>840.4551295572619</v>
      </c>
    </row>
    <row r="265" spans="1:14">
      <c r="B265" s="331" t="str">
        <f t="shared" si="114"/>
        <v>30-34</v>
      </c>
      <c r="C265" s="447">
        <f t="shared" si="116"/>
        <v>966.05818601602095</v>
      </c>
      <c r="D265" s="447">
        <f t="shared" ref="D265:N265" si="119">D95-D231</f>
        <v>899.83130772751724</v>
      </c>
      <c r="E265" s="447">
        <f t="shared" si="119"/>
        <v>858.97245791324008</v>
      </c>
      <c r="F265" s="447">
        <f t="shared" si="119"/>
        <v>841.18524945664217</v>
      </c>
      <c r="G265" s="447">
        <f t="shared" si="119"/>
        <v>836.27737204794983</v>
      </c>
      <c r="H265" s="447">
        <f t="shared" si="119"/>
        <v>838.75602169861645</v>
      </c>
      <c r="I265" s="447">
        <f t="shared" si="119"/>
        <v>844.6661805105299</v>
      </c>
      <c r="J265" s="447">
        <f t="shared" si="119"/>
        <v>859.11553548420318</v>
      </c>
      <c r="K265" s="447">
        <f t="shared" si="119"/>
        <v>878.72592068044673</v>
      </c>
      <c r="L265" s="447">
        <f t="shared" si="119"/>
        <v>893.64701642584919</v>
      </c>
      <c r="M265" s="447">
        <f t="shared" si="119"/>
        <v>904.47022731805191</v>
      </c>
      <c r="N265" s="447">
        <f t="shared" si="119"/>
        <v>915.77566676052436</v>
      </c>
    </row>
    <row r="266" spans="1:14">
      <c r="B266" s="331" t="str">
        <f t="shared" si="114"/>
        <v>35-39</v>
      </c>
      <c r="C266" s="447">
        <f t="shared" si="116"/>
        <v>1110.8203534779204</v>
      </c>
      <c r="D266" s="447">
        <f t="shared" ref="D266:N266" si="120">D96-D232</f>
        <v>1054.4430819830718</v>
      </c>
      <c r="E266" s="447">
        <f t="shared" si="120"/>
        <v>1004.0085934265794</v>
      </c>
      <c r="F266" s="447">
        <f t="shared" si="120"/>
        <v>963.0461583595719</v>
      </c>
      <c r="G266" s="447">
        <f t="shared" si="120"/>
        <v>929.42602132049376</v>
      </c>
      <c r="H266" s="447">
        <f t="shared" si="120"/>
        <v>902.65214145448454</v>
      </c>
      <c r="I266" s="447">
        <f t="shared" si="120"/>
        <v>881.91405880530249</v>
      </c>
      <c r="J266" s="447">
        <f t="shared" si="120"/>
        <v>871.33415023682153</v>
      </c>
      <c r="K266" s="447">
        <f t="shared" si="120"/>
        <v>868.53716557480516</v>
      </c>
      <c r="L266" s="447">
        <f t="shared" si="120"/>
        <v>866.73105111500627</v>
      </c>
      <c r="M266" s="447">
        <f t="shared" si="120"/>
        <v>866.03772936624046</v>
      </c>
      <c r="N266" s="447">
        <f t="shared" si="120"/>
        <v>868.8092147111314</v>
      </c>
    </row>
    <row r="267" spans="1:14">
      <c r="B267" s="331" t="str">
        <f t="shared" si="114"/>
        <v>40-44</v>
      </c>
      <c r="C267" s="447">
        <f t="shared" si="116"/>
        <v>1052.1935204135971</v>
      </c>
      <c r="D267" s="447">
        <f t="shared" ref="D267:N267" si="121">D97-D233</f>
        <v>1026.8701802297828</v>
      </c>
      <c r="E267" s="447">
        <f t="shared" si="121"/>
        <v>1000.3486220386683</v>
      </c>
      <c r="F267" s="447">
        <f t="shared" si="121"/>
        <v>974.42204498439378</v>
      </c>
      <c r="G267" s="447">
        <f t="shared" si="121"/>
        <v>947.66795440696853</v>
      </c>
      <c r="H267" s="447">
        <f t="shared" si="121"/>
        <v>920.89413490306742</v>
      </c>
      <c r="I267" s="447">
        <f t="shared" si="121"/>
        <v>895.06973984795945</v>
      </c>
      <c r="J267" s="447">
        <f t="shared" si="121"/>
        <v>875.274474739075</v>
      </c>
      <c r="K267" s="447">
        <f t="shared" si="121"/>
        <v>860.73081722443806</v>
      </c>
      <c r="L267" s="447">
        <f t="shared" si="121"/>
        <v>846.7602859789821</v>
      </c>
      <c r="M267" s="447">
        <f t="shared" si="121"/>
        <v>834.42610724607459</v>
      </c>
      <c r="N267" s="447">
        <f t="shared" si="121"/>
        <v>826.31792152445382</v>
      </c>
    </row>
    <row r="268" spans="1:14">
      <c r="B268" s="331" t="str">
        <f t="shared" si="114"/>
        <v>45-49</v>
      </c>
      <c r="C268" s="447">
        <f t="shared" si="116"/>
        <v>848.24080786064894</v>
      </c>
      <c r="D268" s="447">
        <f t="shared" ref="D268:N268" si="122">D98-D234</f>
        <v>847.75972887449188</v>
      </c>
      <c r="E268" s="447">
        <f t="shared" si="122"/>
        <v>844.60296135412818</v>
      </c>
      <c r="F268" s="447">
        <f t="shared" si="122"/>
        <v>839.59627889965191</v>
      </c>
      <c r="G268" s="447">
        <f t="shared" si="122"/>
        <v>831.09210084038205</v>
      </c>
      <c r="H268" s="447">
        <f t="shared" si="122"/>
        <v>819.28547282924058</v>
      </c>
      <c r="I268" s="447">
        <f t="shared" si="122"/>
        <v>804.84236588411534</v>
      </c>
      <c r="J268" s="447">
        <f t="shared" si="122"/>
        <v>792.07498984592939</v>
      </c>
      <c r="K268" s="447">
        <f t="shared" si="122"/>
        <v>780.77805095023825</v>
      </c>
      <c r="L268" s="447">
        <f t="shared" si="122"/>
        <v>767.6918992160372</v>
      </c>
      <c r="M268" s="447">
        <f t="shared" si="122"/>
        <v>754.24748759754243</v>
      </c>
      <c r="N268" s="447">
        <f t="shared" si="122"/>
        <v>743.12117722954338</v>
      </c>
    </row>
    <row r="269" spans="1:14">
      <c r="B269" s="331" t="str">
        <f t="shared" si="114"/>
        <v>50-54</v>
      </c>
      <c r="C269" s="447">
        <f t="shared" si="116"/>
        <v>642.54860252276455</v>
      </c>
      <c r="D269" s="447">
        <f t="shared" ref="D269:N269" si="123">D99-D235</f>
        <v>634.47223367707977</v>
      </c>
      <c r="E269" s="447">
        <f t="shared" si="123"/>
        <v>629.96206964965688</v>
      </c>
      <c r="F269" s="447">
        <f t="shared" si="123"/>
        <v>627.73931269907189</v>
      </c>
      <c r="G269" s="447">
        <f t="shared" si="123"/>
        <v>625.16042402143603</v>
      </c>
      <c r="H269" s="447">
        <f t="shared" si="123"/>
        <v>621.25935953412193</v>
      </c>
      <c r="I269" s="447">
        <f t="shared" si="123"/>
        <v>615.66624548792902</v>
      </c>
      <c r="J269" s="447">
        <f t="shared" si="123"/>
        <v>610.92844339083103</v>
      </c>
      <c r="K269" s="447">
        <f t="shared" si="123"/>
        <v>606.47286415551343</v>
      </c>
      <c r="L269" s="447">
        <f t="shared" si="123"/>
        <v>599.67064461099915</v>
      </c>
      <c r="M269" s="447">
        <f t="shared" si="123"/>
        <v>591.50985474223933</v>
      </c>
      <c r="N269" s="447">
        <f t="shared" si="123"/>
        <v>584.00612639747874</v>
      </c>
    </row>
    <row r="270" spans="1:14">
      <c r="B270" s="331" t="str">
        <f t="shared" si="114"/>
        <v>55-59</v>
      </c>
      <c r="C270" s="447">
        <f t="shared" si="116"/>
        <v>288.76291171896253</v>
      </c>
      <c r="D270" s="447">
        <f t="shared" ref="D270:N270" si="124">D100-D236</f>
        <v>289.4579653908454</v>
      </c>
      <c r="E270" s="447">
        <f t="shared" si="124"/>
        <v>289.62166164049404</v>
      </c>
      <c r="F270" s="447">
        <f t="shared" si="124"/>
        <v>290.08722082642112</v>
      </c>
      <c r="G270" s="447">
        <f t="shared" si="124"/>
        <v>289.96151525254561</v>
      </c>
      <c r="H270" s="447">
        <f t="shared" si="124"/>
        <v>289.16305893113008</v>
      </c>
      <c r="I270" s="447">
        <f t="shared" si="124"/>
        <v>287.65641970860992</v>
      </c>
      <c r="J270" s="447">
        <f t="shared" si="124"/>
        <v>286.91345967182212</v>
      </c>
      <c r="K270" s="447">
        <f t="shared" si="124"/>
        <v>286.40679490460593</v>
      </c>
      <c r="L270" s="447">
        <f t="shared" si="124"/>
        <v>284.47060566938762</v>
      </c>
      <c r="M270" s="447">
        <f t="shared" si="124"/>
        <v>281.66742688199884</v>
      </c>
      <c r="N270" s="447">
        <f t="shared" si="124"/>
        <v>279.1006576554081</v>
      </c>
    </row>
    <row r="271" spans="1:14">
      <c r="B271" s="331" t="str">
        <f t="shared" si="114"/>
        <v>60-64</v>
      </c>
      <c r="C271" s="447">
        <f t="shared" si="116"/>
        <v>101.61340751822871</v>
      </c>
      <c r="D271" s="447">
        <f t="shared" ref="D271:N271" si="125">D101-D237</f>
        <v>96.622932170198567</v>
      </c>
      <c r="E271" s="447">
        <f t="shared" si="125"/>
        <v>94.655874760857117</v>
      </c>
      <c r="F271" s="447">
        <f t="shared" si="125"/>
        <v>94.197660806322318</v>
      </c>
      <c r="G271" s="447">
        <f t="shared" si="125"/>
        <v>93.990200412089834</v>
      </c>
      <c r="H271" s="447">
        <f t="shared" si="125"/>
        <v>93.714857232463544</v>
      </c>
      <c r="I271" s="447">
        <f t="shared" si="125"/>
        <v>93.272572706038062</v>
      </c>
      <c r="J271" s="447">
        <f t="shared" si="125"/>
        <v>93.324510598175493</v>
      </c>
      <c r="K271" s="447">
        <f t="shared" si="125"/>
        <v>93.56182499379139</v>
      </c>
      <c r="L271" s="447">
        <f t="shared" si="125"/>
        <v>93.177159164783092</v>
      </c>
      <c r="M271" s="447">
        <f t="shared" si="125"/>
        <v>92.456210099583288</v>
      </c>
      <c r="N271" s="447">
        <f t="shared" si="125"/>
        <v>91.900079785807748</v>
      </c>
    </row>
    <row r="272" spans="1:14">
      <c r="B272" s="331" t="str">
        <f t="shared" si="114"/>
        <v>65 plus</v>
      </c>
      <c r="C272" s="447">
        <f t="shared" si="116"/>
        <v>23.578764798790825</v>
      </c>
      <c r="D272" s="447">
        <f t="shared" ref="D272:N272" si="126">D102-D238</f>
        <v>31.19799578497669</v>
      </c>
      <c r="E272" s="447">
        <f t="shared" si="126"/>
        <v>35.608921108161084</v>
      </c>
      <c r="F272" s="447">
        <f t="shared" si="126"/>
        <v>38.365588506715191</v>
      </c>
      <c r="G272" s="447">
        <f t="shared" si="126"/>
        <v>40.045241042884811</v>
      </c>
      <c r="H272" s="447">
        <f t="shared" si="126"/>
        <v>41.022015915878171</v>
      </c>
      <c r="I272" s="447">
        <f t="shared" si="126"/>
        <v>41.52414828106172</v>
      </c>
      <c r="J272" s="447">
        <f t="shared" si="126"/>
        <v>41.983709831513863</v>
      </c>
      <c r="K272" s="447">
        <f t="shared" si="126"/>
        <v>42.410185504367114</v>
      </c>
      <c r="L272" s="447">
        <f t="shared" si="126"/>
        <v>42.526779237386826</v>
      </c>
      <c r="M272" s="447">
        <f t="shared" si="126"/>
        <v>42.436005018957012</v>
      </c>
      <c r="N272" s="447">
        <f t="shared" si="126"/>
        <v>42.357839054949906</v>
      </c>
    </row>
    <row r="273" spans="1:14">
      <c r="B273" s="331" t="str">
        <f t="shared" si="114"/>
        <v>Total</v>
      </c>
      <c r="C273" s="447">
        <f>SUM(C263:C272)</f>
        <v>5691.1148657097501</v>
      </c>
      <c r="D273" s="447">
        <f t="shared" ref="D273:N273" si="127">SUM(D263:D272)</f>
        <v>5628.5880564426243</v>
      </c>
      <c r="E273" s="447">
        <f t="shared" si="127"/>
        <v>5603.4930865851275</v>
      </c>
      <c r="F273" s="447">
        <f t="shared" si="127"/>
        <v>5614.9097305351133</v>
      </c>
      <c r="G273" s="447">
        <f t="shared" si="127"/>
        <v>5620.2137773756676</v>
      </c>
      <c r="H273" s="447">
        <f t="shared" si="127"/>
        <v>5612.3656284541075</v>
      </c>
      <c r="I273" s="447">
        <f t="shared" si="127"/>
        <v>5590.165265756641</v>
      </c>
      <c r="J273" s="447">
        <f t="shared" si="127"/>
        <v>5603.2877164661431</v>
      </c>
      <c r="K273" s="447">
        <f t="shared" si="127"/>
        <v>5636.6427043572039</v>
      </c>
      <c r="L273" s="447">
        <f t="shared" si="127"/>
        <v>5635.3794024819072</v>
      </c>
      <c r="M273" s="447">
        <f t="shared" si="127"/>
        <v>5615.222444104832</v>
      </c>
      <c r="N273" s="447">
        <f t="shared" si="127"/>
        <v>5610.1920781851813</v>
      </c>
    </row>
    <row r="274" spans="1:14">
      <c r="A274" s="302">
        <f>SUM(C274:N274)</f>
        <v>0</v>
      </c>
      <c r="C274" s="302">
        <f t="shared" ref="C274:N274" si="128">SUM(C263:C272)-C273</f>
        <v>0</v>
      </c>
      <c r="D274" s="302">
        <f t="shared" si="128"/>
        <v>0</v>
      </c>
      <c r="E274" s="302">
        <f t="shared" si="128"/>
        <v>0</v>
      </c>
      <c r="F274" s="302">
        <f t="shared" si="128"/>
        <v>0</v>
      </c>
      <c r="G274" s="302">
        <f t="shared" si="128"/>
        <v>0</v>
      </c>
      <c r="H274" s="302">
        <f t="shared" si="128"/>
        <v>0</v>
      </c>
      <c r="I274" s="302">
        <f t="shared" si="128"/>
        <v>0</v>
      </c>
      <c r="J274" s="302">
        <f t="shared" si="128"/>
        <v>0</v>
      </c>
      <c r="K274" s="302">
        <f t="shared" si="128"/>
        <v>0</v>
      </c>
      <c r="L274" s="302">
        <f t="shared" si="128"/>
        <v>0</v>
      </c>
      <c r="M274" s="302">
        <f t="shared" si="128"/>
        <v>0</v>
      </c>
      <c r="N274" s="302">
        <f t="shared" si="128"/>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29">D262</f>
        <v>2018/19</v>
      </c>
      <c r="E278" s="319" t="str">
        <f t="shared" si="129"/>
        <v>2019/20</v>
      </c>
      <c r="F278" s="319" t="str">
        <f t="shared" si="129"/>
        <v>2020/21</v>
      </c>
      <c r="G278" s="319" t="str">
        <f t="shared" si="129"/>
        <v>2021/22</v>
      </c>
      <c r="H278" s="319" t="str">
        <f t="shared" si="129"/>
        <v>2022/23</v>
      </c>
      <c r="I278" s="319" t="str">
        <f t="shared" si="129"/>
        <v>2023/24</v>
      </c>
      <c r="J278" s="319" t="str">
        <f t="shared" si="129"/>
        <v>2024/25</v>
      </c>
      <c r="K278" s="319" t="str">
        <f t="shared" si="129"/>
        <v>2025/26</v>
      </c>
      <c r="L278" s="319" t="str">
        <f t="shared" si="129"/>
        <v>2026/27</v>
      </c>
      <c r="M278" s="319" t="str">
        <f t="shared" si="129"/>
        <v>2027/28</v>
      </c>
      <c r="N278" s="319" t="str">
        <f t="shared" si="129"/>
        <v>2028/29</v>
      </c>
    </row>
    <row r="279" spans="1:14">
      <c r="B279" s="319" t="s">
        <v>588</v>
      </c>
      <c r="C279" s="447">
        <f>C223+C239</f>
        <v>886.0012563220331</v>
      </c>
      <c r="D279" s="447">
        <f t="shared" ref="D279:N279" si="130">D223+D239</f>
        <v>876.79440794377228</v>
      </c>
      <c r="E279" s="447">
        <f t="shared" si="130"/>
        <v>889.89927293509618</v>
      </c>
      <c r="F279" s="447">
        <f t="shared" si="130"/>
        <v>897.86612832883031</v>
      </c>
      <c r="G279" s="447">
        <f t="shared" si="130"/>
        <v>899.45427740373793</v>
      </c>
      <c r="H279" s="447">
        <f t="shared" si="130"/>
        <v>898.47161866391718</v>
      </c>
      <c r="I279" s="447">
        <f t="shared" si="130"/>
        <v>894.88312360459372</v>
      </c>
      <c r="J279" s="447">
        <f t="shared" si="130"/>
        <v>896.62622796147957</v>
      </c>
      <c r="K279" s="447">
        <f t="shared" si="130"/>
        <v>901.22365418069194</v>
      </c>
      <c r="L279" s="447">
        <f t="shared" si="130"/>
        <v>900.0099905841945</v>
      </c>
      <c r="M279" s="447">
        <f t="shared" si="130"/>
        <v>895.66042865809982</v>
      </c>
      <c r="N279" s="447">
        <f t="shared" si="130"/>
        <v>893.65011942100114</v>
      </c>
    </row>
    <row r="280" spans="1:14">
      <c r="B280" s="319" t="s">
        <v>589</v>
      </c>
      <c r="C280" s="447">
        <f>C155+C171</f>
        <v>224.59549124423935</v>
      </c>
      <c r="D280" s="447">
        <f t="shared" ref="D280:N280" si="131">D155+D171</f>
        <v>219.59956850758496</v>
      </c>
      <c r="E280" s="447">
        <f t="shared" si="131"/>
        <v>215.90020803041051</v>
      </c>
      <c r="F280" s="447">
        <f t="shared" si="131"/>
        <v>213.09616227326393</v>
      </c>
      <c r="G280" s="447">
        <f t="shared" si="131"/>
        <v>210.38318831247489</v>
      </c>
      <c r="H280" s="447">
        <f t="shared" si="131"/>
        <v>207.64681962882742</v>
      </c>
      <c r="I280" s="447">
        <f t="shared" si="131"/>
        <v>204.80131227480967</v>
      </c>
      <c r="J280" s="447">
        <f t="shared" si="131"/>
        <v>202.96167210700941</v>
      </c>
      <c r="K280" s="447">
        <f t="shared" si="131"/>
        <v>201.65960389178724</v>
      </c>
      <c r="L280" s="447">
        <f t="shared" si="131"/>
        <v>199.52992893780299</v>
      </c>
      <c r="M280" s="447">
        <f t="shared" si="131"/>
        <v>196.97299333566235</v>
      </c>
      <c r="N280" s="447">
        <f t="shared" si="131"/>
        <v>194.81525555691721</v>
      </c>
    </row>
    <row r="281" spans="1:14">
      <c r="B281" s="319" t="s">
        <v>590</v>
      </c>
      <c r="C281" s="447">
        <f>C189+C205</f>
        <v>5.9717388910167131</v>
      </c>
      <c r="D281" s="447">
        <f t="shared" ref="D281:N281" si="132">D189+D205</f>
        <v>5.8784221912961723</v>
      </c>
      <c r="E281" s="447">
        <f t="shared" si="132"/>
        <v>5.7974893576853654</v>
      </c>
      <c r="F281" s="447">
        <f t="shared" si="132"/>
        <v>5.7270648814030949</v>
      </c>
      <c r="G281" s="447">
        <f t="shared" si="132"/>
        <v>5.6534946120506664</v>
      </c>
      <c r="H281" s="447">
        <f t="shared" si="132"/>
        <v>5.5769272229370319</v>
      </c>
      <c r="I281" s="447">
        <f t="shared" si="132"/>
        <v>5.497219149287516</v>
      </c>
      <c r="J281" s="447">
        <f t="shared" si="132"/>
        <v>5.4449282621282364</v>
      </c>
      <c r="K281" s="447">
        <f t="shared" si="132"/>
        <v>5.4112144334625336</v>
      </c>
      <c r="L281" s="447">
        <f t="shared" si="132"/>
        <v>5.3621639242979526</v>
      </c>
      <c r="M281" s="447">
        <f t="shared" si="132"/>
        <v>5.3064669884013318</v>
      </c>
      <c r="N281" s="447">
        <f t="shared" si="132"/>
        <v>5.2645689396474538</v>
      </c>
    </row>
    <row r="282" spans="1:14">
      <c r="B282" s="319" t="s">
        <v>591</v>
      </c>
      <c r="C282" s="447">
        <f>C121+C137</f>
        <v>655.43402618677703</v>
      </c>
      <c r="D282" s="447">
        <f t="shared" ref="D282:N282" si="133">D121+D137</f>
        <v>651.31641724489111</v>
      </c>
      <c r="E282" s="447">
        <f t="shared" si="133"/>
        <v>668.20157554700029</v>
      </c>
      <c r="F282" s="447">
        <f t="shared" si="133"/>
        <v>679.04290117416315</v>
      </c>
      <c r="G282" s="447">
        <f t="shared" si="133"/>
        <v>683.41759447921231</v>
      </c>
      <c r="H282" s="447">
        <f t="shared" si="133"/>
        <v>685.24787181215265</v>
      </c>
      <c r="I282" s="447">
        <f t="shared" si="133"/>
        <v>684.58459218049666</v>
      </c>
      <c r="J282" s="447">
        <f t="shared" si="133"/>
        <v>688.21962759234168</v>
      </c>
      <c r="K282" s="447">
        <f t="shared" si="133"/>
        <v>694.15283585544216</v>
      </c>
      <c r="L282" s="447">
        <f t="shared" si="133"/>
        <v>695.1178977220934</v>
      </c>
      <c r="M282" s="447">
        <f t="shared" si="133"/>
        <v>693.38096833403597</v>
      </c>
      <c r="N282" s="447">
        <f t="shared" si="133"/>
        <v>693.57029492443667</v>
      </c>
    </row>
    <row r="283" spans="1:14" ht="15.75">
      <c r="A283" s="302">
        <f>SUM(C283:N283)</f>
        <v>0</v>
      </c>
      <c r="B283" s="333"/>
      <c r="C283" s="302">
        <f>C280+C281+C282-C279</f>
        <v>0</v>
      </c>
      <c r="D283" s="302">
        <f t="shared" ref="D283:N283" si="134">D280+D281+D282-D279</f>
        <v>0</v>
      </c>
      <c r="E283" s="302">
        <f t="shared" si="134"/>
        <v>0</v>
      </c>
      <c r="F283" s="302">
        <f t="shared" si="134"/>
        <v>0</v>
      </c>
      <c r="G283" s="302">
        <f t="shared" si="134"/>
        <v>0</v>
      </c>
      <c r="H283" s="302">
        <f t="shared" si="134"/>
        <v>0</v>
      </c>
      <c r="I283" s="302">
        <f t="shared" si="134"/>
        <v>0</v>
      </c>
      <c r="J283" s="302">
        <f t="shared" si="134"/>
        <v>0</v>
      </c>
      <c r="K283" s="302">
        <f t="shared" si="134"/>
        <v>0</v>
      </c>
      <c r="L283" s="302">
        <f t="shared" si="134"/>
        <v>0</v>
      </c>
      <c r="M283" s="302">
        <f t="shared" si="134"/>
        <v>0</v>
      </c>
      <c r="N283" s="302">
        <f t="shared" si="134"/>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5">D278</f>
        <v>2018/19</v>
      </c>
      <c r="E289" s="319" t="str">
        <f t="shared" si="135"/>
        <v>2019/20</v>
      </c>
      <c r="F289" s="319" t="str">
        <f t="shared" si="135"/>
        <v>2020/21</v>
      </c>
      <c r="G289" s="319" t="str">
        <f t="shared" si="135"/>
        <v>2021/22</v>
      </c>
      <c r="H289" s="319" t="str">
        <f t="shared" si="135"/>
        <v>2022/23</v>
      </c>
      <c r="I289" s="319" t="str">
        <f t="shared" si="135"/>
        <v>2023/24</v>
      </c>
      <c r="J289" s="319" t="str">
        <f t="shared" si="135"/>
        <v>2024/25</v>
      </c>
      <c r="K289" s="319" t="str">
        <f t="shared" si="135"/>
        <v>2025/26</v>
      </c>
      <c r="L289" s="319" t="str">
        <f t="shared" si="135"/>
        <v>2026/27</v>
      </c>
      <c r="M289" s="319" t="str">
        <f t="shared" si="135"/>
        <v>2027/28</v>
      </c>
      <c r="N289" s="319" t="str">
        <f t="shared" si="135"/>
        <v>2028/29</v>
      </c>
    </row>
    <row r="290" spans="2:14" s="320" customFormat="1" ht="15.75">
      <c r="B290" s="333"/>
      <c r="C290" s="447">
        <f>C53+C69-C15</f>
        <v>0</v>
      </c>
      <c r="D290" s="447">
        <f>D53+D69-D15</f>
        <v>0</v>
      </c>
      <c r="E290" s="447">
        <f>E53+E69-E15</f>
        <v>0</v>
      </c>
      <c r="F290" s="447">
        <f t="shared" ref="F290:N290" si="136">F53+F69-F15</f>
        <v>0</v>
      </c>
      <c r="G290" s="447">
        <f t="shared" si="136"/>
        <v>0</v>
      </c>
      <c r="H290" s="447">
        <f t="shared" si="136"/>
        <v>0</v>
      </c>
      <c r="I290" s="447">
        <f t="shared" si="136"/>
        <v>0</v>
      </c>
      <c r="J290" s="447">
        <f t="shared" si="136"/>
        <v>0</v>
      </c>
      <c r="K290" s="447">
        <f t="shared" si="136"/>
        <v>0</v>
      </c>
      <c r="L290" s="447">
        <f t="shared" si="136"/>
        <v>0</v>
      </c>
      <c r="M290" s="447">
        <f t="shared" si="136"/>
        <v>0</v>
      </c>
      <c r="N290" s="447">
        <f t="shared" si="136"/>
        <v>0</v>
      </c>
    </row>
    <row r="291" spans="2:14" ht="15.75">
      <c r="B291" s="333"/>
      <c r="H291" s="320"/>
    </row>
    <row r="292" spans="2:14" ht="15.75">
      <c r="B292" s="333" t="s">
        <v>264</v>
      </c>
      <c r="H292" s="320"/>
    </row>
    <row r="293" spans="2:14" ht="15.75">
      <c r="B293" s="333"/>
      <c r="C293" s="358" t="str">
        <f t="shared" ref="C293:N293" si="137">C262</f>
        <v>2017/18</v>
      </c>
      <c r="D293" s="358" t="str">
        <f t="shared" si="137"/>
        <v>2018/19</v>
      </c>
      <c r="E293" s="358" t="str">
        <f t="shared" si="137"/>
        <v>2019/20</v>
      </c>
      <c r="F293" s="358" t="str">
        <f t="shared" si="137"/>
        <v>2020/21</v>
      </c>
      <c r="G293" s="358" t="str">
        <f t="shared" si="137"/>
        <v>2021/22</v>
      </c>
      <c r="H293" s="358" t="str">
        <f t="shared" si="137"/>
        <v>2022/23</v>
      </c>
      <c r="I293" s="358" t="str">
        <f t="shared" si="137"/>
        <v>2023/24</v>
      </c>
      <c r="J293" s="358" t="str">
        <f t="shared" si="137"/>
        <v>2024/25</v>
      </c>
      <c r="K293" s="358" t="str">
        <f t="shared" si="137"/>
        <v>2025/26</v>
      </c>
      <c r="L293" s="358" t="str">
        <f t="shared" si="137"/>
        <v>2026/27</v>
      </c>
      <c r="M293" s="358" t="str">
        <f t="shared" si="137"/>
        <v>2027/28</v>
      </c>
      <c r="N293" s="358" t="str">
        <f t="shared" si="137"/>
        <v>2028/29</v>
      </c>
    </row>
    <row r="294" spans="2:14" s="320" customFormat="1">
      <c r="B294" s="356" t="s">
        <v>268</v>
      </c>
      <c r="C294" s="447">
        <f>C36-C15+C279-C290</f>
        <v>784.26817674174765</v>
      </c>
      <c r="D294" s="447">
        <f t="shared" ref="D294:N294" si="138">D36-D15+D279-D290</f>
        <v>847.98779009243503</v>
      </c>
      <c r="E294" s="447">
        <f t="shared" si="138"/>
        <v>911.90358869309921</v>
      </c>
      <c r="F294" s="447">
        <f t="shared" si="138"/>
        <v>908.52390243401271</v>
      </c>
      <c r="G294" s="447">
        <f t="shared" si="138"/>
        <v>892.75798834883585</v>
      </c>
      <c r="H294" s="447">
        <f t="shared" si="138"/>
        <v>872.22463669813271</v>
      </c>
      <c r="I294" s="447">
        <f t="shared" si="138"/>
        <v>920.57552814842188</v>
      </c>
      <c r="J294" s="447">
        <f t="shared" si="138"/>
        <v>952.00450810184907</v>
      </c>
      <c r="K294" s="447">
        <f t="shared" si="138"/>
        <v>906.640186723836</v>
      </c>
      <c r="L294" s="447">
        <f t="shared" si="138"/>
        <v>878.13302118174317</v>
      </c>
      <c r="M294" s="447">
        <f t="shared" si="138"/>
        <v>895.61808429768575</v>
      </c>
      <c r="N294" s="447">
        <f t="shared" si="138"/>
        <v>901.3064146959357</v>
      </c>
    </row>
    <row r="295" spans="2:14" s="320" customFormat="1" ht="12.75" customHeight="1">
      <c r="B295" s="1327" t="s">
        <v>265</v>
      </c>
      <c r="C295" s="1327"/>
      <c r="D295" s="1327"/>
      <c r="E295" s="1327"/>
      <c r="F295" s="1327"/>
      <c r="G295" s="1327"/>
      <c r="H295" s="1327"/>
      <c r="I295" s="1327"/>
      <c r="J295" s="1327"/>
      <c r="K295" s="1327"/>
      <c r="L295" s="1327"/>
      <c r="M295" s="1327"/>
      <c r="N295" s="1327"/>
    </row>
    <row r="296" spans="2:14" s="320" customFormat="1">
      <c r="B296" s="319" t="s">
        <v>571</v>
      </c>
      <c r="C296" s="276">
        <f>IF(C294&lt;0,0,C294)</f>
        <v>784.26817674174765</v>
      </c>
      <c r="D296" s="276">
        <f t="shared" ref="D296:N296" si="139">IF(D294&lt;0,0,D294)</f>
        <v>847.98779009243503</v>
      </c>
      <c r="E296" s="276">
        <f t="shared" si="139"/>
        <v>911.90358869309921</v>
      </c>
      <c r="F296" s="276">
        <f t="shared" si="139"/>
        <v>908.52390243401271</v>
      </c>
      <c r="G296" s="276">
        <f t="shared" si="139"/>
        <v>892.75798834883585</v>
      </c>
      <c r="H296" s="276">
        <f t="shared" si="139"/>
        <v>872.22463669813271</v>
      </c>
      <c r="I296" s="276">
        <f t="shared" si="139"/>
        <v>920.57552814842188</v>
      </c>
      <c r="J296" s="276">
        <f t="shared" si="139"/>
        <v>952.00450810184907</v>
      </c>
      <c r="K296" s="276">
        <f t="shared" si="139"/>
        <v>906.640186723836</v>
      </c>
      <c r="L296" s="276">
        <f t="shared" si="139"/>
        <v>878.13302118174317</v>
      </c>
      <c r="M296" s="276">
        <f t="shared" si="139"/>
        <v>895.61808429768575</v>
      </c>
      <c r="N296" s="276">
        <f t="shared" si="139"/>
        <v>901.3064146959357</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0">B262</f>
        <v>Age group</v>
      </c>
      <c r="C302" s="331" t="str">
        <f>C293</f>
        <v>2017/18</v>
      </c>
      <c r="D302" s="331" t="str">
        <f t="shared" ref="D302:N302" si="141">D293</f>
        <v>2018/19</v>
      </c>
      <c r="E302" s="331" t="str">
        <f t="shared" si="141"/>
        <v>2019/20</v>
      </c>
      <c r="F302" s="331" t="str">
        <f t="shared" si="141"/>
        <v>2020/21</v>
      </c>
      <c r="G302" s="331" t="str">
        <f t="shared" si="141"/>
        <v>2021/22</v>
      </c>
      <c r="H302" s="331" t="str">
        <f t="shared" si="141"/>
        <v>2022/23</v>
      </c>
      <c r="I302" s="331" t="str">
        <f t="shared" si="141"/>
        <v>2023/24</v>
      </c>
      <c r="J302" s="331" t="str">
        <f t="shared" si="141"/>
        <v>2024/25</v>
      </c>
      <c r="K302" s="331" t="str">
        <f t="shared" si="141"/>
        <v>2025/26</v>
      </c>
      <c r="L302" s="331" t="str">
        <f t="shared" si="141"/>
        <v>2026/27</v>
      </c>
      <c r="M302" s="331" t="str">
        <f t="shared" si="141"/>
        <v>2027/28</v>
      </c>
      <c r="N302" s="331" t="str">
        <f t="shared" si="141"/>
        <v>2028/29</v>
      </c>
    </row>
    <row r="303" spans="2:14">
      <c r="B303" s="331" t="str">
        <f t="shared" si="140"/>
        <v>20-24</v>
      </c>
      <c r="C303" s="447">
        <f>C$296*Entrant_age_breakdowns!$K76*$G$31</f>
        <v>45.009692245742649</v>
      </c>
      <c r="D303" s="447">
        <f>D$296*Entrant_age_breakdowns!$K76*$G$31</f>
        <v>48.666604858016797</v>
      </c>
      <c r="E303" s="447">
        <f>E$296*Entrant_age_breakdowns!$K76*$G$31</f>
        <v>52.334776677264379</v>
      </c>
      <c r="F303" s="447">
        <f>F$296*Entrant_age_breakdowns!$K76*$G$31</f>
        <v>52.140814148986578</v>
      </c>
      <c r="G303" s="447">
        <f>G$296*Entrant_age_breakdowns!$K76*$G$31</f>
        <v>51.235997452362795</v>
      </c>
      <c r="H303" s="447">
        <f>H$296*Entrant_age_breakdowns!$K76*$G$31</f>
        <v>50.057574221662094</v>
      </c>
      <c r="I303" s="447">
        <f>I$296*Entrant_age_breakdowns!$K76*$G$31</f>
        <v>52.832465271081084</v>
      </c>
      <c r="J303" s="447">
        <f>J$296*Entrant_age_breakdowns!$K76*$G$31</f>
        <v>54.636196134136604</v>
      </c>
      <c r="K303" s="447">
        <f>K$296*Entrant_age_breakdowns!$K76*$G$31</f>
        <v>52.032706403564902</v>
      </c>
      <c r="L303" s="447">
        <f>L$296*Entrant_age_breakdowns!$K76*$G$31</f>
        <v>50.396660487257691</v>
      </c>
      <c r="M303" s="447">
        <f>M$296*Entrant_age_breakdowns!$K76*$G$31</f>
        <v>51.400140333928952</v>
      </c>
      <c r="N303" s="447">
        <f>N$296*Entrant_age_breakdowns!$K76*$G$31</f>
        <v>51.726597543605642</v>
      </c>
    </row>
    <row r="304" spans="2:14">
      <c r="B304" s="331" t="str">
        <f t="shared" si="140"/>
        <v>25-29</v>
      </c>
      <c r="C304" s="447">
        <f>C$296*Entrant_age_breakdowns!$K77*$G$31</f>
        <v>45.945048577895349</v>
      </c>
      <c r="D304" s="447">
        <f>D$296*Entrant_age_breakdowns!$K77*$G$31</f>
        <v>49.677956296942163</v>
      </c>
      <c r="E304" s="447">
        <f>E$296*Entrant_age_breakdowns!$K77*$G$31</f>
        <v>53.42235720302341</v>
      </c>
      <c r="F304" s="447">
        <f>F$296*Entrant_age_breakdowns!$K77*$G$31</f>
        <v>53.224363896707089</v>
      </c>
      <c r="G304" s="447">
        <f>G$296*Entrant_age_breakdowns!$K77*$G$31</f>
        <v>52.300744004940263</v>
      </c>
      <c r="H304" s="447">
        <f>H$296*Entrant_age_breakdowns!$K77*$G$31</f>
        <v>51.097831701424447</v>
      </c>
      <c r="I304" s="447">
        <f>I$296*Entrant_age_breakdowns!$K77*$G$31</f>
        <v>53.930388373170672</v>
      </c>
      <c r="J304" s="447">
        <f>J$296*Entrant_age_breakdowns!$K77*$G$31</f>
        <v>55.771602964731755</v>
      </c>
      <c r="K304" s="447">
        <f>K$296*Entrant_age_breakdowns!$K77*$G$31</f>
        <v>53.114009540406954</v>
      </c>
      <c r="L304" s="447">
        <f>L$296*Entrant_age_breakdowns!$K77*$G$31</f>
        <v>51.443964593420858</v>
      </c>
      <c r="M304" s="447">
        <f>M$296*Entrant_age_breakdowns!$K77*$G$31</f>
        <v>52.468297975896071</v>
      </c>
      <c r="N304" s="447">
        <f>N$296*Entrant_age_breakdowns!$K77*$G$31</f>
        <v>52.801539364779778</v>
      </c>
    </row>
    <row r="305" spans="1:14">
      <c r="B305" s="331" t="str">
        <f t="shared" si="140"/>
        <v>30-34</v>
      </c>
      <c r="C305" s="447">
        <f>C$296*Entrant_age_breakdowns!$K78*$G$31</f>
        <v>22.818728604005798</v>
      </c>
      <c r="D305" s="447">
        <f>D$296*Entrant_age_breakdowns!$K78*$G$31</f>
        <v>24.672686990845087</v>
      </c>
      <c r="E305" s="447">
        <f>E$296*Entrant_age_breakdowns!$K78*$G$31</f>
        <v>26.532353499100093</v>
      </c>
      <c r="F305" s="447">
        <f>F$296*Entrant_age_breakdowns!$K78*$G$31</f>
        <v>26.434019605414417</v>
      </c>
      <c r="G305" s="447">
        <f>G$296*Entrant_age_breakdowns!$K78*$G$31</f>
        <v>25.975301369264198</v>
      </c>
      <c r="H305" s="447">
        <f>H$296*Entrant_age_breakdowns!$K78*$G$31</f>
        <v>25.377871825973806</v>
      </c>
      <c r="I305" s="447">
        <f>I$296*Entrant_age_breakdowns!$K78*$G$31</f>
        <v>26.784668509156326</v>
      </c>
      <c r="J305" s="447">
        <f>J$296*Entrant_age_breakdowns!$K78*$G$31</f>
        <v>27.699112554097031</v>
      </c>
      <c r="K305" s="447">
        <f>K$296*Entrant_age_breakdowns!$K78*$G$31</f>
        <v>26.379211825585582</v>
      </c>
      <c r="L305" s="447">
        <f>L$296*Entrant_age_breakdowns!$K78*$G$31</f>
        <v>25.549779632535262</v>
      </c>
      <c r="M305" s="447">
        <f>M$296*Entrant_age_breakdowns!$K78*$G$31</f>
        <v>26.058517487390219</v>
      </c>
      <c r="N305" s="447">
        <f>N$296*Entrant_age_breakdowns!$K78*$G$31</f>
        <v>26.224022695196613</v>
      </c>
    </row>
    <row r="306" spans="1:14">
      <c r="B306" s="331" t="str">
        <f t="shared" si="140"/>
        <v>35-39</v>
      </c>
      <c r="C306" s="447">
        <f>C$296*Entrant_age_breakdowns!$K79*$G$31</f>
        <v>17.007548405103968</v>
      </c>
      <c r="D306" s="447">
        <f>D$296*Entrant_age_breakdowns!$K79*$G$31</f>
        <v>18.389364524328172</v>
      </c>
      <c r="E306" s="447">
        <f>E$296*Entrant_age_breakdowns!$K79*$G$31</f>
        <v>19.775435094050689</v>
      </c>
      <c r="F306" s="447">
        <f>F$296*Entrant_age_breakdowns!$K79*$G$31</f>
        <v>19.702143611175174</v>
      </c>
      <c r="G306" s="447">
        <f>G$296*Entrant_age_breakdowns!$K79*$G$31</f>
        <v>19.360245833213121</v>
      </c>
      <c r="H306" s="447">
        <f>H$296*Entrant_age_breakdowns!$K79*$G$31</f>
        <v>18.914961959055173</v>
      </c>
      <c r="I306" s="447">
        <f>I$296*Entrant_age_breakdowns!$K79*$G$31</f>
        <v>19.963493763809897</v>
      </c>
      <c r="J306" s="447">
        <f>J$296*Entrant_age_breakdowns!$K79*$G$31</f>
        <v>20.645058965271552</v>
      </c>
      <c r="K306" s="447">
        <f>K$296*Entrant_age_breakdowns!$K79*$G$31</f>
        <v>19.66129357151733</v>
      </c>
      <c r="L306" s="447">
        <f>L$296*Entrant_age_breakdowns!$K79*$G$31</f>
        <v>19.043090497329473</v>
      </c>
      <c r="M306" s="447">
        <f>M$296*Entrant_age_breakdowns!$K79*$G$31</f>
        <v>19.422269541092479</v>
      </c>
      <c r="N306" s="447">
        <f>N$296*Entrant_age_breakdowns!$K79*$G$31</f>
        <v>19.54562601208227</v>
      </c>
    </row>
    <row r="307" spans="1:14">
      <c r="B307" s="331" t="str">
        <f t="shared" si="140"/>
        <v>40-44</v>
      </c>
      <c r="C307" s="447">
        <f>C$296*Entrant_age_breakdowns!$K80*$G$31</f>
        <v>14.613673563526534</v>
      </c>
      <c r="D307" s="447">
        <f>D$296*Entrant_age_breakdowns!$K80*$G$31</f>
        <v>15.800993993853901</v>
      </c>
      <c r="E307" s="447">
        <f>E$296*Entrant_age_breakdowns!$K80*$G$31</f>
        <v>16.991970045161647</v>
      </c>
      <c r="F307" s="447">
        <f>F$296*Entrant_age_breakdowns!$K80*$G$31</f>
        <v>16.928994607419657</v>
      </c>
      <c r="G307" s="447">
        <f>G$296*Entrant_age_breakdowns!$K80*$G$31</f>
        <v>16.635220196186278</v>
      </c>
      <c r="H307" s="447">
        <f>H$296*Entrant_age_breakdowns!$K80*$G$31</f>
        <v>16.252611661137582</v>
      </c>
      <c r="I307" s="447">
        <f>I$296*Entrant_age_breakdowns!$K80*$G$31</f>
        <v>17.153558767133319</v>
      </c>
      <c r="J307" s="447">
        <f>J$296*Entrant_age_breakdowns!$K80*$G$31</f>
        <v>17.739191165711752</v>
      </c>
      <c r="K307" s="447">
        <f>K$296*Entrant_age_breakdowns!$K80*$G$31</f>
        <v>16.893894360729327</v>
      </c>
      <c r="L307" s="447">
        <f>L$296*Entrant_age_breakdowns!$K80*$G$31</f>
        <v>16.362705637524588</v>
      </c>
      <c r="M307" s="447">
        <f>M$296*Entrant_age_breakdowns!$K80*$G$31</f>
        <v>16.688513839606188</v>
      </c>
      <c r="N307" s="447">
        <f>N$296*Entrant_age_breakdowns!$K80*$G$31</f>
        <v>16.794507434688505</v>
      </c>
    </row>
    <row r="308" spans="1:14">
      <c r="B308" s="331" t="str">
        <f t="shared" si="140"/>
        <v>45-49</v>
      </c>
      <c r="C308" s="447">
        <f>C$296*Entrant_age_breakdowns!$K81*$G$31</f>
        <v>11.779452172300424</v>
      </c>
      <c r="D308" s="447">
        <f>D$296*Entrant_age_breakdowns!$K81*$G$31</f>
        <v>12.736499978345799</v>
      </c>
      <c r="E308" s="447">
        <f>E$296*Entrant_age_breakdowns!$K81*$G$31</f>
        <v>13.696494422846676</v>
      </c>
      <c r="F308" s="447">
        <f>F$296*Entrant_age_breakdowns!$K81*$G$31</f>
        <v>13.645732637749536</v>
      </c>
      <c r="G308" s="447">
        <f>G$296*Entrant_age_breakdowns!$K81*$G$31</f>
        <v>13.408933751314429</v>
      </c>
      <c r="H308" s="447">
        <f>H$296*Entrant_age_breakdowns!$K81*$G$31</f>
        <v>13.100529507868847</v>
      </c>
      <c r="I308" s="447">
        <f>I$296*Entrant_age_breakdowns!$K81*$G$31</f>
        <v>13.82674412452327</v>
      </c>
      <c r="J308" s="447">
        <f>J$296*Entrant_age_breakdowns!$K81*$G$31</f>
        <v>14.298797150726184</v>
      </c>
      <c r="K308" s="447">
        <f>K$296*Entrant_age_breakdowns!$K81*$G$31</f>
        <v>13.617439842284568</v>
      </c>
      <c r="L308" s="447">
        <f>L$296*Entrant_age_breakdowns!$K81*$G$31</f>
        <v>13.189271515391574</v>
      </c>
      <c r="M308" s="447">
        <f>M$296*Entrant_age_breakdowns!$K81*$G$31</f>
        <v>13.451891459451504</v>
      </c>
      <c r="N308" s="447">
        <f>N$296*Entrant_age_breakdowns!$K81*$G$31</f>
        <v>13.537328326397708</v>
      </c>
    </row>
    <row r="309" spans="1:14">
      <c r="B309" s="331" t="str">
        <f t="shared" si="140"/>
        <v>50-54</v>
      </c>
      <c r="C309" s="447">
        <f>C$296*Entrant_age_breakdowns!$K82*$G$31</f>
        <v>8.7286209739757492</v>
      </c>
      <c r="D309" s="447">
        <f>D$296*Entrant_age_breakdowns!$K82*$G$31</f>
        <v>9.4377972099121727</v>
      </c>
      <c r="E309" s="447">
        <f>E$296*Entrant_age_breakdowns!$K82*$G$31</f>
        <v>10.14915691667977</v>
      </c>
      <c r="F309" s="447">
        <f>F$296*Entrant_age_breakdowns!$K82*$G$31</f>
        <v>10.111542231752635</v>
      </c>
      <c r="G309" s="447">
        <f>G$296*Entrant_age_breakdowns!$K82*$G$31</f>
        <v>9.9360733137997279</v>
      </c>
      <c r="H309" s="447">
        <f>H$296*Entrant_age_breakdowns!$K82*$G$31</f>
        <v>9.7075445411177199</v>
      </c>
      <c r="I309" s="447">
        <f>I$296*Entrant_age_breakdowns!$K82*$G$31</f>
        <v>10.245672464370676</v>
      </c>
      <c r="J309" s="447">
        <f>J$296*Entrant_age_breakdowns!$K82*$G$31</f>
        <v>10.595465636843722</v>
      </c>
      <c r="K309" s="447">
        <f>K$296*Entrant_age_breakdowns!$K82*$G$31</f>
        <v>10.090577157630712</v>
      </c>
      <c r="L309" s="447">
        <f>L$296*Entrant_age_breakdowns!$K82*$G$31</f>
        <v>9.7733027221269406</v>
      </c>
      <c r="M309" s="447">
        <f>M$296*Entrant_age_breakdowns!$K82*$G$31</f>
        <v>9.9679051466179729</v>
      </c>
      <c r="N309" s="447">
        <f>N$296*Entrant_age_breakdowns!$K82*$G$31</f>
        <v>10.03121420529653</v>
      </c>
    </row>
    <row r="310" spans="1:14">
      <c r="B310" s="331" t="str">
        <f t="shared" si="140"/>
        <v>55-59</v>
      </c>
      <c r="C310" s="447">
        <f>C$296*Entrant_age_breakdowns!$K83*$G$31</f>
        <v>5.6568937783791089</v>
      </c>
      <c r="D310" s="447">
        <f>D$296*Entrant_age_breakdowns!$K83*$G$31</f>
        <v>6.1165007024057108</v>
      </c>
      <c r="E310" s="447">
        <f>E$296*Entrant_age_breakdowns!$K83*$G$31</f>
        <v>6.5775227024903691</v>
      </c>
      <c r="F310" s="447">
        <f>F$296*Entrant_age_breakdowns!$K83*$G$31</f>
        <v>6.5531451659041879</v>
      </c>
      <c r="G310" s="447">
        <f>G$296*Entrant_age_breakdowns!$K83*$G$31</f>
        <v>6.4394262825632609</v>
      </c>
      <c r="H310" s="447">
        <f>H$296*Entrant_age_breakdowns!$K83*$G$31</f>
        <v>6.291320070113458</v>
      </c>
      <c r="I310" s="447">
        <f>I$296*Entrant_age_breakdowns!$K83*$G$31</f>
        <v>6.640073041527585</v>
      </c>
      <c r="J310" s="447">
        <f>J$296*Entrant_age_breakdowns!$K83*$G$31</f>
        <v>6.8667689682933206</v>
      </c>
      <c r="K310" s="447">
        <f>K$296*Entrant_age_breakdowns!$K83*$G$31</f>
        <v>6.5395580027409386</v>
      </c>
      <c r="L310" s="447">
        <f>L$296*Entrant_age_breakdowns!$K83*$G$31</f>
        <v>6.3339370019446894</v>
      </c>
      <c r="M310" s="447">
        <f>M$296*Entrant_age_breakdowns!$K83*$G$31</f>
        <v>6.4600560358267849</v>
      </c>
      <c r="N310" s="447">
        <f>N$296*Entrant_age_breakdowns!$K83*$G$31</f>
        <v>6.5010857266819082</v>
      </c>
    </row>
    <row r="311" spans="1:14">
      <c r="B311" s="331" t="str">
        <f t="shared" si="140"/>
        <v>60-64</v>
      </c>
      <c r="C311" s="447">
        <f>C$296*Entrant_age_breakdowns!$K84*$G$31</f>
        <v>2.8848491692509612</v>
      </c>
      <c r="D311" s="447">
        <f>D$296*Entrant_age_breakdowns!$K84*$G$31</f>
        <v>3.1192351600269888</v>
      </c>
      <c r="E311" s="447">
        <f>E$296*Entrant_age_breakdowns!$K84*$G$31</f>
        <v>3.3543427979030755</v>
      </c>
      <c r="F311" s="447">
        <f>F$296*Entrant_age_breakdowns!$K84*$G$31</f>
        <v>3.3419109724306195</v>
      </c>
      <c r="G311" s="447">
        <f>G$296*Entrant_age_breakdowns!$K84*$G$31</f>
        <v>3.2839176921982616</v>
      </c>
      <c r="H311" s="447">
        <f>H$296*Entrant_age_breakdowns!$K84*$G$31</f>
        <v>3.2083878872053266</v>
      </c>
      <c r="I311" s="447">
        <f>I$296*Entrant_age_breakdowns!$K84*$G$31</f>
        <v>3.386241628016796</v>
      </c>
      <c r="J311" s="447">
        <f>J$296*Entrant_age_breakdowns!$K84*$G$31</f>
        <v>3.5018498719796334</v>
      </c>
      <c r="K311" s="447">
        <f>K$296*Entrant_age_breakdowns!$K84*$G$31</f>
        <v>3.3349819195087163</v>
      </c>
      <c r="L311" s="447">
        <f>L$296*Entrant_age_breakdowns!$K84*$G$31</f>
        <v>3.2301212669020165</v>
      </c>
      <c r="M311" s="447">
        <f>M$296*Entrant_age_breakdowns!$K84*$G$31</f>
        <v>3.2944382585895902</v>
      </c>
      <c r="N311" s="447">
        <f>N$296*Entrant_age_breakdowns!$K84*$G$31</f>
        <v>3.3153621921501637</v>
      </c>
    </row>
    <row r="312" spans="1:14">
      <c r="B312" s="331" t="str">
        <f t="shared" si="140"/>
        <v>65 plus</v>
      </c>
      <c r="C312" s="447">
        <f>C$296*Entrant_age_breakdowns!$K85*$G$31</f>
        <v>0.86862340654839942</v>
      </c>
      <c r="D312" s="447">
        <f>D$296*Entrant_age_breakdowns!$K85*$G$31</f>
        <v>0.93919664827110505</v>
      </c>
      <c r="E312" s="447">
        <f>E$296*Entrant_age_breakdowns!$K85*$G$31</f>
        <v>1.0099871767653552</v>
      </c>
      <c r="F312" s="447">
        <f>F$296*Entrant_age_breakdowns!$K85*$G$31</f>
        <v>1.0062439742760885</v>
      </c>
      <c r="G312" s="447">
        <f>G$296*Entrant_age_breakdowns!$K85*$G$31</f>
        <v>0.9887822916448864</v>
      </c>
      <c r="H312" s="447">
        <f>H$296*Entrant_age_breakdowns!$K85*$G$31</f>
        <v>0.96604038984697238</v>
      </c>
      <c r="I312" s="447">
        <f>I$296*Entrant_age_breakdowns!$K85*$G$31</f>
        <v>1.0195918627827814</v>
      </c>
      <c r="J312" s="447">
        <f>J$296*Entrant_age_breakdowns!$K85*$G$31</f>
        <v>1.0544013175599793</v>
      </c>
      <c r="K312" s="447">
        <f>K$296*Entrant_age_breakdowns!$K85*$G$31</f>
        <v>1.0041576476780358</v>
      </c>
      <c r="L312" s="447">
        <f>L$296*Entrant_age_breakdowns!$K85*$G$31</f>
        <v>0.9725842752289765</v>
      </c>
      <c r="M312" s="447">
        <f>M$296*Entrant_age_breakdowns!$K85*$G$31</f>
        <v>0.99195001712428366</v>
      </c>
      <c r="N312" s="447">
        <f>N$296*Entrant_age_breakdowns!$K85*$G$31</f>
        <v>0.99825017958736906</v>
      </c>
    </row>
    <row r="313" spans="1:14">
      <c r="B313" s="331" t="str">
        <f t="shared" si="140"/>
        <v>Total</v>
      </c>
      <c r="C313" s="447">
        <f>SUM(C303:C312)</f>
        <v>175.31313089672895</v>
      </c>
      <c r="D313" s="447">
        <f t="shared" ref="D313:N313" si="142">SUM(D303:D312)</f>
        <v>189.55683636294788</v>
      </c>
      <c r="E313" s="447">
        <f t="shared" si="142"/>
        <v>203.84439653528548</v>
      </c>
      <c r="F313" s="447">
        <f t="shared" si="142"/>
        <v>203.08891085181597</v>
      </c>
      <c r="G313" s="447">
        <f t="shared" si="142"/>
        <v>199.56464218748727</v>
      </c>
      <c r="H313" s="447">
        <f t="shared" si="142"/>
        <v>194.97467376540547</v>
      </c>
      <c r="I313" s="447">
        <f t="shared" si="142"/>
        <v>205.78289780557239</v>
      </c>
      <c r="J313" s="447">
        <f t="shared" si="142"/>
        <v>212.80844472935155</v>
      </c>
      <c r="K313" s="447">
        <f t="shared" si="142"/>
        <v>202.66783027164703</v>
      </c>
      <c r="L313" s="447">
        <f t="shared" si="142"/>
        <v>196.29541762966207</v>
      </c>
      <c r="M313" s="447">
        <f t="shared" si="142"/>
        <v>200.20398009552406</v>
      </c>
      <c r="N313" s="447">
        <f t="shared" si="142"/>
        <v>201.47553368046647</v>
      </c>
    </row>
    <row r="314" spans="1:14">
      <c r="A314" s="302">
        <f>SUM(C314:N314)</f>
        <v>0</v>
      </c>
      <c r="C314" s="302">
        <f t="shared" ref="C314:N314" si="143">SUM(C303:C312)-C313</f>
        <v>0</v>
      </c>
      <c r="D314" s="302">
        <f t="shared" si="143"/>
        <v>0</v>
      </c>
      <c r="E314" s="302">
        <f t="shared" si="143"/>
        <v>0</v>
      </c>
      <c r="F314" s="302">
        <f t="shared" si="143"/>
        <v>0</v>
      </c>
      <c r="G314" s="302">
        <f t="shared" si="143"/>
        <v>0</v>
      </c>
      <c r="H314" s="302">
        <f t="shared" si="143"/>
        <v>0</v>
      </c>
      <c r="I314" s="302">
        <f t="shared" si="143"/>
        <v>0</v>
      </c>
      <c r="J314" s="302">
        <f t="shared" si="143"/>
        <v>0</v>
      </c>
      <c r="K314" s="302">
        <f t="shared" si="143"/>
        <v>0</v>
      </c>
      <c r="L314" s="302">
        <f t="shared" si="143"/>
        <v>0</v>
      </c>
      <c r="M314" s="302">
        <f t="shared" si="143"/>
        <v>0</v>
      </c>
      <c r="N314" s="302">
        <f t="shared" si="143"/>
        <v>0</v>
      </c>
    </row>
    <row r="316" spans="1:14">
      <c r="B316" s="334" t="s">
        <v>47</v>
      </c>
      <c r="H316" s="318"/>
    </row>
    <row r="317" spans="1:14">
      <c r="H317" s="318"/>
    </row>
    <row r="318" spans="1:14">
      <c r="B318" s="331" t="str">
        <f t="shared" ref="B318:B329" si="144">B302</f>
        <v>Age group</v>
      </c>
      <c r="C318" s="331" t="str">
        <f>C293</f>
        <v>2017/18</v>
      </c>
      <c r="D318" s="331" t="str">
        <f t="shared" ref="D318:N318" si="145">D302</f>
        <v>2018/19</v>
      </c>
      <c r="E318" s="331" t="str">
        <f t="shared" si="145"/>
        <v>2019/20</v>
      </c>
      <c r="F318" s="331" t="str">
        <f t="shared" si="145"/>
        <v>2020/21</v>
      </c>
      <c r="G318" s="331" t="str">
        <f t="shared" si="145"/>
        <v>2021/22</v>
      </c>
      <c r="H318" s="331" t="str">
        <f t="shared" si="145"/>
        <v>2022/23</v>
      </c>
      <c r="I318" s="331" t="str">
        <f t="shared" si="145"/>
        <v>2023/24</v>
      </c>
      <c r="J318" s="331" t="str">
        <f t="shared" si="145"/>
        <v>2024/25</v>
      </c>
      <c r="K318" s="331" t="str">
        <f t="shared" si="145"/>
        <v>2025/26</v>
      </c>
      <c r="L318" s="331" t="str">
        <f t="shared" si="145"/>
        <v>2026/27</v>
      </c>
      <c r="M318" s="331" t="str">
        <f t="shared" si="145"/>
        <v>2027/28</v>
      </c>
      <c r="N318" s="331" t="str">
        <f t="shared" si="145"/>
        <v>2028/29</v>
      </c>
    </row>
    <row r="319" spans="1:14">
      <c r="B319" s="331" t="str">
        <f t="shared" si="144"/>
        <v>20-24</v>
      </c>
      <c r="C319" s="447">
        <f>C$296*Entrant_age_breakdowns!$K76*$H$31</f>
        <v>156.34242035824485</v>
      </c>
      <c r="D319" s="447">
        <f>D$296*Entrant_age_breakdowns!$K76*$H$31</f>
        <v>169.04480822883977</v>
      </c>
      <c r="E319" s="447">
        <f>E$296*Entrant_age_breakdowns!$K76*$H$31</f>
        <v>181.78630526863168</v>
      </c>
      <c r="F319" s="447">
        <f>F$296*Entrant_age_breakdowns!$K76*$H$31</f>
        <v>181.11257102125688</v>
      </c>
      <c r="G319" s="447">
        <f>G$296*Entrant_age_breakdowns!$K76*$H$31</f>
        <v>177.9696650098501</v>
      </c>
      <c r="H319" s="447">
        <f>H$296*Entrant_age_breakdowns!$K76*$H$31</f>
        <v>173.87637907738392</v>
      </c>
      <c r="I319" s="447">
        <f>I$296*Entrant_age_breakdowns!$K76*$H$31</f>
        <v>183.51504046897853</v>
      </c>
      <c r="J319" s="447">
        <f>J$296*Entrant_age_breakdowns!$K76*$H$31</f>
        <v>189.78034988867668</v>
      </c>
      <c r="K319" s="447">
        <f>K$296*Entrant_age_breakdowns!$K76*$H$31</f>
        <v>180.73705575475788</v>
      </c>
      <c r="L319" s="447">
        <f>L$296*Entrant_age_breakdowns!$K76*$H$31</f>
        <v>175.05420467068086</v>
      </c>
      <c r="M319" s="447">
        <f>M$296*Entrant_age_breakdowns!$K76*$H$31</f>
        <v>178.53981988334976</v>
      </c>
      <c r="N319" s="447">
        <f>N$296*Entrant_age_breakdowns!$K76*$H$31</f>
        <v>179.67377809896232</v>
      </c>
    </row>
    <row r="320" spans="1:14">
      <c r="B320" s="331" t="str">
        <f t="shared" si="144"/>
        <v>25-29</v>
      </c>
      <c r="C320" s="447">
        <f>C$296*Entrant_age_breakdowns!$K77*$H$31</f>
        <v>159.59140664474842</v>
      </c>
      <c r="D320" s="447">
        <f>D$296*Entrant_age_breakdowns!$K77*$H$31</f>
        <v>172.55776563657105</v>
      </c>
      <c r="E320" s="447">
        <f>E$296*Entrant_age_breakdowns!$K77*$H$31</f>
        <v>185.56404653385309</v>
      </c>
      <c r="F320" s="447">
        <f>F$296*Entrant_age_breakdowns!$K77*$H$31</f>
        <v>184.87631126663067</v>
      </c>
      <c r="G320" s="447">
        <f>G$296*Entrant_age_breakdowns!$K77*$H$31</f>
        <v>181.66809183288186</v>
      </c>
      <c r="H320" s="447">
        <f>H$296*Entrant_age_breakdowns!$K77*$H$31</f>
        <v>177.48974242352406</v>
      </c>
      <c r="I320" s="447">
        <f>I$296*Entrant_age_breakdowns!$K77*$H$31</f>
        <v>187.32870696131397</v>
      </c>
      <c r="J320" s="447">
        <f>J$296*Entrant_age_breakdowns!$K77*$H$31</f>
        <v>193.72421715658319</v>
      </c>
      <c r="K320" s="447">
        <f>K$296*Entrant_age_breakdowns!$K77*$H$31</f>
        <v>184.49299233463617</v>
      </c>
      <c r="L320" s="447">
        <f>L$296*Entrant_age_breakdowns!$K77*$H$31</f>
        <v>178.69204467000156</v>
      </c>
      <c r="M320" s="447">
        <f>M$296*Entrant_age_breakdowns!$K77*$H$31</f>
        <v>182.25009522043763</v>
      </c>
      <c r="N320" s="447">
        <f>N$296*Entrant_age_breakdowns!$K77*$H$31</f>
        <v>183.40761847158919</v>
      </c>
    </row>
    <row r="321" spans="1:14">
      <c r="B321" s="331" t="str">
        <f t="shared" si="144"/>
        <v>30-34</v>
      </c>
      <c r="C321" s="447">
        <f>C$296*Entrant_age_breakdowns!$K78*$H$31</f>
        <v>79.261489724707545</v>
      </c>
      <c r="D321" s="447">
        <f>D$296*Entrant_age_breakdowns!$K78*$H$31</f>
        <v>85.701265848023255</v>
      </c>
      <c r="E321" s="447">
        <f>E$296*Entrant_age_breakdowns!$K78*$H$31</f>
        <v>92.160869290151993</v>
      </c>
      <c r="F321" s="447">
        <f>F$296*Entrant_age_breakdowns!$K78*$H$31</f>
        <v>91.819303770038417</v>
      </c>
      <c r="G321" s="447">
        <f>G$296*Entrant_age_breakdowns!$K78*$H$31</f>
        <v>90.225933193082881</v>
      </c>
      <c r="H321" s="447">
        <f>H$296*Entrant_age_breakdowns!$K78*$H$31</f>
        <v>88.150745025130547</v>
      </c>
      <c r="I321" s="447">
        <f>I$296*Entrant_age_breakdowns!$K78*$H$31</f>
        <v>93.037292509167386</v>
      </c>
      <c r="J321" s="447">
        <f>J$296*Entrant_age_breakdowns!$K78*$H$31</f>
        <v>96.213639383250623</v>
      </c>
      <c r="K321" s="447">
        <f>K$296*Entrant_age_breakdowns!$K78*$H$31</f>
        <v>91.628927419404462</v>
      </c>
      <c r="L321" s="447">
        <f>L$296*Entrant_age_breakdowns!$K78*$H$31</f>
        <v>88.747871581996463</v>
      </c>
      <c r="M321" s="447">
        <f>M$296*Entrant_age_breakdowns!$K78*$H$31</f>
        <v>90.514986698483597</v>
      </c>
      <c r="N321" s="447">
        <f>N$296*Entrant_age_breakdowns!$K78*$H$31</f>
        <v>91.089873650144398</v>
      </c>
    </row>
    <row r="322" spans="1:14">
      <c r="B322" s="331" t="str">
        <f t="shared" si="144"/>
        <v>35-39</v>
      </c>
      <c r="C322" s="447">
        <f>C$296*Entrant_age_breakdowns!$K79*$H$31</f>
        <v>59.076193356231393</v>
      </c>
      <c r="D322" s="447">
        <f>D$296*Entrant_age_breakdowns!$K79*$H$31</f>
        <v>63.875970155193698</v>
      </c>
      <c r="E322" s="447">
        <f>E$296*Entrant_age_breakdowns!$K79*$H$31</f>
        <v>68.690524906526107</v>
      </c>
      <c r="F322" s="447">
        <f>F$296*Entrant_age_breakdowns!$K79*$H$31</f>
        <v>68.435944898250511</v>
      </c>
      <c r="G322" s="447">
        <f>G$296*Entrant_age_breakdowns!$K79*$H$31</f>
        <v>67.248353438396677</v>
      </c>
      <c r="H322" s="447">
        <f>H$296*Entrant_age_breakdowns!$K79*$H$31</f>
        <v>65.701647492213851</v>
      </c>
      <c r="I322" s="447">
        <f>I$296*Entrant_age_breakdowns!$K79*$H$31</f>
        <v>69.343751936806171</v>
      </c>
      <c r="J322" s="447">
        <f>J$296*Entrant_age_breakdowns!$K79*$H$31</f>
        <v>71.711187658132374</v>
      </c>
      <c r="K322" s="447">
        <f>K$296*Entrant_age_breakdowns!$K79*$H$31</f>
        <v>68.294051147078704</v>
      </c>
      <c r="L322" s="447">
        <f>L$296*Entrant_age_breakdowns!$K79*$H$31</f>
        <v>66.146705540631459</v>
      </c>
      <c r="M322" s="447">
        <f>M$296*Entrant_age_breakdowns!$K79*$H$31</f>
        <v>67.463794516209617</v>
      </c>
      <c r="N322" s="447">
        <f>N$296*Entrant_age_breakdowns!$K79*$H$31</f>
        <v>67.892276655925201</v>
      </c>
    </row>
    <row r="323" spans="1:14">
      <c r="B323" s="331" t="str">
        <f t="shared" si="144"/>
        <v>40-44</v>
      </c>
      <c r="C323" s="447">
        <f>C$296*Entrant_age_breakdowns!$K80*$H$31</f>
        <v>50.761002380840381</v>
      </c>
      <c r="D323" s="447">
        <f>D$296*Entrant_age_breakdowns!$K80*$H$31</f>
        <v>54.885192984159417</v>
      </c>
      <c r="E323" s="447">
        <f>E$296*Entrant_age_breakdowns!$K80*$H$31</f>
        <v>59.022081488829663</v>
      </c>
      <c r="F323" s="447">
        <f>F$296*Entrant_age_breakdowns!$K80*$H$31</f>
        <v>58.803334550815791</v>
      </c>
      <c r="G323" s="447">
        <f>G$296*Entrant_age_breakdowns!$K80*$H$31</f>
        <v>57.78290094640942</v>
      </c>
      <c r="H323" s="447">
        <f>H$296*Entrant_age_breakdowns!$K80*$H$31</f>
        <v>56.453899537276399</v>
      </c>
      <c r="I323" s="447">
        <f>I$296*Entrant_age_breakdowns!$K80*$H$31</f>
        <v>59.583364417797839</v>
      </c>
      <c r="J323" s="447">
        <f>J$296*Entrant_age_breakdowns!$K80*$H$31</f>
        <v>61.617574874827056</v>
      </c>
      <c r="K323" s="447">
        <f>K$296*Entrant_age_breakdowns!$K80*$H$31</f>
        <v>58.681412865753465</v>
      </c>
      <c r="L323" s="447">
        <f>L$296*Entrant_age_breakdowns!$K80*$H$31</f>
        <v>56.836314032386312</v>
      </c>
      <c r="M323" s="447">
        <f>M$296*Entrant_age_breakdowns!$K80*$H$31</f>
        <v>57.968017902030596</v>
      </c>
      <c r="N323" s="447">
        <f>N$296*Entrant_age_breakdowns!$K80*$H$31</f>
        <v>58.336189608408091</v>
      </c>
    </row>
    <row r="324" spans="1:14">
      <c r="B324" s="331" t="str">
        <f t="shared" si="144"/>
        <v>45-49</v>
      </c>
      <c r="C324" s="447">
        <f>C$296*Entrant_age_breakdowns!$K81*$H$31</f>
        <v>40.916255393544226</v>
      </c>
      <c r="D324" s="447">
        <f>D$296*Entrant_age_breakdowns!$K81*$H$31</f>
        <v>44.240587619118038</v>
      </c>
      <c r="E324" s="447">
        <f>E$296*Entrant_age_breakdowns!$K81*$H$31</f>
        <v>47.57515507548478</v>
      </c>
      <c r="F324" s="447">
        <f>F$296*Entrant_age_breakdowns!$K81*$H$31</f>
        <v>47.398832600306278</v>
      </c>
      <c r="G324" s="447">
        <f>G$296*Entrant_age_breakdowns!$K81*$H$31</f>
        <v>46.576305069096513</v>
      </c>
      <c r="H324" s="447">
        <f>H$296*Entrant_age_breakdowns!$K81*$H$31</f>
        <v>45.505054334792817</v>
      </c>
      <c r="I324" s="447">
        <f>I$296*Entrant_age_breakdowns!$K81*$H$31</f>
        <v>48.027581044093445</v>
      </c>
      <c r="J324" s="447">
        <f>J$296*Entrant_age_breakdowns!$K81*$H$31</f>
        <v>49.667270385914669</v>
      </c>
      <c r="K324" s="447">
        <f>K$296*Entrant_age_breakdowns!$K81*$H$31</f>
        <v>47.300556786787197</v>
      </c>
      <c r="L324" s="447">
        <f>L$296*Entrant_age_breakdowns!$K81*$H$31</f>
        <v>45.813302171010022</v>
      </c>
      <c r="M324" s="447">
        <f>M$296*Entrant_age_breakdowns!$K81*$H$31</f>
        <v>46.725519865468037</v>
      </c>
      <c r="N324" s="447">
        <f>N$296*Entrant_age_breakdowns!$K81*$H$31</f>
        <v>47.022287203784117</v>
      </c>
    </row>
    <row r="325" spans="1:14">
      <c r="B325" s="331" t="str">
        <f t="shared" si="144"/>
        <v>50-54</v>
      </c>
      <c r="C325" s="447">
        <f>C$296*Entrant_age_breakdowns!$K82*$H$31</f>
        <v>30.319108204748684</v>
      </c>
      <c r="D325" s="447">
        <f>D$296*Entrant_age_breakdowns!$K82*$H$31</f>
        <v>32.782451623795005</v>
      </c>
      <c r="E325" s="447">
        <f>E$296*Entrant_age_breakdowns!$K82*$H$31</f>
        <v>35.253379389622978</v>
      </c>
      <c r="F325" s="447">
        <f>F$296*Entrant_age_breakdowns!$K82*$H$31</f>
        <v>35.122723733272039</v>
      </c>
      <c r="G325" s="447">
        <f>G$296*Entrant_age_breakdowns!$K82*$H$31</f>
        <v>34.513227556745868</v>
      </c>
      <c r="H325" s="447">
        <f>H$296*Entrant_age_breakdowns!$K82*$H$31</f>
        <v>33.719426496131334</v>
      </c>
      <c r="I325" s="447">
        <f>I$296*Entrant_age_breakdowns!$K82*$H$31</f>
        <v>35.58862883424954</v>
      </c>
      <c r="J325" s="447">
        <f>J$296*Entrant_age_breakdowns!$K82*$H$31</f>
        <v>36.803645166968359</v>
      </c>
      <c r="K325" s="447">
        <f>K$296*Entrant_age_breakdowns!$K82*$H$31</f>
        <v>35.049900964049002</v>
      </c>
      <c r="L325" s="447">
        <f>L$296*Entrant_age_breakdowns!$K82*$H$31</f>
        <v>33.947839370434195</v>
      </c>
      <c r="M325" s="447">
        <f>M$296*Entrant_age_breakdowns!$K82*$H$31</f>
        <v>34.623796315138435</v>
      </c>
      <c r="N325" s="447">
        <f>N$296*Entrant_age_breakdowns!$K82*$H$31</f>
        <v>34.843702094772915</v>
      </c>
    </row>
    <row r="326" spans="1:14">
      <c r="B326" s="331" t="str">
        <f t="shared" si="144"/>
        <v>55-59</v>
      </c>
      <c r="C326" s="447">
        <f>C$296*Entrant_age_breakdowns!$K83*$H$31</f>
        <v>19.64937818709349</v>
      </c>
      <c r="D326" s="447">
        <f>D$296*Entrant_age_breakdowns!$K83*$H$31</f>
        <v>21.245835646153846</v>
      </c>
      <c r="E326" s="447">
        <f>E$296*Entrant_age_breakdowns!$K83*$H$31</f>
        <v>22.847208411337597</v>
      </c>
      <c r="F326" s="447">
        <f>F$296*Entrant_age_breakdowns!$K83*$H$31</f>
        <v>22.762532358645505</v>
      </c>
      <c r="G326" s="447">
        <f>G$296*Entrant_age_breakdowns!$K83*$H$31</f>
        <v>22.367526648211236</v>
      </c>
      <c r="H326" s="447">
        <f>H$296*Entrant_age_breakdowns!$K83*$H$31</f>
        <v>21.853075591801606</v>
      </c>
      <c r="I326" s="447">
        <f>I$296*Entrant_age_breakdowns!$K83*$H$31</f>
        <v>23.064478757153662</v>
      </c>
      <c r="J326" s="447">
        <f>J$296*Entrant_age_breakdowns!$K83*$H$31</f>
        <v>23.851913376399761</v>
      </c>
      <c r="K326" s="447">
        <f>K$296*Entrant_age_breakdowns!$K83*$H$31</f>
        <v>22.71533696874711</v>
      </c>
      <c r="L326" s="447">
        <f>L$296*Entrant_age_breakdowns!$K83*$H$31</f>
        <v>22.001106692177935</v>
      </c>
      <c r="M326" s="447">
        <f>M$296*Entrant_age_breakdowns!$K83*$H$31</f>
        <v>22.439184671087805</v>
      </c>
      <c r="N326" s="447">
        <f>N$296*Entrant_age_breakdowns!$K83*$H$31</f>
        <v>22.581702445699943</v>
      </c>
    </row>
    <row r="327" spans="1:14">
      <c r="B327" s="331" t="str">
        <f t="shared" si="144"/>
        <v>60-64</v>
      </c>
      <c r="C327" s="447">
        <f>C$296*Entrant_age_breakdowns!$K84*$H$31</f>
        <v>10.020603985174514</v>
      </c>
      <c r="D327" s="447">
        <f>D$296*Entrant_age_breakdowns!$K84*$H$31</f>
        <v>10.834750256069213</v>
      </c>
      <c r="E327" s="447">
        <f>E$296*Entrant_age_breakdowns!$K84*$H$31</f>
        <v>11.65140318827703</v>
      </c>
      <c r="F327" s="447">
        <f>F$296*Entrant_age_breakdowns!$K84*$H$31</f>
        <v>11.608220896044875</v>
      </c>
      <c r="G327" s="447">
        <f>G$296*Entrant_age_breakdowns!$K84*$H$31</f>
        <v>11.406779620984871</v>
      </c>
      <c r="H327" s="447">
        <f>H$296*Entrant_age_breakdowns!$K84*$H$31</f>
        <v>11.144424738456237</v>
      </c>
      <c r="I327" s="447">
        <f>I$296*Entrant_age_breakdowns!$K84*$H$31</f>
        <v>11.762204663642532</v>
      </c>
      <c r="J327" s="447">
        <f>J$296*Entrant_age_breakdowns!$K84*$H$31</f>
        <v>12.163773120850237</v>
      </c>
      <c r="K327" s="447">
        <f>K$296*Entrant_age_breakdowns!$K84*$H$31</f>
        <v>11.584152637619864</v>
      </c>
      <c r="L327" s="447">
        <f>L$296*Entrant_age_breakdowns!$K84*$H$31</f>
        <v>11.219916238504577</v>
      </c>
      <c r="M327" s="447">
        <f>M$296*Entrant_age_breakdowns!$K84*$H$31</f>
        <v>11.443323101535228</v>
      </c>
      <c r="N327" s="447">
        <f>N$296*Entrant_age_breakdowns!$K84*$H$31</f>
        <v>11.516002967871897</v>
      </c>
    </row>
    <row r="328" spans="1:14">
      <c r="B328" s="331" t="str">
        <f t="shared" si="144"/>
        <v>65 plus</v>
      </c>
      <c r="C328" s="447">
        <f>C$296*Entrant_age_breakdowns!$K85*$H$31</f>
        <v>3.0171876096852386</v>
      </c>
      <c r="D328" s="447">
        <f>D$296*Entrant_age_breakdowns!$K85*$H$31</f>
        <v>3.2623257315638416</v>
      </c>
      <c r="E328" s="447">
        <f>E$296*Entrant_age_breakdowns!$K85*$H$31</f>
        <v>3.5082186050988122</v>
      </c>
      <c r="F328" s="447">
        <f>F$296*Entrant_age_breakdowns!$K85*$H$31</f>
        <v>3.4952164869357332</v>
      </c>
      <c r="G328" s="447">
        <f>G$296*Entrant_age_breakdowns!$K85*$H$31</f>
        <v>3.4345628456892112</v>
      </c>
      <c r="H328" s="447">
        <f>H$296*Entrant_age_breakdowns!$K85*$H$31</f>
        <v>3.3555682160164944</v>
      </c>
      <c r="I328" s="447">
        <f>I$296*Entrant_age_breakdowns!$K85*$H$31</f>
        <v>3.5415807496464113</v>
      </c>
      <c r="J328" s="447">
        <f>J$296*Entrant_age_breakdowns!$K85*$H$31</f>
        <v>3.6624923608946029</v>
      </c>
      <c r="K328" s="447">
        <f>K$296*Entrant_age_breakdowns!$K85*$H$31</f>
        <v>3.4879695733550662</v>
      </c>
      <c r="L328" s="447">
        <f>L$296*Entrant_age_breakdowns!$K85*$H$31</f>
        <v>3.3782985842577085</v>
      </c>
      <c r="M328" s="447">
        <f>M$296*Entrant_age_breakdowns!$K85*$H$31</f>
        <v>3.4455660284209548</v>
      </c>
      <c r="N328" s="447">
        <f>N$296*Entrant_age_breakdowns!$K85*$H$31</f>
        <v>3.4674498183111666</v>
      </c>
    </row>
    <row r="329" spans="1:14">
      <c r="B329" s="331" t="str">
        <f t="shared" si="144"/>
        <v>Total</v>
      </c>
      <c r="C329" s="447">
        <f>SUM(C319:C328)</f>
        <v>608.95504584501873</v>
      </c>
      <c r="D329" s="447">
        <f t="shared" ref="D329:N329" si="146">SUM(D319:D328)</f>
        <v>658.43095372948721</v>
      </c>
      <c r="E329" s="447">
        <f t="shared" si="146"/>
        <v>708.05919215781387</v>
      </c>
      <c r="F329" s="447">
        <f t="shared" si="146"/>
        <v>705.43499158219663</v>
      </c>
      <c r="G329" s="447">
        <f t="shared" si="146"/>
        <v>693.19334616134859</v>
      </c>
      <c r="H329" s="447">
        <f t="shared" si="146"/>
        <v>677.24996293272727</v>
      </c>
      <c r="I329" s="447">
        <f t="shared" si="146"/>
        <v>714.79263034284952</v>
      </c>
      <c r="J329" s="447">
        <f t="shared" si="146"/>
        <v>739.19606337249763</v>
      </c>
      <c r="K329" s="447">
        <f t="shared" si="146"/>
        <v>703.97235645218882</v>
      </c>
      <c r="L329" s="447">
        <f t="shared" si="146"/>
        <v>681.83760355208096</v>
      </c>
      <c r="M329" s="447">
        <f t="shared" si="146"/>
        <v>695.41410420216164</v>
      </c>
      <c r="N329" s="447">
        <f t="shared" si="146"/>
        <v>699.83088101546923</v>
      </c>
    </row>
    <row r="330" spans="1:14">
      <c r="A330" s="302">
        <f>SUM(C330:N330)</f>
        <v>0</v>
      </c>
      <c r="C330" s="302">
        <f t="shared" ref="C330:N330" si="147">SUM(C319:C328)-C329</f>
        <v>0</v>
      </c>
      <c r="D330" s="302">
        <f t="shared" si="147"/>
        <v>0</v>
      </c>
      <c r="E330" s="302">
        <f t="shared" si="147"/>
        <v>0</v>
      </c>
      <c r="F330" s="302">
        <f t="shared" si="147"/>
        <v>0</v>
      </c>
      <c r="G330" s="302">
        <f t="shared" si="147"/>
        <v>0</v>
      </c>
      <c r="H330" s="302">
        <f t="shared" si="147"/>
        <v>0</v>
      </c>
      <c r="I330" s="302">
        <f t="shared" si="147"/>
        <v>0</v>
      </c>
      <c r="J330" s="302">
        <f t="shared" si="147"/>
        <v>0</v>
      </c>
      <c r="K330" s="302">
        <f t="shared" si="147"/>
        <v>0</v>
      </c>
      <c r="L330" s="302">
        <f t="shared" si="147"/>
        <v>0</v>
      </c>
      <c r="M330" s="302">
        <f t="shared" si="147"/>
        <v>0</v>
      </c>
      <c r="N330" s="302">
        <f t="shared" si="147"/>
        <v>0</v>
      </c>
    </row>
    <row r="331" spans="1:14">
      <c r="C331" s="322">
        <f>C294</f>
        <v>784.26817674174765</v>
      </c>
      <c r="D331" s="322">
        <f t="shared" ref="D331:N331" si="148">D294</f>
        <v>847.98779009243503</v>
      </c>
      <c r="E331" s="322">
        <f t="shared" si="148"/>
        <v>911.90358869309921</v>
      </c>
      <c r="F331" s="322">
        <f t="shared" si="148"/>
        <v>908.52390243401271</v>
      </c>
      <c r="G331" s="322">
        <f t="shared" si="148"/>
        <v>892.75798834883585</v>
      </c>
      <c r="H331" s="322">
        <f t="shared" si="148"/>
        <v>872.22463669813271</v>
      </c>
      <c r="I331" s="322">
        <f t="shared" si="148"/>
        <v>920.57552814842188</v>
      </c>
      <c r="J331" s="322">
        <f t="shared" si="148"/>
        <v>952.00450810184907</v>
      </c>
      <c r="K331" s="322">
        <f t="shared" si="148"/>
        <v>906.640186723836</v>
      </c>
      <c r="L331" s="322">
        <f t="shared" si="148"/>
        <v>878.13302118174317</v>
      </c>
      <c r="M331" s="322">
        <f t="shared" si="148"/>
        <v>895.61808429768575</v>
      </c>
      <c r="N331" s="322">
        <f t="shared" si="148"/>
        <v>901.3064146959357</v>
      </c>
    </row>
    <row r="332" spans="1:14">
      <c r="C332" s="322">
        <f>C313+C329</f>
        <v>784.26817674174765</v>
      </c>
      <c r="D332" s="322">
        <f t="shared" ref="D332:N332" si="149">D313+D329</f>
        <v>847.98779009243503</v>
      </c>
      <c r="E332" s="322">
        <f t="shared" si="149"/>
        <v>911.90358869309932</v>
      </c>
      <c r="F332" s="322">
        <f t="shared" si="149"/>
        <v>908.5239024340126</v>
      </c>
      <c r="G332" s="322">
        <f t="shared" si="149"/>
        <v>892.75798834883585</v>
      </c>
      <c r="H332" s="322">
        <f t="shared" si="149"/>
        <v>872.22463669813271</v>
      </c>
      <c r="I332" s="322">
        <f t="shared" si="149"/>
        <v>920.57552814842188</v>
      </c>
      <c r="J332" s="322">
        <f t="shared" si="149"/>
        <v>952.00450810184918</v>
      </c>
      <c r="K332" s="322">
        <f t="shared" si="149"/>
        <v>906.64018672383588</v>
      </c>
      <c r="L332" s="322">
        <f t="shared" si="149"/>
        <v>878.13302118174306</v>
      </c>
      <c r="M332" s="322">
        <f t="shared" si="149"/>
        <v>895.61808429768575</v>
      </c>
      <c r="N332" s="322">
        <f t="shared" si="149"/>
        <v>901.3064146959357</v>
      </c>
    </row>
    <row r="333" spans="1:14">
      <c r="A333" s="302">
        <f>SUM(C333:L333)</f>
        <v>0</v>
      </c>
      <c r="C333" s="322">
        <f>C331-C332</f>
        <v>0</v>
      </c>
      <c r="D333" s="322">
        <f t="shared" ref="D333:K333" si="150">D331-D332</f>
        <v>0</v>
      </c>
      <c r="E333" s="322">
        <f t="shared" si="150"/>
        <v>0</v>
      </c>
      <c r="F333" s="322">
        <f t="shared" si="150"/>
        <v>0</v>
      </c>
      <c r="G333" s="322">
        <f t="shared" si="150"/>
        <v>0</v>
      </c>
      <c r="H333" s="322">
        <f t="shared" si="150"/>
        <v>0</v>
      </c>
      <c r="I333" s="322">
        <f t="shared" si="150"/>
        <v>0</v>
      </c>
      <c r="J333" s="322">
        <f t="shared" si="150"/>
        <v>0</v>
      </c>
      <c r="K333" s="322">
        <f t="shared" si="150"/>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1">C318</f>
        <v>2017/18</v>
      </c>
      <c r="D339" s="331" t="str">
        <f t="shared" si="151"/>
        <v>2018/19</v>
      </c>
      <c r="E339" s="331" t="str">
        <f t="shared" si="151"/>
        <v>2019/20</v>
      </c>
      <c r="F339" s="331" t="str">
        <f t="shared" si="151"/>
        <v>2020/21</v>
      </c>
      <c r="G339" s="331" t="str">
        <f t="shared" si="151"/>
        <v>2021/22</v>
      </c>
      <c r="H339" s="331" t="str">
        <f t="shared" si="151"/>
        <v>2022/23</v>
      </c>
      <c r="I339" s="331" t="str">
        <f t="shared" si="151"/>
        <v>2023/24</v>
      </c>
      <c r="J339" s="331" t="str">
        <f t="shared" si="151"/>
        <v>2024/25</v>
      </c>
      <c r="K339" s="331" t="str">
        <f t="shared" si="151"/>
        <v>2025/26</v>
      </c>
      <c r="L339" s="331" t="str">
        <f t="shared" si="151"/>
        <v>2026/27</v>
      </c>
      <c r="M339" s="331" t="str">
        <f t="shared" si="151"/>
        <v>2027/28</v>
      </c>
      <c r="N339" s="331" t="str">
        <f t="shared" si="151"/>
        <v>2028/29</v>
      </c>
    </row>
    <row r="340" spans="1:14">
      <c r="B340" s="331" t="str">
        <f t="shared" ref="B340:B350" si="152">B319</f>
        <v>20-24</v>
      </c>
      <c r="C340" s="447">
        <f t="shared" ref="C340:C349" si="153">C303+C247</f>
        <v>54.049499179047309</v>
      </c>
      <c r="D340" s="447">
        <f t="shared" ref="D340:N340" si="154">D303+D247</f>
        <v>86.802636743191101</v>
      </c>
      <c r="E340" s="447">
        <f t="shared" si="154"/>
        <v>113.27305636357345</v>
      </c>
      <c r="F340" s="447">
        <f t="shared" si="154"/>
        <v>131.87056708053251</v>
      </c>
      <c r="G340" s="447">
        <f t="shared" si="154"/>
        <v>144.05602076423332</v>
      </c>
      <c r="H340" s="447">
        <f t="shared" si="154"/>
        <v>151.45459936212183</v>
      </c>
      <c r="I340" s="447">
        <f t="shared" si="154"/>
        <v>159.43714404596656</v>
      </c>
      <c r="J340" s="447">
        <f t="shared" si="154"/>
        <v>166.85956602445521</v>
      </c>
      <c r="K340" s="447">
        <f t="shared" si="154"/>
        <v>169.48051262055162</v>
      </c>
      <c r="L340" s="447">
        <f t="shared" si="154"/>
        <v>169.68927809419066</v>
      </c>
      <c r="M340" s="447">
        <f t="shared" si="154"/>
        <v>170.8397021495575</v>
      </c>
      <c r="N340" s="447">
        <f t="shared" si="154"/>
        <v>171.97591084511711</v>
      </c>
    </row>
    <row r="341" spans="1:14">
      <c r="B341" s="331" t="str">
        <f t="shared" si="152"/>
        <v>25-29</v>
      </c>
      <c r="C341" s="447">
        <f t="shared" si="153"/>
        <v>138.98026969543898</v>
      </c>
      <c r="D341" s="447">
        <f t="shared" ref="D341:N341" si="155">D304+D248</f>
        <v>160.34886527551117</v>
      </c>
      <c r="E341" s="447">
        <f t="shared" si="155"/>
        <v>185.03725713308467</v>
      </c>
      <c r="F341" s="447">
        <f t="shared" si="155"/>
        <v>207.78065827565956</v>
      </c>
      <c r="G341" s="447">
        <f t="shared" si="155"/>
        <v>226.70056698420208</v>
      </c>
      <c r="H341" s="447">
        <f t="shared" si="155"/>
        <v>241.41018228800388</v>
      </c>
      <c r="I341" s="447">
        <f t="shared" si="155"/>
        <v>256.23838754364147</v>
      </c>
      <c r="J341" s="447">
        <f t="shared" si="155"/>
        <v>270.26691546647794</v>
      </c>
      <c r="K341" s="447">
        <f t="shared" si="155"/>
        <v>279.1159040435914</v>
      </c>
      <c r="L341" s="447">
        <f t="shared" si="155"/>
        <v>284.33078911138898</v>
      </c>
      <c r="M341" s="447">
        <f t="shared" si="155"/>
        <v>289.17063104747837</v>
      </c>
      <c r="N341" s="447">
        <f t="shared" si="155"/>
        <v>293.21823309699096</v>
      </c>
    </row>
    <row r="342" spans="1:14">
      <c r="B342" s="331" t="str">
        <f t="shared" si="152"/>
        <v>30-34</v>
      </c>
      <c r="C342" s="447">
        <f t="shared" si="153"/>
        <v>236.48340248030254</v>
      </c>
      <c r="D342" s="447">
        <f t="shared" ref="D342:N342" si="156">D305+D249</f>
        <v>226.70892876397127</v>
      </c>
      <c r="E342" s="447">
        <f t="shared" si="156"/>
        <v>224.71854827980982</v>
      </c>
      <c r="F342" s="447">
        <f t="shared" si="156"/>
        <v>228.01573635450637</v>
      </c>
      <c r="G342" s="447">
        <f t="shared" si="156"/>
        <v>234.23954294592878</v>
      </c>
      <c r="H342" s="447">
        <f t="shared" si="156"/>
        <v>241.7906850832872</v>
      </c>
      <c r="I342" s="447">
        <f t="shared" si="156"/>
        <v>251.55045034652471</v>
      </c>
      <c r="J342" s="447">
        <f t="shared" si="156"/>
        <v>262.48292309347596</v>
      </c>
      <c r="K342" s="447">
        <f t="shared" si="156"/>
        <v>271.90471278442629</v>
      </c>
      <c r="L342" s="447">
        <f t="shared" si="156"/>
        <v>279.72989575360765</v>
      </c>
      <c r="M342" s="447">
        <f t="shared" si="156"/>
        <v>287.02966875263019</v>
      </c>
      <c r="N342" s="447">
        <f t="shared" si="156"/>
        <v>293.52560504570681</v>
      </c>
    </row>
    <row r="343" spans="1:14">
      <c r="B343" s="331" t="str">
        <f t="shared" si="152"/>
        <v>35-39</v>
      </c>
      <c r="C343" s="447">
        <f t="shared" si="153"/>
        <v>285.6570891598015</v>
      </c>
      <c r="D343" s="447">
        <f t="shared" ref="D343:N343" si="157">D306+D250</f>
        <v>275.1368841561885</v>
      </c>
      <c r="E343" s="447">
        <f t="shared" si="157"/>
        <v>266.18852491018345</v>
      </c>
      <c r="F343" s="447">
        <f t="shared" si="157"/>
        <v>259.44371498455843</v>
      </c>
      <c r="G343" s="447">
        <f t="shared" si="157"/>
        <v>254.69879843783764</v>
      </c>
      <c r="H343" s="447">
        <f t="shared" si="157"/>
        <v>251.88191728430687</v>
      </c>
      <c r="I343" s="447">
        <f t="shared" si="157"/>
        <v>252.23949114106563</v>
      </c>
      <c r="J343" s="447">
        <f t="shared" si="157"/>
        <v>255.00153686917957</v>
      </c>
      <c r="K343" s="447">
        <f t="shared" si="157"/>
        <v>258.10446298927917</v>
      </c>
      <c r="L343" s="447">
        <f t="shared" si="157"/>
        <v>261.54559084363171</v>
      </c>
      <c r="M343" s="447">
        <f t="shared" si="157"/>
        <v>265.93877302740668</v>
      </c>
      <c r="N343" s="447">
        <f t="shared" si="157"/>
        <v>270.6864793512932</v>
      </c>
    </row>
    <row r="344" spans="1:14">
      <c r="B344" s="331" t="str">
        <f t="shared" si="152"/>
        <v>40-44</v>
      </c>
      <c r="C344" s="447">
        <f t="shared" si="153"/>
        <v>326.31577628166411</v>
      </c>
      <c r="D344" s="447">
        <f t="shared" ref="D344:N344" si="158">D307+D251</f>
        <v>309.5114081966131</v>
      </c>
      <c r="E344" s="447">
        <f t="shared" si="158"/>
        <v>295.49299354315843</v>
      </c>
      <c r="F344" s="447">
        <f t="shared" si="158"/>
        <v>283.88887661984688</v>
      </c>
      <c r="G344" s="447">
        <f t="shared" si="158"/>
        <v>273.79513293051747</v>
      </c>
      <c r="H344" s="447">
        <f t="shared" si="158"/>
        <v>265.09493745219254</v>
      </c>
      <c r="I344" s="447">
        <f t="shared" si="158"/>
        <v>259.0612893249496</v>
      </c>
      <c r="J344" s="447">
        <f t="shared" si="158"/>
        <v>255.26376799296972</v>
      </c>
      <c r="K344" s="447">
        <f t="shared" si="158"/>
        <v>252.12743508576574</v>
      </c>
      <c r="L344" s="447">
        <f t="shared" si="158"/>
        <v>249.85559436845062</v>
      </c>
      <c r="M344" s="447">
        <f t="shared" si="158"/>
        <v>249.14055230956399</v>
      </c>
      <c r="N344" s="447">
        <f t="shared" si="158"/>
        <v>249.52914802160896</v>
      </c>
    </row>
    <row r="345" spans="1:14">
      <c r="B345" s="331" t="str">
        <f t="shared" si="152"/>
        <v>45-49</v>
      </c>
      <c r="C345" s="447">
        <f t="shared" si="153"/>
        <v>284.94558275120153</v>
      </c>
      <c r="D345" s="447">
        <f t="shared" ref="D345:N345" si="159">D308+D252</f>
        <v>281.30856595720155</v>
      </c>
      <c r="E345" s="447">
        <f t="shared" si="159"/>
        <v>275.64695581479424</v>
      </c>
      <c r="F345" s="447">
        <f t="shared" si="159"/>
        <v>269.34633271405863</v>
      </c>
      <c r="G345" s="447">
        <f t="shared" si="159"/>
        <v>262.37782563279745</v>
      </c>
      <c r="H345" s="447">
        <f t="shared" si="159"/>
        <v>255.12534349989139</v>
      </c>
      <c r="I345" s="447">
        <f t="shared" si="159"/>
        <v>248.95460250252751</v>
      </c>
      <c r="J345" s="447">
        <f t="shared" si="159"/>
        <v>243.80877131477271</v>
      </c>
      <c r="K345" s="447">
        <f t="shared" si="159"/>
        <v>238.66830341782469</v>
      </c>
      <c r="L345" s="447">
        <f t="shared" si="159"/>
        <v>233.90587555652144</v>
      </c>
      <c r="M345" s="447">
        <f t="shared" si="159"/>
        <v>230.26891143005076</v>
      </c>
      <c r="N345" s="447">
        <f t="shared" si="159"/>
        <v>227.56285564863808</v>
      </c>
    </row>
    <row r="346" spans="1:14">
      <c r="B346" s="331" t="str">
        <f t="shared" si="152"/>
        <v>50-54</v>
      </c>
      <c r="C346" s="447">
        <f t="shared" si="153"/>
        <v>246.79817021769844</v>
      </c>
      <c r="D346" s="447">
        <f t="shared" ref="D346:N346" si="160">D309+D253</f>
        <v>235.35186423833568</v>
      </c>
      <c r="E346" s="447">
        <f t="shared" si="160"/>
        <v>226.53276558829532</v>
      </c>
      <c r="F346" s="447">
        <f t="shared" si="160"/>
        <v>219.62857870366867</v>
      </c>
      <c r="G346" s="447">
        <f t="shared" si="160"/>
        <v>213.43991029138945</v>
      </c>
      <c r="H346" s="447">
        <f t="shared" si="160"/>
        <v>207.58718923224447</v>
      </c>
      <c r="I346" s="447">
        <f t="shared" si="160"/>
        <v>202.68901900878902</v>
      </c>
      <c r="J346" s="447">
        <f t="shared" si="160"/>
        <v>198.47122358083706</v>
      </c>
      <c r="K346" s="447">
        <f t="shared" si="160"/>
        <v>194.06294612013716</v>
      </c>
      <c r="L346" s="447">
        <f t="shared" si="160"/>
        <v>189.70815157126086</v>
      </c>
      <c r="M346" s="447">
        <f t="shared" si="160"/>
        <v>185.97018434750731</v>
      </c>
      <c r="N346" s="447">
        <f t="shared" si="160"/>
        <v>182.7378853086766</v>
      </c>
    </row>
    <row r="347" spans="1:14">
      <c r="B347" s="331" t="str">
        <f t="shared" si="152"/>
        <v>55-59</v>
      </c>
      <c r="C347" s="447">
        <f t="shared" si="153"/>
        <v>148.87728198390772</v>
      </c>
      <c r="D347" s="447">
        <f t="shared" ref="D347:N347" si="161">D310+D254</f>
        <v>133.1562300865873</v>
      </c>
      <c r="E347" s="447">
        <f t="shared" si="161"/>
        <v>122.12449827418611</v>
      </c>
      <c r="F347" s="447">
        <f t="shared" si="161"/>
        <v>114.27034659128405</v>
      </c>
      <c r="G347" s="447">
        <f t="shared" si="161"/>
        <v>108.383717109899</v>
      </c>
      <c r="H347" s="447">
        <f t="shared" si="161"/>
        <v>103.75609583146452</v>
      </c>
      <c r="I347" s="447">
        <f t="shared" si="161"/>
        <v>100.43460615273207</v>
      </c>
      <c r="J347" s="447">
        <f t="shared" si="161"/>
        <v>97.921918555349421</v>
      </c>
      <c r="K347" s="447">
        <f t="shared" si="161"/>
        <v>95.445194711923705</v>
      </c>
      <c r="L347" s="447">
        <f t="shared" si="161"/>
        <v>93.083036615467051</v>
      </c>
      <c r="M347" s="447">
        <f t="shared" si="161"/>
        <v>91.129711511560885</v>
      </c>
      <c r="N347" s="447">
        <f t="shared" si="161"/>
        <v>89.43057798857383</v>
      </c>
    </row>
    <row r="348" spans="1:14">
      <c r="B348" s="331" t="str">
        <f t="shared" si="152"/>
        <v>60-64</v>
      </c>
      <c r="C348" s="447">
        <f t="shared" si="153"/>
        <v>52.464838440885998</v>
      </c>
      <c r="D348" s="447">
        <f t="shared" ref="D348:N348" si="162">D311+D255</f>
        <v>49.12305522048878</v>
      </c>
      <c r="E348" s="447">
        <f t="shared" si="162"/>
        <v>45.499114549638207</v>
      </c>
      <c r="F348" s="447">
        <f t="shared" si="162"/>
        <v>42.284753957365645</v>
      </c>
      <c r="G348" s="447">
        <f t="shared" si="162"/>
        <v>39.574630536253792</v>
      </c>
      <c r="H348" s="447">
        <f t="shared" si="162"/>
        <v>37.357184111663905</v>
      </c>
      <c r="I348" s="447">
        <f t="shared" si="162"/>
        <v>35.806688031741551</v>
      </c>
      <c r="J348" s="447">
        <f t="shared" si="162"/>
        <v>34.702810591807101</v>
      </c>
      <c r="K348" s="447">
        <f t="shared" si="162"/>
        <v>33.648783447887403</v>
      </c>
      <c r="L348" s="447">
        <f t="shared" si="162"/>
        <v>32.686902203721985</v>
      </c>
      <c r="M348" s="447">
        <f t="shared" si="162"/>
        <v>31.956066123068322</v>
      </c>
      <c r="N348" s="447">
        <f t="shared" si="162"/>
        <v>31.352530058971826</v>
      </c>
    </row>
    <row r="349" spans="1:14">
      <c r="B349" s="331" t="str">
        <f t="shared" si="152"/>
        <v>65 plus</v>
      </c>
      <c r="C349" s="447">
        <f t="shared" si="153"/>
        <v>14.912242571620897</v>
      </c>
      <c r="D349" s="447">
        <f t="shared" ref="D349:N349" si="163">D312+D256</f>
        <v>16.279997654801868</v>
      </c>
      <c r="E349" s="447">
        <f t="shared" si="163"/>
        <v>16.685769023339493</v>
      </c>
      <c r="F349" s="447">
        <f t="shared" si="163"/>
        <v>16.535248929396108</v>
      </c>
      <c r="G349" s="447">
        <f t="shared" si="163"/>
        <v>16.039978103210391</v>
      </c>
      <c r="H349" s="447">
        <f t="shared" si="163"/>
        <v>15.392539775488313</v>
      </c>
      <c r="I349" s="447">
        <f t="shared" si="163"/>
        <v>14.789095653899555</v>
      </c>
      <c r="J349" s="447">
        <f t="shared" si="163"/>
        <v>14.273736663732544</v>
      </c>
      <c r="K349" s="447">
        <f t="shared" si="163"/>
        <v>13.780166504062386</v>
      </c>
      <c r="L349" s="447">
        <f t="shared" si="163"/>
        <v>13.324392980161411</v>
      </c>
      <c r="M349" s="447">
        <f t="shared" si="163"/>
        <v>12.953419766158571</v>
      </c>
      <c r="N349" s="447">
        <f t="shared" si="163"/>
        <v>12.648279480683893</v>
      </c>
    </row>
    <row r="350" spans="1:14">
      <c r="B350" s="331" t="str">
        <f t="shared" si="152"/>
        <v>Total</v>
      </c>
      <c r="C350" s="447">
        <f t="shared" ref="C350:N350" si="164">SUM(C340:C349)</f>
        <v>1789.4841527615692</v>
      </c>
      <c r="D350" s="447">
        <f t="shared" si="164"/>
        <v>1773.7284362928904</v>
      </c>
      <c r="E350" s="447">
        <f t="shared" si="164"/>
        <v>1771.199483480063</v>
      </c>
      <c r="F350" s="447">
        <f t="shared" si="164"/>
        <v>1773.0648142108769</v>
      </c>
      <c r="G350" s="447">
        <f t="shared" si="164"/>
        <v>1773.3061237362695</v>
      </c>
      <c r="H350" s="447">
        <f t="shared" si="164"/>
        <v>1770.850673920665</v>
      </c>
      <c r="I350" s="447">
        <f t="shared" si="164"/>
        <v>1781.2007737518377</v>
      </c>
      <c r="J350" s="447">
        <f t="shared" si="164"/>
        <v>1799.053170153057</v>
      </c>
      <c r="K350" s="447">
        <f t="shared" si="164"/>
        <v>1806.3384217254497</v>
      </c>
      <c r="L350" s="447">
        <f t="shared" si="164"/>
        <v>1807.8595070984027</v>
      </c>
      <c r="M350" s="447">
        <f t="shared" si="164"/>
        <v>1814.3976204649823</v>
      </c>
      <c r="N350" s="447">
        <f t="shared" si="164"/>
        <v>1822.6675048462612</v>
      </c>
    </row>
    <row r="351" spans="1:14">
      <c r="A351" s="302">
        <f>SUM(C351:N351)</f>
        <v>0</v>
      </c>
      <c r="C351" s="302">
        <f t="shared" ref="C351:N351" si="165">SUM(C340:C349)-C350</f>
        <v>0</v>
      </c>
      <c r="D351" s="302">
        <f t="shared" si="165"/>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C365" si="168">C319+C263</f>
        <v>260.29607021631062</v>
      </c>
      <c r="D356" s="447">
        <f t="shared" ref="D356:N356" si="169">D319+D263</f>
        <v>352.85928281446184</v>
      </c>
      <c r="E356" s="447">
        <f t="shared" si="169"/>
        <v>430.4154470238874</v>
      </c>
      <c r="F356" s="447">
        <f t="shared" si="169"/>
        <v>483.86097764978558</v>
      </c>
      <c r="G356" s="447">
        <f t="shared" si="169"/>
        <v>518.31093534781928</v>
      </c>
      <c r="H356" s="447">
        <f t="shared" si="169"/>
        <v>538.44928392943939</v>
      </c>
      <c r="I356" s="447">
        <f t="shared" si="169"/>
        <v>562.25298746199837</v>
      </c>
      <c r="J356" s="447">
        <f t="shared" si="169"/>
        <v>585.26150014303346</v>
      </c>
      <c r="K356" s="447">
        <f t="shared" si="169"/>
        <v>592.40208277571469</v>
      </c>
      <c r="L356" s="447">
        <f t="shared" si="169"/>
        <v>591.74182098156984</v>
      </c>
      <c r="M356" s="447">
        <f t="shared" si="169"/>
        <v>594.76301697434974</v>
      </c>
      <c r="N356" s="447">
        <f t="shared" si="169"/>
        <v>598.0220436075831</v>
      </c>
    </row>
    <row r="357" spans="1:14">
      <c r="B357" s="331" t="str">
        <f t="shared" si="166"/>
        <v>25-29</v>
      </c>
      <c r="C357" s="447">
        <f t="shared" si="168"/>
        <v>712.9360681694983</v>
      </c>
      <c r="D357" s="447">
        <f t="shared" ref="D357:N357" si="170">D320+D264</f>
        <v>736.67592165560814</v>
      </c>
      <c r="E357" s="447">
        <f t="shared" si="170"/>
        <v>782.6468294719391</v>
      </c>
      <c r="F357" s="447">
        <f t="shared" si="170"/>
        <v>828.3981206344248</v>
      </c>
      <c r="G357" s="447">
        <f t="shared" si="170"/>
        <v>867.91976952582957</v>
      </c>
      <c r="H357" s="447">
        <f t="shared" si="170"/>
        <v>898.5354035265741</v>
      </c>
      <c r="I357" s="447">
        <f t="shared" si="170"/>
        <v>934.14429449338934</v>
      </c>
      <c r="J357" s="447">
        <f t="shared" si="170"/>
        <v>970.58150956999782</v>
      </c>
      <c r="K357" s="447">
        <f t="shared" si="170"/>
        <v>991.84704568267659</v>
      </c>
      <c r="L357" s="447">
        <f t="shared" si="170"/>
        <v>1002.708389422588</v>
      </c>
      <c r="M357" s="447">
        <f t="shared" si="170"/>
        <v>1013.9982939635817</v>
      </c>
      <c r="N357" s="447">
        <f t="shared" si="170"/>
        <v>1023.8627480288511</v>
      </c>
    </row>
    <row r="358" spans="1:14">
      <c r="B358" s="331" t="str">
        <f t="shared" si="166"/>
        <v>30-34</v>
      </c>
      <c r="C358" s="447">
        <f t="shared" si="168"/>
        <v>1045.3196757407286</v>
      </c>
      <c r="D358" s="447">
        <f t="shared" ref="D358:N358" si="171">D321+D265</f>
        <v>985.53257357554048</v>
      </c>
      <c r="E358" s="447">
        <f t="shared" si="171"/>
        <v>951.13332720339213</v>
      </c>
      <c r="F358" s="447">
        <f t="shared" si="171"/>
        <v>933.00455322668063</v>
      </c>
      <c r="G358" s="447">
        <f t="shared" si="171"/>
        <v>926.50330524103265</v>
      </c>
      <c r="H358" s="447">
        <f t="shared" si="171"/>
        <v>926.90676672374695</v>
      </c>
      <c r="I358" s="447">
        <f t="shared" si="171"/>
        <v>937.7034730196973</v>
      </c>
      <c r="J358" s="447">
        <f t="shared" si="171"/>
        <v>955.32917486745384</v>
      </c>
      <c r="K358" s="447">
        <f t="shared" si="171"/>
        <v>970.35484809985121</v>
      </c>
      <c r="L358" s="447">
        <f t="shared" si="171"/>
        <v>982.39488800784568</v>
      </c>
      <c r="M358" s="447">
        <f t="shared" si="171"/>
        <v>994.98521401653556</v>
      </c>
      <c r="N358" s="447">
        <f t="shared" si="171"/>
        <v>1006.8655404106687</v>
      </c>
    </row>
    <row r="359" spans="1:14">
      <c r="B359" s="331" t="str">
        <f t="shared" si="166"/>
        <v>35-39</v>
      </c>
      <c r="C359" s="447">
        <f t="shared" si="168"/>
        <v>1169.8965468341519</v>
      </c>
      <c r="D359" s="447">
        <f t="shared" ref="D359:N359" si="172">D322+D266</f>
        <v>1118.3190521382655</v>
      </c>
      <c r="E359" s="447">
        <f t="shared" si="172"/>
        <v>1072.6991183331056</v>
      </c>
      <c r="F359" s="447">
        <f t="shared" si="172"/>
        <v>1031.4821032578225</v>
      </c>
      <c r="G359" s="447">
        <f t="shared" si="172"/>
        <v>996.67437475889039</v>
      </c>
      <c r="H359" s="447">
        <f t="shared" si="172"/>
        <v>968.35378894669839</v>
      </c>
      <c r="I359" s="447">
        <f t="shared" si="172"/>
        <v>951.25781074210863</v>
      </c>
      <c r="J359" s="447">
        <f t="shared" si="172"/>
        <v>943.04533789495395</v>
      </c>
      <c r="K359" s="447">
        <f t="shared" si="172"/>
        <v>936.83121672188383</v>
      </c>
      <c r="L359" s="447">
        <f t="shared" si="172"/>
        <v>932.87775665563777</v>
      </c>
      <c r="M359" s="447">
        <f t="shared" si="172"/>
        <v>933.5015238824501</v>
      </c>
      <c r="N359" s="447">
        <f t="shared" si="172"/>
        <v>936.70149136705663</v>
      </c>
    </row>
    <row r="360" spans="1:14">
      <c r="B360" s="331" t="str">
        <f t="shared" si="166"/>
        <v>40-44</v>
      </c>
      <c r="C360" s="447">
        <f t="shared" si="168"/>
        <v>1102.9545227944375</v>
      </c>
      <c r="D360" s="447">
        <f t="shared" ref="D360:N360" si="173">D323+D267</f>
        <v>1081.7553732139422</v>
      </c>
      <c r="E360" s="447">
        <f t="shared" si="173"/>
        <v>1059.3707035274979</v>
      </c>
      <c r="F360" s="447">
        <f t="shared" si="173"/>
        <v>1033.2253795352096</v>
      </c>
      <c r="G360" s="447">
        <f t="shared" si="173"/>
        <v>1005.450855353378</v>
      </c>
      <c r="H360" s="447">
        <f t="shared" si="173"/>
        <v>977.34803444034378</v>
      </c>
      <c r="I360" s="447">
        <f t="shared" si="173"/>
        <v>954.65310426575729</v>
      </c>
      <c r="J360" s="447">
        <f t="shared" si="173"/>
        <v>936.89204961390203</v>
      </c>
      <c r="K360" s="447">
        <f t="shared" si="173"/>
        <v>919.41223009019154</v>
      </c>
      <c r="L360" s="447">
        <f t="shared" si="173"/>
        <v>903.59660001136842</v>
      </c>
      <c r="M360" s="447">
        <f t="shared" si="173"/>
        <v>892.39412514810522</v>
      </c>
      <c r="N360" s="447">
        <f t="shared" si="173"/>
        <v>884.65411113286189</v>
      </c>
    </row>
    <row r="361" spans="1:14">
      <c r="B361" s="331" t="str">
        <f t="shared" si="166"/>
        <v>45-49</v>
      </c>
      <c r="C361" s="447">
        <f t="shared" si="168"/>
        <v>889.15706325419319</v>
      </c>
      <c r="D361" s="447">
        <f t="shared" ref="D361:N361" si="174">D324+D268</f>
        <v>892.00031649360994</v>
      </c>
      <c r="E361" s="447">
        <f t="shared" si="174"/>
        <v>892.17811642961294</v>
      </c>
      <c r="F361" s="447">
        <f t="shared" si="174"/>
        <v>886.99511149995817</v>
      </c>
      <c r="G361" s="447">
        <f t="shared" si="174"/>
        <v>877.66840590947857</v>
      </c>
      <c r="H361" s="447">
        <f t="shared" si="174"/>
        <v>864.79052716403339</v>
      </c>
      <c r="I361" s="447">
        <f t="shared" si="174"/>
        <v>852.86994692820883</v>
      </c>
      <c r="J361" s="447">
        <f t="shared" si="174"/>
        <v>841.74226023184406</v>
      </c>
      <c r="K361" s="447">
        <f t="shared" si="174"/>
        <v>828.07860773702544</v>
      </c>
      <c r="L361" s="447">
        <f t="shared" si="174"/>
        <v>813.50520138704724</v>
      </c>
      <c r="M361" s="447">
        <f t="shared" si="174"/>
        <v>800.9730074630105</v>
      </c>
      <c r="N361" s="447">
        <f t="shared" si="174"/>
        <v>790.14346443332749</v>
      </c>
    </row>
    <row r="362" spans="1:14">
      <c r="B362" s="331" t="str">
        <f t="shared" si="166"/>
        <v>50-54</v>
      </c>
      <c r="C362" s="447">
        <f t="shared" si="168"/>
        <v>672.86771072751321</v>
      </c>
      <c r="D362" s="447">
        <f t="shared" ref="D362:N362" si="175">D325+D269</f>
        <v>667.25468530087483</v>
      </c>
      <c r="E362" s="447">
        <f t="shared" si="175"/>
        <v>665.21544903927986</v>
      </c>
      <c r="F362" s="447">
        <f t="shared" si="175"/>
        <v>662.86203643234398</v>
      </c>
      <c r="G362" s="447">
        <f t="shared" si="175"/>
        <v>659.67365157818188</v>
      </c>
      <c r="H362" s="447">
        <f t="shared" si="175"/>
        <v>654.97878603025322</v>
      </c>
      <c r="I362" s="447">
        <f t="shared" si="175"/>
        <v>651.25487432217858</v>
      </c>
      <c r="J362" s="447">
        <f t="shared" si="175"/>
        <v>647.73208855779944</v>
      </c>
      <c r="K362" s="447">
        <f t="shared" si="175"/>
        <v>641.52276511956245</v>
      </c>
      <c r="L362" s="447">
        <f t="shared" si="175"/>
        <v>633.61848398143331</v>
      </c>
      <c r="M362" s="447">
        <f t="shared" si="175"/>
        <v>626.13365105737773</v>
      </c>
      <c r="N362" s="447">
        <f t="shared" si="175"/>
        <v>618.84982849225162</v>
      </c>
    </row>
    <row r="363" spans="1:14">
      <c r="B363" s="331" t="str">
        <f t="shared" si="166"/>
        <v>55-59</v>
      </c>
      <c r="C363" s="447">
        <f t="shared" si="168"/>
        <v>308.412289906056</v>
      </c>
      <c r="D363" s="447">
        <f t="shared" ref="D363:N363" si="176">D326+D270</f>
        <v>310.70380103699927</v>
      </c>
      <c r="E363" s="447">
        <f t="shared" si="176"/>
        <v>312.46887005183163</v>
      </c>
      <c r="F363" s="447">
        <f t="shared" si="176"/>
        <v>312.84975318506662</v>
      </c>
      <c r="G363" s="447">
        <f t="shared" si="176"/>
        <v>312.32904190075686</v>
      </c>
      <c r="H363" s="447">
        <f t="shared" si="176"/>
        <v>311.01613452293168</v>
      </c>
      <c r="I363" s="447">
        <f t="shared" si="176"/>
        <v>310.72089846576358</v>
      </c>
      <c r="J363" s="447">
        <f t="shared" si="176"/>
        <v>310.76537304822187</v>
      </c>
      <c r="K363" s="447">
        <f t="shared" si="176"/>
        <v>309.12213187335306</v>
      </c>
      <c r="L363" s="447">
        <f t="shared" si="176"/>
        <v>306.47171236156555</v>
      </c>
      <c r="M363" s="447">
        <f t="shared" si="176"/>
        <v>304.10661155308662</v>
      </c>
      <c r="N363" s="447">
        <f t="shared" si="176"/>
        <v>301.68236010110803</v>
      </c>
    </row>
    <row r="364" spans="1:14">
      <c r="B364" s="331" t="str">
        <f t="shared" si="166"/>
        <v>60-64</v>
      </c>
      <c r="C364" s="447">
        <f t="shared" si="168"/>
        <v>111.63401150340323</v>
      </c>
      <c r="D364" s="447">
        <f t="shared" ref="D364:N364" si="177">D327+D271</f>
        <v>107.45768242626778</v>
      </c>
      <c r="E364" s="447">
        <f t="shared" si="177"/>
        <v>106.30727794913415</v>
      </c>
      <c r="F364" s="447">
        <f t="shared" si="177"/>
        <v>105.80588170236719</v>
      </c>
      <c r="G364" s="447">
        <f t="shared" si="177"/>
        <v>105.3969800330747</v>
      </c>
      <c r="H364" s="447">
        <f t="shared" si="177"/>
        <v>104.85928197091978</v>
      </c>
      <c r="I364" s="447">
        <f t="shared" si="177"/>
        <v>105.0347773696806</v>
      </c>
      <c r="J364" s="447">
        <f t="shared" si="177"/>
        <v>105.48828371902573</v>
      </c>
      <c r="K364" s="447">
        <f t="shared" si="177"/>
        <v>105.14597763141126</v>
      </c>
      <c r="L364" s="447">
        <f t="shared" si="177"/>
        <v>104.39707540328767</v>
      </c>
      <c r="M364" s="447">
        <f t="shared" si="177"/>
        <v>103.89953320111852</v>
      </c>
      <c r="N364" s="447">
        <f t="shared" si="177"/>
        <v>103.41608275367965</v>
      </c>
    </row>
    <row r="365" spans="1:14">
      <c r="B365" s="331" t="str">
        <f t="shared" si="166"/>
        <v>65 plus</v>
      </c>
      <c r="C365" s="447">
        <f t="shared" si="168"/>
        <v>26.595952408476062</v>
      </c>
      <c r="D365" s="447">
        <f t="shared" ref="D365:N365" si="178">D328+D272</f>
        <v>34.460321516540532</v>
      </c>
      <c r="E365" s="447">
        <f t="shared" si="178"/>
        <v>39.117139713259895</v>
      </c>
      <c r="F365" s="447">
        <f t="shared" si="178"/>
        <v>41.860804993650923</v>
      </c>
      <c r="G365" s="447">
        <f t="shared" si="178"/>
        <v>43.479803888574025</v>
      </c>
      <c r="H365" s="447">
        <f t="shared" si="178"/>
        <v>44.377584131894665</v>
      </c>
      <c r="I365" s="447">
        <f t="shared" si="178"/>
        <v>45.065729030708134</v>
      </c>
      <c r="J365" s="447">
        <f t="shared" si="178"/>
        <v>45.646202192408467</v>
      </c>
      <c r="K365" s="447">
        <f t="shared" si="178"/>
        <v>45.89815507772218</v>
      </c>
      <c r="L365" s="447">
        <f t="shared" si="178"/>
        <v>45.905077821644532</v>
      </c>
      <c r="M365" s="447">
        <f t="shared" si="178"/>
        <v>45.881571047377967</v>
      </c>
      <c r="N365" s="447">
        <f t="shared" si="178"/>
        <v>45.825288873261073</v>
      </c>
    </row>
    <row r="366" spans="1:14">
      <c r="B366" s="331" t="str">
        <f t="shared" si="166"/>
        <v>Total</v>
      </c>
      <c r="C366" s="447">
        <f t="shared" ref="C366:N366" si="179">SUM(C356:C365)</f>
        <v>6300.0699115547695</v>
      </c>
      <c r="D366" s="447">
        <f t="shared" si="179"/>
        <v>6287.0190101721109</v>
      </c>
      <c r="E366" s="447">
        <f t="shared" si="179"/>
        <v>6311.5522787429409</v>
      </c>
      <c r="F366" s="447">
        <f t="shared" si="179"/>
        <v>6320.3447221173101</v>
      </c>
      <c r="G366" s="447">
        <f t="shared" si="179"/>
        <v>6313.4071235370166</v>
      </c>
      <c r="H366" s="447">
        <f t="shared" si="179"/>
        <v>6289.6155913868361</v>
      </c>
      <c r="I366" s="447">
        <f t="shared" si="179"/>
        <v>6304.9578960994913</v>
      </c>
      <c r="J366" s="447">
        <f t="shared" si="179"/>
        <v>6342.4837798386388</v>
      </c>
      <c r="K366" s="447">
        <f t="shared" si="179"/>
        <v>6340.6150608093931</v>
      </c>
      <c r="L366" s="447">
        <f t="shared" si="179"/>
        <v>6317.2170060339877</v>
      </c>
      <c r="M366" s="447">
        <f t="shared" si="179"/>
        <v>6310.6365483069931</v>
      </c>
      <c r="N366" s="447">
        <f t="shared" si="179"/>
        <v>6310.0229592006499</v>
      </c>
    </row>
    <row r="367" spans="1:14">
      <c r="A367" s="302">
        <f>SUM(C367:N367)</f>
        <v>0</v>
      </c>
      <c r="C367" s="302">
        <f t="shared" ref="C367:N367" si="180">SUM(C356:C365)-C366</f>
        <v>0</v>
      </c>
      <c r="D367" s="302">
        <f t="shared" si="180"/>
        <v>0</v>
      </c>
      <c r="E367" s="302">
        <f t="shared" si="180"/>
        <v>0</v>
      </c>
      <c r="F367" s="302">
        <f t="shared" si="180"/>
        <v>0</v>
      </c>
      <c r="G367" s="302">
        <f t="shared" si="180"/>
        <v>0</v>
      </c>
      <c r="H367" s="302">
        <f t="shared" si="180"/>
        <v>0</v>
      </c>
      <c r="I367" s="302">
        <f t="shared" si="180"/>
        <v>0</v>
      </c>
      <c r="J367" s="302">
        <f t="shared" si="180"/>
        <v>0</v>
      </c>
      <c r="K367" s="302">
        <f t="shared" si="180"/>
        <v>0</v>
      </c>
      <c r="L367" s="302">
        <f t="shared" si="180"/>
        <v>0</v>
      </c>
      <c r="M367" s="302">
        <f t="shared" si="180"/>
        <v>0</v>
      </c>
      <c r="N367" s="302">
        <f t="shared" si="180"/>
        <v>0</v>
      </c>
    </row>
    <row r="368" spans="1:14">
      <c r="C368" s="322">
        <f>C350+C366</f>
        <v>8089.5540643163386</v>
      </c>
      <c r="D368" s="322">
        <f t="shared" ref="D368:N368" si="181">D350+D366</f>
        <v>8060.7474464650013</v>
      </c>
      <c r="E368" s="322">
        <f t="shared" si="181"/>
        <v>8082.7517622230043</v>
      </c>
      <c r="F368" s="322">
        <f t="shared" si="181"/>
        <v>8093.4095363281867</v>
      </c>
      <c r="G368" s="322">
        <f t="shared" si="181"/>
        <v>8086.7132472732865</v>
      </c>
      <c r="H368" s="322">
        <f t="shared" si="181"/>
        <v>8060.4662653075011</v>
      </c>
      <c r="I368" s="322">
        <f t="shared" si="181"/>
        <v>8086.1586698513293</v>
      </c>
      <c r="J368" s="322">
        <f t="shared" si="181"/>
        <v>8141.536949991696</v>
      </c>
      <c r="K368" s="322">
        <f t="shared" si="181"/>
        <v>8146.9534825348428</v>
      </c>
      <c r="L368" s="322">
        <f t="shared" si="181"/>
        <v>8125.0765131323906</v>
      </c>
      <c r="M368" s="322">
        <f t="shared" si="181"/>
        <v>8125.0341687719756</v>
      </c>
      <c r="N368" s="322">
        <f t="shared" si="181"/>
        <v>8132.6904640469111</v>
      </c>
    </row>
    <row r="369" spans="1:14">
      <c r="C369" s="322">
        <f>C36</f>
        <v>8089.5540643163376</v>
      </c>
      <c r="D369" s="322">
        <f t="shared" ref="D369:N369" si="182">D36</f>
        <v>8060.7474464650004</v>
      </c>
      <c r="E369" s="322">
        <f t="shared" si="182"/>
        <v>8082.7517622230034</v>
      </c>
      <c r="F369" s="322">
        <f t="shared" si="182"/>
        <v>8093.4095363281858</v>
      </c>
      <c r="G369" s="322">
        <f t="shared" si="182"/>
        <v>8086.7132472732837</v>
      </c>
      <c r="H369" s="322">
        <f t="shared" si="182"/>
        <v>8060.4662653074993</v>
      </c>
      <c r="I369" s="322">
        <f t="shared" si="182"/>
        <v>8086.1586698513274</v>
      </c>
      <c r="J369" s="322">
        <f t="shared" si="182"/>
        <v>8141.5369499916969</v>
      </c>
      <c r="K369" s="322">
        <f t="shared" si="182"/>
        <v>8146.953482534841</v>
      </c>
      <c r="L369" s="322">
        <f t="shared" si="182"/>
        <v>8125.0765131323897</v>
      </c>
      <c r="M369" s="322">
        <f t="shared" si="182"/>
        <v>8125.0341687719756</v>
      </c>
      <c r="N369" s="322">
        <f t="shared" si="182"/>
        <v>8132.6904640469102</v>
      </c>
    </row>
    <row r="370" spans="1:14">
      <c r="A370" s="302">
        <f>SUM(C370:L370)</f>
        <v>0</v>
      </c>
      <c r="C370" s="322">
        <f>C368-C369</f>
        <v>0</v>
      </c>
      <c r="D370" s="322">
        <f t="shared" ref="D370:N370" si="183">D368-D369</f>
        <v>0</v>
      </c>
      <c r="E370" s="322">
        <f t="shared" si="183"/>
        <v>0</v>
      </c>
      <c r="F370" s="322">
        <f t="shared" si="183"/>
        <v>0</v>
      </c>
      <c r="G370" s="322">
        <f t="shared" si="183"/>
        <v>0</v>
      </c>
      <c r="H370" s="322">
        <f t="shared" si="183"/>
        <v>0</v>
      </c>
      <c r="I370" s="322">
        <f t="shared" si="183"/>
        <v>0</v>
      </c>
      <c r="J370" s="322">
        <f t="shared" si="183"/>
        <v>0</v>
      </c>
      <c r="K370" s="322">
        <f t="shared" si="183"/>
        <v>0</v>
      </c>
      <c r="L370" s="322">
        <f t="shared" si="183"/>
        <v>0</v>
      </c>
      <c r="M370" s="322">
        <f t="shared" si="183"/>
        <v>0</v>
      </c>
      <c r="N370" s="322">
        <f t="shared" si="183"/>
        <v>0</v>
      </c>
    </row>
    <row r="371" spans="1:14">
      <c r="A371" s="302">
        <f>SUM(C371:N371)</f>
        <v>0</v>
      </c>
      <c r="C371" s="322">
        <f>IF(C294&gt;0,0,C294)</f>
        <v>0</v>
      </c>
      <c r="D371" s="322">
        <f t="shared" ref="D371:N371" si="184">IF(D294&gt;0,0,D294)</f>
        <v>0</v>
      </c>
      <c r="E371" s="322">
        <f t="shared" si="184"/>
        <v>0</v>
      </c>
      <c r="F371" s="322">
        <f t="shared" si="184"/>
        <v>0</v>
      </c>
      <c r="G371" s="322">
        <f t="shared" si="184"/>
        <v>0</v>
      </c>
      <c r="H371" s="322">
        <f t="shared" si="184"/>
        <v>0</v>
      </c>
      <c r="I371" s="322">
        <f t="shared" si="184"/>
        <v>0</v>
      </c>
      <c r="J371" s="322">
        <f t="shared" si="184"/>
        <v>0</v>
      </c>
      <c r="K371" s="322">
        <f t="shared" si="184"/>
        <v>0</v>
      </c>
      <c r="L371" s="322">
        <f t="shared" si="184"/>
        <v>0</v>
      </c>
      <c r="M371" s="322">
        <f t="shared" si="184"/>
        <v>0</v>
      </c>
      <c r="N371" s="322">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R371"/>
  <sheetViews>
    <sheetView showGridLines="0" zoomScaleNormal="100" workbookViewId="0"/>
  </sheetViews>
  <sheetFormatPr defaultColWidth="9.140625" defaultRowHeight="12.75"/>
  <cols>
    <col min="1" max="1" width="9.140625" style="302"/>
    <col min="2" max="2" width="28.7109375" style="302" customWidth="1"/>
    <col min="3" max="16" width="10.7109375" style="302" customWidth="1"/>
    <col min="17"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269</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Forecast_stock_figures!B17</f>
        <v>Biology</v>
      </c>
      <c r="C15" s="300">
        <f>Forecast_stock_figures!C41</f>
        <v>11979.841967436023</v>
      </c>
      <c r="D15" s="300">
        <f>Forecast_stock_figures!D41</f>
        <v>12318.6629831685</v>
      </c>
      <c r="E15" s="300">
        <f>Forecast_stock_figures!E41</f>
        <v>12430.855335898372</v>
      </c>
      <c r="F15" s="300">
        <f>Forecast_stock_figures!F41</f>
        <v>12542.486134861922</v>
      </c>
      <c r="G15" s="300">
        <f>Forecast_stock_figures!G41</f>
        <v>12643.543720995483</v>
      </c>
      <c r="H15" s="300">
        <f>Forecast_stock_figures!H41</f>
        <v>12764.282686945471</v>
      </c>
      <c r="I15" s="300">
        <f>Forecast_stock_figures!I41</f>
        <v>12906.83001619469</v>
      </c>
      <c r="J15" s="300">
        <f>Forecast_stock_figures!J41</f>
        <v>13058.37584260101</v>
      </c>
      <c r="K15" s="300">
        <f>Forecast_stock_figures!K41</f>
        <v>13161.944557002342</v>
      </c>
      <c r="L15" s="300">
        <f>Forecast_stock_figures!L41</f>
        <v>13230.669606666757</v>
      </c>
      <c r="M15" s="300">
        <f>Forecast_stock_figures!M41</f>
        <v>13263.185365824398</v>
      </c>
      <c r="N15" s="300">
        <f>Forecast_stock_figures!N41</f>
        <v>13249.674498322198</v>
      </c>
    </row>
    <row r="17" spans="1:9" ht="15.75">
      <c r="B17" s="333" t="s">
        <v>162</v>
      </c>
    </row>
    <row r="19" spans="1:9">
      <c r="B19" s="1327" t="str">
        <f>Stock_ages_breakdowns!B73</f>
        <v>Age group</v>
      </c>
      <c r="C19" s="1328" t="str">
        <f>Stock_ages_breakdowns!E73</f>
        <v>Biology</v>
      </c>
      <c r="D19" s="1329"/>
      <c r="H19" s="318" t="s">
        <v>133</v>
      </c>
    </row>
    <row r="20" spans="1:9">
      <c r="B20" s="1327"/>
      <c r="C20" s="356" t="str">
        <f>Stock_ages_breakdowns!E74</f>
        <v>Male</v>
      </c>
      <c r="D20" s="356" t="str">
        <f>Stock_ages_breakdowns!D74:E74</f>
        <v>Female</v>
      </c>
    </row>
    <row r="21" spans="1:9">
      <c r="B21" s="356" t="str">
        <f>Stock_ages_breakdowns!B75</f>
        <v>20-24</v>
      </c>
      <c r="C21" s="324">
        <f>Stock_ages_breakdowns!E20</f>
        <v>151.08241180297935</v>
      </c>
      <c r="D21" s="324">
        <f>Stock_ages_breakdowns!F20</f>
        <v>416.40402224268672</v>
      </c>
    </row>
    <row r="22" spans="1:9">
      <c r="B22" s="356" t="str">
        <f>Stock_ages_breakdowns!B76</f>
        <v>25-29</v>
      </c>
      <c r="C22" s="324">
        <f>Stock_ages_breakdowns!E21</f>
        <v>513.51755639254691</v>
      </c>
      <c r="D22" s="324">
        <f>Stock_ages_breakdowns!F21</f>
        <v>1401.7797042874154</v>
      </c>
    </row>
    <row r="23" spans="1:9">
      <c r="B23" s="356" t="str">
        <f>Stock_ages_breakdowns!B77</f>
        <v>30-34</v>
      </c>
      <c r="C23" s="324">
        <f>Stock_ages_breakdowns!E22</f>
        <v>662.87037623243725</v>
      </c>
      <c r="D23" s="324">
        <f>Stock_ages_breakdowns!F22</f>
        <v>1707.9094697473804</v>
      </c>
    </row>
    <row r="24" spans="1:9">
      <c r="B24" s="356" t="str">
        <f>Stock_ages_breakdowns!B78</f>
        <v>35-39</v>
      </c>
      <c r="C24" s="324">
        <f>Stock_ages_breakdowns!E23</f>
        <v>676.25243055252679</v>
      </c>
      <c r="D24" s="324">
        <f>Stock_ages_breakdowns!F23</f>
        <v>1527.17462086094</v>
      </c>
    </row>
    <row r="25" spans="1:9">
      <c r="B25" s="356" t="str">
        <f>Stock_ages_breakdowns!B79</f>
        <v>40-44</v>
      </c>
      <c r="C25" s="324">
        <f>Stock_ages_breakdowns!E24</f>
        <v>572.26359308673977</v>
      </c>
      <c r="D25" s="324">
        <f>Stock_ages_breakdowns!F24</f>
        <v>1269.7508461021355</v>
      </c>
    </row>
    <row r="26" spans="1:9">
      <c r="B26" s="356" t="str">
        <f>Stock_ages_breakdowns!B80</f>
        <v>45-49</v>
      </c>
      <c r="C26" s="324">
        <f>Stock_ages_breakdowns!E25</f>
        <v>407.50168121205701</v>
      </c>
      <c r="D26" s="324">
        <f>Stock_ages_breakdowns!F25</f>
        <v>881.15449638239465</v>
      </c>
    </row>
    <row r="27" spans="1:9">
      <c r="B27" s="356" t="str">
        <f>Stock_ages_breakdowns!B81</f>
        <v>50-54</v>
      </c>
      <c r="C27" s="324">
        <f>Stock_ages_breakdowns!E26</f>
        <v>306.32605962601349</v>
      </c>
      <c r="D27" s="324">
        <f>Stock_ages_breakdowns!F26</f>
        <v>604.75929107535978</v>
      </c>
    </row>
    <row r="28" spans="1:9">
      <c r="B28" s="356" t="str">
        <f>Stock_ages_breakdowns!B82</f>
        <v>55-59</v>
      </c>
      <c r="C28" s="324">
        <f>Stock_ages_breakdowns!E27</f>
        <v>230.18795921960134</v>
      </c>
      <c r="D28" s="324">
        <f>Stock_ages_breakdowns!F27</f>
        <v>427.57576419303831</v>
      </c>
    </row>
    <row r="29" spans="1:9">
      <c r="B29" s="356" t="str">
        <f>Stock_ages_breakdowns!B83</f>
        <v>60-64</v>
      </c>
      <c r="C29" s="324">
        <f>Stock_ages_breakdowns!E28</f>
        <v>56.874231610803641</v>
      </c>
      <c r="D29" s="324">
        <f>Stock_ages_breakdowns!F28</f>
        <v>139.73540720437038</v>
      </c>
      <c r="F29" s="318"/>
    </row>
    <row r="30" spans="1:9">
      <c r="B30" s="356" t="str">
        <f>Stock_ages_breakdowns!B84</f>
        <v>65 plus</v>
      </c>
      <c r="C30" s="324">
        <f>Stock_ages_breakdowns!E29</f>
        <v>8.4777046714232132</v>
      </c>
      <c r="D30" s="324">
        <f>Stock_ages_breakdowns!F29</f>
        <v>18.244340933173852</v>
      </c>
      <c r="G30" s="319" t="s">
        <v>46</v>
      </c>
      <c r="H30" s="319" t="s">
        <v>47</v>
      </c>
    </row>
    <row r="31" spans="1:9">
      <c r="A31" s="302">
        <f>I31</f>
        <v>0</v>
      </c>
      <c r="B31" s="356" t="str">
        <f>Stock_ages_breakdowns!B85</f>
        <v>Total</v>
      </c>
      <c r="C31" s="324">
        <f>Stock_ages_breakdowns!E30</f>
        <v>3585.3540044071283</v>
      </c>
      <c r="D31" s="324">
        <f>Stock_ages_breakdowns!F30</f>
        <v>8394.4879630288942</v>
      </c>
      <c r="E31" s="320">
        <f>SUM(C31:D31)</f>
        <v>11979.841967436023</v>
      </c>
      <c r="G31" s="359">
        <f>C31/$E$31</f>
        <v>0.29928224547143012</v>
      </c>
      <c r="H31" s="359">
        <f>D31/$E$31</f>
        <v>0.70071775452856988</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Biology</v>
      </c>
      <c r="C36" s="300">
        <f>Teacher_need_by_subject!C624</f>
        <v>12318.6629831685</v>
      </c>
      <c r="D36" s="300">
        <f>Teacher_need_by_subject!D624</f>
        <v>12430.855335898372</v>
      </c>
      <c r="E36" s="300">
        <f>Teacher_need_by_subject!E624</f>
        <v>12542.486134861922</v>
      </c>
      <c r="F36" s="300">
        <f>Teacher_need_by_subject!F624</f>
        <v>12643.543720995483</v>
      </c>
      <c r="G36" s="300">
        <f>Teacher_need_by_subject!G624</f>
        <v>12764.282686945471</v>
      </c>
      <c r="H36" s="300">
        <f>Teacher_need_by_subject!H624</f>
        <v>12906.83001619469</v>
      </c>
      <c r="I36" s="300">
        <f>Teacher_need_by_subject!I624</f>
        <v>13058.37584260101</v>
      </c>
      <c r="J36" s="300">
        <f>Teacher_need_by_subject!J624</f>
        <v>13161.944557002342</v>
      </c>
      <c r="K36" s="300">
        <f>Teacher_need_by_subject!K624</f>
        <v>13230.669606666757</v>
      </c>
      <c r="L36" s="300">
        <f>Teacher_need_by_subject!L624</f>
        <v>13263.185365824398</v>
      </c>
      <c r="M36" s="300">
        <f>Teacher_need_by_subject!M624</f>
        <v>13249.674498322198</v>
      </c>
      <c r="N36" s="300">
        <f>Teacher_need_by_subject!N624</f>
        <v>13195.732739952964</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151.08241180297935</v>
      </c>
      <c r="D43" s="300">
        <f>C340</f>
        <v>233.42389314248999</v>
      </c>
      <c r="E43" s="300">
        <f t="shared" ref="E43:L43" si="2">D340</f>
        <v>273.79962163999852</v>
      </c>
      <c r="F43" s="300">
        <f t="shared" si="2"/>
        <v>302.12057681274604</v>
      </c>
      <c r="G43" s="300">
        <f t="shared" si="2"/>
        <v>322.14229481450423</v>
      </c>
      <c r="H43" s="300">
        <f t="shared" si="2"/>
        <v>337.9339426820485</v>
      </c>
      <c r="I43" s="300">
        <f t="shared" si="2"/>
        <v>351.34336895941726</v>
      </c>
      <c r="J43" s="300">
        <f t="shared" si="2"/>
        <v>362.43322431419892</v>
      </c>
      <c r="K43" s="300">
        <f t="shared" si="2"/>
        <v>367.70136278951554</v>
      </c>
      <c r="L43" s="300">
        <f t="shared" si="2"/>
        <v>369.65730378509858</v>
      </c>
      <c r="M43" s="300">
        <f>L340</f>
        <v>368.96789126341224</v>
      </c>
      <c r="N43" s="300">
        <f>M340</f>
        <v>365.40952193618472</v>
      </c>
    </row>
    <row r="44" spans="2:14">
      <c r="B44" s="356" t="str">
        <f t="shared" ref="B44:C53" si="3">B22</f>
        <v>25-29</v>
      </c>
      <c r="C44" s="300">
        <f t="shared" si="3"/>
        <v>513.51755639254691</v>
      </c>
      <c r="D44" s="300">
        <f t="shared" ref="D44:L53" si="4">C341</f>
        <v>520.22462019633031</v>
      </c>
      <c r="E44" s="300">
        <f t="shared" si="4"/>
        <v>526.47385951895944</v>
      </c>
      <c r="F44" s="300">
        <f t="shared" si="4"/>
        <v>538.88610174489338</v>
      </c>
      <c r="G44" s="300">
        <f t="shared" si="4"/>
        <v>554.35599773790898</v>
      </c>
      <c r="H44" s="300">
        <f t="shared" si="4"/>
        <v>571.33344594439939</v>
      </c>
      <c r="I44" s="300">
        <f t="shared" si="4"/>
        <v>589.02177673685492</v>
      </c>
      <c r="J44" s="300">
        <f t="shared" si="4"/>
        <v>606.01601500981974</v>
      </c>
      <c r="K44" s="300">
        <f t="shared" si="4"/>
        <v>617.73244134253616</v>
      </c>
      <c r="L44" s="300">
        <f t="shared" ref="L44:L52" si="5">K341</f>
        <v>625.27588447453331</v>
      </c>
      <c r="M44" s="300">
        <f t="shared" ref="M44:M53" si="6">L341</f>
        <v>628.85400564175598</v>
      </c>
      <c r="N44" s="300">
        <f t="shared" ref="N44:N53" si="7">M341</f>
        <v>628.05305975718727</v>
      </c>
    </row>
    <row r="45" spans="2:14">
      <c r="B45" s="356" t="str">
        <f t="shared" si="3"/>
        <v>30-34</v>
      </c>
      <c r="C45" s="300">
        <f t="shared" si="3"/>
        <v>662.87037623243725</v>
      </c>
      <c r="D45" s="300">
        <f t="shared" si="4"/>
        <v>641.79436470353801</v>
      </c>
      <c r="E45" s="300">
        <f t="shared" si="4"/>
        <v>622.41761495229684</v>
      </c>
      <c r="F45" s="300">
        <f t="shared" si="4"/>
        <v>609.04771277535644</v>
      </c>
      <c r="G45" s="300">
        <f t="shared" si="4"/>
        <v>603.0120628275165</v>
      </c>
      <c r="H45" s="300">
        <f t="shared" si="4"/>
        <v>602.79244148737109</v>
      </c>
      <c r="I45" s="300">
        <f t="shared" si="4"/>
        <v>607.26707590609089</v>
      </c>
      <c r="J45" s="300">
        <f t="shared" si="4"/>
        <v>614.89472176788161</v>
      </c>
      <c r="K45" s="300">
        <f t="shared" si="4"/>
        <v>622.50491394834989</v>
      </c>
      <c r="L45" s="300">
        <f t="shared" si="5"/>
        <v>629.39914636803564</v>
      </c>
      <c r="M45" s="300">
        <f t="shared" si="6"/>
        <v>634.77519062986903</v>
      </c>
      <c r="N45" s="300">
        <f t="shared" si="7"/>
        <v>637.75334882959385</v>
      </c>
    </row>
    <row r="46" spans="2:14">
      <c r="B46" s="356" t="str">
        <f t="shared" si="3"/>
        <v>35-39</v>
      </c>
      <c r="C46" s="300">
        <f t="shared" si="3"/>
        <v>676.25243055252679</v>
      </c>
      <c r="D46" s="300">
        <f t="shared" si="4"/>
        <v>662.95957163288585</v>
      </c>
      <c r="E46" s="300">
        <f t="shared" si="4"/>
        <v>646.09866502998375</v>
      </c>
      <c r="F46" s="300">
        <f t="shared" si="4"/>
        <v>629.38097813409092</v>
      </c>
      <c r="G46" s="300">
        <f t="shared" si="4"/>
        <v>616.13036257504018</v>
      </c>
      <c r="H46" s="300">
        <f t="shared" si="4"/>
        <v>606.39186483114918</v>
      </c>
      <c r="I46" s="300">
        <f t="shared" si="4"/>
        <v>600.41701863038952</v>
      </c>
      <c r="J46" s="300">
        <f t="shared" si="4"/>
        <v>597.75091703656585</v>
      </c>
      <c r="K46" s="300">
        <f t="shared" si="4"/>
        <v>596.44284720794872</v>
      </c>
      <c r="L46" s="300">
        <f t="shared" si="5"/>
        <v>596.31044654581422</v>
      </c>
      <c r="M46" s="300">
        <f t="shared" si="6"/>
        <v>596.72436640953129</v>
      </c>
      <c r="N46" s="300">
        <f t="shared" si="7"/>
        <v>596.83064882807025</v>
      </c>
    </row>
    <row r="47" spans="2:14">
      <c r="B47" s="356" t="str">
        <f t="shared" si="3"/>
        <v>40-44</v>
      </c>
      <c r="C47" s="300">
        <f t="shared" si="3"/>
        <v>572.26359308673977</v>
      </c>
      <c r="D47" s="300">
        <f t="shared" si="4"/>
        <v>588.34952591992146</v>
      </c>
      <c r="E47" s="300">
        <f t="shared" si="4"/>
        <v>594.73045359360526</v>
      </c>
      <c r="F47" s="300">
        <f t="shared" si="4"/>
        <v>595.61317629316</v>
      </c>
      <c r="G47" s="300">
        <f t="shared" si="4"/>
        <v>594.32989196202936</v>
      </c>
      <c r="H47" s="300">
        <f t="shared" si="4"/>
        <v>591.8158760337808</v>
      </c>
      <c r="I47" s="300">
        <f t="shared" si="4"/>
        <v>589.16883831084738</v>
      </c>
      <c r="J47" s="300">
        <f t="shared" si="4"/>
        <v>586.86993466728779</v>
      </c>
      <c r="K47" s="300">
        <f t="shared" si="4"/>
        <v>584.03911292298653</v>
      </c>
      <c r="L47" s="300">
        <f t="shared" si="5"/>
        <v>581.22988858322537</v>
      </c>
      <c r="M47" s="300">
        <f t="shared" si="6"/>
        <v>578.49859408440761</v>
      </c>
      <c r="N47" s="300">
        <f t="shared" si="7"/>
        <v>575.55644199062954</v>
      </c>
    </row>
    <row r="48" spans="2:14">
      <c r="B48" s="356" t="str">
        <f t="shared" si="3"/>
        <v>45-49</v>
      </c>
      <c r="C48" s="300">
        <f t="shared" si="3"/>
        <v>407.50168121205701</v>
      </c>
      <c r="D48" s="300">
        <f t="shared" si="4"/>
        <v>430.30892808054045</v>
      </c>
      <c r="E48" s="300">
        <f t="shared" si="4"/>
        <v>447.41068108686039</v>
      </c>
      <c r="F48" s="300">
        <f t="shared" si="4"/>
        <v>459.98617749014448</v>
      </c>
      <c r="G48" s="300">
        <f t="shared" si="4"/>
        <v>470.27241700290813</v>
      </c>
      <c r="H48" s="300">
        <f t="shared" si="4"/>
        <v>478.13661085952253</v>
      </c>
      <c r="I48" s="300">
        <f t="shared" si="4"/>
        <v>484.14016242997718</v>
      </c>
      <c r="J48" s="300">
        <f t="shared" si="4"/>
        <v>488.58352313450058</v>
      </c>
      <c r="K48" s="300">
        <f t="shared" si="4"/>
        <v>490.84190605753946</v>
      </c>
      <c r="L48" s="300">
        <f t="shared" si="5"/>
        <v>491.56526455943231</v>
      </c>
      <c r="M48" s="300">
        <f t="shared" si="6"/>
        <v>491.06455401361495</v>
      </c>
      <c r="N48" s="300">
        <f t="shared" si="7"/>
        <v>489.40059324322146</v>
      </c>
    </row>
    <row r="49" spans="1:17">
      <c r="B49" s="356" t="str">
        <f t="shared" si="3"/>
        <v>50-54</v>
      </c>
      <c r="C49" s="300">
        <f t="shared" si="3"/>
        <v>306.32605962601349</v>
      </c>
      <c r="D49" s="300">
        <f t="shared" si="4"/>
        <v>309.29899146600025</v>
      </c>
      <c r="E49" s="300">
        <f t="shared" si="4"/>
        <v>313.72153385033005</v>
      </c>
      <c r="F49" s="300">
        <f t="shared" si="4"/>
        <v>319.13675186956641</v>
      </c>
      <c r="G49" s="300">
        <f t="shared" si="4"/>
        <v>325.88235311239396</v>
      </c>
      <c r="H49" s="300">
        <f t="shared" si="4"/>
        <v>332.87768054437856</v>
      </c>
      <c r="I49" s="300">
        <f t="shared" si="4"/>
        <v>339.70122398759719</v>
      </c>
      <c r="J49" s="300">
        <f t="shared" si="4"/>
        <v>345.93486362362347</v>
      </c>
      <c r="K49" s="300">
        <f t="shared" si="4"/>
        <v>350.65302327173515</v>
      </c>
      <c r="L49" s="300">
        <f t="shared" si="5"/>
        <v>354.03536908512234</v>
      </c>
      <c r="M49" s="300">
        <f t="shared" si="6"/>
        <v>356.13018662466322</v>
      </c>
      <c r="N49" s="300">
        <f t="shared" si="7"/>
        <v>356.89698471206691</v>
      </c>
    </row>
    <row r="50" spans="1:17">
      <c r="B50" s="356" t="str">
        <f t="shared" si="3"/>
        <v>55-59</v>
      </c>
      <c r="C50" s="300">
        <f t="shared" si="3"/>
        <v>230.18795921960134</v>
      </c>
      <c r="D50" s="300">
        <f t="shared" si="4"/>
        <v>196.02483553142343</v>
      </c>
      <c r="E50" s="300">
        <f t="shared" si="4"/>
        <v>175.25854478973343</v>
      </c>
      <c r="F50" s="300">
        <f t="shared" si="4"/>
        <v>163.60644272499943</v>
      </c>
      <c r="G50" s="300">
        <f t="shared" si="4"/>
        <v>157.95180776687408</v>
      </c>
      <c r="H50" s="300">
        <f t="shared" si="4"/>
        <v>155.96685339580338</v>
      </c>
      <c r="I50" s="300">
        <f t="shared" si="4"/>
        <v>156.21356422994188</v>
      </c>
      <c r="J50" s="300">
        <f t="shared" si="4"/>
        <v>157.64499235019662</v>
      </c>
      <c r="K50" s="300">
        <f t="shared" si="4"/>
        <v>159.14238828994036</v>
      </c>
      <c r="L50" s="300">
        <f t="shared" si="5"/>
        <v>160.51994762941726</v>
      </c>
      <c r="M50" s="300">
        <f t="shared" si="6"/>
        <v>161.5724127986137</v>
      </c>
      <c r="N50" s="300">
        <f t="shared" si="7"/>
        <v>162.10377966641201</v>
      </c>
    </row>
    <row r="51" spans="1:17">
      <c r="B51" s="356" t="str">
        <f t="shared" si="3"/>
        <v>60-64</v>
      </c>
      <c r="C51" s="300">
        <f t="shared" si="3"/>
        <v>56.874231610803641</v>
      </c>
      <c r="D51" s="300">
        <f t="shared" si="4"/>
        <v>64.93730267841012</v>
      </c>
      <c r="E51" s="300">
        <f t="shared" si="4"/>
        <v>64.023520694339382</v>
      </c>
      <c r="F51" s="300">
        <f t="shared" si="4"/>
        <v>60.968166046724782</v>
      </c>
      <c r="G51" s="300">
        <f t="shared" si="4"/>
        <v>58.196843986448151</v>
      </c>
      <c r="H51" s="300">
        <f t="shared" si="4"/>
        <v>56.304250427313619</v>
      </c>
      <c r="I51" s="300">
        <f t="shared" si="4"/>
        <v>55.322414699695294</v>
      </c>
      <c r="J51" s="300">
        <f t="shared" si="4"/>
        <v>55.016248521569615</v>
      </c>
      <c r="K51" s="300">
        <f t="shared" si="4"/>
        <v>54.913640195523939</v>
      </c>
      <c r="L51" s="300">
        <f t="shared" si="5"/>
        <v>54.951762375348942</v>
      </c>
      <c r="M51" s="300">
        <f t="shared" si="6"/>
        <v>55.014068267940502</v>
      </c>
      <c r="N51" s="300">
        <f t="shared" si="7"/>
        <v>54.975437551744633</v>
      </c>
    </row>
    <row r="52" spans="1:17">
      <c r="B52" s="356" t="str">
        <f t="shared" si="3"/>
        <v>65 plus</v>
      </c>
      <c r="C52" s="300">
        <f t="shared" si="3"/>
        <v>8.4777046714232132</v>
      </c>
      <c r="D52" s="300">
        <f t="shared" si="4"/>
        <v>13.967428953838802</v>
      </c>
      <c r="E52" s="300">
        <f t="shared" si="4"/>
        <v>17.86859577615353</v>
      </c>
      <c r="F52" s="300">
        <f t="shared" si="4"/>
        <v>19.94185607651611</v>
      </c>
      <c r="G52" s="300">
        <f t="shared" si="4"/>
        <v>20.865257398571632</v>
      </c>
      <c r="H52" s="300">
        <f t="shared" si="4"/>
        <v>21.128976328962231</v>
      </c>
      <c r="I52" s="300">
        <f t="shared" si="4"/>
        <v>21.122086105802893</v>
      </c>
      <c r="J52" s="300">
        <f t="shared" si="4"/>
        <v>21.049717916540004</v>
      </c>
      <c r="K52" s="300">
        <f t="shared" si="4"/>
        <v>20.934363889122416</v>
      </c>
      <c r="L52" s="300">
        <f t="shared" si="5"/>
        <v>20.827401433898654</v>
      </c>
      <c r="M52" s="300">
        <f t="shared" si="6"/>
        <v>20.732271165051259</v>
      </c>
      <c r="N52" s="300">
        <f t="shared" si="7"/>
        <v>20.624806238500511</v>
      </c>
    </row>
    <row r="53" spans="1:17">
      <c r="B53" s="356" t="str">
        <f t="shared" si="3"/>
        <v>Total</v>
      </c>
      <c r="C53" s="300">
        <f t="shared" si="3"/>
        <v>3585.3540044071283</v>
      </c>
      <c r="D53" s="300">
        <f t="shared" si="4"/>
        <v>3661.2894623053785</v>
      </c>
      <c r="E53" s="300">
        <f t="shared" si="4"/>
        <v>3681.8030909322606</v>
      </c>
      <c r="F53" s="300">
        <f t="shared" si="4"/>
        <v>3698.6879399681984</v>
      </c>
      <c r="G53" s="300">
        <f t="shared" si="4"/>
        <v>3723.1392891841947</v>
      </c>
      <c r="H53" s="300">
        <f t="shared" si="4"/>
        <v>3754.6819425347294</v>
      </c>
      <c r="I53" s="300">
        <f t="shared" si="4"/>
        <v>3793.7175299966143</v>
      </c>
      <c r="J53" s="300">
        <f t="shared" si="4"/>
        <v>3836.1941583421844</v>
      </c>
      <c r="K53" s="300">
        <f t="shared" si="4"/>
        <v>3864.9059999151978</v>
      </c>
      <c r="L53" s="300">
        <f t="shared" si="4"/>
        <v>3883.772414839927</v>
      </c>
      <c r="M53" s="300">
        <f t="shared" si="6"/>
        <v>3892.3335408988596</v>
      </c>
      <c r="N53" s="300">
        <f t="shared" si="7"/>
        <v>3887.6046227536108</v>
      </c>
    </row>
    <row r="54" spans="1:17">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7">
      <c r="B56" s="334" t="s">
        <v>47</v>
      </c>
    </row>
    <row r="57" spans="1:17">
      <c r="H57" s="318"/>
    </row>
    <row r="58" spans="1:17">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7">
      <c r="B59" s="331" t="str">
        <f t="shared" si="9"/>
        <v>20-24</v>
      </c>
      <c r="C59" s="300">
        <f t="shared" ref="C59:C69" si="11">D21</f>
        <v>416.40402224268672</v>
      </c>
      <c r="D59" s="300">
        <f>C356</f>
        <v>600.39814514638829</v>
      </c>
      <c r="E59" s="300">
        <f t="shared" ref="E59:L59" si="12">D356</f>
        <v>691.68589000594125</v>
      </c>
      <c r="F59" s="300">
        <f t="shared" si="12"/>
        <v>760.24390715149468</v>
      </c>
      <c r="G59" s="300">
        <f t="shared" si="12"/>
        <v>807.43539994573405</v>
      </c>
      <c r="H59" s="300">
        <f t="shared" si="12"/>
        <v>845.76573861353086</v>
      </c>
      <c r="I59" s="300">
        <f t="shared" si="12"/>
        <v>878.98569782438108</v>
      </c>
      <c r="J59" s="300">
        <f t="shared" si="12"/>
        <v>906.95625496687853</v>
      </c>
      <c r="K59" s="300">
        <f t="shared" si="12"/>
        <v>921.2871342569847</v>
      </c>
      <c r="L59" s="300">
        <f t="shared" si="12"/>
        <v>927.52438862448844</v>
      </c>
      <c r="M59" s="300">
        <f>L356</f>
        <v>927.14865433174032</v>
      </c>
      <c r="N59" s="300">
        <f>M356</f>
        <v>919.6196628329285</v>
      </c>
      <c r="O59" s="320"/>
      <c r="P59" s="320"/>
      <c r="Q59" s="320"/>
    </row>
    <row r="60" spans="1:17">
      <c r="B60" s="331" t="str">
        <f t="shared" si="9"/>
        <v>25-29</v>
      </c>
      <c r="C60" s="300">
        <f t="shared" si="11"/>
        <v>1401.7797042874154</v>
      </c>
      <c r="D60" s="300">
        <f t="shared" ref="D60:L69" si="13">C357</f>
        <v>1387.1729897035827</v>
      </c>
      <c r="E60" s="300">
        <f t="shared" si="13"/>
        <v>1373.7932734118028</v>
      </c>
      <c r="F60" s="300">
        <f t="shared" si="13"/>
        <v>1385.7658316728021</v>
      </c>
      <c r="G60" s="300">
        <f t="shared" si="13"/>
        <v>1406.0615882263</v>
      </c>
      <c r="H60" s="300">
        <f t="shared" si="13"/>
        <v>1435.0400081747139</v>
      </c>
      <c r="I60" s="300">
        <f t="shared" si="13"/>
        <v>1469.5021776697613</v>
      </c>
      <c r="J60" s="300">
        <f t="shared" si="13"/>
        <v>1505.1122121269652</v>
      </c>
      <c r="K60" s="300">
        <f t="shared" si="13"/>
        <v>1530.3252567737793</v>
      </c>
      <c r="L60" s="300">
        <f t="shared" ref="L60:L68" si="14">K357</f>
        <v>1547.0201640594898</v>
      </c>
      <c r="M60" s="300">
        <f t="shared" ref="M60:M69" si="15">L357</f>
        <v>1555.1592268108284</v>
      </c>
      <c r="N60" s="300">
        <f t="shared" ref="N60:N69" si="16">M357</f>
        <v>1553.3977409005843</v>
      </c>
      <c r="O60" s="320"/>
      <c r="P60" s="320"/>
      <c r="Q60" s="320"/>
    </row>
    <row r="61" spans="1:17">
      <c r="B61" s="331" t="str">
        <f t="shared" si="9"/>
        <v>30-34</v>
      </c>
      <c r="C61" s="300">
        <f t="shared" si="11"/>
        <v>1707.9094697473804</v>
      </c>
      <c r="D61" s="300">
        <f t="shared" si="13"/>
        <v>1652.761625071199</v>
      </c>
      <c r="E61" s="300">
        <f t="shared" si="13"/>
        <v>1592.0621556490319</v>
      </c>
      <c r="F61" s="300">
        <f t="shared" si="13"/>
        <v>1547.0473565463383</v>
      </c>
      <c r="G61" s="300">
        <f t="shared" si="13"/>
        <v>1515.6222080145799</v>
      </c>
      <c r="H61" s="300">
        <f t="shared" si="13"/>
        <v>1499.7527427878165</v>
      </c>
      <c r="I61" s="300">
        <f t="shared" si="13"/>
        <v>1497.1547146137473</v>
      </c>
      <c r="J61" s="300">
        <f t="shared" si="13"/>
        <v>1504.2367787835101</v>
      </c>
      <c r="K61" s="300">
        <f t="shared" si="13"/>
        <v>1513.4148211188997</v>
      </c>
      <c r="L61" s="300">
        <f t="shared" si="14"/>
        <v>1522.825733401967</v>
      </c>
      <c r="M61" s="300">
        <f t="shared" si="15"/>
        <v>1530.3023086427411</v>
      </c>
      <c r="N61" s="300">
        <f t="shared" si="16"/>
        <v>1533.4876377964069</v>
      </c>
      <c r="O61" s="320"/>
      <c r="P61" s="320"/>
      <c r="Q61" s="320"/>
    </row>
    <row r="62" spans="1:17">
      <c r="B62" s="331" t="str">
        <f t="shared" si="9"/>
        <v>35-39</v>
      </c>
      <c r="C62" s="300">
        <f t="shared" si="11"/>
        <v>1527.17462086094</v>
      </c>
      <c r="D62" s="300">
        <f t="shared" si="13"/>
        <v>1546.5631441747651</v>
      </c>
      <c r="E62" s="300">
        <f t="shared" si="13"/>
        <v>1537.0764428891403</v>
      </c>
      <c r="F62" s="300">
        <f t="shared" si="13"/>
        <v>1519.6884430520317</v>
      </c>
      <c r="G62" s="300">
        <f t="shared" si="13"/>
        <v>1497.7081999075242</v>
      </c>
      <c r="H62" s="300">
        <f t="shared" si="13"/>
        <v>1478.3519770438058</v>
      </c>
      <c r="I62" s="300">
        <f t="shared" si="13"/>
        <v>1464.0816905612382</v>
      </c>
      <c r="J62" s="300">
        <f t="shared" si="13"/>
        <v>1455.2580429110969</v>
      </c>
      <c r="K62" s="300">
        <f t="shared" si="13"/>
        <v>1448.3553324522304</v>
      </c>
      <c r="L62" s="300">
        <f t="shared" si="14"/>
        <v>1443.6770888495319</v>
      </c>
      <c r="M62" s="300">
        <f t="shared" si="15"/>
        <v>1440.2403571099251</v>
      </c>
      <c r="N62" s="300">
        <f t="shared" si="16"/>
        <v>1436.3507490727982</v>
      </c>
      <c r="O62" s="320"/>
      <c r="P62" s="320"/>
      <c r="Q62" s="320"/>
    </row>
    <row r="63" spans="1:17">
      <c r="B63" s="331" t="str">
        <f t="shared" si="9"/>
        <v>40-44</v>
      </c>
      <c r="C63" s="300">
        <f t="shared" si="11"/>
        <v>1269.7508461021355</v>
      </c>
      <c r="D63" s="300">
        <f t="shared" si="13"/>
        <v>1309.4285090911706</v>
      </c>
      <c r="E63" s="300">
        <f t="shared" si="13"/>
        <v>1330.3015220217749</v>
      </c>
      <c r="F63" s="300">
        <f t="shared" si="13"/>
        <v>1344.3051141126762</v>
      </c>
      <c r="G63" s="300">
        <f t="shared" si="13"/>
        <v>1350.337011885764</v>
      </c>
      <c r="H63" s="300">
        <f t="shared" si="13"/>
        <v>1352.7593681457267</v>
      </c>
      <c r="I63" s="300">
        <f t="shared" si="13"/>
        <v>1353.3264965923759</v>
      </c>
      <c r="J63" s="300">
        <f t="shared" si="13"/>
        <v>1352.8917572699497</v>
      </c>
      <c r="K63" s="300">
        <f t="shared" si="13"/>
        <v>1349.4489670120513</v>
      </c>
      <c r="L63" s="300">
        <f t="shared" si="14"/>
        <v>1344.5469251845207</v>
      </c>
      <c r="M63" s="300">
        <f t="shared" si="15"/>
        <v>1338.6259517452227</v>
      </c>
      <c r="N63" s="300">
        <f t="shared" si="16"/>
        <v>1331.325636959453</v>
      </c>
      <c r="O63" s="320"/>
      <c r="P63" s="320"/>
      <c r="Q63" s="320"/>
    </row>
    <row r="64" spans="1:17">
      <c r="B64" s="331" t="str">
        <f t="shared" si="9"/>
        <v>45-49</v>
      </c>
      <c r="C64" s="300">
        <f t="shared" si="11"/>
        <v>881.15449638239465</v>
      </c>
      <c r="D64" s="300">
        <f t="shared" si="13"/>
        <v>950.03718860534525</v>
      </c>
      <c r="E64" s="300">
        <f t="shared" si="13"/>
        <v>997.6524571364605</v>
      </c>
      <c r="F64" s="300">
        <f t="shared" si="13"/>
        <v>1036.1774929792507</v>
      </c>
      <c r="G64" s="300">
        <f t="shared" si="13"/>
        <v>1065.607431356081</v>
      </c>
      <c r="H64" s="300">
        <f t="shared" si="13"/>
        <v>1089.5538493972322</v>
      </c>
      <c r="I64" s="300">
        <f t="shared" si="13"/>
        <v>1109.134164134631</v>
      </c>
      <c r="J64" s="300">
        <f t="shared" si="13"/>
        <v>1124.76684906741</v>
      </c>
      <c r="K64" s="300">
        <f t="shared" si="13"/>
        <v>1134.7364149698794</v>
      </c>
      <c r="L64" s="300">
        <f t="shared" si="14"/>
        <v>1140.388025548129</v>
      </c>
      <c r="M64" s="300">
        <f t="shared" si="15"/>
        <v>1142.3718817641386</v>
      </c>
      <c r="N64" s="300">
        <f t="shared" si="16"/>
        <v>1140.8314585949756</v>
      </c>
      <c r="O64" s="320"/>
      <c r="P64" s="320"/>
      <c r="Q64" s="320"/>
    </row>
    <row r="65" spans="1:17">
      <c r="B65" s="331" t="str">
        <f t="shared" si="9"/>
        <v>50-54</v>
      </c>
      <c r="C65" s="300">
        <f t="shared" si="11"/>
        <v>604.75929107535978</v>
      </c>
      <c r="D65" s="300">
        <f t="shared" si="13"/>
        <v>641.22496712962516</v>
      </c>
      <c r="E65" s="300">
        <f t="shared" si="13"/>
        <v>672.01197208739575</v>
      </c>
      <c r="F65" s="300">
        <f t="shared" si="13"/>
        <v>702.30360515394671</v>
      </c>
      <c r="G65" s="300">
        <f t="shared" si="13"/>
        <v>729.66858397088413</v>
      </c>
      <c r="H65" s="300">
        <f t="shared" si="13"/>
        <v>755.200025402047</v>
      </c>
      <c r="I65" s="300">
        <f t="shared" si="13"/>
        <v>778.66411840777926</v>
      </c>
      <c r="J65" s="300">
        <f t="shared" si="13"/>
        <v>799.57143267052709</v>
      </c>
      <c r="K65" s="300">
        <f t="shared" si="13"/>
        <v>816.04367988723118</v>
      </c>
      <c r="L65" s="300">
        <f t="shared" si="14"/>
        <v>828.64642520341113</v>
      </c>
      <c r="M65" s="300">
        <f t="shared" si="15"/>
        <v>837.56743572753896</v>
      </c>
      <c r="N65" s="300">
        <f t="shared" si="16"/>
        <v>842.75213244768554</v>
      </c>
      <c r="O65" s="320"/>
      <c r="P65" s="320"/>
      <c r="Q65" s="320"/>
    </row>
    <row r="66" spans="1:17">
      <c r="B66" s="331" t="str">
        <f t="shared" si="9"/>
        <v>55-59</v>
      </c>
      <c r="C66" s="300">
        <f t="shared" si="11"/>
        <v>427.57576419303831</v>
      </c>
      <c r="D66" s="300">
        <f t="shared" si="13"/>
        <v>388.59979089980743</v>
      </c>
      <c r="E66" s="300">
        <f t="shared" si="13"/>
        <v>366.16419312819386</v>
      </c>
      <c r="F66" s="300">
        <f t="shared" si="13"/>
        <v>357.76828748717509</v>
      </c>
      <c r="G66" s="300">
        <f t="shared" si="13"/>
        <v>357.11855376257768</v>
      </c>
      <c r="H66" s="300">
        <f t="shared" si="13"/>
        <v>361.62642045107236</v>
      </c>
      <c r="I66" s="300">
        <f t="shared" si="13"/>
        <v>369.07350021118418</v>
      </c>
      <c r="J66" s="300">
        <f t="shared" si="13"/>
        <v>377.75338106816577</v>
      </c>
      <c r="K66" s="300">
        <f t="shared" si="13"/>
        <v>385.52421006055863</v>
      </c>
      <c r="L66" s="300">
        <f t="shared" si="14"/>
        <v>392.23006577258769</v>
      </c>
      <c r="M66" s="300">
        <f t="shared" si="15"/>
        <v>397.5745585361193</v>
      </c>
      <c r="N66" s="300">
        <f t="shared" si="16"/>
        <v>401.21337383548359</v>
      </c>
      <c r="O66" s="320"/>
      <c r="P66" s="320"/>
      <c r="Q66" s="320"/>
    </row>
    <row r="67" spans="1:17">
      <c r="B67" s="331" t="str">
        <f t="shared" si="9"/>
        <v>60-64</v>
      </c>
      <c r="C67" s="300">
        <f t="shared" si="11"/>
        <v>139.73540720437038</v>
      </c>
      <c r="D67" s="300">
        <f t="shared" si="13"/>
        <v>145.15503100809676</v>
      </c>
      <c r="E67" s="300">
        <f t="shared" si="13"/>
        <v>140.72093081036274</v>
      </c>
      <c r="F67" s="300">
        <f t="shared" si="13"/>
        <v>135.94441796336366</v>
      </c>
      <c r="G67" s="300">
        <f t="shared" si="13"/>
        <v>132.44097706540518</v>
      </c>
      <c r="H67" s="300">
        <f t="shared" si="13"/>
        <v>130.99092544670236</v>
      </c>
      <c r="I67" s="300">
        <f t="shared" si="13"/>
        <v>131.28724760673774</v>
      </c>
      <c r="J67" s="300">
        <f t="shared" si="13"/>
        <v>132.72257944631394</v>
      </c>
      <c r="K67" s="300">
        <f t="shared" si="13"/>
        <v>134.24311895837744</v>
      </c>
      <c r="L67" s="300">
        <f t="shared" si="14"/>
        <v>135.76734513091918</v>
      </c>
      <c r="M67" s="300">
        <f t="shared" si="15"/>
        <v>137.08771582942643</v>
      </c>
      <c r="N67" s="300">
        <f t="shared" si="16"/>
        <v>137.96289267291559</v>
      </c>
      <c r="O67" s="320"/>
      <c r="P67" s="320"/>
      <c r="Q67" s="320"/>
    </row>
    <row r="68" spans="1:17">
      <c r="B68" s="331" t="str">
        <f t="shared" si="9"/>
        <v>65 plus</v>
      </c>
      <c r="C68" s="300">
        <f t="shared" si="11"/>
        <v>18.244340933173852</v>
      </c>
      <c r="D68" s="300">
        <f t="shared" si="13"/>
        <v>36.032130033141819</v>
      </c>
      <c r="E68" s="300">
        <f t="shared" si="13"/>
        <v>47.583407826007189</v>
      </c>
      <c r="F68" s="300">
        <f t="shared" si="13"/>
        <v>54.553738774643691</v>
      </c>
      <c r="G68" s="300">
        <f t="shared" si="13"/>
        <v>58.404477676437466</v>
      </c>
      <c r="H68" s="300">
        <f t="shared" si="13"/>
        <v>60.559688948093381</v>
      </c>
      <c r="I68" s="300">
        <f t="shared" si="13"/>
        <v>61.902678576238927</v>
      </c>
      <c r="J68" s="300">
        <f t="shared" si="13"/>
        <v>62.912395948008452</v>
      </c>
      <c r="K68" s="300">
        <f t="shared" si="13"/>
        <v>63.65962159715108</v>
      </c>
      <c r="L68" s="300">
        <f t="shared" si="14"/>
        <v>64.271030051784933</v>
      </c>
      <c r="M68" s="300">
        <f t="shared" si="15"/>
        <v>64.77373442785607</v>
      </c>
      <c r="N68" s="300">
        <f t="shared" si="16"/>
        <v>65.12859045535437</v>
      </c>
      <c r="O68" s="320"/>
      <c r="P68" s="320"/>
      <c r="Q68" s="320"/>
    </row>
    <row r="69" spans="1:17">
      <c r="B69" s="331" t="str">
        <f t="shared" si="9"/>
        <v>Total</v>
      </c>
      <c r="C69" s="300">
        <f t="shared" si="11"/>
        <v>8394.4879630288942</v>
      </c>
      <c r="D69" s="300">
        <f t="shared" si="13"/>
        <v>8657.3735208631206</v>
      </c>
      <c r="E69" s="300">
        <f t="shared" si="13"/>
        <v>8749.0522449661112</v>
      </c>
      <c r="F69" s="300">
        <f t="shared" si="13"/>
        <v>8843.7981948937231</v>
      </c>
      <c r="G69" s="300">
        <f t="shared" si="13"/>
        <v>8920.4044318112865</v>
      </c>
      <c r="H69" s="300">
        <f t="shared" si="13"/>
        <v>9009.6007444107399</v>
      </c>
      <c r="I69" s="300">
        <f t="shared" si="13"/>
        <v>9113.1124861980716</v>
      </c>
      <c r="J69" s="300">
        <f t="shared" si="13"/>
        <v>9222.1816842588232</v>
      </c>
      <c r="K69" s="300">
        <f t="shared" si="13"/>
        <v>9297.038557087144</v>
      </c>
      <c r="L69" s="300">
        <f t="shared" si="13"/>
        <v>9346.8971918268307</v>
      </c>
      <c r="M69" s="300">
        <f t="shared" si="15"/>
        <v>9370.8518249255358</v>
      </c>
      <c r="N69" s="300">
        <f t="shared" si="16"/>
        <v>9362.069875568588</v>
      </c>
      <c r="O69" s="320"/>
      <c r="P69" s="320"/>
      <c r="Q69" s="320"/>
    </row>
    <row r="70" spans="1:17">
      <c r="A70" s="302">
        <f>SUM(C70:N70)</f>
        <v>0</v>
      </c>
      <c r="C70" s="302">
        <f t="shared" ref="C70:N70" si="17">SUM(C59:C68)-C69</f>
        <v>0</v>
      </c>
      <c r="D70" s="302">
        <f t="shared" si="17"/>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7" ht="15.75">
      <c r="B72" s="333" t="s">
        <v>163</v>
      </c>
      <c r="H72" s="318"/>
    </row>
    <row r="73" spans="1:17">
      <c r="H73" s="318"/>
    </row>
    <row r="74" spans="1:17">
      <c r="B74" s="334" t="s">
        <v>46</v>
      </c>
      <c r="C74" s="256" t="s">
        <v>456</v>
      </c>
      <c r="H74" s="318"/>
    </row>
    <row r="75" spans="1:17">
      <c r="H75" s="318"/>
    </row>
    <row r="76" spans="1:17">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7">
      <c r="B77" s="331" t="str">
        <f t="shared" si="18"/>
        <v>20-24</v>
      </c>
      <c r="C77" s="447">
        <f>C43-(0.2*C43)</f>
        <v>120.86592944238348</v>
      </c>
      <c r="D77" s="447">
        <f>D43-(0.2*D43)</f>
        <v>186.73911451399198</v>
      </c>
      <c r="E77" s="447">
        <f t="shared" ref="E77:N77" si="20">E43-(0.2*E43)</f>
        <v>219.03969731199882</v>
      </c>
      <c r="F77" s="447">
        <f t="shared" si="20"/>
        <v>241.69646145019684</v>
      </c>
      <c r="G77" s="447">
        <f t="shared" si="20"/>
        <v>257.71383585160339</v>
      </c>
      <c r="H77" s="447">
        <f t="shared" si="20"/>
        <v>270.3471541456388</v>
      </c>
      <c r="I77" s="447">
        <f t="shared" si="20"/>
        <v>281.07469516753383</v>
      </c>
      <c r="J77" s="447">
        <f t="shared" si="20"/>
        <v>289.94657945135913</v>
      </c>
      <c r="K77" s="447">
        <f t="shared" si="20"/>
        <v>294.16109023161243</v>
      </c>
      <c r="L77" s="447">
        <f t="shared" si="20"/>
        <v>295.72584302807888</v>
      </c>
      <c r="M77" s="447">
        <f t="shared" si="20"/>
        <v>295.1743130107298</v>
      </c>
      <c r="N77" s="447">
        <f t="shared" si="20"/>
        <v>292.32761754894779</v>
      </c>
      <c r="O77" s="320"/>
      <c r="P77" s="320"/>
    </row>
    <row r="78" spans="1:17">
      <c r="B78" s="331" t="str">
        <f t="shared" si="18"/>
        <v>25-29</v>
      </c>
      <c r="C78" s="447">
        <f t="shared" ref="C78:C85" si="21">C44+(0.2*C43)-(0.2*C44)</f>
        <v>441.03052747463335</v>
      </c>
      <c r="D78" s="447">
        <f t="shared" ref="D78:N78" si="22">D44+(0.2*D43)-(0.2*D44)</f>
        <v>462.86447478556221</v>
      </c>
      <c r="E78" s="447">
        <f t="shared" si="22"/>
        <v>475.9390119431672</v>
      </c>
      <c r="F78" s="447">
        <f t="shared" si="22"/>
        <v>491.53299675846387</v>
      </c>
      <c r="G78" s="447">
        <f t="shared" si="22"/>
        <v>507.91325715322807</v>
      </c>
      <c r="H78" s="447">
        <f t="shared" si="22"/>
        <v>524.65354529192916</v>
      </c>
      <c r="I78" s="447">
        <f t="shared" si="22"/>
        <v>541.48609518136732</v>
      </c>
      <c r="J78" s="447">
        <f t="shared" si="22"/>
        <v>557.29945687069551</v>
      </c>
      <c r="K78" s="447">
        <f t="shared" si="22"/>
        <v>567.72622563193204</v>
      </c>
      <c r="L78" s="447">
        <f t="shared" si="22"/>
        <v>574.15216833664635</v>
      </c>
      <c r="M78" s="447">
        <f t="shared" si="22"/>
        <v>576.87678276608722</v>
      </c>
      <c r="N78" s="447">
        <f t="shared" si="22"/>
        <v>575.52435219298673</v>
      </c>
      <c r="O78" s="320"/>
      <c r="P78" s="320"/>
    </row>
    <row r="79" spans="1:17">
      <c r="B79" s="331" t="str">
        <f t="shared" si="18"/>
        <v>30-34</v>
      </c>
      <c r="C79" s="447">
        <f t="shared" si="21"/>
        <v>632.99981226445914</v>
      </c>
      <c r="D79" s="447">
        <f t="shared" ref="D79:N79" si="23">D45+(0.2*D44)-(0.2*D45)</f>
        <v>617.48041580209656</v>
      </c>
      <c r="E79" s="447">
        <f t="shared" si="23"/>
        <v>603.22886386562936</v>
      </c>
      <c r="F79" s="447">
        <f t="shared" si="23"/>
        <v>595.01539056926379</v>
      </c>
      <c r="G79" s="447">
        <f t="shared" si="23"/>
        <v>593.280849809595</v>
      </c>
      <c r="H79" s="447">
        <f t="shared" si="23"/>
        <v>596.50064237877677</v>
      </c>
      <c r="I79" s="447">
        <f t="shared" si="23"/>
        <v>603.61801607224379</v>
      </c>
      <c r="J79" s="447">
        <f t="shared" si="23"/>
        <v>613.11898041626921</v>
      </c>
      <c r="K79" s="447">
        <f t="shared" si="23"/>
        <v>621.55041942718708</v>
      </c>
      <c r="L79" s="447">
        <f t="shared" si="23"/>
        <v>628.57449398933522</v>
      </c>
      <c r="M79" s="447">
        <f t="shared" si="23"/>
        <v>633.5909536322464</v>
      </c>
      <c r="N79" s="447">
        <f t="shared" si="23"/>
        <v>635.81329101511255</v>
      </c>
      <c r="O79" s="320"/>
      <c r="P79" s="320"/>
    </row>
    <row r="80" spans="1:17">
      <c r="B80" s="331" t="str">
        <f t="shared" si="18"/>
        <v>35-39</v>
      </c>
      <c r="C80" s="447">
        <f t="shared" si="21"/>
        <v>673.57601968850895</v>
      </c>
      <c r="D80" s="447">
        <f t="shared" ref="D80:N80" si="24">D46+(0.2*D45)-(0.2*D46)</f>
        <v>658.7265302470164</v>
      </c>
      <c r="E80" s="447">
        <f t="shared" si="24"/>
        <v>641.36245501444637</v>
      </c>
      <c r="F80" s="447">
        <f t="shared" si="24"/>
        <v>625.31432506234398</v>
      </c>
      <c r="G80" s="447">
        <f t="shared" si="24"/>
        <v>613.50670262553547</v>
      </c>
      <c r="H80" s="447">
        <f t="shared" si="24"/>
        <v>605.67198016239354</v>
      </c>
      <c r="I80" s="447">
        <f t="shared" si="24"/>
        <v>601.78703008552975</v>
      </c>
      <c r="J80" s="447">
        <f t="shared" si="24"/>
        <v>601.17967798282905</v>
      </c>
      <c r="K80" s="447">
        <f t="shared" si="24"/>
        <v>601.65526055602891</v>
      </c>
      <c r="L80" s="447">
        <f t="shared" si="24"/>
        <v>602.92818651025846</v>
      </c>
      <c r="M80" s="447">
        <f t="shared" si="24"/>
        <v>604.33453125359881</v>
      </c>
      <c r="N80" s="447">
        <f t="shared" si="24"/>
        <v>605.0151888283749</v>
      </c>
      <c r="O80" s="320"/>
      <c r="P80" s="320"/>
    </row>
    <row r="81" spans="1:16">
      <c r="B81" s="331" t="str">
        <f t="shared" si="18"/>
        <v>40-44</v>
      </c>
      <c r="C81" s="447">
        <f t="shared" si="21"/>
        <v>593.06136057989715</v>
      </c>
      <c r="D81" s="447">
        <f t="shared" ref="D81:N81" si="25">D47+(0.2*D46)-(0.2*D47)</f>
        <v>603.27153506251432</v>
      </c>
      <c r="E81" s="447">
        <f t="shared" si="25"/>
        <v>605.00409588088098</v>
      </c>
      <c r="F81" s="447">
        <f t="shared" si="25"/>
        <v>602.36673666134618</v>
      </c>
      <c r="G81" s="447">
        <f t="shared" si="25"/>
        <v>598.68998608463153</v>
      </c>
      <c r="H81" s="447">
        <f t="shared" si="25"/>
        <v>594.7310737932545</v>
      </c>
      <c r="I81" s="447">
        <f t="shared" si="25"/>
        <v>591.41847437475576</v>
      </c>
      <c r="J81" s="447">
        <f t="shared" si="25"/>
        <v>589.04613114114341</v>
      </c>
      <c r="K81" s="447">
        <f t="shared" si="25"/>
        <v>586.51985977997902</v>
      </c>
      <c r="L81" s="447">
        <f t="shared" si="25"/>
        <v>584.24600017574312</v>
      </c>
      <c r="M81" s="447">
        <f t="shared" si="25"/>
        <v>582.14374854943242</v>
      </c>
      <c r="N81" s="447">
        <f t="shared" si="25"/>
        <v>579.81128335811763</v>
      </c>
      <c r="O81" s="320"/>
      <c r="P81" s="320"/>
    </row>
    <row r="82" spans="1:16">
      <c r="B82" s="331" t="str">
        <f t="shared" si="18"/>
        <v>45-49</v>
      </c>
      <c r="C82" s="447">
        <f t="shared" si="21"/>
        <v>440.45406358699358</v>
      </c>
      <c r="D82" s="447">
        <f t="shared" ref="D82:N82" si="26">D48+(0.2*D47)-(0.2*D48)</f>
        <v>461.91704764841666</v>
      </c>
      <c r="E82" s="447">
        <f t="shared" si="26"/>
        <v>476.8746355882094</v>
      </c>
      <c r="F82" s="447">
        <f t="shared" si="26"/>
        <v>487.11157725074759</v>
      </c>
      <c r="G82" s="447">
        <f t="shared" si="26"/>
        <v>495.08391199473238</v>
      </c>
      <c r="H82" s="447">
        <f t="shared" si="26"/>
        <v>500.87246389437422</v>
      </c>
      <c r="I82" s="447">
        <f t="shared" si="26"/>
        <v>505.14589760615127</v>
      </c>
      <c r="J82" s="447">
        <f t="shared" si="26"/>
        <v>508.24080544105794</v>
      </c>
      <c r="K82" s="447">
        <f t="shared" si="26"/>
        <v>509.48134743062889</v>
      </c>
      <c r="L82" s="447">
        <f t="shared" si="26"/>
        <v>509.49818936419086</v>
      </c>
      <c r="M82" s="447">
        <f t="shared" si="26"/>
        <v>508.55136202777345</v>
      </c>
      <c r="N82" s="447">
        <f t="shared" si="26"/>
        <v>506.6317629927031</v>
      </c>
      <c r="O82" s="320"/>
      <c r="P82" s="320"/>
    </row>
    <row r="83" spans="1:16">
      <c r="B83" s="331" t="str">
        <f t="shared" si="18"/>
        <v>50-54</v>
      </c>
      <c r="C83" s="447">
        <f t="shared" si="21"/>
        <v>326.5611839432222</v>
      </c>
      <c r="D83" s="447">
        <f t="shared" ref="D83:N83" si="27">D49+(0.2*D48)-(0.2*D49)</f>
        <v>333.5009787889083</v>
      </c>
      <c r="E83" s="447">
        <f t="shared" si="27"/>
        <v>340.45936329763612</v>
      </c>
      <c r="F83" s="447">
        <f t="shared" si="27"/>
        <v>347.30663699368199</v>
      </c>
      <c r="G83" s="447">
        <f t="shared" si="27"/>
        <v>354.76036589049676</v>
      </c>
      <c r="H83" s="447">
        <f t="shared" si="27"/>
        <v>361.92946660740733</v>
      </c>
      <c r="I83" s="447">
        <f t="shared" si="27"/>
        <v>368.5890116760732</v>
      </c>
      <c r="J83" s="447">
        <f t="shared" si="27"/>
        <v>374.46459552579893</v>
      </c>
      <c r="K83" s="447">
        <f t="shared" si="27"/>
        <v>378.69079982889599</v>
      </c>
      <c r="L83" s="447">
        <f t="shared" si="27"/>
        <v>381.54134817998431</v>
      </c>
      <c r="M83" s="447">
        <f t="shared" si="27"/>
        <v>383.11706010245359</v>
      </c>
      <c r="N83" s="447">
        <f t="shared" si="27"/>
        <v>383.39770641829779</v>
      </c>
      <c r="O83" s="320"/>
      <c r="P83" s="320"/>
    </row>
    <row r="84" spans="1:16">
      <c r="B84" s="331" t="str">
        <f t="shared" si="18"/>
        <v>55-59</v>
      </c>
      <c r="C84" s="447">
        <f t="shared" si="21"/>
        <v>245.41557930088379</v>
      </c>
      <c r="D84" s="447">
        <f t="shared" ref="D84:N84" si="28">D50+(0.2*D49)-(0.2*D50)</f>
        <v>218.67966671833881</v>
      </c>
      <c r="E84" s="447">
        <f t="shared" si="28"/>
        <v>202.95114260185275</v>
      </c>
      <c r="F84" s="447">
        <f t="shared" si="28"/>
        <v>194.71250455391282</v>
      </c>
      <c r="G84" s="447">
        <f t="shared" si="28"/>
        <v>191.53791683597808</v>
      </c>
      <c r="H84" s="447">
        <f t="shared" si="28"/>
        <v>191.34901882551839</v>
      </c>
      <c r="I84" s="447">
        <f t="shared" si="28"/>
        <v>192.91109618147294</v>
      </c>
      <c r="J84" s="447">
        <f t="shared" si="28"/>
        <v>195.30296660488199</v>
      </c>
      <c r="K84" s="447">
        <f t="shared" si="28"/>
        <v>197.44451528629935</v>
      </c>
      <c r="L84" s="447">
        <f t="shared" si="28"/>
        <v>199.22303192055827</v>
      </c>
      <c r="M84" s="447">
        <f t="shared" si="28"/>
        <v>200.4839675638236</v>
      </c>
      <c r="N84" s="447">
        <f t="shared" si="28"/>
        <v>201.06242067554297</v>
      </c>
      <c r="O84" s="320"/>
      <c r="P84" s="320"/>
    </row>
    <row r="85" spans="1:16">
      <c r="B85" s="331" t="str">
        <f t="shared" si="18"/>
        <v>60-64</v>
      </c>
      <c r="C85" s="447">
        <f t="shared" si="21"/>
        <v>91.53697713256318</v>
      </c>
      <c r="D85" s="447">
        <f t="shared" ref="D85:N85" si="29">D51+(0.2*D50)-(0.2*D51)</f>
        <v>91.154809249012771</v>
      </c>
      <c r="E85" s="447">
        <f t="shared" si="29"/>
        <v>86.270525513418193</v>
      </c>
      <c r="F85" s="447">
        <f t="shared" si="29"/>
        <v>81.495821382379717</v>
      </c>
      <c r="G85" s="447">
        <f t="shared" si="29"/>
        <v>78.147836742533329</v>
      </c>
      <c r="H85" s="447">
        <f t="shared" si="29"/>
        <v>76.236771021011577</v>
      </c>
      <c r="I85" s="447">
        <f t="shared" si="29"/>
        <v>75.500644605744625</v>
      </c>
      <c r="J85" s="447">
        <f t="shared" si="29"/>
        <v>75.541997287295004</v>
      </c>
      <c r="K85" s="447">
        <f t="shared" si="29"/>
        <v>75.759389814407228</v>
      </c>
      <c r="L85" s="447">
        <f t="shared" si="29"/>
        <v>76.065399426162614</v>
      </c>
      <c r="M85" s="447">
        <f t="shared" si="29"/>
        <v>76.32573717407513</v>
      </c>
      <c r="N85" s="447">
        <f t="shared" si="29"/>
        <v>76.401105974678103</v>
      </c>
      <c r="O85" s="320"/>
      <c r="P85" s="320"/>
    </row>
    <row r="86" spans="1:16">
      <c r="B86" s="331" t="str">
        <f t="shared" si="18"/>
        <v>65 plus</v>
      </c>
      <c r="C86" s="447">
        <f>C52+(0.2*C51)</f>
        <v>19.852550993583939</v>
      </c>
      <c r="D86" s="447">
        <f t="shared" ref="D86:N86" si="30">D52+(0.2*D51)</f>
        <v>26.954889489520827</v>
      </c>
      <c r="E86" s="447">
        <f t="shared" si="30"/>
        <v>30.673299915021406</v>
      </c>
      <c r="F86" s="447">
        <f t="shared" si="30"/>
        <v>32.13548928586107</v>
      </c>
      <c r="G86" s="447">
        <f t="shared" si="30"/>
        <v>32.504626195861263</v>
      </c>
      <c r="H86" s="447">
        <f t="shared" si="30"/>
        <v>32.389826414424959</v>
      </c>
      <c r="I86" s="447">
        <f t="shared" si="30"/>
        <v>32.186569045741955</v>
      </c>
      <c r="J86" s="447">
        <f t="shared" si="30"/>
        <v>32.052967620853927</v>
      </c>
      <c r="K86" s="447">
        <f t="shared" si="30"/>
        <v>31.917091928227205</v>
      </c>
      <c r="L86" s="447">
        <f t="shared" si="30"/>
        <v>31.817753908968442</v>
      </c>
      <c r="M86" s="447">
        <f t="shared" si="30"/>
        <v>31.735084818639358</v>
      </c>
      <c r="N86" s="447">
        <f t="shared" si="30"/>
        <v>31.619893748849439</v>
      </c>
      <c r="O86" s="320"/>
      <c r="P86" s="320"/>
    </row>
    <row r="87" spans="1:16">
      <c r="B87" s="331" t="str">
        <f t="shared" si="18"/>
        <v>Total</v>
      </c>
      <c r="C87" s="447">
        <f>SUM(C77:C86)</f>
        <v>3585.3540044071283</v>
      </c>
      <c r="D87" s="447">
        <f t="shared" ref="D87:N87" si="31">SUM(D77:D86)</f>
        <v>3661.2894623053789</v>
      </c>
      <c r="E87" s="447">
        <f t="shared" si="31"/>
        <v>3681.8030909322606</v>
      </c>
      <c r="F87" s="447">
        <f t="shared" si="31"/>
        <v>3698.6879399681984</v>
      </c>
      <c r="G87" s="447">
        <f t="shared" si="31"/>
        <v>3723.1392891841956</v>
      </c>
      <c r="H87" s="447">
        <f t="shared" si="31"/>
        <v>3754.6819425347289</v>
      </c>
      <c r="I87" s="447">
        <f t="shared" si="31"/>
        <v>3793.7175299966152</v>
      </c>
      <c r="J87" s="447">
        <f t="shared" si="31"/>
        <v>3836.1941583421844</v>
      </c>
      <c r="K87" s="447">
        <f t="shared" si="31"/>
        <v>3864.9059999151987</v>
      </c>
      <c r="L87" s="447">
        <f t="shared" si="31"/>
        <v>3883.7724148399261</v>
      </c>
      <c r="M87" s="447">
        <f t="shared" si="31"/>
        <v>3892.3335408988601</v>
      </c>
      <c r="N87" s="447">
        <f t="shared" si="31"/>
        <v>3887.6046227536108</v>
      </c>
      <c r="O87" s="320"/>
      <c r="P87" s="320"/>
    </row>
    <row r="88" spans="1:16">
      <c r="A88" s="302">
        <f>SUM(C88:N88)</f>
        <v>0</v>
      </c>
      <c r="C88" s="302">
        <f t="shared" ref="C88:N88" si="32">SUM(C77:C86)-C87</f>
        <v>0</v>
      </c>
      <c r="D88" s="302">
        <f t="shared" si="32"/>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6">
      <c r="B90" s="334" t="s">
        <v>47</v>
      </c>
      <c r="H90" s="318"/>
    </row>
    <row r="91" spans="1:16">
      <c r="H91" s="318"/>
    </row>
    <row r="92" spans="1:16">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6">
      <c r="B93" s="331" t="str">
        <f t="shared" si="33"/>
        <v>20-24</v>
      </c>
      <c r="C93" s="447">
        <f>C59-(0.2*C59)</f>
        <v>333.12321779414935</v>
      </c>
      <c r="D93" s="447">
        <f t="shared" ref="D93:N93" si="35">D59-(0.2*D59)</f>
        <v>480.31851611711062</v>
      </c>
      <c r="E93" s="447">
        <f t="shared" si="35"/>
        <v>553.348712004753</v>
      </c>
      <c r="F93" s="447">
        <f t="shared" si="35"/>
        <v>608.19512572119572</v>
      </c>
      <c r="G93" s="447">
        <f t="shared" si="35"/>
        <v>645.94831995658728</v>
      </c>
      <c r="H93" s="447">
        <f t="shared" si="35"/>
        <v>676.61259089082466</v>
      </c>
      <c r="I93" s="447">
        <f t="shared" si="35"/>
        <v>703.18855825950482</v>
      </c>
      <c r="J93" s="447">
        <f t="shared" si="35"/>
        <v>725.56500397350283</v>
      </c>
      <c r="K93" s="447">
        <f t="shared" si="35"/>
        <v>737.02970740558771</v>
      </c>
      <c r="L93" s="447">
        <f t="shared" si="35"/>
        <v>742.01951089959073</v>
      </c>
      <c r="M93" s="447">
        <f t="shared" si="35"/>
        <v>741.71892346539221</v>
      </c>
      <c r="N93" s="447">
        <f t="shared" si="35"/>
        <v>735.69573026634282</v>
      </c>
      <c r="O93" s="320"/>
    </row>
    <row r="94" spans="1:16">
      <c r="B94" s="331" t="str">
        <f t="shared" si="33"/>
        <v>25-29</v>
      </c>
      <c r="C94" s="447">
        <f t="shared" ref="C94:C101" si="36">C60+(0.2*C59)-(0.2*C60)</f>
        <v>1204.7045678784696</v>
      </c>
      <c r="D94" s="447">
        <f t="shared" ref="D94:N94" si="37">D60+(0.2*D59)-(0.2*D60)</f>
        <v>1229.8180207921437</v>
      </c>
      <c r="E94" s="447">
        <f t="shared" si="37"/>
        <v>1237.3717967306304</v>
      </c>
      <c r="F94" s="447">
        <f t="shared" si="37"/>
        <v>1260.6614467685406</v>
      </c>
      <c r="G94" s="447">
        <f t="shared" si="37"/>
        <v>1286.3363505701868</v>
      </c>
      <c r="H94" s="447">
        <f t="shared" si="37"/>
        <v>1317.1851542624775</v>
      </c>
      <c r="I94" s="447">
        <f t="shared" si="37"/>
        <v>1351.3988817006853</v>
      </c>
      <c r="J94" s="447">
        <f t="shared" si="37"/>
        <v>1385.4810206949478</v>
      </c>
      <c r="K94" s="447">
        <f t="shared" si="37"/>
        <v>1408.5176322704203</v>
      </c>
      <c r="L94" s="447">
        <f t="shared" si="37"/>
        <v>1423.1210089724896</v>
      </c>
      <c r="M94" s="447">
        <f t="shared" si="37"/>
        <v>1429.5571123150107</v>
      </c>
      <c r="N94" s="447">
        <f t="shared" si="37"/>
        <v>1426.6421252870532</v>
      </c>
      <c r="O94" s="320"/>
    </row>
    <row r="95" spans="1:16">
      <c r="B95" s="331" t="str">
        <f t="shared" si="33"/>
        <v>30-34</v>
      </c>
      <c r="C95" s="447">
        <f t="shared" si="36"/>
        <v>1646.6835166553874</v>
      </c>
      <c r="D95" s="447">
        <f t="shared" ref="D95:N95" si="38">D61+(0.2*D60)-(0.2*D61)</f>
        <v>1599.6438979976758</v>
      </c>
      <c r="E95" s="447">
        <f t="shared" si="38"/>
        <v>1548.4083792015861</v>
      </c>
      <c r="F95" s="447">
        <f t="shared" si="38"/>
        <v>1514.791051571631</v>
      </c>
      <c r="G95" s="447">
        <f t="shared" si="38"/>
        <v>1493.710084056924</v>
      </c>
      <c r="H95" s="447">
        <f t="shared" si="38"/>
        <v>1486.810195865196</v>
      </c>
      <c r="I95" s="447">
        <f t="shared" si="38"/>
        <v>1491.6242072249502</v>
      </c>
      <c r="J95" s="447">
        <f t="shared" si="38"/>
        <v>1504.4118654522013</v>
      </c>
      <c r="K95" s="447">
        <f t="shared" si="38"/>
        <v>1516.7969082498757</v>
      </c>
      <c r="L95" s="447">
        <f t="shared" si="38"/>
        <v>1527.6646195334715</v>
      </c>
      <c r="M95" s="447">
        <f t="shared" si="38"/>
        <v>1535.2736922763586</v>
      </c>
      <c r="N95" s="447">
        <f t="shared" si="38"/>
        <v>1537.4696584172425</v>
      </c>
      <c r="O95" s="320"/>
    </row>
    <row r="96" spans="1:16">
      <c r="B96" s="331" t="str">
        <f t="shared" si="33"/>
        <v>35-39</v>
      </c>
      <c r="C96" s="447">
        <f t="shared" si="36"/>
        <v>1563.3215906382281</v>
      </c>
      <c r="D96" s="447">
        <f t="shared" ref="D96:N96" si="39">D62+(0.2*D61)-(0.2*D62)</f>
        <v>1567.8028403540518</v>
      </c>
      <c r="E96" s="447">
        <f t="shared" si="39"/>
        <v>1548.0735854411187</v>
      </c>
      <c r="F96" s="447">
        <f t="shared" si="39"/>
        <v>1525.160225750893</v>
      </c>
      <c r="G96" s="447">
        <f t="shared" si="39"/>
        <v>1501.2910015289353</v>
      </c>
      <c r="H96" s="447">
        <f t="shared" si="39"/>
        <v>1482.632130192608</v>
      </c>
      <c r="I96" s="447">
        <f t="shared" si="39"/>
        <v>1470.69629537174</v>
      </c>
      <c r="J96" s="447">
        <f t="shared" si="39"/>
        <v>1465.0537900855795</v>
      </c>
      <c r="K96" s="447">
        <f t="shared" si="39"/>
        <v>1461.3672301855643</v>
      </c>
      <c r="L96" s="447">
        <f t="shared" si="39"/>
        <v>1459.5068177600187</v>
      </c>
      <c r="M96" s="447">
        <f t="shared" si="39"/>
        <v>1458.2527474164883</v>
      </c>
      <c r="N96" s="447">
        <f t="shared" si="39"/>
        <v>1455.7781268175199</v>
      </c>
      <c r="O96" s="320"/>
    </row>
    <row r="97" spans="1:15">
      <c r="B97" s="331" t="str">
        <f t="shared" si="33"/>
        <v>40-44</v>
      </c>
      <c r="C97" s="447">
        <f t="shared" si="36"/>
        <v>1321.2356010538963</v>
      </c>
      <c r="D97" s="447">
        <f t="shared" ref="D97:N97" si="40">D63+(0.2*D62)-(0.2*D63)</f>
        <v>1356.8554361078895</v>
      </c>
      <c r="E97" s="447">
        <f t="shared" si="40"/>
        <v>1371.6565061952479</v>
      </c>
      <c r="F97" s="447">
        <f t="shared" si="40"/>
        <v>1379.3817799005474</v>
      </c>
      <c r="G97" s="447">
        <f t="shared" si="40"/>
        <v>1379.8112494901161</v>
      </c>
      <c r="H97" s="447">
        <f t="shared" si="40"/>
        <v>1377.8778899253425</v>
      </c>
      <c r="I97" s="447">
        <f t="shared" si="40"/>
        <v>1375.4775353861482</v>
      </c>
      <c r="J97" s="447">
        <f t="shared" si="40"/>
        <v>1373.365014398179</v>
      </c>
      <c r="K97" s="447">
        <f t="shared" si="40"/>
        <v>1369.230240100087</v>
      </c>
      <c r="L97" s="447">
        <f t="shared" si="40"/>
        <v>1364.3729579175229</v>
      </c>
      <c r="M97" s="447">
        <f t="shared" si="40"/>
        <v>1358.9488328181631</v>
      </c>
      <c r="N97" s="447">
        <f t="shared" si="40"/>
        <v>1352.3306593821219</v>
      </c>
      <c r="O97" s="320"/>
    </row>
    <row r="98" spans="1:15">
      <c r="B98" s="331" t="str">
        <f t="shared" si="33"/>
        <v>45-49</v>
      </c>
      <c r="C98" s="447">
        <f t="shared" si="36"/>
        <v>958.87376632634289</v>
      </c>
      <c r="D98" s="447">
        <f t="shared" ref="D98:N98" si="41">D64+(0.2*D63)-(0.2*D64)</f>
        <v>1021.9154527025102</v>
      </c>
      <c r="E98" s="447">
        <f t="shared" si="41"/>
        <v>1064.1822701135234</v>
      </c>
      <c r="F98" s="447">
        <f t="shared" si="41"/>
        <v>1097.8030172059357</v>
      </c>
      <c r="G98" s="447">
        <f t="shared" si="41"/>
        <v>1122.5533474620174</v>
      </c>
      <c r="H98" s="447">
        <f t="shared" si="41"/>
        <v>1142.1949531469311</v>
      </c>
      <c r="I98" s="447">
        <f t="shared" si="41"/>
        <v>1157.97263062618</v>
      </c>
      <c r="J98" s="447">
        <f t="shared" si="41"/>
        <v>1170.391830707918</v>
      </c>
      <c r="K98" s="447">
        <f t="shared" si="41"/>
        <v>1177.6789253783138</v>
      </c>
      <c r="L98" s="447">
        <f t="shared" si="41"/>
        <v>1181.2198054754072</v>
      </c>
      <c r="M98" s="447">
        <f t="shared" si="41"/>
        <v>1181.6226957603556</v>
      </c>
      <c r="N98" s="447">
        <f t="shared" si="41"/>
        <v>1178.9302942678712</v>
      </c>
      <c r="O98" s="320"/>
    </row>
    <row r="99" spans="1:15">
      <c r="B99" s="331" t="str">
        <f t="shared" si="33"/>
        <v>50-54</v>
      </c>
      <c r="C99" s="447">
        <f t="shared" si="36"/>
        <v>660.03833213676671</v>
      </c>
      <c r="D99" s="447">
        <f t="shared" ref="D99:N99" si="42">D65+(0.2*D64)-(0.2*D65)</f>
        <v>702.98741142476922</v>
      </c>
      <c r="E99" s="447">
        <f t="shared" si="42"/>
        <v>737.14006909720865</v>
      </c>
      <c r="F99" s="447">
        <f t="shared" si="42"/>
        <v>769.07838271900744</v>
      </c>
      <c r="G99" s="447">
        <f t="shared" si="42"/>
        <v>796.85635344792354</v>
      </c>
      <c r="H99" s="447">
        <f t="shared" si="42"/>
        <v>822.07079020108404</v>
      </c>
      <c r="I99" s="447">
        <f t="shared" si="42"/>
        <v>844.75812755314962</v>
      </c>
      <c r="J99" s="447">
        <f t="shared" si="42"/>
        <v>864.61051594990363</v>
      </c>
      <c r="K99" s="447">
        <f t="shared" si="42"/>
        <v>879.78222690376072</v>
      </c>
      <c r="L99" s="447">
        <f t="shared" si="42"/>
        <v>890.99474527235475</v>
      </c>
      <c r="M99" s="447">
        <f t="shared" si="42"/>
        <v>898.52832493485892</v>
      </c>
      <c r="N99" s="447">
        <f t="shared" si="42"/>
        <v>902.36799767714365</v>
      </c>
      <c r="O99" s="320"/>
    </row>
    <row r="100" spans="1:15">
      <c r="B100" s="331" t="str">
        <f t="shared" si="33"/>
        <v>55-59</v>
      </c>
      <c r="C100" s="447">
        <f t="shared" si="36"/>
        <v>463.01246956950257</v>
      </c>
      <c r="D100" s="447">
        <f t="shared" ref="D100:N100" si="43">D66+(0.2*D65)-(0.2*D66)</f>
        <v>439.12482614577095</v>
      </c>
      <c r="E100" s="447">
        <f t="shared" si="43"/>
        <v>427.33374892003417</v>
      </c>
      <c r="F100" s="447">
        <f t="shared" si="43"/>
        <v>426.67535102052938</v>
      </c>
      <c r="G100" s="447">
        <f t="shared" si="43"/>
        <v>431.62855980423893</v>
      </c>
      <c r="H100" s="447">
        <f t="shared" si="43"/>
        <v>440.34114144126727</v>
      </c>
      <c r="I100" s="447">
        <f t="shared" si="43"/>
        <v>450.99162385050317</v>
      </c>
      <c r="J100" s="447">
        <f t="shared" si="43"/>
        <v>462.11699138863804</v>
      </c>
      <c r="K100" s="447">
        <f t="shared" si="43"/>
        <v>471.62810402589321</v>
      </c>
      <c r="L100" s="447">
        <f t="shared" si="43"/>
        <v>479.51333765875233</v>
      </c>
      <c r="M100" s="447">
        <f t="shared" si="43"/>
        <v>485.57313397440328</v>
      </c>
      <c r="N100" s="447">
        <f t="shared" si="43"/>
        <v>489.52112555792399</v>
      </c>
      <c r="O100" s="320"/>
    </row>
    <row r="101" spans="1:15">
      <c r="B101" s="331" t="str">
        <f t="shared" si="33"/>
        <v>60-64</v>
      </c>
      <c r="C101" s="447">
        <f t="shared" si="36"/>
        <v>197.30347860210395</v>
      </c>
      <c r="D101" s="447">
        <f t="shared" ref="D101:N101" si="44">D67+(0.2*D66)-(0.2*D67)</f>
        <v>193.84398298643887</v>
      </c>
      <c r="E101" s="447">
        <f t="shared" si="44"/>
        <v>185.80958327392898</v>
      </c>
      <c r="F101" s="447">
        <f t="shared" si="44"/>
        <v>180.30919186812596</v>
      </c>
      <c r="G101" s="447">
        <f t="shared" si="44"/>
        <v>177.37649240483967</v>
      </c>
      <c r="H101" s="447">
        <f t="shared" si="44"/>
        <v>177.11802444757637</v>
      </c>
      <c r="I101" s="447">
        <f t="shared" si="44"/>
        <v>178.84449812762702</v>
      </c>
      <c r="J101" s="447">
        <f t="shared" si="44"/>
        <v>181.72873977068431</v>
      </c>
      <c r="K101" s="447">
        <f t="shared" si="44"/>
        <v>184.49933717881368</v>
      </c>
      <c r="L101" s="447">
        <f t="shared" si="44"/>
        <v>187.05988925925288</v>
      </c>
      <c r="M101" s="447">
        <f t="shared" si="44"/>
        <v>189.185084370765</v>
      </c>
      <c r="N101" s="447">
        <f t="shared" si="44"/>
        <v>190.61298890542921</v>
      </c>
      <c r="O101" s="320"/>
    </row>
    <row r="102" spans="1:15">
      <c r="B102" s="331" t="str">
        <f t="shared" si="33"/>
        <v>65 plus</v>
      </c>
      <c r="C102" s="447">
        <f>C68+(0.2*C67)</f>
        <v>46.191422374047931</v>
      </c>
      <c r="D102" s="447">
        <f t="shared" ref="D102:N102" si="45">D68+(0.2*D67)</f>
        <v>65.063136234761174</v>
      </c>
      <c r="E102" s="447">
        <f t="shared" si="45"/>
        <v>75.727593988079747</v>
      </c>
      <c r="F102" s="447">
        <f t="shared" si="45"/>
        <v>81.742622367316429</v>
      </c>
      <c r="G102" s="447">
        <f t="shared" si="45"/>
        <v>84.892673089518496</v>
      </c>
      <c r="H102" s="447">
        <f t="shared" si="45"/>
        <v>86.757874037433851</v>
      </c>
      <c r="I102" s="447">
        <f t="shared" si="45"/>
        <v>88.16012809758648</v>
      </c>
      <c r="J102" s="447">
        <f t="shared" si="45"/>
        <v>89.456911837271235</v>
      </c>
      <c r="K102" s="447">
        <f t="shared" si="45"/>
        <v>90.508245388826566</v>
      </c>
      <c r="L102" s="447">
        <f t="shared" si="45"/>
        <v>91.424499077968775</v>
      </c>
      <c r="M102" s="447">
        <f t="shared" si="45"/>
        <v>92.191277593741361</v>
      </c>
      <c r="N102" s="447">
        <f t="shared" si="45"/>
        <v>92.721168989937496</v>
      </c>
      <c r="O102" s="320"/>
    </row>
    <row r="103" spans="1:15">
      <c r="B103" s="331" t="str">
        <f t="shared" si="33"/>
        <v>Total</v>
      </c>
      <c r="C103" s="447">
        <f>SUM(C93:C102)</f>
        <v>8394.4879630288942</v>
      </c>
      <c r="D103" s="447">
        <f t="shared" ref="D103:N103" si="46">SUM(D93:D102)</f>
        <v>8657.3735208631224</v>
      </c>
      <c r="E103" s="447">
        <f t="shared" si="46"/>
        <v>8749.0522449661112</v>
      </c>
      <c r="F103" s="447">
        <f t="shared" si="46"/>
        <v>8843.7981948937213</v>
      </c>
      <c r="G103" s="447">
        <f t="shared" si="46"/>
        <v>8920.4044318112865</v>
      </c>
      <c r="H103" s="447">
        <f t="shared" si="46"/>
        <v>9009.6007444107399</v>
      </c>
      <c r="I103" s="447">
        <f t="shared" si="46"/>
        <v>9113.1124861980734</v>
      </c>
      <c r="J103" s="447">
        <f t="shared" si="46"/>
        <v>9222.1816842588269</v>
      </c>
      <c r="K103" s="447">
        <f t="shared" si="46"/>
        <v>9297.0385570871422</v>
      </c>
      <c r="L103" s="447">
        <f t="shared" si="46"/>
        <v>9346.8971918268289</v>
      </c>
      <c r="M103" s="447">
        <f t="shared" si="46"/>
        <v>9370.8518249255376</v>
      </c>
      <c r="N103" s="447">
        <f t="shared" si="46"/>
        <v>9362.0698755685862</v>
      </c>
      <c r="O103" s="320"/>
    </row>
    <row r="104" spans="1:15">
      <c r="A104" s="302">
        <f>SUM(C104:N104)</f>
        <v>0</v>
      </c>
      <c r="C104" s="302">
        <f t="shared" ref="C104:N104" si="47">SUM(C93:C102)-C103</f>
        <v>0</v>
      </c>
      <c r="D104" s="302">
        <f t="shared" si="47"/>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5" ht="15.75">
      <c r="B106" s="333" t="s">
        <v>164</v>
      </c>
      <c r="H106" s="318"/>
    </row>
    <row r="107" spans="1:15">
      <c r="H107" s="318"/>
    </row>
    <row r="108" spans="1:15">
      <c r="B108" s="334" t="s">
        <v>46</v>
      </c>
      <c r="H108" s="318"/>
    </row>
    <row r="109" spans="1:15">
      <c r="H109" s="318"/>
    </row>
    <row r="110" spans="1:15">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5">
      <c r="B111" s="331" t="str">
        <f t="shared" si="48"/>
        <v>20-24</v>
      </c>
      <c r="C111" s="447">
        <f>C77*Group_1_rates!E74</f>
        <v>22.280745079203154</v>
      </c>
      <c r="D111" s="447">
        <f>D77*Group_1_rates!F74</f>
        <v>33.186284579071859</v>
      </c>
      <c r="E111" s="447">
        <f>E77*Group_1_rates!G74</f>
        <v>40.387374380677301</v>
      </c>
      <c r="F111" s="447">
        <f>F77*Group_1_rates!H74</f>
        <v>43.728093758215756</v>
      </c>
      <c r="G111" s="447">
        <f>G77*Group_1_rates!I74</f>
        <v>46.625981651909541</v>
      </c>
      <c r="H111" s="447">
        <f>H77*Group_1_rates!J74</f>
        <v>48.911620934852841</v>
      </c>
      <c r="I111" s="447">
        <f>I77*Group_1_rates!K74</f>
        <v>50.852464076642867</v>
      </c>
      <c r="J111" s="447">
        <f>J77*Group_1_rates!L74</f>
        <v>52.457578961020658</v>
      </c>
      <c r="K111" s="447">
        <f>K77*Group_1_rates!M74</f>
        <v>53.220074702324268</v>
      </c>
      <c r="L111" s="447">
        <f>L77*Group_1_rates!N74</f>
        <v>53.503172173349576</v>
      </c>
      <c r="M111" s="447">
        <f>M77*Group_1_rates!O74</f>
        <v>53.403388518411454</v>
      </c>
      <c r="N111" s="447">
        <f>N77*Group_1_rates!P74</f>
        <v>52.888360018171944</v>
      </c>
    </row>
    <row r="112" spans="1:15">
      <c r="B112" s="331" t="str">
        <f t="shared" si="48"/>
        <v>25-29</v>
      </c>
      <c r="C112" s="447">
        <f>C78*Group_1_rates!E75</f>
        <v>58.406732628793932</v>
      </c>
      <c r="D112" s="447">
        <f>D78*Group_1_rates!F75</f>
        <v>59.09430561346263</v>
      </c>
      <c r="E112" s="447">
        <f>E78*Group_1_rates!G75</f>
        <v>63.043822928119873</v>
      </c>
      <c r="F112" s="447">
        <f>F78*Group_1_rates!H75</f>
        <v>63.886835549296201</v>
      </c>
      <c r="G112" s="447">
        <f>G78*Group_1_rates!I75</f>
        <v>66.015854372032905</v>
      </c>
      <c r="H112" s="447">
        <f>H78*Group_1_rates!J75</f>
        <v>68.191667679416156</v>
      </c>
      <c r="I112" s="447">
        <f>I78*Group_1_rates!K75</f>
        <v>70.379472676748392</v>
      </c>
      <c r="J112" s="447">
        <f>J78*Group_1_rates!L75</f>
        <v>72.434809031357545</v>
      </c>
      <c r="K112" s="447">
        <f>K78*Group_1_rates!M75</f>
        <v>73.790024786052825</v>
      </c>
      <c r="L112" s="447">
        <f>L78*Group_1_rates!N75</f>
        <v>74.625234522800199</v>
      </c>
      <c r="M112" s="447">
        <f>M78*Group_1_rates!O75</f>
        <v>74.979365364751516</v>
      </c>
      <c r="N112" s="447">
        <f>N78*Group_1_rates!P75</f>
        <v>74.803583656940816</v>
      </c>
    </row>
    <row r="113" spans="1:16">
      <c r="B113" s="331" t="str">
        <f t="shared" si="48"/>
        <v>30-34</v>
      </c>
      <c r="C113" s="447">
        <f>C79*Group_1_rates!E76</f>
        <v>59.304661667582181</v>
      </c>
      <c r="D113" s="447">
        <f>D79*Group_1_rates!F76</f>
        <v>55.770683048572231</v>
      </c>
      <c r="E113" s="447">
        <f>E79*Group_1_rates!G76</f>
        <v>56.528093852817321</v>
      </c>
      <c r="F113" s="447">
        <f>F79*Group_1_rates!H76</f>
        <v>54.711407847457814</v>
      </c>
      <c r="G113" s="447">
        <f>G79*Group_1_rates!I76</f>
        <v>54.551917574711283</v>
      </c>
      <c r="H113" s="447">
        <f>H79*Group_1_rates!J76</f>
        <v>54.847976109042939</v>
      </c>
      <c r="I113" s="447">
        <f>I79*Group_1_rates!K76</f>
        <v>55.502415542237252</v>
      </c>
      <c r="J113" s="447">
        <f>J79*Group_1_rates!L76</f>
        <v>56.376025104962707</v>
      </c>
      <c r="K113" s="447">
        <f>K79*Group_1_rates!M76</f>
        <v>57.151292275826911</v>
      </c>
      <c r="L113" s="447">
        <f>L79*Group_1_rates!N76</f>
        <v>57.797152894243816</v>
      </c>
      <c r="M113" s="447">
        <f>M79*Group_1_rates!O76</f>
        <v>58.25841418903326</v>
      </c>
      <c r="N113" s="447">
        <f>N79*Group_1_rates!P76</f>
        <v>58.46275715033434</v>
      </c>
    </row>
    <row r="114" spans="1:16">
      <c r="B114" s="331" t="str">
        <f t="shared" si="48"/>
        <v>35-39</v>
      </c>
      <c r="C114" s="447">
        <f>C80*Group_1_rates!E77</f>
        <v>61.005017776156379</v>
      </c>
      <c r="D114" s="447">
        <f>D80*Group_1_rates!F77</f>
        <v>57.515065670165008</v>
      </c>
      <c r="E114" s="447">
        <f>E80*Group_1_rates!G77</f>
        <v>58.10044378202474</v>
      </c>
      <c r="F114" s="447">
        <f>F80*Group_1_rates!H77</f>
        <v>55.582971188371047</v>
      </c>
      <c r="G114" s="447">
        <f>G80*Group_1_rates!I77</f>
        <v>54.533414651116196</v>
      </c>
      <c r="H114" s="447">
        <f>H80*Group_1_rates!J77</f>
        <v>53.837001446614146</v>
      </c>
      <c r="I114" s="447">
        <f>I80*Group_1_rates!K77</f>
        <v>53.491675808713481</v>
      </c>
      <c r="J114" s="447">
        <f>J80*Group_1_rates!L77</f>
        <v>53.437689464450145</v>
      </c>
      <c r="K114" s="447">
        <f>K80*Group_1_rates!M77</f>
        <v>53.479963072145324</v>
      </c>
      <c r="L114" s="447">
        <f>L80*Group_1_rates!N77</f>
        <v>53.593110978411211</v>
      </c>
      <c r="M114" s="447">
        <f>M80*Group_1_rates!O77</f>
        <v>53.718118220716448</v>
      </c>
      <c r="N114" s="447">
        <f>N80*Group_1_rates!P77</f>
        <v>53.778620545469927</v>
      </c>
    </row>
    <row r="115" spans="1:16">
      <c r="B115" s="331" t="str">
        <f t="shared" si="48"/>
        <v>40-44</v>
      </c>
      <c r="C115" s="447">
        <f>C81*Group_1_rates!E78</f>
        <v>47.664479288606152</v>
      </c>
      <c r="D115" s="447">
        <f>D81*Group_1_rates!F78</f>
        <v>46.741815998643965</v>
      </c>
      <c r="E115" s="447">
        <f>E81*Group_1_rates!G78</f>
        <v>48.635178486690627</v>
      </c>
      <c r="F115" s="447">
        <f>F81*Group_1_rates!H78</f>
        <v>47.513896204727864</v>
      </c>
      <c r="G115" s="447">
        <f>G81*Group_1_rates!I78</f>
        <v>47.223878953375376</v>
      </c>
      <c r="H115" s="447">
        <f>H81*Group_1_rates!J78</f>
        <v>46.911605156952476</v>
      </c>
      <c r="I115" s="447">
        <f>I81*Group_1_rates!K78</f>
        <v>46.650311670179356</v>
      </c>
      <c r="J115" s="447">
        <f>J81*Group_1_rates!L78</f>
        <v>46.463184355034763</v>
      </c>
      <c r="K115" s="447">
        <f>K81*Group_1_rates!M78</f>
        <v>46.263915391571359</v>
      </c>
      <c r="L115" s="447">
        <f>L81*Group_1_rates!N78</f>
        <v>46.084556335627127</v>
      </c>
      <c r="M115" s="447">
        <f>M81*Group_1_rates!O78</f>
        <v>45.918733491353926</v>
      </c>
      <c r="N115" s="447">
        <f>N81*Group_1_rates!P78</f>
        <v>45.734751703754696</v>
      </c>
    </row>
    <row r="116" spans="1:16">
      <c r="B116" s="331" t="str">
        <f t="shared" si="48"/>
        <v>45-49</v>
      </c>
      <c r="C116" s="447">
        <f>C82*Group_1_rates!E79</f>
        <v>44.330647290367772</v>
      </c>
      <c r="D116" s="447">
        <f>D82*Group_1_rates!F79</f>
        <v>44.819289389204158</v>
      </c>
      <c r="E116" s="447">
        <f>E82*Group_1_rates!G79</f>
        <v>48.007009227801674</v>
      </c>
      <c r="F116" s="447">
        <f>F82*Group_1_rates!H79</f>
        <v>48.11675633562966</v>
      </c>
      <c r="G116" s="447">
        <f>G82*Group_1_rates!I79</f>
        <v>48.90426151148165</v>
      </c>
      <c r="H116" s="447">
        <f>H82*Group_1_rates!J79</f>
        <v>49.476053179549183</v>
      </c>
      <c r="I116" s="447">
        <f>I82*Group_1_rates!K79</f>
        <v>49.898181862645941</v>
      </c>
      <c r="J116" s="447">
        <f>J82*Group_1_rates!L79</f>
        <v>50.203896062694156</v>
      </c>
      <c r="K116" s="447">
        <f>K82*Group_1_rates!M79</f>
        <v>50.326436481407249</v>
      </c>
      <c r="L116" s="447">
        <f>L82*Group_1_rates!N79</f>
        <v>50.328100123273444</v>
      </c>
      <c r="M116" s="447">
        <f>M82*Group_1_rates!O79</f>
        <v>50.234572762467444</v>
      </c>
      <c r="N116" s="447">
        <f>N82*Group_1_rates!P79</f>
        <v>50.044955263425649</v>
      </c>
    </row>
    <row r="117" spans="1:16">
      <c r="B117" s="331" t="str">
        <f t="shared" si="48"/>
        <v>50-54</v>
      </c>
      <c r="C117" s="447">
        <f>C83*Group_1_rates!E80</f>
        <v>33.635784630076749</v>
      </c>
      <c r="D117" s="447">
        <f>D83*Group_1_rates!F80</f>
        <v>33.115524513662081</v>
      </c>
      <c r="E117" s="447">
        <f>E83*Group_1_rates!G80</f>
        <v>35.075127598971385</v>
      </c>
      <c r="F117" s="447">
        <f>F83*Group_1_rates!H80</f>
        <v>35.108681787460782</v>
      </c>
      <c r="G117" s="447">
        <f>G83*Group_1_rates!I80</f>
        <v>35.86216752051066</v>
      </c>
      <c r="H117" s="447">
        <f>H83*Group_1_rates!J80</f>
        <v>36.586880638437194</v>
      </c>
      <c r="I117" s="447">
        <f>I83*Group_1_rates!K80</f>
        <v>37.260083577168523</v>
      </c>
      <c r="J117" s="447">
        <f>J83*Group_1_rates!L80</f>
        <v>37.854037109070987</v>
      </c>
      <c r="K117" s="447">
        <f>K83*Group_1_rates!M80</f>
        <v>38.281257456285175</v>
      </c>
      <c r="L117" s="447">
        <f>L83*Group_1_rates!N80</f>
        <v>38.569414906555707</v>
      </c>
      <c r="M117" s="447">
        <f>M83*Group_1_rates!O80</f>
        <v>38.728701146961434</v>
      </c>
      <c r="N117" s="447">
        <f>N83*Group_1_rates!P80</f>
        <v>38.757071241708509</v>
      </c>
    </row>
    <row r="118" spans="1:16">
      <c r="B118" s="331" t="str">
        <f t="shared" si="48"/>
        <v>55-59</v>
      </c>
      <c r="C118" s="447">
        <f>C84*Group_1_rates!E81</f>
        <v>17.999473034638893</v>
      </c>
      <c r="D118" s="447">
        <f>D84*Group_1_rates!F81</f>
        <v>15.461925958316073</v>
      </c>
      <c r="E118" s="447">
        <f>E84*Group_1_rates!G81</f>
        <v>14.888335208421051</v>
      </c>
      <c r="F118" s="447">
        <f>F84*Group_1_rates!H81</f>
        <v>14.015737158449996</v>
      </c>
      <c r="G118" s="447">
        <f>G84*Group_1_rates!I81</f>
        <v>13.78722493658241</v>
      </c>
      <c r="H118" s="447">
        <f>H84*Group_1_rates!J81</f>
        <v>13.773627736595575</v>
      </c>
      <c r="I118" s="447">
        <f>I84*Group_1_rates!K81</f>
        <v>13.886068720765461</v>
      </c>
      <c r="J118" s="447">
        <f>J84*Group_1_rates!L81</f>
        <v>14.058239620874701</v>
      </c>
      <c r="K118" s="447">
        <f>K84*Group_1_rates!M81</f>
        <v>14.212391936359197</v>
      </c>
      <c r="L118" s="447">
        <f>L84*Group_1_rates!N81</f>
        <v>14.34041258780535</v>
      </c>
      <c r="M118" s="447">
        <f>M84*Group_1_rates!O81</f>
        <v>14.431176879447619</v>
      </c>
      <c r="N118" s="447">
        <f>N84*Group_1_rates!P81</f>
        <v>14.472814918005648</v>
      </c>
    </row>
    <row r="119" spans="1:16">
      <c r="B119" s="331" t="str">
        <f t="shared" si="48"/>
        <v>60-64</v>
      </c>
      <c r="C119" s="447">
        <f>C85*Group_1_rates!E82</f>
        <v>7.1640273839171247</v>
      </c>
      <c r="D119" s="447">
        <f>D85*Group_1_rates!F82</f>
        <v>6.8776137439820104</v>
      </c>
      <c r="E119" s="447">
        <f>E85*Group_1_rates!G82</f>
        <v>6.7533629393337273</v>
      </c>
      <c r="F119" s="447">
        <f>F85*Group_1_rates!H82</f>
        <v>6.2597999132170914</v>
      </c>
      <c r="G119" s="447">
        <f>G85*Group_1_rates!I82</f>
        <v>6.0026368635973002</v>
      </c>
      <c r="H119" s="447">
        <f>H85*Group_1_rates!J82</f>
        <v>5.8558454228238652</v>
      </c>
      <c r="I119" s="447">
        <f>I85*Group_1_rates!K82</f>
        <v>5.7993025965507972</v>
      </c>
      <c r="J119" s="447">
        <f>J85*Group_1_rates!L82</f>
        <v>5.8024789497427696</v>
      </c>
      <c r="K119" s="447">
        <f>K85*Group_1_rates!M82</f>
        <v>5.8191771521691997</v>
      </c>
      <c r="L119" s="447">
        <f>L85*Group_1_rates!N82</f>
        <v>5.8426821479912814</v>
      </c>
      <c r="M119" s="447">
        <f>M85*Group_1_rates!O82</f>
        <v>5.862679028618369</v>
      </c>
      <c r="N119" s="447">
        <f>N85*Group_1_rates!P82</f>
        <v>5.8684682041057856</v>
      </c>
    </row>
    <row r="120" spans="1:16">
      <c r="B120" s="331" t="str">
        <f t="shared" si="48"/>
        <v>65 plus</v>
      </c>
      <c r="C120" s="447">
        <f>C86*Group_1_rates!E83</f>
        <v>2.3927457754202095</v>
      </c>
      <c r="D120" s="447">
        <f>D86*Group_1_rates!F83</f>
        <v>3.1319535883136305</v>
      </c>
      <c r="E120" s="447">
        <f>E86*Group_1_rates!G83</f>
        <v>3.6977514394716127</v>
      </c>
      <c r="F120" s="447">
        <f>F86*Group_1_rates!H83</f>
        <v>3.8012776684543561</v>
      </c>
      <c r="G120" s="447">
        <f>G86*Group_1_rates!I83</f>
        <v>3.8449425362926481</v>
      </c>
      <c r="H120" s="447">
        <f>H86*Group_1_rates!J83</f>
        <v>3.8313629750282967</v>
      </c>
      <c r="I120" s="447">
        <f>I86*Group_1_rates!K83</f>
        <v>3.8073198465839</v>
      </c>
      <c r="J120" s="447">
        <f>J86*Group_1_rates!L83</f>
        <v>3.791516256092935</v>
      </c>
      <c r="K120" s="447">
        <f>K86*Group_1_rates!M83</f>
        <v>3.7754436445489437</v>
      </c>
      <c r="L120" s="447">
        <f>L86*Group_1_rates!N83</f>
        <v>3.7636930410066176</v>
      </c>
      <c r="M120" s="447">
        <f>M86*Group_1_rates!O83</f>
        <v>3.7539141898385529</v>
      </c>
      <c r="N120" s="447">
        <f>N86*Group_1_rates!P83</f>
        <v>3.7402883434323351</v>
      </c>
    </row>
    <row r="121" spans="1:16">
      <c r="B121" s="331" t="str">
        <f t="shared" si="48"/>
        <v>Total</v>
      </c>
      <c r="C121" s="447">
        <f>SUM(C111:C120)</f>
        <v>354.18431455476247</v>
      </c>
      <c r="D121" s="447">
        <f t="shared" ref="D121:N121" si="50">SUM(D111:D120)</f>
        <v>355.71446210339366</v>
      </c>
      <c r="E121" s="447">
        <f t="shared" si="50"/>
        <v>375.11649984432933</v>
      </c>
      <c r="F121" s="447">
        <f t="shared" si="50"/>
        <v>372.72545741128056</v>
      </c>
      <c r="G121" s="447">
        <f t="shared" si="50"/>
        <v>377.35228057160992</v>
      </c>
      <c r="H121" s="447">
        <f t="shared" si="50"/>
        <v>382.22364127931269</v>
      </c>
      <c r="I121" s="447">
        <f t="shared" si="50"/>
        <v>387.52729637823592</v>
      </c>
      <c r="J121" s="447">
        <f t="shared" si="50"/>
        <v>392.87945491530132</v>
      </c>
      <c r="K121" s="447">
        <f t="shared" si="50"/>
        <v>396.31997689869047</v>
      </c>
      <c r="L121" s="447">
        <f t="shared" si="50"/>
        <v>398.44752971106436</v>
      </c>
      <c r="M121" s="447">
        <f t="shared" si="50"/>
        <v>399.28906379159997</v>
      </c>
      <c r="N121" s="447">
        <f t="shared" si="50"/>
        <v>398.55167104534968</v>
      </c>
    </row>
    <row r="122" spans="1:16">
      <c r="A122" s="302">
        <f>SUM(C122:N122)</f>
        <v>0</v>
      </c>
      <c r="C122" s="302">
        <f t="shared" ref="C122:N122" si="51">SUM(C111:C120)-C121</f>
        <v>0</v>
      </c>
      <c r="D122" s="302">
        <f t="shared" si="51"/>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6">
      <c r="B124" s="334" t="s">
        <v>47</v>
      </c>
      <c r="C124" s="322"/>
      <c r="D124" s="322"/>
      <c r="E124" s="322"/>
      <c r="F124" s="322"/>
      <c r="G124" s="322"/>
      <c r="H124" s="332"/>
      <c r="I124" s="322"/>
      <c r="J124" s="322"/>
      <c r="K124" s="322"/>
      <c r="L124" s="322"/>
    </row>
    <row r="125" spans="1:16">
      <c r="C125" s="322"/>
      <c r="D125" s="322"/>
      <c r="E125" s="322"/>
      <c r="F125" s="322"/>
      <c r="G125" s="322"/>
      <c r="H125" s="332"/>
      <c r="I125" s="322"/>
      <c r="J125" s="322"/>
      <c r="K125" s="322"/>
      <c r="L125" s="322"/>
    </row>
    <row r="126" spans="1:16">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6">
      <c r="B127" s="331" t="str">
        <f t="shared" si="52"/>
        <v>20-24</v>
      </c>
      <c r="C127" s="447">
        <f>C93*Group_1_rates!E89</f>
        <v>48.426650903893112</v>
      </c>
      <c r="D127" s="447">
        <f>D93*Group_1_rates!F89</f>
        <v>70.169747500118291</v>
      </c>
      <c r="E127" s="447">
        <f>E93*Group_1_rates!G89</f>
        <v>82.184424257591289</v>
      </c>
      <c r="F127" s="447">
        <f>F93*Group_1_rates!H89</f>
        <v>91.491557352135942</v>
      </c>
      <c r="G127" s="447">
        <f>G93*Group_1_rates!I89</f>
        <v>97.17081782223228</v>
      </c>
      <c r="H127" s="447">
        <f>H93*Group_1_rates!J89</f>
        <v>101.78368264832643</v>
      </c>
      <c r="I127" s="447">
        <f>I93*Group_1_rates!K89</f>
        <v>105.7815388294605</v>
      </c>
      <c r="J127" s="447">
        <f>J93*Group_1_rates!L89</f>
        <v>109.14765568867007</v>
      </c>
      <c r="K127" s="447">
        <f>K93*Group_1_rates!M89</f>
        <v>110.8723054387614</v>
      </c>
      <c r="L127" s="447">
        <f>L93*Group_1_rates!N89</f>
        <v>111.62292785127437</v>
      </c>
      <c r="M127" s="447">
        <f>M93*Group_1_rates!O89</f>
        <v>111.57771010566567</v>
      </c>
      <c r="N127" s="447">
        <f>N93*Group_1_rates!P89</f>
        <v>110.67163358070115</v>
      </c>
      <c r="O127" s="320"/>
      <c r="P127" s="320"/>
    </row>
    <row r="128" spans="1:16">
      <c r="B128" s="331" t="str">
        <f t="shared" si="52"/>
        <v>25-29</v>
      </c>
      <c r="C128" s="447">
        <f>C94*Group_1_rates!E90</f>
        <v>139.65289929792741</v>
      </c>
      <c r="D128" s="447">
        <f>D94*Group_1_rates!F90</f>
        <v>143.26869486569225</v>
      </c>
      <c r="E128" s="447">
        <f>E94*Group_1_rates!G90</f>
        <v>146.54826926332376</v>
      </c>
      <c r="F128" s="447">
        <f>F94*Group_1_rates!H90</f>
        <v>151.22598558152143</v>
      </c>
      <c r="G128" s="447">
        <f>G94*Group_1_rates!I90</f>
        <v>154.30588672553378</v>
      </c>
      <c r="H128" s="447">
        <f>H94*Group_1_rates!J90</f>
        <v>158.00643674579158</v>
      </c>
      <c r="I128" s="447">
        <f>I94*Group_1_rates!K90</f>
        <v>162.11063511365876</v>
      </c>
      <c r="J128" s="447">
        <f>J94*Group_1_rates!L90</f>
        <v>166.19904844092065</v>
      </c>
      <c r="K128" s="447">
        <f>K94*Group_1_rates!M90</f>
        <v>168.96246624741372</v>
      </c>
      <c r="L128" s="447">
        <f>L94*Group_1_rates!N90</f>
        <v>170.71425301002907</v>
      </c>
      <c r="M128" s="447">
        <f>M94*Group_1_rates!O90</f>
        <v>171.48631284716629</v>
      </c>
      <c r="N128" s="447">
        <f>N94*Group_1_rates!P90</f>
        <v>171.13663785124237</v>
      </c>
      <c r="O128" s="320"/>
      <c r="P128" s="320"/>
    </row>
    <row r="129" spans="1:16">
      <c r="B129" s="331" t="str">
        <f t="shared" si="52"/>
        <v>30-34</v>
      </c>
      <c r="C129" s="447">
        <f>C95*Group_1_rates!E91</f>
        <v>153.6868421961847</v>
      </c>
      <c r="D129" s="447">
        <f>D95*Group_1_rates!F91</f>
        <v>150.03442403324959</v>
      </c>
      <c r="E129" s="447">
        <f>E95*Group_1_rates!G91</f>
        <v>147.64649556492427</v>
      </c>
      <c r="F129" s="447">
        <f>F95*Group_1_rates!H91</f>
        <v>146.29781256744383</v>
      </c>
      <c r="G129" s="447">
        <f>G95*Group_1_rates!I91</f>
        <v>144.26182256670597</v>
      </c>
      <c r="H129" s="447">
        <f>H95*Group_1_rates!J91</f>
        <v>143.59543458642156</v>
      </c>
      <c r="I129" s="447">
        <f>I95*Group_1_rates!K91</f>
        <v>144.06036955608366</v>
      </c>
      <c r="J129" s="447">
        <f>J95*Group_1_rates!L91</f>
        <v>145.29539561764238</v>
      </c>
      <c r="K129" s="447">
        <f>K95*Group_1_rates!M91</f>
        <v>146.49153726897711</v>
      </c>
      <c r="L129" s="447">
        <f>L95*Group_1_rates!N91</f>
        <v>147.54113575106149</v>
      </c>
      <c r="M129" s="447">
        <f>M95*Group_1_rates!O91</f>
        <v>148.2760164442079</v>
      </c>
      <c r="N129" s="447">
        <f>N95*Group_1_rates!P91</f>
        <v>148.4881018288886</v>
      </c>
      <c r="O129" s="320"/>
      <c r="P129" s="320"/>
    </row>
    <row r="130" spans="1:16">
      <c r="B130" s="331" t="str">
        <f t="shared" si="52"/>
        <v>35-39</v>
      </c>
      <c r="C130" s="447">
        <f>C96*Group_1_rates!E92</f>
        <v>134.86679759226831</v>
      </c>
      <c r="D130" s="447">
        <f>D96*Group_1_rates!F92</f>
        <v>135.92183187746758</v>
      </c>
      <c r="E130" s="447">
        <f>E96*Group_1_rates!G92</f>
        <v>136.44555787020619</v>
      </c>
      <c r="F130" s="447">
        <f>F96*Group_1_rates!H92</f>
        <v>136.15410605341575</v>
      </c>
      <c r="G130" s="447">
        <f>G96*Group_1_rates!I92</f>
        <v>134.02325263142257</v>
      </c>
      <c r="H130" s="447">
        <f>H96*Group_1_rates!J92</f>
        <v>132.35753784036672</v>
      </c>
      <c r="I130" s="447">
        <f>I96*Group_1_rates!K92</f>
        <v>131.29200197561099</v>
      </c>
      <c r="J130" s="447">
        <f>J96*Group_1_rates!L92</f>
        <v>130.78828423489909</v>
      </c>
      <c r="K130" s="447">
        <f>K96*Group_1_rates!M92</f>
        <v>130.45917765375165</v>
      </c>
      <c r="L130" s="447">
        <f>L96*Group_1_rates!N92</f>
        <v>130.29309491279497</v>
      </c>
      <c r="M130" s="447">
        <f>M96*Group_1_rates!O92</f>
        <v>130.18114154313022</v>
      </c>
      <c r="N130" s="447">
        <f>N96*Group_1_rates!P92</f>
        <v>129.96022720915718</v>
      </c>
      <c r="O130" s="320"/>
      <c r="P130" s="320"/>
    </row>
    <row r="131" spans="1:16">
      <c r="B131" s="331" t="str">
        <f t="shared" si="52"/>
        <v>40-44</v>
      </c>
      <c r="C131" s="447">
        <f>C97*Group_1_rates!E93</f>
        <v>112.83158275888538</v>
      </c>
      <c r="D131" s="447">
        <f>D97*Group_1_rates!F93</f>
        <v>116.4461259601771</v>
      </c>
      <c r="E131" s="447">
        <f>E97*Group_1_rates!G93</f>
        <v>119.67594410023509</v>
      </c>
      <c r="F131" s="447">
        <f>F97*Group_1_rates!H93</f>
        <v>121.89712165718758</v>
      </c>
      <c r="G131" s="447">
        <f>G97*Group_1_rates!I93</f>
        <v>121.93507424404247</v>
      </c>
      <c r="H131" s="447">
        <f>H97*Group_1_rates!J93</f>
        <v>121.76422164216797</v>
      </c>
      <c r="I131" s="447">
        <f>I97*Group_1_rates!K93</f>
        <v>121.55210030379156</v>
      </c>
      <c r="J131" s="447">
        <f>J97*Group_1_rates!L93</f>
        <v>121.36541505709182</v>
      </c>
      <c r="K131" s="447">
        <f>K97*Group_1_rates!M93</f>
        <v>121.00002159388697</v>
      </c>
      <c r="L131" s="447">
        <f>L97*Group_1_rates!N93</f>
        <v>120.57077950459825</v>
      </c>
      <c r="M131" s="447">
        <f>M97*Group_1_rates!O93</f>
        <v>120.09144503262331</v>
      </c>
      <c r="N131" s="447">
        <f>N97*Group_1_rates!P93</f>
        <v>119.50659151038842</v>
      </c>
      <c r="O131" s="320"/>
      <c r="P131" s="320"/>
    </row>
    <row r="132" spans="1:16">
      <c r="B132" s="331" t="str">
        <f t="shared" si="52"/>
        <v>45-49</v>
      </c>
      <c r="C132" s="447">
        <f>C98*Group_1_rates!E94</f>
        <v>89.664572440703921</v>
      </c>
      <c r="D132" s="447">
        <f>D98*Group_1_rates!F94</f>
        <v>96.031887269001558</v>
      </c>
      <c r="E132" s="447">
        <f>E98*Group_1_rates!G94</f>
        <v>101.66853027920989</v>
      </c>
      <c r="F132" s="447">
        <f>F98*Group_1_rates!H94</f>
        <v>106.22883476773045</v>
      </c>
      <c r="G132" s="447">
        <f>G98*Group_1_rates!I94</f>
        <v>108.62379880227259</v>
      </c>
      <c r="H132" s="447">
        <f>H98*Group_1_rates!J94</f>
        <v>110.5244174489457</v>
      </c>
      <c r="I132" s="447">
        <f>I98*Group_1_rates!K94</f>
        <v>112.05114334393134</v>
      </c>
      <c r="J132" s="447">
        <f>J98*Group_1_rates!L94</f>
        <v>113.25288640052092</v>
      </c>
      <c r="K132" s="447">
        <f>K98*Group_1_rates!M94</f>
        <v>113.95802162382218</v>
      </c>
      <c r="L132" s="447">
        <f>L98*Group_1_rates!N94</f>
        <v>114.3006546471161</v>
      </c>
      <c r="M132" s="447">
        <f>M98*Group_1_rates!O94</f>
        <v>114.33964029831084</v>
      </c>
      <c r="N132" s="447">
        <f>N98*Group_1_rates!P94</f>
        <v>114.07911024984963</v>
      </c>
      <c r="O132" s="320"/>
      <c r="P132" s="320"/>
    </row>
    <row r="133" spans="1:16">
      <c r="B133" s="331" t="str">
        <f t="shared" si="52"/>
        <v>50-54</v>
      </c>
      <c r="C133" s="447">
        <f>C99*Group_1_rates!E95</f>
        <v>62.43019337673357</v>
      </c>
      <c r="D133" s="447">
        <f>D99*Group_1_rates!F95</f>
        <v>66.821177249098525</v>
      </c>
      <c r="E133" s="447">
        <f>E99*Group_1_rates!G95</f>
        <v>71.233883622362157</v>
      </c>
      <c r="F133" s="447">
        <f>F99*Group_1_rates!H95</f>
        <v>75.275678551347923</v>
      </c>
      <c r="G133" s="447">
        <f>G99*Group_1_rates!I95</f>
        <v>77.994524435438535</v>
      </c>
      <c r="H133" s="447">
        <f>H99*Group_1_rates!J95</f>
        <v>80.462457325677732</v>
      </c>
      <c r="I133" s="447">
        <f>I99*Group_1_rates!K95</f>
        <v>82.683043357055027</v>
      </c>
      <c r="J133" s="447">
        <f>J99*Group_1_rates!L95</f>
        <v>84.626150901109568</v>
      </c>
      <c r="K133" s="447">
        <f>K99*Group_1_rates!M95</f>
        <v>86.111124165861668</v>
      </c>
      <c r="L133" s="447">
        <f>L99*Group_1_rates!N95</f>
        <v>87.208580481668363</v>
      </c>
      <c r="M133" s="447">
        <f>M99*Group_1_rates!O95</f>
        <v>87.945950473801958</v>
      </c>
      <c r="N133" s="447">
        <f>N99*Group_1_rates!P95</f>
        <v>88.321769086813475</v>
      </c>
      <c r="O133" s="320"/>
      <c r="P133" s="320"/>
    </row>
    <row r="134" spans="1:16">
      <c r="B134" s="331" t="str">
        <f t="shared" si="52"/>
        <v>55-59</v>
      </c>
      <c r="C134" s="447">
        <f>C100*Group_1_rates!E96</f>
        <v>29.921294037341607</v>
      </c>
      <c r="D134" s="447">
        <f>D100*Group_1_rates!F96</f>
        <v>28.517846576261491</v>
      </c>
      <c r="E134" s="447">
        <f>E100*Group_1_rates!G96</f>
        <v>28.214084255202962</v>
      </c>
      <c r="F134" s="447">
        <f>F100*Group_1_rates!H96</f>
        <v>28.532760552990585</v>
      </c>
      <c r="G134" s="447">
        <f>G100*Group_1_rates!I96</f>
        <v>28.863992999056482</v>
      </c>
      <c r="H134" s="447">
        <f>H100*Group_1_rates!J96</f>
        <v>29.446623340961914</v>
      </c>
      <c r="I134" s="447">
        <f>I100*Group_1_rates!K96</f>
        <v>30.158845557759118</v>
      </c>
      <c r="J134" s="447">
        <f>J100*Group_1_rates!L96</f>
        <v>30.902824433666442</v>
      </c>
      <c r="K134" s="447">
        <f>K100*Group_1_rates!M96</f>
        <v>31.538854377327912</v>
      </c>
      <c r="L134" s="447">
        <f>L100*Group_1_rates!N96</f>
        <v>32.066158058247439</v>
      </c>
      <c r="M134" s="447">
        <f>M100*Group_1_rates!O96</f>
        <v>32.471390553775507</v>
      </c>
      <c r="N134" s="447">
        <f>N100*Group_1_rates!P96</f>
        <v>32.73540181725344</v>
      </c>
      <c r="O134" s="320"/>
      <c r="P134" s="320"/>
    </row>
    <row r="135" spans="1:16">
      <c r="B135" s="331" t="str">
        <f t="shared" si="52"/>
        <v>60-64</v>
      </c>
      <c r="C135" s="447">
        <f>C101*Group_1_rates!E97</f>
        <v>11.126512465245098</v>
      </c>
      <c r="D135" s="447">
        <f>D101*Group_1_rates!F97</f>
        <v>10.985446012601846</v>
      </c>
      <c r="E135" s="447">
        <f>E101*Group_1_rates!G97</f>
        <v>10.705414994429928</v>
      </c>
      <c r="F135" s="447">
        <f>F101*Group_1_rates!H97</f>
        <v>10.522059085120869</v>
      </c>
      <c r="G135" s="447">
        <f>G101*Group_1_rates!I97</f>
        <v>10.350919518070013</v>
      </c>
      <c r="H135" s="447">
        <f>H101*Group_1_rates!J97</f>
        <v>10.335836453863703</v>
      </c>
      <c r="I135" s="447">
        <f>I101*Group_1_rates!K97</f>
        <v>10.436585938025804</v>
      </c>
      <c r="J135" s="447">
        <f>J101*Group_1_rates!L97</f>
        <v>10.604897717750328</v>
      </c>
      <c r="K135" s="447">
        <f>K101*Group_1_rates!M97</f>
        <v>10.766577714911767</v>
      </c>
      <c r="L135" s="447">
        <f>L101*Group_1_rates!N97</f>
        <v>10.916000381619826</v>
      </c>
      <c r="M135" s="447">
        <f>M101*Group_1_rates!O97</f>
        <v>11.040017511856286</v>
      </c>
      <c r="N135" s="447">
        <f>N101*Group_1_rates!P97</f>
        <v>11.123343801137409</v>
      </c>
      <c r="O135" s="320"/>
      <c r="P135" s="320"/>
    </row>
    <row r="136" spans="1:16">
      <c r="B136" s="331" t="str">
        <f t="shared" si="52"/>
        <v>65 plus</v>
      </c>
      <c r="C136" s="447">
        <f>C102*Group_1_rates!E98</f>
        <v>3.0639490453424965</v>
      </c>
      <c r="D136" s="447">
        <f>D102*Group_1_rates!F98</f>
        <v>4.3370681782342082</v>
      </c>
      <c r="E136" s="447">
        <f>E102*Group_1_rates!G98</f>
        <v>5.1319857638330886</v>
      </c>
      <c r="F136" s="447">
        <f>F102*Group_1_rates!H98</f>
        <v>5.6108327290932829</v>
      </c>
      <c r="G136" s="447">
        <f>G102*Group_1_rates!I98</f>
        <v>5.8270529478552167</v>
      </c>
      <c r="H136" s="447">
        <f>H102*Group_1_rates!J98</f>
        <v>5.9550807774234018</v>
      </c>
      <c r="I136" s="447">
        <f>I102*Group_1_rates!K98</f>
        <v>6.0513318242745013</v>
      </c>
      <c r="J136" s="447">
        <f>J102*Group_1_rates!L98</f>
        <v>6.1403433636460152</v>
      </c>
      <c r="K136" s="447">
        <f>K102*Group_1_rates!M98</f>
        <v>6.2125071446628954</v>
      </c>
      <c r="L136" s="447">
        <f>L102*Group_1_rates!N98</f>
        <v>6.2753990123117012</v>
      </c>
      <c r="M136" s="447">
        <f>M102*Group_1_rates!O98</f>
        <v>6.3280308690795186</v>
      </c>
      <c r="N136" s="447">
        <f>N102*Group_1_rates!P98</f>
        <v>6.3644027385221484</v>
      </c>
      <c r="O136" s="320"/>
      <c r="P136" s="320"/>
    </row>
    <row r="137" spans="1:16">
      <c r="B137" s="331" t="str">
        <f t="shared" si="52"/>
        <v>Total</v>
      </c>
      <c r="C137" s="447">
        <f>SUM(C127:C136)</f>
        <v>785.67129411452549</v>
      </c>
      <c r="D137" s="447">
        <f t="shared" ref="D137:N137" si="54">SUM(D127:D136)</f>
        <v>822.53424952190244</v>
      </c>
      <c r="E137" s="447">
        <f t="shared" si="54"/>
        <v>849.45458997131868</v>
      </c>
      <c r="F137" s="447">
        <f t="shared" si="54"/>
        <v>873.23674889798758</v>
      </c>
      <c r="G137" s="447">
        <f t="shared" si="54"/>
        <v>883.35714269262985</v>
      </c>
      <c r="H137" s="447">
        <f t="shared" si="54"/>
        <v>894.23172880994673</v>
      </c>
      <c r="I137" s="447">
        <f t="shared" si="54"/>
        <v>906.17759579965127</v>
      </c>
      <c r="J137" s="447">
        <f t="shared" si="54"/>
        <v>918.32290185591717</v>
      </c>
      <c r="K137" s="447">
        <f t="shared" si="54"/>
        <v>926.37259322937746</v>
      </c>
      <c r="L137" s="447">
        <f t="shared" si="54"/>
        <v>931.50898361072143</v>
      </c>
      <c r="M137" s="447">
        <f t="shared" si="54"/>
        <v>933.73765567961755</v>
      </c>
      <c r="N137" s="447">
        <f t="shared" si="54"/>
        <v>932.38721967395361</v>
      </c>
      <c r="O137" s="320"/>
      <c r="P137" s="320"/>
    </row>
    <row r="138" spans="1:16">
      <c r="A138" s="302">
        <f>SUM(C138:N138)</f>
        <v>0</v>
      </c>
      <c r="C138" s="302">
        <f t="shared" ref="C138:N138" si="55">SUM(C127:C136)-C137</f>
        <v>0</v>
      </c>
      <c r="D138" s="302">
        <f t="shared" si="55"/>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6" ht="15.75">
      <c r="B140" s="333" t="s">
        <v>165</v>
      </c>
      <c r="H140" s="318"/>
    </row>
    <row r="141" spans="1:16">
      <c r="H141" s="318"/>
    </row>
    <row r="142" spans="1:16">
      <c r="B142" s="334" t="s">
        <v>46</v>
      </c>
      <c r="H142" s="318"/>
    </row>
    <row r="143" spans="1:16">
      <c r="H143" s="318"/>
    </row>
    <row r="144" spans="1:16">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6">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c r="P145" s="320"/>
    </row>
    <row r="146" spans="1:16">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c r="P146" s="320"/>
    </row>
    <row r="147" spans="1:16">
      <c r="B147" s="331" t="str">
        <f t="shared" si="56"/>
        <v>30-34</v>
      </c>
      <c r="C147" s="447">
        <f>C79*Calc_SEC_retirement_rates!$G126</f>
        <v>8.6565859174415227E-2</v>
      </c>
      <c r="D147" s="447">
        <f>D79*Calc_SEC_retirement_rates!$G126</f>
        <v>8.4443504850443454E-2</v>
      </c>
      <c r="E147" s="447">
        <f>E79*Calc_SEC_retirement_rates!$G126</f>
        <v>8.2494534544219011E-2</v>
      </c>
      <c r="F147" s="447">
        <f>F79*Calc_SEC_retirement_rates!$G126</f>
        <v>8.1371301394808596E-2</v>
      </c>
      <c r="G147" s="447">
        <f>G79*Calc_SEC_retirement_rates!$G126</f>
        <v>8.1134094355841832E-2</v>
      </c>
      <c r="H147" s="447">
        <f>H79*Calc_SEC_retirement_rates!$G126</f>
        <v>8.1574416935271246E-2</v>
      </c>
      <c r="I147" s="447">
        <f>I79*Calc_SEC_retirement_rates!$G126</f>
        <v>8.2547753035697988E-2</v>
      </c>
      <c r="J147" s="447">
        <f>J79*Calc_SEC_retirement_rates!$G126</f>
        <v>8.3847056962003799E-2</v>
      </c>
      <c r="K147" s="447">
        <f>K79*Calc_SEC_retirement_rates!$G126</f>
        <v>8.5000098002325386E-2</v>
      </c>
      <c r="L147" s="447">
        <f>L79*Calc_SEC_retirement_rates!$G126</f>
        <v>8.5960674984492766E-2</v>
      </c>
      <c r="M147" s="447">
        <f>M79*Calc_SEC_retirement_rates!$G126</f>
        <v>8.6646700684009023E-2</v>
      </c>
      <c r="N147" s="447">
        <f>N79*Calc_SEC_retirement_rates!$G126</f>
        <v>8.6950616326945826E-2</v>
      </c>
      <c r="O147" s="320"/>
      <c r="P147" s="320"/>
    </row>
    <row r="148" spans="1:16">
      <c r="B148" s="331" t="str">
        <f t="shared" si="56"/>
        <v>35-39</v>
      </c>
      <c r="C148" s="447">
        <f>C80*Calc_SEC_retirement_rates!$G127</f>
        <v>0.19823502275761032</v>
      </c>
      <c r="D148" s="447">
        <f>D80*Calc_SEC_retirement_rates!$G127</f>
        <v>0.19386478273817723</v>
      </c>
      <c r="E148" s="447">
        <f>E80*Calc_SEC_retirement_rates!$G127</f>
        <v>0.18875449414671996</v>
      </c>
      <c r="F148" s="447">
        <f>F80*Calc_SEC_retirement_rates!$G127</f>
        <v>0.18403149137749536</v>
      </c>
      <c r="G148" s="447">
        <f>G80*Calc_SEC_retirement_rates!$G127</f>
        <v>0.1805564800438727</v>
      </c>
      <c r="H148" s="447">
        <f>H80*Calc_SEC_retirement_rates!$G127</f>
        <v>0.17825070261061621</v>
      </c>
      <c r="I148" s="447">
        <f>I80*Calc_SEC_retirement_rates!$G127</f>
        <v>0.17710735257381499</v>
      </c>
      <c r="J148" s="447">
        <f>J80*Calc_SEC_retirement_rates!$G127</f>
        <v>0.17692860740715002</v>
      </c>
      <c r="K148" s="447">
        <f>K80*Calc_SEC_retirement_rates!$G127</f>
        <v>0.17706857248824806</v>
      </c>
      <c r="L148" s="447">
        <f>L80*Calc_SEC_retirement_rates!$G127</f>
        <v>0.17744319762057112</v>
      </c>
      <c r="M148" s="447">
        <f>M80*Calc_SEC_retirement_rates!$G127</f>
        <v>0.17785708821948235</v>
      </c>
      <c r="N148" s="447">
        <f>N80*Calc_SEC_retirement_rates!$G127</f>
        <v>0.17805740736072534</v>
      </c>
      <c r="O148" s="320"/>
      <c r="P148" s="320"/>
    </row>
    <row r="149" spans="1:16">
      <c r="B149" s="331" t="str">
        <f t="shared" si="56"/>
        <v>40-44</v>
      </c>
      <c r="C149" s="447">
        <f>C81*Calc_SEC_retirement_rates!$G128</f>
        <v>0.34799654922175532</v>
      </c>
      <c r="D149" s="447">
        <f>D81*Calc_SEC_retirement_rates!$G128</f>
        <v>0.35398767547457433</v>
      </c>
      <c r="E149" s="447">
        <f>E81*Calc_SEC_retirement_rates!$G128</f>
        <v>0.35500430752343837</v>
      </c>
      <c r="F149" s="447">
        <f>F81*Calc_SEC_retirement_rates!$G128</f>
        <v>0.35345675786254177</v>
      </c>
      <c r="G149" s="447">
        <f>G81*Calc_SEC_retirement_rates!$G128</f>
        <v>0.35129931413396248</v>
      </c>
      <c r="H149" s="447">
        <f>H81*Calc_SEC_retirement_rates!$G128</f>
        <v>0.34897630355252163</v>
      </c>
      <c r="I149" s="447">
        <f>I81*Calc_SEC_retirement_rates!$G128</f>
        <v>0.3470325364430536</v>
      </c>
      <c r="J149" s="447">
        <f>J81*Calc_SEC_retirement_rates!$G128</f>
        <v>0.34564049286419113</v>
      </c>
      <c r="K149" s="447">
        <f>K81*Calc_SEC_retirement_rates!$G128</f>
        <v>0.34415812733758977</v>
      </c>
      <c r="L149" s="447">
        <f>L81*Calc_SEC_retirement_rates!$G128</f>
        <v>0.34282387198344716</v>
      </c>
      <c r="M149" s="447">
        <f>M81*Calc_SEC_retirement_rates!$G128</f>
        <v>0.34159031275976648</v>
      </c>
      <c r="N149" s="447">
        <f>N81*Calc_SEC_retirement_rates!$G128</f>
        <v>0.34022166881883642</v>
      </c>
      <c r="O149" s="320"/>
      <c r="P149" s="320"/>
    </row>
    <row r="150" spans="1:16">
      <c r="B150" s="331" t="str">
        <f t="shared" si="56"/>
        <v>45-49</v>
      </c>
      <c r="C150" s="447">
        <f>C82*Calc_SEC_retirement_rates!$G129</f>
        <v>0.56310811606658162</v>
      </c>
      <c r="D150" s="447">
        <f>D82*Calc_SEC_retirement_rates!$G129</f>
        <v>0.59054793674065731</v>
      </c>
      <c r="E150" s="447">
        <f>E82*Calc_SEC_retirement_rates!$G129</f>
        <v>0.60967079168058758</v>
      </c>
      <c r="F150" s="447">
        <f>F82*Calc_SEC_retirement_rates!$G129</f>
        <v>0.62275843329962521</v>
      </c>
      <c r="G150" s="447">
        <f>G82*Calc_SEC_retirement_rates!$G129</f>
        <v>0.63295083874998559</v>
      </c>
      <c r="H150" s="447">
        <f>H82*Calc_SEC_retirement_rates!$G129</f>
        <v>0.64035133933434929</v>
      </c>
      <c r="I150" s="447">
        <f>I82*Calc_SEC_retirement_rates!$G129</f>
        <v>0.64581480398484381</v>
      </c>
      <c r="J150" s="447">
        <f>J82*Calc_SEC_retirement_rates!$G129</f>
        <v>0.64977155649183893</v>
      </c>
      <c r="K150" s="447">
        <f>K82*Calc_SEC_retirement_rates!$G129</f>
        <v>0.65135755448890542</v>
      </c>
      <c r="L150" s="447">
        <f>L82*Calc_SEC_retirement_rates!$G129</f>
        <v>0.65137908642665565</v>
      </c>
      <c r="M150" s="447">
        <f>M82*Calc_SEC_retirement_rates!$G129</f>
        <v>0.65016859434194585</v>
      </c>
      <c r="N150" s="447">
        <f>N82*Calc_SEC_retirement_rates!$G129</f>
        <v>0.64771444103606268</v>
      </c>
      <c r="O150" s="320"/>
      <c r="P150" s="320"/>
    </row>
    <row r="151" spans="1:16">
      <c r="B151" s="331" t="str">
        <f t="shared" si="56"/>
        <v>50-54</v>
      </c>
      <c r="C151" s="447">
        <f>C83*Calc_SEC_retirement_rates!$G130</f>
        <v>9.3124801046933552</v>
      </c>
      <c r="D151" s="447">
        <f>D83*Calc_SEC_retirement_rates!$G130</f>
        <v>9.5103808492054203</v>
      </c>
      <c r="E151" s="447">
        <f>E83*Calc_SEC_retirement_rates!$G130</f>
        <v>9.7088117114281669</v>
      </c>
      <c r="F151" s="447">
        <f>F83*Calc_SEC_retirement_rates!$G130</f>
        <v>9.9040740487820873</v>
      </c>
      <c r="G151" s="447">
        <f>G83*Calc_SEC_retirement_rates!$G130</f>
        <v>10.116630548054928</v>
      </c>
      <c r="H151" s="447">
        <f>H83*Calc_SEC_retirement_rates!$G130</f>
        <v>10.321070362329916</v>
      </c>
      <c r="I151" s="447">
        <f>I83*Calc_SEC_retirement_rates!$G130</f>
        <v>10.510979279885293</v>
      </c>
      <c r="J151" s="447">
        <f>J83*Calc_SEC_retirement_rates!$G130</f>
        <v>10.678532131829698</v>
      </c>
      <c r="K151" s="447">
        <f>K83*Calc_SEC_retirement_rates!$G130</f>
        <v>10.799049956439875</v>
      </c>
      <c r="L151" s="447">
        <f>L83*Calc_SEC_retirement_rates!$G130</f>
        <v>10.880338474831552</v>
      </c>
      <c r="M151" s="447">
        <f>M83*Calc_SEC_retirement_rates!$G130</f>
        <v>10.925272737230829</v>
      </c>
      <c r="N151" s="447">
        <f>N83*Calc_SEC_retirement_rates!$G130</f>
        <v>10.933275872206016</v>
      </c>
      <c r="O151" s="320"/>
      <c r="P151" s="320"/>
    </row>
    <row r="152" spans="1:16">
      <c r="B152" s="331" t="str">
        <f t="shared" si="56"/>
        <v>55-59</v>
      </c>
      <c r="C152" s="447">
        <f>C84*Calc_SEC_retirement_rates!$G131</f>
        <v>47.852423485853969</v>
      </c>
      <c r="D152" s="447">
        <f>D84*Calc_SEC_retirement_rates!$G131</f>
        <v>42.639314298469522</v>
      </c>
      <c r="E152" s="447">
        <f>E84*Calc_SEC_retirement_rates!$G131</f>
        <v>39.57248374527633</v>
      </c>
      <c r="F152" s="447">
        <f>F84*Calc_SEC_retirement_rates!$G131</f>
        <v>37.966070664494083</v>
      </c>
      <c r="G152" s="447">
        <f>G84*Calc_SEC_retirement_rates!$G131</f>
        <v>37.347072814788071</v>
      </c>
      <c r="H152" s="447">
        <f>H84*Calc_SEC_retirement_rates!$G131</f>
        <v>37.310240484836143</v>
      </c>
      <c r="I152" s="447">
        <f>I84*Calc_SEC_retirement_rates!$G131</f>
        <v>37.614822562990021</v>
      </c>
      <c r="J152" s="447">
        <f>J84*Calc_SEC_retirement_rates!$G131</f>
        <v>38.081202068114806</v>
      </c>
      <c r="K152" s="447">
        <f>K84*Calc_SEC_retirement_rates!$G131</f>
        <v>38.498772520286934</v>
      </c>
      <c r="L152" s="447">
        <f>L84*Calc_SEC_retirement_rates!$G131</f>
        <v>38.845557069994975</v>
      </c>
      <c r="M152" s="447">
        <f>M84*Calc_SEC_retirement_rates!$G131</f>
        <v>39.091420949386112</v>
      </c>
      <c r="N152" s="447">
        <f>N84*Calc_SEC_retirement_rates!$G131</f>
        <v>39.204210786720644</v>
      </c>
      <c r="O152" s="320"/>
      <c r="P152" s="320"/>
    </row>
    <row r="153" spans="1:16">
      <c r="B153" s="331" t="str">
        <f t="shared" si="56"/>
        <v>60-64</v>
      </c>
      <c r="C153" s="447">
        <f>C85*Calc_SEC_retirement_rates!$G132</f>
        <v>27.778727623522268</v>
      </c>
      <c r="D153" s="447">
        <f>D85*Calc_SEC_retirement_rates!$G132</f>
        <v>27.662751131003507</v>
      </c>
      <c r="E153" s="447">
        <f>E85*Calc_SEC_retirement_rates!$G132</f>
        <v>26.180517483167485</v>
      </c>
      <c r="F153" s="447">
        <f>F85*Calc_SEC_retirement_rates!$G132</f>
        <v>24.731537959330435</v>
      </c>
      <c r="G153" s="447">
        <f>G85*Calc_SEC_retirement_rates!$G132</f>
        <v>23.715525017769746</v>
      </c>
      <c r="H153" s="447">
        <f>H85*Calc_SEC_retirement_rates!$G132</f>
        <v>23.135573878768042</v>
      </c>
      <c r="I153" s="447">
        <f>I85*Calc_SEC_retirement_rates!$G132</f>
        <v>22.912181586093062</v>
      </c>
      <c r="J153" s="447">
        <f>J85*Calc_SEC_retirement_rates!$G132</f>
        <v>22.924730884893116</v>
      </c>
      <c r="K153" s="447">
        <f>K85*Calc_SEC_retirement_rates!$G132</f>
        <v>22.990702997881883</v>
      </c>
      <c r="L153" s="447">
        <f>L85*Calc_SEC_retirement_rates!$G132</f>
        <v>23.083567738682994</v>
      </c>
      <c r="M153" s="447">
        <f>M85*Calc_SEC_retirement_rates!$G132</f>
        <v>23.162572438378394</v>
      </c>
      <c r="N153" s="447">
        <f>N85*Calc_SEC_retirement_rates!$G132</f>
        <v>23.185444609263278</v>
      </c>
      <c r="O153" s="320"/>
      <c r="P153" s="320"/>
    </row>
    <row r="154" spans="1:16">
      <c r="B154" s="331" t="str">
        <f t="shared" si="56"/>
        <v>65 plus</v>
      </c>
      <c r="C154" s="447">
        <f>C86*Calc_SEC_retirement_rates!$G133</f>
        <v>6.0271537818801884</v>
      </c>
      <c r="D154" s="447">
        <f>D86*Calc_SEC_retirement_rates!$G133</f>
        <v>8.1833948785439787</v>
      </c>
      <c r="E154" s="447">
        <f>E86*Calc_SEC_retirement_rates!$G133</f>
        <v>9.3122891685463873</v>
      </c>
      <c r="F154" s="447">
        <f>F86*Calc_SEC_retirement_rates!$G133</f>
        <v>9.7562039177959665</v>
      </c>
      <c r="G154" s="447">
        <f>G86*Calc_SEC_retirement_rates!$G133</f>
        <v>9.8682723831462518</v>
      </c>
      <c r="H154" s="447">
        <f>H86*Calc_SEC_retirement_rates!$G133</f>
        <v>9.8334196361583981</v>
      </c>
      <c r="I154" s="447">
        <f>I86*Calc_SEC_retirement_rates!$G133</f>
        <v>9.7717115252587607</v>
      </c>
      <c r="J154" s="447">
        <f>J86*Calc_SEC_retirement_rates!$G133</f>
        <v>9.7311506757468411</v>
      </c>
      <c r="K154" s="447">
        <f>K86*Calc_SEC_retirement_rates!$G133</f>
        <v>9.689899367794256</v>
      </c>
      <c r="L154" s="447">
        <f>L86*Calc_SEC_retirement_rates!$G133</f>
        <v>9.6597407489521014</v>
      </c>
      <c r="M154" s="447">
        <f>M86*Calc_SEC_retirement_rates!$G133</f>
        <v>9.6346427491745121</v>
      </c>
      <c r="N154" s="447">
        <f>N86*Calc_SEC_retirement_rates!$G133</f>
        <v>9.5996712086330724</v>
      </c>
      <c r="O154" s="320"/>
      <c r="P154" s="320"/>
    </row>
    <row r="155" spans="1:16">
      <c r="B155" s="331" t="str">
        <f t="shared" si="56"/>
        <v>Total</v>
      </c>
      <c r="C155" s="447">
        <f>SUM(C145:C154)</f>
        <v>92.166690543170148</v>
      </c>
      <c r="D155" s="447">
        <f t="shared" ref="D155:N155" si="58">SUM(D145:D154)</f>
        <v>89.218685057026278</v>
      </c>
      <c r="E155" s="447">
        <f t="shared" si="58"/>
        <v>86.010026236313337</v>
      </c>
      <c r="F155" s="447">
        <f t="shared" si="58"/>
        <v>83.599504574337047</v>
      </c>
      <c r="G155" s="447">
        <f t="shared" si="58"/>
        <v>82.293441491042657</v>
      </c>
      <c r="H155" s="447">
        <f t="shared" si="58"/>
        <v>81.849457124525259</v>
      </c>
      <c r="I155" s="447">
        <f t="shared" si="58"/>
        <v>82.062197400264552</v>
      </c>
      <c r="J155" s="447">
        <f t="shared" si="58"/>
        <v>82.671803474309655</v>
      </c>
      <c r="K155" s="447">
        <f t="shared" si="58"/>
        <v>83.236009194720012</v>
      </c>
      <c r="L155" s="447">
        <f t="shared" si="58"/>
        <v>83.726810863476786</v>
      </c>
      <c r="M155" s="447">
        <f t="shared" si="58"/>
        <v>84.070171570175049</v>
      </c>
      <c r="N155" s="447">
        <f t="shared" si="58"/>
        <v>84.175546610365572</v>
      </c>
      <c r="O155" s="320"/>
      <c r="P155" s="320"/>
    </row>
    <row r="156" spans="1:16">
      <c r="A156" s="302">
        <f>SUM(C156:N156)</f>
        <v>0</v>
      </c>
      <c r="C156" s="302">
        <f t="shared" ref="C156:N156" si="59">SUM(C145:C154)-C155</f>
        <v>0</v>
      </c>
      <c r="D156" s="302">
        <f t="shared" si="59"/>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6">
      <c r="B158" s="334" t="s">
        <v>47</v>
      </c>
      <c r="C158" s="322"/>
      <c r="D158" s="322"/>
      <c r="E158" s="322"/>
      <c r="F158" s="322"/>
      <c r="G158" s="322"/>
      <c r="H158" s="332"/>
      <c r="I158" s="322"/>
      <c r="J158" s="322"/>
      <c r="K158" s="322"/>
      <c r="L158" s="322"/>
    </row>
    <row r="159" spans="1:16">
      <c r="C159" s="322"/>
      <c r="D159" s="322"/>
      <c r="E159" s="322"/>
      <c r="F159" s="322"/>
      <c r="G159" s="322"/>
      <c r="H159" s="332"/>
      <c r="I159" s="322"/>
      <c r="J159" s="322"/>
      <c r="K159" s="322"/>
      <c r="L159" s="322"/>
    </row>
    <row r="160" spans="1:16">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0.13731707162090509</v>
      </c>
      <c r="D163" s="447">
        <f>D95*Calc_SEC_retirement_rates!$G142</f>
        <v>0.13339443401695264</v>
      </c>
      <c r="E163" s="447">
        <f>E95*Calc_SEC_retirement_rates!$G142</f>
        <v>0.12912189996113915</v>
      </c>
      <c r="F163" s="447">
        <f>F95*Calc_SEC_retirement_rates!$G142</f>
        <v>0.1263185482914497</v>
      </c>
      <c r="G163" s="447">
        <f>G95*Calc_SEC_retirement_rates!$G142</f>
        <v>0.12456060470558407</v>
      </c>
      <c r="H163" s="447">
        <f>H95*Calc_SEC_retirement_rates!$G142</f>
        <v>0.1239852224712831</v>
      </c>
      <c r="I163" s="447">
        <f>I95*Calc_SEC_retirement_rates!$G142</f>
        <v>0.12438666326788128</v>
      </c>
      <c r="J163" s="447">
        <f>J95*Calc_SEC_retirement_rates!$G142</f>
        <v>0.12545302712158746</v>
      </c>
      <c r="K163" s="447">
        <f>K95*Calc_SEC_retirement_rates!$G142</f>
        <v>0.12648581684206181</v>
      </c>
      <c r="L163" s="447">
        <f>L95*Calc_SEC_retirement_rates!$G142</f>
        <v>0.1273920761648708</v>
      </c>
      <c r="M163" s="447">
        <f>M95*Calc_SEC_retirement_rates!$G142</f>
        <v>0.12802659735624455</v>
      </c>
      <c r="N163" s="447">
        <f>N95*Calc_SEC_retirement_rates!$G142</f>
        <v>0.12820971915032028</v>
      </c>
    </row>
    <row r="164" spans="1:14">
      <c r="B164" s="331" t="str">
        <f t="shared" si="60"/>
        <v>35-39</v>
      </c>
      <c r="C164" s="447">
        <f>C96*Calc_SEC_retirement_rates!$G143</f>
        <v>0.48585864291024078</v>
      </c>
      <c r="D164" s="447">
        <f>D96*Calc_SEC_retirement_rates!$G143</f>
        <v>0.48725135309764572</v>
      </c>
      <c r="E164" s="447">
        <f>E96*Calc_SEC_retirement_rates!$G143</f>
        <v>0.48111977462074734</v>
      </c>
      <c r="F164" s="447">
        <f>F96*Calc_SEC_retirement_rates!$G143</f>
        <v>0.47399862059186815</v>
      </c>
      <c r="G164" s="447">
        <f>G96*Calc_SEC_retirement_rates!$G143</f>
        <v>0.466580397139158</v>
      </c>
      <c r="H164" s="447">
        <f>H96*Calc_SEC_retirement_rates!$G143</f>
        <v>0.4607814790150862</v>
      </c>
      <c r="I164" s="447">
        <f>I96*Calc_SEC_retirement_rates!$G143</f>
        <v>0.4570719872874755</v>
      </c>
      <c r="J164" s="447">
        <f>J96*Calc_SEC_retirement_rates!$G143</f>
        <v>0.455318374993393</v>
      </c>
      <c r="K164" s="447">
        <f>K96*Calc_SEC_retirement_rates!$G143</f>
        <v>0.45417264336609714</v>
      </c>
      <c r="L164" s="447">
        <f>L96*Calc_SEC_retirement_rates!$G143</f>
        <v>0.45359445301694457</v>
      </c>
      <c r="M164" s="447">
        <f>M96*Calc_SEC_retirement_rates!$G143</f>
        <v>0.45320470536753549</v>
      </c>
      <c r="N164" s="447">
        <f>N96*Calc_SEC_retirement_rates!$G143</f>
        <v>0.45243562764665424</v>
      </c>
    </row>
    <row r="165" spans="1:14">
      <c r="B165" s="331" t="str">
        <f t="shared" si="60"/>
        <v>40-44</v>
      </c>
      <c r="C165" s="447">
        <f>C97*Calc_SEC_retirement_rates!$G144</f>
        <v>0.95955986448142716</v>
      </c>
      <c r="D165" s="447">
        <f>D97*Calc_SEC_retirement_rates!$G144</f>
        <v>0.9854291069314467</v>
      </c>
      <c r="E165" s="447">
        <f>E97*Calc_SEC_retirement_rates!$G144</f>
        <v>0.99617852421620412</v>
      </c>
      <c r="F165" s="447">
        <f>F97*Calc_SEC_retirement_rates!$G144</f>
        <v>1.0017890773861506</v>
      </c>
      <c r="G165" s="447">
        <f>G97*Calc_SEC_retirement_rates!$G144</f>
        <v>1.0021009837417141</v>
      </c>
      <c r="H165" s="447">
        <f>H97*Calc_SEC_retirement_rates!$G144</f>
        <v>1.0006968630531039</v>
      </c>
      <c r="I165" s="447">
        <f>I97*Calc_SEC_retirement_rates!$G144</f>
        <v>0.99895358284289826</v>
      </c>
      <c r="J165" s="447">
        <f>J97*Calc_SEC_retirement_rates!$G144</f>
        <v>0.99741934447442482</v>
      </c>
      <c r="K165" s="447">
        <f>K97*Calc_SEC_retirement_rates!$G144</f>
        <v>0.99441642549315179</v>
      </c>
      <c r="L165" s="447">
        <f>L97*Calc_SEC_retirement_rates!$G144</f>
        <v>0.99088877832020883</v>
      </c>
      <c r="M165" s="447">
        <f>M97*Calc_SEC_retirement_rates!$G144</f>
        <v>0.98694945611217844</v>
      </c>
      <c r="N165" s="447">
        <f>N97*Calc_SEC_retirement_rates!$G144</f>
        <v>0.98214294499460286</v>
      </c>
    </row>
    <row r="166" spans="1:14">
      <c r="B166" s="331" t="str">
        <f t="shared" si="60"/>
        <v>45-49</v>
      </c>
      <c r="C166" s="447">
        <f>C98*Calc_SEC_retirement_rates!$G145</f>
        <v>1.0626610687593701</v>
      </c>
      <c r="D166" s="447">
        <f>D98*Calc_SEC_retirement_rates!$G145</f>
        <v>1.1325263087664588</v>
      </c>
      <c r="E166" s="447">
        <f>E98*Calc_SEC_retirement_rates!$G145</f>
        <v>1.1793680338614365</v>
      </c>
      <c r="F166" s="447">
        <f>F98*Calc_SEC_retirement_rates!$G145</f>
        <v>1.2166278487530162</v>
      </c>
      <c r="G166" s="447">
        <f>G98*Calc_SEC_retirement_rates!$G145</f>
        <v>1.2440571239357556</v>
      </c>
      <c r="H166" s="447">
        <f>H98*Calc_SEC_retirement_rates!$G145</f>
        <v>1.2658247125613651</v>
      </c>
      <c r="I166" s="447">
        <f>I98*Calc_SEC_retirement_rates!$G145</f>
        <v>1.2833101462038712</v>
      </c>
      <c r="J166" s="447">
        <f>J98*Calc_SEC_retirement_rates!$G145</f>
        <v>1.2970735850374919</v>
      </c>
      <c r="K166" s="447">
        <f>K98*Calc_SEC_retirement_rates!$G145</f>
        <v>1.3051494257607827</v>
      </c>
      <c r="L166" s="447">
        <f>L98*Calc_SEC_retirement_rates!$G145</f>
        <v>1.3090735663103172</v>
      </c>
      <c r="M166" s="447">
        <f>M98*Calc_SEC_retirement_rates!$G145</f>
        <v>1.3095200649380108</v>
      </c>
      <c r="N166" s="447">
        <f>N98*Calc_SEC_retirement_rates!$G145</f>
        <v>1.3065362412606831</v>
      </c>
    </row>
    <row r="167" spans="1:14">
      <c r="B167" s="331" t="str">
        <f t="shared" si="60"/>
        <v>50-54</v>
      </c>
      <c r="C167" s="447">
        <f>C99*Calc_SEC_retirement_rates!$G146</f>
        <v>16.770276790841198</v>
      </c>
      <c r="D167" s="447">
        <f>D99*Calc_SEC_retirement_rates!$G146</f>
        <v>17.86152848411761</v>
      </c>
      <c r="E167" s="447">
        <f>E99*Calc_SEC_retirement_rates!$G146</f>
        <v>18.729280392488558</v>
      </c>
      <c r="F167" s="447">
        <f>F99*Calc_SEC_retirement_rates!$G146</f>
        <v>19.540770170569015</v>
      </c>
      <c r="G167" s="447">
        <f>G99*Calc_SEC_retirement_rates!$G146</f>
        <v>20.246553812412529</v>
      </c>
      <c r="H167" s="447">
        <f>H99*Calc_SEC_retirement_rates!$G146</f>
        <v>20.887203094260666</v>
      </c>
      <c r="I167" s="447">
        <f>I99*Calc_SEC_retirement_rates!$G146</f>
        <v>21.46364374704762</v>
      </c>
      <c r="J167" s="447">
        <f>J99*Calc_SEC_retirement_rates!$G146</f>
        <v>21.968053918643324</v>
      </c>
      <c r="K167" s="447">
        <f>K99*Calc_SEC_retirement_rates!$G146</f>
        <v>22.353537275743406</v>
      </c>
      <c r="L167" s="447">
        <f>L99*Calc_SEC_retirement_rates!$G146</f>
        <v>22.638425330585576</v>
      </c>
      <c r="M167" s="447">
        <f>M99*Calc_SEC_retirement_rates!$G146</f>
        <v>22.829838783433143</v>
      </c>
      <c r="N167" s="447">
        <f>N99*Calc_SEC_retirement_rates!$G146</f>
        <v>22.92739732138336</v>
      </c>
    </row>
    <row r="168" spans="1:14">
      <c r="B168" s="331" t="str">
        <f t="shared" si="60"/>
        <v>55-59</v>
      </c>
      <c r="C168" s="447">
        <f>C100*Calc_SEC_retirement_rates!$G147</f>
        <v>83.326954873333293</v>
      </c>
      <c r="D168" s="447">
        <f>D100*Calc_SEC_retirement_rates!$G147</f>
        <v>79.027967877474921</v>
      </c>
      <c r="E168" s="447">
        <f>E100*Calc_SEC_retirement_rates!$G147</f>
        <v>76.905963343103579</v>
      </c>
      <c r="F168" s="447">
        <f>F100*Calc_SEC_retirement_rates!$G147</f>
        <v>76.787473462881252</v>
      </c>
      <c r="G168" s="447">
        <f>G100*Calc_SEC_retirement_rates!$G147</f>
        <v>77.67888747853857</v>
      </c>
      <c r="H168" s="447">
        <f>H100*Calc_SEC_retirement_rates!$G147</f>
        <v>79.246864465365519</v>
      </c>
      <c r="I168" s="447">
        <f>I100*Calc_SEC_retirement_rates!$G147</f>
        <v>81.163599597615374</v>
      </c>
      <c r="J168" s="447">
        <f>J100*Calc_SEC_retirement_rates!$G147</f>
        <v>83.165798371357582</v>
      </c>
      <c r="K168" s="447">
        <f>K100*Calc_SEC_retirement_rates!$G147</f>
        <v>84.877484569046018</v>
      </c>
      <c r="L168" s="447">
        <f>L100*Calc_SEC_retirement_rates!$G147</f>
        <v>86.296566235900158</v>
      </c>
      <c r="M168" s="447">
        <f>M100*Calc_SEC_retirement_rates!$G147</f>
        <v>87.387129465450585</v>
      </c>
      <c r="N168" s="447">
        <f>N100*Calc_SEC_retirement_rates!$G147</f>
        <v>88.097637579467914</v>
      </c>
    </row>
    <row r="169" spans="1:14">
      <c r="B169" s="331" t="str">
        <f t="shared" si="60"/>
        <v>60-64</v>
      </c>
      <c r="C169" s="447">
        <f>C101*Calc_SEC_retirement_rates!$G148</f>
        <v>60.90294501948452</v>
      </c>
      <c r="D169" s="447">
        <f>D101*Calc_SEC_retirement_rates!$G148</f>
        <v>59.835080059531649</v>
      </c>
      <c r="E169" s="447">
        <f>E101*Calc_SEC_retirement_rates!$G148</f>
        <v>57.355049765983978</v>
      </c>
      <c r="F169" s="447">
        <f>F101*Calc_SEC_retirement_rates!$G148</f>
        <v>55.657208259353318</v>
      </c>
      <c r="G169" s="447">
        <f>G101*Calc_SEC_retirement_rates!$G148</f>
        <v>54.751952886074299</v>
      </c>
      <c r="H169" s="447">
        <f>H101*Calc_SEC_retirement_rates!$G148</f>
        <v>54.672169904537263</v>
      </c>
      <c r="I169" s="447">
        <f>I101*Calc_SEC_retirement_rates!$G148</f>
        <v>55.205091738245827</v>
      </c>
      <c r="J169" s="447">
        <f>J101*Calc_SEC_retirement_rates!$G148</f>
        <v>56.09538932171759</v>
      </c>
      <c r="K169" s="447">
        <f>K101*Calc_SEC_retirement_rates!$G148</f>
        <v>56.950607601769896</v>
      </c>
      <c r="L169" s="447">
        <f>L101*Calc_SEC_retirement_rates!$G148</f>
        <v>57.740989827564334</v>
      </c>
      <c r="M169" s="447">
        <f>M101*Calc_SEC_retirement_rates!$G148</f>
        <v>58.396987592779197</v>
      </c>
      <c r="N169" s="447">
        <f>N101*Calc_SEC_retirement_rates!$G148</f>
        <v>58.837748151000802</v>
      </c>
    </row>
    <row r="170" spans="1:14">
      <c r="B170" s="331" t="str">
        <f t="shared" si="60"/>
        <v>65 plus</v>
      </c>
      <c r="C170" s="447">
        <f>C102*Calc_SEC_retirement_rates!$G149</f>
        <v>12.871655045249193</v>
      </c>
      <c r="D170" s="447">
        <f>D102*Calc_SEC_retirement_rates!$G149</f>
        <v>18.13042774466329</v>
      </c>
      <c r="E170" s="447">
        <f>E102*Calc_SEC_retirement_rates!$G149</f>
        <v>21.102174757209777</v>
      </c>
      <c r="F170" s="447">
        <f>F102*Calc_SEC_retirement_rates!$G149</f>
        <v>22.778316482354363</v>
      </c>
      <c r="G170" s="447">
        <f>G102*Calc_SEC_retirement_rates!$G149</f>
        <v>23.656106430948881</v>
      </c>
      <c r="H170" s="447">
        <f>H102*Calc_SEC_retirement_rates!$G149</f>
        <v>24.175861440812508</v>
      </c>
      <c r="I170" s="447">
        <f>I102*Calc_SEC_retirement_rates!$G149</f>
        <v>24.566612139111538</v>
      </c>
      <c r="J170" s="447">
        <f>J102*Calc_SEC_retirement_rates!$G149</f>
        <v>24.927972584571396</v>
      </c>
      <c r="K170" s="447">
        <f>K102*Calc_SEC_retirement_rates!$G149</f>
        <v>25.220936128831507</v>
      </c>
      <c r="L170" s="447">
        <f>L102*Calc_SEC_retirement_rates!$G149</f>
        <v>25.476258455238188</v>
      </c>
      <c r="M170" s="447">
        <f>M102*Calc_SEC_retirement_rates!$G149</f>
        <v>25.689928180998315</v>
      </c>
      <c r="N170" s="447">
        <f>N102*Calc_SEC_retirement_rates!$G149</f>
        <v>25.83758718158181</v>
      </c>
    </row>
    <row r="171" spans="1:14">
      <c r="B171" s="331" t="str">
        <f t="shared" si="60"/>
        <v>Total</v>
      </c>
      <c r="C171" s="447">
        <f>SUM(C161:C170)</f>
        <v>176.51722837668015</v>
      </c>
      <c r="D171" s="447">
        <f t="shared" ref="D171:N171" si="62">SUM(D161:D170)</f>
        <v>177.59360536859998</v>
      </c>
      <c r="E171" s="447">
        <f t="shared" si="62"/>
        <v>176.87825649144543</v>
      </c>
      <c r="F171" s="447">
        <f t="shared" si="62"/>
        <v>177.58250247018043</v>
      </c>
      <c r="G171" s="447">
        <f t="shared" si="62"/>
        <v>179.17079971749649</v>
      </c>
      <c r="H171" s="447">
        <f t="shared" si="62"/>
        <v>181.83338718207679</v>
      </c>
      <c r="I171" s="447">
        <f t="shared" si="62"/>
        <v>185.26266960162249</v>
      </c>
      <c r="J171" s="447">
        <f t="shared" si="62"/>
        <v>189.03247852791679</v>
      </c>
      <c r="K171" s="447">
        <f t="shared" si="62"/>
        <v>192.28278988685292</v>
      </c>
      <c r="L171" s="447">
        <f t="shared" si="62"/>
        <v>195.03318872310061</v>
      </c>
      <c r="M171" s="447">
        <f t="shared" si="62"/>
        <v>197.18158484643521</v>
      </c>
      <c r="N171" s="447">
        <f t="shared" si="62"/>
        <v>198.56969476648612</v>
      </c>
    </row>
    <row r="172" spans="1:14">
      <c r="A172" s="302">
        <f>SUM(C172:N172)</f>
        <v>0</v>
      </c>
      <c r="C172" s="302">
        <f t="shared" ref="C172:N172" si="63">SUM(C161:C170)-C171</f>
        <v>0</v>
      </c>
      <c r="D172" s="302">
        <f t="shared" si="63"/>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3.999634679703603E-2</v>
      </c>
      <c r="D180" s="447">
        <f>D78*Calc_SEC_death_rates!$G125</f>
        <v>4.197643224281359E-2</v>
      </c>
      <c r="E180" s="447">
        <f>E78*Calc_SEC_death_rates!$G125</f>
        <v>4.3162140917813147E-2</v>
      </c>
      <c r="F180" s="447">
        <f>F78*Calc_SEC_death_rates!$G125</f>
        <v>4.4576334234978005E-2</v>
      </c>
      <c r="G180" s="447">
        <f>G78*Calc_SEC_death_rates!$G125</f>
        <v>4.6061833615545091E-2</v>
      </c>
      <c r="H180" s="447">
        <f>H78*Calc_SEC_death_rates!$G125</f>
        <v>4.7579983331193308E-2</v>
      </c>
      <c r="I180" s="447">
        <f>I78*Calc_SEC_death_rates!$G125</f>
        <v>4.91065001161229E-2</v>
      </c>
      <c r="J180" s="447">
        <f>J78*Calc_SEC_death_rates!$G125</f>
        <v>5.0540588367961006E-2</v>
      </c>
      <c r="K180" s="447">
        <f>K78*Calc_SEC_death_rates!$G125</f>
        <v>5.1486175200089995E-2</v>
      </c>
      <c r="L180" s="447">
        <f>L78*Calc_SEC_death_rates!$G125</f>
        <v>5.206893357372757E-2</v>
      </c>
      <c r="M180" s="447">
        <f>M78*Calc_SEC_death_rates!$G125</f>
        <v>5.2316024459322541E-2</v>
      </c>
      <c r="N180" s="447">
        <f>N78*Calc_SEC_death_rates!$G125</f>
        <v>5.2193374713214544E-2</v>
      </c>
    </row>
    <row r="181" spans="1:14">
      <c r="B181" s="331" t="str">
        <f t="shared" si="64"/>
        <v>30-34</v>
      </c>
      <c r="C181" s="447">
        <f>C79*Calc_SEC_death_rates!$G126</f>
        <v>0.17389430500278319</v>
      </c>
      <c r="D181" s="447">
        <f>D79*Calc_SEC_death_rates!$G126</f>
        <v>0.16963089984910568</v>
      </c>
      <c r="E181" s="447">
        <f>E79*Calc_SEC_death_rates!$G126</f>
        <v>0.16571579012681772</v>
      </c>
      <c r="F181" s="447">
        <f>F79*Calc_SEC_death_rates!$G126</f>
        <v>0.16345942890386414</v>
      </c>
      <c r="G181" s="447">
        <f>G79*Calc_SEC_death_rates!$G126</f>
        <v>0.16298292519239765</v>
      </c>
      <c r="H181" s="447">
        <f>H79*Calc_SEC_death_rates!$G126</f>
        <v>0.16386744929528488</v>
      </c>
      <c r="I181" s="447">
        <f>I79*Calc_SEC_death_rates!$G126</f>
        <v>0.16582269592868112</v>
      </c>
      <c r="J181" s="447">
        <f>J79*Calc_SEC_death_rates!$G126</f>
        <v>0.16843274976985079</v>
      </c>
      <c r="K181" s="447">
        <f>K79*Calc_SEC_death_rates!$G126</f>
        <v>0.17074898936197938</v>
      </c>
      <c r="L181" s="447">
        <f>L79*Calc_SEC_death_rates!$G126</f>
        <v>0.17267860535965709</v>
      </c>
      <c r="M181" s="447">
        <f>M79*Calc_SEC_death_rates!$G126</f>
        <v>0.17405670018097766</v>
      </c>
      <c r="N181" s="447">
        <f>N79*Calc_SEC_death_rates!$G126</f>
        <v>0.17466720875805408</v>
      </c>
    </row>
    <row r="182" spans="1:14">
      <c r="B182" s="331" t="str">
        <f t="shared" si="64"/>
        <v>35-39</v>
      </c>
      <c r="C182" s="447">
        <f>C80*Calc_SEC_death_rates!$G127</f>
        <v>0.36390724836330701</v>
      </c>
      <c r="D182" s="447">
        <f>D80*Calc_SEC_death_rates!$G127</f>
        <v>0.35588463965352468</v>
      </c>
      <c r="E182" s="447">
        <f>E80*Calc_SEC_death_rates!$G127</f>
        <v>0.34650349683733572</v>
      </c>
      <c r="F182" s="447">
        <f>F80*Calc_SEC_death_rates!$G127</f>
        <v>0.33783330870482614</v>
      </c>
      <c r="G182" s="447">
        <f>G80*Calc_SEC_death_rates!$G127</f>
        <v>0.331454103885927</v>
      </c>
      <c r="H182" s="447">
        <f>H80*Calc_SEC_death_rates!$G127</f>
        <v>0.32722130430590241</v>
      </c>
      <c r="I182" s="447">
        <f>I80*Calc_SEC_death_rates!$G127</f>
        <v>0.32512241501772066</v>
      </c>
      <c r="J182" s="447">
        <f>J80*Calc_SEC_death_rates!$G127</f>
        <v>0.32479428600774835</v>
      </c>
      <c r="K182" s="447">
        <f>K80*Calc_SEC_death_rates!$G127</f>
        <v>0.32505122500278966</v>
      </c>
      <c r="L182" s="447">
        <f>L80*Calc_SEC_death_rates!$G127</f>
        <v>0.32573893799706777</v>
      </c>
      <c r="M182" s="447">
        <f>M80*Calc_SEC_death_rates!$G127</f>
        <v>0.32649873203788865</v>
      </c>
      <c r="N182" s="447">
        <f>N80*Calc_SEC_death_rates!$G127</f>
        <v>0.32686646517843154</v>
      </c>
    </row>
    <row r="183" spans="1:14">
      <c r="B183" s="331" t="str">
        <f t="shared" si="64"/>
        <v>40-44</v>
      </c>
      <c r="C183" s="447">
        <f>C81*Calc_SEC_death_rates!$G128</f>
        <v>0.47857115423473562</v>
      </c>
      <c r="D183" s="447">
        <f>D81*Calc_SEC_death_rates!$G128</f>
        <v>0.48681025951434159</v>
      </c>
      <c r="E183" s="447">
        <f>E81*Calc_SEC_death_rates!$G128</f>
        <v>0.48820835031192261</v>
      </c>
      <c r="F183" s="447">
        <f>F81*Calc_SEC_death_rates!$G128</f>
        <v>0.48608013200312861</v>
      </c>
      <c r="G183" s="447">
        <f>G81*Calc_SEC_death_rates!$G128</f>
        <v>0.48311317633160922</v>
      </c>
      <c r="H183" s="447">
        <f>H81*Calc_SEC_death_rates!$G128</f>
        <v>0.4799185301267952</v>
      </c>
      <c r="I183" s="447">
        <f>I81*Calc_SEC_death_rates!$G128</f>
        <v>0.47724542641004297</v>
      </c>
      <c r="J183" s="447">
        <f>J81*Calc_SEC_death_rates!$G128</f>
        <v>0.47533106288037263</v>
      </c>
      <c r="K183" s="447">
        <f>K81*Calc_SEC_death_rates!$G128</f>
        <v>0.47329248697308296</v>
      </c>
      <c r="L183" s="447">
        <f>L81*Calc_SEC_death_rates!$G128</f>
        <v>0.47145759485618149</v>
      </c>
      <c r="M183" s="447">
        <f>M81*Calc_SEC_death_rates!$G128</f>
        <v>0.46976118188078281</v>
      </c>
      <c r="N183" s="447">
        <f>N81*Calc_SEC_death_rates!$G128</f>
        <v>0.46787899795679827</v>
      </c>
    </row>
    <row r="184" spans="1:14">
      <c r="B184" s="331" t="str">
        <f t="shared" si="64"/>
        <v>45-49</v>
      </c>
      <c r="C184" s="447">
        <f>C82*Calc_SEC_death_rates!$G129</f>
        <v>0.53991556408562713</v>
      </c>
      <c r="D184" s="447">
        <f>D82*Calc_SEC_death_rates!$G129</f>
        <v>0.56622522973409795</v>
      </c>
      <c r="E184" s="447">
        <f>E82*Calc_SEC_death_rates!$G129</f>
        <v>0.58456047782808784</v>
      </c>
      <c r="F184" s="447">
        <f>F82*Calc_SEC_death_rates!$G129</f>
        <v>0.59710908298166321</v>
      </c>
      <c r="G184" s="447">
        <f>G82*Calc_SEC_death_rates!$G129</f>
        <v>0.60688169712290585</v>
      </c>
      <c r="H184" s="447">
        <f>H82*Calc_SEC_death_rates!$G129</f>
        <v>0.6139773956815292</v>
      </c>
      <c r="I184" s="447">
        <f>I82*Calc_SEC_death_rates!$G129</f>
        <v>0.61921583837924521</v>
      </c>
      <c r="J184" s="447">
        <f>J82*Calc_SEC_death_rates!$G129</f>
        <v>0.62300962539954963</v>
      </c>
      <c r="K184" s="447">
        <f>K82*Calc_SEC_death_rates!$G129</f>
        <v>0.62453030140970256</v>
      </c>
      <c r="L184" s="447">
        <f>L82*Calc_SEC_death_rates!$G129</f>
        <v>0.62455094651849175</v>
      </c>
      <c r="M184" s="447">
        <f>M82*Calc_SEC_death_rates!$G129</f>
        <v>0.62339031058004613</v>
      </c>
      <c r="N184" s="447">
        <f>N82*Calc_SEC_death_rates!$G129</f>
        <v>0.62103723569319458</v>
      </c>
    </row>
    <row r="185" spans="1:14">
      <c r="B185" s="331" t="str">
        <f t="shared" si="64"/>
        <v>50-54</v>
      </c>
      <c r="C185" s="447">
        <f>C83*Calc_SEC_death_rates!$G130</f>
        <v>0.46287306580532028</v>
      </c>
      <c r="D185" s="447">
        <f>D83*Calc_SEC_death_rates!$G130</f>
        <v>0.47270964245382113</v>
      </c>
      <c r="E185" s="447">
        <f>E83*Calc_SEC_death_rates!$G130</f>
        <v>0.48257256838921669</v>
      </c>
      <c r="F185" s="447">
        <f>F83*Calc_SEC_death_rates!$G130</f>
        <v>0.49227800407457956</v>
      </c>
      <c r="G185" s="447">
        <f>G83*Calc_SEC_death_rates!$G130</f>
        <v>0.50284303909953287</v>
      </c>
      <c r="H185" s="447">
        <f>H83*Calc_SEC_death_rates!$G130</f>
        <v>0.51300463757193571</v>
      </c>
      <c r="I185" s="447">
        <f>I83*Calc_SEC_death_rates!$G130</f>
        <v>0.52244398368643907</v>
      </c>
      <c r="J185" s="447">
        <f>J83*Calc_SEC_death_rates!$G130</f>
        <v>0.53077213058093231</v>
      </c>
      <c r="K185" s="447">
        <f>K83*Calc_SEC_death_rates!$G130</f>
        <v>0.5367624204214857</v>
      </c>
      <c r="L185" s="447">
        <f>L83*Calc_SEC_death_rates!$G130</f>
        <v>0.54080283342636981</v>
      </c>
      <c r="M185" s="447">
        <f>M83*Calc_SEC_death_rates!$G130</f>
        <v>0.54303627280692446</v>
      </c>
      <c r="N185" s="447">
        <f>N83*Calc_SEC_death_rates!$G130</f>
        <v>0.54343406540141836</v>
      </c>
    </row>
    <row r="186" spans="1:14">
      <c r="B186" s="331" t="str">
        <f t="shared" si="64"/>
        <v>55-59</v>
      </c>
      <c r="C186" s="447">
        <f>C84*Calc_SEC_death_rates!$G131</f>
        <v>0.48560281916352849</v>
      </c>
      <c r="D186" s="447">
        <f>D84*Calc_SEC_death_rates!$G131</f>
        <v>0.43270057652686167</v>
      </c>
      <c r="E186" s="447">
        <f>E84*Calc_SEC_death_rates!$G131</f>
        <v>0.40157860915215365</v>
      </c>
      <c r="F186" s="447">
        <f>F84*Calc_SEC_death_rates!$G131</f>
        <v>0.38527684920054683</v>
      </c>
      <c r="G186" s="447">
        <f>G84*Calc_SEC_death_rates!$G131</f>
        <v>0.37899530525821623</v>
      </c>
      <c r="H186" s="447">
        <f>H84*Calc_SEC_death_rates!$G131</f>
        <v>0.37862153352508127</v>
      </c>
      <c r="I186" s="447">
        <f>I84*Calc_SEC_death_rates!$G131</f>
        <v>0.38171240970321113</v>
      </c>
      <c r="J186" s="447">
        <f>J84*Calc_SEC_death_rates!$G131</f>
        <v>0.38644519408466754</v>
      </c>
      <c r="K186" s="447">
        <f>K84*Calc_SEC_death_rates!$G131</f>
        <v>0.39068266784258743</v>
      </c>
      <c r="L186" s="447">
        <f>L84*Calc_SEC_death_rates!$G131</f>
        <v>0.39420181154970518</v>
      </c>
      <c r="M186" s="447">
        <f>M84*Calc_SEC_death_rates!$G131</f>
        <v>0.39669681983278859</v>
      </c>
      <c r="N186" s="447">
        <f>N84*Calc_SEC_death_rates!$G131</f>
        <v>0.39784140267714202</v>
      </c>
    </row>
    <row r="187" spans="1:14">
      <c r="B187" s="331" t="str">
        <f t="shared" si="64"/>
        <v>60-64</v>
      </c>
      <c r="C187" s="447">
        <f>C85*Calc_SEC_death_rates!$G132</f>
        <v>0.29926551922335609</v>
      </c>
      <c r="D187" s="447">
        <f>D85*Calc_SEC_death_rates!$G132</f>
        <v>0.29801608239810923</v>
      </c>
      <c r="E187" s="447">
        <f>E85*Calc_SEC_death_rates!$G132</f>
        <v>0.28204769722792733</v>
      </c>
      <c r="F187" s="447">
        <f>F85*Calc_SEC_death_rates!$G132</f>
        <v>0.26643756506413735</v>
      </c>
      <c r="G187" s="447">
        <f>G85*Calc_SEC_death_rates!$G132</f>
        <v>0.25549186428854309</v>
      </c>
      <c r="H187" s="447">
        <f>H85*Calc_SEC_death_rates!$G132</f>
        <v>0.2492439402982968</v>
      </c>
      <c r="I187" s="447">
        <f>I85*Calc_SEC_death_rates!$G132</f>
        <v>0.24683729261579951</v>
      </c>
      <c r="J187" s="447">
        <f>J85*Calc_SEC_death_rates!$G132</f>
        <v>0.24697248860001395</v>
      </c>
      <c r="K187" s="447">
        <f>K85*Calc_SEC_death_rates!$G132</f>
        <v>0.24768321872831281</v>
      </c>
      <c r="L187" s="447">
        <f>L85*Calc_SEC_death_rates!$G132</f>
        <v>0.24868366825393667</v>
      </c>
      <c r="M187" s="447">
        <f>M85*Calc_SEC_death_rates!$G132</f>
        <v>0.24953480091904148</v>
      </c>
      <c r="N187" s="447">
        <f>N85*Calc_SEC_death_rates!$G132</f>
        <v>0.24978120716875876</v>
      </c>
    </row>
    <row r="188" spans="1:14">
      <c r="B188" s="331" t="str">
        <f t="shared" si="64"/>
        <v>65 plus</v>
      </c>
      <c r="C188" s="447">
        <f>C86*Calc_SEC_death_rates!$G133</f>
        <v>6.7418869725083277E-2</v>
      </c>
      <c r="D188" s="447">
        <f>D86*Calc_SEC_death_rates!$G133</f>
        <v>9.1538270499107954E-2</v>
      </c>
      <c r="E188" s="447">
        <f>E86*Calc_SEC_death_rates!$G133</f>
        <v>0.10416591861053881</v>
      </c>
      <c r="F188" s="447">
        <f>F86*Calc_SEC_death_rates!$G133</f>
        <v>0.10913148473541112</v>
      </c>
      <c r="G188" s="447">
        <f>G86*Calc_SEC_death_rates!$G133</f>
        <v>0.11038506636600691</v>
      </c>
      <c r="H188" s="447">
        <f>H86*Calc_SEC_death_rates!$G133</f>
        <v>0.10999520858341648</v>
      </c>
      <c r="I188" s="447">
        <f>I86*Calc_SEC_death_rates!$G133</f>
        <v>0.10930495058763894</v>
      </c>
      <c r="J188" s="447">
        <f>J86*Calc_SEC_death_rates!$G133</f>
        <v>0.10885124279650808</v>
      </c>
      <c r="K188" s="447">
        <f>K86*Calc_SEC_death_rates!$G133</f>
        <v>0.10838981163720936</v>
      </c>
      <c r="L188" s="447">
        <f>L86*Calc_SEC_death_rates!$G133</f>
        <v>0.10805246169254387</v>
      </c>
      <c r="M188" s="447">
        <f>M86*Calc_SEC_death_rates!$G133</f>
        <v>0.10777171910016928</v>
      </c>
      <c r="N188" s="447">
        <f>N86*Calc_SEC_death_rates!$G133</f>
        <v>0.10738053251008474</v>
      </c>
    </row>
    <row r="189" spans="1:14">
      <c r="B189" s="331" t="str">
        <f t="shared" si="64"/>
        <v>Total</v>
      </c>
      <c r="C189" s="447">
        <f>SUM(C179:C188)</f>
        <v>2.9114448924007776</v>
      </c>
      <c r="D189" s="447">
        <f t="shared" ref="D189:N189" si="66">SUM(D179:D188)</f>
        <v>2.9154920328717835</v>
      </c>
      <c r="E189" s="447">
        <f t="shared" si="66"/>
        <v>2.8985150494018139</v>
      </c>
      <c r="F189" s="447">
        <f t="shared" si="66"/>
        <v>2.8821821899031352</v>
      </c>
      <c r="G189" s="447">
        <f t="shared" si="66"/>
        <v>2.8782090111606835</v>
      </c>
      <c r="H189" s="447">
        <f t="shared" si="66"/>
        <v>2.8834299827194352</v>
      </c>
      <c r="I189" s="447">
        <f t="shared" si="66"/>
        <v>2.8968115124449016</v>
      </c>
      <c r="J189" s="447">
        <f t="shared" si="66"/>
        <v>2.9151493684876044</v>
      </c>
      <c r="K189" s="447">
        <f t="shared" si="66"/>
        <v>2.9286272965772397</v>
      </c>
      <c r="L189" s="447">
        <f t="shared" si="66"/>
        <v>2.9382357932276815</v>
      </c>
      <c r="M189" s="447">
        <f t="shared" si="66"/>
        <v>2.9430625617979418</v>
      </c>
      <c r="N189" s="447">
        <f t="shared" si="66"/>
        <v>2.941080490057097</v>
      </c>
    </row>
    <row r="190" spans="1:14">
      <c r="A190" s="302">
        <f>SUM(C190:N190)</f>
        <v>0</v>
      </c>
      <c r="C190" s="302">
        <f t="shared" ref="C190:N190" si="67">SUM(C179:C188)-C189</f>
        <v>0</v>
      </c>
      <c r="D190" s="302">
        <f t="shared" si="67"/>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8">
      <c r="C193" s="322"/>
      <c r="D193" s="322"/>
      <c r="E193" s="322"/>
      <c r="F193" s="322"/>
      <c r="G193" s="322"/>
      <c r="H193" s="332"/>
      <c r="I193" s="322"/>
      <c r="J193" s="322"/>
      <c r="K193" s="322"/>
      <c r="L193" s="322"/>
    </row>
    <row r="194" spans="1:18">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8">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c r="P195" s="320"/>
      <c r="Q195" s="320"/>
      <c r="R195" s="320"/>
    </row>
    <row r="196" spans="1:18">
      <c r="B196" s="331" t="str">
        <f t="shared" si="68"/>
        <v>25-29</v>
      </c>
      <c r="C196" s="447">
        <f>C94*Calc_SEC_death_rates!$G141</f>
        <v>0.14092119362846209</v>
      </c>
      <c r="D196" s="447">
        <f>D94*Calc_SEC_death_rates!$G141</f>
        <v>0.1438588580609623</v>
      </c>
      <c r="E196" s="447">
        <f>E94*Calc_SEC_death_rates!$G141</f>
        <v>0.14474246649911085</v>
      </c>
      <c r="F196" s="447">
        <f>F94*Calc_SEC_death_rates!$G141</f>
        <v>0.14746679026282927</v>
      </c>
      <c r="G196" s="447">
        <f>G94*Calc_SEC_death_rates!$G141</f>
        <v>0.15047013082158187</v>
      </c>
      <c r="H196" s="447">
        <f>H94*Calc_SEC_death_rates!$G141</f>
        <v>0.15407869208567948</v>
      </c>
      <c r="I196" s="447">
        <f>I94*Calc_SEC_death_rates!$G141</f>
        <v>0.15808086775399446</v>
      </c>
      <c r="J196" s="447">
        <f>J94*Calc_SEC_death_rates!$G141</f>
        <v>0.16206765076830701</v>
      </c>
      <c r="K196" s="447">
        <f>K94*Calc_SEC_death_rates!$G141</f>
        <v>0.16476237517371686</v>
      </c>
      <c r="L196" s="447">
        <f>L94*Calc_SEC_death_rates!$G141</f>
        <v>0.16647061579198374</v>
      </c>
      <c r="M196" s="447">
        <f>M94*Calc_SEC_death_rates!$G141</f>
        <v>0.16722348366476145</v>
      </c>
      <c r="N196" s="447">
        <f>N94*Calc_SEC_death_rates!$G141</f>
        <v>0.16688250093559767</v>
      </c>
      <c r="O196" s="320"/>
      <c r="P196" s="320"/>
      <c r="Q196" s="320"/>
      <c r="R196" s="320"/>
    </row>
    <row r="197" spans="1:18">
      <c r="B197" s="331" t="str">
        <f t="shared" si="68"/>
        <v>30-34</v>
      </c>
      <c r="C197" s="447">
        <f>C95*Calc_SEC_death_rates!$G142</f>
        <v>0.15011825031184903</v>
      </c>
      <c r="D197" s="447">
        <f>D95*Calc_SEC_death_rates!$G142</f>
        <v>0.14582993068223676</v>
      </c>
      <c r="E197" s="447">
        <f>E95*Calc_SEC_death_rates!$G142</f>
        <v>0.14115909602718965</v>
      </c>
      <c r="F197" s="447">
        <f>F95*Calc_SEC_death_rates!$G142</f>
        <v>0.13809440608955109</v>
      </c>
      <c r="G197" s="447">
        <f>G95*Calc_SEC_death_rates!$G142</f>
        <v>0.13617258084129907</v>
      </c>
      <c r="H197" s="447">
        <f>H95*Calc_SEC_death_rates!$G142</f>
        <v>0.13554355945849356</v>
      </c>
      <c r="I197" s="447">
        <f>I95*Calc_SEC_death_rates!$G142</f>
        <v>0.13598242397313662</v>
      </c>
      <c r="J197" s="447">
        <f>J95*Calc_SEC_death_rates!$G142</f>
        <v>0.13714819800272057</v>
      </c>
      <c r="K197" s="447">
        <f>K95*Calc_SEC_death_rates!$G142</f>
        <v>0.13827726800070086</v>
      </c>
      <c r="L197" s="447">
        <f>L95*Calc_SEC_death_rates!$G142</f>
        <v>0.13926801199387653</v>
      </c>
      <c r="M197" s="447">
        <f>M95*Calc_SEC_death_rates!$G142</f>
        <v>0.13996168547460577</v>
      </c>
      <c r="N197" s="447">
        <f>N95*Calc_SEC_death_rates!$G142</f>
        <v>0.14016187852413792</v>
      </c>
      <c r="O197" s="320"/>
      <c r="P197" s="320"/>
      <c r="Q197" s="320"/>
      <c r="R197" s="320"/>
    </row>
    <row r="198" spans="1:18">
      <c r="B198" s="331" t="str">
        <f t="shared" si="68"/>
        <v>35-39</v>
      </c>
      <c r="C198" s="447">
        <f>C96*Calc_SEC_death_rates!$G143</f>
        <v>0.69809386021502251</v>
      </c>
      <c r="D198" s="447">
        <f>D96*Calc_SEC_death_rates!$G143</f>
        <v>0.70009494107480241</v>
      </c>
      <c r="E198" s="447">
        <f>E96*Calc_SEC_death_rates!$G143</f>
        <v>0.6912849356326638</v>
      </c>
      <c r="F198" s="447">
        <f>F96*Calc_SEC_death_rates!$G143</f>
        <v>0.68105308326624525</v>
      </c>
      <c r="G198" s="447">
        <f>G96*Calc_SEC_death_rates!$G143</f>
        <v>0.67039439411538304</v>
      </c>
      <c r="H198" s="447">
        <f>H96*Calc_SEC_death_rates!$G143</f>
        <v>0.66206236339538604</v>
      </c>
      <c r="I198" s="447">
        <f>I96*Calc_SEC_death_rates!$G143</f>
        <v>0.65673247282463865</v>
      </c>
      <c r="J198" s="447">
        <f>J96*Calc_SEC_death_rates!$G143</f>
        <v>0.65421283878383241</v>
      </c>
      <c r="K198" s="447">
        <f>K96*Calc_SEC_death_rates!$G143</f>
        <v>0.65256662290161915</v>
      </c>
      <c r="L198" s="447">
        <f>L96*Calc_SEC_death_rates!$G143</f>
        <v>0.65173586453461485</v>
      </c>
      <c r="M198" s="447">
        <f>M96*Calc_SEC_death_rates!$G143</f>
        <v>0.65117586535572625</v>
      </c>
      <c r="N198" s="447">
        <f>N96*Calc_SEC_death_rates!$G143</f>
        <v>0.65007083523470277</v>
      </c>
      <c r="O198" s="320"/>
      <c r="P198" s="320"/>
      <c r="Q198" s="320"/>
      <c r="R198" s="320"/>
    </row>
    <row r="199" spans="1:18">
      <c r="B199" s="331" t="str">
        <f t="shared" si="68"/>
        <v>40-44</v>
      </c>
      <c r="C199" s="447">
        <f>C97*Calc_SEC_death_rates!$G144</f>
        <v>0.51742353154525689</v>
      </c>
      <c r="D199" s="447">
        <f>D97*Calc_SEC_death_rates!$G144</f>
        <v>0.53137300492607964</v>
      </c>
      <c r="E199" s="447">
        <f>E97*Calc_SEC_death_rates!$G144</f>
        <v>0.5371694139458949</v>
      </c>
      <c r="F199" s="447">
        <f>F97*Calc_SEC_death_rates!$G144</f>
        <v>0.54019479291658068</v>
      </c>
      <c r="G199" s="447">
        <f>G97*Calc_SEC_death_rates!$G144</f>
        <v>0.54036298220208634</v>
      </c>
      <c r="H199" s="447">
        <f>H97*Calc_SEC_death_rates!$G144</f>
        <v>0.53960583810685159</v>
      </c>
      <c r="I199" s="447">
        <f>I97*Calc_SEC_death_rates!$G144</f>
        <v>0.5386658089995221</v>
      </c>
      <c r="J199" s="447">
        <f>J97*Calc_SEC_death_rates!$G144</f>
        <v>0.53783850153884927</v>
      </c>
      <c r="K199" s="447">
        <f>K97*Calc_SEC_death_rates!$G144</f>
        <v>0.5362192373305924</v>
      </c>
      <c r="L199" s="447">
        <f>L97*Calc_SEC_death_rates!$G144</f>
        <v>0.53431702390354763</v>
      </c>
      <c r="M199" s="447">
        <f>M97*Calc_SEC_death_rates!$G144</f>
        <v>0.53219282291909387</v>
      </c>
      <c r="N199" s="447">
        <f>N97*Calc_SEC_death_rates!$G144</f>
        <v>0.52960100759946138</v>
      </c>
      <c r="O199" s="320"/>
      <c r="P199" s="320"/>
      <c r="Q199" s="320"/>
      <c r="R199" s="320"/>
    </row>
    <row r="200" spans="1:18">
      <c r="B200" s="331" t="str">
        <f t="shared" si="68"/>
        <v>45-49</v>
      </c>
      <c r="C200" s="447">
        <f>C98*Calc_SEC_death_rates!$G145</f>
        <v>0.73136307547390667</v>
      </c>
      <c r="D200" s="447">
        <f>D98*Calc_SEC_death_rates!$G145</f>
        <v>0.77944694558308569</v>
      </c>
      <c r="E200" s="447">
        <f>E98*Calc_SEC_death_rates!$G145</f>
        <v>0.81168517198763623</v>
      </c>
      <c r="F200" s="447">
        <f>F98*Calc_SEC_death_rates!$G145</f>
        <v>0.83732876956716207</v>
      </c>
      <c r="G200" s="447">
        <f>G98*Calc_SEC_death_rates!$G145</f>
        <v>0.85620662220091759</v>
      </c>
      <c r="H200" s="447">
        <f>H98*Calc_SEC_death_rates!$G145</f>
        <v>0.87118789048193468</v>
      </c>
      <c r="I200" s="447">
        <f>I98*Calc_SEC_death_rates!$G145</f>
        <v>0.88322201961372659</v>
      </c>
      <c r="J200" s="447">
        <f>J98*Calc_SEC_death_rates!$G145</f>
        <v>0.89269453276997279</v>
      </c>
      <c r="K200" s="447">
        <f>K98*Calc_SEC_death_rates!$G145</f>
        <v>0.89825262827385621</v>
      </c>
      <c r="L200" s="447">
        <f>L98*Calc_SEC_death_rates!$G145</f>
        <v>0.90095336850540531</v>
      </c>
      <c r="M200" s="447">
        <f>M98*Calc_SEC_death_rates!$G145</f>
        <v>0.90126066555349049</v>
      </c>
      <c r="N200" s="447">
        <f>N98*Calc_SEC_death_rates!$G145</f>
        <v>0.89920708654746762</v>
      </c>
      <c r="O200" s="320"/>
      <c r="P200" s="320"/>
      <c r="Q200" s="320"/>
      <c r="R200" s="320"/>
    </row>
    <row r="201" spans="1:18">
      <c r="B201" s="331" t="str">
        <f t="shared" si="68"/>
        <v>50-54</v>
      </c>
      <c r="C201" s="447">
        <f>C99*Calc_SEC_death_rates!$G146</f>
        <v>0.83613987840323911</v>
      </c>
      <c r="D201" s="447">
        <f>D99*Calc_SEC_death_rates!$G146</f>
        <v>0.89054798803096946</v>
      </c>
      <c r="E201" s="447">
        <f>E99*Calc_SEC_death_rates!$G146</f>
        <v>0.93381274651997148</v>
      </c>
      <c r="F201" s="447">
        <f>F99*Calc_SEC_death_rates!$G146</f>
        <v>0.97427236282995555</v>
      </c>
      <c r="G201" s="447">
        <f>G99*Calc_SEC_death_rates!$G146</f>
        <v>1.0094616358413779</v>
      </c>
      <c r="H201" s="447">
        <f>H99*Calc_SEC_death_rates!$G146</f>
        <v>1.0414034111206132</v>
      </c>
      <c r="I201" s="447">
        <f>I99*Calc_SEC_death_rates!$G146</f>
        <v>1.0701438441700661</v>
      </c>
      <c r="J201" s="447">
        <f>J99*Calc_SEC_death_rates!$G146</f>
        <v>1.0952929496263175</v>
      </c>
      <c r="K201" s="447">
        <f>K99*Calc_SEC_death_rates!$G146</f>
        <v>1.1145125493593502</v>
      </c>
      <c r="L201" s="447">
        <f>L99*Calc_SEC_death_rates!$G146</f>
        <v>1.1287166240150743</v>
      </c>
      <c r="M201" s="447">
        <f>M99*Calc_SEC_death_rates!$G146</f>
        <v>1.1382602006169893</v>
      </c>
      <c r="N201" s="447">
        <f>N99*Calc_SEC_death_rates!$G146</f>
        <v>1.143124317356162</v>
      </c>
      <c r="O201" s="320"/>
      <c r="P201" s="320"/>
      <c r="Q201" s="320"/>
      <c r="R201" s="320"/>
    </row>
    <row r="202" spans="1:18">
      <c r="B202" s="331" t="str">
        <f t="shared" si="68"/>
        <v>55-59</v>
      </c>
      <c r="C202" s="447">
        <f>C100*Calc_SEC_death_rates!$G147</f>
        <v>0.84233477803318824</v>
      </c>
      <c r="D202" s="447">
        <f>D100*Calc_SEC_death_rates!$G147</f>
        <v>0.79887721664229672</v>
      </c>
      <c r="E202" s="447">
        <f>E100*Calc_SEC_death_rates!$G147</f>
        <v>0.77742631613642543</v>
      </c>
      <c r="F202" s="447">
        <f>F100*Calc_SEC_death_rates!$G147</f>
        <v>0.77622852669232567</v>
      </c>
      <c r="G202" s="447">
        <f>G100*Calc_SEC_death_rates!$G147</f>
        <v>0.78523964474117069</v>
      </c>
      <c r="H202" s="447">
        <f>H100*Calc_SEC_death_rates!$G147</f>
        <v>0.80108999651710844</v>
      </c>
      <c r="I202" s="447">
        <f>I100*Calc_SEC_death_rates!$G147</f>
        <v>0.82046587152209771</v>
      </c>
      <c r="J202" s="447">
        <f>J100*Calc_SEC_death_rates!$G147</f>
        <v>0.8407056806237525</v>
      </c>
      <c r="K202" s="447">
        <f>K100*Calc_SEC_death_rates!$G147</f>
        <v>0.85800875878836413</v>
      </c>
      <c r="L202" s="447">
        <f>L100*Calc_SEC_death_rates!$G147</f>
        <v>0.87235395888211065</v>
      </c>
      <c r="M202" s="447">
        <f>M100*Calc_SEC_death_rates!$G147</f>
        <v>0.88337823472767507</v>
      </c>
      <c r="N202" s="447">
        <f>N100*Calc_SEC_death_rates!$G147</f>
        <v>0.89056061281194954</v>
      </c>
      <c r="O202" s="320"/>
      <c r="P202" s="320"/>
      <c r="Q202" s="320"/>
      <c r="R202" s="320"/>
    </row>
    <row r="203" spans="1:18">
      <c r="B203" s="331" t="str">
        <f t="shared" si="68"/>
        <v>60-64</v>
      </c>
      <c r="C203" s="447">
        <f>C101*Calc_SEC_death_rates!$G148</f>
        <v>0.35355271839129654</v>
      </c>
      <c r="D203" s="447">
        <f>D101*Calc_SEC_death_rates!$G148</f>
        <v>0.34735356727725164</v>
      </c>
      <c r="E203" s="447">
        <f>E101*Calc_SEC_death_rates!$G148</f>
        <v>0.33295653850145068</v>
      </c>
      <c r="F203" s="447">
        <f>F101*Calc_SEC_death_rates!$G148</f>
        <v>0.32310025848289331</v>
      </c>
      <c r="G203" s="447">
        <f>G101*Calc_SEC_death_rates!$G148</f>
        <v>0.31784508571647402</v>
      </c>
      <c r="H203" s="447">
        <f>H101*Calc_SEC_death_rates!$G148</f>
        <v>0.31738193093808426</v>
      </c>
      <c r="I203" s="447">
        <f>I101*Calc_SEC_death_rates!$G148</f>
        <v>0.32047563950894986</v>
      </c>
      <c r="J203" s="447">
        <f>J101*Calc_SEC_death_rates!$G148</f>
        <v>0.32564397957383412</v>
      </c>
      <c r="K203" s="447">
        <f>K101*Calc_SEC_death_rates!$G148</f>
        <v>0.33060867787592263</v>
      </c>
      <c r="L203" s="447">
        <f>L101*Calc_SEC_death_rates!$G148</f>
        <v>0.33519699104219702</v>
      </c>
      <c r="M203" s="447">
        <f>M101*Calc_SEC_death_rates!$G148</f>
        <v>0.33900517787250761</v>
      </c>
      <c r="N203" s="447">
        <f>N101*Calc_SEC_death_rates!$G148</f>
        <v>0.34156387340798716</v>
      </c>
      <c r="O203" s="320"/>
      <c r="P203" s="320"/>
      <c r="Q203" s="320"/>
      <c r="R203" s="320"/>
    </row>
    <row r="204" spans="1:18">
      <c r="B204" s="331" t="str">
        <f t="shared" si="68"/>
        <v>65 plus</v>
      </c>
      <c r="C204" s="447">
        <f>C102*Calc_SEC_death_rates!$G149</f>
        <v>0.31628223785686971</v>
      </c>
      <c r="D204" s="447">
        <f>D102*Calc_SEC_death_rates!$G149</f>
        <v>0.44550077206278704</v>
      </c>
      <c r="E204" s="447">
        <f>E102*Calc_SEC_death_rates!$G149</f>
        <v>0.51852252351343542</v>
      </c>
      <c r="F204" s="447">
        <f>F102*Calc_SEC_death_rates!$G149</f>
        <v>0.55970866887938586</v>
      </c>
      <c r="G204" s="447">
        <f>G102*Calc_SEC_death_rates!$G149</f>
        <v>0.58127771872835698</v>
      </c>
      <c r="H204" s="447">
        <f>H102*Calc_SEC_death_rates!$G149</f>
        <v>0.5940491360075717</v>
      </c>
      <c r="I204" s="447">
        <f>I102*Calc_SEC_death_rates!$G149</f>
        <v>0.60365066004373424</v>
      </c>
      <c r="J204" s="447">
        <f>J102*Calc_SEC_death_rates!$G149</f>
        <v>0.61253000694677162</v>
      </c>
      <c r="K204" s="447">
        <f>K102*Calc_SEC_death_rates!$G149</f>
        <v>0.61972870556504045</v>
      </c>
      <c r="L204" s="447">
        <f>L102*Calc_SEC_death_rates!$G149</f>
        <v>0.62600248438267059</v>
      </c>
      <c r="M204" s="447">
        <f>M102*Calc_SEC_death_rates!$G149</f>
        <v>0.63125277572345817</v>
      </c>
      <c r="N204" s="447">
        <f>N102*Calc_SEC_death_rates!$G149</f>
        <v>0.63488105188375621</v>
      </c>
      <c r="O204" s="320"/>
      <c r="P204" s="320"/>
      <c r="Q204" s="320"/>
      <c r="R204" s="320"/>
    </row>
    <row r="205" spans="1:18">
      <c r="B205" s="331" t="str">
        <f t="shared" si="68"/>
        <v>Total</v>
      </c>
      <c r="C205" s="447">
        <f>SUM(C195:C204)</f>
        <v>4.5862295238590907</v>
      </c>
      <c r="D205" s="447">
        <f t="shared" ref="D205:N205" si="70">SUM(D195:D204)</f>
        <v>4.7828832243404715</v>
      </c>
      <c r="E205" s="447">
        <f t="shared" si="70"/>
        <v>4.888759208763779</v>
      </c>
      <c r="F205" s="447">
        <f t="shared" si="70"/>
        <v>4.9774476589869288</v>
      </c>
      <c r="G205" s="447">
        <f t="shared" si="70"/>
        <v>5.0474307952086477</v>
      </c>
      <c r="H205" s="447">
        <f t="shared" si="70"/>
        <v>5.1164028181117223</v>
      </c>
      <c r="I205" s="447">
        <f t="shared" si="70"/>
        <v>5.1874196084098667</v>
      </c>
      <c r="J205" s="447">
        <f t="shared" si="70"/>
        <v>5.258134338634358</v>
      </c>
      <c r="K205" s="447">
        <f t="shared" si="70"/>
        <v>5.3129368232691627</v>
      </c>
      <c r="L205" s="447">
        <f t="shared" si="70"/>
        <v>5.3550149430514811</v>
      </c>
      <c r="M205" s="447">
        <f t="shared" si="70"/>
        <v>5.3837109119083086</v>
      </c>
      <c r="N205" s="447">
        <f t="shared" si="70"/>
        <v>5.3960531643012226</v>
      </c>
      <c r="O205" s="320"/>
      <c r="P205" s="320"/>
      <c r="Q205" s="320"/>
      <c r="R205" s="320"/>
    </row>
    <row r="206" spans="1:18">
      <c r="A206" s="302">
        <f>SUM(C206:N206)</f>
        <v>0</v>
      </c>
      <c r="C206" s="302">
        <f t="shared" ref="C206:N206" si="71">SUM(C195:C204)-C205</f>
        <v>0</v>
      </c>
      <c r="D206" s="302">
        <f t="shared" si="71"/>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8"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22.280745079203154</v>
      </c>
      <c r="D213" s="447">
        <f t="shared" ref="D213:N213" si="75">D111+D145+D179</f>
        <v>33.186284579071859</v>
      </c>
      <c r="E213" s="447">
        <f t="shared" si="75"/>
        <v>40.387374380677301</v>
      </c>
      <c r="F213" s="447">
        <f t="shared" si="75"/>
        <v>43.728093758215756</v>
      </c>
      <c r="G213" s="447">
        <f t="shared" si="75"/>
        <v>46.625981651909541</v>
      </c>
      <c r="H213" s="447">
        <f t="shared" si="75"/>
        <v>48.911620934852841</v>
      </c>
      <c r="I213" s="447">
        <f t="shared" si="75"/>
        <v>50.852464076642867</v>
      </c>
      <c r="J213" s="447">
        <f t="shared" si="75"/>
        <v>52.457578961020658</v>
      </c>
      <c r="K213" s="447">
        <f t="shared" si="75"/>
        <v>53.220074702324268</v>
      </c>
      <c r="L213" s="447">
        <f t="shared" si="75"/>
        <v>53.503172173349576</v>
      </c>
      <c r="M213" s="447">
        <f t="shared" si="75"/>
        <v>53.403388518411454</v>
      </c>
      <c r="N213" s="447">
        <f t="shared" si="75"/>
        <v>52.888360018171944</v>
      </c>
    </row>
    <row r="214" spans="1:14">
      <c r="B214" s="331" t="str">
        <f t="shared" si="72"/>
        <v>25-29</v>
      </c>
      <c r="C214" s="447">
        <f t="shared" si="74"/>
        <v>58.446728975590972</v>
      </c>
      <c r="D214" s="447">
        <f t="shared" ref="D214:N214" si="76">D112+D146+D180</f>
        <v>59.136282045705443</v>
      </c>
      <c r="E214" s="447">
        <f t="shared" si="76"/>
        <v>63.086985069037688</v>
      </c>
      <c r="F214" s="447">
        <f t="shared" si="76"/>
        <v>63.931411883531176</v>
      </c>
      <c r="G214" s="447">
        <f t="shared" si="76"/>
        <v>66.061916205648444</v>
      </c>
      <c r="H214" s="447">
        <f t="shared" si="76"/>
        <v>68.239247662747346</v>
      </c>
      <c r="I214" s="447">
        <f t="shared" si="76"/>
        <v>70.428579176864517</v>
      </c>
      <c r="J214" s="447">
        <f t="shared" si="76"/>
        <v>72.485349619725511</v>
      </c>
      <c r="K214" s="447">
        <f t="shared" si="76"/>
        <v>73.841510961252922</v>
      </c>
      <c r="L214" s="447">
        <f t="shared" si="76"/>
        <v>74.67730345637392</v>
      </c>
      <c r="M214" s="447">
        <f t="shared" si="76"/>
        <v>75.031681389210831</v>
      </c>
      <c r="N214" s="447">
        <f t="shared" si="76"/>
        <v>74.855777031654029</v>
      </c>
    </row>
    <row r="215" spans="1:14">
      <c r="B215" s="331" t="str">
        <f t="shared" si="72"/>
        <v>30-34</v>
      </c>
      <c r="C215" s="447">
        <f t="shared" si="74"/>
        <v>59.565121831759377</v>
      </c>
      <c r="D215" s="447">
        <f t="shared" ref="D215:N215" si="77">D113+D147+D181</f>
        <v>56.024757453271775</v>
      </c>
      <c r="E215" s="447">
        <f t="shared" si="77"/>
        <v>56.776304177488356</v>
      </c>
      <c r="F215" s="447">
        <f t="shared" si="77"/>
        <v>54.956238577756487</v>
      </c>
      <c r="G215" s="447">
        <f t="shared" si="77"/>
        <v>54.796034594259517</v>
      </c>
      <c r="H215" s="447">
        <f t="shared" si="77"/>
        <v>55.093417975273489</v>
      </c>
      <c r="I215" s="447">
        <f t="shared" si="77"/>
        <v>55.750785991201631</v>
      </c>
      <c r="J215" s="447">
        <f t="shared" si="77"/>
        <v>56.628304911694563</v>
      </c>
      <c r="K215" s="447">
        <f t="shared" si="77"/>
        <v>57.407041363191219</v>
      </c>
      <c r="L215" s="447">
        <f t="shared" si="77"/>
        <v>58.055792174587964</v>
      </c>
      <c r="M215" s="447">
        <f t="shared" si="77"/>
        <v>58.519117589898244</v>
      </c>
      <c r="N215" s="447">
        <f t="shared" si="77"/>
        <v>58.724374975419337</v>
      </c>
    </row>
    <row r="216" spans="1:14">
      <c r="B216" s="331" t="str">
        <f t="shared" si="72"/>
        <v>35-39</v>
      </c>
      <c r="C216" s="447">
        <f t="shared" si="74"/>
        <v>61.567160047277291</v>
      </c>
      <c r="D216" s="447">
        <f t="shared" ref="D216:N216" si="78">D114+D148+D182</f>
        <v>58.064815092556707</v>
      </c>
      <c r="E216" s="447">
        <f t="shared" si="78"/>
        <v>58.635701773008797</v>
      </c>
      <c r="F216" s="447">
        <f t="shared" si="78"/>
        <v>56.104835988453367</v>
      </c>
      <c r="G216" s="447">
        <f t="shared" si="78"/>
        <v>55.045425235045997</v>
      </c>
      <c r="H216" s="447">
        <f t="shared" si="78"/>
        <v>54.342473453530665</v>
      </c>
      <c r="I216" s="447">
        <f t="shared" si="78"/>
        <v>53.993905576305018</v>
      </c>
      <c r="J216" s="447">
        <f t="shared" si="78"/>
        <v>53.939412357865045</v>
      </c>
      <c r="K216" s="447">
        <f t="shared" si="78"/>
        <v>53.982082869636358</v>
      </c>
      <c r="L216" s="447">
        <f t="shared" si="78"/>
        <v>54.096293114028846</v>
      </c>
      <c r="M216" s="447">
        <f t="shared" si="78"/>
        <v>54.222474040973822</v>
      </c>
      <c r="N216" s="447">
        <f t="shared" si="78"/>
        <v>54.283544418009086</v>
      </c>
    </row>
    <row r="217" spans="1:14">
      <c r="B217" s="331" t="str">
        <f t="shared" si="72"/>
        <v>40-44</v>
      </c>
      <c r="C217" s="447">
        <f t="shared" si="74"/>
        <v>48.491046992062643</v>
      </c>
      <c r="D217" s="447">
        <f t="shared" ref="D217:N217" si="79">D115+D149+D183</f>
        <v>47.582613933632885</v>
      </c>
      <c r="E217" s="447">
        <f t="shared" si="79"/>
        <v>49.478391144525986</v>
      </c>
      <c r="F217" s="447">
        <f t="shared" si="79"/>
        <v>48.353433094593534</v>
      </c>
      <c r="G217" s="447">
        <f t="shared" si="79"/>
        <v>48.058291443840943</v>
      </c>
      <c r="H217" s="447">
        <f t="shared" si="79"/>
        <v>47.74049999063179</v>
      </c>
      <c r="I217" s="447">
        <f t="shared" si="79"/>
        <v>47.474589633032451</v>
      </c>
      <c r="J217" s="447">
        <f t="shared" si="79"/>
        <v>47.284155910779326</v>
      </c>
      <c r="K217" s="447">
        <f t="shared" si="79"/>
        <v>47.081366005882032</v>
      </c>
      <c r="L217" s="447">
        <f t="shared" si="79"/>
        <v>46.898837802466758</v>
      </c>
      <c r="M217" s="447">
        <f t="shared" si="79"/>
        <v>46.730084985994473</v>
      </c>
      <c r="N217" s="447">
        <f t="shared" si="79"/>
        <v>46.542852370530326</v>
      </c>
    </row>
    <row r="218" spans="1:14">
      <c r="B218" s="331" t="str">
        <f t="shared" si="72"/>
        <v>45-49</v>
      </c>
      <c r="C218" s="447">
        <f t="shared" si="74"/>
        <v>45.433670970519977</v>
      </c>
      <c r="D218" s="447">
        <f t="shared" ref="D218:N218" si="80">D116+D150+D184</f>
        <v>45.976062555678915</v>
      </c>
      <c r="E218" s="447">
        <f t="shared" si="80"/>
        <v>49.201240497310344</v>
      </c>
      <c r="F218" s="447">
        <f t="shared" si="80"/>
        <v>49.336623851910943</v>
      </c>
      <c r="G218" s="447">
        <f t="shared" si="80"/>
        <v>50.144094047354542</v>
      </c>
      <c r="H218" s="447">
        <f t="shared" si="80"/>
        <v>50.730381914565065</v>
      </c>
      <c r="I218" s="447">
        <f t="shared" si="80"/>
        <v>51.16321250501003</v>
      </c>
      <c r="J218" s="447">
        <f t="shared" si="80"/>
        <v>51.476677244585545</v>
      </c>
      <c r="K218" s="447">
        <f t="shared" si="80"/>
        <v>51.602324337305859</v>
      </c>
      <c r="L218" s="447">
        <f t="shared" si="80"/>
        <v>51.604030156218592</v>
      </c>
      <c r="M218" s="447">
        <f t="shared" si="80"/>
        <v>51.508131667389442</v>
      </c>
      <c r="N218" s="447">
        <f t="shared" si="80"/>
        <v>51.313706940154908</v>
      </c>
    </row>
    <row r="219" spans="1:14">
      <c r="B219" s="331" t="str">
        <f t="shared" si="72"/>
        <v>50-54</v>
      </c>
      <c r="C219" s="447">
        <f t="shared" si="74"/>
        <v>43.411137800575425</v>
      </c>
      <c r="D219" s="447">
        <f t="shared" ref="D219:N219" si="81">D117+D151+D185</f>
        <v>43.098615005321321</v>
      </c>
      <c r="E219" s="447">
        <f t="shared" si="81"/>
        <v>45.266511878788769</v>
      </c>
      <c r="F219" s="447">
        <f t="shared" si="81"/>
        <v>45.505033840317445</v>
      </c>
      <c r="G219" s="447">
        <f t="shared" si="81"/>
        <v>46.481641107665119</v>
      </c>
      <c r="H219" s="447">
        <f t="shared" si="81"/>
        <v>47.420955638339052</v>
      </c>
      <c r="I219" s="447">
        <f t="shared" si="81"/>
        <v>48.29350684074025</v>
      </c>
      <c r="J219" s="447">
        <f t="shared" si="81"/>
        <v>49.06334137148162</v>
      </c>
      <c r="K219" s="447">
        <f t="shared" si="81"/>
        <v>49.617069833146537</v>
      </c>
      <c r="L219" s="447">
        <f t="shared" si="81"/>
        <v>49.99055621481363</v>
      </c>
      <c r="M219" s="447">
        <f t="shared" si="81"/>
        <v>50.197010156999184</v>
      </c>
      <c r="N219" s="447">
        <f t="shared" si="81"/>
        <v>50.233781179315947</v>
      </c>
    </row>
    <row r="220" spans="1:14">
      <c r="B220" s="331" t="str">
        <f t="shared" si="72"/>
        <v>55-59</v>
      </c>
      <c r="C220" s="447">
        <f t="shared" si="74"/>
        <v>66.337499339656389</v>
      </c>
      <c r="D220" s="447">
        <f t="shared" ref="D220:N220" si="82">D118+D152+D186</f>
        <v>58.533940833312457</v>
      </c>
      <c r="E220" s="447">
        <f t="shared" si="82"/>
        <v>54.862397562849537</v>
      </c>
      <c r="F220" s="447">
        <f t="shared" si="82"/>
        <v>52.367084672144621</v>
      </c>
      <c r="G220" s="447">
        <f t="shared" si="82"/>
        <v>51.513293056628697</v>
      </c>
      <c r="H220" s="447">
        <f t="shared" si="82"/>
        <v>51.462489754956799</v>
      </c>
      <c r="I220" s="447">
        <f t="shared" si="82"/>
        <v>51.882603693458691</v>
      </c>
      <c r="J220" s="447">
        <f t="shared" si="82"/>
        <v>52.525886883074172</v>
      </c>
      <c r="K220" s="447">
        <f t="shared" si="82"/>
        <v>53.101847124488721</v>
      </c>
      <c r="L220" s="447">
        <f t="shared" si="82"/>
        <v>53.580171469350034</v>
      </c>
      <c r="M220" s="447">
        <f t="shared" si="82"/>
        <v>53.919294648666522</v>
      </c>
      <c r="N220" s="447">
        <f t="shared" si="82"/>
        <v>54.074867107403435</v>
      </c>
    </row>
    <row r="221" spans="1:14">
      <c r="B221" s="331" t="str">
        <f t="shared" si="72"/>
        <v>60-64</v>
      </c>
      <c r="C221" s="447">
        <f t="shared" si="74"/>
        <v>35.242020526662749</v>
      </c>
      <c r="D221" s="447">
        <f t="shared" ref="D221:N221" si="83">D119+D153+D187</f>
        <v>34.83838095738362</v>
      </c>
      <c r="E221" s="447">
        <f t="shared" si="83"/>
        <v>33.215928119729142</v>
      </c>
      <c r="F221" s="447">
        <f t="shared" si="83"/>
        <v>31.257775437611663</v>
      </c>
      <c r="G221" s="447">
        <f t="shared" si="83"/>
        <v>29.973653745655589</v>
      </c>
      <c r="H221" s="447">
        <f t="shared" si="83"/>
        <v>29.240663241890203</v>
      </c>
      <c r="I221" s="447">
        <f t="shared" si="83"/>
        <v>28.958321475259659</v>
      </c>
      <c r="J221" s="447">
        <f t="shared" si="83"/>
        <v>28.974182323235901</v>
      </c>
      <c r="K221" s="447">
        <f t="shared" si="83"/>
        <v>29.057563368779395</v>
      </c>
      <c r="L221" s="447">
        <f t="shared" si="83"/>
        <v>29.174933554928213</v>
      </c>
      <c r="M221" s="447">
        <f t="shared" si="83"/>
        <v>29.274786267915804</v>
      </c>
      <c r="N221" s="447">
        <f t="shared" si="83"/>
        <v>29.303694020537822</v>
      </c>
    </row>
    <row r="222" spans="1:14">
      <c r="B222" s="331" t="str">
        <f t="shared" si="72"/>
        <v>65 plus</v>
      </c>
      <c r="C222" s="447">
        <f t="shared" si="74"/>
        <v>8.48731842702548</v>
      </c>
      <c r="D222" s="447">
        <f t="shared" ref="D222:N222" si="84">D120+D154+D188</f>
        <v>11.406886737356716</v>
      </c>
      <c r="E222" s="447">
        <f t="shared" si="84"/>
        <v>13.114206526628539</v>
      </c>
      <c r="F222" s="447">
        <f t="shared" si="84"/>
        <v>13.666613070985733</v>
      </c>
      <c r="G222" s="447">
        <f t="shared" si="84"/>
        <v>13.823599985804908</v>
      </c>
      <c r="H222" s="447">
        <f t="shared" si="84"/>
        <v>13.774777819770112</v>
      </c>
      <c r="I222" s="447">
        <f t="shared" si="84"/>
        <v>13.688336322430299</v>
      </c>
      <c r="J222" s="447">
        <f t="shared" si="84"/>
        <v>13.631518174636284</v>
      </c>
      <c r="K222" s="447">
        <f t="shared" si="84"/>
        <v>13.573732823980409</v>
      </c>
      <c r="L222" s="447">
        <f t="shared" si="84"/>
        <v>13.531486251651263</v>
      </c>
      <c r="M222" s="447">
        <f t="shared" si="84"/>
        <v>13.496328658113233</v>
      </c>
      <c r="N222" s="447">
        <f t="shared" si="84"/>
        <v>13.447340084575492</v>
      </c>
    </row>
    <row r="223" spans="1:14">
      <c r="B223" s="331" t="str">
        <f t="shared" si="72"/>
        <v>Total</v>
      </c>
      <c r="C223" s="447">
        <f>SUM(C213:C222)</f>
        <v>449.26244999033349</v>
      </c>
      <c r="D223" s="447">
        <f t="shared" ref="D223:N223" si="85">SUM(D213:D222)</f>
        <v>447.84863919329172</v>
      </c>
      <c r="E223" s="447">
        <f t="shared" si="85"/>
        <v>464.02504113004449</v>
      </c>
      <c r="F223" s="447">
        <f t="shared" si="85"/>
        <v>459.20714417552074</v>
      </c>
      <c r="G223" s="447">
        <f t="shared" si="85"/>
        <v>462.52393107381329</v>
      </c>
      <c r="H223" s="447">
        <f t="shared" si="85"/>
        <v>466.95652838655735</v>
      </c>
      <c r="I223" s="447">
        <f t="shared" si="85"/>
        <v>472.48630529094544</v>
      </c>
      <c r="J223" s="447">
        <f t="shared" si="85"/>
        <v>478.46640775809863</v>
      </c>
      <c r="K223" s="447">
        <f t="shared" si="85"/>
        <v>482.48461338998771</v>
      </c>
      <c r="L223" s="447">
        <f t="shared" si="85"/>
        <v>485.11257636776878</v>
      </c>
      <c r="M223" s="447">
        <f t="shared" si="85"/>
        <v>486.30229792357301</v>
      </c>
      <c r="N223" s="447">
        <f t="shared" si="85"/>
        <v>485.66829814577233</v>
      </c>
    </row>
    <row r="224" spans="1:14">
      <c r="A224" s="302">
        <f>SUM(C224:N224)</f>
        <v>0</v>
      </c>
      <c r="C224" s="302">
        <f t="shared" ref="C224:N224" si="86">SUM(C213:C222)-C223</f>
        <v>0</v>
      </c>
      <c r="D224" s="302">
        <f t="shared" si="86"/>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7">
      <c r="B226" s="334" t="s">
        <v>47</v>
      </c>
      <c r="C226" s="322"/>
      <c r="D226" s="322"/>
      <c r="E226" s="322"/>
      <c r="F226" s="322"/>
      <c r="G226" s="322"/>
      <c r="H226" s="332"/>
      <c r="I226" s="322"/>
      <c r="J226" s="322"/>
      <c r="K226" s="322"/>
      <c r="L226" s="322"/>
    </row>
    <row r="227" spans="1:17">
      <c r="C227" s="322"/>
      <c r="D227" s="322"/>
      <c r="E227" s="322"/>
      <c r="F227" s="322"/>
      <c r="G227" s="322"/>
      <c r="H227" s="332"/>
      <c r="I227" s="322"/>
      <c r="J227" s="322"/>
      <c r="K227" s="322"/>
      <c r="L227" s="322"/>
    </row>
    <row r="228" spans="1:17">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7">
      <c r="B229" s="331" t="str">
        <f t="shared" si="87"/>
        <v>20-24</v>
      </c>
      <c r="C229" s="447">
        <f t="shared" ref="C229:C238" si="89">C195+C161+C127</f>
        <v>48.426650903893112</v>
      </c>
      <c r="D229" s="447">
        <f t="shared" ref="D229:N229" si="90">D195+D161+D127</f>
        <v>70.169747500118291</v>
      </c>
      <c r="E229" s="447">
        <f t="shared" si="90"/>
        <v>82.184424257591289</v>
      </c>
      <c r="F229" s="447">
        <f t="shared" si="90"/>
        <v>91.491557352135942</v>
      </c>
      <c r="G229" s="447">
        <f t="shared" si="90"/>
        <v>97.17081782223228</v>
      </c>
      <c r="H229" s="447">
        <f t="shared" si="90"/>
        <v>101.78368264832643</v>
      </c>
      <c r="I229" s="447">
        <f t="shared" si="90"/>
        <v>105.7815388294605</v>
      </c>
      <c r="J229" s="447">
        <f t="shared" si="90"/>
        <v>109.14765568867007</v>
      </c>
      <c r="K229" s="447">
        <f t="shared" si="90"/>
        <v>110.8723054387614</v>
      </c>
      <c r="L229" s="447">
        <f t="shared" si="90"/>
        <v>111.62292785127437</v>
      </c>
      <c r="M229" s="447">
        <f t="shared" si="90"/>
        <v>111.57771010566567</v>
      </c>
      <c r="N229" s="447">
        <f t="shared" si="90"/>
        <v>110.67163358070115</v>
      </c>
      <c r="O229" s="320"/>
      <c r="P229" s="320"/>
      <c r="Q229" s="320"/>
    </row>
    <row r="230" spans="1:17">
      <c r="B230" s="331" t="str">
        <f t="shared" si="87"/>
        <v>25-29</v>
      </c>
      <c r="C230" s="447">
        <f t="shared" si="89"/>
        <v>139.79382049155586</v>
      </c>
      <c r="D230" s="447">
        <f t="shared" ref="D230:N230" si="91">D196+D162+D128</f>
        <v>143.41255372375321</v>
      </c>
      <c r="E230" s="447">
        <f t="shared" si="91"/>
        <v>146.69301172982287</v>
      </c>
      <c r="F230" s="447">
        <f t="shared" si="91"/>
        <v>151.37345237178425</v>
      </c>
      <c r="G230" s="447">
        <f t="shared" si="91"/>
        <v>154.45635685635537</v>
      </c>
      <c r="H230" s="447">
        <f t="shared" si="91"/>
        <v>158.16051543787725</v>
      </c>
      <c r="I230" s="447">
        <f t="shared" si="91"/>
        <v>162.26871598141275</v>
      </c>
      <c r="J230" s="447">
        <f t="shared" si="91"/>
        <v>166.36111609168896</v>
      </c>
      <c r="K230" s="447">
        <f t="shared" si="91"/>
        <v>169.12722862258744</v>
      </c>
      <c r="L230" s="447">
        <f t="shared" si="91"/>
        <v>170.88072362582105</v>
      </c>
      <c r="M230" s="447">
        <f t="shared" si="91"/>
        <v>171.65353633083106</v>
      </c>
      <c r="N230" s="447">
        <f t="shared" si="91"/>
        <v>171.30352035217797</v>
      </c>
      <c r="O230" s="320"/>
      <c r="P230" s="320"/>
      <c r="Q230" s="320"/>
    </row>
    <row r="231" spans="1:17">
      <c r="B231" s="331" t="str">
        <f t="shared" si="87"/>
        <v>30-34</v>
      </c>
      <c r="C231" s="447">
        <f t="shared" si="89"/>
        <v>153.97427751811745</v>
      </c>
      <c r="D231" s="447">
        <f t="shared" ref="D231:N231" si="92">D197+D163+D129</f>
        <v>150.31364839794878</v>
      </c>
      <c r="E231" s="447">
        <f t="shared" si="92"/>
        <v>147.91677656091258</v>
      </c>
      <c r="F231" s="447">
        <f t="shared" si="92"/>
        <v>146.56222552182481</v>
      </c>
      <c r="G231" s="447">
        <f t="shared" si="92"/>
        <v>144.52255575225286</v>
      </c>
      <c r="H231" s="447">
        <f t="shared" si="92"/>
        <v>143.85496336835135</v>
      </c>
      <c r="I231" s="447">
        <f t="shared" si="92"/>
        <v>144.32073864332469</v>
      </c>
      <c r="J231" s="447">
        <f t="shared" si="92"/>
        <v>145.5579968427667</v>
      </c>
      <c r="K231" s="447">
        <f t="shared" si="92"/>
        <v>146.75630035381988</v>
      </c>
      <c r="L231" s="447">
        <f t="shared" si="92"/>
        <v>147.80779583922023</v>
      </c>
      <c r="M231" s="447">
        <f t="shared" si="92"/>
        <v>148.54400472703875</v>
      </c>
      <c r="N231" s="447">
        <f t="shared" si="92"/>
        <v>148.75647342656305</v>
      </c>
      <c r="O231" s="320"/>
      <c r="P231" s="320"/>
      <c r="Q231" s="320"/>
    </row>
    <row r="232" spans="1:17">
      <c r="B232" s="331" t="str">
        <f t="shared" si="87"/>
        <v>35-39</v>
      </c>
      <c r="C232" s="447">
        <f t="shared" si="89"/>
        <v>136.05075009539357</v>
      </c>
      <c r="D232" s="447">
        <f t="shared" ref="D232:N232" si="93">D198+D164+D130</f>
        <v>137.10917817164002</v>
      </c>
      <c r="E232" s="447">
        <f t="shared" si="93"/>
        <v>137.61796258045959</v>
      </c>
      <c r="F232" s="447">
        <f t="shared" si="93"/>
        <v>137.30915775727385</v>
      </c>
      <c r="G232" s="447">
        <f t="shared" si="93"/>
        <v>135.16022742267711</v>
      </c>
      <c r="H232" s="447">
        <f t="shared" si="93"/>
        <v>133.48038168277719</v>
      </c>
      <c r="I232" s="447">
        <f t="shared" si="93"/>
        <v>132.40580643572309</v>
      </c>
      <c r="J232" s="447">
        <f t="shared" si="93"/>
        <v>131.89781544867631</v>
      </c>
      <c r="K232" s="447">
        <f t="shared" si="93"/>
        <v>131.56591692001936</v>
      </c>
      <c r="L232" s="447">
        <f t="shared" si="93"/>
        <v>131.39842523034653</v>
      </c>
      <c r="M232" s="447">
        <f t="shared" si="93"/>
        <v>131.28552211385349</v>
      </c>
      <c r="N232" s="447">
        <f t="shared" si="93"/>
        <v>131.06273367203855</v>
      </c>
      <c r="O232" s="320"/>
      <c r="P232" s="320"/>
      <c r="Q232" s="320"/>
    </row>
    <row r="233" spans="1:17">
      <c r="B233" s="331" t="str">
        <f t="shared" si="87"/>
        <v>40-44</v>
      </c>
      <c r="C233" s="447">
        <f t="shared" si="89"/>
        <v>114.30856615491206</v>
      </c>
      <c r="D233" s="447">
        <f t="shared" ref="D233:N233" si="94">D199+D165+D131</f>
        <v>117.96292807203463</v>
      </c>
      <c r="E233" s="447">
        <f t="shared" si="94"/>
        <v>121.20929203839718</v>
      </c>
      <c r="F233" s="447">
        <f t="shared" si="94"/>
        <v>123.43910552749031</v>
      </c>
      <c r="G233" s="447">
        <f t="shared" si="94"/>
        <v>123.47753820998626</v>
      </c>
      <c r="H233" s="447">
        <f t="shared" si="94"/>
        <v>123.30452434332793</v>
      </c>
      <c r="I233" s="447">
        <f t="shared" si="94"/>
        <v>123.08971969563399</v>
      </c>
      <c r="J233" s="447">
        <f t="shared" si="94"/>
        <v>122.9006729031051</v>
      </c>
      <c r="K233" s="447">
        <f t="shared" si="94"/>
        <v>122.53065725671071</v>
      </c>
      <c r="L233" s="447">
        <f t="shared" si="94"/>
        <v>122.095985306822</v>
      </c>
      <c r="M233" s="447">
        <f t="shared" si="94"/>
        <v>121.61058731165458</v>
      </c>
      <c r="N233" s="447">
        <f t="shared" si="94"/>
        <v>121.01833546298248</v>
      </c>
      <c r="O233" s="320"/>
      <c r="P233" s="320"/>
      <c r="Q233" s="320"/>
    </row>
    <row r="234" spans="1:17">
      <c r="B234" s="331" t="str">
        <f t="shared" si="87"/>
        <v>45-49</v>
      </c>
      <c r="C234" s="447">
        <f t="shared" si="89"/>
        <v>91.458596584937197</v>
      </c>
      <c r="D234" s="447">
        <f t="shared" ref="D234:N234" si="95">D200+D166+D132</f>
        <v>97.943860523351105</v>
      </c>
      <c r="E234" s="447">
        <f t="shared" si="95"/>
        <v>103.65958348505896</v>
      </c>
      <c r="F234" s="447">
        <f t="shared" si="95"/>
        <v>108.28279138605063</v>
      </c>
      <c r="G234" s="447">
        <f t="shared" si="95"/>
        <v>110.72406254840926</v>
      </c>
      <c r="H234" s="447">
        <f t="shared" si="95"/>
        <v>112.661430051989</v>
      </c>
      <c r="I234" s="447">
        <f t="shared" si="95"/>
        <v>114.21767550974894</v>
      </c>
      <c r="J234" s="447">
        <f t="shared" si="95"/>
        <v>115.44265451832838</v>
      </c>
      <c r="K234" s="447">
        <f t="shared" si="95"/>
        <v>116.16142367785682</v>
      </c>
      <c r="L234" s="447">
        <f t="shared" si="95"/>
        <v>116.51068158193183</v>
      </c>
      <c r="M234" s="447">
        <f t="shared" si="95"/>
        <v>116.55042102880235</v>
      </c>
      <c r="N234" s="447">
        <f t="shared" si="95"/>
        <v>116.28485357765778</v>
      </c>
      <c r="O234" s="320"/>
      <c r="P234" s="320"/>
      <c r="Q234" s="320"/>
    </row>
    <row r="235" spans="1:17">
      <c r="B235" s="331" t="str">
        <f t="shared" si="87"/>
        <v>50-54</v>
      </c>
      <c r="C235" s="447">
        <f t="shared" si="89"/>
        <v>80.036610045978009</v>
      </c>
      <c r="D235" s="447">
        <f t="shared" ref="D235:N235" si="96">D201+D167+D133</f>
        <v>85.573253721247113</v>
      </c>
      <c r="E235" s="447">
        <f t="shared" si="96"/>
        <v>90.896976761370695</v>
      </c>
      <c r="F235" s="447">
        <f t="shared" si="96"/>
        <v>95.790721084746892</v>
      </c>
      <c r="G235" s="447">
        <f t="shared" si="96"/>
        <v>99.25053988369244</v>
      </c>
      <c r="H235" s="447">
        <f t="shared" si="96"/>
        <v>102.39106383105901</v>
      </c>
      <c r="I235" s="447">
        <f t="shared" si="96"/>
        <v>105.21683094827272</v>
      </c>
      <c r="J235" s="447">
        <f t="shared" si="96"/>
        <v>107.68949776937922</v>
      </c>
      <c r="K235" s="447">
        <f t="shared" si="96"/>
        <v>109.57917399096442</v>
      </c>
      <c r="L235" s="447">
        <f t="shared" si="96"/>
        <v>110.97572243626901</v>
      </c>
      <c r="M235" s="447">
        <f t="shared" si="96"/>
        <v>111.91404945785209</v>
      </c>
      <c r="N235" s="447">
        <f t="shared" si="96"/>
        <v>112.392290725553</v>
      </c>
      <c r="O235" s="320"/>
      <c r="P235" s="320"/>
      <c r="Q235" s="320"/>
    </row>
    <row r="236" spans="1:17">
      <c r="B236" s="331" t="str">
        <f t="shared" si="87"/>
        <v>55-59</v>
      </c>
      <c r="C236" s="447">
        <f t="shared" si="89"/>
        <v>114.09058368870809</v>
      </c>
      <c r="D236" s="447">
        <f t="shared" ref="D236:N236" si="97">D202+D168+D134</f>
        <v>108.34469167037871</v>
      </c>
      <c r="E236" s="447">
        <f t="shared" si="97"/>
        <v>105.89747391444297</v>
      </c>
      <c r="F236" s="447">
        <f t="shared" si="97"/>
        <v>106.09646254256415</v>
      </c>
      <c r="G236" s="447">
        <f t="shared" si="97"/>
        <v>107.32812012233622</v>
      </c>
      <c r="H236" s="447">
        <f t="shared" si="97"/>
        <v>109.49457780284453</v>
      </c>
      <c r="I236" s="447">
        <f t="shared" si="97"/>
        <v>112.1429110268966</v>
      </c>
      <c r="J236" s="447">
        <f t="shared" si="97"/>
        <v>114.90932848564778</v>
      </c>
      <c r="K236" s="447">
        <f t="shared" si="97"/>
        <v>117.27434770516228</v>
      </c>
      <c r="L236" s="447">
        <f t="shared" si="97"/>
        <v>119.23507825302971</v>
      </c>
      <c r="M236" s="447">
        <f t="shared" si="97"/>
        <v>120.74189825395376</v>
      </c>
      <c r="N236" s="447">
        <f t="shared" si="97"/>
        <v>121.7236000095333</v>
      </c>
      <c r="O236" s="320"/>
      <c r="P236" s="320"/>
      <c r="Q236" s="320"/>
    </row>
    <row r="237" spans="1:17">
      <c r="B237" s="331" t="str">
        <f t="shared" si="87"/>
        <v>60-64</v>
      </c>
      <c r="C237" s="447">
        <f t="shared" si="89"/>
        <v>72.383010203120918</v>
      </c>
      <c r="D237" s="447">
        <f t="shared" ref="D237:N237" si="98">D203+D169+D135</f>
        <v>71.167879639410742</v>
      </c>
      <c r="E237" s="447">
        <f t="shared" si="98"/>
        <v>68.393421298915356</v>
      </c>
      <c r="F237" s="447">
        <f t="shared" si="98"/>
        <v>66.502367602957079</v>
      </c>
      <c r="G237" s="447">
        <f t="shared" si="98"/>
        <v>65.420717489860778</v>
      </c>
      <c r="H237" s="447">
        <f t="shared" si="98"/>
        <v>65.325388289339045</v>
      </c>
      <c r="I237" s="447">
        <f t="shared" si="98"/>
        <v>65.962153315780583</v>
      </c>
      <c r="J237" s="447">
        <f t="shared" si="98"/>
        <v>67.025931019041749</v>
      </c>
      <c r="K237" s="447">
        <f t="shared" si="98"/>
        <v>68.04779399455758</v>
      </c>
      <c r="L237" s="447">
        <f t="shared" si="98"/>
        <v>68.992187200226354</v>
      </c>
      <c r="M237" s="447">
        <f t="shared" si="98"/>
        <v>69.776010282507997</v>
      </c>
      <c r="N237" s="447">
        <f t="shared" si="98"/>
        <v>70.302655825546196</v>
      </c>
      <c r="O237" s="320"/>
      <c r="P237" s="320"/>
      <c r="Q237" s="320"/>
    </row>
    <row r="238" spans="1:17">
      <c r="B238" s="331" t="str">
        <f t="shared" si="87"/>
        <v>65 plus</v>
      </c>
      <c r="C238" s="447">
        <f t="shared" si="89"/>
        <v>16.25188632844856</v>
      </c>
      <c r="D238" s="447">
        <f t="shared" ref="D238:N238" si="99">D204+D170+D136</f>
        <v>22.912996694960285</v>
      </c>
      <c r="E238" s="447">
        <f t="shared" si="99"/>
        <v>26.752683044556303</v>
      </c>
      <c r="F238" s="447">
        <f t="shared" si="99"/>
        <v>28.948857880327029</v>
      </c>
      <c r="G238" s="447">
        <f t="shared" si="99"/>
        <v>30.064437097532455</v>
      </c>
      <c r="H238" s="447">
        <f t="shared" si="99"/>
        <v>30.724991354243482</v>
      </c>
      <c r="I238" s="447">
        <f t="shared" si="99"/>
        <v>31.221594623429773</v>
      </c>
      <c r="J238" s="447">
        <f t="shared" si="99"/>
        <v>31.680845955164184</v>
      </c>
      <c r="K238" s="447">
        <f t="shared" si="99"/>
        <v>32.053171979059442</v>
      </c>
      <c r="L238" s="447">
        <f t="shared" si="99"/>
        <v>32.377659951932557</v>
      </c>
      <c r="M238" s="447">
        <f t="shared" si="99"/>
        <v>32.649211825801288</v>
      </c>
      <c r="N238" s="447">
        <f t="shared" si="99"/>
        <v>32.836870971987715</v>
      </c>
      <c r="O238" s="320"/>
      <c r="P238" s="320"/>
      <c r="Q238" s="320"/>
    </row>
    <row r="239" spans="1:17">
      <c r="B239" s="331" t="str">
        <f t="shared" si="87"/>
        <v>Total</v>
      </c>
      <c r="C239" s="447">
        <f>SUM(C229:C238)</f>
        <v>966.77475201506479</v>
      </c>
      <c r="D239" s="447">
        <f t="shared" ref="D239:N239" si="100">SUM(D229:D238)</f>
        <v>1004.9107381148428</v>
      </c>
      <c r="E239" s="447">
        <f t="shared" si="100"/>
        <v>1031.2216056715276</v>
      </c>
      <c r="F239" s="447">
        <f t="shared" si="100"/>
        <v>1055.796699027155</v>
      </c>
      <c r="G239" s="447">
        <f t="shared" si="100"/>
        <v>1067.5753732053352</v>
      </c>
      <c r="H239" s="447">
        <f t="shared" si="100"/>
        <v>1081.1815188101352</v>
      </c>
      <c r="I239" s="447">
        <f t="shared" si="100"/>
        <v>1096.6276850096835</v>
      </c>
      <c r="J239" s="447">
        <f t="shared" si="100"/>
        <v>1112.6135147224684</v>
      </c>
      <c r="K239" s="447">
        <f t="shared" si="100"/>
        <v>1123.9683199394992</v>
      </c>
      <c r="L239" s="447">
        <f t="shared" si="100"/>
        <v>1131.8971872768739</v>
      </c>
      <c r="M239" s="447">
        <f t="shared" si="100"/>
        <v>1136.3029514379612</v>
      </c>
      <c r="N239" s="447">
        <f t="shared" si="100"/>
        <v>1136.3529676047415</v>
      </c>
      <c r="O239" s="320"/>
      <c r="P239" s="320"/>
      <c r="Q239" s="320"/>
    </row>
    <row r="240" spans="1:17">
      <c r="A240" s="302">
        <f>SUM(C240:N240)</f>
        <v>0</v>
      </c>
      <c r="C240" s="302">
        <f t="shared" ref="C240:N240" si="101">SUM(C229:C238)-C239</f>
        <v>0</v>
      </c>
      <c r="D240" s="302">
        <f t="shared" si="101"/>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7" ht="15.75">
      <c r="B242" s="333" t="s">
        <v>167</v>
      </c>
      <c r="C242" s="322"/>
      <c r="D242" s="322"/>
      <c r="E242" s="322"/>
      <c r="F242" s="322"/>
      <c r="G242" s="322"/>
      <c r="H242" s="332"/>
      <c r="I242" s="322"/>
      <c r="J242" s="322"/>
      <c r="K242" s="322"/>
      <c r="L242" s="322"/>
    </row>
    <row r="243" spans="2:17">
      <c r="C243" s="322"/>
      <c r="D243" s="322"/>
      <c r="E243" s="322"/>
      <c r="F243" s="322"/>
      <c r="G243" s="322"/>
      <c r="H243" s="332"/>
      <c r="I243" s="322"/>
      <c r="J243" s="322"/>
      <c r="K243" s="322"/>
      <c r="L243" s="322"/>
    </row>
    <row r="244" spans="2:17">
      <c r="B244" s="334" t="s">
        <v>46</v>
      </c>
      <c r="C244" s="322"/>
      <c r="D244" s="322"/>
      <c r="E244" s="322"/>
      <c r="F244" s="322"/>
      <c r="G244" s="322"/>
      <c r="H244" s="332"/>
      <c r="I244" s="322"/>
      <c r="J244" s="322"/>
      <c r="K244" s="322"/>
      <c r="L244" s="322"/>
    </row>
    <row r="245" spans="2:17">
      <c r="C245" s="322"/>
      <c r="D245" s="322"/>
      <c r="E245" s="322"/>
      <c r="F245" s="322"/>
      <c r="G245" s="322"/>
      <c r="H245" s="332"/>
      <c r="I245" s="322"/>
      <c r="J245" s="322"/>
      <c r="K245" s="322"/>
      <c r="L245" s="322"/>
    </row>
    <row r="246" spans="2:17">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7">
      <c r="B247" s="331" t="str">
        <f t="shared" si="102"/>
        <v>20-24</v>
      </c>
      <c r="C247" s="447">
        <f t="shared" ref="C247:C256" si="104">C77-C213</f>
        <v>98.585184363180318</v>
      </c>
      <c r="D247" s="447">
        <f t="shared" ref="D247:N247" si="105">D77-D213</f>
        <v>153.55282993492011</v>
      </c>
      <c r="E247" s="447">
        <f t="shared" si="105"/>
        <v>178.65232293132152</v>
      </c>
      <c r="F247" s="447">
        <f t="shared" si="105"/>
        <v>197.96836769198109</v>
      </c>
      <c r="G247" s="447">
        <f t="shared" si="105"/>
        <v>211.08785419969385</v>
      </c>
      <c r="H247" s="447">
        <f t="shared" si="105"/>
        <v>221.43553321078596</v>
      </c>
      <c r="I247" s="447">
        <f t="shared" si="105"/>
        <v>230.22223109089097</v>
      </c>
      <c r="J247" s="447">
        <f t="shared" si="105"/>
        <v>237.48900049033847</v>
      </c>
      <c r="K247" s="447">
        <f t="shared" si="105"/>
        <v>240.94101552928817</v>
      </c>
      <c r="L247" s="447">
        <f t="shared" si="105"/>
        <v>242.2226708547293</v>
      </c>
      <c r="M247" s="447">
        <f t="shared" si="105"/>
        <v>241.77092449231836</v>
      </c>
      <c r="N247" s="447">
        <f t="shared" si="105"/>
        <v>239.43925753077585</v>
      </c>
      <c r="O247" s="320"/>
      <c r="P247" s="320"/>
      <c r="Q247" s="320"/>
    </row>
    <row r="248" spans="2:17">
      <c r="B248" s="331" t="str">
        <f t="shared" si="102"/>
        <v>25-29</v>
      </c>
      <c r="C248" s="447">
        <f t="shared" si="104"/>
        <v>382.58379849904236</v>
      </c>
      <c r="D248" s="447">
        <f t="shared" ref="D248:N248" si="106">D78-D214</f>
        <v>403.72819273985675</v>
      </c>
      <c r="E248" s="447">
        <f t="shared" si="106"/>
        <v>412.85202687412954</v>
      </c>
      <c r="F248" s="447">
        <f t="shared" si="106"/>
        <v>427.60158487493271</v>
      </c>
      <c r="G248" s="447">
        <f t="shared" si="106"/>
        <v>441.85134094757962</v>
      </c>
      <c r="H248" s="447">
        <f t="shared" si="106"/>
        <v>456.41429762918182</v>
      </c>
      <c r="I248" s="447">
        <f t="shared" si="106"/>
        <v>471.05751600450282</v>
      </c>
      <c r="J248" s="447">
        <f t="shared" si="106"/>
        <v>484.81410725096998</v>
      </c>
      <c r="K248" s="447">
        <f t="shared" si="106"/>
        <v>493.8847146706791</v>
      </c>
      <c r="L248" s="447">
        <f t="shared" si="106"/>
        <v>499.47486488027243</v>
      </c>
      <c r="M248" s="447">
        <f t="shared" si="106"/>
        <v>501.84510137687641</v>
      </c>
      <c r="N248" s="447">
        <f t="shared" si="106"/>
        <v>500.66857516133268</v>
      </c>
      <c r="O248" s="320"/>
      <c r="P248" s="320"/>
      <c r="Q248" s="320"/>
    </row>
    <row r="249" spans="2:17">
      <c r="B249" s="331" t="str">
        <f t="shared" si="102"/>
        <v>30-34</v>
      </c>
      <c r="C249" s="447">
        <f t="shared" si="104"/>
        <v>573.43469043269977</v>
      </c>
      <c r="D249" s="447">
        <f t="shared" ref="D249:N249" si="107">D79-D215</f>
        <v>561.45565834882473</v>
      </c>
      <c r="E249" s="447">
        <f t="shared" si="107"/>
        <v>546.45255968814104</v>
      </c>
      <c r="F249" s="447">
        <f t="shared" si="107"/>
        <v>540.05915199150729</v>
      </c>
      <c r="G249" s="447">
        <f t="shared" si="107"/>
        <v>538.48481521533552</v>
      </c>
      <c r="H249" s="447">
        <f t="shared" si="107"/>
        <v>541.40722440350328</v>
      </c>
      <c r="I249" s="447">
        <f t="shared" si="107"/>
        <v>547.86723008104218</v>
      </c>
      <c r="J249" s="447">
        <f t="shared" si="107"/>
        <v>556.4906755045746</v>
      </c>
      <c r="K249" s="447">
        <f t="shared" si="107"/>
        <v>564.1433780639959</v>
      </c>
      <c r="L249" s="447">
        <f t="shared" si="107"/>
        <v>570.51870181474726</v>
      </c>
      <c r="M249" s="447">
        <f t="shared" si="107"/>
        <v>575.0718360423482</v>
      </c>
      <c r="N249" s="447">
        <f t="shared" si="107"/>
        <v>577.08891603969323</v>
      </c>
      <c r="O249" s="320"/>
      <c r="P249" s="320"/>
      <c r="Q249" s="320"/>
    </row>
    <row r="250" spans="2:17">
      <c r="B250" s="331" t="str">
        <f t="shared" si="102"/>
        <v>35-39</v>
      </c>
      <c r="C250" s="447">
        <f t="shared" si="104"/>
        <v>612.00885964123165</v>
      </c>
      <c r="D250" s="447">
        <f t="shared" ref="D250:N250" si="108">D80-D216</f>
        <v>600.66171515445967</v>
      </c>
      <c r="E250" s="447">
        <f t="shared" si="108"/>
        <v>582.72675324143756</v>
      </c>
      <c r="F250" s="447">
        <f t="shared" si="108"/>
        <v>569.20948907389061</v>
      </c>
      <c r="G250" s="447">
        <f t="shared" si="108"/>
        <v>558.4612773904895</v>
      </c>
      <c r="H250" s="447">
        <f t="shared" si="108"/>
        <v>551.32950670886282</v>
      </c>
      <c r="I250" s="447">
        <f t="shared" si="108"/>
        <v>547.79312450922475</v>
      </c>
      <c r="J250" s="447">
        <f t="shared" si="108"/>
        <v>547.24026562496397</v>
      </c>
      <c r="K250" s="447">
        <f t="shared" si="108"/>
        <v>547.67317768639259</v>
      </c>
      <c r="L250" s="447">
        <f t="shared" si="108"/>
        <v>548.83189339622959</v>
      </c>
      <c r="M250" s="447">
        <f t="shared" si="108"/>
        <v>550.11205721262502</v>
      </c>
      <c r="N250" s="447">
        <f t="shared" si="108"/>
        <v>550.73164441036579</v>
      </c>
      <c r="O250" s="320"/>
      <c r="P250" s="320"/>
      <c r="Q250" s="320"/>
    </row>
    <row r="251" spans="2:17">
      <c r="B251" s="331" t="str">
        <f t="shared" si="102"/>
        <v>40-44</v>
      </c>
      <c r="C251" s="447">
        <f t="shared" si="104"/>
        <v>544.57031358783456</v>
      </c>
      <c r="D251" s="447">
        <f t="shared" ref="D251:N251" si="109">D81-D217</f>
        <v>555.68892112888147</v>
      </c>
      <c r="E251" s="447">
        <f t="shared" si="109"/>
        <v>555.52570473635501</v>
      </c>
      <c r="F251" s="447">
        <f t="shared" si="109"/>
        <v>554.0133035667526</v>
      </c>
      <c r="G251" s="447">
        <f t="shared" si="109"/>
        <v>550.63169464079056</v>
      </c>
      <c r="H251" s="447">
        <f t="shared" si="109"/>
        <v>546.99057380262275</v>
      </c>
      <c r="I251" s="447">
        <f t="shared" si="109"/>
        <v>543.94388474172331</v>
      </c>
      <c r="J251" s="447">
        <f t="shared" si="109"/>
        <v>541.7619752303641</v>
      </c>
      <c r="K251" s="447">
        <f t="shared" si="109"/>
        <v>539.43849377409697</v>
      </c>
      <c r="L251" s="447">
        <f t="shared" si="109"/>
        <v>537.34716237327632</v>
      </c>
      <c r="M251" s="447">
        <f t="shared" si="109"/>
        <v>535.41366356343792</v>
      </c>
      <c r="N251" s="447">
        <f t="shared" si="109"/>
        <v>533.26843098758729</v>
      </c>
      <c r="O251" s="320"/>
      <c r="P251" s="320"/>
      <c r="Q251" s="320"/>
    </row>
    <row r="252" spans="2:17">
      <c r="B252" s="331" t="str">
        <f t="shared" si="102"/>
        <v>45-49</v>
      </c>
      <c r="C252" s="447">
        <f t="shared" si="104"/>
        <v>395.0203926164736</v>
      </c>
      <c r="D252" s="447">
        <f t="shared" ref="D252:N252" si="110">D82-D218</f>
        <v>415.94098509273772</v>
      </c>
      <c r="E252" s="447">
        <f t="shared" si="110"/>
        <v>427.67339509089908</v>
      </c>
      <c r="F252" s="447">
        <f t="shared" si="110"/>
        <v>437.77495339883666</v>
      </c>
      <c r="G252" s="447">
        <f t="shared" si="110"/>
        <v>444.93981794737783</v>
      </c>
      <c r="H252" s="447">
        <f t="shared" si="110"/>
        <v>450.14208197980918</v>
      </c>
      <c r="I252" s="447">
        <f t="shared" si="110"/>
        <v>453.98268510114121</v>
      </c>
      <c r="J252" s="447">
        <f t="shared" si="110"/>
        <v>456.76412819647237</v>
      </c>
      <c r="K252" s="447">
        <f t="shared" si="110"/>
        <v>457.87902309332304</v>
      </c>
      <c r="L252" s="447">
        <f t="shared" si="110"/>
        <v>457.89415920797228</v>
      </c>
      <c r="M252" s="447">
        <f t="shared" si="110"/>
        <v>457.04323036038403</v>
      </c>
      <c r="N252" s="447">
        <f t="shared" si="110"/>
        <v>455.31805605254817</v>
      </c>
      <c r="O252" s="320"/>
      <c r="P252" s="320"/>
      <c r="Q252" s="320"/>
    </row>
    <row r="253" spans="2:17">
      <c r="B253" s="331" t="str">
        <f t="shared" si="102"/>
        <v>50-54</v>
      </c>
      <c r="C253" s="447">
        <f t="shared" si="104"/>
        <v>283.15004614264677</v>
      </c>
      <c r="D253" s="447">
        <f t="shared" ref="D253:N253" si="111">D83-D219</f>
        <v>290.40236378358696</v>
      </c>
      <c r="E253" s="447">
        <f t="shared" si="111"/>
        <v>295.19285141884734</v>
      </c>
      <c r="F253" s="447">
        <f t="shared" si="111"/>
        <v>301.80160315336457</v>
      </c>
      <c r="G253" s="447">
        <f t="shared" si="111"/>
        <v>308.27872478283166</v>
      </c>
      <c r="H253" s="447">
        <f t="shared" si="111"/>
        <v>314.50851096906831</v>
      </c>
      <c r="I253" s="447">
        <f t="shared" si="111"/>
        <v>320.29550483533296</v>
      </c>
      <c r="J253" s="447">
        <f t="shared" si="111"/>
        <v>325.40125415431731</v>
      </c>
      <c r="K253" s="447">
        <f t="shared" si="111"/>
        <v>329.07372999574943</v>
      </c>
      <c r="L253" s="447">
        <f t="shared" si="111"/>
        <v>331.55079196517067</v>
      </c>
      <c r="M253" s="447">
        <f t="shared" si="111"/>
        <v>332.92004994545442</v>
      </c>
      <c r="N253" s="447">
        <f t="shared" si="111"/>
        <v>333.16392523898185</v>
      </c>
      <c r="O253" s="320"/>
      <c r="P253" s="320"/>
      <c r="Q253" s="320"/>
    </row>
    <row r="254" spans="2:17">
      <c r="B254" s="331" t="str">
        <f t="shared" si="102"/>
        <v>55-59</v>
      </c>
      <c r="C254" s="447">
        <f t="shared" si="104"/>
        <v>179.07807996122739</v>
      </c>
      <c r="D254" s="447">
        <f t="shared" ref="D254:N254" si="112">D84-D220</f>
        <v>160.14572588502637</v>
      </c>
      <c r="E254" s="447">
        <f t="shared" si="112"/>
        <v>148.08874503900321</v>
      </c>
      <c r="F254" s="447">
        <f t="shared" si="112"/>
        <v>142.34541988176821</v>
      </c>
      <c r="G254" s="447">
        <f t="shared" si="112"/>
        <v>140.02462377934938</v>
      </c>
      <c r="H254" s="447">
        <f t="shared" si="112"/>
        <v>139.88652907056158</v>
      </c>
      <c r="I254" s="447">
        <f t="shared" si="112"/>
        <v>141.02849248801425</v>
      </c>
      <c r="J254" s="447">
        <f t="shared" si="112"/>
        <v>142.77707972180781</v>
      </c>
      <c r="K254" s="447">
        <f t="shared" si="112"/>
        <v>144.34266816181062</v>
      </c>
      <c r="L254" s="447">
        <f t="shared" si="112"/>
        <v>145.64286045120824</v>
      </c>
      <c r="M254" s="447">
        <f t="shared" si="112"/>
        <v>146.56467291515708</v>
      </c>
      <c r="N254" s="447">
        <f t="shared" si="112"/>
        <v>146.98755356813953</v>
      </c>
      <c r="O254" s="320"/>
      <c r="P254" s="320"/>
      <c r="Q254" s="320"/>
    </row>
    <row r="255" spans="2:17">
      <c r="B255" s="331" t="str">
        <f t="shared" si="102"/>
        <v>60-64</v>
      </c>
      <c r="C255" s="447">
        <f t="shared" si="104"/>
        <v>56.294956605900431</v>
      </c>
      <c r="D255" s="447">
        <f t="shared" ref="D255:N255" si="113">D85-D221</f>
        <v>56.316428291629151</v>
      </c>
      <c r="E255" s="447">
        <f t="shared" si="113"/>
        <v>53.05459739368905</v>
      </c>
      <c r="F255" s="447">
        <f t="shared" si="113"/>
        <v>50.238045944768054</v>
      </c>
      <c r="G255" s="447">
        <f t="shared" si="113"/>
        <v>48.17418299687774</v>
      </c>
      <c r="H255" s="447">
        <f t="shared" si="113"/>
        <v>46.996107779121374</v>
      </c>
      <c r="I255" s="447">
        <f t="shared" si="113"/>
        <v>46.542323130484966</v>
      </c>
      <c r="J255" s="447">
        <f t="shared" si="113"/>
        <v>46.567814964059103</v>
      </c>
      <c r="K255" s="447">
        <f t="shared" si="113"/>
        <v>46.70182644562783</v>
      </c>
      <c r="L255" s="447">
        <f t="shared" si="113"/>
        <v>46.890465871234397</v>
      </c>
      <c r="M255" s="447">
        <f t="shared" si="113"/>
        <v>47.050950906159329</v>
      </c>
      <c r="N255" s="447">
        <f t="shared" si="113"/>
        <v>47.097411954140284</v>
      </c>
      <c r="O255" s="320"/>
      <c r="P255" s="320"/>
      <c r="Q255" s="320"/>
    </row>
    <row r="256" spans="2:17">
      <c r="B256" s="331" t="str">
        <f t="shared" si="102"/>
        <v>65 plus</v>
      </c>
      <c r="C256" s="447">
        <f t="shared" si="104"/>
        <v>11.365232566558459</v>
      </c>
      <c r="D256" s="447">
        <f t="shared" ref="D256:N256" si="114">D86-D222</f>
        <v>15.548002752164111</v>
      </c>
      <c r="E256" s="447">
        <f t="shared" si="114"/>
        <v>17.559093388392867</v>
      </c>
      <c r="F256" s="447">
        <f t="shared" si="114"/>
        <v>18.468876214875337</v>
      </c>
      <c r="G256" s="447">
        <f t="shared" si="114"/>
        <v>18.681026210056356</v>
      </c>
      <c r="H256" s="447">
        <f t="shared" si="114"/>
        <v>18.615048594654848</v>
      </c>
      <c r="I256" s="447">
        <f t="shared" si="114"/>
        <v>18.498232723311656</v>
      </c>
      <c r="J256" s="447">
        <f t="shared" si="114"/>
        <v>18.421449446217643</v>
      </c>
      <c r="K256" s="447">
        <f t="shared" si="114"/>
        <v>18.343359104246794</v>
      </c>
      <c r="L256" s="447">
        <f t="shared" si="114"/>
        <v>18.286267657317179</v>
      </c>
      <c r="M256" s="447">
        <f t="shared" si="114"/>
        <v>18.238756160526123</v>
      </c>
      <c r="N256" s="447">
        <f t="shared" si="114"/>
        <v>18.172553664273948</v>
      </c>
      <c r="O256" s="320"/>
      <c r="P256" s="320"/>
      <c r="Q256" s="320"/>
    </row>
    <row r="257" spans="1:17">
      <c r="B257" s="331" t="str">
        <f t="shared" si="102"/>
        <v>Total</v>
      </c>
      <c r="C257" s="447">
        <f>SUM(C247:C256)</f>
        <v>3136.0915544167956</v>
      </c>
      <c r="D257" s="447">
        <f t="shared" ref="D257:N257" si="115">SUM(D247:D256)</f>
        <v>3213.4408231120874</v>
      </c>
      <c r="E257" s="447">
        <f t="shared" si="115"/>
        <v>3217.7780498022162</v>
      </c>
      <c r="F257" s="447">
        <f t="shared" si="115"/>
        <v>3239.4807957926773</v>
      </c>
      <c r="G257" s="447">
        <f t="shared" si="115"/>
        <v>3260.6153581103822</v>
      </c>
      <c r="H257" s="447">
        <f t="shared" si="115"/>
        <v>3287.7254141481721</v>
      </c>
      <c r="I257" s="447">
        <f t="shared" si="115"/>
        <v>3321.2312247056689</v>
      </c>
      <c r="J257" s="447">
        <f t="shared" si="115"/>
        <v>3357.7277505840852</v>
      </c>
      <c r="K257" s="447">
        <f t="shared" si="115"/>
        <v>3382.4213865252104</v>
      </c>
      <c r="L257" s="447">
        <f t="shared" si="115"/>
        <v>3398.6598384721578</v>
      </c>
      <c r="M257" s="447">
        <f t="shared" si="115"/>
        <v>3406.0312429752867</v>
      </c>
      <c r="N257" s="447">
        <f t="shared" si="115"/>
        <v>3401.9363246078387</v>
      </c>
      <c r="O257" s="320"/>
      <c r="P257" s="320"/>
      <c r="Q257" s="320"/>
    </row>
    <row r="258" spans="1:17">
      <c r="A258" s="302">
        <f>SUM(C258:N258)</f>
        <v>0</v>
      </c>
      <c r="C258" s="302">
        <f t="shared" ref="C258:N258" si="116">SUM(C247:C256)-C257</f>
        <v>0</v>
      </c>
      <c r="D258" s="302">
        <f t="shared" si="116"/>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7">
      <c r="B260" s="334" t="s">
        <v>47</v>
      </c>
      <c r="C260" s="322"/>
      <c r="D260" s="322"/>
      <c r="E260" s="322"/>
      <c r="F260" s="322"/>
      <c r="G260" s="322"/>
      <c r="H260" s="332"/>
      <c r="I260" s="322"/>
      <c r="J260" s="322"/>
      <c r="K260" s="322"/>
      <c r="L260" s="322"/>
    </row>
    <row r="261" spans="1:17">
      <c r="C261" s="322"/>
      <c r="D261" s="322"/>
      <c r="E261" s="322"/>
      <c r="F261" s="322"/>
      <c r="G261" s="322"/>
      <c r="H261" s="332"/>
      <c r="I261" s="322"/>
      <c r="J261" s="322"/>
      <c r="K261" s="322"/>
      <c r="L261" s="322"/>
    </row>
    <row r="262" spans="1:17">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7">
      <c r="B263" s="331" t="str">
        <f t="shared" si="117"/>
        <v>20-24</v>
      </c>
      <c r="C263" s="447">
        <f t="shared" ref="C263:C272" si="119">C93-C229</f>
        <v>284.69656689025624</v>
      </c>
      <c r="D263" s="447">
        <f t="shared" ref="D263:N263" si="120">D93-D229</f>
        <v>410.14876861699236</v>
      </c>
      <c r="E263" s="447">
        <f t="shared" si="120"/>
        <v>471.16428774716172</v>
      </c>
      <c r="F263" s="447">
        <f t="shared" si="120"/>
        <v>516.70356836905978</v>
      </c>
      <c r="G263" s="447">
        <f t="shared" si="120"/>
        <v>548.77750213435502</v>
      </c>
      <c r="H263" s="447">
        <f t="shared" si="120"/>
        <v>574.82890824249819</v>
      </c>
      <c r="I263" s="447">
        <f t="shared" si="120"/>
        <v>597.40701943004433</v>
      </c>
      <c r="J263" s="447">
        <f t="shared" si="120"/>
        <v>616.41734828483277</v>
      </c>
      <c r="K263" s="447">
        <f t="shared" si="120"/>
        <v>626.15740196682634</v>
      </c>
      <c r="L263" s="447">
        <f t="shared" si="120"/>
        <v>630.39658304831642</v>
      </c>
      <c r="M263" s="447">
        <f t="shared" si="120"/>
        <v>630.14121335972652</v>
      </c>
      <c r="N263" s="447">
        <f t="shared" si="120"/>
        <v>625.02409668564167</v>
      </c>
      <c r="O263" s="360"/>
      <c r="P263" s="360"/>
      <c r="Q263" s="360"/>
    </row>
    <row r="264" spans="1:17">
      <c r="B264" s="331" t="str">
        <f t="shared" si="117"/>
        <v>25-29</v>
      </c>
      <c r="C264" s="447">
        <f t="shared" si="119"/>
        <v>1064.9107473869137</v>
      </c>
      <c r="D264" s="447">
        <f t="shared" ref="D264:N264" si="121">D94-D230</f>
        <v>1086.4054670683904</v>
      </c>
      <c r="E264" s="447">
        <f t="shared" si="121"/>
        <v>1090.6787850008075</v>
      </c>
      <c r="F264" s="447">
        <f t="shared" si="121"/>
        <v>1109.2879943967564</v>
      </c>
      <c r="G264" s="447">
        <f t="shared" si="121"/>
        <v>1131.8799937138315</v>
      </c>
      <c r="H264" s="447">
        <f t="shared" si="121"/>
        <v>1159.0246388246003</v>
      </c>
      <c r="I264" s="447">
        <f t="shared" si="121"/>
        <v>1189.1301657192726</v>
      </c>
      <c r="J264" s="447">
        <f t="shared" si="121"/>
        <v>1219.1199046032589</v>
      </c>
      <c r="K264" s="447">
        <f t="shared" si="121"/>
        <v>1239.390403647833</v>
      </c>
      <c r="L264" s="447">
        <f t="shared" si="121"/>
        <v>1252.2402853466685</v>
      </c>
      <c r="M264" s="447">
        <f t="shared" si="121"/>
        <v>1257.9035759841797</v>
      </c>
      <c r="N264" s="447">
        <f t="shared" si="121"/>
        <v>1255.3386049348753</v>
      </c>
      <c r="O264" s="360"/>
      <c r="P264" s="360"/>
      <c r="Q264" s="360"/>
    </row>
    <row r="265" spans="1:17">
      <c r="B265" s="331" t="str">
        <f t="shared" si="117"/>
        <v>30-34</v>
      </c>
      <c r="C265" s="447">
        <f t="shared" si="119"/>
        <v>1492.7092391372698</v>
      </c>
      <c r="D265" s="447">
        <f t="shared" ref="D265:N265" si="122">D95-D231</f>
        <v>1449.330249599727</v>
      </c>
      <c r="E265" s="447">
        <f t="shared" si="122"/>
        <v>1400.4916026406736</v>
      </c>
      <c r="F265" s="447">
        <f t="shared" si="122"/>
        <v>1368.2288260498062</v>
      </c>
      <c r="G265" s="447">
        <f t="shared" si="122"/>
        <v>1349.1875283046711</v>
      </c>
      <c r="H265" s="447">
        <f t="shared" si="122"/>
        <v>1342.9552324968447</v>
      </c>
      <c r="I265" s="447">
        <f t="shared" si="122"/>
        <v>1347.3034685816256</v>
      </c>
      <c r="J265" s="447">
        <f t="shared" si="122"/>
        <v>1358.8538686094346</v>
      </c>
      <c r="K265" s="447">
        <f t="shared" si="122"/>
        <v>1370.0406078960559</v>
      </c>
      <c r="L265" s="447">
        <f t="shared" si="122"/>
        <v>1379.8568236942513</v>
      </c>
      <c r="M265" s="447">
        <f t="shared" si="122"/>
        <v>1386.7296875493198</v>
      </c>
      <c r="N265" s="447">
        <f t="shared" si="122"/>
        <v>1388.7131849906796</v>
      </c>
      <c r="O265" s="360"/>
      <c r="P265" s="360"/>
      <c r="Q265" s="360"/>
    </row>
    <row r="266" spans="1:17">
      <c r="B266" s="331" t="str">
        <f t="shared" si="117"/>
        <v>35-39</v>
      </c>
      <c r="C266" s="447">
        <f t="shared" si="119"/>
        <v>1427.2708405428345</v>
      </c>
      <c r="D266" s="447">
        <f t="shared" ref="D266:N266" si="123">D96-D232</f>
        <v>1430.6936621824118</v>
      </c>
      <c r="E266" s="447">
        <f t="shared" si="123"/>
        <v>1410.4556228606591</v>
      </c>
      <c r="F266" s="447">
        <f t="shared" si="123"/>
        <v>1387.8510679936192</v>
      </c>
      <c r="G266" s="447">
        <f t="shared" si="123"/>
        <v>1366.1307741062583</v>
      </c>
      <c r="H266" s="447">
        <f t="shared" si="123"/>
        <v>1349.1517485098307</v>
      </c>
      <c r="I266" s="447">
        <f t="shared" si="123"/>
        <v>1338.290488936017</v>
      </c>
      <c r="J266" s="447">
        <f t="shared" si="123"/>
        <v>1333.1559746369032</v>
      </c>
      <c r="K266" s="447">
        <f t="shared" si="123"/>
        <v>1329.8013132655449</v>
      </c>
      <c r="L266" s="447">
        <f t="shared" si="123"/>
        <v>1328.1083925296723</v>
      </c>
      <c r="M266" s="447">
        <f t="shared" si="123"/>
        <v>1326.9672253026349</v>
      </c>
      <c r="N266" s="447">
        <f t="shared" si="123"/>
        <v>1324.7153931454814</v>
      </c>
      <c r="O266" s="360"/>
      <c r="P266" s="360"/>
      <c r="Q266" s="360"/>
    </row>
    <row r="267" spans="1:17">
      <c r="B267" s="331" t="str">
        <f t="shared" si="117"/>
        <v>40-44</v>
      </c>
      <c r="C267" s="447">
        <f t="shared" si="119"/>
        <v>1206.9270348989842</v>
      </c>
      <c r="D267" s="447">
        <f t="shared" ref="D267:N267" si="124">D97-D233</f>
        <v>1238.8925080358549</v>
      </c>
      <c r="E267" s="447">
        <f t="shared" si="124"/>
        <v>1250.4472141568506</v>
      </c>
      <c r="F267" s="447">
        <f t="shared" si="124"/>
        <v>1255.9426743730571</v>
      </c>
      <c r="G267" s="447">
        <f t="shared" si="124"/>
        <v>1256.3337112801298</v>
      </c>
      <c r="H267" s="447">
        <f t="shared" si="124"/>
        <v>1254.5733655820145</v>
      </c>
      <c r="I267" s="447">
        <f t="shared" si="124"/>
        <v>1252.3878156905143</v>
      </c>
      <c r="J267" s="447">
        <f t="shared" si="124"/>
        <v>1250.464341495074</v>
      </c>
      <c r="K267" s="447">
        <f t="shared" si="124"/>
        <v>1246.6995828433762</v>
      </c>
      <c r="L267" s="447">
        <f t="shared" si="124"/>
        <v>1242.2769726107008</v>
      </c>
      <c r="M267" s="447">
        <f t="shared" si="124"/>
        <v>1237.3382455065084</v>
      </c>
      <c r="N267" s="447">
        <f t="shared" si="124"/>
        <v>1231.3123239191393</v>
      </c>
      <c r="O267" s="360"/>
      <c r="P267" s="360"/>
      <c r="Q267" s="360"/>
    </row>
    <row r="268" spans="1:17">
      <c r="B268" s="331" t="str">
        <f t="shared" si="117"/>
        <v>45-49</v>
      </c>
      <c r="C268" s="447">
        <f t="shared" si="119"/>
        <v>867.41516974140563</v>
      </c>
      <c r="D268" s="447">
        <f t="shared" ref="D268:N268" si="125">D98-D234</f>
        <v>923.97159217915907</v>
      </c>
      <c r="E268" s="447">
        <f t="shared" si="125"/>
        <v>960.52268662846438</v>
      </c>
      <c r="F268" s="447">
        <f t="shared" si="125"/>
        <v>989.52022581988513</v>
      </c>
      <c r="G268" s="447">
        <f t="shared" si="125"/>
        <v>1011.8292849136081</v>
      </c>
      <c r="H268" s="447">
        <f t="shared" si="125"/>
        <v>1029.533523094942</v>
      </c>
      <c r="I268" s="447">
        <f t="shared" si="125"/>
        <v>1043.7549551164311</v>
      </c>
      <c r="J268" s="447">
        <f t="shared" si="125"/>
        <v>1054.9491761895895</v>
      </c>
      <c r="K268" s="447">
        <f t="shared" si="125"/>
        <v>1061.5175017004569</v>
      </c>
      <c r="L268" s="447">
        <f t="shared" si="125"/>
        <v>1064.7091238934754</v>
      </c>
      <c r="M268" s="447">
        <f t="shared" si="125"/>
        <v>1065.0722747315533</v>
      </c>
      <c r="N268" s="447">
        <f t="shared" si="125"/>
        <v>1062.6454406902135</v>
      </c>
      <c r="O268" s="360"/>
      <c r="P268" s="360"/>
      <c r="Q268" s="360"/>
    </row>
    <row r="269" spans="1:17">
      <c r="B269" s="331" t="str">
        <f t="shared" si="117"/>
        <v>50-54</v>
      </c>
      <c r="C269" s="447">
        <f t="shared" si="119"/>
        <v>580.00172209078869</v>
      </c>
      <c r="D269" s="447">
        <f t="shared" ref="D269:N269" si="126">D99-D235</f>
        <v>617.41415770352205</v>
      </c>
      <c r="E269" s="447">
        <f t="shared" si="126"/>
        <v>646.2430923358379</v>
      </c>
      <c r="F269" s="447">
        <f t="shared" si="126"/>
        <v>673.28766163426053</v>
      </c>
      <c r="G269" s="447">
        <f t="shared" si="126"/>
        <v>697.60581356423108</v>
      </c>
      <c r="H269" s="447">
        <f t="shared" si="126"/>
        <v>719.67972637002504</v>
      </c>
      <c r="I269" s="447">
        <f t="shared" si="126"/>
        <v>739.54129660487695</v>
      </c>
      <c r="J269" s="447">
        <f t="shared" si="126"/>
        <v>756.92101818052447</v>
      </c>
      <c r="K269" s="447">
        <f t="shared" si="126"/>
        <v>770.20305291279624</v>
      </c>
      <c r="L269" s="447">
        <f t="shared" si="126"/>
        <v>780.0190228360857</v>
      </c>
      <c r="M269" s="447">
        <f t="shared" si="126"/>
        <v>786.6142754770068</v>
      </c>
      <c r="N269" s="447">
        <f t="shared" si="126"/>
        <v>789.97570695159061</v>
      </c>
      <c r="O269" s="360"/>
      <c r="P269" s="360"/>
      <c r="Q269" s="360"/>
    </row>
    <row r="270" spans="1:17">
      <c r="B270" s="331" t="str">
        <f t="shared" si="117"/>
        <v>55-59</v>
      </c>
      <c r="C270" s="447">
        <f t="shared" si="119"/>
        <v>348.92188588079449</v>
      </c>
      <c r="D270" s="447">
        <f t="shared" ref="D270:N270" si="127">D100-D236</f>
        <v>330.78013447539223</v>
      </c>
      <c r="E270" s="447">
        <f t="shared" si="127"/>
        <v>321.4362750055912</v>
      </c>
      <c r="F270" s="447">
        <f t="shared" si="127"/>
        <v>320.57888847796522</v>
      </c>
      <c r="G270" s="447">
        <f t="shared" si="127"/>
        <v>324.30043968190273</v>
      </c>
      <c r="H270" s="447">
        <f t="shared" si="127"/>
        <v>330.84656363842271</v>
      </c>
      <c r="I270" s="447">
        <f t="shared" si="127"/>
        <v>338.84871282360655</v>
      </c>
      <c r="J270" s="447">
        <f t="shared" si="127"/>
        <v>347.20766290299025</v>
      </c>
      <c r="K270" s="447">
        <f t="shared" si="127"/>
        <v>354.35375632073089</v>
      </c>
      <c r="L270" s="447">
        <f t="shared" si="127"/>
        <v>360.27825940572262</v>
      </c>
      <c r="M270" s="447">
        <f t="shared" si="127"/>
        <v>364.83123572044951</v>
      </c>
      <c r="N270" s="447">
        <f t="shared" si="127"/>
        <v>367.79752554839069</v>
      </c>
      <c r="O270" s="360"/>
      <c r="P270" s="360"/>
      <c r="Q270" s="360"/>
    </row>
    <row r="271" spans="1:17">
      <c r="B271" s="331" t="str">
        <f t="shared" si="117"/>
        <v>60-64</v>
      </c>
      <c r="C271" s="447">
        <f t="shared" si="119"/>
        <v>124.92046839898303</v>
      </c>
      <c r="D271" s="447">
        <f t="shared" ref="D271:N271" si="128">D101-D237</f>
        <v>122.67610334702813</v>
      </c>
      <c r="E271" s="447">
        <f t="shared" si="128"/>
        <v>117.41616197501362</v>
      </c>
      <c r="F271" s="447">
        <f t="shared" si="128"/>
        <v>113.80682426516888</v>
      </c>
      <c r="G271" s="447">
        <f t="shared" si="128"/>
        <v>111.95577491497889</v>
      </c>
      <c r="H271" s="447">
        <f t="shared" si="128"/>
        <v>111.79263615823733</v>
      </c>
      <c r="I271" s="447">
        <f t="shared" si="128"/>
        <v>112.88234481184644</v>
      </c>
      <c r="J271" s="447">
        <f t="shared" si="128"/>
        <v>114.70280875164256</v>
      </c>
      <c r="K271" s="447">
        <f t="shared" si="128"/>
        <v>116.4515431842561</v>
      </c>
      <c r="L271" s="447">
        <f t="shared" si="128"/>
        <v>118.06770205902653</v>
      </c>
      <c r="M271" s="447">
        <f t="shared" si="128"/>
        <v>119.409074088257</v>
      </c>
      <c r="N271" s="447">
        <f t="shared" si="128"/>
        <v>120.31033307988301</v>
      </c>
      <c r="O271" s="360"/>
      <c r="P271" s="360"/>
      <c r="Q271" s="360"/>
    </row>
    <row r="272" spans="1:17">
      <c r="B272" s="331" t="str">
        <f t="shared" si="117"/>
        <v>65 plus</v>
      </c>
      <c r="C272" s="447">
        <f t="shared" si="119"/>
        <v>29.939536045599372</v>
      </c>
      <c r="D272" s="447">
        <f t="shared" ref="D272:N272" si="129">D102-D238</f>
        <v>42.15013953980089</v>
      </c>
      <c r="E272" s="447">
        <f t="shared" si="129"/>
        <v>48.97491094352344</v>
      </c>
      <c r="F272" s="447">
        <f t="shared" si="129"/>
        <v>52.793764486989403</v>
      </c>
      <c r="G272" s="447">
        <f t="shared" si="129"/>
        <v>54.828235991986041</v>
      </c>
      <c r="H272" s="447">
        <f t="shared" si="129"/>
        <v>56.032882683190365</v>
      </c>
      <c r="I272" s="447">
        <f t="shared" si="129"/>
        <v>56.938533474156706</v>
      </c>
      <c r="J272" s="447">
        <f t="shared" si="129"/>
        <v>57.776065882107048</v>
      </c>
      <c r="K272" s="447">
        <f t="shared" si="129"/>
        <v>58.455073409767124</v>
      </c>
      <c r="L272" s="447">
        <f t="shared" si="129"/>
        <v>59.046839126036218</v>
      </c>
      <c r="M272" s="447">
        <f t="shared" si="129"/>
        <v>59.542065767940073</v>
      </c>
      <c r="N272" s="447">
        <f t="shared" si="129"/>
        <v>59.884298017949781</v>
      </c>
      <c r="O272" s="360"/>
      <c r="P272" s="360"/>
      <c r="Q272" s="360"/>
    </row>
    <row r="273" spans="1:17">
      <c r="B273" s="331" t="str">
        <f t="shared" si="117"/>
        <v>Total</v>
      </c>
      <c r="C273" s="447">
        <f>SUM(C263:C272)</f>
        <v>7427.7132110138291</v>
      </c>
      <c r="D273" s="447">
        <f t="shared" ref="D273:N273" si="130">SUM(D263:D272)</f>
        <v>7652.4627827482791</v>
      </c>
      <c r="E273" s="447">
        <f t="shared" si="130"/>
        <v>7717.8306392945833</v>
      </c>
      <c r="F273" s="447">
        <f t="shared" si="130"/>
        <v>7788.0014958665688</v>
      </c>
      <c r="G273" s="447">
        <f t="shared" si="130"/>
        <v>7852.829058605952</v>
      </c>
      <c r="H273" s="447">
        <f t="shared" si="130"/>
        <v>7928.4192256006063</v>
      </c>
      <c r="I273" s="447">
        <f t="shared" si="130"/>
        <v>8016.4848011883914</v>
      </c>
      <c r="J273" s="447">
        <f t="shared" si="130"/>
        <v>8109.5681695363573</v>
      </c>
      <c r="K273" s="447">
        <f t="shared" si="130"/>
        <v>8173.0702371476445</v>
      </c>
      <c r="L273" s="447">
        <f t="shared" si="130"/>
        <v>8215.0000045499564</v>
      </c>
      <c r="M273" s="447">
        <f t="shared" si="130"/>
        <v>8234.5488734875762</v>
      </c>
      <c r="N273" s="447">
        <f t="shared" si="130"/>
        <v>8225.7169079638443</v>
      </c>
      <c r="O273" s="360"/>
      <c r="P273" s="360"/>
      <c r="Q273" s="360"/>
    </row>
    <row r="274" spans="1:17">
      <c r="A274" s="302">
        <f>SUM(C274:N274)</f>
        <v>0</v>
      </c>
      <c r="C274" s="302">
        <f t="shared" ref="C274:N274" si="131">SUM(C263:C272)-C273</f>
        <v>0</v>
      </c>
      <c r="D274" s="302">
        <f t="shared" si="131"/>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7" ht="15.75">
      <c r="B275" s="333"/>
      <c r="H275" s="320"/>
    </row>
    <row r="276" spans="1:17" ht="15.75">
      <c r="B276" s="333" t="s">
        <v>528</v>
      </c>
      <c r="H276" s="320"/>
    </row>
    <row r="277" spans="1:17" ht="15.75">
      <c r="B277" s="333"/>
      <c r="H277" s="320"/>
    </row>
    <row r="278" spans="1:17"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7">
      <c r="B279" s="319" t="s">
        <v>194</v>
      </c>
      <c r="C279" s="447">
        <f>C223+C239</f>
        <v>1416.0372020053983</v>
      </c>
      <c r="D279" s="447">
        <f t="shared" ref="D279:N279" si="133">D223+D239</f>
        <v>1452.7593773081346</v>
      </c>
      <c r="E279" s="447">
        <f t="shared" si="133"/>
        <v>1495.2466468015721</v>
      </c>
      <c r="F279" s="447">
        <f t="shared" si="133"/>
        <v>1515.0038432026759</v>
      </c>
      <c r="G279" s="447">
        <f t="shared" si="133"/>
        <v>1530.0993042791483</v>
      </c>
      <c r="H279" s="447">
        <f t="shared" si="133"/>
        <v>1548.1380471966927</v>
      </c>
      <c r="I279" s="447">
        <f t="shared" si="133"/>
        <v>1569.113990300629</v>
      </c>
      <c r="J279" s="447">
        <f t="shared" si="133"/>
        <v>1591.0799224805669</v>
      </c>
      <c r="K279" s="447">
        <f t="shared" si="133"/>
        <v>1606.452933329487</v>
      </c>
      <c r="L279" s="447">
        <f t="shared" si="133"/>
        <v>1617.0097636446426</v>
      </c>
      <c r="M279" s="447">
        <f t="shared" si="133"/>
        <v>1622.6052493615341</v>
      </c>
      <c r="N279" s="447">
        <f t="shared" si="133"/>
        <v>1622.0212657505137</v>
      </c>
    </row>
    <row r="280" spans="1:17">
      <c r="B280" s="319" t="s">
        <v>195</v>
      </c>
      <c r="C280" s="447">
        <f>C155+C171</f>
        <v>268.68391891985027</v>
      </c>
      <c r="D280" s="447">
        <f t="shared" ref="D280:N280" si="134">D155+D171</f>
        <v>266.81229042562626</v>
      </c>
      <c r="E280" s="447">
        <f t="shared" si="134"/>
        <v>262.88828272775879</v>
      </c>
      <c r="F280" s="447">
        <f t="shared" si="134"/>
        <v>261.18200704451749</v>
      </c>
      <c r="G280" s="447">
        <f t="shared" si="134"/>
        <v>261.46424120853914</v>
      </c>
      <c r="H280" s="447">
        <f t="shared" si="134"/>
        <v>263.68284430660208</v>
      </c>
      <c r="I280" s="447">
        <f t="shared" si="134"/>
        <v>267.32486700188701</v>
      </c>
      <c r="J280" s="447">
        <f t="shared" si="134"/>
        <v>271.70428200222648</v>
      </c>
      <c r="K280" s="447">
        <f t="shared" si="134"/>
        <v>275.51879908157292</v>
      </c>
      <c r="L280" s="447">
        <f t="shared" si="134"/>
        <v>278.75999958657741</v>
      </c>
      <c r="M280" s="447">
        <f t="shared" si="134"/>
        <v>281.25175641661025</v>
      </c>
      <c r="N280" s="447">
        <f t="shared" si="134"/>
        <v>282.74524137685171</v>
      </c>
    </row>
    <row r="281" spans="1:17">
      <c r="B281" s="319" t="s">
        <v>529</v>
      </c>
      <c r="C281" s="447">
        <f>C189+C205</f>
        <v>7.4976744162598683</v>
      </c>
      <c r="D281" s="447">
        <f t="shared" ref="D281:N281" si="135">D189+D205</f>
        <v>7.6983752572122555</v>
      </c>
      <c r="E281" s="447">
        <f t="shared" si="135"/>
        <v>7.7872742581655929</v>
      </c>
      <c r="F281" s="447">
        <f t="shared" si="135"/>
        <v>7.859629848890064</v>
      </c>
      <c r="G281" s="447">
        <f t="shared" si="135"/>
        <v>7.9256398063693307</v>
      </c>
      <c r="H281" s="447">
        <f t="shared" si="135"/>
        <v>7.9998328008311574</v>
      </c>
      <c r="I281" s="447">
        <f t="shared" si="135"/>
        <v>8.0842311208547688</v>
      </c>
      <c r="J281" s="447">
        <f t="shared" si="135"/>
        <v>8.1732837071219624</v>
      </c>
      <c r="K281" s="447">
        <f t="shared" si="135"/>
        <v>8.2415641198464016</v>
      </c>
      <c r="L281" s="447">
        <f t="shared" si="135"/>
        <v>8.2932507362791625</v>
      </c>
      <c r="M281" s="447">
        <f t="shared" si="135"/>
        <v>8.3267734737062504</v>
      </c>
      <c r="N281" s="447">
        <f t="shared" si="135"/>
        <v>8.3371336543583201</v>
      </c>
    </row>
    <row r="282" spans="1:17">
      <c r="B282" s="319" t="s">
        <v>196</v>
      </c>
      <c r="C282" s="447">
        <f>C121+C137</f>
        <v>1139.8556086692879</v>
      </c>
      <c r="D282" s="447">
        <f t="shared" ref="D282:N282" si="136">D121+D137</f>
        <v>1178.248711625296</v>
      </c>
      <c r="E282" s="447">
        <f t="shared" si="136"/>
        <v>1224.5710898156481</v>
      </c>
      <c r="F282" s="447">
        <f t="shared" si="136"/>
        <v>1245.9622063092681</v>
      </c>
      <c r="G282" s="447">
        <f t="shared" si="136"/>
        <v>1260.7094232642398</v>
      </c>
      <c r="H282" s="447">
        <f t="shared" si="136"/>
        <v>1276.4553700892593</v>
      </c>
      <c r="I282" s="447">
        <f t="shared" si="136"/>
        <v>1293.7048921778871</v>
      </c>
      <c r="J282" s="447">
        <f t="shared" si="136"/>
        <v>1311.2023567712185</v>
      </c>
      <c r="K282" s="447">
        <f t="shared" si="136"/>
        <v>1322.6925701280679</v>
      </c>
      <c r="L282" s="447">
        <f t="shared" si="136"/>
        <v>1329.9565133217857</v>
      </c>
      <c r="M282" s="447">
        <f t="shared" si="136"/>
        <v>1333.0267194712176</v>
      </c>
      <c r="N282" s="447">
        <f t="shared" si="136"/>
        <v>1330.9388907193033</v>
      </c>
    </row>
    <row r="283" spans="1:17"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7" ht="15.75">
      <c r="B284" s="333"/>
      <c r="H284" s="320"/>
    </row>
    <row r="285" spans="1:17" ht="15.75">
      <c r="B285" s="333" t="s">
        <v>266</v>
      </c>
      <c r="F285" s="357"/>
      <c r="G285" s="357" t="s">
        <v>267</v>
      </c>
      <c r="H285" s="320"/>
    </row>
    <row r="286" spans="1:17" ht="15.75">
      <c r="B286" s="333"/>
      <c r="H286" s="320"/>
    </row>
    <row r="287" spans="1:17" ht="15.75">
      <c r="B287" s="333" t="s">
        <v>212</v>
      </c>
      <c r="H287" s="320"/>
    </row>
    <row r="288" spans="1:17"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4" ht="15.75">
      <c r="B291" s="333"/>
      <c r="H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1754.8582177378757</v>
      </c>
      <c r="D294" s="447">
        <f t="shared" ref="D294:N294" si="141">D36-D15+D279-D290</f>
        <v>1564.951730038006</v>
      </c>
      <c r="E294" s="447">
        <f t="shared" si="141"/>
        <v>1606.8774457651218</v>
      </c>
      <c r="F294" s="447">
        <f t="shared" si="141"/>
        <v>1616.0614293362378</v>
      </c>
      <c r="G294" s="447">
        <f t="shared" si="141"/>
        <v>1650.838270229136</v>
      </c>
      <c r="H294" s="447">
        <f t="shared" si="141"/>
        <v>1690.6853764459115</v>
      </c>
      <c r="I294" s="447">
        <f t="shared" si="141"/>
        <v>1720.659816706949</v>
      </c>
      <c r="J294" s="447">
        <f t="shared" si="141"/>
        <v>1694.6486368818987</v>
      </c>
      <c r="K294" s="447">
        <f t="shared" si="141"/>
        <v>1675.1779829939026</v>
      </c>
      <c r="L294" s="447">
        <f t="shared" si="141"/>
        <v>1649.5255228022834</v>
      </c>
      <c r="M294" s="447">
        <f t="shared" si="141"/>
        <v>1609.0943818593339</v>
      </c>
      <c r="N294" s="447">
        <f t="shared" si="141"/>
        <v>1568.0795073812799</v>
      </c>
    </row>
    <row r="295" spans="2:14" ht="12.75" customHeight="1">
      <c r="B295" s="1330" t="s">
        <v>265</v>
      </c>
      <c r="C295" s="1331"/>
      <c r="D295" s="1331"/>
      <c r="E295" s="1331"/>
      <c r="F295" s="1331"/>
      <c r="G295" s="1331"/>
      <c r="H295" s="1331"/>
      <c r="I295" s="1331"/>
      <c r="J295" s="1331"/>
      <c r="K295" s="1331"/>
      <c r="L295" s="1331"/>
      <c r="M295" s="1331"/>
      <c r="N295" s="1331"/>
    </row>
    <row r="296" spans="2:14">
      <c r="B296" s="319" t="s">
        <v>7</v>
      </c>
      <c r="C296" s="276">
        <f>IF(C294&lt;0,0,C294)</f>
        <v>1754.8582177378757</v>
      </c>
      <c r="D296" s="276">
        <f t="shared" ref="D296:N296" si="142">IF(D294&lt;0,0,D294)</f>
        <v>1564.951730038006</v>
      </c>
      <c r="E296" s="276">
        <f t="shared" si="142"/>
        <v>1606.8774457651218</v>
      </c>
      <c r="F296" s="276">
        <f t="shared" si="142"/>
        <v>1616.0614293362378</v>
      </c>
      <c r="G296" s="276">
        <f t="shared" si="142"/>
        <v>1650.838270229136</v>
      </c>
      <c r="H296" s="276">
        <f t="shared" si="142"/>
        <v>1690.6853764459115</v>
      </c>
      <c r="I296" s="276">
        <f t="shared" si="142"/>
        <v>1720.659816706949</v>
      </c>
      <c r="J296" s="276">
        <f t="shared" si="142"/>
        <v>1694.6486368818987</v>
      </c>
      <c r="K296" s="276">
        <f t="shared" si="142"/>
        <v>1675.1779829939026</v>
      </c>
      <c r="L296" s="276">
        <f t="shared" si="142"/>
        <v>1649.5255228022834</v>
      </c>
      <c r="M296" s="276">
        <f t="shared" si="142"/>
        <v>1609.0943818593339</v>
      </c>
      <c r="N296" s="276">
        <f t="shared" si="142"/>
        <v>1568.0795073812799</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134.83870877930966</v>
      </c>
      <c r="D303" s="447">
        <f>D$296*Entrant_age_breakdowns!$K76*$G$31</f>
        <v>120.24679170507842</v>
      </c>
      <c r="E303" s="447">
        <f>E$296*Entrant_age_breakdowns!$K76*$G$31</f>
        <v>123.46825388142452</v>
      </c>
      <c r="F303" s="447">
        <f>F$296*Entrant_age_breakdowns!$K76*$G$31</f>
        <v>124.17392712252317</v>
      </c>
      <c r="G303" s="447">
        <f>G$296*Entrant_age_breakdowns!$K76*$G$31</f>
        <v>126.84608848235465</v>
      </c>
      <c r="H303" s="447">
        <f>H$296*Entrant_age_breakdowns!$K76*$G$31</f>
        <v>129.90783574863127</v>
      </c>
      <c r="I303" s="447">
        <f>I$296*Entrant_age_breakdowns!$K76*$G$31</f>
        <v>132.21099322330798</v>
      </c>
      <c r="J303" s="447">
        <f>J$296*Entrant_age_breakdowns!$K76*$G$31</f>
        <v>130.21236229917707</v>
      </c>
      <c r="K303" s="447">
        <f>K$296*Entrant_age_breakdowns!$K76*$G$31</f>
        <v>128.71628825581041</v>
      </c>
      <c r="L303" s="447">
        <f>L$296*Entrant_age_breakdowns!$K76*$G$31</f>
        <v>126.74522040868294</v>
      </c>
      <c r="M303" s="447">
        <f>M$296*Entrant_age_breakdowns!$K76*$G$31</f>
        <v>123.63859744386637</v>
      </c>
      <c r="N303" s="447">
        <f>N$296*Entrant_age_breakdowns!$K76*$G$31</f>
        <v>120.48712192324264</v>
      </c>
    </row>
    <row r="304" spans="2:14">
      <c r="B304" s="331" t="str">
        <f t="shared" si="143"/>
        <v>25-29</v>
      </c>
      <c r="C304" s="447">
        <f>C$296*Entrant_age_breakdowns!$K77*$G$31</f>
        <v>137.64082169728792</v>
      </c>
      <c r="D304" s="447">
        <f>D$296*Entrant_age_breakdowns!$K77*$G$31</f>
        <v>122.74566677910275</v>
      </c>
      <c r="E304" s="447">
        <f>E$296*Entrant_age_breakdowns!$K77*$G$31</f>
        <v>126.0340748707638</v>
      </c>
      <c r="F304" s="447">
        <f>F$296*Entrant_age_breakdowns!$K77*$G$31</f>
        <v>126.75441286297624</v>
      </c>
      <c r="G304" s="447">
        <f>G$296*Entrant_age_breakdowns!$K77*$G$31</f>
        <v>129.4821049968198</v>
      </c>
      <c r="H304" s="447">
        <f>H$296*Entrant_age_breakdowns!$K77*$G$31</f>
        <v>132.6074791076731</v>
      </c>
      <c r="I304" s="447">
        <f>I$296*Entrant_age_breakdowns!$K77*$G$31</f>
        <v>134.9584990053169</v>
      </c>
      <c r="J304" s="447">
        <f>J$296*Entrant_age_breakdowns!$K77*$G$31</f>
        <v>132.91833409156621</v>
      </c>
      <c r="K304" s="447">
        <f>K$296*Entrant_age_breakdowns!$K77*$G$31</f>
        <v>131.39116980385418</v>
      </c>
      <c r="L304" s="447">
        <f>L$296*Entrant_age_breakdowns!$K77*$G$31</f>
        <v>129.37914076148351</v>
      </c>
      <c r="M304" s="447">
        <f>M$296*Entrant_age_breakdowns!$K77*$G$31</f>
        <v>126.20795838031086</v>
      </c>
      <c r="N304" s="447">
        <f>N$296*Entrant_age_breakdowns!$K77*$G$31</f>
        <v>122.99099135248585</v>
      </c>
    </row>
    <row r="305" spans="1:14">
      <c r="B305" s="331" t="str">
        <f t="shared" si="143"/>
        <v>30-34</v>
      </c>
      <c r="C305" s="447">
        <f>C$296*Entrant_age_breakdowns!$K78*$G$31</f>
        <v>68.359674270838241</v>
      </c>
      <c r="D305" s="447">
        <f>D$296*Entrant_age_breakdowns!$K78*$G$31</f>
        <v>60.961956603472146</v>
      </c>
      <c r="E305" s="447">
        <f>E$296*Entrant_age_breakdowns!$K78*$G$31</f>
        <v>62.595153087215373</v>
      </c>
      <c r="F305" s="447">
        <f>F$296*Entrant_age_breakdowns!$K78*$G$31</f>
        <v>62.952910836009174</v>
      </c>
      <c r="G305" s="447">
        <f>G$296*Entrant_age_breakdowns!$K78*$G$31</f>
        <v>64.307626272035591</v>
      </c>
      <c r="H305" s="447">
        <f>H$296*Entrant_age_breakdowns!$K78*$G$31</f>
        <v>65.859851502587603</v>
      </c>
      <c r="I305" s="447">
        <f>I$296*Entrant_age_breakdowns!$K78*$G$31</f>
        <v>67.027491686839383</v>
      </c>
      <c r="J305" s="447">
        <f>J$296*Entrant_age_breakdowns!$K78*$G$31</f>
        <v>66.01423844377527</v>
      </c>
      <c r="K305" s="447">
        <f>K$296*Entrant_age_breakdowns!$K78*$G$31</f>
        <v>65.255768304039762</v>
      </c>
      <c r="L305" s="447">
        <f>L$296*Entrant_age_breakdowns!$K78*$G$31</f>
        <v>64.256488815121713</v>
      </c>
      <c r="M305" s="447">
        <f>M$296*Entrant_age_breakdowns!$K78*$G$31</f>
        <v>62.681512787245701</v>
      </c>
      <c r="N305" s="447">
        <f>N$296*Entrant_age_breakdowns!$K78*$G$31</f>
        <v>61.083797694801753</v>
      </c>
    </row>
    <row r="306" spans="1:14">
      <c r="B306" s="331" t="str">
        <f t="shared" si="143"/>
        <v>35-39</v>
      </c>
      <c r="C306" s="447">
        <f>C$296*Entrant_age_breakdowns!$K79*$G$31</f>
        <v>50.950711991654238</v>
      </c>
      <c r="D306" s="447">
        <f>D$296*Entrant_age_breakdowns!$K79*$G$31</f>
        <v>45.436949875524128</v>
      </c>
      <c r="E306" s="447">
        <f>E$296*Entrant_age_breakdowns!$K79*$G$31</f>
        <v>46.65422489265336</v>
      </c>
      <c r="F306" s="447">
        <f>F$296*Entrant_age_breakdowns!$K79*$G$31</f>
        <v>46.920873501149615</v>
      </c>
      <c r="G306" s="447">
        <f>G$296*Entrant_age_breakdowns!$K79*$G$31</f>
        <v>47.930587440659629</v>
      </c>
      <c r="H306" s="447">
        <f>H$296*Entrant_age_breakdowns!$K79*$G$31</f>
        <v>49.087511921526747</v>
      </c>
      <c r="I306" s="447">
        <f>I$296*Entrant_age_breakdowns!$K79*$G$31</f>
        <v>49.957792527341077</v>
      </c>
      <c r="J306" s="447">
        <f>J$296*Entrant_age_breakdowns!$K79*$G$31</f>
        <v>49.202581582984756</v>
      </c>
      <c r="K306" s="447">
        <f>K$296*Entrant_age_breakdowns!$K79*$G$31</f>
        <v>48.63726885942166</v>
      </c>
      <c r="L306" s="447">
        <f>L$296*Entrant_age_breakdowns!$K79*$G$31</f>
        <v>47.892473013301753</v>
      </c>
      <c r="M306" s="447">
        <f>M$296*Entrant_age_breakdowns!$K79*$G$31</f>
        <v>46.718591615445199</v>
      </c>
      <c r="N306" s="447">
        <f>N$296*Entrant_age_breakdowns!$K79*$G$31</f>
        <v>45.527762045407918</v>
      </c>
    </row>
    <row r="307" spans="1:14">
      <c r="B307" s="331" t="str">
        <f t="shared" si="143"/>
        <v>40-44</v>
      </c>
      <c r="C307" s="447">
        <f>C$296*Entrant_age_breakdowns!$K80*$G$31</f>
        <v>43.779212332086857</v>
      </c>
      <c r="D307" s="447">
        <f>D$296*Entrant_age_breakdowns!$K80*$G$31</f>
        <v>39.041532464723751</v>
      </c>
      <c r="E307" s="447">
        <f>E$296*Entrant_age_breakdowns!$K80*$G$31</f>
        <v>40.087471556805021</v>
      </c>
      <c r="F307" s="447">
        <f>F$296*Entrant_age_breakdowns!$K80*$G$31</f>
        <v>40.316588395276774</v>
      </c>
      <c r="G307" s="447">
        <f>G$296*Entrant_age_breakdowns!$K80*$G$31</f>
        <v>41.184181392990297</v>
      </c>
      <c r="H307" s="447">
        <f>H$296*Entrant_age_breakdowns!$K80*$G$31</f>
        <v>42.178264508224622</v>
      </c>
      <c r="I307" s="447">
        <f>I$296*Entrant_age_breakdowns!$K80*$G$31</f>
        <v>42.926049925564492</v>
      </c>
      <c r="J307" s="447">
        <f>J$296*Entrant_age_breakdowns!$K80*$G$31</f>
        <v>42.277137692622446</v>
      </c>
      <c r="K307" s="447">
        <f>K$296*Entrant_age_breakdowns!$K80*$G$31</f>
        <v>41.791394809128441</v>
      </c>
      <c r="L307" s="447">
        <f>L$296*Entrant_age_breakdowns!$K80*$G$31</f>
        <v>41.151431711131281</v>
      </c>
      <c r="M307" s="447">
        <f>M$296*Entrant_age_breakdowns!$K80*$G$31</f>
        <v>40.142778427191566</v>
      </c>
      <c r="N307" s="447">
        <f>N$296*Entrant_age_breakdowns!$K80*$G$31</f>
        <v>39.119562488491248</v>
      </c>
    </row>
    <row r="308" spans="1:14">
      <c r="B308" s="331" t="str">
        <f t="shared" si="143"/>
        <v>45-49</v>
      </c>
      <c r="C308" s="447">
        <f>C$296*Entrant_age_breakdowns!$K81*$G$31</f>
        <v>35.288535464066833</v>
      </c>
      <c r="D308" s="447">
        <f>D$296*Entrant_age_breakdowns!$K81*$G$31</f>
        <v>31.469695994122691</v>
      </c>
      <c r="E308" s="447">
        <f>E$296*Entrant_age_breakdowns!$K81*$G$31</f>
        <v>32.312782399245421</v>
      </c>
      <c r="F308" s="447">
        <f>F$296*Entrant_age_breakdowns!$K81*$G$31</f>
        <v>32.497463604071477</v>
      </c>
      <c r="G308" s="447">
        <f>G$296*Entrant_age_breakdowns!$K81*$G$31</f>
        <v>33.196792912144709</v>
      </c>
      <c r="H308" s="447">
        <f>H$296*Entrant_age_breakdowns!$K81*$G$31</f>
        <v>33.998080450167997</v>
      </c>
      <c r="I308" s="447">
        <f>I$296*Entrant_age_breakdowns!$K81*$G$31</f>
        <v>34.600838033359352</v>
      </c>
      <c r="J308" s="447">
        <f>J$296*Entrant_age_breakdowns!$K81*$G$31</f>
        <v>34.077777861067069</v>
      </c>
      <c r="K308" s="447">
        <f>K$296*Entrant_age_breakdowns!$K81*$G$31</f>
        <v>33.686241466109287</v>
      </c>
      <c r="L308" s="447">
        <f>L$296*Entrant_age_breakdowns!$K81*$G$31</f>
        <v>33.170394805642651</v>
      </c>
      <c r="M308" s="447">
        <f>M$296*Entrant_age_breakdowns!$K81*$G$31</f>
        <v>32.357362882837435</v>
      </c>
      <c r="N308" s="447">
        <f>N$296*Entrant_age_breakdowns!$K81*$G$31</f>
        <v>31.532592631917229</v>
      </c>
    </row>
    <row r="309" spans="1:14">
      <c r="B309" s="331" t="str">
        <f t="shared" si="143"/>
        <v>50-54</v>
      </c>
      <c r="C309" s="447">
        <f>C$296*Entrant_age_breakdowns!$K82*$G$31</f>
        <v>26.148945323353455</v>
      </c>
      <c r="D309" s="447">
        <f>D$296*Entrant_age_breakdowns!$K82*$G$31</f>
        <v>23.319170066743094</v>
      </c>
      <c r="E309" s="447">
        <f>E$296*Entrant_age_breakdowns!$K82*$G$31</f>
        <v>23.943900450719088</v>
      </c>
      <c r="F309" s="447">
        <f>F$296*Entrant_age_breakdowns!$K82*$G$31</f>
        <v>24.080749959029372</v>
      </c>
      <c r="G309" s="447">
        <f>G$296*Entrant_age_breakdowns!$K82*$G$31</f>
        <v>24.598955761546915</v>
      </c>
      <c r="H309" s="447">
        <f>H$296*Entrant_age_breakdowns!$K82*$G$31</f>
        <v>25.192713018528892</v>
      </c>
      <c r="I309" s="447">
        <f>I$296*Entrant_age_breakdowns!$K82*$G$31</f>
        <v>25.639358788290483</v>
      </c>
      <c r="J309" s="447">
        <f>J$296*Entrant_age_breakdowns!$K82*$G$31</f>
        <v>25.251769117417854</v>
      </c>
      <c r="K309" s="447">
        <f>K$296*Entrant_age_breakdowns!$K82*$G$31</f>
        <v>24.961639089372934</v>
      </c>
      <c r="L309" s="447">
        <f>L$296*Entrant_age_breakdowns!$K82*$G$31</f>
        <v>24.579394659492532</v>
      </c>
      <c r="M309" s="447">
        <f>M$296*Entrant_age_breakdowns!$K82*$G$31</f>
        <v>23.976934766612512</v>
      </c>
      <c r="N309" s="447">
        <f>N$296*Entrant_age_breakdowns!$K82*$G$31</f>
        <v>23.365776725848768</v>
      </c>
    </row>
    <row r="310" spans="1:14">
      <c r="B310" s="331" t="str">
        <f t="shared" si="143"/>
        <v>55-59</v>
      </c>
      <c r="C310" s="447">
        <f>C$296*Entrant_age_breakdowns!$K83*$G$31</f>
        <v>16.946755570196053</v>
      </c>
      <c r="D310" s="447">
        <f>D$296*Entrant_age_breakdowns!$K83*$G$31</f>
        <v>15.112818904707073</v>
      </c>
      <c r="E310" s="447">
        <f>E$296*Entrant_age_breakdowns!$K83*$G$31</f>
        <v>15.51769768599622</v>
      </c>
      <c r="F310" s="447">
        <f>F$296*Entrant_age_breakdowns!$K83*$G$31</f>
        <v>15.606387885105882</v>
      </c>
      <c r="G310" s="447">
        <f>G$296*Entrant_age_breakdowns!$K83*$G$31</f>
        <v>15.942229616453991</v>
      </c>
      <c r="H310" s="447">
        <f>H$296*Entrant_age_breakdowns!$K83*$G$31</f>
        <v>16.327035159380308</v>
      </c>
      <c r="I310" s="447">
        <f>I$296*Entrant_age_breakdowns!$K83*$G$31</f>
        <v>16.616499862182369</v>
      </c>
      <c r="J310" s="447">
        <f>J$296*Entrant_age_breakdowns!$K83*$G$31</f>
        <v>16.365308568132544</v>
      </c>
      <c r="K310" s="447">
        <f>K$296*Entrant_age_breakdowns!$K83*$G$31</f>
        <v>16.177279467606635</v>
      </c>
      <c r="L310" s="447">
        <f>L$296*Entrant_age_breakdowns!$K83*$G$31</f>
        <v>15.929552347405467</v>
      </c>
      <c r="M310" s="447">
        <f>M$296*Entrant_age_breakdowns!$K83*$G$31</f>
        <v>15.539106751254945</v>
      </c>
      <c r="N310" s="447">
        <f>N$296*Entrant_age_breakdowns!$K83*$G$31</f>
        <v>15.143024010497777</v>
      </c>
    </row>
    <row r="311" spans="1:14">
      <c r="B311" s="331" t="str">
        <f t="shared" si="143"/>
        <v>60-64</v>
      </c>
      <c r="C311" s="447">
        <f>C$296*Entrant_age_breakdowns!$K84*$G$31</f>
        <v>8.6423460725096888</v>
      </c>
      <c r="D311" s="447">
        <f>D$296*Entrant_age_breakdowns!$K84*$G$31</f>
        <v>7.7070924027102343</v>
      </c>
      <c r="E311" s="447">
        <f>E$296*Entrant_age_breakdowns!$K84*$G$31</f>
        <v>7.9135686530357292</v>
      </c>
      <c r="F311" s="447">
        <f>F$296*Entrant_age_breakdowns!$K84*$G$31</f>
        <v>7.9587980416800956</v>
      </c>
      <c r="G311" s="447">
        <f>G$296*Entrant_age_breakdowns!$K84*$G$31</f>
        <v>8.1300674304358811</v>
      </c>
      <c r="H311" s="447">
        <f>H$296*Entrant_age_breakdowns!$K84*$G$31</f>
        <v>8.3263069205739182</v>
      </c>
      <c r="I311" s="447">
        <f>I$296*Entrant_age_breakdowns!$K84*$G$31</f>
        <v>8.4739253910846504</v>
      </c>
      <c r="J311" s="447">
        <f>J$296*Entrant_age_breakdowns!$K84*$G$31</f>
        <v>8.3458252314648345</v>
      </c>
      <c r="K311" s="447">
        <f>K$296*Entrant_age_breakdowns!$K84*$G$31</f>
        <v>8.2499359297211114</v>
      </c>
      <c r="L311" s="447">
        <f>L$296*Entrant_age_breakdowns!$K84*$G$31</f>
        <v>8.1236023967061008</v>
      </c>
      <c r="M311" s="447">
        <f>M$296*Entrant_age_breakdowns!$K84*$G$31</f>
        <v>7.9244866455853016</v>
      </c>
      <c r="N311" s="447">
        <f>N$296*Entrant_age_breakdowns!$K84*$G$31</f>
        <v>7.7224961167910067</v>
      </c>
    </row>
    <row r="312" spans="1:14">
      <c r="B312" s="331" t="str">
        <f t="shared" si="143"/>
        <v>65 plus</v>
      </c>
      <c r="C312" s="447">
        <f>C$296*Entrant_age_breakdowns!$K85*$G$31</f>
        <v>2.6021963872803417</v>
      </c>
      <c r="D312" s="447">
        <f>D$296*Entrant_age_breakdowns!$K85*$G$31</f>
        <v>2.3205930239894195</v>
      </c>
      <c r="E312" s="447">
        <f>E$296*Entrant_age_breakdowns!$K85*$G$31</f>
        <v>2.3827626881232424</v>
      </c>
      <c r="F312" s="447">
        <f>F$296*Entrant_age_breakdowns!$K85*$G$31</f>
        <v>2.3963811836962963</v>
      </c>
      <c r="G312" s="447">
        <f>G$296*Entrant_age_breakdowns!$K85*$G$31</f>
        <v>2.4479501189058763</v>
      </c>
      <c r="H312" s="447">
        <f>H$296*Entrant_age_breakdowns!$K85*$G$31</f>
        <v>2.5070375111480439</v>
      </c>
      <c r="I312" s="447">
        <f>I$296*Entrant_age_breakdowns!$K85*$G$31</f>
        <v>2.551485193228348</v>
      </c>
      <c r="J312" s="447">
        <f>J$296*Entrant_age_breakdowns!$K85*$G$31</f>
        <v>2.512914442904771</v>
      </c>
      <c r="K312" s="447">
        <f>K$296*Entrant_age_breakdowns!$K85*$G$31</f>
        <v>2.4840423296518597</v>
      </c>
      <c r="L312" s="447">
        <f>L$296*Entrant_age_breakdowns!$K85*$G$31</f>
        <v>2.4460035077340794</v>
      </c>
      <c r="M312" s="447">
        <f>M$296*Entrant_age_breakdowns!$K85*$G$31</f>
        <v>2.3860500779743874</v>
      </c>
      <c r="N312" s="447">
        <f>N$296*Entrant_age_breakdowns!$K85*$G$31</f>
        <v>2.3252310573191868</v>
      </c>
    </row>
    <row r="313" spans="1:14">
      <c r="B313" s="331" t="str">
        <f t="shared" si="143"/>
        <v>Total</v>
      </c>
      <c r="C313" s="447">
        <f t="shared" ref="C313:N313" si="145">SUM(C303:C312)</f>
        <v>525.19790788858325</v>
      </c>
      <c r="D313" s="447">
        <f t="shared" si="145"/>
        <v>468.36226782017366</v>
      </c>
      <c r="E313" s="447">
        <f t="shared" si="145"/>
        <v>480.90989016598172</v>
      </c>
      <c r="F313" s="447">
        <f t="shared" si="145"/>
        <v>483.65849339151811</v>
      </c>
      <c r="G313" s="447">
        <f t="shared" si="145"/>
        <v>494.06658442434724</v>
      </c>
      <c r="H313" s="447">
        <f t="shared" si="145"/>
        <v>505.99211584844255</v>
      </c>
      <c r="I313" s="447">
        <f t="shared" si="145"/>
        <v>514.96293363651512</v>
      </c>
      <c r="J313" s="447">
        <f t="shared" si="145"/>
        <v>507.17824933111291</v>
      </c>
      <c r="K313" s="447">
        <f t="shared" si="145"/>
        <v>501.3510283147163</v>
      </c>
      <c r="L313" s="447">
        <f t="shared" si="145"/>
        <v>493.67370242670211</v>
      </c>
      <c r="M313" s="447">
        <f t="shared" si="145"/>
        <v>481.57337977832429</v>
      </c>
      <c r="N313" s="447">
        <f t="shared" si="145"/>
        <v>469.29835604680335</v>
      </c>
    </row>
    <row r="314" spans="1:14">
      <c r="A314" s="302">
        <f>SUM(C314:N314)</f>
        <v>0</v>
      </c>
      <c r="C314" s="302">
        <f t="shared" ref="C314:N314" si="146">SUM(C303:C312)-C313</f>
        <v>0</v>
      </c>
      <c r="D314" s="302">
        <f t="shared" si="146"/>
        <v>0</v>
      </c>
      <c r="E314" s="302">
        <f t="shared" si="146"/>
        <v>0</v>
      </c>
      <c r="F314" s="302">
        <f t="shared" si="146"/>
        <v>0</v>
      </c>
      <c r="G314" s="302">
        <f t="shared" si="146"/>
        <v>0</v>
      </c>
      <c r="H314" s="302">
        <f t="shared" si="146"/>
        <v>0</v>
      </c>
      <c r="I314" s="302">
        <f t="shared" si="146"/>
        <v>0</v>
      </c>
      <c r="J314" s="302">
        <f t="shared" si="146"/>
        <v>0</v>
      </c>
      <c r="K314" s="302">
        <f t="shared" si="146"/>
        <v>0</v>
      </c>
      <c r="L314" s="302">
        <f t="shared" si="146"/>
        <v>0</v>
      </c>
      <c r="M314" s="302">
        <f t="shared" si="146"/>
        <v>0</v>
      </c>
      <c r="N314" s="302">
        <f t="shared" si="146"/>
        <v>0</v>
      </c>
    </row>
    <row r="316" spans="1:14">
      <c r="B316" s="334" t="s">
        <v>47</v>
      </c>
      <c r="H316" s="318"/>
    </row>
    <row r="317" spans="1:14">
      <c r="H317" s="318"/>
    </row>
    <row r="318" spans="1:14">
      <c r="B318" s="331" t="str">
        <f t="shared" ref="B318:B329" si="147">B302</f>
        <v>Age group</v>
      </c>
      <c r="C318" s="331" t="str">
        <f>C293</f>
        <v>2017/18</v>
      </c>
      <c r="D318" s="331" t="str">
        <f t="shared" ref="D318:N318" si="148">D302</f>
        <v>2018/19</v>
      </c>
      <c r="E318" s="331" t="str">
        <f t="shared" si="148"/>
        <v>2019/20</v>
      </c>
      <c r="F318" s="331" t="str">
        <f t="shared" si="148"/>
        <v>2020/21</v>
      </c>
      <c r="G318" s="331" t="str">
        <f t="shared" si="148"/>
        <v>2021/22</v>
      </c>
      <c r="H318" s="331" t="str">
        <f t="shared" si="148"/>
        <v>2022/23</v>
      </c>
      <c r="I318" s="331" t="str">
        <f t="shared" si="148"/>
        <v>2023/24</v>
      </c>
      <c r="J318" s="331" t="str">
        <f t="shared" si="148"/>
        <v>2024/25</v>
      </c>
      <c r="K318" s="331" t="str">
        <f t="shared" si="148"/>
        <v>2025/26</v>
      </c>
      <c r="L318" s="331" t="str">
        <f t="shared" si="148"/>
        <v>2026/27</v>
      </c>
      <c r="M318" s="331" t="str">
        <f t="shared" si="148"/>
        <v>2027/28</v>
      </c>
      <c r="N318" s="331" t="str">
        <f t="shared" si="148"/>
        <v>2028/29</v>
      </c>
    </row>
    <row r="319" spans="1:14">
      <c r="B319" s="331" t="str">
        <f t="shared" si="147"/>
        <v>20-24</v>
      </c>
      <c r="C319" s="447">
        <f>C$296*Entrant_age_breakdowns!$K76*$H$31</f>
        <v>315.70157825613205</v>
      </c>
      <c r="D319" s="447">
        <f>D$296*Entrant_age_breakdowns!$K76*$H$31</f>
        <v>281.53712138894889</v>
      </c>
      <c r="E319" s="447">
        <f>E$296*Entrant_age_breakdowns!$K76*$H$31</f>
        <v>289.07961940433296</v>
      </c>
      <c r="F319" s="447">
        <f>F$296*Entrant_age_breakdowns!$K76*$H$31</f>
        <v>290.73183157667427</v>
      </c>
      <c r="G319" s="447">
        <f>G$296*Entrant_age_breakdowns!$K76*$H$31</f>
        <v>296.98823647917584</v>
      </c>
      <c r="H319" s="447">
        <f>H$296*Entrant_age_breakdowns!$K76*$H$31</f>
        <v>304.15678958188283</v>
      </c>
      <c r="I319" s="447">
        <f>I$296*Entrant_age_breakdowns!$K76*$H$31</f>
        <v>309.54923553683415</v>
      </c>
      <c r="J319" s="447">
        <f>J$296*Entrant_age_breakdowns!$K76*$H$31</f>
        <v>304.86978597215199</v>
      </c>
      <c r="K319" s="447">
        <f>K$296*Entrant_age_breakdowns!$K76*$H$31</f>
        <v>301.36698665766204</v>
      </c>
      <c r="L319" s="447">
        <f>L$296*Entrant_age_breakdowns!$K76*$H$31</f>
        <v>296.75207128342385</v>
      </c>
      <c r="M319" s="447">
        <f>M$296*Entrant_age_breakdowns!$K76*$H$31</f>
        <v>289.47844947320198</v>
      </c>
      <c r="N319" s="447">
        <f>N$296*Entrant_age_breakdowns!$K76*$H$31</f>
        <v>282.09981314018233</v>
      </c>
    </row>
    <row r="320" spans="1:14">
      <c r="B320" s="331" t="str">
        <f t="shared" si="147"/>
        <v>25-29</v>
      </c>
      <c r="C320" s="447">
        <f>C$296*Entrant_age_breakdowns!$K77*$H$31</f>
        <v>322.26224231666907</v>
      </c>
      <c r="D320" s="447">
        <f>D$296*Entrant_age_breakdowns!$K77*$H$31</f>
        <v>287.38780634341236</v>
      </c>
      <c r="E320" s="447">
        <f>E$296*Entrant_age_breakdowns!$K77*$H$31</f>
        <v>295.0870466719947</v>
      </c>
      <c r="F320" s="447">
        <f>F$296*Entrant_age_breakdowns!$K77*$H$31</f>
        <v>296.77359382954364</v>
      </c>
      <c r="G320" s="447">
        <f>G$296*Entrant_age_breakdowns!$K77*$H$31</f>
        <v>303.16001446088234</v>
      </c>
      <c r="H320" s="447">
        <f>H$296*Entrant_age_breakdowns!$K77*$H$31</f>
        <v>310.47753884516095</v>
      </c>
      <c r="I320" s="447">
        <f>I$296*Entrant_age_breakdowns!$K77*$H$31</f>
        <v>315.98204640769262</v>
      </c>
      <c r="J320" s="447">
        <f>J$296*Entrant_age_breakdowns!$K77*$H$31</f>
        <v>311.20535217052037</v>
      </c>
      <c r="K320" s="447">
        <f>K$296*Entrant_age_breakdowns!$K77*$H$31</f>
        <v>307.62976041165689</v>
      </c>
      <c r="L320" s="447">
        <f>L$296*Entrant_age_breakdowns!$K77*$H$31</f>
        <v>302.91894146415996</v>
      </c>
      <c r="M320" s="447">
        <f>M$296*Entrant_age_breakdowns!$K77*$H$31</f>
        <v>295.49416491640449</v>
      </c>
      <c r="N320" s="447">
        <f>N$296*Entrant_age_breakdowns!$K77*$H$31</f>
        <v>287.96219151591367</v>
      </c>
    </row>
    <row r="321" spans="1:14">
      <c r="B321" s="331" t="str">
        <f t="shared" si="147"/>
        <v>30-34</v>
      </c>
      <c r="C321" s="447">
        <f>C$296*Entrant_age_breakdowns!$K78*$H$31</f>
        <v>160.05238593392903</v>
      </c>
      <c r="D321" s="447">
        <f>D$296*Entrant_age_breakdowns!$K78*$H$31</f>
        <v>142.73190604930474</v>
      </c>
      <c r="E321" s="447">
        <f>E$296*Entrant_age_breakdowns!$K78*$H$31</f>
        <v>146.55575390566466</v>
      </c>
      <c r="F321" s="447">
        <f>F$296*Entrant_age_breakdowns!$K78*$H$31</f>
        <v>147.39338196477357</v>
      </c>
      <c r="G321" s="447">
        <f>G$296*Entrant_age_breakdowns!$K78*$H$31</f>
        <v>150.56521448314541</v>
      </c>
      <c r="H321" s="447">
        <f>H$296*Entrant_age_breakdowns!$K78*$H$31</f>
        <v>154.1994821169026</v>
      </c>
      <c r="I321" s="447">
        <f>I$296*Entrant_age_breakdowns!$K78*$H$31</f>
        <v>156.93331020188447</v>
      </c>
      <c r="J321" s="447">
        <f>J$296*Entrant_age_breakdowns!$K78*$H$31</f>
        <v>154.56095250946512</v>
      </c>
      <c r="K321" s="447">
        <f>K$296*Entrant_age_breakdowns!$K78*$H$31</f>
        <v>152.78512550591117</v>
      </c>
      <c r="L321" s="447">
        <f>L$296*Entrant_age_breakdowns!$K78*$H$31</f>
        <v>150.44548494848974</v>
      </c>
      <c r="M321" s="447">
        <f>M$296*Entrant_age_breakdowns!$K78*$H$31</f>
        <v>146.75795024708708</v>
      </c>
      <c r="N321" s="447">
        <f>N$296*Entrant_age_breakdowns!$K78*$H$31</f>
        <v>143.01717594826354</v>
      </c>
    </row>
    <row r="322" spans="1:14">
      <c r="B322" s="331" t="str">
        <f t="shared" si="147"/>
        <v>35-39</v>
      </c>
      <c r="C322" s="447">
        <f>C$296*Entrant_age_breakdowns!$K79*$H$31</f>
        <v>119.29230363193062</v>
      </c>
      <c r="D322" s="447">
        <f>D$296*Entrant_age_breakdowns!$K79*$H$31</f>
        <v>106.38278070672854</v>
      </c>
      <c r="E322" s="447">
        <f>E$296*Entrant_age_breakdowns!$K79*$H$31</f>
        <v>109.23282019137264</v>
      </c>
      <c r="F322" s="447">
        <f>F$296*Entrant_age_breakdowns!$K79*$H$31</f>
        <v>109.85713191390512</v>
      </c>
      <c r="G322" s="447">
        <f>G$296*Entrant_age_breakdowns!$K79*$H$31</f>
        <v>112.22120293754757</v>
      </c>
      <c r="H322" s="447">
        <f>H$296*Entrant_age_breakdowns!$K79*$H$31</f>
        <v>114.92994205140766</v>
      </c>
      <c r="I322" s="447">
        <f>I$296*Entrant_age_breakdowns!$K79*$H$31</f>
        <v>116.96755397507988</v>
      </c>
      <c r="J322" s="447">
        <f>J$296*Entrant_age_breakdowns!$K79*$H$31</f>
        <v>115.19935781532713</v>
      </c>
      <c r="K322" s="447">
        <f>K$296*Entrant_age_breakdowns!$K79*$H$31</f>
        <v>113.87577558398699</v>
      </c>
      <c r="L322" s="447">
        <f>L$296*Entrant_age_breakdowns!$K79*$H$31</f>
        <v>112.13196458025283</v>
      </c>
      <c r="M322" s="447">
        <f>M$296*Entrant_age_breakdowns!$K79*$H$31</f>
        <v>109.38352377016332</v>
      </c>
      <c r="N322" s="447">
        <f>N$296*Entrant_age_breakdowns!$K79*$H$31</f>
        <v>106.5954017383056</v>
      </c>
    </row>
    <row r="323" spans="1:14">
      <c r="B323" s="331" t="str">
        <f t="shared" si="147"/>
        <v>40-44</v>
      </c>
      <c r="C323" s="447">
        <f>C$296*Entrant_age_breakdowns!$K80*$H$31</f>
        <v>102.50147419218636</v>
      </c>
      <c r="D323" s="447">
        <f>D$296*Entrant_age_breakdowns!$K80*$H$31</f>
        <v>91.40901398591997</v>
      </c>
      <c r="E323" s="447">
        <f>E$296*Entrant_age_breakdowns!$K80*$H$31</f>
        <v>93.857899955825602</v>
      </c>
      <c r="F323" s="447">
        <f>F$296*Entrant_age_breakdowns!$K80*$H$31</f>
        <v>94.394337512706798</v>
      </c>
      <c r="G323" s="447">
        <f>G$296*Entrant_age_breakdowns!$K80*$H$31</f>
        <v>96.42565686559692</v>
      </c>
      <c r="H323" s="447">
        <f>H$296*Entrant_age_breakdowns!$K80*$H$31</f>
        <v>98.753131010361244</v>
      </c>
      <c r="I323" s="447">
        <f>I$296*Entrant_age_breakdowns!$K80*$H$31</f>
        <v>100.50394157943532</v>
      </c>
      <c r="J323" s="447">
        <f>J$296*Entrant_age_breakdowns!$K80*$H$31</f>
        <v>98.984625516977232</v>
      </c>
      <c r="K323" s="447">
        <f>K$296*Entrant_age_breakdowns!$K80*$H$31</f>
        <v>97.847342341144326</v>
      </c>
      <c r="L323" s="447">
        <f>L$296*Entrant_age_breakdowns!$K80*$H$31</f>
        <v>96.34897913452194</v>
      </c>
      <c r="M323" s="447">
        <f>M$296*Entrant_age_breakdowns!$K80*$H$31</f>
        <v>93.987391452944706</v>
      </c>
      <c r="N323" s="447">
        <f>N$296*Entrant_age_breakdowns!$K80*$H$31</f>
        <v>91.591707827160178</v>
      </c>
    </row>
    <row r="324" spans="1:14">
      <c r="B324" s="331" t="str">
        <f t="shared" si="147"/>
        <v>45-49</v>
      </c>
      <c r="C324" s="447">
        <f>C$296*Entrant_age_breakdowns!$K81*$H$31</f>
        <v>82.622018863939644</v>
      </c>
      <c r="D324" s="447">
        <f>D$296*Entrant_age_breakdowns!$K81*$H$31</f>
        <v>73.680864957301438</v>
      </c>
      <c r="E324" s="447">
        <f>E$296*Entrant_age_breakdowns!$K81*$H$31</f>
        <v>75.654806350786345</v>
      </c>
      <c r="F324" s="447">
        <f>F$296*Entrant_age_breakdowns!$K81*$H$31</f>
        <v>76.087205536195739</v>
      </c>
      <c r="G324" s="447">
        <f>G$296*Entrant_age_breakdowns!$K81*$H$31</f>
        <v>77.724564483624093</v>
      </c>
      <c r="H324" s="447">
        <f>H$296*Entrant_age_breakdowns!$K81*$H$31</f>
        <v>79.600641039688966</v>
      </c>
      <c r="I324" s="447">
        <f>I$296*Entrant_age_breakdowns!$K81*$H$31</f>
        <v>81.011893950978802</v>
      </c>
      <c r="J324" s="447">
        <f>J$296*Entrant_age_breakdowns!$K81*$H$31</f>
        <v>79.787238780289897</v>
      </c>
      <c r="K324" s="447">
        <f>K$296*Entrant_age_breakdowns!$K81*$H$31</f>
        <v>78.870523847672146</v>
      </c>
      <c r="L324" s="447">
        <f>L$296*Entrant_age_breakdowns!$K81*$H$31</f>
        <v>77.662757870663171</v>
      </c>
      <c r="M324" s="447">
        <f>M$296*Entrant_age_breakdowns!$K81*$H$31</f>
        <v>75.759183863422237</v>
      </c>
      <c r="N324" s="447">
        <f>N$296*Entrant_age_breakdowns!$K81*$H$31</f>
        <v>73.82812658564616</v>
      </c>
    </row>
    <row r="325" spans="1:14">
      <c r="B325" s="331" t="str">
        <f t="shared" si="147"/>
        <v>50-54</v>
      </c>
      <c r="C325" s="447">
        <f>C$296*Entrant_age_breakdowns!$K82*$H$31</f>
        <v>61.223245038836502</v>
      </c>
      <c r="D325" s="447">
        <f>D$296*Entrant_age_breakdowns!$K82*$H$31</f>
        <v>54.597814383873683</v>
      </c>
      <c r="E325" s="447">
        <f>E$296*Entrant_age_breakdowns!$K82*$H$31</f>
        <v>56.060512818108798</v>
      </c>
      <c r="F325" s="447">
        <f>F$296*Entrant_age_breakdowns!$K82*$H$31</f>
        <v>56.38092233662357</v>
      </c>
      <c r="G325" s="447">
        <f>G$296*Entrant_age_breakdowns!$K82*$H$31</f>
        <v>57.594211837815955</v>
      </c>
      <c r="H325" s="447">
        <f>H$296*Entrant_age_breakdowns!$K82*$H$31</f>
        <v>58.984392037754247</v>
      </c>
      <c r="I325" s="447">
        <f>I$296*Entrant_age_breakdowns!$K82*$H$31</f>
        <v>60.030136065650161</v>
      </c>
      <c r="J325" s="447">
        <f>J$296*Entrant_age_breakdowns!$K82*$H$31</f>
        <v>59.122661706706729</v>
      </c>
      <c r="K325" s="447">
        <f>K$296*Entrant_age_breakdowns!$K82*$H$31</f>
        <v>58.443372290614874</v>
      </c>
      <c r="L325" s="447">
        <f>L$296*Entrant_age_breakdowns!$K82*$H$31</f>
        <v>57.548412891453268</v>
      </c>
      <c r="M325" s="447">
        <f>M$296*Entrant_age_breakdowns!$K82*$H$31</f>
        <v>56.137856970678776</v>
      </c>
      <c r="N325" s="447">
        <f>N$296*Entrant_age_breakdowns!$K82*$H$31</f>
        <v>54.706935836979476</v>
      </c>
    </row>
    <row r="326" spans="1:14">
      <c r="B326" s="331" t="str">
        <f t="shared" si="147"/>
        <v>55-59</v>
      </c>
      <c r="C326" s="447">
        <f>C$296*Entrant_age_breakdowns!$K83*$H$31</f>
        <v>39.677905019012918</v>
      </c>
      <c r="D326" s="447">
        <f>D$296*Entrant_age_breakdowns!$K83*$H$31</f>
        <v>35.384058652801642</v>
      </c>
      <c r="E326" s="447">
        <f>E$296*Entrant_age_breakdowns!$K83*$H$31</f>
        <v>36.332012481583902</v>
      </c>
      <c r="F326" s="447">
        <f>F$296*Entrant_age_breakdowns!$K83*$H$31</f>
        <v>36.539665284612425</v>
      </c>
      <c r="G326" s="447">
        <f>G$296*Entrant_age_breakdowns!$K83*$H$31</f>
        <v>37.325980769169625</v>
      </c>
      <c r="H326" s="447">
        <f>H$296*Entrant_age_breakdowns!$K83*$H$31</f>
        <v>38.226936572761446</v>
      </c>
      <c r="I326" s="447">
        <f>I$296*Entrant_age_breakdowns!$K83*$H$31</f>
        <v>38.904668244559204</v>
      </c>
      <c r="J326" s="447">
        <f>J$296*Entrant_age_breakdowns!$K83*$H$31</f>
        <v>38.316547157568358</v>
      </c>
      <c r="K326" s="447">
        <f>K$296*Entrant_age_breakdowns!$K83*$H$31</f>
        <v>37.876309451856812</v>
      </c>
      <c r="L326" s="447">
        <f>L$296*Entrant_age_breakdowns!$K83*$H$31</f>
        <v>37.29629913039669</v>
      </c>
      <c r="M326" s="447">
        <f>M$296*Entrant_age_breakdowns!$K83*$H$31</f>
        <v>36.382138115034088</v>
      </c>
      <c r="N326" s="447">
        <f>N$296*Entrant_age_breakdowns!$K83*$H$31</f>
        <v>35.454778697927004</v>
      </c>
    </row>
    <row r="327" spans="1:14">
      <c r="B327" s="331" t="str">
        <f t="shared" si="147"/>
        <v>60-64</v>
      </c>
      <c r="C327" s="447">
        <f>C$296*Entrant_age_breakdowns!$K84*$H$31</f>
        <v>20.234562609113723</v>
      </c>
      <c r="D327" s="447">
        <f>D$296*Entrant_age_breakdowns!$K84*$H$31</f>
        <v>18.04482746333462</v>
      </c>
      <c r="E327" s="447">
        <f>E$296*Entrant_age_breakdowns!$K84*$H$31</f>
        <v>18.528255988350054</v>
      </c>
      <c r="F327" s="447">
        <f>F$296*Entrant_age_breakdowns!$K84*$H$31</f>
        <v>18.634152800236297</v>
      </c>
      <c r="G327" s="447">
        <f>G$296*Entrant_age_breakdowns!$K84*$H$31</f>
        <v>19.035150531723481</v>
      </c>
      <c r="H327" s="447">
        <f>H$296*Entrant_age_breakdowns!$K84*$H$31</f>
        <v>19.494611448500397</v>
      </c>
      <c r="I327" s="447">
        <f>I$296*Entrant_age_breakdowns!$K84*$H$31</f>
        <v>19.840234634467492</v>
      </c>
      <c r="J327" s="447">
        <f>J$296*Entrant_age_breakdowns!$K84*$H$31</f>
        <v>19.540310206734883</v>
      </c>
      <c r="K327" s="447">
        <f>K$296*Entrant_age_breakdowns!$K84*$H$31</f>
        <v>19.315801946663079</v>
      </c>
      <c r="L327" s="447">
        <f>L$296*Entrant_age_breakdowns!$K84*$H$31</f>
        <v>19.020013770399913</v>
      </c>
      <c r="M327" s="447">
        <f>M$296*Entrant_age_breakdowns!$K84*$H$31</f>
        <v>18.553818584658583</v>
      </c>
      <c r="N327" s="447">
        <f>N$296*Entrant_age_breakdowns!$K84*$H$31</f>
        <v>18.080892602865624</v>
      </c>
    </row>
    <row r="328" spans="1:14">
      <c r="B328" s="331" t="str">
        <f t="shared" si="147"/>
        <v>65 plus</v>
      </c>
      <c r="C328" s="447">
        <f>C$296*Entrant_age_breakdowns!$K85*$H$31</f>
        <v>6.0925939875424469</v>
      </c>
      <c r="D328" s="447">
        <f>D$296*Entrant_age_breakdowns!$K85*$H$31</f>
        <v>5.4332682862062978</v>
      </c>
      <c r="E328" s="447">
        <f>E$296*Entrant_age_breakdowns!$K85*$H$31</f>
        <v>5.578827831120253</v>
      </c>
      <c r="F328" s="447">
        <f>F$296*Entrant_age_breakdowns!$K85*$H$31</f>
        <v>5.6107131894480604</v>
      </c>
      <c r="G328" s="447">
        <f>G$296*Entrant_age_breakdowns!$K85*$H$31</f>
        <v>5.7314529561073417</v>
      </c>
      <c r="H328" s="447">
        <f>H$296*Entrant_age_breakdowns!$K85*$H$31</f>
        <v>5.8697958930485612</v>
      </c>
      <c r="I328" s="447">
        <f>I$296*Entrant_age_breakdowns!$K85*$H$31</f>
        <v>5.9738624738517432</v>
      </c>
      <c r="J328" s="447">
        <f>J$296*Entrant_age_breakdowns!$K85*$H$31</f>
        <v>5.8835557150440305</v>
      </c>
      <c r="K328" s="447">
        <f>K$296*Entrant_age_breakdowns!$K85*$H$31</f>
        <v>5.8159566420178104</v>
      </c>
      <c r="L328" s="447">
        <f>L$296*Entrant_age_breakdowns!$K85*$H$31</f>
        <v>5.7268953018198543</v>
      </c>
      <c r="M328" s="447">
        <f>M$296*Entrant_age_breakdowns!$K85*$H$31</f>
        <v>5.5865246874143031</v>
      </c>
      <c r="N328" s="447">
        <f>N$296*Entrant_age_breakdowns!$K85*$H$31</f>
        <v>5.4441274412328315</v>
      </c>
    </row>
    <row r="329" spans="1:14">
      <c r="B329" s="331" t="str">
        <f t="shared" si="147"/>
        <v>Total</v>
      </c>
      <c r="C329" s="447">
        <f t="shared" ref="C329:N329" si="149">SUM(C319:C328)</f>
        <v>1229.6603098492924</v>
      </c>
      <c r="D329" s="447">
        <f t="shared" si="149"/>
        <v>1096.5894622178323</v>
      </c>
      <c r="E329" s="447">
        <f t="shared" si="149"/>
        <v>1125.9675555991398</v>
      </c>
      <c r="F329" s="447">
        <f t="shared" si="149"/>
        <v>1132.4029359447195</v>
      </c>
      <c r="G329" s="447">
        <f t="shared" si="149"/>
        <v>1156.7716858047886</v>
      </c>
      <c r="H329" s="447">
        <f t="shared" si="149"/>
        <v>1184.6932605974689</v>
      </c>
      <c r="I329" s="447">
        <f t="shared" si="149"/>
        <v>1205.6968830704338</v>
      </c>
      <c r="J329" s="447">
        <f t="shared" si="149"/>
        <v>1187.4703875507855</v>
      </c>
      <c r="K329" s="447">
        <f t="shared" si="149"/>
        <v>1173.826954679186</v>
      </c>
      <c r="L329" s="447">
        <f t="shared" si="149"/>
        <v>1155.8518203755812</v>
      </c>
      <c r="M329" s="447">
        <f t="shared" si="149"/>
        <v>1127.5210020810096</v>
      </c>
      <c r="N329" s="447">
        <f t="shared" si="149"/>
        <v>1098.7811513344761</v>
      </c>
    </row>
    <row r="330" spans="1:14">
      <c r="A330" s="302">
        <f>SUM(C330:N330)</f>
        <v>0</v>
      </c>
      <c r="C330" s="302">
        <f t="shared" ref="C330:N330" si="150">SUM(C319:C328)-C329</f>
        <v>0</v>
      </c>
      <c r="D330" s="302">
        <f t="shared" si="150"/>
        <v>0</v>
      </c>
      <c r="E330" s="302">
        <f t="shared" si="150"/>
        <v>0</v>
      </c>
      <c r="F330" s="302">
        <f t="shared" si="150"/>
        <v>0</v>
      </c>
      <c r="G330" s="302">
        <f t="shared" si="150"/>
        <v>0</v>
      </c>
      <c r="H330" s="302">
        <f t="shared" si="150"/>
        <v>0</v>
      </c>
      <c r="I330" s="302">
        <f t="shared" si="150"/>
        <v>0</v>
      </c>
      <c r="J330" s="302">
        <f t="shared" si="150"/>
        <v>0</v>
      </c>
      <c r="K330" s="302">
        <f t="shared" si="150"/>
        <v>0</v>
      </c>
      <c r="L330" s="302">
        <f t="shared" si="150"/>
        <v>0</v>
      </c>
      <c r="M330" s="302">
        <f t="shared" si="150"/>
        <v>0</v>
      </c>
      <c r="N330" s="302">
        <f t="shared" si="150"/>
        <v>0</v>
      </c>
    </row>
    <row r="331" spans="1:14">
      <c r="C331" s="322">
        <f>C294</f>
        <v>1754.8582177378757</v>
      </c>
      <c r="D331" s="322">
        <f t="shared" ref="D331:N331" si="151">D294</f>
        <v>1564.951730038006</v>
      </c>
      <c r="E331" s="322">
        <f t="shared" si="151"/>
        <v>1606.8774457651218</v>
      </c>
      <c r="F331" s="322">
        <f t="shared" si="151"/>
        <v>1616.0614293362378</v>
      </c>
      <c r="G331" s="322">
        <f t="shared" si="151"/>
        <v>1650.838270229136</v>
      </c>
      <c r="H331" s="322">
        <f t="shared" si="151"/>
        <v>1690.6853764459115</v>
      </c>
      <c r="I331" s="322">
        <f t="shared" si="151"/>
        <v>1720.659816706949</v>
      </c>
      <c r="J331" s="322">
        <f t="shared" si="151"/>
        <v>1694.6486368818987</v>
      </c>
      <c r="K331" s="322">
        <f t="shared" si="151"/>
        <v>1675.1779829939026</v>
      </c>
      <c r="L331" s="322">
        <f t="shared" si="151"/>
        <v>1649.5255228022834</v>
      </c>
      <c r="M331" s="322">
        <f t="shared" si="151"/>
        <v>1609.0943818593339</v>
      </c>
      <c r="N331" s="322">
        <f t="shared" si="151"/>
        <v>1568.0795073812799</v>
      </c>
    </row>
    <row r="332" spans="1:14">
      <c r="C332" s="322">
        <f>C313+C329</f>
        <v>1754.8582177378757</v>
      </c>
      <c r="D332" s="322">
        <f t="shared" ref="D332:N332" si="152">D313+D329</f>
        <v>1564.951730038006</v>
      </c>
      <c r="E332" s="322">
        <f t="shared" si="152"/>
        <v>1606.8774457651216</v>
      </c>
      <c r="F332" s="322">
        <f t="shared" si="152"/>
        <v>1616.0614293362376</v>
      </c>
      <c r="G332" s="322">
        <f t="shared" si="152"/>
        <v>1650.8382702291358</v>
      </c>
      <c r="H332" s="322">
        <f t="shared" si="152"/>
        <v>1690.6853764459115</v>
      </c>
      <c r="I332" s="322">
        <f t="shared" si="152"/>
        <v>1720.659816706949</v>
      </c>
      <c r="J332" s="322">
        <f t="shared" si="152"/>
        <v>1694.6486368818985</v>
      </c>
      <c r="K332" s="322">
        <f t="shared" si="152"/>
        <v>1675.1779829939023</v>
      </c>
      <c r="L332" s="322">
        <f t="shared" si="152"/>
        <v>1649.5255228022834</v>
      </c>
      <c r="M332" s="322">
        <f t="shared" si="152"/>
        <v>1609.0943818593339</v>
      </c>
      <c r="N332" s="322">
        <f t="shared" si="152"/>
        <v>1568.0795073812794</v>
      </c>
    </row>
    <row r="333" spans="1:14">
      <c r="A333" s="302">
        <f>SUM(C333:L333)</f>
        <v>0</v>
      </c>
      <c r="C333" s="322">
        <f>C331-C332</f>
        <v>0</v>
      </c>
      <c r="D333" s="322">
        <f t="shared" ref="D333:K333" si="153">D331-D332</f>
        <v>0</v>
      </c>
      <c r="E333" s="322">
        <f t="shared" si="153"/>
        <v>0</v>
      </c>
      <c r="F333" s="322">
        <f t="shared" si="153"/>
        <v>0</v>
      </c>
      <c r="G333" s="322">
        <f t="shared" si="153"/>
        <v>0</v>
      </c>
      <c r="H333" s="322">
        <f t="shared" si="153"/>
        <v>0</v>
      </c>
      <c r="I333" s="322">
        <f t="shared" si="153"/>
        <v>0</v>
      </c>
      <c r="J333" s="322">
        <f t="shared" si="153"/>
        <v>0</v>
      </c>
      <c r="K333" s="322">
        <f t="shared" si="153"/>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4">C318</f>
        <v>2017/18</v>
      </c>
      <c r="D339" s="331" t="str">
        <f t="shared" si="154"/>
        <v>2018/19</v>
      </c>
      <c r="E339" s="331" t="str">
        <f t="shared" si="154"/>
        <v>2019/20</v>
      </c>
      <c r="F339" s="331" t="str">
        <f t="shared" si="154"/>
        <v>2020/21</v>
      </c>
      <c r="G339" s="331" t="str">
        <f t="shared" si="154"/>
        <v>2021/22</v>
      </c>
      <c r="H339" s="331" t="str">
        <f t="shared" si="154"/>
        <v>2022/23</v>
      </c>
      <c r="I339" s="331" t="str">
        <f t="shared" si="154"/>
        <v>2023/24</v>
      </c>
      <c r="J339" s="331" t="str">
        <f t="shared" si="154"/>
        <v>2024/25</v>
      </c>
      <c r="K339" s="331" t="str">
        <f t="shared" si="154"/>
        <v>2025/26</v>
      </c>
      <c r="L339" s="331" t="str">
        <f t="shared" si="154"/>
        <v>2026/27</v>
      </c>
      <c r="M339" s="331" t="str">
        <f t="shared" si="154"/>
        <v>2027/28</v>
      </c>
      <c r="N339" s="331" t="str">
        <f t="shared" si="154"/>
        <v>2028/29</v>
      </c>
    </row>
    <row r="340" spans="1:14">
      <c r="B340" s="331" t="str">
        <f t="shared" ref="B340:B350" si="155">B319</f>
        <v>20-24</v>
      </c>
      <c r="C340" s="447">
        <f t="shared" ref="C340:N340" si="156">C303+C247</f>
        <v>233.42389314248999</v>
      </c>
      <c r="D340" s="447">
        <f t="shared" si="156"/>
        <v>273.79962163999852</v>
      </c>
      <c r="E340" s="447">
        <f t="shared" si="156"/>
        <v>302.12057681274604</v>
      </c>
      <c r="F340" s="447">
        <f t="shared" si="156"/>
        <v>322.14229481450423</v>
      </c>
      <c r="G340" s="447">
        <f t="shared" si="156"/>
        <v>337.9339426820485</v>
      </c>
      <c r="H340" s="447">
        <f t="shared" si="156"/>
        <v>351.34336895941726</v>
      </c>
      <c r="I340" s="447">
        <f t="shared" si="156"/>
        <v>362.43322431419892</v>
      </c>
      <c r="J340" s="447">
        <f t="shared" si="156"/>
        <v>367.70136278951554</v>
      </c>
      <c r="K340" s="447">
        <f t="shared" si="156"/>
        <v>369.65730378509858</v>
      </c>
      <c r="L340" s="447">
        <f t="shared" si="156"/>
        <v>368.96789126341224</v>
      </c>
      <c r="M340" s="447">
        <f t="shared" si="156"/>
        <v>365.40952193618472</v>
      </c>
      <c r="N340" s="447">
        <f t="shared" si="156"/>
        <v>359.9263794540185</v>
      </c>
    </row>
    <row r="341" spans="1:14">
      <c r="B341" s="331" t="str">
        <f t="shared" si="155"/>
        <v>25-29</v>
      </c>
      <c r="C341" s="447">
        <f t="shared" ref="C341:N341" si="157">C304+C248</f>
        <v>520.22462019633031</v>
      </c>
      <c r="D341" s="447">
        <f t="shared" si="157"/>
        <v>526.47385951895944</v>
      </c>
      <c r="E341" s="447">
        <f t="shared" si="157"/>
        <v>538.88610174489338</v>
      </c>
      <c r="F341" s="447">
        <f t="shared" si="157"/>
        <v>554.35599773790898</v>
      </c>
      <c r="G341" s="447">
        <f t="shared" si="157"/>
        <v>571.33344594439939</v>
      </c>
      <c r="H341" s="447">
        <f t="shared" si="157"/>
        <v>589.02177673685492</v>
      </c>
      <c r="I341" s="447">
        <f t="shared" si="157"/>
        <v>606.01601500981974</v>
      </c>
      <c r="J341" s="447">
        <f t="shared" si="157"/>
        <v>617.73244134253616</v>
      </c>
      <c r="K341" s="447">
        <f t="shared" si="157"/>
        <v>625.27588447453331</v>
      </c>
      <c r="L341" s="447">
        <f t="shared" si="157"/>
        <v>628.85400564175598</v>
      </c>
      <c r="M341" s="447">
        <f t="shared" si="157"/>
        <v>628.05305975718727</v>
      </c>
      <c r="N341" s="447">
        <f t="shared" si="157"/>
        <v>623.6595665138185</v>
      </c>
    </row>
    <row r="342" spans="1:14">
      <c r="B342" s="331" t="str">
        <f t="shared" si="155"/>
        <v>30-34</v>
      </c>
      <c r="C342" s="447">
        <f t="shared" ref="C342:N342" si="158">C305+C249</f>
        <v>641.79436470353801</v>
      </c>
      <c r="D342" s="447">
        <f t="shared" si="158"/>
        <v>622.41761495229684</v>
      </c>
      <c r="E342" s="447">
        <f t="shared" si="158"/>
        <v>609.04771277535644</v>
      </c>
      <c r="F342" s="447">
        <f t="shared" si="158"/>
        <v>603.0120628275165</v>
      </c>
      <c r="G342" s="447">
        <f t="shared" si="158"/>
        <v>602.79244148737109</v>
      </c>
      <c r="H342" s="447">
        <f t="shared" si="158"/>
        <v>607.26707590609089</v>
      </c>
      <c r="I342" s="447">
        <f t="shared" si="158"/>
        <v>614.89472176788161</v>
      </c>
      <c r="J342" s="447">
        <f t="shared" si="158"/>
        <v>622.50491394834989</v>
      </c>
      <c r="K342" s="447">
        <f t="shared" si="158"/>
        <v>629.39914636803564</v>
      </c>
      <c r="L342" s="447">
        <f t="shared" si="158"/>
        <v>634.77519062986903</v>
      </c>
      <c r="M342" s="447">
        <f t="shared" si="158"/>
        <v>637.75334882959385</v>
      </c>
      <c r="N342" s="447">
        <f t="shared" si="158"/>
        <v>638.17271373449501</v>
      </c>
    </row>
    <row r="343" spans="1:14">
      <c r="B343" s="331" t="str">
        <f t="shared" si="155"/>
        <v>35-39</v>
      </c>
      <c r="C343" s="447">
        <f t="shared" ref="C343:N343" si="159">C306+C250</f>
        <v>662.95957163288585</v>
      </c>
      <c r="D343" s="447">
        <f t="shared" si="159"/>
        <v>646.09866502998375</v>
      </c>
      <c r="E343" s="447">
        <f t="shared" si="159"/>
        <v>629.38097813409092</v>
      </c>
      <c r="F343" s="447">
        <f t="shared" si="159"/>
        <v>616.13036257504018</v>
      </c>
      <c r="G343" s="447">
        <f t="shared" si="159"/>
        <v>606.39186483114918</v>
      </c>
      <c r="H343" s="447">
        <f t="shared" si="159"/>
        <v>600.41701863038952</v>
      </c>
      <c r="I343" s="447">
        <f t="shared" si="159"/>
        <v>597.75091703656585</v>
      </c>
      <c r="J343" s="447">
        <f t="shared" si="159"/>
        <v>596.44284720794872</v>
      </c>
      <c r="K343" s="447">
        <f t="shared" si="159"/>
        <v>596.31044654581422</v>
      </c>
      <c r="L343" s="447">
        <f t="shared" si="159"/>
        <v>596.72436640953129</v>
      </c>
      <c r="M343" s="447">
        <f t="shared" si="159"/>
        <v>596.83064882807025</v>
      </c>
      <c r="N343" s="447">
        <f t="shared" si="159"/>
        <v>596.25940645577373</v>
      </c>
    </row>
    <row r="344" spans="1:14">
      <c r="B344" s="331" t="str">
        <f t="shared" si="155"/>
        <v>40-44</v>
      </c>
      <c r="C344" s="447">
        <f t="shared" ref="C344:N344" si="160">C307+C251</f>
        <v>588.34952591992146</v>
      </c>
      <c r="D344" s="447">
        <f t="shared" si="160"/>
        <v>594.73045359360526</v>
      </c>
      <c r="E344" s="447">
        <f t="shared" si="160"/>
        <v>595.61317629316</v>
      </c>
      <c r="F344" s="447">
        <f t="shared" si="160"/>
        <v>594.32989196202936</v>
      </c>
      <c r="G344" s="447">
        <f t="shared" si="160"/>
        <v>591.8158760337808</v>
      </c>
      <c r="H344" s="447">
        <f t="shared" si="160"/>
        <v>589.16883831084738</v>
      </c>
      <c r="I344" s="447">
        <f t="shared" si="160"/>
        <v>586.86993466728779</v>
      </c>
      <c r="J344" s="447">
        <f t="shared" si="160"/>
        <v>584.03911292298653</v>
      </c>
      <c r="K344" s="447">
        <f t="shared" si="160"/>
        <v>581.22988858322537</v>
      </c>
      <c r="L344" s="447">
        <f t="shared" si="160"/>
        <v>578.49859408440761</v>
      </c>
      <c r="M344" s="447">
        <f t="shared" si="160"/>
        <v>575.55644199062954</v>
      </c>
      <c r="N344" s="447">
        <f t="shared" si="160"/>
        <v>572.38799347607858</v>
      </c>
    </row>
    <row r="345" spans="1:14">
      <c r="B345" s="331" t="str">
        <f t="shared" si="155"/>
        <v>45-49</v>
      </c>
      <c r="C345" s="447">
        <f t="shared" ref="C345:N345" si="161">C308+C252</f>
        <v>430.30892808054045</v>
      </c>
      <c r="D345" s="447">
        <f t="shared" si="161"/>
        <v>447.41068108686039</v>
      </c>
      <c r="E345" s="447">
        <f t="shared" si="161"/>
        <v>459.98617749014448</v>
      </c>
      <c r="F345" s="447">
        <f t="shared" si="161"/>
        <v>470.27241700290813</v>
      </c>
      <c r="G345" s="447">
        <f t="shared" si="161"/>
        <v>478.13661085952253</v>
      </c>
      <c r="H345" s="447">
        <f t="shared" si="161"/>
        <v>484.14016242997718</v>
      </c>
      <c r="I345" s="447">
        <f t="shared" si="161"/>
        <v>488.58352313450058</v>
      </c>
      <c r="J345" s="447">
        <f t="shared" si="161"/>
        <v>490.84190605753946</v>
      </c>
      <c r="K345" s="447">
        <f t="shared" si="161"/>
        <v>491.56526455943231</v>
      </c>
      <c r="L345" s="447">
        <f t="shared" si="161"/>
        <v>491.06455401361495</v>
      </c>
      <c r="M345" s="447">
        <f t="shared" si="161"/>
        <v>489.40059324322146</v>
      </c>
      <c r="N345" s="447">
        <f t="shared" si="161"/>
        <v>486.8506486844654</v>
      </c>
    </row>
    <row r="346" spans="1:14">
      <c r="B346" s="331" t="str">
        <f t="shared" si="155"/>
        <v>50-54</v>
      </c>
      <c r="C346" s="447">
        <f t="shared" ref="C346:N346" si="162">C309+C253</f>
        <v>309.29899146600025</v>
      </c>
      <c r="D346" s="447">
        <f t="shared" si="162"/>
        <v>313.72153385033005</v>
      </c>
      <c r="E346" s="447">
        <f t="shared" si="162"/>
        <v>319.13675186956641</v>
      </c>
      <c r="F346" s="447">
        <f t="shared" si="162"/>
        <v>325.88235311239396</v>
      </c>
      <c r="G346" s="447">
        <f t="shared" si="162"/>
        <v>332.87768054437856</v>
      </c>
      <c r="H346" s="447">
        <f t="shared" si="162"/>
        <v>339.70122398759719</v>
      </c>
      <c r="I346" s="447">
        <f t="shared" si="162"/>
        <v>345.93486362362347</v>
      </c>
      <c r="J346" s="447">
        <f t="shared" si="162"/>
        <v>350.65302327173515</v>
      </c>
      <c r="K346" s="447">
        <f t="shared" si="162"/>
        <v>354.03536908512234</v>
      </c>
      <c r="L346" s="447">
        <f t="shared" si="162"/>
        <v>356.13018662466322</v>
      </c>
      <c r="M346" s="447">
        <f t="shared" si="162"/>
        <v>356.89698471206691</v>
      </c>
      <c r="N346" s="447">
        <f t="shared" si="162"/>
        <v>356.52970196483062</v>
      </c>
    </row>
    <row r="347" spans="1:14">
      <c r="B347" s="331" t="str">
        <f t="shared" si="155"/>
        <v>55-59</v>
      </c>
      <c r="C347" s="447">
        <f t="shared" ref="C347:N347" si="163">C310+C254</f>
        <v>196.02483553142343</v>
      </c>
      <c r="D347" s="447">
        <f t="shared" si="163"/>
        <v>175.25854478973343</v>
      </c>
      <c r="E347" s="447">
        <f t="shared" si="163"/>
        <v>163.60644272499943</v>
      </c>
      <c r="F347" s="447">
        <f t="shared" si="163"/>
        <v>157.95180776687408</v>
      </c>
      <c r="G347" s="447">
        <f t="shared" si="163"/>
        <v>155.96685339580338</v>
      </c>
      <c r="H347" s="447">
        <f t="shared" si="163"/>
        <v>156.21356422994188</v>
      </c>
      <c r="I347" s="447">
        <f t="shared" si="163"/>
        <v>157.64499235019662</v>
      </c>
      <c r="J347" s="447">
        <f t="shared" si="163"/>
        <v>159.14238828994036</v>
      </c>
      <c r="K347" s="447">
        <f t="shared" si="163"/>
        <v>160.51994762941726</v>
      </c>
      <c r="L347" s="447">
        <f t="shared" si="163"/>
        <v>161.5724127986137</v>
      </c>
      <c r="M347" s="447">
        <f t="shared" si="163"/>
        <v>162.10377966641201</v>
      </c>
      <c r="N347" s="447">
        <f t="shared" si="163"/>
        <v>162.13057757863731</v>
      </c>
    </row>
    <row r="348" spans="1:14">
      <c r="B348" s="331" t="str">
        <f t="shared" si="155"/>
        <v>60-64</v>
      </c>
      <c r="C348" s="447">
        <f t="shared" ref="C348:N348" si="164">C311+C255</f>
        <v>64.93730267841012</v>
      </c>
      <c r="D348" s="447">
        <f t="shared" si="164"/>
        <v>64.023520694339382</v>
      </c>
      <c r="E348" s="447">
        <f t="shared" si="164"/>
        <v>60.968166046724782</v>
      </c>
      <c r="F348" s="447">
        <f t="shared" si="164"/>
        <v>58.196843986448151</v>
      </c>
      <c r="G348" s="447">
        <f t="shared" si="164"/>
        <v>56.304250427313619</v>
      </c>
      <c r="H348" s="447">
        <f t="shared" si="164"/>
        <v>55.322414699695294</v>
      </c>
      <c r="I348" s="447">
        <f t="shared" si="164"/>
        <v>55.016248521569615</v>
      </c>
      <c r="J348" s="447">
        <f t="shared" si="164"/>
        <v>54.913640195523939</v>
      </c>
      <c r="K348" s="447">
        <f t="shared" si="164"/>
        <v>54.951762375348942</v>
      </c>
      <c r="L348" s="447">
        <f t="shared" si="164"/>
        <v>55.014068267940502</v>
      </c>
      <c r="M348" s="447">
        <f t="shared" si="164"/>
        <v>54.975437551744633</v>
      </c>
      <c r="N348" s="447">
        <f t="shared" si="164"/>
        <v>54.819908070931291</v>
      </c>
    </row>
    <row r="349" spans="1:14">
      <c r="B349" s="331" t="str">
        <f t="shared" si="155"/>
        <v>65 plus</v>
      </c>
      <c r="C349" s="447">
        <f t="shared" ref="C349:N349" si="165">C312+C256</f>
        <v>13.967428953838802</v>
      </c>
      <c r="D349" s="447">
        <f t="shared" si="165"/>
        <v>17.86859577615353</v>
      </c>
      <c r="E349" s="447">
        <f t="shared" si="165"/>
        <v>19.94185607651611</v>
      </c>
      <c r="F349" s="447">
        <f t="shared" si="165"/>
        <v>20.865257398571632</v>
      </c>
      <c r="G349" s="447">
        <f t="shared" si="165"/>
        <v>21.128976328962231</v>
      </c>
      <c r="H349" s="447">
        <f t="shared" si="165"/>
        <v>21.122086105802893</v>
      </c>
      <c r="I349" s="447">
        <f t="shared" si="165"/>
        <v>21.049717916540004</v>
      </c>
      <c r="J349" s="447">
        <f t="shared" si="165"/>
        <v>20.934363889122416</v>
      </c>
      <c r="K349" s="447">
        <f t="shared" si="165"/>
        <v>20.827401433898654</v>
      </c>
      <c r="L349" s="447">
        <f t="shared" si="165"/>
        <v>20.732271165051259</v>
      </c>
      <c r="M349" s="447">
        <f t="shared" si="165"/>
        <v>20.624806238500511</v>
      </c>
      <c r="N349" s="447">
        <f t="shared" si="165"/>
        <v>20.497784721593135</v>
      </c>
    </row>
    <row r="350" spans="1:14">
      <c r="B350" s="331" t="str">
        <f t="shared" si="155"/>
        <v>Total</v>
      </c>
      <c r="C350" s="447">
        <f t="shared" ref="C350:N350" si="166">SUM(C340:C349)</f>
        <v>3661.2894623053785</v>
      </c>
      <c r="D350" s="447">
        <f t="shared" si="166"/>
        <v>3681.8030909322606</v>
      </c>
      <c r="E350" s="447">
        <f t="shared" si="166"/>
        <v>3698.6879399681984</v>
      </c>
      <c r="F350" s="447">
        <f t="shared" si="166"/>
        <v>3723.1392891841947</v>
      </c>
      <c r="G350" s="447">
        <f t="shared" si="166"/>
        <v>3754.6819425347294</v>
      </c>
      <c r="H350" s="447">
        <f t="shared" si="166"/>
        <v>3793.7175299966143</v>
      </c>
      <c r="I350" s="447">
        <f t="shared" si="166"/>
        <v>3836.1941583421844</v>
      </c>
      <c r="J350" s="447">
        <f t="shared" si="166"/>
        <v>3864.9059999151978</v>
      </c>
      <c r="K350" s="447">
        <f t="shared" si="166"/>
        <v>3883.772414839927</v>
      </c>
      <c r="L350" s="447">
        <f t="shared" si="166"/>
        <v>3892.3335408988596</v>
      </c>
      <c r="M350" s="447">
        <f t="shared" si="166"/>
        <v>3887.6046227536108</v>
      </c>
      <c r="N350" s="447">
        <f t="shared" si="166"/>
        <v>3871.234680654642</v>
      </c>
    </row>
    <row r="351" spans="1:14">
      <c r="A351" s="302">
        <f>SUM(C351:N351)</f>
        <v>0</v>
      </c>
      <c r="C351" s="302">
        <f t="shared" ref="C351:N351" si="167">SUM(C340:C349)-C350</f>
        <v>0</v>
      </c>
      <c r="D351" s="302">
        <f t="shared" si="167"/>
        <v>0</v>
      </c>
      <c r="E351" s="302">
        <f t="shared" si="167"/>
        <v>0</v>
      </c>
      <c r="F351" s="302">
        <f t="shared" si="167"/>
        <v>0</v>
      </c>
      <c r="G351" s="302">
        <f t="shared" si="167"/>
        <v>0</v>
      </c>
      <c r="H351" s="302">
        <f t="shared" si="167"/>
        <v>0</v>
      </c>
      <c r="I351" s="302">
        <f t="shared" si="167"/>
        <v>0</v>
      </c>
      <c r="J351" s="302">
        <f t="shared" si="167"/>
        <v>0</v>
      </c>
      <c r="K351" s="302">
        <f t="shared" si="167"/>
        <v>0</v>
      </c>
      <c r="L351" s="302">
        <f t="shared" si="167"/>
        <v>0</v>
      </c>
      <c r="M351" s="302">
        <f t="shared" si="167"/>
        <v>0</v>
      </c>
      <c r="N351" s="302">
        <f t="shared" si="167"/>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8">B339</f>
        <v>Age group</v>
      </c>
      <c r="C355" s="331" t="str">
        <f t="shared" ref="C355:N355" si="169">C339</f>
        <v>2017/18</v>
      </c>
      <c r="D355" s="331" t="str">
        <f t="shared" si="169"/>
        <v>2018/19</v>
      </c>
      <c r="E355" s="331" t="str">
        <f t="shared" si="169"/>
        <v>2019/20</v>
      </c>
      <c r="F355" s="331" t="str">
        <f t="shared" si="169"/>
        <v>2020/21</v>
      </c>
      <c r="G355" s="331" t="str">
        <f t="shared" si="169"/>
        <v>2021/22</v>
      </c>
      <c r="H355" s="331" t="str">
        <f t="shared" si="169"/>
        <v>2022/23</v>
      </c>
      <c r="I355" s="331" t="str">
        <f t="shared" si="169"/>
        <v>2023/24</v>
      </c>
      <c r="J355" s="331" t="str">
        <f t="shared" si="169"/>
        <v>2024/25</v>
      </c>
      <c r="K355" s="331" t="str">
        <f t="shared" si="169"/>
        <v>2025/26</v>
      </c>
      <c r="L355" s="331" t="str">
        <f t="shared" si="169"/>
        <v>2026/27</v>
      </c>
      <c r="M355" s="331" t="str">
        <f t="shared" si="169"/>
        <v>2027/28</v>
      </c>
      <c r="N355" s="331" t="str">
        <f t="shared" si="169"/>
        <v>2028/29</v>
      </c>
    </row>
    <row r="356" spans="1:14">
      <c r="B356" s="331" t="str">
        <f t="shared" si="168"/>
        <v>20-24</v>
      </c>
      <c r="C356" s="447">
        <f t="shared" ref="C356:N356" si="170">C319+C263</f>
        <v>600.39814514638829</v>
      </c>
      <c r="D356" s="447">
        <f t="shared" si="170"/>
        <v>691.68589000594125</v>
      </c>
      <c r="E356" s="447">
        <f t="shared" si="170"/>
        <v>760.24390715149468</v>
      </c>
      <c r="F356" s="447">
        <f t="shared" si="170"/>
        <v>807.43539994573405</v>
      </c>
      <c r="G356" s="447">
        <f t="shared" si="170"/>
        <v>845.76573861353086</v>
      </c>
      <c r="H356" s="447">
        <f t="shared" si="170"/>
        <v>878.98569782438108</v>
      </c>
      <c r="I356" s="447">
        <f t="shared" si="170"/>
        <v>906.95625496687853</v>
      </c>
      <c r="J356" s="447">
        <f t="shared" si="170"/>
        <v>921.2871342569847</v>
      </c>
      <c r="K356" s="447">
        <f t="shared" si="170"/>
        <v>927.52438862448844</v>
      </c>
      <c r="L356" s="447">
        <f t="shared" si="170"/>
        <v>927.14865433174032</v>
      </c>
      <c r="M356" s="447">
        <f t="shared" si="170"/>
        <v>919.6196628329285</v>
      </c>
      <c r="N356" s="447">
        <f t="shared" si="170"/>
        <v>907.12390982582406</v>
      </c>
    </row>
    <row r="357" spans="1:14">
      <c r="B357" s="331" t="str">
        <f t="shared" si="168"/>
        <v>25-29</v>
      </c>
      <c r="C357" s="447">
        <f t="shared" ref="C357:N357" si="171">C320+C264</f>
        <v>1387.1729897035827</v>
      </c>
      <c r="D357" s="447">
        <f t="shared" si="171"/>
        <v>1373.7932734118028</v>
      </c>
      <c r="E357" s="447">
        <f t="shared" si="171"/>
        <v>1385.7658316728021</v>
      </c>
      <c r="F357" s="447">
        <f t="shared" si="171"/>
        <v>1406.0615882263</v>
      </c>
      <c r="G357" s="447">
        <f t="shared" si="171"/>
        <v>1435.0400081747139</v>
      </c>
      <c r="H357" s="447">
        <f t="shared" si="171"/>
        <v>1469.5021776697613</v>
      </c>
      <c r="I357" s="447">
        <f t="shared" si="171"/>
        <v>1505.1122121269652</v>
      </c>
      <c r="J357" s="447">
        <f t="shared" si="171"/>
        <v>1530.3252567737793</v>
      </c>
      <c r="K357" s="447">
        <f t="shared" si="171"/>
        <v>1547.0201640594898</v>
      </c>
      <c r="L357" s="447">
        <f t="shared" si="171"/>
        <v>1555.1592268108284</v>
      </c>
      <c r="M357" s="447">
        <f t="shared" si="171"/>
        <v>1553.3977409005843</v>
      </c>
      <c r="N357" s="447">
        <f t="shared" si="171"/>
        <v>1543.300796450789</v>
      </c>
    </row>
    <row r="358" spans="1:14">
      <c r="B358" s="331" t="str">
        <f t="shared" si="168"/>
        <v>30-34</v>
      </c>
      <c r="C358" s="447">
        <f t="shared" ref="C358:N358" si="172">C321+C265</f>
        <v>1652.761625071199</v>
      </c>
      <c r="D358" s="447">
        <f t="shared" si="172"/>
        <v>1592.0621556490319</v>
      </c>
      <c r="E358" s="447">
        <f t="shared" si="172"/>
        <v>1547.0473565463383</v>
      </c>
      <c r="F358" s="447">
        <f t="shared" si="172"/>
        <v>1515.6222080145799</v>
      </c>
      <c r="G358" s="447">
        <f t="shared" si="172"/>
        <v>1499.7527427878165</v>
      </c>
      <c r="H358" s="447">
        <f t="shared" si="172"/>
        <v>1497.1547146137473</v>
      </c>
      <c r="I358" s="447">
        <f t="shared" si="172"/>
        <v>1504.2367787835101</v>
      </c>
      <c r="J358" s="447">
        <f t="shared" si="172"/>
        <v>1513.4148211188997</v>
      </c>
      <c r="K358" s="447">
        <f t="shared" si="172"/>
        <v>1522.825733401967</v>
      </c>
      <c r="L358" s="447">
        <f t="shared" si="172"/>
        <v>1530.3023086427411</v>
      </c>
      <c r="M358" s="447">
        <f t="shared" si="172"/>
        <v>1533.4876377964069</v>
      </c>
      <c r="N358" s="447">
        <f t="shared" si="172"/>
        <v>1531.730360938943</v>
      </c>
    </row>
    <row r="359" spans="1:14">
      <c r="B359" s="331" t="str">
        <f t="shared" si="168"/>
        <v>35-39</v>
      </c>
      <c r="C359" s="447">
        <f t="shared" ref="C359:N359" si="173">C322+C266</f>
        <v>1546.5631441747651</v>
      </c>
      <c r="D359" s="447">
        <f t="shared" si="173"/>
        <v>1537.0764428891403</v>
      </c>
      <c r="E359" s="447">
        <f t="shared" si="173"/>
        <v>1519.6884430520317</v>
      </c>
      <c r="F359" s="447">
        <f t="shared" si="173"/>
        <v>1497.7081999075242</v>
      </c>
      <c r="G359" s="447">
        <f t="shared" si="173"/>
        <v>1478.3519770438058</v>
      </c>
      <c r="H359" s="447">
        <f t="shared" si="173"/>
        <v>1464.0816905612382</v>
      </c>
      <c r="I359" s="447">
        <f t="shared" si="173"/>
        <v>1455.2580429110969</v>
      </c>
      <c r="J359" s="447">
        <f t="shared" si="173"/>
        <v>1448.3553324522304</v>
      </c>
      <c r="K359" s="447">
        <f t="shared" si="173"/>
        <v>1443.6770888495319</v>
      </c>
      <c r="L359" s="447">
        <f t="shared" si="173"/>
        <v>1440.2403571099251</v>
      </c>
      <c r="M359" s="447">
        <f t="shared" si="173"/>
        <v>1436.3507490727982</v>
      </c>
      <c r="N359" s="447">
        <f t="shared" si="173"/>
        <v>1431.3107948837869</v>
      </c>
    </row>
    <row r="360" spans="1:14">
      <c r="B360" s="331" t="str">
        <f t="shared" si="168"/>
        <v>40-44</v>
      </c>
      <c r="C360" s="447">
        <f t="shared" ref="C360:N360" si="174">C323+C267</f>
        <v>1309.4285090911706</v>
      </c>
      <c r="D360" s="447">
        <f t="shared" si="174"/>
        <v>1330.3015220217749</v>
      </c>
      <c r="E360" s="447">
        <f t="shared" si="174"/>
        <v>1344.3051141126762</v>
      </c>
      <c r="F360" s="447">
        <f t="shared" si="174"/>
        <v>1350.337011885764</v>
      </c>
      <c r="G360" s="447">
        <f t="shared" si="174"/>
        <v>1352.7593681457267</v>
      </c>
      <c r="H360" s="447">
        <f t="shared" si="174"/>
        <v>1353.3264965923759</v>
      </c>
      <c r="I360" s="447">
        <f t="shared" si="174"/>
        <v>1352.8917572699497</v>
      </c>
      <c r="J360" s="447">
        <f t="shared" si="174"/>
        <v>1349.4489670120513</v>
      </c>
      <c r="K360" s="447">
        <f t="shared" si="174"/>
        <v>1344.5469251845207</v>
      </c>
      <c r="L360" s="447">
        <f t="shared" si="174"/>
        <v>1338.6259517452227</v>
      </c>
      <c r="M360" s="447">
        <f t="shared" si="174"/>
        <v>1331.325636959453</v>
      </c>
      <c r="N360" s="447">
        <f t="shared" si="174"/>
        <v>1322.9040317462996</v>
      </c>
    </row>
    <row r="361" spans="1:14">
      <c r="B361" s="331" t="str">
        <f t="shared" si="168"/>
        <v>45-49</v>
      </c>
      <c r="C361" s="447">
        <f t="shared" ref="C361:N361" si="175">C324+C268</f>
        <v>950.03718860534525</v>
      </c>
      <c r="D361" s="447">
        <f t="shared" si="175"/>
        <v>997.6524571364605</v>
      </c>
      <c r="E361" s="447">
        <f t="shared" si="175"/>
        <v>1036.1774929792507</v>
      </c>
      <c r="F361" s="447">
        <f t="shared" si="175"/>
        <v>1065.607431356081</v>
      </c>
      <c r="G361" s="447">
        <f t="shared" si="175"/>
        <v>1089.5538493972322</v>
      </c>
      <c r="H361" s="447">
        <f t="shared" si="175"/>
        <v>1109.134164134631</v>
      </c>
      <c r="I361" s="447">
        <f t="shared" si="175"/>
        <v>1124.76684906741</v>
      </c>
      <c r="J361" s="447">
        <f t="shared" si="175"/>
        <v>1134.7364149698794</v>
      </c>
      <c r="K361" s="447">
        <f t="shared" si="175"/>
        <v>1140.388025548129</v>
      </c>
      <c r="L361" s="447">
        <f t="shared" si="175"/>
        <v>1142.3718817641386</v>
      </c>
      <c r="M361" s="447">
        <f t="shared" si="175"/>
        <v>1140.8314585949756</v>
      </c>
      <c r="N361" s="447">
        <f t="shared" si="175"/>
        <v>1136.4735672758598</v>
      </c>
    </row>
    <row r="362" spans="1:14">
      <c r="B362" s="331" t="str">
        <f t="shared" si="168"/>
        <v>50-54</v>
      </c>
      <c r="C362" s="447">
        <f t="shared" ref="C362:N362" si="176">C325+C269</f>
        <v>641.22496712962516</v>
      </c>
      <c r="D362" s="447">
        <f t="shared" si="176"/>
        <v>672.01197208739575</v>
      </c>
      <c r="E362" s="447">
        <f t="shared" si="176"/>
        <v>702.30360515394671</v>
      </c>
      <c r="F362" s="447">
        <f t="shared" si="176"/>
        <v>729.66858397088413</v>
      </c>
      <c r="G362" s="447">
        <f t="shared" si="176"/>
        <v>755.200025402047</v>
      </c>
      <c r="H362" s="447">
        <f t="shared" si="176"/>
        <v>778.66411840777926</v>
      </c>
      <c r="I362" s="447">
        <f t="shared" si="176"/>
        <v>799.57143267052709</v>
      </c>
      <c r="J362" s="447">
        <f t="shared" si="176"/>
        <v>816.04367988723118</v>
      </c>
      <c r="K362" s="447">
        <f t="shared" si="176"/>
        <v>828.64642520341113</v>
      </c>
      <c r="L362" s="447">
        <f t="shared" si="176"/>
        <v>837.56743572753896</v>
      </c>
      <c r="M362" s="447">
        <f t="shared" si="176"/>
        <v>842.75213244768554</v>
      </c>
      <c r="N362" s="447">
        <f t="shared" si="176"/>
        <v>844.68264278857009</v>
      </c>
    </row>
    <row r="363" spans="1:14">
      <c r="B363" s="331" t="str">
        <f t="shared" si="168"/>
        <v>55-59</v>
      </c>
      <c r="C363" s="447">
        <f t="shared" ref="C363:N363" si="177">C326+C270</f>
        <v>388.59979089980743</v>
      </c>
      <c r="D363" s="447">
        <f t="shared" si="177"/>
        <v>366.16419312819386</v>
      </c>
      <c r="E363" s="447">
        <f t="shared" si="177"/>
        <v>357.76828748717509</v>
      </c>
      <c r="F363" s="447">
        <f t="shared" si="177"/>
        <v>357.11855376257768</v>
      </c>
      <c r="G363" s="447">
        <f t="shared" si="177"/>
        <v>361.62642045107236</v>
      </c>
      <c r="H363" s="447">
        <f t="shared" si="177"/>
        <v>369.07350021118418</v>
      </c>
      <c r="I363" s="447">
        <f t="shared" si="177"/>
        <v>377.75338106816577</v>
      </c>
      <c r="J363" s="447">
        <f t="shared" si="177"/>
        <v>385.52421006055863</v>
      </c>
      <c r="K363" s="447">
        <f t="shared" si="177"/>
        <v>392.23006577258769</v>
      </c>
      <c r="L363" s="447">
        <f t="shared" si="177"/>
        <v>397.5745585361193</v>
      </c>
      <c r="M363" s="447">
        <f t="shared" si="177"/>
        <v>401.21337383548359</v>
      </c>
      <c r="N363" s="447">
        <f t="shared" si="177"/>
        <v>403.25230424631769</v>
      </c>
    </row>
    <row r="364" spans="1:14">
      <c r="B364" s="331" t="str">
        <f t="shared" si="168"/>
        <v>60-64</v>
      </c>
      <c r="C364" s="447">
        <f t="shared" ref="C364:N364" si="178">C327+C271</f>
        <v>145.15503100809676</v>
      </c>
      <c r="D364" s="447">
        <f t="shared" si="178"/>
        <v>140.72093081036274</v>
      </c>
      <c r="E364" s="447">
        <f t="shared" si="178"/>
        <v>135.94441796336366</v>
      </c>
      <c r="F364" s="447">
        <f t="shared" si="178"/>
        <v>132.44097706540518</v>
      </c>
      <c r="G364" s="447">
        <f t="shared" si="178"/>
        <v>130.99092544670236</v>
      </c>
      <c r="H364" s="447">
        <f t="shared" si="178"/>
        <v>131.28724760673774</v>
      </c>
      <c r="I364" s="447">
        <f t="shared" si="178"/>
        <v>132.72257944631394</v>
      </c>
      <c r="J364" s="447">
        <f t="shared" si="178"/>
        <v>134.24311895837744</v>
      </c>
      <c r="K364" s="447">
        <f t="shared" si="178"/>
        <v>135.76734513091918</v>
      </c>
      <c r="L364" s="447">
        <f t="shared" si="178"/>
        <v>137.08771582942643</v>
      </c>
      <c r="M364" s="447">
        <f t="shared" si="178"/>
        <v>137.96289267291559</v>
      </c>
      <c r="N364" s="447">
        <f t="shared" si="178"/>
        <v>138.39122568274863</v>
      </c>
    </row>
    <row r="365" spans="1:14">
      <c r="B365" s="331" t="str">
        <f t="shared" si="168"/>
        <v>65 plus</v>
      </c>
      <c r="C365" s="447">
        <f t="shared" ref="C365:N365" si="179">C328+C272</f>
        <v>36.032130033141819</v>
      </c>
      <c r="D365" s="447">
        <f t="shared" si="179"/>
        <v>47.583407826007189</v>
      </c>
      <c r="E365" s="447">
        <f t="shared" si="179"/>
        <v>54.553738774643691</v>
      </c>
      <c r="F365" s="447">
        <f t="shared" si="179"/>
        <v>58.404477676437466</v>
      </c>
      <c r="G365" s="447">
        <f t="shared" si="179"/>
        <v>60.559688948093381</v>
      </c>
      <c r="H365" s="447">
        <f t="shared" si="179"/>
        <v>61.902678576238927</v>
      </c>
      <c r="I365" s="447">
        <f t="shared" si="179"/>
        <v>62.912395948008452</v>
      </c>
      <c r="J365" s="447">
        <f t="shared" si="179"/>
        <v>63.65962159715108</v>
      </c>
      <c r="K365" s="447">
        <f t="shared" si="179"/>
        <v>64.271030051784933</v>
      </c>
      <c r="L365" s="447">
        <f t="shared" si="179"/>
        <v>64.77373442785607</v>
      </c>
      <c r="M365" s="447">
        <f t="shared" si="179"/>
        <v>65.12859045535437</v>
      </c>
      <c r="N365" s="447">
        <f t="shared" si="179"/>
        <v>65.328425459182611</v>
      </c>
    </row>
    <row r="366" spans="1:14">
      <c r="B366" s="331" t="str">
        <f t="shared" si="168"/>
        <v>Total</v>
      </c>
      <c r="C366" s="447">
        <f t="shared" ref="C366:N366" si="180">SUM(C356:C365)</f>
        <v>8657.3735208631206</v>
      </c>
      <c r="D366" s="447">
        <f t="shared" si="180"/>
        <v>8749.0522449661112</v>
      </c>
      <c r="E366" s="447">
        <f t="shared" si="180"/>
        <v>8843.7981948937231</v>
      </c>
      <c r="F366" s="447">
        <f t="shared" si="180"/>
        <v>8920.4044318112865</v>
      </c>
      <c r="G366" s="447">
        <f t="shared" si="180"/>
        <v>9009.6007444107399</v>
      </c>
      <c r="H366" s="447">
        <f t="shared" si="180"/>
        <v>9113.1124861980716</v>
      </c>
      <c r="I366" s="447">
        <f t="shared" si="180"/>
        <v>9222.1816842588232</v>
      </c>
      <c r="J366" s="447">
        <f t="shared" si="180"/>
        <v>9297.038557087144</v>
      </c>
      <c r="K366" s="447">
        <f t="shared" si="180"/>
        <v>9346.8971918268307</v>
      </c>
      <c r="L366" s="447">
        <f t="shared" si="180"/>
        <v>9370.8518249255358</v>
      </c>
      <c r="M366" s="447">
        <f t="shared" si="180"/>
        <v>9362.069875568588</v>
      </c>
      <c r="N366" s="447">
        <f t="shared" si="180"/>
        <v>9324.4980592983211</v>
      </c>
    </row>
    <row r="367" spans="1:14">
      <c r="A367" s="302">
        <f>SUM(C367:N367)</f>
        <v>0</v>
      </c>
      <c r="C367" s="302">
        <f t="shared" ref="C367:N367" si="181">SUM(C356:C365)-C366</f>
        <v>0</v>
      </c>
      <c r="D367" s="302">
        <f t="shared" si="181"/>
        <v>0</v>
      </c>
      <c r="E367" s="302">
        <f t="shared" si="181"/>
        <v>0</v>
      </c>
      <c r="F367" s="302">
        <f t="shared" si="181"/>
        <v>0</v>
      </c>
      <c r="G367" s="302">
        <f t="shared" si="181"/>
        <v>0</v>
      </c>
      <c r="H367" s="302">
        <f t="shared" si="181"/>
        <v>0</v>
      </c>
      <c r="I367" s="302">
        <f t="shared" si="181"/>
        <v>0</v>
      </c>
      <c r="J367" s="302">
        <f t="shared" si="181"/>
        <v>0</v>
      </c>
      <c r="K367" s="302">
        <f t="shared" si="181"/>
        <v>0</v>
      </c>
      <c r="L367" s="302">
        <f t="shared" si="181"/>
        <v>0</v>
      </c>
      <c r="M367" s="302">
        <f t="shared" si="181"/>
        <v>0</v>
      </c>
      <c r="N367" s="302">
        <f t="shared" si="181"/>
        <v>0</v>
      </c>
    </row>
    <row r="368" spans="1:14">
      <c r="C368" s="322">
        <f>C350+C366</f>
        <v>12318.662983168499</v>
      </c>
      <c r="D368" s="322">
        <f t="shared" ref="D368:N368" si="182">D350+D366</f>
        <v>12430.855335898372</v>
      </c>
      <c r="E368" s="322">
        <f t="shared" si="182"/>
        <v>12542.486134861922</v>
      </c>
      <c r="F368" s="322">
        <f t="shared" si="182"/>
        <v>12643.543720995482</v>
      </c>
      <c r="G368" s="322">
        <f t="shared" si="182"/>
        <v>12764.282686945469</v>
      </c>
      <c r="H368" s="322">
        <f t="shared" si="182"/>
        <v>12906.830016194686</v>
      </c>
      <c r="I368" s="322">
        <f t="shared" si="182"/>
        <v>13058.375842601008</v>
      </c>
      <c r="J368" s="322">
        <f t="shared" si="182"/>
        <v>13161.944557002342</v>
      </c>
      <c r="K368" s="322">
        <f t="shared" si="182"/>
        <v>13230.669606666757</v>
      </c>
      <c r="L368" s="322">
        <f t="shared" si="182"/>
        <v>13263.185365824396</v>
      </c>
      <c r="M368" s="322">
        <f t="shared" si="182"/>
        <v>13249.674498322198</v>
      </c>
      <c r="N368" s="322">
        <f t="shared" si="182"/>
        <v>13195.732739952964</v>
      </c>
    </row>
    <row r="369" spans="1:14">
      <c r="C369" s="322">
        <f>C36</f>
        <v>12318.6629831685</v>
      </c>
      <c r="D369" s="322">
        <f t="shared" ref="D369:N369" si="183">D36</f>
        <v>12430.855335898372</v>
      </c>
      <c r="E369" s="322">
        <f t="shared" si="183"/>
        <v>12542.486134861922</v>
      </c>
      <c r="F369" s="322">
        <f t="shared" si="183"/>
        <v>12643.543720995483</v>
      </c>
      <c r="G369" s="322">
        <f t="shared" si="183"/>
        <v>12764.282686945471</v>
      </c>
      <c r="H369" s="322">
        <f t="shared" si="183"/>
        <v>12906.83001619469</v>
      </c>
      <c r="I369" s="322">
        <f t="shared" si="183"/>
        <v>13058.37584260101</v>
      </c>
      <c r="J369" s="322">
        <f t="shared" si="183"/>
        <v>13161.944557002342</v>
      </c>
      <c r="K369" s="322">
        <f t="shared" si="183"/>
        <v>13230.669606666757</v>
      </c>
      <c r="L369" s="322">
        <f t="shared" si="183"/>
        <v>13263.185365824398</v>
      </c>
      <c r="M369" s="322">
        <f t="shared" si="183"/>
        <v>13249.674498322198</v>
      </c>
      <c r="N369" s="322">
        <f t="shared" si="183"/>
        <v>13195.732739952964</v>
      </c>
    </row>
    <row r="370" spans="1:14">
      <c r="A370" s="302">
        <f>SUM(C370:L370)</f>
        <v>0</v>
      </c>
      <c r="C370" s="322">
        <f>C368-C369</f>
        <v>0</v>
      </c>
      <c r="D370" s="322">
        <f t="shared" ref="D370:N370" si="184">D368-D369</f>
        <v>0</v>
      </c>
      <c r="E370" s="322">
        <f t="shared" si="184"/>
        <v>0</v>
      </c>
      <c r="F370" s="322">
        <f t="shared" si="184"/>
        <v>0</v>
      </c>
      <c r="G370" s="322">
        <f t="shared" si="184"/>
        <v>0</v>
      </c>
      <c r="H370" s="322">
        <f t="shared" si="184"/>
        <v>0</v>
      </c>
      <c r="I370" s="322">
        <f t="shared" si="184"/>
        <v>0</v>
      </c>
      <c r="J370" s="322">
        <f t="shared" si="184"/>
        <v>0</v>
      </c>
      <c r="K370" s="322">
        <f t="shared" si="184"/>
        <v>0</v>
      </c>
      <c r="L370" s="322">
        <f t="shared" si="184"/>
        <v>0</v>
      </c>
      <c r="M370" s="322">
        <f t="shared" si="184"/>
        <v>0</v>
      </c>
      <c r="N370" s="322">
        <f t="shared" si="184"/>
        <v>0</v>
      </c>
    </row>
    <row r="371" spans="1:14">
      <c r="A371" s="302">
        <f>SUM(C371:N371)</f>
        <v>0</v>
      </c>
      <c r="C371" s="322">
        <f>IF(C294&gt;0,0,C294)</f>
        <v>0</v>
      </c>
      <c r="D371" s="322">
        <f t="shared" ref="D371:N371" si="185">IF(D294&gt;0,0,D294)</f>
        <v>0</v>
      </c>
      <c r="E371" s="322">
        <f t="shared" si="185"/>
        <v>0</v>
      </c>
      <c r="F371" s="322">
        <f t="shared" si="185"/>
        <v>0</v>
      </c>
      <c r="G371" s="322">
        <f t="shared" si="185"/>
        <v>0</v>
      </c>
      <c r="H371" s="322">
        <f t="shared" si="185"/>
        <v>0</v>
      </c>
      <c r="I371" s="322">
        <f t="shared" si="185"/>
        <v>0</v>
      </c>
      <c r="J371" s="322">
        <f t="shared" si="185"/>
        <v>0</v>
      </c>
      <c r="K371" s="322">
        <f t="shared" si="185"/>
        <v>0</v>
      </c>
      <c r="L371" s="322">
        <f t="shared" si="185"/>
        <v>0</v>
      </c>
      <c r="M371" s="322">
        <f t="shared" si="185"/>
        <v>0</v>
      </c>
      <c r="N371" s="322">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546" customFormat="1">
      <c r="A5" s="682" t="s">
        <v>431</v>
      </c>
      <c r="B5" s="682"/>
      <c r="C5" s="682"/>
      <c r="D5" s="682"/>
      <c r="E5" s="682"/>
      <c r="F5" s="682"/>
      <c r="G5" s="682"/>
      <c r="H5" s="682"/>
      <c r="I5" s="682"/>
      <c r="J5" s="682"/>
      <c r="K5" s="682"/>
      <c r="L5" s="682"/>
      <c r="M5" s="682"/>
      <c r="N5" s="682"/>
      <c r="O5" s="545"/>
      <c r="P5" s="545"/>
      <c r="Q5" s="545"/>
    </row>
    <row r="6" spans="1:17" s="347" customFormat="1" ht="13.5" customHeigh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Forecast_stock_figures!B18</f>
        <v>Business Studies</v>
      </c>
      <c r="C15" s="300">
        <f>Forecast_stock_figures!C42</f>
        <v>4044.1447389865116</v>
      </c>
      <c r="D15" s="300">
        <f>Forecast_stock_figures!D42</f>
        <v>3881.3803858866468</v>
      </c>
      <c r="E15" s="300">
        <f>Forecast_stock_figures!E42</f>
        <v>3797.8888289148053</v>
      </c>
      <c r="F15" s="300">
        <f>Forecast_stock_figures!F42</f>
        <v>3742.9101835736583</v>
      </c>
      <c r="G15" s="300">
        <f>Forecast_stock_figures!G42</f>
        <v>3732.6662022919718</v>
      </c>
      <c r="H15" s="300">
        <f>Forecast_stock_figures!H42</f>
        <v>3743.6928729263068</v>
      </c>
      <c r="I15" s="300">
        <f>Forecast_stock_figures!I42</f>
        <v>3780.2009231604229</v>
      </c>
      <c r="J15" s="300">
        <f>Forecast_stock_figures!J42</f>
        <v>3822.013379152203</v>
      </c>
      <c r="K15" s="300">
        <f>Forecast_stock_figures!K42</f>
        <v>3886.3469314109389</v>
      </c>
      <c r="L15" s="300">
        <f>Forecast_stock_figures!L42</f>
        <v>3949.0410620806938</v>
      </c>
      <c r="M15" s="300">
        <f>Forecast_stock_figures!M42</f>
        <v>4005.3491520331768</v>
      </c>
      <c r="N15" s="300">
        <f>Forecast_stock_figures!N42</f>
        <v>4028.9808129980165</v>
      </c>
    </row>
    <row r="17" spans="1:9" ht="15.75">
      <c r="B17" s="333" t="s">
        <v>162</v>
      </c>
    </row>
    <row r="19" spans="1:9">
      <c r="B19" s="1327" t="str">
        <f>Stock_ages_breakdowns!B73</f>
        <v>Age group</v>
      </c>
      <c r="C19" s="1328" t="str">
        <f>Stock_ages_breakdowns!G73</f>
        <v>Business Studies</v>
      </c>
      <c r="D19" s="1329"/>
      <c r="H19" s="318" t="s">
        <v>133</v>
      </c>
    </row>
    <row r="20" spans="1:9">
      <c r="B20" s="1327"/>
      <c r="C20" s="356" t="str">
        <f>Stock_ages_breakdowns!G74</f>
        <v>Male</v>
      </c>
      <c r="D20" s="356" t="str">
        <f>Stock_ages_breakdowns!H74</f>
        <v>Female</v>
      </c>
    </row>
    <row r="21" spans="1:9">
      <c r="B21" s="356" t="str">
        <f>Stock_ages_breakdowns!B75</f>
        <v>20-24</v>
      </c>
      <c r="C21" s="324">
        <f>Stock_ages_breakdowns!G20</f>
        <v>33.761467769180427</v>
      </c>
      <c r="D21" s="324">
        <f>Stock_ages_breakdowns!H20</f>
        <v>55.889651038563471</v>
      </c>
    </row>
    <row r="22" spans="1:9">
      <c r="B22" s="356" t="str">
        <f>Stock_ages_breakdowns!B76</f>
        <v>25-29</v>
      </c>
      <c r="C22" s="324">
        <f>Stock_ages_breakdowns!G21</f>
        <v>161.6697301570899</v>
      </c>
      <c r="D22" s="324">
        <f>Stock_ages_breakdowns!H21</f>
        <v>271.17625160895625</v>
      </c>
    </row>
    <row r="23" spans="1:9">
      <c r="B23" s="356" t="str">
        <f>Stock_ages_breakdowns!B77</f>
        <v>30-34</v>
      </c>
      <c r="C23" s="324">
        <f>Stock_ages_breakdowns!G22</f>
        <v>337.20362167002759</v>
      </c>
      <c r="D23" s="324">
        <f>Stock_ages_breakdowns!H22</f>
        <v>424.88227019851763</v>
      </c>
    </row>
    <row r="24" spans="1:9">
      <c r="B24" s="356" t="str">
        <f>Stock_ages_breakdowns!B78</f>
        <v>35-39</v>
      </c>
      <c r="C24" s="324">
        <f>Stock_ages_breakdowns!G23</f>
        <v>315.04051859296931</v>
      </c>
      <c r="D24" s="324">
        <f>Stock_ages_breakdowns!H23</f>
        <v>449.27724784041698</v>
      </c>
    </row>
    <row r="25" spans="1:9">
      <c r="B25" s="356" t="str">
        <f>Stock_ages_breakdowns!B79</f>
        <v>40-44</v>
      </c>
      <c r="C25" s="324">
        <f>Stock_ages_breakdowns!G24</f>
        <v>275.55719090900863</v>
      </c>
      <c r="D25" s="324">
        <f>Stock_ages_breakdowns!H24</f>
        <v>390.10912571554695</v>
      </c>
    </row>
    <row r="26" spans="1:9">
      <c r="B26" s="356" t="str">
        <f>Stock_ages_breakdowns!B80</f>
        <v>45-49</v>
      </c>
      <c r="C26" s="324">
        <f>Stock_ages_breakdowns!G25</f>
        <v>264.6302842330411</v>
      </c>
      <c r="D26" s="324">
        <f>Stock_ages_breakdowns!H25</f>
        <v>312.34670485802485</v>
      </c>
    </row>
    <row r="27" spans="1:9">
      <c r="B27" s="356" t="str">
        <f>Stock_ages_breakdowns!B81</f>
        <v>50-54</v>
      </c>
      <c r="C27" s="324">
        <f>Stock_ages_breakdowns!G26</f>
        <v>198.25670922158992</v>
      </c>
      <c r="D27" s="324">
        <f>Stock_ages_breakdowns!H26</f>
        <v>244.82576473724541</v>
      </c>
    </row>
    <row r="28" spans="1:9">
      <c r="B28" s="356" t="str">
        <f>Stock_ages_breakdowns!B82</f>
        <v>55-59</v>
      </c>
      <c r="C28" s="324">
        <f>Stock_ages_breakdowns!G27</f>
        <v>117.72564646981925</v>
      </c>
      <c r="D28" s="324">
        <f>Stock_ages_breakdowns!H27</f>
        <v>121.6815618250248</v>
      </c>
    </row>
    <row r="29" spans="1:9">
      <c r="B29" s="356" t="str">
        <f>Stock_ages_breakdowns!B83</f>
        <v>60-64</v>
      </c>
      <c r="C29" s="324">
        <f>Stock_ages_breakdowns!G28</f>
        <v>27.766235645742817</v>
      </c>
      <c r="D29" s="324">
        <f>Stock_ages_breakdowns!H28</f>
        <v>27.49685427224837</v>
      </c>
      <c r="F29" s="318"/>
    </row>
    <row r="30" spans="1:9">
      <c r="B30" s="356" t="str">
        <f>Stock_ages_breakdowns!B84</f>
        <v>65 plus</v>
      </c>
      <c r="C30" s="324">
        <f>Stock_ages_breakdowns!G29</f>
        <v>5.6899332334772303</v>
      </c>
      <c r="D30" s="324">
        <f>Stock_ages_breakdowns!H29</f>
        <v>9.1579689900206027</v>
      </c>
      <c r="G30" s="319" t="s">
        <v>46</v>
      </c>
      <c r="H30" s="319" t="s">
        <v>47</v>
      </c>
    </row>
    <row r="31" spans="1:9">
      <c r="A31" s="302">
        <f>I31</f>
        <v>0</v>
      </c>
      <c r="B31" s="356" t="str">
        <f>Stock_ages_breakdowns!B85</f>
        <v>Total</v>
      </c>
      <c r="C31" s="324">
        <f>Stock_ages_breakdowns!G30</f>
        <v>1737.3013379019462</v>
      </c>
      <c r="D31" s="324">
        <f>Stock_ages_breakdowns!H30</f>
        <v>2306.8434010845654</v>
      </c>
      <c r="E31" s="320">
        <f>SUM(C31:D31)</f>
        <v>4044.1447389865116</v>
      </c>
      <c r="G31" s="359">
        <f>C31/$E$31</f>
        <v>0.42958436209118595</v>
      </c>
      <c r="H31" s="359">
        <f>D31/$E$31</f>
        <v>0.57041563790881411</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Business Studies</v>
      </c>
      <c r="C36" s="300">
        <f>Teacher_need_by_subject!C625</f>
        <v>3881.3803858866468</v>
      </c>
      <c r="D36" s="300">
        <f>Teacher_need_by_subject!D625</f>
        <v>3797.8888289148053</v>
      </c>
      <c r="E36" s="300">
        <f>Teacher_need_by_subject!E625</f>
        <v>3742.9101835736583</v>
      </c>
      <c r="F36" s="300">
        <f>Teacher_need_by_subject!F625</f>
        <v>3732.6662022919718</v>
      </c>
      <c r="G36" s="300">
        <f>Teacher_need_by_subject!G625</f>
        <v>3743.6928729263068</v>
      </c>
      <c r="H36" s="300">
        <f>Teacher_need_by_subject!H625</f>
        <v>3780.2009231604229</v>
      </c>
      <c r="I36" s="300">
        <f>Teacher_need_by_subject!I625</f>
        <v>3822.013379152203</v>
      </c>
      <c r="J36" s="300">
        <f>Teacher_need_by_subject!J625</f>
        <v>3886.3469314109389</v>
      </c>
      <c r="K36" s="300">
        <f>Teacher_need_by_subject!K625</f>
        <v>3949.0410620806938</v>
      </c>
      <c r="L36" s="300">
        <f>Teacher_need_by_subject!L625</f>
        <v>4005.3491520331768</v>
      </c>
      <c r="M36" s="300">
        <f>Teacher_need_by_subject!M625</f>
        <v>4028.9808129980165</v>
      </c>
      <c r="N36" s="300">
        <f>Teacher_need_by_subject!N625</f>
        <v>4020.706020224975</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33.761467769180427</v>
      </c>
      <c r="D43" s="300">
        <f t="shared" ref="D43:L43" si="2">C340</f>
        <v>52.778381153808191</v>
      </c>
      <c r="E43" s="300">
        <f t="shared" si="2"/>
        <v>73.192867351805205</v>
      </c>
      <c r="F43" s="300">
        <f t="shared" si="2"/>
        <v>90.66269563783429</v>
      </c>
      <c r="G43" s="300">
        <f t="shared" si="2"/>
        <v>107.5834271498492</v>
      </c>
      <c r="H43" s="300">
        <f t="shared" si="2"/>
        <v>121.85757355336246</v>
      </c>
      <c r="I43" s="300">
        <f t="shared" si="2"/>
        <v>134.92359307085744</v>
      </c>
      <c r="J43" s="300">
        <f t="shared" si="2"/>
        <v>145.16787145299148</v>
      </c>
      <c r="K43" s="300">
        <f t="shared" si="2"/>
        <v>155.34520164954546</v>
      </c>
      <c r="L43" s="300">
        <f t="shared" si="2"/>
        <v>163.04590151274243</v>
      </c>
      <c r="M43" s="300">
        <f t="shared" ref="M43:M53" si="3">L340</f>
        <v>168.42946554789592</v>
      </c>
      <c r="N43" s="300">
        <f t="shared" ref="N43:N53" si="4">M340</f>
        <v>169.18382973414748</v>
      </c>
    </row>
    <row r="44" spans="2:14">
      <c r="B44" s="356" t="str">
        <f t="shared" ref="B44:C53" si="5">B22</f>
        <v>25-29</v>
      </c>
      <c r="C44" s="300">
        <f t="shared" si="5"/>
        <v>161.6697301570899</v>
      </c>
      <c r="D44" s="300">
        <f t="shared" ref="D44:K53" si="6">C341</f>
        <v>152.66629676916585</v>
      </c>
      <c r="E44" s="300">
        <f t="shared" si="6"/>
        <v>157.07372739858204</v>
      </c>
      <c r="F44" s="300">
        <f t="shared" si="6"/>
        <v>166.88244416457496</v>
      </c>
      <c r="G44" s="300">
        <f t="shared" si="6"/>
        <v>181.98807850607812</v>
      </c>
      <c r="H44" s="300">
        <f t="shared" si="6"/>
        <v>198.40832884151553</v>
      </c>
      <c r="I44" s="300">
        <f t="shared" si="6"/>
        <v>215.96993204152028</v>
      </c>
      <c r="J44" s="300">
        <f t="shared" si="6"/>
        <v>232.1272037993453</v>
      </c>
      <c r="K44" s="300">
        <f t="shared" si="6"/>
        <v>248.71522531381373</v>
      </c>
      <c r="L44" s="300">
        <f t="shared" ref="L44:L53" si="7">K341</f>
        <v>263.12316515657767</v>
      </c>
      <c r="M44" s="300">
        <f t="shared" si="3"/>
        <v>274.91748460473718</v>
      </c>
      <c r="N44" s="300">
        <f t="shared" si="4"/>
        <v>281.33830153831173</v>
      </c>
    </row>
    <row r="45" spans="2:14">
      <c r="B45" s="356" t="str">
        <f t="shared" si="5"/>
        <v>30-34</v>
      </c>
      <c r="C45" s="300">
        <f t="shared" si="5"/>
        <v>337.20362167002759</v>
      </c>
      <c r="D45" s="300">
        <f t="shared" si="6"/>
        <v>295.2566527210156</v>
      </c>
      <c r="E45" s="300">
        <f t="shared" si="6"/>
        <v>266.59227511256881</v>
      </c>
      <c r="F45" s="300">
        <f t="shared" si="6"/>
        <v>247.11819499161732</v>
      </c>
      <c r="G45" s="300">
        <f t="shared" si="6"/>
        <v>237.05802298847536</v>
      </c>
      <c r="H45" s="300">
        <f t="shared" si="6"/>
        <v>233.58204525519403</v>
      </c>
      <c r="I45" s="300">
        <f t="shared" si="6"/>
        <v>235.58049936674411</v>
      </c>
      <c r="J45" s="300">
        <f t="shared" si="6"/>
        <v>240.86423891730564</v>
      </c>
      <c r="K45" s="300">
        <f t="shared" si="6"/>
        <v>249.30372795973923</v>
      </c>
      <c r="L45" s="300">
        <f t="shared" si="7"/>
        <v>258.93920695539987</v>
      </c>
      <c r="M45" s="300">
        <f t="shared" si="3"/>
        <v>268.76799073638784</v>
      </c>
      <c r="N45" s="300">
        <f t="shared" si="4"/>
        <v>276.73447884367783</v>
      </c>
    </row>
    <row r="46" spans="2:14">
      <c r="B46" s="356" t="str">
        <f t="shared" si="5"/>
        <v>35-39</v>
      </c>
      <c r="C46" s="300">
        <f t="shared" si="5"/>
        <v>315.04051859296931</v>
      </c>
      <c r="D46" s="300">
        <f t="shared" si="6"/>
        <v>307.55231248652854</v>
      </c>
      <c r="E46" s="300">
        <f t="shared" si="6"/>
        <v>297.57970433185528</v>
      </c>
      <c r="F46" s="300">
        <f t="shared" si="6"/>
        <v>285.32633988211711</v>
      </c>
      <c r="G46" s="300">
        <f t="shared" si="6"/>
        <v>274.6772781597395</v>
      </c>
      <c r="H46" s="300">
        <f t="shared" si="6"/>
        <v>265.78059572543754</v>
      </c>
      <c r="I46" s="300">
        <f t="shared" si="6"/>
        <v>259.65868507651993</v>
      </c>
      <c r="J46" s="300">
        <f t="shared" si="6"/>
        <v>255.87324766195951</v>
      </c>
      <c r="K46" s="300">
        <f t="shared" si="6"/>
        <v>255.16142219553831</v>
      </c>
      <c r="L46" s="300">
        <f t="shared" si="7"/>
        <v>256.40410745807344</v>
      </c>
      <c r="M46" s="300">
        <f t="shared" si="3"/>
        <v>259.10584342130369</v>
      </c>
      <c r="N46" s="300">
        <f t="shared" si="4"/>
        <v>261.79567411274041</v>
      </c>
    </row>
    <row r="47" spans="2:14">
      <c r="B47" s="356" t="str">
        <f t="shared" si="5"/>
        <v>40-44</v>
      </c>
      <c r="C47" s="300">
        <f t="shared" si="5"/>
        <v>275.55719090900863</v>
      </c>
      <c r="D47" s="300">
        <f t="shared" si="6"/>
        <v>270.29351123309095</v>
      </c>
      <c r="E47" s="300">
        <f t="shared" si="6"/>
        <v>268.05544874626611</v>
      </c>
      <c r="F47" s="300">
        <f t="shared" si="6"/>
        <v>264.86478290903676</v>
      </c>
      <c r="G47" s="300">
        <f t="shared" si="6"/>
        <v>262.11398103860722</v>
      </c>
      <c r="H47" s="300">
        <f t="shared" si="6"/>
        <v>258.89008915418395</v>
      </c>
      <c r="I47" s="300">
        <f t="shared" si="6"/>
        <v>255.85296954742984</v>
      </c>
      <c r="J47" s="300">
        <f t="shared" si="6"/>
        <v>252.82502173601401</v>
      </c>
      <c r="K47" s="300">
        <f t="shared" si="6"/>
        <v>250.85767382957724</v>
      </c>
      <c r="L47" s="300">
        <f t="shared" si="7"/>
        <v>249.45018118905102</v>
      </c>
      <c r="M47" s="300">
        <f t="shared" si="3"/>
        <v>248.62948081698099</v>
      </c>
      <c r="N47" s="300">
        <f t="shared" si="4"/>
        <v>247.53697349004565</v>
      </c>
    </row>
    <row r="48" spans="2:14">
      <c r="B48" s="356" t="str">
        <f t="shared" si="5"/>
        <v>45-49</v>
      </c>
      <c r="C48" s="300">
        <f t="shared" si="5"/>
        <v>264.6302842330411</v>
      </c>
      <c r="D48" s="300">
        <f t="shared" si="6"/>
        <v>251.18549315256297</v>
      </c>
      <c r="E48" s="300">
        <f t="shared" si="6"/>
        <v>242.9810396957532</v>
      </c>
      <c r="F48" s="300">
        <f t="shared" si="6"/>
        <v>236.67046235730979</v>
      </c>
      <c r="G48" s="300">
        <f t="shared" si="6"/>
        <v>233.0392309466591</v>
      </c>
      <c r="H48" s="300">
        <f t="shared" si="6"/>
        <v>230.49831448586403</v>
      </c>
      <c r="I48" s="300">
        <f t="shared" si="6"/>
        <v>228.83987005139164</v>
      </c>
      <c r="J48" s="300">
        <f t="shared" si="6"/>
        <v>227.34525367574153</v>
      </c>
      <c r="K48" s="300">
        <f t="shared" si="6"/>
        <v>226.47443899877791</v>
      </c>
      <c r="L48" s="300">
        <f t="shared" si="7"/>
        <v>225.61813553330165</v>
      </c>
      <c r="M48" s="300">
        <f t="shared" si="3"/>
        <v>224.72464614906951</v>
      </c>
      <c r="N48" s="300">
        <f t="shared" si="4"/>
        <v>223.12660811404879</v>
      </c>
    </row>
    <row r="49" spans="1:16">
      <c r="B49" s="356" t="str">
        <f t="shared" si="5"/>
        <v>50-54</v>
      </c>
      <c r="C49" s="300">
        <f t="shared" si="5"/>
        <v>198.25670922158992</v>
      </c>
      <c r="D49" s="300">
        <f t="shared" si="6"/>
        <v>192.81585669561557</v>
      </c>
      <c r="E49" s="300">
        <f t="shared" si="6"/>
        <v>188.54512682372427</v>
      </c>
      <c r="F49" s="300">
        <f t="shared" si="6"/>
        <v>184.08458099856401</v>
      </c>
      <c r="G49" s="300">
        <f t="shared" si="6"/>
        <v>180.99232327725423</v>
      </c>
      <c r="H49" s="300">
        <f t="shared" si="6"/>
        <v>178.6141090039944</v>
      </c>
      <c r="I49" s="300">
        <f t="shared" si="6"/>
        <v>177.06253677481411</v>
      </c>
      <c r="J49" s="300">
        <f t="shared" si="6"/>
        <v>175.87133426007995</v>
      </c>
      <c r="K49" s="300">
        <f t="shared" si="6"/>
        <v>175.33692130220558</v>
      </c>
      <c r="L49" s="300">
        <f t="shared" si="7"/>
        <v>174.9077214616473</v>
      </c>
      <c r="M49" s="300">
        <f t="shared" si="3"/>
        <v>174.44441116335375</v>
      </c>
      <c r="N49" s="300">
        <f t="shared" si="4"/>
        <v>173.36887848492273</v>
      </c>
    </row>
    <row r="50" spans="1:16">
      <c r="B50" s="356" t="str">
        <f t="shared" si="5"/>
        <v>55-59</v>
      </c>
      <c r="C50" s="300">
        <f t="shared" si="5"/>
        <v>117.72564646981925</v>
      </c>
      <c r="D50" s="300">
        <f t="shared" si="6"/>
        <v>104.33509399352701</v>
      </c>
      <c r="E50" s="300">
        <f t="shared" si="6"/>
        <v>96.544616838926501</v>
      </c>
      <c r="F50" s="300">
        <f t="shared" si="6"/>
        <v>91.407448396337287</v>
      </c>
      <c r="G50" s="300">
        <f t="shared" si="6"/>
        <v>88.313688623623875</v>
      </c>
      <c r="H50" s="300">
        <f t="shared" si="6"/>
        <v>86.280713420541417</v>
      </c>
      <c r="I50" s="300">
        <f t="shared" si="6"/>
        <v>85.076810174458558</v>
      </c>
      <c r="J50" s="300">
        <f t="shared" si="6"/>
        <v>84.249261041608847</v>
      </c>
      <c r="K50" s="300">
        <f t="shared" si="6"/>
        <v>83.943994791880286</v>
      </c>
      <c r="L50" s="300">
        <f t="shared" si="7"/>
        <v>83.74704860354521</v>
      </c>
      <c r="M50" s="300">
        <f t="shared" si="3"/>
        <v>83.559095496900994</v>
      </c>
      <c r="N50" s="300">
        <f t="shared" si="4"/>
        <v>82.994599986609614</v>
      </c>
    </row>
    <row r="51" spans="1:16">
      <c r="B51" s="356" t="str">
        <f t="shared" si="5"/>
        <v>60-64</v>
      </c>
      <c r="C51" s="300">
        <f t="shared" si="5"/>
        <v>27.766235645742817</v>
      </c>
      <c r="D51" s="300">
        <f t="shared" si="6"/>
        <v>31.114480812272589</v>
      </c>
      <c r="E51" s="300">
        <f t="shared" si="6"/>
        <v>31.644470673897953</v>
      </c>
      <c r="F51" s="300">
        <f t="shared" si="6"/>
        <v>31.043222949929536</v>
      </c>
      <c r="G51" s="300">
        <f t="shared" si="6"/>
        <v>30.410466932307223</v>
      </c>
      <c r="H51" s="300">
        <f t="shared" si="6"/>
        <v>29.841735935119839</v>
      </c>
      <c r="I51" s="300">
        <f t="shared" si="6"/>
        <v>29.483596968845866</v>
      </c>
      <c r="J51" s="300">
        <f t="shared" si="6"/>
        <v>29.213133583617555</v>
      </c>
      <c r="K51" s="300">
        <f t="shared" si="6"/>
        <v>29.158779063091568</v>
      </c>
      <c r="L51" s="300">
        <f t="shared" si="7"/>
        <v>29.126277795931895</v>
      </c>
      <c r="M51" s="300">
        <f t="shared" si="3"/>
        <v>29.082056430515273</v>
      </c>
      <c r="N51" s="300">
        <f t="shared" si="4"/>
        <v>28.840815004058641</v>
      </c>
    </row>
    <row r="52" spans="1:16">
      <c r="B52" s="356" t="str">
        <f t="shared" si="5"/>
        <v>65 plus</v>
      </c>
      <c r="C52" s="300">
        <f t="shared" si="5"/>
        <v>5.6899332334772303</v>
      </c>
      <c r="D52" s="300">
        <f t="shared" si="6"/>
        <v>7.3128721928029208</v>
      </c>
      <c r="E52" s="300">
        <f t="shared" si="6"/>
        <v>8.8673573599219857</v>
      </c>
      <c r="F52" s="300">
        <f t="shared" si="6"/>
        <v>9.8833558138753954</v>
      </c>
      <c r="G52" s="300">
        <f t="shared" si="6"/>
        <v>10.535847447206825</v>
      </c>
      <c r="H52" s="300">
        <f t="shared" si="6"/>
        <v>10.898211631161175</v>
      </c>
      <c r="I52" s="300">
        <f t="shared" si="6"/>
        <v>11.106197705299055</v>
      </c>
      <c r="J52" s="300">
        <f t="shared" si="6"/>
        <v>11.208532239393541</v>
      </c>
      <c r="K52" s="300">
        <f t="shared" si="6"/>
        <v>11.294837699943509</v>
      </c>
      <c r="L52" s="300">
        <f t="shared" si="7"/>
        <v>11.350633519511051</v>
      </c>
      <c r="M52" s="300">
        <f t="shared" si="3"/>
        <v>11.379611957063771</v>
      </c>
      <c r="N52" s="300">
        <f t="shared" si="4"/>
        <v>11.333166711135284</v>
      </c>
    </row>
    <row r="53" spans="1:16">
      <c r="B53" s="356" t="str">
        <f t="shared" si="5"/>
        <v>Total</v>
      </c>
      <c r="C53" s="300">
        <f t="shared" si="5"/>
        <v>1737.3013379019462</v>
      </c>
      <c r="D53" s="300">
        <f t="shared" si="6"/>
        <v>1665.3109512103899</v>
      </c>
      <c r="E53" s="300">
        <f t="shared" si="6"/>
        <v>1631.0766343333014</v>
      </c>
      <c r="F53" s="300">
        <f t="shared" si="6"/>
        <v>1607.9435281011965</v>
      </c>
      <c r="G53" s="300">
        <f t="shared" si="6"/>
        <v>1606.7123450698007</v>
      </c>
      <c r="H53" s="300">
        <f t="shared" si="6"/>
        <v>1614.6517170063742</v>
      </c>
      <c r="I53" s="300">
        <f t="shared" si="6"/>
        <v>1633.554690777881</v>
      </c>
      <c r="J53" s="300">
        <f t="shared" si="6"/>
        <v>1654.7450983680571</v>
      </c>
      <c r="K53" s="300">
        <f t="shared" si="6"/>
        <v>1685.5922228041127</v>
      </c>
      <c r="L53" s="300">
        <f t="shared" si="7"/>
        <v>1715.7123791857816</v>
      </c>
      <c r="M53" s="300">
        <f t="shared" si="3"/>
        <v>1743.0400863242089</v>
      </c>
      <c r="N53" s="300">
        <f t="shared" si="4"/>
        <v>1756.2533260196985</v>
      </c>
    </row>
    <row r="54" spans="1:16">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6">
      <c r="B56" s="334" t="s">
        <v>47</v>
      </c>
      <c r="H56" s="318"/>
    </row>
    <row r="57" spans="1:16">
      <c r="H57" s="318"/>
    </row>
    <row r="58" spans="1:16">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6">
      <c r="B59" s="331" t="str">
        <f t="shared" si="9"/>
        <v>20-24</v>
      </c>
      <c r="C59" s="300">
        <f t="shared" ref="C59:C69" si="11">D21</f>
        <v>55.889651038563471</v>
      </c>
      <c r="D59" s="300">
        <f t="shared" ref="D59:L59" si="12">C356</f>
        <v>78.101658201853809</v>
      </c>
      <c r="E59" s="300">
        <f t="shared" si="12"/>
        <v>102.89387003082226</v>
      </c>
      <c r="F59" s="300">
        <f t="shared" si="12"/>
        <v>124.65611355364267</v>
      </c>
      <c r="G59" s="300">
        <f t="shared" si="12"/>
        <v>145.79858792021213</v>
      </c>
      <c r="H59" s="300">
        <f t="shared" si="12"/>
        <v>163.80906388565541</v>
      </c>
      <c r="I59" s="300">
        <f t="shared" si="12"/>
        <v>180.48590660210718</v>
      </c>
      <c r="J59" s="300">
        <f t="shared" si="12"/>
        <v>193.60703696245736</v>
      </c>
      <c r="K59" s="300">
        <f t="shared" si="12"/>
        <v>206.77549736749376</v>
      </c>
      <c r="L59" s="300">
        <f t="shared" si="12"/>
        <v>216.75127272967248</v>
      </c>
      <c r="M59" s="300">
        <f t="shared" ref="M59:M69" si="13">L356</f>
        <v>223.71930794869402</v>
      </c>
      <c r="N59" s="300">
        <f t="shared" ref="N59:N69" si="14">M356</f>
        <v>224.59059204938188</v>
      </c>
      <c r="O59" s="320"/>
      <c r="P59" s="320"/>
    </row>
    <row r="60" spans="1:16">
      <c r="B60" s="331" t="str">
        <f t="shared" si="9"/>
        <v>25-29</v>
      </c>
      <c r="C60" s="300">
        <f t="shared" si="11"/>
        <v>271.17625160895625</v>
      </c>
      <c r="D60" s="300">
        <f t="shared" ref="D60:K69" si="15">C357</f>
        <v>246.27035323819356</v>
      </c>
      <c r="E60" s="300">
        <f t="shared" si="15"/>
        <v>241.45528552830609</v>
      </c>
      <c r="F60" s="300">
        <f t="shared" si="15"/>
        <v>246.63232641396488</v>
      </c>
      <c r="G60" s="300">
        <f t="shared" si="15"/>
        <v>260.13128202147283</v>
      </c>
      <c r="H60" s="300">
        <f t="shared" si="15"/>
        <v>276.91417852665052</v>
      </c>
      <c r="I60" s="300">
        <f t="shared" si="15"/>
        <v>296.3923306563334</v>
      </c>
      <c r="J60" s="300">
        <f t="shared" si="15"/>
        <v>314.90570420867863</v>
      </c>
      <c r="K60" s="300">
        <f t="shared" si="15"/>
        <v>334.68044565146113</v>
      </c>
      <c r="L60" s="300">
        <f t="shared" ref="L60:L69" si="16">K357</f>
        <v>352.0825097822966</v>
      </c>
      <c r="M60" s="300">
        <f t="shared" si="13"/>
        <v>366.41462648223376</v>
      </c>
      <c r="N60" s="300">
        <f t="shared" si="14"/>
        <v>373.92019738761405</v>
      </c>
      <c r="O60" s="320"/>
      <c r="P60" s="320"/>
    </row>
    <row r="61" spans="1:16">
      <c r="B61" s="331" t="str">
        <f t="shared" si="9"/>
        <v>30-34</v>
      </c>
      <c r="C61" s="300">
        <f t="shared" si="11"/>
        <v>424.88227019851763</v>
      </c>
      <c r="D61" s="300">
        <f t="shared" si="15"/>
        <v>382.05559334637525</v>
      </c>
      <c r="E61" s="300">
        <f t="shared" si="15"/>
        <v>350.45449376530615</v>
      </c>
      <c r="F61" s="300">
        <f t="shared" si="15"/>
        <v>328.12678340244122</v>
      </c>
      <c r="G61" s="300">
        <f t="shared" si="15"/>
        <v>315.37483943180598</v>
      </c>
      <c r="H61" s="300">
        <f t="shared" si="15"/>
        <v>310.08803282575894</v>
      </c>
      <c r="I61" s="300">
        <f t="shared" si="15"/>
        <v>311.31992603203241</v>
      </c>
      <c r="J61" s="300">
        <f t="shared" si="15"/>
        <v>316.50051660497309</v>
      </c>
      <c r="K61" s="300">
        <f t="shared" si="15"/>
        <v>325.69255278316501</v>
      </c>
      <c r="L61" s="300">
        <f t="shared" si="16"/>
        <v>336.42284444347825</v>
      </c>
      <c r="M61" s="300">
        <f t="shared" si="13"/>
        <v>347.46002734412474</v>
      </c>
      <c r="N61" s="300">
        <f t="shared" si="14"/>
        <v>356.14102203791117</v>
      </c>
      <c r="O61" s="320"/>
      <c r="P61" s="320"/>
    </row>
    <row r="62" spans="1:16">
      <c r="B62" s="331" t="str">
        <f t="shared" si="9"/>
        <v>35-39</v>
      </c>
      <c r="C62" s="300">
        <f t="shared" si="11"/>
        <v>449.27724784041698</v>
      </c>
      <c r="D62" s="300">
        <f t="shared" si="15"/>
        <v>424.01770711522869</v>
      </c>
      <c r="E62" s="300">
        <f t="shared" si="15"/>
        <v>400.79959380138393</v>
      </c>
      <c r="F62" s="300">
        <f t="shared" si="15"/>
        <v>379.03239745265921</v>
      </c>
      <c r="G62" s="300">
        <f t="shared" si="15"/>
        <v>360.78675556488639</v>
      </c>
      <c r="H62" s="300">
        <f t="shared" si="15"/>
        <v>346.22180091305637</v>
      </c>
      <c r="I62" s="300">
        <f t="shared" si="15"/>
        <v>336.06170425004052</v>
      </c>
      <c r="J62" s="300">
        <f t="shared" si="15"/>
        <v>329.3471426065833</v>
      </c>
      <c r="K62" s="300">
        <f t="shared" si="15"/>
        <v>326.85302405350109</v>
      </c>
      <c r="L62" s="300">
        <f t="shared" si="16"/>
        <v>326.97842201984628</v>
      </c>
      <c r="M62" s="300">
        <f t="shared" si="13"/>
        <v>329.02350501555372</v>
      </c>
      <c r="N62" s="300">
        <f t="shared" si="14"/>
        <v>331.03137359683649</v>
      </c>
      <c r="O62" s="320"/>
      <c r="P62" s="320"/>
    </row>
    <row r="63" spans="1:16">
      <c r="B63" s="331" t="str">
        <f t="shared" si="9"/>
        <v>40-44</v>
      </c>
      <c r="C63" s="300">
        <f t="shared" si="11"/>
        <v>390.10912571554695</v>
      </c>
      <c r="D63" s="300">
        <f t="shared" si="15"/>
        <v>382.41921456245484</v>
      </c>
      <c r="E63" s="300">
        <f t="shared" si="15"/>
        <v>374.92223319007286</v>
      </c>
      <c r="F63" s="300">
        <f t="shared" si="15"/>
        <v>366.06740531980842</v>
      </c>
      <c r="G63" s="300">
        <f t="shared" si="15"/>
        <v>357.11657682896407</v>
      </c>
      <c r="H63" s="300">
        <f t="shared" si="15"/>
        <v>348.21776876354437</v>
      </c>
      <c r="I63" s="300">
        <f t="shared" si="15"/>
        <v>340.31481879113755</v>
      </c>
      <c r="J63" s="300">
        <f t="shared" si="15"/>
        <v>333.10123064838467</v>
      </c>
      <c r="K63" s="300">
        <f t="shared" si="15"/>
        <v>327.85329467610279</v>
      </c>
      <c r="L63" s="300">
        <f t="shared" si="16"/>
        <v>323.77520228432462</v>
      </c>
      <c r="M63" s="300">
        <f t="shared" si="13"/>
        <v>320.78904068004306</v>
      </c>
      <c r="N63" s="300">
        <f t="shared" si="14"/>
        <v>317.66403036947224</v>
      </c>
      <c r="O63" s="320"/>
      <c r="P63" s="320"/>
    </row>
    <row r="64" spans="1:16">
      <c r="B64" s="331" t="str">
        <f t="shared" si="9"/>
        <v>45-49</v>
      </c>
      <c r="C64" s="300">
        <f t="shared" si="11"/>
        <v>312.34670485802485</v>
      </c>
      <c r="D64" s="300">
        <f t="shared" si="15"/>
        <v>308.53489623594123</v>
      </c>
      <c r="E64" s="300">
        <f t="shared" si="15"/>
        <v>306.60917605663951</v>
      </c>
      <c r="F64" s="300">
        <f t="shared" si="15"/>
        <v>304.52777683964848</v>
      </c>
      <c r="G64" s="300">
        <f t="shared" si="15"/>
        <v>302.60100016681622</v>
      </c>
      <c r="H64" s="300">
        <f t="shared" si="15"/>
        <v>300.40057092006282</v>
      </c>
      <c r="I64" s="300">
        <f t="shared" si="15"/>
        <v>298.23852460974882</v>
      </c>
      <c r="J64" s="300">
        <f t="shared" si="15"/>
        <v>295.59992910838628</v>
      </c>
      <c r="K64" s="300">
        <f t="shared" si="15"/>
        <v>293.40751542863433</v>
      </c>
      <c r="L64" s="300">
        <f t="shared" si="16"/>
        <v>291.05120301000198</v>
      </c>
      <c r="M64" s="300">
        <f t="shared" si="13"/>
        <v>288.58874701117543</v>
      </c>
      <c r="N64" s="300">
        <f t="shared" si="14"/>
        <v>285.20545537941302</v>
      </c>
      <c r="O64" s="320"/>
      <c r="P64" s="320"/>
    </row>
    <row r="65" spans="1:16">
      <c r="B65" s="331" t="str">
        <f t="shared" si="9"/>
        <v>50-54</v>
      </c>
      <c r="C65" s="300">
        <f t="shared" si="11"/>
        <v>244.82576473724541</v>
      </c>
      <c r="D65" s="300">
        <f t="shared" si="15"/>
        <v>236.47304191358685</v>
      </c>
      <c r="E65" s="300">
        <f t="shared" si="15"/>
        <v>231.53740233742042</v>
      </c>
      <c r="F65" s="300">
        <f t="shared" si="15"/>
        <v>228.19563572461226</v>
      </c>
      <c r="G65" s="300">
        <f t="shared" si="15"/>
        <v>226.34087277307975</v>
      </c>
      <c r="H65" s="300">
        <f t="shared" si="15"/>
        <v>225.29844965589723</v>
      </c>
      <c r="I65" s="300">
        <f t="shared" si="15"/>
        <v>224.95035977452841</v>
      </c>
      <c r="J65" s="300">
        <f t="shared" si="15"/>
        <v>224.59210615912997</v>
      </c>
      <c r="K65" s="300">
        <f t="shared" si="15"/>
        <v>224.63667388503421</v>
      </c>
      <c r="L65" s="300">
        <f t="shared" si="16"/>
        <v>224.4191422845559</v>
      </c>
      <c r="M65" s="300">
        <f t="shared" si="13"/>
        <v>223.8396439834404</v>
      </c>
      <c r="N65" s="300">
        <f t="shared" si="14"/>
        <v>222.21353398116739</v>
      </c>
      <c r="O65" s="320"/>
      <c r="P65" s="320"/>
    </row>
    <row r="66" spans="1:16">
      <c r="B66" s="331" t="str">
        <f t="shared" si="9"/>
        <v>55-59</v>
      </c>
      <c r="C66" s="300">
        <f t="shared" si="11"/>
        <v>121.6815618250248</v>
      </c>
      <c r="D66" s="300">
        <f t="shared" si="15"/>
        <v>115.96311852874868</v>
      </c>
      <c r="E66" s="300">
        <f t="shared" si="15"/>
        <v>112.32740562694107</v>
      </c>
      <c r="F66" s="300">
        <f t="shared" si="15"/>
        <v>109.79106395255671</v>
      </c>
      <c r="G66" s="300">
        <f t="shared" si="15"/>
        <v>108.3921918985905</v>
      </c>
      <c r="H66" s="300">
        <f t="shared" si="15"/>
        <v>107.65820274521549</v>
      </c>
      <c r="I66" s="300">
        <f t="shared" si="15"/>
        <v>107.55937732763418</v>
      </c>
      <c r="J66" s="300">
        <f t="shared" si="15"/>
        <v>107.62157875644247</v>
      </c>
      <c r="K66" s="300">
        <f t="shared" si="15"/>
        <v>108.10008984098265</v>
      </c>
      <c r="L66" s="300">
        <f t="shared" si="16"/>
        <v>108.48641290582503</v>
      </c>
      <c r="M66" s="300">
        <f t="shared" si="13"/>
        <v>108.68140258724009</v>
      </c>
      <c r="N66" s="300">
        <f t="shared" si="14"/>
        <v>108.20527786632974</v>
      </c>
      <c r="O66" s="320"/>
      <c r="P66" s="320"/>
    </row>
    <row r="67" spans="1:16">
      <c r="B67" s="331" t="str">
        <f t="shared" si="9"/>
        <v>60-64</v>
      </c>
      <c r="C67" s="300">
        <f t="shared" si="11"/>
        <v>27.49685427224837</v>
      </c>
      <c r="D67" s="300">
        <f t="shared" si="15"/>
        <v>32.136263693567294</v>
      </c>
      <c r="E67" s="300">
        <f t="shared" si="15"/>
        <v>34.35353516257387</v>
      </c>
      <c r="F67" s="300">
        <f t="shared" si="15"/>
        <v>35.265088123614319</v>
      </c>
      <c r="G67" s="300">
        <f t="shared" si="15"/>
        <v>35.756518080313775</v>
      </c>
      <c r="H67" s="300">
        <f t="shared" si="15"/>
        <v>36.030099882672012</v>
      </c>
      <c r="I67" s="300">
        <f t="shared" si="15"/>
        <v>36.333033672704204</v>
      </c>
      <c r="J67" s="300">
        <f t="shared" si="15"/>
        <v>36.564288650240584</v>
      </c>
      <c r="K67" s="300">
        <f t="shared" si="15"/>
        <v>36.942829418125378</v>
      </c>
      <c r="L67" s="300">
        <f t="shared" si="16"/>
        <v>37.242992244711949</v>
      </c>
      <c r="M67" s="300">
        <f t="shared" si="13"/>
        <v>37.44250800149586</v>
      </c>
      <c r="N67" s="300">
        <f t="shared" si="14"/>
        <v>37.311017613463804</v>
      </c>
      <c r="O67" s="320"/>
      <c r="P67" s="320"/>
    </row>
    <row r="68" spans="1:16">
      <c r="B68" s="331" t="str">
        <f t="shared" si="9"/>
        <v>65 plus</v>
      </c>
      <c r="C68" s="300">
        <f t="shared" si="11"/>
        <v>9.1579689900206027</v>
      </c>
      <c r="D68" s="300">
        <f t="shared" si="15"/>
        <v>10.097587840306202</v>
      </c>
      <c r="E68" s="300">
        <f t="shared" si="15"/>
        <v>11.459199082037543</v>
      </c>
      <c r="F68" s="300">
        <f t="shared" si="15"/>
        <v>12.672064689513528</v>
      </c>
      <c r="G68" s="300">
        <f t="shared" si="15"/>
        <v>13.65523253602956</v>
      </c>
      <c r="H68" s="300">
        <f t="shared" si="15"/>
        <v>14.402987801419279</v>
      </c>
      <c r="I68" s="300">
        <f t="shared" si="15"/>
        <v>14.99025066627528</v>
      </c>
      <c r="J68" s="300">
        <f t="shared" si="15"/>
        <v>15.428747078869209</v>
      </c>
      <c r="K68" s="300">
        <f t="shared" si="15"/>
        <v>15.812785502325697</v>
      </c>
      <c r="L68" s="300">
        <f t="shared" si="16"/>
        <v>16.118681190199375</v>
      </c>
      <c r="M68" s="300">
        <f t="shared" si="13"/>
        <v>16.350256654967005</v>
      </c>
      <c r="N68" s="300">
        <f t="shared" si="14"/>
        <v>16.444986696728726</v>
      </c>
      <c r="O68" s="320"/>
      <c r="P68" s="320"/>
    </row>
    <row r="69" spans="1:16">
      <c r="B69" s="331" t="str">
        <f t="shared" si="9"/>
        <v>Total</v>
      </c>
      <c r="C69" s="300">
        <f t="shared" si="11"/>
        <v>2306.8434010845654</v>
      </c>
      <c r="D69" s="300">
        <f t="shared" si="15"/>
        <v>2216.0694346762557</v>
      </c>
      <c r="E69" s="300">
        <f t="shared" si="15"/>
        <v>2166.8121945815037</v>
      </c>
      <c r="F69" s="300">
        <f t="shared" si="15"/>
        <v>2134.9666554724618</v>
      </c>
      <c r="G69" s="300">
        <f t="shared" si="15"/>
        <v>2125.9538572221713</v>
      </c>
      <c r="H69" s="300">
        <f t="shared" si="15"/>
        <v>2129.0411559199324</v>
      </c>
      <c r="I69" s="300">
        <f t="shared" si="15"/>
        <v>2146.6462323825413</v>
      </c>
      <c r="J69" s="300">
        <f t="shared" si="15"/>
        <v>2167.2682807841456</v>
      </c>
      <c r="K69" s="300">
        <f t="shared" si="15"/>
        <v>2200.7547086068257</v>
      </c>
      <c r="L69" s="300">
        <f t="shared" si="16"/>
        <v>2233.3286828949122</v>
      </c>
      <c r="M69" s="300">
        <f t="shared" si="13"/>
        <v>2262.3090657089674</v>
      </c>
      <c r="N69" s="300">
        <f t="shared" si="14"/>
        <v>2272.7274869783182</v>
      </c>
      <c r="O69" s="320"/>
      <c r="P69" s="320"/>
    </row>
    <row r="70" spans="1:16">
      <c r="A70" s="302">
        <f>SUM(C70:N70)</f>
        <v>0</v>
      </c>
      <c r="C70" s="302">
        <f t="shared" ref="C70:N70" si="17">SUM(C59:C68)-C69</f>
        <v>0</v>
      </c>
      <c r="D70" s="302">
        <f t="shared" si="17"/>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6" ht="15.75">
      <c r="B72" s="333" t="s">
        <v>163</v>
      </c>
      <c r="H72" s="318"/>
    </row>
    <row r="73" spans="1:16">
      <c r="H73" s="318"/>
    </row>
    <row r="74" spans="1:16">
      <c r="B74" s="334" t="s">
        <v>46</v>
      </c>
      <c r="C74" s="256" t="s">
        <v>456</v>
      </c>
      <c r="H74" s="318"/>
    </row>
    <row r="75" spans="1:16">
      <c r="H75" s="318"/>
    </row>
    <row r="76" spans="1:16">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6">
      <c r="B77" s="331" t="str">
        <f t="shared" si="18"/>
        <v>20-24</v>
      </c>
      <c r="C77" s="447">
        <f>C43-(0.2*C43)</f>
        <v>27.009174215344341</v>
      </c>
      <c r="D77" s="447">
        <f>D43-(0.2*D43)</f>
        <v>42.22270492304655</v>
      </c>
      <c r="E77" s="447">
        <f t="shared" ref="E77:N77" si="20">E43-(0.2*E43)</f>
        <v>58.554293881444167</v>
      </c>
      <c r="F77" s="447">
        <f t="shared" si="20"/>
        <v>72.530156510267432</v>
      </c>
      <c r="G77" s="447">
        <f t="shared" si="20"/>
        <v>86.06674171987936</v>
      </c>
      <c r="H77" s="447">
        <f t="shared" si="20"/>
        <v>97.486058842689971</v>
      </c>
      <c r="I77" s="447">
        <f t="shared" si="20"/>
        <v>107.93887445668595</v>
      </c>
      <c r="J77" s="447">
        <f t="shared" si="20"/>
        <v>116.13429716239318</v>
      </c>
      <c r="K77" s="447">
        <f t="shared" si="20"/>
        <v>124.27616131963637</v>
      </c>
      <c r="L77" s="447">
        <f t="shared" si="20"/>
        <v>130.43672121019395</v>
      </c>
      <c r="M77" s="447">
        <f t="shared" si="20"/>
        <v>134.74357243831673</v>
      </c>
      <c r="N77" s="447">
        <f t="shared" si="20"/>
        <v>135.34706378731798</v>
      </c>
      <c r="O77" s="320"/>
    </row>
    <row r="78" spans="1:16">
      <c r="B78" s="331" t="str">
        <f t="shared" si="18"/>
        <v>25-29</v>
      </c>
      <c r="C78" s="447">
        <f t="shared" ref="C78:C85" si="21">C44+(0.2*C43)-(0.2*C44)</f>
        <v>136.08807767950802</v>
      </c>
      <c r="D78" s="447">
        <f t="shared" ref="D78:N78" si="22">D44+(0.2*D43)-(0.2*D44)</f>
        <v>132.6887136460943</v>
      </c>
      <c r="E78" s="447">
        <f t="shared" si="22"/>
        <v>140.29755538922669</v>
      </c>
      <c r="F78" s="447">
        <f t="shared" si="22"/>
        <v>151.63849445922685</v>
      </c>
      <c r="G78" s="447">
        <f t="shared" si="22"/>
        <v>167.10714823483232</v>
      </c>
      <c r="H78" s="447">
        <f t="shared" si="22"/>
        <v>183.09817778388492</v>
      </c>
      <c r="I78" s="447">
        <f t="shared" si="22"/>
        <v>199.76066424738772</v>
      </c>
      <c r="J78" s="447">
        <f t="shared" si="22"/>
        <v>214.73533733007457</v>
      </c>
      <c r="K78" s="447">
        <f t="shared" si="22"/>
        <v>230.0412205809601</v>
      </c>
      <c r="L78" s="447">
        <f t="shared" si="22"/>
        <v>243.10771242781064</v>
      </c>
      <c r="M78" s="447">
        <f t="shared" si="22"/>
        <v>253.61988079336894</v>
      </c>
      <c r="N78" s="447">
        <f t="shared" si="22"/>
        <v>258.90740717747883</v>
      </c>
      <c r="O78" s="320"/>
    </row>
    <row r="79" spans="1:16">
      <c r="B79" s="331" t="str">
        <f t="shared" si="18"/>
        <v>30-34</v>
      </c>
      <c r="C79" s="447">
        <f t="shared" si="21"/>
        <v>302.0968433674401</v>
      </c>
      <c r="D79" s="447">
        <f t="shared" ref="D79:N79" si="23">D45+(0.2*D44)-(0.2*D45)</f>
        <v>266.73858153064566</v>
      </c>
      <c r="E79" s="447">
        <f t="shared" si="23"/>
        <v>244.68856556977147</v>
      </c>
      <c r="F79" s="447">
        <f t="shared" si="23"/>
        <v>231.07104482620886</v>
      </c>
      <c r="G79" s="447">
        <f t="shared" si="23"/>
        <v>226.04403409199591</v>
      </c>
      <c r="H79" s="447">
        <f t="shared" si="23"/>
        <v>226.54730197245834</v>
      </c>
      <c r="I79" s="447">
        <f t="shared" si="23"/>
        <v>231.65838590169935</v>
      </c>
      <c r="J79" s="447">
        <f t="shared" si="23"/>
        <v>239.1168318937136</v>
      </c>
      <c r="K79" s="447">
        <f t="shared" si="23"/>
        <v>249.18602743055411</v>
      </c>
      <c r="L79" s="447">
        <f t="shared" si="23"/>
        <v>259.77599859563543</v>
      </c>
      <c r="M79" s="447">
        <f t="shared" si="23"/>
        <v>269.99788951005775</v>
      </c>
      <c r="N79" s="447">
        <f t="shared" si="23"/>
        <v>277.65524338260462</v>
      </c>
      <c r="O79" s="320"/>
    </row>
    <row r="80" spans="1:16">
      <c r="B80" s="331" t="str">
        <f t="shared" si="18"/>
        <v>35-39</v>
      </c>
      <c r="C80" s="447">
        <f t="shared" si="21"/>
        <v>319.47313920838093</v>
      </c>
      <c r="D80" s="447">
        <f t="shared" ref="D80:N80" si="24">D46+(0.2*D45)-(0.2*D46)</f>
        <v>305.09318053342594</v>
      </c>
      <c r="E80" s="447">
        <f t="shared" si="24"/>
        <v>291.38221848799799</v>
      </c>
      <c r="F80" s="447">
        <f t="shared" si="24"/>
        <v>277.68471090401715</v>
      </c>
      <c r="G80" s="447">
        <f t="shared" si="24"/>
        <v>267.1534271254867</v>
      </c>
      <c r="H80" s="447">
        <f t="shared" si="24"/>
        <v>259.3408856313888</v>
      </c>
      <c r="I80" s="447">
        <f t="shared" si="24"/>
        <v>254.84304793456479</v>
      </c>
      <c r="J80" s="447">
        <f t="shared" si="24"/>
        <v>252.87144591302874</v>
      </c>
      <c r="K80" s="447">
        <f t="shared" si="24"/>
        <v>253.98988334837853</v>
      </c>
      <c r="L80" s="447">
        <f t="shared" si="24"/>
        <v>256.9111273575387</v>
      </c>
      <c r="M80" s="447">
        <f t="shared" si="24"/>
        <v>261.03827288432052</v>
      </c>
      <c r="N80" s="447">
        <f t="shared" si="24"/>
        <v>264.78343505892792</v>
      </c>
      <c r="O80" s="320"/>
    </row>
    <row r="81" spans="1:15">
      <c r="B81" s="331" t="str">
        <f t="shared" si="18"/>
        <v>40-44</v>
      </c>
      <c r="C81" s="447">
        <f t="shared" si="21"/>
        <v>283.45385644580074</v>
      </c>
      <c r="D81" s="447">
        <f t="shared" ref="D81:N81" si="25">D47+(0.2*D46)-(0.2*D47)</f>
        <v>277.74527148377842</v>
      </c>
      <c r="E81" s="447">
        <f t="shared" si="25"/>
        <v>273.96029986338397</v>
      </c>
      <c r="F81" s="447">
        <f t="shared" si="25"/>
        <v>268.95709430365287</v>
      </c>
      <c r="G81" s="447">
        <f t="shared" si="25"/>
        <v>264.62664046283368</v>
      </c>
      <c r="H81" s="447">
        <f t="shared" si="25"/>
        <v>260.26819046843468</v>
      </c>
      <c r="I81" s="447">
        <f t="shared" si="25"/>
        <v>256.61411265324784</v>
      </c>
      <c r="J81" s="447">
        <f t="shared" si="25"/>
        <v>253.4346669212031</v>
      </c>
      <c r="K81" s="447">
        <f t="shared" si="25"/>
        <v>251.71842350276944</v>
      </c>
      <c r="L81" s="447">
        <f t="shared" si="25"/>
        <v>250.84096644285552</v>
      </c>
      <c r="M81" s="447">
        <f t="shared" si="25"/>
        <v>250.72475333784553</v>
      </c>
      <c r="N81" s="447">
        <f t="shared" si="25"/>
        <v>250.38871361458462</v>
      </c>
      <c r="O81" s="320"/>
    </row>
    <row r="82" spans="1:15">
      <c r="B82" s="331" t="str">
        <f t="shared" si="18"/>
        <v>45-49</v>
      </c>
      <c r="C82" s="447">
        <f t="shared" si="21"/>
        <v>266.81566556823458</v>
      </c>
      <c r="D82" s="447">
        <f t="shared" ref="D82:N82" si="26">D48+(0.2*D47)-(0.2*D48)</f>
        <v>255.00709676866859</v>
      </c>
      <c r="E82" s="447">
        <f t="shared" si="26"/>
        <v>247.99592150585579</v>
      </c>
      <c r="F82" s="447">
        <f t="shared" si="26"/>
        <v>242.30932646765521</v>
      </c>
      <c r="G82" s="447">
        <f t="shared" si="26"/>
        <v>238.85418096504873</v>
      </c>
      <c r="H82" s="447">
        <f t="shared" si="26"/>
        <v>236.176669419528</v>
      </c>
      <c r="I82" s="447">
        <f t="shared" si="26"/>
        <v>234.24248995059926</v>
      </c>
      <c r="J82" s="447">
        <f t="shared" si="26"/>
        <v>232.44120728779603</v>
      </c>
      <c r="K82" s="447">
        <f t="shared" si="26"/>
        <v>231.35108596493779</v>
      </c>
      <c r="L82" s="447">
        <f t="shared" si="26"/>
        <v>230.38454466445151</v>
      </c>
      <c r="M82" s="447">
        <f t="shared" si="26"/>
        <v>229.50561308265179</v>
      </c>
      <c r="N82" s="447">
        <f t="shared" si="26"/>
        <v>228.00868118924816</v>
      </c>
      <c r="O82" s="320"/>
    </row>
    <row r="83" spans="1:15">
      <c r="B83" s="331" t="str">
        <f t="shared" si="18"/>
        <v>50-54</v>
      </c>
      <c r="C83" s="447">
        <f t="shared" si="21"/>
        <v>211.53142422388015</v>
      </c>
      <c r="D83" s="447">
        <f t="shared" ref="D83:N83" si="27">D49+(0.2*D48)-(0.2*D49)</f>
        <v>204.48978398700507</v>
      </c>
      <c r="E83" s="447">
        <f t="shared" si="27"/>
        <v>199.43230939813006</v>
      </c>
      <c r="F83" s="447">
        <f t="shared" si="27"/>
        <v>194.60175727031316</v>
      </c>
      <c r="G83" s="447">
        <f t="shared" si="27"/>
        <v>191.40170481113523</v>
      </c>
      <c r="H83" s="447">
        <f t="shared" si="27"/>
        <v>188.99095010036831</v>
      </c>
      <c r="I83" s="447">
        <f t="shared" si="27"/>
        <v>187.4180034301296</v>
      </c>
      <c r="J83" s="447">
        <f t="shared" si="27"/>
        <v>186.16611814321226</v>
      </c>
      <c r="K83" s="447">
        <f t="shared" si="27"/>
        <v>185.56442484152004</v>
      </c>
      <c r="L83" s="447">
        <f t="shared" si="27"/>
        <v>185.04980427597818</v>
      </c>
      <c r="M83" s="447">
        <f t="shared" si="27"/>
        <v>184.50045816049692</v>
      </c>
      <c r="N83" s="447">
        <f t="shared" si="27"/>
        <v>183.32042441074793</v>
      </c>
      <c r="O83" s="320"/>
    </row>
    <row r="84" spans="1:15">
      <c r="B84" s="331" t="str">
        <f t="shared" si="18"/>
        <v>55-59</v>
      </c>
      <c r="C84" s="447">
        <f t="shared" si="21"/>
        <v>133.8318590201734</v>
      </c>
      <c r="D84" s="447">
        <f t="shared" ref="D84:N84" si="28">D50+(0.2*D49)-(0.2*D50)</f>
        <v>122.03124653394471</v>
      </c>
      <c r="E84" s="447">
        <f t="shared" si="28"/>
        <v>114.94471883588605</v>
      </c>
      <c r="F84" s="447">
        <f t="shared" si="28"/>
        <v>109.94287491678264</v>
      </c>
      <c r="G84" s="447">
        <f t="shared" si="28"/>
        <v>106.84941555434995</v>
      </c>
      <c r="H84" s="447">
        <f t="shared" si="28"/>
        <v>104.74739253723202</v>
      </c>
      <c r="I84" s="447">
        <f t="shared" si="28"/>
        <v>103.47395549452968</v>
      </c>
      <c r="J84" s="447">
        <f t="shared" si="28"/>
        <v>102.57367568530307</v>
      </c>
      <c r="K84" s="447">
        <f t="shared" si="28"/>
        <v>102.22258009394534</v>
      </c>
      <c r="L84" s="447">
        <f t="shared" si="28"/>
        <v>101.97918317516563</v>
      </c>
      <c r="M84" s="447">
        <f t="shared" si="28"/>
        <v>101.73615863019154</v>
      </c>
      <c r="N84" s="447">
        <f t="shared" si="28"/>
        <v>101.06945568627224</v>
      </c>
      <c r="O84" s="320"/>
    </row>
    <row r="85" spans="1:15">
      <c r="B85" s="331" t="str">
        <f t="shared" si="18"/>
        <v>60-64</v>
      </c>
      <c r="C85" s="447">
        <f t="shared" si="21"/>
        <v>45.758117810558105</v>
      </c>
      <c r="D85" s="447">
        <f t="shared" ref="D85:N85" si="29">D51+(0.2*D50)-(0.2*D51)</f>
        <v>45.758603448523473</v>
      </c>
      <c r="E85" s="447">
        <f t="shared" si="29"/>
        <v>44.624499906903665</v>
      </c>
      <c r="F85" s="447">
        <f t="shared" si="29"/>
        <v>43.116068039211086</v>
      </c>
      <c r="G85" s="447">
        <f t="shared" si="29"/>
        <v>41.991111270570549</v>
      </c>
      <c r="H85" s="447">
        <f t="shared" si="29"/>
        <v>41.129531432204161</v>
      </c>
      <c r="I85" s="447">
        <f t="shared" si="29"/>
        <v>40.602239609968407</v>
      </c>
      <c r="J85" s="447">
        <f t="shared" si="29"/>
        <v>40.220359075215811</v>
      </c>
      <c r="K85" s="447">
        <f t="shared" si="29"/>
        <v>40.115822208849316</v>
      </c>
      <c r="L85" s="447">
        <f t="shared" si="29"/>
        <v>40.050431957454556</v>
      </c>
      <c r="M85" s="447">
        <f t="shared" si="29"/>
        <v>39.977464243792419</v>
      </c>
      <c r="N85" s="447">
        <f t="shared" si="29"/>
        <v>39.671572000568844</v>
      </c>
      <c r="O85" s="320"/>
    </row>
    <row r="86" spans="1:15">
      <c r="B86" s="331" t="str">
        <f t="shared" si="18"/>
        <v>65 plus</v>
      </c>
      <c r="C86" s="447">
        <f>C52+(0.2*C51)</f>
        <v>11.243180362625793</v>
      </c>
      <c r="D86" s="447">
        <f t="shared" ref="D86:N86" si="30">D52+(0.2*D51)</f>
        <v>13.535768355257439</v>
      </c>
      <c r="E86" s="447">
        <f t="shared" si="30"/>
        <v>15.196251494701578</v>
      </c>
      <c r="F86" s="447">
        <f t="shared" si="30"/>
        <v>16.092000403861302</v>
      </c>
      <c r="G86" s="447">
        <f t="shared" si="30"/>
        <v>16.617940833668271</v>
      </c>
      <c r="H86" s="447">
        <f t="shared" si="30"/>
        <v>16.866558818185144</v>
      </c>
      <c r="I86" s="447">
        <f t="shared" si="30"/>
        <v>17.002917099068227</v>
      </c>
      <c r="J86" s="447">
        <f t="shared" si="30"/>
        <v>17.051158956117053</v>
      </c>
      <c r="K86" s="447">
        <f t="shared" si="30"/>
        <v>17.126593512561822</v>
      </c>
      <c r="L86" s="447">
        <f t="shared" si="30"/>
        <v>17.175889078697431</v>
      </c>
      <c r="M86" s="447">
        <f t="shared" si="30"/>
        <v>17.196023243166827</v>
      </c>
      <c r="N86" s="447">
        <f t="shared" si="30"/>
        <v>17.101329711947013</v>
      </c>
      <c r="O86" s="320"/>
    </row>
    <row r="87" spans="1:15">
      <c r="B87" s="331" t="str">
        <f t="shared" si="18"/>
        <v>Total</v>
      </c>
      <c r="C87" s="447">
        <f>SUM(C77:C86)</f>
        <v>1737.301337901946</v>
      </c>
      <c r="D87" s="447">
        <f t="shared" ref="D87:N87" si="31">SUM(D77:D86)</f>
        <v>1665.3109512103902</v>
      </c>
      <c r="E87" s="447">
        <f t="shared" si="31"/>
        <v>1631.0766343333012</v>
      </c>
      <c r="F87" s="447">
        <f t="shared" si="31"/>
        <v>1607.9435281011963</v>
      </c>
      <c r="G87" s="447">
        <f t="shared" si="31"/>
        <v>1606.7123450698007</v>
      </c>
      <c r="H87" s="447">
        <f t="shared" si="31"/>
        <v>1614.6517170063746</v>
      </c>
      <c r="I87" s="447">
        <f t="shared" si="31"/>
        <v>1633.554690777881</v>
      </c>
      <c r="J87" s="447">
        <f t="shared" si="31"/>
        <v>1654.7450983680574</v>
      </c>
      <c r="K87" s="447">
        <f t="shared" si="31"/>
        <v>1685.5922228041129</v>
      </c>
      <c r="L87" s="447">
        <f t="shared" si="31"/>
        <v>1715.7123791857819</v>
      </c>
      <c r="M87" s="447">
        <f t="shared" si="31"/>
        <v>1743.0400863242089</v>
      </c>
      <c r="N87" s="447">
        <f t="shared" si="31"/>
        <v>1756.2533260196981</v>
      </c>
      <c r="O87" s="320"/>
    </row>
    <row r="88" spans="1:15">
      <c r="A88" s="302">
        <f>SUM(C88:N88)</f>
        <v>0</v>
      </c>
      <c r="C88" s="302">
        <f t="shared" ref="C88:N88" si="32">SUM(C77:C86)-C87</f>
        <v>0</v>
      </c>
      <c r="D88" s="302">
        <f t="shared" si="32"/>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5">
      <c r="B90" s="334" t="s">
        <v>47</v>
      </c>
      <c r="H90" s="318"/>
    </row>
    <row r="91" spans="1:15">
      <c r="H91" s="318"/>
    </row>
    <row r="92" spans="1:15">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5">
      <c r="B93" s="331" t="str">
        <f t="shared" si="33"/>
        <v>20-24</v>
      </c>
      <c r="C93" s="447">
        <f>C59-(0.2*C59)</f>
        <v>44.71172083085078</v>
      </c>
      <c r="D93" s="447">
        <f t="shared" ref="D93:N93" si="35">D59-(0.2*D59)</f>
        <v>62.481326561483044</v>
      </c>
      <c r="E93" s="447">
        <f t="shared" si="35"/>
        <v>82.315096024657805</v>
      </c>
      <c r="F93" s="447">
        <f t="shared" si="35"/>
        <v>99.724890842914135</v>
      </c>
      <c r="G93" s="447">
        <f t="shared" si="35"/>
        <v>116.6388703361697</v>
      </c>
      <c r="H93" s="447">
        <f t="shared" si="35"/>
        <v>131.04725110852434</v>
      </c>
      <c r="I93" s="447">
        <f t="shared" si="35"/>
        <v>144.38872528168574</v>
      </c>
      <c r="J93" s="447">
        <f t="shared" si="35"/>
        <v>154.88562956996589</v>
      </c>
      <c r="K93" s="447">
        <f t="shared" si="35"/>
        <v>165.42039789399502</v>
      </c>
      <c r="L93" s="447">
        <f t="shared" si="35"/>
        <v>173.40101818373799</v>
      </c>
      <c r="M93" s="447">
        <f t="shared" si="35"/>
        <v>178.97544635895522</v>
      </c>
      <c r="N93" s="447">
        <f t="shared" si="35"/>
        <v>179.67247363950551</v>
      </c>
    </row>
    <row r="94" spans="1:15">
      <c r="B94" s="331" t="str">
        <f t="shared" si="33"/>
        <v>25-29</v>
      </c>
      <c r="C94" s="447">
        <f t="shared" ref="C94:C101" si="36">C60+(0.2*C59)-(0.2*C60)</f>
        <v>228.11893149487767</v>
      </c>
      <c r="D94" s="447">
        <f t="shared" ref="D94:N94" si="37">D60+(0.2*D59)-(0.2*D60)</f>
        <v>212.63661423092563</v>
      </c>
      <c r="E94" s="447">
        <f t="shared" si="37"/>
        <v>213.74300242880932</v>
      </c>
      <c r="F94" s="447">
        <f t="shared" si="37"/>
        <v>222.23708384190041</v>
      </c>
      <c r="G94" s="447">
        <f t="shared" si="37"/>
        <v>237.26474320122068</v>
      </c>
      <c r="H94" s="447">
        <f t="shared" si="37"/>
        <v>254.29315559845148</v>
      </c>
      <c r="I94" s="447">
        <f t="shared" si="37"/>
        <v>273.21104584548817</v>
      </c>
      <c r="J94" s="447">
        <f t="shared" si="37"/>
        <v>290.64597075943436</v>
      </c>
      <c r="K94" s="447">
        <f t="shared" si="37"/>
        <v>309.09945599466766</v>
      </c>
      <c r="L94" s="447">
        <f t="shared" si="37"/>
        <v>325.01626237177175</v>
      </c>
      <c r="M94" s="447">
        <f t="shared" si="37"/>
        <v>337.87556277552579</v>
      </c>
      <c r="N94" s="447">
        <f t="shared" si="37"/>
        <v>344.05427631996764</v>
      </c>
    </row>
    <row r="95" spans="1:15">
      <c r="B95" s="331" t="str">
        <f t="shared" si="33"/>
        <v>30-34</v>
      </c>
      <c r="C95" s="447">
        <f t="shared" si="36"/>
        <v>394.14106648060533</v>
      </c>
      <c r="D95" s="447">
        <f t="shared" ref="D95:N95" si="38">D61+(0.2*D60)-(0.2*D61)</f>
        <v>354.89854532473885</v>
      </c>
      <c r="E95" s="447">
        <f t="shared" si="38"/>
        <v>328.6546521179061</v>
      </c>
      <c r="F95" s="447">
        <f t="shared" si="38"/>
        <v>311.82789200474593</v>
      </c>
      <c r="G95" s="447">
        <f t="shared" si="38"/>
        <v>304.32612794973937</v>
      </c>
      <c r="H95" s="447">
        <f t="shared" si="38"/>
        <v>303.45326196593726</v>
      </c>
      <c r="I95" s="447">
        <f t="shared" si="38"/>
        <v>308.33440695689262</v>
      </c>
      <c r="J95" s="447">
        <f t="shared" si="38"/>
        <v>316.18155412571423</v>
      </c>
      <c r="K95" s="447">
        <f t="shared" si="38"/>
        <v>327.49013135682424</v>
      </c>
      <c r="L95" s="447">
        <f t="shared" si="38"/>
        <v>339.55477751124192</v>
      </c>
      <c r="M95" s="447">
        <f t="shared" si="38"/>
        <v>351.25094717174653</v>
      </c>
      <c r="N95" s="447">
        <f t="shared" si="38"/>
        <v>359.69685710785177</v>
      </c>
    </row>
    <row r="96" spans="1:15">
      <c r="B96" s="331" t="str">
        <f t="shared" si="33"/>
        <v>35-39</v>
      </c>
      <c r="C96" s="447">
        <f t="shared" si="36"/>
        <v>444.39825231203713</v>
      </c>
      <c r="D96" s="447">
        <f t="shared" ref="D96:N96" si="39">D62+(0.2*D61)-(0.2*D62)</f>
        <v>415.62528436145794</v>
      </c>
      <c r="E96" s="447">
        <f t="shared" si="39"/>
        <v>390.73057379416838</v>
      </c>
      <c r="F96" s="447">
        <f t="shared" si="39"/>
        <v>368.85127464261564</v>
      </c>
      <c r="G96" s="447">
        <f t="shared" si="39"/>
        <v>351.70437233827033</v>
      </c>
      <c r="H96" s="447">
        <f t="shared" si="39"/>
        <v>338.99504729559686</v>
      </c>
      <c r="I96" s="447">
        <f t="shared" si="39"/>
        <v>331.11334860643888</v>
      </c>
      <c r="J96" s="447">
        <f t="shared" si="39"/>
        <v>326.77781740626131</v>
      </c>
      <c r="K96" s="447">
        <f t="shared" si="39"/>
        <v>326.62092979943384</v>
      </c>
      <c r="L96" s="447">
        <f t="shared" si="39"/>
        <v>328.8673065045727</v>
      </c>
      <c r="M96" s="447">
        <f t="shared" si="39"/>
        <v>332.71080948126792</v>
      </c>
      <c r="N96" s="447">
        <f t="shared" si="39"/>
        <v>336.05330328505141</v>
      </c>
    </row>
    <row r="97" spans="1:15">
      <c r="B97" s="331" t="str">
        <f t="shared" si="33"/>
        <v>40-44</v>
      </c>
      <c r="C97" s="447">
        <f t="shared" si="36"/>
        <v>401.94275014052096</v>
      </c>
      <c r="D97" s="447">
        <f t="shared" ref="D97:N97" si="40">D63+(0.2*D62)-(0.2*D63)</f>
        <v>390.73891307300966</v>
      </c>
      <c r="E97" s="447">
        <f t="shared" si="40"/>
        <v>380.09770531233511</v>
      </c>
      <c r="F97" s="447">
        <f t="shared" si="40"/>
        <v>368.66040374637856</v>
      </c>
      <c r="G97" s="447">
        <f t="shared" si="40"/>
        <v>357.85061257614854</v>
      </c>
      <c r="H97" s="447">
        <f t="shared" si="40"/>
        <v>347.81857519344675</v>
      </c>
      <c r="I97" s="447">
        <f t="shared" si="40"/>
        <v>339.46419588291815</v>
      </c>
      <c r="J97" s="447">
        <f t="shared" si="40"/>
        <v>332.35041304002436</v>
      </c>
      <c r="K97" s="447">
        <f t="shared" si="40"/>
        <v>327.65324055158248</v>
      </c>
      <c r="L97" s="447">
        <f t="shared" si="40"/>
        <v>324.41584623142893</v>
      </c>
      <c r="M97" s="447">
        <f t="shared" si="40"/>
        <v>322.43593354714517</v>
      </c>
      <c r="N97" s="447">
        <f t="shared" si="40"/>
        <v>320.33749901494508</v>
      </c>
    </row>
    <row r="98" spans="1:15">
      <c r="B98" s="331" t="str">
        <f t="shared" si="33"/>
        <v>45-49</v>
      </c>
      <c r="C98" s="447">
        <f t="shared" si="36"/>
        <v>327.89918902952923</v>
      </c>
      <c r="D98" s="447">
        <f t="shared" ref="D98:N98" si="41">D64+(0.2*D63)-(0.2*D64)</f>
        <v>323.31175990124393</v>
      </c>
      <c r="E98" s="447">
        <f t="shared" si="41"/>
        <v>320.27178748332619</v>
      </c>
      <c r="F98" s="447">
        <f t="shared" si="41"/>
        <v>316.83570253568047</v>
      </c>
      <c r="G98" s="447">
        <f t="shared" si="41"/>
        <v>313.50411549924576</v>
      </c>
      <c r="H98" s="447">
        <f t="shared" si="41"/>
        <v>309.96401048875913</v>
      </c>
      <c r="I98" s="447">
        <f t="shared" si="41"/>
        <v>306.65378344602658</v>
      </c>
      <c r="J98" s="447">
        <f t="shared" si="41"/>
        <v>303.100189416386</v>
      </c>
      <c r="K98" s="447">
        <f t="shared" si="41"/>
        <v>300.29667127812803</v>
      </c>
      <c r="L98" s="447">
        <f t="shared" si="41"/>
        <v>297.59600286486653</v>
      </c>
      <c r="M98" s="447">
        <f t="shared" si="41"/>
        <v>295.02880574494895</v>
      </c>
      <c r="N98" s="447">
        <f t="shared" si="41"/>
        <v>291.69717037742487</v>
      </c>
    </row>
    <row r="99" spans="1:15">
      <c r="B99" s="331" t="str">
        <f t="shared" si="33"/>
        <v>50-54</v>
      </c>
      <c r="C99" s="447">
        <f t="shared" si="36"/>
        <v>258.32995276140127</v>
      </c>
      <c r="D99" s="447">
        <f t="shared" ref="D99:N99" si="42">D65+(0.2*D64)-(0.2*D65)</f>
        <v>250.88541277805771</v>
      </c>
      <c r="E99" s="447">
        <f t="shared" si="42"/>
        <v>246.55175708126421</v>
      </c>
      <c r="F99" s="447">
        <f t="shared" si="42"/>
        <v>243.46206394761953</v>
      </c>
      <c r="G99" s="447">
        <f t="shared" si="42"/>
        <v>241.59289825182708</v>
      </c>
      <c r="H99" s="447">
        <f t="shared" si="42"/>
        <v>240.31887390873038</v>
      </c>
      <c r="I99" s="447">
        <f t="shared" si="42"/>
        <v>239.60799274157247</v>
      </c>
      <c r="J99" s="447">
        <f t="shared" si="42"/>
        <v>238.79367074898127</v>
      </c>
      <c r="K99" s="447">
        <f t="shared" si="42"/>
        <v>238.39084219375425</v>
      </c>
      <c r="L99" s="447">
        <f t="shared" si="42"/>
        <v>237.74555442964513</v>
      </c>
      <c r="M99" s="447">
        <f t="shared" si="42"/>
        <v>236.78946458898741</v>
      </c>
      <c r="N99" s="447">
        <f t="shared" si="42"/>
        <v>234.81191826081653</v>
      </c>
    </row>
    <row r="100" spans="1:15">
      <c r="B100" s="331" t="str">
        <f t="shared" si="33"/>
        <v>55-59</v>
      </c>
      <c r="C100" s="447">
        <f t="shared" si="36"/>
        <v>146.31040240746893</v>
      </c>
      <c r="D100" s="447">
        <f t="shared" ref="D100:N100" si="43">D66+(0.2*D65)-(0.2*D66)</f>
        <v>140.0651032057163</v>
      </c>
      <c r="E100" s="447">
        <f t="shared" si="43"/>
        <v>136.16940496903695</v>
      </c>
      <c r="F100" s="447">
        <f t="shared" si="43"/>
        <v>133.47197830696783</v>
      </c>
      <c r="G100" s="447">
        <f t="shared" si="43"/>
        <v>131.98192807348835</v>
      </c>
      <c r="H100" s="447">
        <f t="shared" si="43"/>
        <v>131.18625212735185</v>
      </c>
      <c r="I100" s="447">
        <f t="shared" si="43"/>
        <v>131.03757381701303</v>
      </c>
      <c r="J100" s="447">
        <f t="shared" si="43"/>
        <v>131.01568423697998</v>
      </c>
      <c r="K100" s="447">
        <f t="shared" si="43"/>
        <v>131.40740664979296</v>
      </c>
      <c r="L100" s="447">
        <f t="shared" si="43"/>
        <v>131.6729587815712</v>
      </c>
      <c r="M100" s="447">
        <f t="shared" si="43"/>
        <v>131.71305086648013</v>
      </c>
      <c r="N100" s="447">
        <f t="shared" si="43"/>
        <v>131.00692908929724</v>
      </c>
    </row>
    <row r="101" spans="1:15">
      <c r="B101" s="331" t="str">
        <f t="shared" si="33"/>
        <v>60-64</v>
      </c>
      <c r="C101" s="447">
        <f t="shared" si="36"/>
        <v>46.333795782803655</v>
      </c>
      <c r="D101" s="447">
        <f t="shared" ref="D101:N101" si="44">D67+(0.2*D66)-(0.2*D67)</f>
        <v>48.901634660603577</v>
      </c>
      <c r="E101" s="447">
        <f t="shared" si="44"/>
        <v>49.948309255447313</v>
      </c>
      <c r="F101" s="447">
        <f t="shared" si="44"/>
        <v>50.170283289402796</v>
      </c>
      <c r="G101" s="447">
        <f t="shared" si="44"/>
        <v>50.283652843969122</v>
      </c>
      <c r="H101" s="447">
        <f t="shared" si="44"/>
        <v>50.355720455180702</v>
      </c>
      <c r="I101" s="447">
        <f t="shared" si="44"/>
        <v>50.578302403690202</v>
      </c>
      <c r="J101" s="447">
        <f t="shared" si="44"/>
        <v>50.775746671480967</v>
      </c>
      <c r="K101" s="447">
        <f t="shared" si="44"/>
        <v>51.174281502696829</v>
      </c>
      <c r="L101" s="447">
        <f t="shared" si="44"/>
        <v>51.491676376934564</v>
      </c>
      <c r="M101" s="447">
        <f t="shared" si="44"/>
        <v>51.690286918644702</v>
      </c>
      <c r="N101" s="447">
        <f t="shared" si="44"/>
        <v>51.489869664036988</v>
      </c>
    </row>
    <row r="102" spans="1:15">
      <c r="B102" s="331" t="str">
        <f t="shared" si="33"/>
        <v>65 plus</v>
      </c>
      <c r="C102" s="447">
        <f>C68+(0.2*C67)</f>
        <v>14.657339844470277</v>
      </c>
      <c r="D102" s="447">
        <f t="shared" ref="D102:N102" si="45">D68+(0.2*D67)</f>
        <v>16.52484057901966</v>
      </c>
      <c r="E102" s="447">
        <f t="shared" si="45"/>
        <v>18.329906114552315</v>
      </c>
      <c r="F102" s="447">
        <f t="shared" si="45"/>
        <v>19.725082314236392</v>
      </c>
      <c r="G102" s="447">
        <f t="shared" si="45"/>
        <v>20.806536152092313</v>
      </c>
      <c r="H102" s="447">
        <f t="shared" si="45"/>
        <v>21.609007777953682</v>
      </c>
      <c r="I102" s="447">
        <f t="shared" si="45"/>
        <v>22.25685740081612</v>
      </c>
      <c r="J102" s="447">
        <f t="shared" si="45"/>
        <v>22.741604808917327</v>
      </c>
      <c r="K102" s="447">
        <f t="shared" si="45"/>
        <v>23.201351385950773</v>
      </c>
      <c r="L102" s="447">
        <f t="shared" si="45"/>
        <v>23.567279639141766</v>
      </c>
      <c r="M102" s="447">
        <f t="shared" si="45"/>
        <v>23.838758255266178</v>
      </c>
      <c r="N102" s="447">
        <f t="shared" si="45"/>
        <v>23.907190219421487</v>
      </c>
    </row>
    <row r="103" spans="1:15">
      <c r="B103" s="331" t="str">
        <f t="shared" si="33"/>
        <v>Total</v>
      </c>
      <c r="C103" s="447">
        <f>SUM(C93:C102)</f>
        <v>2306.8434010845654</v>
      </c>
      <c r="D103" s="447">
        <f t="shared" ref="D103:N103" si="46">SUM(D93:D102)</f>
        <v>2216.0694346762566</v>
      </c>
      <c r="E103" s="447">
        <f t="shared" si="46"/>
        <v>2166.8121945815037</v>
      </c>
      <c r="F103" s="447">
        <f t="shared" si="46"/>
        <v>2134.9666554724618</v>
      </c>
      <c r="G103" s="447">
        <f t="shared" si="46"/>
        <v>2125.9538572221713</v>
      </c>
      <c r="H103" s="447">
        <f t="shared" si="46"/>
        <v>2129.0411559199324</v>
      </c>
      <c r="I103" s="447">
        <f t="shared" si="46"/>
        <v>2146.6462323825417</v>
      </c>
      <c r="J103" s="447">
        <f t="shared" si="46"/>
        <v>2167.2682807841456</v>
      </c>
      <c r="K103" s="447">
        <f t="shared" si="46"/>
        <v>2200.7547086068257</v>
      </c>
      <c r="L103" s="447">
        <f t="shared" si="46"/>
        <v>2233.3286828949126</v>
      </c>
      <c r="M103" s="447">
        <f t="shared" si="46"/>
        <v>2262.3090657089679</v>
      </c>
      <c r="N103" s="447">
        <f t="shared" si="46"/>
        <v>2272.7274869783182</v>
      </c>
    </row>
    <row r="104" spans="1:15">
      <c r="A104" s="302">
        <f>SUM(C104:N104)</f>
        <v>0</v>
      </c>
      <c r="C104" s="302">
        <f t="shared" ref="C104:N104" si="47">SUM(C93:C102)-C103</f>
        <v>0</v>
      </c>
      <c r="D104" s="302">
        <f t="shared" si="47"/>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5" ht="15.75">
      <c r="B106" s="333" t="s">
        <v>164</v>
      </c>
      <c r="H106" s="318"/>
    </row>
    <row r="107" spans="1:15">
      <c r="H107" s="318"/>
    </row>
    <row r="108" spans="1:15">
      <c r="B108" s="334" t="s">
        <v>46</v>
      </c>
      <c r="H108" s="318"/>
    </row>
    <row r="109" spans="1:15">
      <c r="H109" s="318"/>
    </row>
    <row r="110" spans="1:15">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5">
      <c r="B111" s="331" t="str">
        <f t="shared" si="48"/>
        <v>20-24</v>
      </c>
      <c r="C111" s="447">
        <f>C77*Group_3_rates!E74</f>
        <v>3.3067851633982683</v>
      </c>
      <c r="D111" s="447">
        <f>D77*Group_3_rates!F74</f>
        <v>4.9835434673235204</v>
      </c>
      <c r="E111" s="447">
        <f>E77*Group_3_rates!G74</f>
        <v>7.1705158180768462</v>
      </c>
      <c r="F111" s="447">
        <f>F77*Group_3_rates!H74</f>
        <v>8.7152074361376339</v>
      </c>
      <c r="G111" s="447">
        <f>G77*Group_3_rates!I74</f>
        <v>10.34176049702921</v>
      </c>
      <c r="H111" s="447">
        <f>H77*Group_3_rates!J74</f>
        <v>11.713903096642165</v>
      </c>
      <c r="I111" s="447">
        <f>I77*Group_3_rates!K74</f>
        <v>12.969911090431305</v>
      </c>
      <c r="J111" s="447">
        <f>J77*Group_3_rates!L74</f>
        <v>13.95467125563183</v>
      </c>
      <c r="K111" s="447">
        <f>K77*Group_3_rates!M74</f>
        <v>14.932995837589452</v>
      </c>
      <c r="L111" s="447">
        <f>L77*Group_3_rates!N74</f>
        <v>15.673247340581289</v>
      </c>
      <c r="M111" s="447">
        <f>M77*Group_3_rates!O74</f>
        <v>16.190757623967492</v>
      </c>
      <c r="N111" s="447">
        <f>N77*Group_3_rates!P74</f>
        <v>16.263273009918933</v>
      </c>
      <c r="O111" s="320"/>
    </row>
    <row r="112" spans="1:15">
      <c r="B112" s="331" t="str">
        <f t="shared" si="48"/>
        <v>25-29</v>
      </c>
      <c r="C112" s="447">
        <f>C78*Group_3_rates!E75</f>
        <v>13.089666002635076</v>
      </c>
      <c r="D112" s="447">
        <f>D78*Group_3_rates!F75</f>
        <v>12.303820702680831</v>
      </c>
      <c r="E112" s="447">
        <f>E78*Group_3_rates!G75</f>
        <v>13.497569281203962</v>
      </c>
      <c r="F112" s="447">
        <f>F78*Group_3_rates!H75</f>
        <v>14.314704565513354</v>
      </c>
      <c r="G112" s="447">
        <f>G78*Group_3_rates!I75</f>
        <v>15.774948612472972</v>
      </c>
      <c r="H112" s="447">
        <f>H78*Group_3_rates!J75</f>
        <v>17.284505038164284</v>
      </c>
      <c r="I112" s="447">
        <f>I78*Group_3_rates!K75</f>
        <v>18.857447132468984</v>
      </c>
      <c r="J112" s="447">
        <f>J78*Group_3_rates!L75</f>
        <v>20.271059302045387</v>
      </c>
      <c r="K112" s="447">
        <f>K78*Group_3_rates!M75</f>
        <v>21.715937778529984</v>
      </c>
      <c r="L112" s="447">
        <f>L78*Group_3_rates!N75</f>
        <v>22.949417253266176</v>
      </c>
      <c r="M112" s="447">
        <f>M78*Group_3_rates!O75</f>
        <v>23.941768074425006</v>
      </c>
      <c r="N112" s="447">
        <f>N78*Group_3_rates!P75</f>
        <v>24.440911635173311</v>
      </c>
      <c r="O112" s="320"/>
    </row>
    <row r="113" spans="1:15">
      <c r="B113" s="331" t="str">
        <f t="shared" si="48"/>
        <v>30-34</v>
      </c>
      <c r="C113" s="447">
        <f>C79*Group_3_rates!E76</f>
        <v>21.456649243669034</v>
      </c>
      <c r="D113" s="447">
        <f>D79*Group_3_rates!F76</f>
        <v>18.264133628146642</v>
      </c>
      <c r="E113" s="447">
        <f>E79*Group_3_rates!G76</f>
        <v>17.383065447890331</v>
      </c>
      <c r="F113" s="447">
        <f>F79*Group_3_rates!H76</f>
        <v>16.107408841086084</v>
      </c>
      <c r="G113" s="447">
        <f>G79*Group_3_rates!I76</f>
        <v>15.756987968555748</v>
      </c>
      <c r="H113" s="447">
        <f>H79*Group_3_rates!J76</f>
        <v>15.792069566569433</v>
      </c>
      <c r="I113" s="447">
        <f>I79*Group_3_rates!K76</f>
        <v>16.148350980068507</v>
      </c>
      <c r="J113" s="447">
        <f>J79*Group_3_rates!L76</f>
        <v>16.668261378201208</v>
      </c>
      <c r="K113" s="447">
        <f>K79*Group_3_rates!M76</f>
        <v>17.370160871210871</v>
      </c>
      <c r="L113" s="447">
        <f>L79*Group_3_rates!N76</f>
        <v>18.108362385379685</v>
      </c>
      <c r="M113" s="447">
        <f>M79*Group_3_rates!O76</f>
        <v>18.820905907271047</v>
      </c>
      <c r="N113" s="447">
        <f>N79*Group_3_rates!P76</f>
        <v>19.354681697131486</v>
      </c>
      <c r="O113" s="320"/>
    </row>
    <row r="114" spans="1:15">
      <c r="B114" s="331" t="str">
        <f t="shared" si="48"/>
        <v>35-39</v>
      </c>
      <c r="C114" s="447">
        <f>C80*Group_3_rates!E77</f>
        <v>22.640980543973971</v>
      </c>
      <c r="D114" s="447">
        <f>D80*Group_3_rates!F77</f>
        <v>20.844472389241584</v>
      </c>
      <c r="E114" s="447">
        <f>E80*Group_3_rates!G77</f>
        <v>20.65479570127065</v>
      </c>
      <c r="F114" s="447">
        <f>F80*Group_3_rates!H77</f>
        <v>19.314225179000939</v>
      </c>
      <c r="G114" s="447">
        <f>G80*Group_3_rates!I77</f>
        <v>18.581726851454185</v>
      </c>
      <c r="H114" s="447">
        <f>H80*Group_3_rates!J77</f>
        <v>18.038329322846813</v>
      </c>
      <c r="I114" s="447">
        <f>I80*Group_3_rates!K77</f>
        <v>17.725484406710663</v>
      </c>
      <c r="J114" s="447">
        <f>J80*Group_3_rates!L77</f>
        <v>17.588350585826721</v>
      </c>
      <c r="K114" s="447">
        <f>K80*Group_3_rates!M77</f>
        <v>17.666142958351102</v>
      </c>
      <c r="L114" s="447">
        <f>L80*Group_3_rates!N77</f>
        <v>17.869328666386824</v>
      </c>
      <c r="M114" s="447">
        <f>M80*Group_3_rates!O77</f>
        <v>18.156390268702854</v>
      </c>
      <c r="N114" s="447">
        <f>N80*Group_3_rates!P77</f>
        <v>18.416883204510352</v>
      </c>
      <c r="O114" s="320"/>
    </row>
    <row r="115" spans="1:15">
      <c r="B115" s="331" t="str">
        <f t="shared" si="48"/>
        <v>40-44</v>
      </c>
      <c r="C115" s="447">
        <f>C81*Group_3_rates!E78</f>
        <v>22.205632683843085</v>
      </c>
      <c r="D115" s="447">
        <f>D81*Group_3_rates!F78</f>
        <v>20.976111349412136</v>
      </c>
      <c r="E115" s="447">
        <f>E81*Group_3_rates!G78</f>
        <v>21.4667051080249</v>
      </c>
      <c r="F115" s="447">
        <f>F81*Group_3_rates!H78</f>
        <v>20.678937729530894</v>
      </c>
      <c r="G115" s="447">
        <f>G81*Group_3_rates!I78</f>
        <v>20.345988024126186</v>
      </c>
      <c r="H115" s="447">
        <f>H81*Group_3_rates!J78</f>
        <v>20.010885816598257</v>
      </c>
      <c r="I115" s="447">
        <f>I81*Group_3_rates!K78</f>
        <v>19.729939713299718</v>
      </c>
      <c r="J115" s="447">
        <f>J81*Group_3_rates!L78</f>
        <v>19.485486000421833</v>
      </c>
      <c r="K115" s="447">
        <f>K81*Group_3_rates!M78</f>
        <v>19.353531530619154</v>
      </c>
      <c r="L115" s="447">
        <f>L81*Group_3_rates!N78</f>
        <v>19.286067684947877</v>
      </c>
      <c r="M115" s="447">
        <f>M81*Group_3_rates!O78</f>
        <v>19.277132566251421</v>
      </c>
      <c r="N115" s="447">
        <f>N81*Group_3_rates!P78</f>
        <v>19.251295937810916</v>
      </c>
      <c r="O115" s="320"/>
    </row>
    <row r="116" spans="1:15">
      <c r="B116" s="331" t="str">
        <f t="shared" si="48"/>
        <v>45-49</v>
      </c>
      <c r="C116" s="447">
        <f>C82*Group_3_rates!E79</f>
        <v>22.571444914781996</v>
      </c>
      <c r="D116" s="447">
        <f>D82*Group_3_rates!F79</f>
        <v>20.796862848086345</v>
      </c>
      <c r="E116" s="447">
        <f>E82*Group_3_rates!G79</f>
        <v>20.984061531513444</v>
      </c>
      <c r="F116" s="447">
        <f>F82*Group_3_rates!H79</f>
        <v>20.117898222760889</v>
      </c>
      <c r="G116" s="447">
        <f>G82*Group_3_rates!I79</f>
        <v>19.831032394773267</v>
      </c>
      <c r="H116" s="447">
        <f>H82*Group_3_rates!J79</f>
        <v>19.608730160070618</v>
      </c>
      <c r="I116" s="447">
        <f>I82*Group_3_rates!K79</f>
        <v>19.448143581469996</v>
      </c>
      <c r="J116" s="447">
        <f>J82*Group_3_rates!L79</f>
        <v>19.298590851457615</v>
      </c>
      <c r="K116" s="447">
        <f>K82*Group_3_rates!M79</f>
        <v>19.208082780045636</v>
      </c>
      <c r="L116" s="447">
        <f>L82*Group_3_rates!N79</f>
        <v>19.12783502485296</v>
      </c>
      <c r="M116" s="447">
        <f>M82*Group_3_rates!O79</f>
        <v>19.054861126715462</v>
      </c>
      <c r="N116" s="447">
        <f>N82*Group_3_rates!P79</f>
        <v>18.930577328328862</v>
      </c>
      <c r="O116" s="320"/>
    </row>
    <row r="117" spans="1:15">
      <c r="B117" s="331" t="str">
        <f t="shared" si="48"/>
        <v>50-54</v>
      </c>
      <c r="C117" s="447">
        <f>C83*Group_3_rates!E80</f>
        <v>18.022177051000817</v>
      </c>
      <c r="D117" s="447">
        <f>D83*Group_3_rates!F80</f>
        <v>16.795831104027695</v>
      </c>
      <c r="E117" s="447">
        <f>E83*Group_3_rates!G80</f>
        <v>16.995144153920791</v>
      </c>
      <c r="F117" s="447">
        <f>F83*Group_3_rates!H80</f>
        <v>16.272098171693919</v>
      </c>
      <c r="G117" s="447">
        <f>G83*Group_3_rates!I80</f>
        <v>16.00451801979435</v>
      </c>
      <c r="H117" s="447">
        <f>H83*Group_3_rates!J80</f>
        <v>15.802936914506677</v>
      </c>
      <c r="I117" s="447">
        <f>I83*Group_3_rates!K80</f>
        <v>15.671411161625576</v>
      </c>
      <c r="J117" s="447">
        <f>J83*Group_3_rates!L80</f>
        <v>15.566731735426345</v>
      </c>
      <c r="K117" s="447">
        <f>K83*Group_3_rates!M80</f>
        <v>15.516419689884092</v>
      </c>
      <c r="L117" s="447">
        <f>L83*Group_3_rates!N80</f>
        <v>15.47338844247332</v>
      </c>
      <c r="M117" s="447">
        <f>M83*Group_3_rates!O80</f>
        <v>15.427453533936328</v>
      </c>
      <c r="N117" s="447">
        <f>N83*Group_3_rates!P80</f>
        <v>15.328782148378615</v>
      </c>
      <c r="O117" s="320"/>
    </row>
    <row r="118" spans="1:15">
      <c r="B118" s="331" t="str">
        <f t="shared" si="48"/>
        <v>55-59</v>
      </c>
      <c r="C118" s="447">
        <f>C84*Group_3_rates!E81</f>
        <v>6.7910305921979175</v>
      </c>
      <c r="D118" s="447">
        <f>D84*Group_3_rates!F81</f>
        <v>5.969593350966937</v>
      </c>
      <c r="E118" s="447">
        <f>E84*Group_3_rates!G81</f>
        <v>5.8339429032576593</v>
      </c>
      <c r="F118" s="447">
        <f>F84*Group_3_rates!H81</f>
        <v>5.475297292741562</v>
      </c>
      <c r="G118" s="447">
        <f>G84*Group_3_rates!I81</f>
        <v>5.3212390176131912</v>
      </c>
      <c r="H118" s="447">
        <f>H84*Group_3_rates!J81</f>
        <v>5.216555554099819</v>
      </c>
      <c r="I118" s="447">
        <f>I84*Group_3_rates!K81</f>
        <v>5.153136743215871</v>
      </c>
      <c r="J118" s="447">
        <f>J84*Group_3_rates!L81</f>
        <v>5.1083016449350653</v>
      </c>
      <c r="K118" s="447">
        <f>K84*Group_3_rates!M81</f>
        <v>5.0908166306282308</v>
      </c>
      <c r="L118" s="447">
        <f>L84*Group_3_rates!N81</f>
        <v>5.0786951494366122</v>
      </c>
      <c r="M118" s="447">
        <f>M84*Group_3_rates!O81</f>
        <v>5.0665922129418774</v>
      </c>
      <c r="N118" s="447">
        <f>N84*Group_3_rates!P81</f>
        <v>5.0333895444954937</v>
      </c>
      <c r="O118" s="320"/>
    </row>
    <row r="119" spans="1:15">
      <c r="B119" s="331" t="str">
        <f t="shared" si="48"/>
        <v>60-64</v>
      </c>
      <c r="C119" s="447">
        <f>C85*Group_3_rates!E82</f>
        <v>2.4714168621788053</v>
      </c>
      <c r="D119" s="447">
        <f>D85*Group_3_rates!F82</f>
        <v>2.3825835495999899</v>
      </c>
      <c r="E119" s="447">
        <f>E85*Group_3_rates!G82</f>
        <v>2.4107278847530709</v>
      </c>
      <c r="F119" s="447">
        <f>F85*Group_3_rates!H82</f>
        <v>2.2855011365795708</v>
      </c>
      <c r="G119" s="447">
        <f>G85*Group_3_rates!I82</f>
        <v>2.2258693081161636</v>
      </c>
      <c r="H119" s="447">
        <f>H85*Group_3_rates!J82</f>
        <v>2.1801985920840421</v>
      </c>
      <c r="I119" s="447">
        <f>I85*Group_3_rates!K82</f>
        <v>2.1522478508909226</v>
      </c>
      <c r="J119" s="447">
        <f>J85*Group_3_rates!L82</f>
        <v>2.1320050867450608</v>
      </c>
      <c r="K119" s="447">
        <f>K85*Group_3_rates!M82</f>
        <v>2.1264637853750519</v>
      </c>
      <c r="L119" s="447">
        <f>L85*Group_3_rates!N82</f>
        <v>2.1229975719497451</v>
      </c>
      <c r="M119" s="447">
        <f>M85*Group_3_rates!O82</f>
        <v>2.1191296915957953</v>
      </c>
      <c r="N119" s="447">
        <f>N85*Group_3_rates!P82</f>
        <v>2.1029149229178503</v>
      </c>
      <c r="O119" s="320"/>
    </row>
    <row r="120" spans="1:15">
      <c r="B120" s="331" t="str">
        <f t="shared" si="48"/>
        <v>65 plus</v>
      </c>
      <c r="C120" s="447">
        <f>C86*Group_3_rates!E83</f>
        <v>1.0398682246852067</v>
      </c>
      <c r="D120" s="447">
        <f>D86*Group_3_rates!F83</f>
        <v>1.2068952211193276</v>
      </c>
      <c r="E120" s="447">
        <f>E86*Group_3_rates!G83</f>
        <v>1.4057968902328206</v>
      </c>
      <c r="F120" s="447">
        <f>F86*Group_3_rates!H83</f>
        <v>1.4607086613074591</v>
      </c>
      <c r="G120" s="447">
        <f>G86*Group_3_rates!I83</f>
        <v>1.5084495090498236</v>
      </c>
      <c r="H120" s="447">
        <f>H86*Group_3_rates!J83</f>
        <v>1.5310171472692122</v>
      </c>
      <c r="I120" s="447">
        <f>I86*Group_3_rates!K83</f>
        <v>1.5433947085995687</v>
      </c>
      <c r="J120" s="447">
        <f>J86*Group_3_rates!L83</f>
        <v>1.5477737352376657</v>
      </c>
      <c r="K120" s="447">
        <f>K86*Group_3_rates!M83</f>
        <v>1.5546211070494587</v>
      </c>
      <c r="L120" s="447">
        <f>L86*Group_3_rates!N83</f>
        <v>1.5590957813355133</v>
      </c>
      <c r="M120" s="447">
        <f>M86*Group_3_rates!O83</f>
        <v>1.5609234067202093</v>
      </c>
      <c r="N120" s="447">
        <f>N86*Group_3_rates!P83</f>
        <v>1.5523278525472564</v>
      </c>
      <c r="O120" s="320"/>
    </row>
    <row r="121" spans="1:15">
      <c r="B121" s="331" t="str">
        <f t="shared" si="48"/>
        <v>Total</v>
      </c>
      <c r="C121" s="447">
        <f>SUM(C111:C120)</f>
        <v>133.59565128236417</v>
      </c>
      <c r="D121" s="447">
        <f t="shared" ref="D121:N121" si="50">SUM(D111:D120)</f>
        <v>124.523847610605</v>
      </c>
      <c r="E121" s="447">
        <f t="shared" si="50"/>
        <v>127.80232472014448</v>
      </c>
      <c r="F121" s="447">
        <f t="shared" si="50"/>
        <v>124.74198723635232</v>
      </c>
      <c r="G121" s="447">
        <f t="shared" si="50"/>
        <v>125.69252020298511</v>
      </c>
      <c r="H121" s="447">
        <f t="shared" si="50"/>
        <v>127.1791312088513</v>
      </c>
      <c r="I121" s="447">
        <f t="shared" si="50"/>
        <v>129.39946736878107</v>
      </c>
      <c r="J121" s="447">
        <f t="shared" si="50"/>
        <v>131.62123157592873</v>
      </c>
      <c r="K121" s="447">
        <f t="shared" si="50"/>
        <v>134.53517296928302</v>
      </c>
      <c r="L121" s="447">
        <f t="shared" si="50"/>
        <v>137.24843530061</v>
      </c>
      <c r="M121" s="447">
        <f t="shared" si="50"/>
        <v>139.6159144125275</v>
      </c>
      <c r="N121" s="447">
        <f t="shared" si="50"/>
        <v>140.67503728121306</v>
      </c>
      <c r="O121" s="320"/>
    </row>
    <row r="122" spans="1:15">
      <c r="A122" s="302">
        <f>SUM(C122:N122)</f>
        <v>0</v>
      </c>
      <c r="C122" s="302">
        <f t="shared" ref="C122:N122" si="51">SUM(C111:C120)-C121</f>
        <v>0</v>
      </c>
      <c r="D122" s="302">
        <f t="shared" si="51"/>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5">
      <c r="B124" s="334" t="s">
        <v>47</v>
      </c>
      <c r="C124" s="322"/>
      <c r="D124" s="322"/>
      <c r="E124" s="322"/>
      <c r="F124" s="322"/>
      <c r="G124" s="322"/>
      <c r="H124" s="332"/>
      <c r="I124" s="322"/>
      <c r="J124" s="322"/>
      <c r="K124" s="322"/>
      <c r="L124" s="322"/>
    </row>
    <row r="125" spans="1:15">
      <c r="C125" s="322"/>
      <c r="D125" s="322"/>
      <c r="E125" s="322"/>
      <c r="F125" s="322"/>
      <c r="G125" s="322"/>
      <c r="H125" s="332"/>
      <c r="I125" s="322"/>
      <c r="J125" s="322"/>
      <c r="K125" s="322"/>
      <c r="L125" s="322"/>
    </row>
    <row r="126" spans="1:15">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5">
      <c r="B127" s="331" t="str">
        <f t="shared" si="52"/>
        <v>20-24</v>
      </c>
      <c r="C127" s="447">
        <f>C93*Group_3_rates!E89</f>
        <v>5.2180801598930575</v>
      </c>
      <c r="D127" s="447">
        <f>D93*Group_3_rates!F89</f>
        <v>7.3279189256730737</v>
      </c>
      <c r="E127" s="447">
        <f>E93*Group_3_rates!G89</f>
        <v>9.8147655994788057</v>
      </c>
      <c r="F127" s="447">
        <f>F93*Group_3_rates!H89</f>
        <v>12.043465801549907</v>
      </c>
      <c r="G127" s="447">
        <f>G93*Group_3_rates!I89</f>
        <v>14.086114651534723</v>
      </c>
      <c r="H127" s="447">
        <f>H93*Group_3_rates!J89</f>
        <v>15.826170114326858</v>
      </c>
      <c r="I127" s="447">
        <f>I93*Group_3_rates!K89</f>
        <v>17.437378575811451</v>
      </c>
      <c r="J127" s="447">
        <f>J93*Group_3_rates!L89</f>
        <v>18.705057153842478</v>
      </c>
      <c r="K127" s="447">
        <f>K93*Group_3_rates!M89</f>
        <v>19.977308454047446</v>
      </c>
      <c r="L127" s="447">
        <f>L93*Group_3_rates!N89</f>
        <v>20.941103217042706</v>
      </c>
      <c r="M127" s="447">
        <f>M93*Group_3_rates!O89</f>
        <v>21.614309620418734</v>
      </c>
      <c r="N127" s="447">
        <f>N93*Group_3_rates!P89</f>
        <v>21.698487443478754</v>
      </c>
    </row>
    <row r="128" spans="1:15">
      <c r="B128" s="331" t="str">
        <f t="shared" si="52"/>
        <v>25-29</v>
      </c>
      <c r="C128" s="447">
        <f>C94*Group_3_rates!E90</f>
        <v>21.232233128876395</v>
      </c>
      <c r="D128" s="447">
        <f>D94*Group_3_rates!F90</f>
        <v>19.889022843254434</v>
      </c>
      <c r="E128" s="447">
        <f>E94*Group_3_rates!G90</f>
        <v>20.325317221415176</v>
      </c>
      <c r="F128" s="447">
        <f>F94*Group_3_rates!H90</f>
        <v>21.404713922171275</v>
      </c>
      <c r="G128" s="447">
        <f>G94*Group_3_rates!I90</f>
        <v>22.852099497725895</v>
      </c>
      <c r="H128" s="447">
        <f>H94*Group_3_rates!J90</f>
        <v>24.492187144712737</v>
      </c>
      <c r="I128" s="447">
        <f>I94*Group_3_rates!K90</f>
        <v>26.314259418829344</v>
      </c>
      <c r="J128" s="447">
        <f>J94*Group_3_rates!L90</f>
        <v>27.993500225926336</v>
      </c>
      <c r="K128" s="447">
        <f>K94*Group_3_rates!M90</f>
        <v>29.770843437503832</v>
      </c>
      <c r="L128" s="447">
        <f>L94*Group_3_rates!N90</f>
        <v>31.303867004798636</v>
      </c>
      <c r="M128" s="447">
        <f>M94*Group_3_rates!O90</f>
        <v>32.542407583280259</v>
      </c>
      <c r="N128" s="447">
        <f>N94*Group_3_rates!P90</f>
        <v>33.137508965729594</v>
      </c>
    </row>
    <row r="129" spans="1:14">
      <c r="B129" s="331" t="str">
        <f t="shared" si="52"/>
        <v>30-34</v>
      </c>
      <c r="C129" s="447">
        <f>C95*Group_3_rates!E91</f>
        <v>31.589922320592308</v>
      </c>
      <c r="D129" s="447">
        <f>D95*Group_3_rates!F91</f>
        <v>28.585259724071822</v>
      </c>
      <c r="E129" s="447">
        <f>E95*Group_3_rates!G91</f>
        <v>26.912109189688362</v>
      </c>
      <c r="F129" s="447">
        <f>F95*Group_3_rates!H91</f>
        <v>25.862492762710573</v>
      </c>
      <c r="G129" s="447">
        <f>G95*Group_3_rates!I91</f>
        <v>25.240308783808466</v>
      </c>
      <c r="H129" s="447">
        <f>H95*Group_3_rates!J91</f>
        <v>25.167914713977936</v>
      </c>
      <c r="I129" s="447">
        <f>I95*Group_3_rates!K91</f>
        <v>25.57274885562811</v>
      </c>
      <c r="J129" s="447">
        <f>J95*Group_3_rates!L91</f>
        <v>26.223578342229921</v>
      </c>
      <c r="K129" s="447">
        <f>K95*Group_3_rates!M91</f>
        <v>27.161493148105222</v>
      </c>
      <c r="L129" s="447">
        <f>L95*Group_3_rates!N91</f>
        <v>28.1621150676112</v>
      </c>
      <c r="M129" s="447">
        <f>M95*Group_3_rates!O91</f>
        <v>29.132176152434337</v>
      </c>
      <c r="N129" s="447">
        <f>N95*Group_3_rates!P91</f>
        <v>29.832666038674859</v>
      </c>
    </row>
    <row r="130" spans="1:14">
      <c r="B130" s="331" t="str">
        <f t="shared" si="52"/>
        <v>35-39</v>
      </c>
      <c r="C130" s="447">
        <f>C96*Group_3_rates!E92</f>
        <v>34.632573583099934</v>
      </c>
      <c r="D130" s="447">
        <f>D96*Group_3_rates!F92</f>
        <v>32.550332992552406</v>
      </c>
      <c r="E130" s="447">
        <f>E96*Group_3_rates!G92</f>
        <v>31.110063667123796</v>
      </c>
      <c r="F130" s="447">
        <f>F96*Group_3_rates!H92</f>
        <v>29.745567883119012</v>
      </c>
      <c r="G130" s="447">
        <f>G96*Group_3_rates!I92</f>
        <v>28.362776548120099</v>
      </c>
      <c r="H130" s="447">
        <f>H96*Group_3_rates!J92</f>
        <v>27.337848299812535</v>
      </c>
      <c r="I130" s="447">
        <f>I96*Group_3_rates!K92</f>
        <v>26.702238178579265</v>
      </c>
      <c r="J130" s="447">
        <f>J96*Group_3_rates!L92</f>
        <v>26.352604473912756</v>
      </c>
      <c r="K130" s="447">
        <f>K96*Group_3_rates!M92</f>
        <v>26.3399524613545</v>
      </c>
      <c r="L130" s="447">
        <f>L96*Group_3_rates!N92</f>
        <v>26.521108811806339</v>
      </c>
      <c r="M130" s="447">
        <f>M96*Group_3_rates!O92</f>
        <v>26.831063491542857</v>
      </c>
      <c r="N130" s="447">
        <f>N96*Group_3_rates!P92</f>
        <v>27.100614888472908</v>
      </c>
    </row>
    <row r="131" spans="1:14">
      <c r="B131" s="331" t="str">
        <f t="shared" si="52"/>
        <v>40-44</v>
      </c>
      <c r="C131" s="447">
        <f>C97*Group_3_rates!E93</f>
        <v>31.609399896145234</v>
      </c>
      <c r="D131" s="447">
        <f>D97*Group_3_rates!F93</f>
        <v>30.880176073935107</v>
      </c>
      <c r="E131" s="447">
        <f>E97*Group_3_rates!G93</f>
        <v>30.539250924989258</v>
      </c>
      <c r="F131" s="447">
        <f>F97*Group_3_rates!H93</f>
        <v>30.00109445230375</v>
      </c>
      <c r="G131" s="447">
        <f>G97*Group_3_rates!I93</f>
        <v>29.121407991235213</v>
      </c>
      <c r="H131" s="447">
        <f>H97*Group_3_rates!J93</f>
        <v>28.305014101332858</v>
      </c>
      <c r="I131" s="447">
        <f>I97*Group_3_rates!K93</f>
        <v>27.625145799127097</v>
      </c>
      <c r="J131" s="447">
        <f>J97*Group_3_rates!L93</f>
        <v>27.046235591212124</v>
      </c>
      <c r="K131" s="447">
        <f>K97*Group_3_rates!M93</f>
        <v>26.663985927151497</v>
      </c>
      <c r="L131" s="447">
        <f>L97*Group_3_rates!N93</f>
        <v>26.400531073331351</v>
      </c>
      <c r="M131" s="447">
        <f>M97*Group_3_rates!O93</f>
        <v>26.239408406386691</v>
      </c>
      <c r="N131" s="447">
        <f>N97*Group_3_rates!P93</f>
        <v>26.068640588734592</v>
      </c>
    </row>
    <row r="132" spans="1:14">
      <c r="B132" s="331" t="str">
        <f t="shared" si="52"/>
        <v>45-49</v>
      </c>
      <c r="C132" s="447">
        <f>C98*Group_3_rates!E94</f>
        <v>28.854877989127417</v>
      </c>
      <c r="D132" s="447">
        <f>D98*Group_3_rates!F94</f>
        <v>28.591797151488397</v>
      </c>
      <c r="E132" s="447">
        <f>E98*Group_3_rates!G94</f>
        <v>28.794441864103117</v>
      </c>
      <c r="F132" s="447">
        <f>F98*Group_3_rates!H94</f>
        <v>28.851710541733109</v>
      </c>
      <c r="G132" s="447">
        <f>G98*Group_3_rates!I94</f>
        <v>28.548329375877977</v>
      </c>
      <c r="H132" s="447">
        <f>H98*Group_3_rates!J94</f>
        <v>28.225960134556768</v>
      </c>
      <c r="I132" s="447">
        <f>I98*Group_3_rates!K94</f>
        <v>27.924524053647986</v>
      </c>
      <c r="J132" s="447">
        <f>J98*Group_3_rates!L94</f>
        <v>27.600926474506871</v>
      </c>
      <c r="K132" s="447">
        <f>K98*Group_3_rates!M94</f>
        <v>27.345632348320418</v>
      </c>
      <c r="L132" s="447">
        <f>L98*Group_3_rates!N94</f>
        <v>27.099703929568911</v>
      </c>
      <c r="M132" s="447">
        <f>M98*Group_3_rates!O94</f>
        <v>26.865929681229296</v>
      </c>
      <c r="N132" s="447">
        <f>N98*Group_3_rates!P94</f>
        <v>26.562544114245785</v>
      </c>
    </row>
    <row r="133" spans="1:14">
      <c r="B133" s="331" t="str">
        <f t="shared" si="52"/>
        <v>50-54</v>
      </c>
      <c r="C133" s="447">
        <f>C99*Group_3_rates!E95</f>
        <v>22.453160431149822</v>
      </c>
      <c r="D133" s="447">
        <f>D99*Group_3_rates!F95</f>
        <v>21.913874923095314</v>
      </c>
      <c r="E133" s="447">
        <f>E99*Group_3_rates!G95</f>
        <v>21.893837902148437</v>
      </c>
      <c r="F133" s="447">
        <f>F99*Group_3_rates!H95</f>
        <v>21.897400774494646</v>
      </c>
      <c r="G133" s="447">
        <f>G99*Group_3_rates!I95</f>
        <v>21.729284766230169</v>
      </c>
      <c r="H133" s="447">
        <f>H99*Group_3_rates!J95</f>
        <v>21.614696804619637</v>
      </c>
      <c r="I133" s="447">
        <f>I99*Group_3_rates!K95</f>
        <v>21.550758918084483</v>
      </c>
      <c r="J133" s="447">
        <f>J99*Group_3_rates!L95</f>
        <v>21.477517384097112</v>
      </c>
      <c r="K133" s="447">
        <f>K99*Group_3_rates!M95</f>
        <v>21.441286284375909</v>
      </c>
      <c r="L133" s="447">
        <f>L99*Group_3_rates!N95</f>
        <v>21.383247982406139</v>
      </c>
      <c r="M133" s="447">
        <f>M99*Group_3_rates!O95</f>
        <v>21.297255602000586</v>
      </c>
      <c r="N133" s="447">
        <f>N99*Group_3_rates!P95</f>
        <v>21.119391651469858</v>
      </c>
    </row>
    <row r="134" spans="1:14">
      <c r="B134" s="331" t="str">
        <f t="shared" si="52"/>
        <v>55-59</v>
      </c>
      <c r="C134" s="447">
        <f>C100*Group_3_rates!E96</f>
        <v>8.602388471453569</v>
      </c>
      <c r="D134" s="447">
        <f>D100*Group_3_rates!F96</f>
        <v>8.2758925678457746</v>
      </c>
      <c r="E134" s="447">
        <f>E100*Group_3_rates!G96</f>
        <v>8.1796452189673907</v>
      </c>
      <c r="F134" s="447">
        <f>F100*Group_3_rates!H96</f>
        <v>8.1206818524706499</v>
      </c>
      <c r="G134" s="447">
        <f>G100*Group_3_rates!I96</f>
        <v>8.0300244422503759</v>
      </c>
      <c r="H134" s="447">
        <f>H100*Group_3_rates!J96</f>
        <v>7.9816140470633226</v>
      </c>
      <c r="I134" s="447">
        <f>I100*Group_3_rates!K96</f>
        <v>7.9725681838646238</v>
      </c>
      <c r="J134" s="447">
        <f>J100*Group_3_rates!L96</f>
        <v>7.9712363813575555</v>
      </c>
      <c r="K134" s="447">
        <f>K100*Group_3_rates!M96</f>
        <v>7.9950694969619445</v>
      </c>
      <c r="L134" s="447">
        <f>L100*Group_3_rates!N96</f>
        <v>8.0112261794714126</v>
      </c>
      <c r="M134" s="447">
        <f>M100*Group_3_rates!O96</f>
        <v>8.013665456018277</v>
      </c>
      <c r="N134" s="447">
        <f>N100*Group_3_rates!P96</f>
        <v>7.9707037019906597</v>
      </c>
    </row>
    <row r="135" spans="1:14">
      <c r="B135" s="331" t="str">
        <f t="shared" si="52"/>
        <v>60-64</v>
      </c>
      <c r="C135" s="447">
        <f>C101*Group_3_rates!E97</f>
        <v>2.2868925989012485</v>
      </c>
      <c r="D135" s="447">
        <f>D101*Group_3_rates!F97</f>
        <v>2.4255616544067626</v>
      </c>
      <c r="E135" s="447">
        <f>E101*Group_3_rates!G97</f>
        <v>2.5187192550081394</v>
      </c>
      <c r="F135" s="447">
        <f>F101*Group_3_rates!H97</f>
        <v>2.5624358091711277</v>
      </c>
      <c r="G135" s="447">
        <f>G101*Group_3_rates!I97</f>
        <v>2.5682261333878516</v>
      </c>
      <c r="H135" s="447">
        <f>H101*Group_3_rates!J97</f>
        <v>2.5719069702407102</v>
      </c>
      <c r="I135" s="447">
        <f>I101*Group_3_rates!K97</f>
        <v>2.5832752926407609</v>
      </c>
      <c r="J135" s="447">
        <f>J101*Group_3_rates!L97</f>
        <v>2.5933597137149689</v>
      </c>
      <c r="K135" s="447">
        <f>K101*Group_3_rates!M97</f>
        <v>2.6137147895836597</v>
      </c>
      <c r="L135" s="447">
        <f>L101*Group_3_rates!N97</f>
        <v>2.6299256606027184</v>
      </c>
      <c r="M135" s="447">
        <f>M101*Group_3_rates!O97</f>
        <v>2.6400696488521214</v>
      </c>
      <c r="N135" s="447">
        <f>N101*Group_3_rates!P97</f>
        <v>2.629833383152361</v>
      </c>
    </row>
    <row r="136" spans="1:14">
      <c r="B136" s="331" t="str">
        <f t="shared" si="52"/>
        <v>65 plus</v>
      </c>
      <c r="C136" s="447">
        <f>C102*Group_3_rates!E98</f>
        <v>1.1200708017830472</v>
      </c>
      <c r="D136" s="447">
        <f>D102*Group_3_rates!F98</f>
        <v>1.269020534678319</v>
      </c>
      <c r="E136" s="447">
        <f>E102*Group_3_rates!G98</f>
        <v>1.4310725143199872</v>
      </c>
      <c r="F136" s="447">
        <f>F102*Group_3_rates!H98</f>
        <v>1.559795616625117</v>
      </c>
      <c r="G136" s="447">
        <f>G102*Group_3_rates!I98</f>
        <v>1.6453134831159761</v>
      </c>
      <c r="H136" s="447">
        <f>H102*Group_3_rates!J98</f>
        <v>1.7087703399515595</v>
      </c>
      <c r="I136" s="447">
        <f>I102*Group_3_rates!K98</f>
        <v>1.7600001896360771</v>
      </c>
      <c r="J136" s="447">
        <f>J102*Group_3_rates!L98</f>
        <v>1.7983324444921662</v>
      </c>
      <c r="K136" s="447">
        <f>K102*Group_3_rates!M98</f>
        <v>1.8346877146092193</v>
      </c>
      <c r="L136" s="447">
        <f>L102*Group_3_rates!N98</f>
        <v>1.8636241355697873</v>
      </c>
      <c r="M136" s="447">
        <f>M102*Group_3_rates!O98</f>
        <v>1.8850917851690332</v>
      </c>
      <c r="N136" s="447">
        <f>N102*Group_3_rates!P98</f>
        <v>1.8905031632320521</v>
      </c>
    </row>
    <row r="137" spans="1:14">
      <c r="B137" s="331" t="str">
        <f t="shared" si="52"/>
        <v>Total</v>
      </c>
      <c r="C137" s="447">
        <f>SUM(C127:C136)</f>
        <v>187.59959938102205</v>
      </c>
      <c r="D137" s="447">
        <f t="shared" ref="D137:N137" si="54">SUM(D127:D136)</f>
        <v>181.7088573910014</v>
      </c>
      <c r="E137" s="447">
        <f t="shared" si="54"/>
        <v>181.51922335724248</v>
      </c>
      <c r="F137" s="447">
        <f t="shared" si="54"/>
        <v>182.04935941634915</v>
      </c>
      <c r="G137" s="447">
        <f t="shared" si="54"/>
        <v>182.18388567328674</v>
      </c>
      <c r="H137" s="447">
        <f t="shared" si="54"/>
        <v>183.23208267059491</v>
      </c>
      <c r="I137" s="447">
        <f t="shared" si="54"/>
        <v>185.44289746584923</v>
      </c>
      <c r="J137" s="447">
        <f t="shared" si="54"/>
        <v>187.76234818529224</v>
      </c>
      <c r="K137" s="447">
        <f t="shared" si="54"/>
        <v>191.14397406201365</v>
      </c>
      <c r="L137" s="447">
        <f t="shared" si="54"/>
        <v>194.31645306220918</v>
      </c>
      <c r="M137" s="447">
        <f t="shared" si="54"/>
        <v>197.06137742733219</v>
      </c>
      <c r="N137" s="447">
        <f t="shared" si="54"/>
        <v>198.01089393918141</v>
      </c>
    </row>
    <row r="138" spans="1:14">
      <c r="A138" s="302">
        <f>SUM(C138:N138)</f>
        <v>0</v>
      </c>
      <c r="C138" s="302">
        <f t="shared" ref="C138:N138" si="55">SUM(C127:C136)-C137</f>
        <v>0</v>
      </c>
      <c r="D138" s="302">
        <f t="shared" si="55"/>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5">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row>
    <row r="146" spans="1:15">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row>
    <row r="147" spans="1:15">
      <c r="B147" s="331" t="str">
        <f t="shared" si="56"/>
        <v>30-34</v>
      </c>
      <c r="C147" s="447">
        <f>C79*Calc_SEC_retirement_rates!$G126</f>
        <v>4.1313239424872895E-2</v>
      </c>
      <c r="D147" s="447">
        <f>D79*Calc_SEC_retirement_rates!$G126</f>
        <v>3.647782201160947E-2</v>
      </c>
      <c r="E147" s="447">
        <f>E79*Calc_SEC_retirement_rates!$G126</f>
        <v>3.3462373129193083E-2</v>
      </c>
      <c r="F147" s="447">
        <f>F79*Calc_SEC_retirement_rates!$G126</f>
        <v>3.1600109728553358E-2</v>
      </c>
      <c r="G147" s="447">
        <f>G79*Calc_SEC_retirement_rates!$G126</f>
        <v>3.0912641115048711E-2</v>
      </c>
      <c r="H147" s="447">
        <f>H79*Calc_SEC_retirement_rates!$G126</f>
        <v>3.0981465490069086E-2</v>
      </c>
      <c r="I147" s="447">
        <f>I79*Calc_SEC_retirement_rates!$G126</f>
        <v>3.1680431529355124E-2</v>
      </c>
      <c r="J147" s="447">
        <f>J79*Calc_SEC_retirement_rates!$G126</f>
        <v>3.2700410955723333E-2</v>
      </c>
      <c r="K147" s="447">
        <f>K79*Calc_SEC_retirement_rates!$G126</f>
        <v>3.4077423311735883E-2</v>
      </c>
      <c r="L147" s="447">
        <f>L79*Calc_SEC_retirement_rates!$G126</f>
        <v>3.5525654313982295E-2</v>
      </c>
      <c r="M147" s="447">
        <f>M79*Calc_SEC_retirement_rates!$G126</f>
        <v>3.692354851908268E-2</v>
      </c>
      <c r="N147" s="447">
        <f>N79*Calc_SEC_retirement_rates!$G126</f>
        <v>3.7970729583178507E-2</v>
      </c>
      <c r="O147" s="320"/>
    </row>
    <row r="148" spans="1:15">
      <c r="B148" s="331" t="str">
        <f t="shared" si="56"/>
        <v>35-39</v>
      </c>
      <c r="C148" s="447">
        <f>C80*Calc_SEC_retirement_rates!$G127</f>
        <v>9.4021703817047289E-2</v>
      </c>
      <c r="D148" s="447">
        <f>D80*Calc_SEC_retirement_rates!$G127</f>
        <v>8.978964781763471E-2</v>
      </c>
      <c r="E148" s="447">
        <f>E80*Calc_SEC_retirement_rates!$G127</f>
        <v>8.5754479115576307E-2</v>
      </c>
      <c r="F148" s="447">
        <f>F80*Calc_SEC_retirement_rates!$G127</f>
        <v>8.172327009348454E-2</v>
      </c>
      <c r="G148" s="447">
        <f>G80*Calc_SEC_retirement_rates!$G127</f>
        <v>7.8623888259093722E-2</v>
      </c>
      <c r="H148" s="447">
        <f>H80*Calc_SEC_retirement_rates!$G127</f>
        <v>7.6324638737720524E-2</v>
      </c>
      <c r="I148" s="447">
        <f>I80*Calc_SEC_retirement_rates!$G127</f>
        <v>7.5000914418374545E-2</v>
      </c>
      <c r="J148" s="447">
        <f>J80*Calc_SEC_retirement_rates!$G127</f>
        <v>7.4420667259651629E-2</v>
      </c>
      <c r="K148" s="447">
        <f>K80*Calc_SEC_retirement_rates!$G127</f>
        <v>7.4749826053861754E-2</v>
      </c>
      <c r="L148" s="447">
        <f>L80*Calc_SEC_retirement_rates!$G127</f>
        <v>7.5609555105534645E-2</v>
      </c>
      <c r="M148" s="447">
        <f>M80*Calc_SEC_retirement_rates!$G127</f>
        <v>7.6824183838612031E-2</v>
      </c>
      <c r="N148" s="447">
        <f>N80*Calc_SEC_retirement_rates!$G127</f>
        <v>7.7926393963695717E-2</v>
      </c>
      <c r="O148" s="320"/>
    </row>
    <row r="149" spans="1:15">
      <c r="B149" s="331" t="str">
        <f t="shared" si="56"/>
        <v>40-44</v>
      </c>
      <c r="C149" s="447">
        <f>C81*Calc_SEC_retirement_rates!$G128</f>
        <v>0.16632505582607174</v>
      </c>
      <c r="D149" s="447">
        <f>D81*Calc_SEC_retirement_rates!$G128</f>
        <v>0.16297537230296968</v>
      </c>
      <c r="E149" s="447">
        <f>E81*Calc_SEC_retirement_rates!$G128</f>
        <v>0.16075442662963899</v>
      </c>
      <c r="F149" s="447">
        <f>F81*Calc_SEC_retirement_rates!$G128</f>
        <v>0.15781864563704306</v>
      </c>
      <c r="G149" s="447">
        <f>G81*Calc_SEC_retirement_rates!$G128</f>
        <v>0.15527762190267663</v>
      </c>
      <c r="H149" s="447">
        <f>H81*Calc_SEC_retirement_rates!$G128</f>
        <v>0.15272017058512094</v>
      </c>
      <c r="I149" s="447">
        <f>I81*Calc_SEC_retirement_rates!$G128</f>
        <v>0.15057603077970619</v>
      </c>
      <c r="J149" s="447">
        <f>J81*Calc_SEC_retirement_rates!$G128</f>
        <v>0.14871039559128735</v>
      </c>
      <c r="K149" s="447">
        <f>K81*Calc_SEC_retirement_rates!$G128</f>
        <v>0.14770333826646775</v>
      </c>
      <c r="L149" s="447">
        <f>L81*Calc_SEC_retirement_rates!$G128</f>
        <v>0.14718846400684352</v>
      </c>
      <c r="M149" s="447">
        <f>M81*Calc_SEC_retirement_rates!$G128</f>
        <v>0.14712027248029005</v>
      </c>
      <c r="N149" s="447">
        <f>N81*Calc_SEC_retirement_rates!$G128</f>
        <v>0.14692309108917415</v>
      </c>
      <c r="O149" s="320"/>
    </row>
    <row r="150" spans="1:15">
      <c r="B150" s="331" t="str">
        <f t="shared" si="56"/>
        <v>45-49</v>
      </c>
      <c r="C150" s="447">
        <f>C82*Calc_SEC_retirement_rates!$G129</f>
        <v>0.34111631426804795</v>
      </c>
      <c r="D150" s="447">
        <f>D82*Calc_SEC_retirement_rates!$G129</f>
        <v>0.32601939161506194</v>
      </c>
      <c r="E150" s="447">
        <f>E82*Calc_SEC_retirement_rates!$G129</f>
        <v>0.31705580149285306</v>
      </c>
      <c r="F150" s="447">
        <f>F82*Calc_SEC_retirement_rates!$G129</f>
        <v>0.30978564988449531</v>
      </c>
      <c r="G150" s="447">
        <f>G82*Calc_SEC_retirement_rates!$G129</f>
        <v>0.30536834366449173</v>
      </c>
      <c r="H150" s="447">
        <f>H82*Calc_SEC_retirement_rates!$G129</f>
        <v>0.30194522055860873</v>
      </c>
      <c r="I150" s="447">
        <f>I82*Calc_SEC_retirement_rates!$G129</f>
        <v>0.29947242657865719</v>
      </c>
      <c r="J150" s="447">
        <f>J82*Calc_SEC_retirement_rates!$G129</f>
        <v>0.29716953742264834</v>
      </c>
      <c r="K150" s="447">
        <f>K82*Calc_SEC_retirement_rates!$G129</f>
        <v>0.29577584801177181</v>
      </c>
      <c r="L150" s="447">
        <f>L82*Calc_SEC_retirement_rates!$G129</f>
        <v>0.29454015217919183</v>
      </c>
      <c r="M150" s="447">
        <f>M82*Calc_SEC_retirement_rates!$G129</f>
        <v>0.29341646290465545</v>
      </c>
      <c r="N150" s="447">
        <f>N82*Calc_SEC_retirement_rates!$G129</f>
        <v>0.29150267763608567</v>
      </c>
      <c r="O150" s="320"/>
    </row>
    <row r="151" spans="1:15">
      <c r="B151" s="331" t="str">
        <f t="shared" si="56"/>
        <v>50-54</v>
      </c>
      <c r="C151" s="447">
        <f>C83*Calc_SEC_retirement_rates!$G130</f>
        <v>6.0321994053795107</v>
      </c>
      <c r="D151" s="447">
        <f>D83*Calc_SEC_retirement_rates!$G130</f>
        <v>5.8313943561740649</v>
      </c>
      <c r="E151" s="447">
        <f>E83*Calc_SEC_retirement_rates!$G130</f>
        <v>5.687171362736243</v>
      </c>
      <c r="F151" s="447">
        <f>F83*Calc_SEC_retirement_rates!$G130</f>
        <v>5.5494194718293297</v>
      </c>
      <c r="G151" s="447">
        <f>G83*Calc_SEC_retirement_rates!$G130</f>
        <v>5.458164214544218</v>
      </c>
      <c r="H151" s="447">
        <f>H83*Calc_SEC_retirement_rates!$G130</f>
        <v>5.3894172036158894</v>
      </c>
      <c r="I151" s="447">
        <f>I83*Calc_SEC_retirement_rates!$G130</f>
        <v>5.3445617973625588</v>
      </c>
      <c r="J151" s="447">
        <f>J83*Calc_SEC_retirement_rates!$G130</f>
        <v>5.3088620344972854</v>
      </c>
      <c r="K151" s="447">
        <f>K83*Calc_SEC_retirement_rates!$G130</f>
        <v>5.2917036667039152</v>
      </c>
      <c r="L151" s="447">
        <f>L83*Calc_SEC_retirement_rates!$G130</f>
        <v>5.27702833474864</v>
      </c>
      <c r="M151" s="447">
        <f>M83*Calc_SEC_retirement_rates!$G130</f>
        <v>5.2613627412165584</v>
      </c>
      <c r="N151" s="447">
        <f>N83*Calc_SEC_retirement_rates!$G130</f>
        <v>5.2277119542959829</v>
      </c>
      <c r="O151" s="320"/>
    </row>
    <row r="152" spans="1:15">
      <c r="B152" s="331" t="str">
        <f t="shared" si="56"/>
        <v>55-59</v>
      </c>
      <c r="C152" s="447">
        <f>C84*Calc_SEC_retirement_rates!$G131</f>
        <v>26.095241434859389</v>
      </c>
      <c r="D152" s="447">
        <f>D84*Calc_SEC_retirement_rates!$G131</f>
        <v>23.794295799329245</v>
      </c>
      <c r="E152" s="447">
        <f>E84*Calc_SEC_retirement_rates!$G131</f>
        <v>22.412527268505919</v>
      </c>
      <c r="F152" s="447">
        <f>F84*Calc_SEC_retirement_rates!$G131</f>
        <v>21.437241371380246</v>
      </c>
      <c r="G152" s="447">
        <f>G84*Calc_SEC_retirement_rates!$G131</f>
        <v>20.83406235613964</v>
      </c>
      <c r="H152" s="447">
        <f>H84*Calc_SEC_retirement_rates!$G131</f>
        <v>20.424198826372372</v>
      </c>
      <c r="I152" s="447">
        <f>I84*Calc_SEC_retirement_rates!$G131</f>
        <v>20.175897358211476</v>
      </c>
      <c r="J152" s="447">
        <f>J84*Calc_SEC_retirement_rates!$G131</f>
        <v>20.000356054722925</v>
      </c>
      <c r="K152" s="447">
        <f>K84*Calc_SEC_retirement_rates!$G131</f>
        <v>19.931897585339982</v>
      </c>
      <c r="L152" s="447">
        <f>L84*Calc_SEC_retirement_rates!$G131</f>
        <v>19.884438770924948</v>
      </c>
      <c r="M152" s="447">
        <f>M84*Calc_SEC_retirement_rates!$G131</f>
        <v>19.837052563917695</v>
      </c>
      <c r="N152" s="447">
        <f>N84*Calc_SEC_retirement_rates!$G131</f>
        <v>19.707055309046691</v>
      </c>
      <c r="O152" s="320"/>
    </row>
    <row r="153" spans="1:15">
      <c r="B153" s="331" t="str">
        <f t="shared" si="56"/>
        <v>60-64</v>
      </c>
      <c r="C153" s="447">
        <f>C85*Calc_SEC_retirement_rates!$G132</f>
        <v>13.88621659838882</v>
      </c>
      <c r="D153" s="447">
        <f>D85*Calc_SEC_retirement_rates!$G132</f>
        <v>13.886363974948395</v>
      </c>
      <c r="E153" s="447">
        <f>E85*Calc_SEC_retirement_rates!$G132</f>
        <v>13.542197558638788</v>
      </c>
      <c r="F153" s="447">
        <f>F85*Calc_SEC_retirement_rates!$G132</f>
        <v>13.084433720418629</v>
      </c>
      <c r="G153" s="447">
        <f>G85*Calc_SEC_retirement_rates!$G132</f>
        <v>12.743043075422264</v>
      </c>
      <c r="H153" s="447">
        <f>H85*Calc_SEC_retirement_rates!$G132</f>
        <v>12.481579430831534</v>
      </c>
      <c r="I153" s="447">
        <f>I85*Calc_SEC_retirement_rates!$G132</f>
        <v>12.321562174780079</v>
      </c>
      <c r="J153" s="447">
        <f>J85*Calc_SEC_retirement_rates!$G132</f>
        <v>12.20567288400467</v>
      </c>
      <c r="K153" s="447">
        <f>K85*Calc_SEC_retirement_rates!$G132</f>
        <v>12.173949079828725</v>
      </c>
      <c r="L153" s="447">
        <f>L85*Calc_SEC_retirement_rates!$G132</f>
        <v>12.15410509939994</v>
      </c>
      <c r="M153" s="447">
        <f>M85*Calc_SEC_retirement_rates!$G132</f>
        <v>12.131961586399765</v>
      </c>
      <c r="N153" s="447">
        <f>N85*Calc_SEC_retirement_rates!$G132</f>
        <v>12.039132463428508</v>
      </c>
      <c r="O153" s="320"/>
    </row>
    <row r="154" spans="1:15">
      <c r="B154" s="331" t="str">
        <f t="shared" si="56"/>
        <v>65 plus</v>
      </c>
      <c r="C154" s="447">
        <f>C86*Calc_SEC_retirement_rates!$G133</f>
        <v>3.4133838550452076</v>
      </c>
      <c r="D154" s="447">
        <f>D86*Calc_SEC_retirement_rates!$G133</f>
        <v>4.109404250335901</v>
      </c>
      <c r="E154" s="447">
        <f>E86*Calc_SEC_retirement_rates!$G133</f>
        <v>4.6135201816780977</v>
      </c>
      <c r="F154" s="447">
        <f>F86*Calc_SEC_retirement_rates!$G133</f>
        <v>4.885465909317932</v>
      </c>
      <c r="G154" s="447">
        <f>G86*Calc_SEC_retirement_rates!$G133</f>
        <v>5.0451392858819428</v>
      </c>
      <c r="H154" s="447">
        <f>H86*Calc_SEC_retirement_rates!$G133</f>
        <v>5.1206186953597772</v>
      </c>
      <c r="I154" s="447">
        <f>I86*Calc_SEC_retirement_rates!$G133</f>
        <v>5.162016515145293</v>
      </c>
      <c r="J154" s="447">
        <f>J86*Calc_SEC_retirement_rates!$G133</f>
        <v>5.176662546844228</v>
      </c>
      <c r="K154" s="447">
        <f>K86*Calc_SEC_retirement_rates!$G133</f>
        <v>5.19956417154261</v>
      </c>
      <c r="L154" s="447">
        <f>L86*Calc_SEC_retirement_rates!$G133</f>
        <v>5.2145301050370092</v>
      </c>
      <c r="M154" s="447">
        <f>M86*Calc_SEC_retirement_rates!$G133</f>
        <v>5.2206427555253994</v>
      </c>
      <c r="N154" s="447">
        <f>N86*Calc_SEC_retirement_rates!$G133</f>
        <v>5.1918941843722237</v>
      </c>
      <c r="O154" s="320"/>
    </row>
    <row r="155" spans="1:15">
      <c r="B155" s="331" t="str">
        <f t="shared" si="56"/>
        <v>Total</v>
      </c>
      <c r="C155" s="447">
        <f>SUM(C145:C154)</f>
        <v>50.069817607008972</v>
      </c>
      <c r="D155" s="447">
        <f t="shared" ref="D155:N155" si="58">SUM(D145:D154)</f>
        <v>48.236720614534882</v>
      </c>
      <c r="E155" s="447">
        <f t="shared" si="58"/>
        <v>46.852443451926312</v>
      </c>
      <c r="F155" s="447">
        <f t="shared" si="58"/>
        <v>45.537488148289711</v>
      </c>
      <c r="G155" s="447">
        <f t="shared" si="58"/>
        <v>44.650591426929381</v>
      </c>
      <c r="H155" s="447">
        <f t="shared" si="58"/>
        <v>43.977785651551088</v>
      </c>
      <c r="I155" s="447">
        <f t="shared" si="58"/>
        <v>43.560767648805495</v>
      </c>
      <c r="J155" s="447">
        <f t="shared" si="58"/>
        <v>43.244554531298419</v>
      </c>
      <c r="K155" s="447">
        <f t="shared" si="58"/>
        <v>43.14942093905907</v>
      </c>
      <c r="L155" s="447">
        <f t="shared" si="58"/>
        <v>43.082966135716084</v>
      </c>
      <c r="M155" s="447">
        <f t="shared" si="58"/>
        <v>43.005304114802051</v>
      </c>
      <c r="N155" s="447">
        <f t="shared" si="58"/>
        <v>42.720116803415543</v>
      </c>
      <c r="O155" s="320"/>
    </row>
    <row r="156" spans="1:15">
      <c r="A156" s="302">
        <f>SUM(C156:N156)</f>
        <v>0</v>
      </c>
      <c r="C156" s="302">
        <f t="shared" ref="C156:N156" si="59">SUM(C145:C154)-C155</f>
        <v>0</v>
      </c>
      <c r="D156" s="302">
        <f t="shared" si="59"/>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5">
      <c r="B158" s="334" t="s">
        <v>47</v>
      </c>
      <c r="C158" s="322"/>
      <c r="D158" s="322"/>
      <c r="E158" s="322"/>
      <c r="F158" s="322"/>
      <c r="G158" s="322"/>
      <c r="H158" s="332"/>
      <c r="I158" s="322"/>
      <c r="J158" s="322"/>
      <c r="K158" s="322"/>
      <c r="L158" s="322"/>
    </row>
    <row r="159" spans="1:15">
      <c r="C159" s="322"/>
      <c r="D159" s="322"/>
      <c r="E159" s="322"/>
      <c r="F159" s="322"/>
      <c r="G159" s="322"/>
      <c r="H159" s="332"/>
      <c r="I159" s="322"/>
      <c r="J159" s="322"/>
      <c r="K159" s="322"/>
      <c r="L159" s="322"/>
    </row>
    <row r="160" spans="1:15">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7">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c r="P161" s="320"/>
      <c r="Q161" s="320"/>
    </row>
    <row r="162" spans="1:17">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c r="P162" s="320"/>
      <c r="Q162" s="320"/>
    </row>
    <row r="163" spans="1:17">
      <c r="B163" s="331" t="str">
        <f t="shared" si="60"/>
        <v>30-34</v>
      </c>
      <c r="C163" s="447">
        <f>C95*Calc_SEC_retirement_rates!$G142</f>
        <v>3.2867455407937826E-2</v>
      </c>
      <c r="D163" s="447">
        <f>D95*Calc_SEC_retirement_rates!$G142</f>
        <v>2.9595018395214195E-2</v>
      </c>
      <c r="E163" s="447">
        <f>E95*Calc_SEC_retirement_rates!$G142</f>
        <v>2.7406538018357289E-2</v>
      </c>
      <c r="F163" s="447">
        <f>F95*Calc_SEC_retirement_rates!$G142</f>
        <v>2.6003353131743671E-2</v>
      </c>
      <c r="G163" s="447">
        <f>G95*Calc_SEC_retirement_rates!$G142</f>
        <v>2.5377780420530308E-2</v>
      </c>
      <c r="H163" s="447">
        <f>H95*Calc_SEC_retirement_rates!$G142</f>
        <v>2.530499205555253E-2</v>
      </c>
      <c r="I163" s="447">
        <f>I95*Calc_SEC_retirement_rates!$G142</f>
        <v>2.5712031131085649E-2</v>
      </c>
      <c r="J163" s="447">
        <f>J95*Calc_SEC_retirement_rates!$G142</f>
        <v>2.6366405368091123E-2</v>
      </c>
      <c r="K163" s="447">
        <f>K95*Calc_SEC_retirement_rates!$G142</f>
        <v>2.730942853791608E-2</v>
      </c>
      <c r="L163" s="447">
        <f>L95*Calc_SEC_retirement_rates!$G142</f>
        <v>2.8315500356398828E-2</v>
      </c>
      <c r="M163" s="447">
        <f>M95*Calc_SEC_retirement_rates!$G142</f>
        <v>2.9290844890255532E-2</v>
      </c>
      <c r="N163" s="447">
        <f>N95*Calc_SEC_retirement_rates!$G142</f>
        <v>2.9995150002846631E-2</v>
      </c>
      <c r="O163" s="320"/>
      <c r="P163" s="320"/>
      <c r="Q163" s="320"/>
    </row>
    <row r="164" spans="1:17">
      <c r="B164" s="331" t="str">
        <f t="shared" si="60"/>
        <v>35-39</v>
      </c>
      <c r="C164" s="447">
        <f>C96*Calc_SEC_retirement_rates!$G143</f>
        <v>0.13811280613853841</v>
      </c>
      <c r="D164" s="447">
        <f>D96*Calc_SEC_retirement_rates!$G143</f>
        <v>0.12917056722577508</v>
      </c>
      <c r="E164" s="447">
        <f>E96*Calc_SEC_retirement_rates!$G143</f>
        <v>0.121433636856299</v>
      </c>
      <c r="F164" s="447">
        <f>F96*Calc_SEC_retirement_rates!$G143</f>
        <v>0.11463385448441941</v>
      </c>
      <c r="G164" s="447">
        <f>G96*Calc_SEC_retirement_rates!$G143</f>
        <v>0.10930483534108208</v>
      </c>
      <c r="H164" s="447">
        <f>H96*Calc_SEC_retirement_rates!$G143</f>
        <v>0.10535495359281201</v>
      </c>
      <c r="I164" s="447">
        <f>I96*Calc_SEC_retirement_rates!$G143</f>
        <v>0.10290543108133798</v>
      </c>
      <c r="J164" s="447">
        <f>J96*Calc_SEC_retirement_rates!$G143</f>
        <v>0.10155800818522527</v>
      </c>
      <c r="K164" s="447">
        <f>K96*Calc_SEC_retirement_rates!$G143</f>
        <v>0.10150924969548196</v>
      </c>
      <c r="L164" s="447">
        <f>L96*Calc_SEC_retirement_rates!$G143</f>
        <v>0.10220739238343549</v>
      </c>
      <c r="M164" s="447">
        <f>M96*Calc_SEC_retirement_rates!$G143</f>
        <v>0.10340189973973461</v>
      </c>
      <c r="N164" s="447">
        <f>N96*Calc_SEC_retirement_rates!$G143</f>
        <v>0.10444070040184224</v>
      </c>
      <c r="O164" s="320"/>
      <c r="P164" s="320"/>
      <c r="Q164" s="320"/>
    </row>
    <row r="165" spans="1:17">
      <c r="B165" s="331" t="str">
        <f t="shared" si="60"/>
        <v>40-44</v>
      </c>
      <c r="C165" s="447">
        <f>C97*Calc_SEC_retirement_rates!$G144</f>
        <v>0.29191472780969763</v>
      </c>
      <c r="D165" s="447">
        <f>D97*Calc_SEC_retirement_rates!$G144</f>
        <v>0.2837778350635457</v>
      </c>
      <c r="E165" s="447">
        <f>E97*Calc_SEC_retirement_rates!$G144</f>
        <v>0.27604955717835494</v>
      </c>
      <c r="F165" s="447">
        <f>F97*Calc_SEC_retirement_rates!$G144</f>
        <v>0.26774310862980816</v>
      </c>
      <c r="G165" s="447">
        <f>G97*Calc_SEC_retirement_rates!$G144</f>
        <v>0.25989239544731096</v>
      </c>
      <c r="H165" s="447">
        <f>H97*Calc_SEC_retirement_rates!$G144</f>
        <v>0.25260653331663613</v>
      </c>
      <c r="I165" s="447">
        <f>I97*Calc_SEC_retirement_rates!$G144</f>
        <v>0.24653908624463566</v>
      </c>
      <c r="J165" s="447">
        <f>J97*Calc_SEC_retirement_rates!$G144</f>
        <v>0.24137263410299448</v>
      </c>
      <c r="K165" s="447">
        <f>K97*Calc_SEC_retirement_rates!$G144</f>
        <v>0.23796126811129706</v>
      </c>
      <c r="L165" s="447">
        <f>L97*Calc_SEC_retirement_rates!$G144</f>
        <v>0.23561007983523063</v>
      </c>
      <c r="M165" s="447">
        <f>M97*Calc_SEC_retirement_rates!$G144</f>
        <v>0.23417214950281987</v>
      </c>
      <c r="N165" s="447">
        <f>N97*Calc_SEC_retirement_rates!$G144</f>
        <v>0.23264814155621677</v>
      </c>
      <c r="O165" s="320"/>
      <c r="P165" s="320"/>
      <c r="Q165" s="320"/>
    </row>
    <row r="166" spans="1:17">
      <c r="B166" s="331" t="str">
        <f t="shared" si="60"/>
        <v>45-49</v>
      </c>
      <c r="C166" s="447">
        <f>C98*Calc_SEC_retirement_rates!$G145</f>
        <v>0.36339058893479032</v>
      </c>
      <c r="D166" s="447">
        <f>D98*Calc_SEC_retirement_rates!$G145</f>
        <v>0.3583066221901392</v>
      </c>
      <c r="E166" s="447">
        <f>E98*Calc_SEC_retirement_rates!$G145</f>
        <v>0.35493760694322085</v>
      </c>
      <c r="F166" s="447">
        <f>F98*Calc_SEC_retirement_rates!$G145</f>
        <v>0.35112960443961444</v>
      </c>
      <c r="G166" s="447">
        <f>G98*Calc_SEC_retirement_rates!$G145</f>
        <v>0.34743741057100291</v>
      </c>
      <c r="H166" s="447">
        <f>H98*Calc_SEC_retirement_rates!$G145</f>
        <v>0.34351412900248435</v>
      </c>
      <c r="I166" s="447">
        <f>I98*Calc_SEC_retirement_rates!$G145</f>
        <v>0.33984560710669481</v>
      </c>
      <c r="J166" s="447">
        <f>J98*Calc_SEC_retirement_rates!$G145</f>
        <v>0.33590737648438623</v>
      </c>
      <c r="K166" s="447">
        <f>K98*Calc_SEC_retirement_rates!$G145</f>
        <v>0.33280040903391417</v>
      </c>
      <c r="L166" s="447">
        <f>L98*Calc_SEC_retirement_rates!$G145</f>
        <v>0.32980742363459897</v>
      </c>
      <c r="M166" s="447">
        <f>M98*Calc_SEC_retirement_rates!$G145</f>
        <v>0.32696235629521458</v>
      </c>
      <c r="N166" s="447">
        <f>N98*Calc_SEC_retirement_rates!$G145</f>
        <v>0.32327010886421675</v>
      </c>
      <c r="O166" s="320"/>
      <c r="P166" s="320"/>
      <c r="Q166" s="320"/>
    </row>
    <row r="167" spans="1:17">
      <c r="B167" s="331" t="str">
        <f t="shared" si="60"/>
        <v>50-54</v>
      </c>
      <c r="C167" s="447">
        <f>C99*Calc_SEC_retirement_rates!$G146</f>
        <v>6.563656382120457</v>
      </c>
      <c r="D167" s="447">
        <f>D99*Calc_SEC_retirement_rates!$G146</f>
        <v>6.3745052525232042</v>
      </c>
      <c r="E167" s="447">
        <f>E99*Calc_SEC_retirement_rates!$G146</f>
        <v>6.2643955785650967</v>
      </c>
      <c r="F167" s="447">
        <f>F99*Calc_SEC_retirement_rates!$G146</f>
        <v>6.185892548472526</v>
      </c>
      <c r="G167" s="447">
        <f>G99*Calc_SEC_retirement_rates!$G146</f>
        <v>6.1384007217707257</v>
      </c>
      <c r="H167" s="447">
        <f>H99*Calc_SEC_retirement_rates!$G146</f>
        <v>6.1060302671596531</v>
      </c>
      <c r="I167" s="447">
        <f>I99*Calc_SEC_retirement_rates!$G146</f>
        <v>6.0879681738566171</v>
      </c>
      <c r="J167" s="447">
        <f>J99*Calc_SEC_retirement_rates!$G146</f>
        <v>6.0672778524802613</v>
      </c>
      <c r="K167" s="447">
        <f>K99*Calc_SEC_retirement_rates!$G146</f>
        <v>6.0570427706047258</v>
      </c>
      <c r="L167" s="447">
        <f>L99*Calc_SEC_retirement_rates!$G146</f>
        <v>6.0406472767569364</v>
      </c>
      <c r="M167" s="447">
        <f>M99*Calc_SEC_retirement_rates!$G146</f>
        <v>6.016354912989466</v>
      </c>
      <c r="N167" s="447">
        <f>N99*Calc_SEC_retirement_rates!$G146</f>
        <v>5.9661093474284863</v>
      </c>
      <c r="O167" s="320"/>
      <c r="P167" s="320"/>
      <c r="Q167" s="320"/>
    </row>
    <row r="168" spans="1:17">
      <c r="B168" s="331" t="str">
        <f t="shared" si="60"/>
        <v>55-59</v>
      </c>
      <c r="C168" s="447">
        <f>C100*Calc_SEC_retirement_rates!$G147</f>
        <v>26.33104095499165</v>
      </c>
      <c r="D168" s="447">
        <f>D100*Calc_SEC_retirement_rates!$G147</f>
        <v>25.207093331639818</v>
      </c>
      <c r="E168" s="447">
        <f>E100*Calc_SEC_retirement_rates!$G147</f>
        <v>24.505996293217233</v>
      </c>
      <c r="F168" s="447">
        <f>F100*Calc_SEC_retirement_rates!$G147</f>
        <v>24.020548568767516</v>
      </c>
      <c r="G168" s="447">
        <f>G100*Calc_SEC_retirement_rates!$G147</f>
        <v>23.752388731345455</v>
      </c>
      <c r="H168" s="447">
        <f>H100*Calc_SEC_retirement_rates!$G147</f>
        <v>23.609193335940322</v>
      </c>
      <c r="I168" s="447">
        <f>I100*Calc_SEC_retirement_rates!$G147</f>
        <v>23.582436149751004</v>
      </c>
      <c r="J168" s="447">
        <f>J100*Calc_SEC_retirement_rates!$G147</f>
        <v>23.578496748185199</v>
      </c>
      <c r="K168" s="447">
        <f>K100*Calc_SEC_retirement_rates!$G147</f>
        <v>23.648993846990528</v>
      </c>
      <c r="L168" s="447">
        <f>L100*Calc_SEC_retirement_rates!$G147</f>
        <v>23.696784461618631</v>
      </c>
      <c r="M168" s="447">
        <f>M100*Calc_SEC_retirement_rates!$G147</f>
        <v>23.703999712976959</v>
      </c>
      <c r="N168" s="447">
        <f>N100*Calc_SEC_retirement_rates!$G147</f>
        <v>23.576921110715766</v>
      </c>
      <c r="O168" s="320"/>
      <c r="P168" s="320"/>
      <c r="Q168" s="320"/>
    </row>
    <row r="169" spans="1:17">
      <c r="B169" s="331" t="str">
        <f t="shared" si="60"/>
        <v>60-64</v>
      </c>
      <c r="C169" s="447">
        <f>C101*Calc_SEC_retirement_rates!$G148</f>
        <v>14.302153398901218</v>
      </c>
      <c r="D169" s="447">
        <f>D101*Calc_SEC_retirement_rates!$G148</f>
        <v>15.094784887720168</v>
      </c>
      <c r="E169" s="447">
        <f>E101*Calc_SEC_retirement_rates!$G148</f>
        <v>15.417868726660549</v>
      </c>
      <c r="F169" s="447">
        <f>F101*Calc_SEC_retirement_rates!$G148</f>
        <v>15.486386892085333</v>
      </c>
      <c r="G169" s="447">
        <f>G101*Calc_SEC_retirement_rates!$G148</f>
        <v>15.521381408135202</v>
      </c>
      <c r="H169" s="447">
        <f>H101*Calc_SEC_retirement_rates!$G148</f>
        <v>15.543626985326245</v>
      </c>
      <c r="I169" s="447">
        <f>I101*Calc_SEC_retirement_rates!$G148</f>
        <v>15.612332799681102</v>
      </c>
      <c r="J169" s="447">
        <f>J101*Calc_SEC_retirement_rates!$G148</f>
        <v>15.673279203013015</v>
      </c>
      <c r="K169" s="447">
        <f>K101*Calc_SEC_retirement_rates!$G148</f>
        <v>15.79629753541068</v>
      </c>
      <c r="L169" s="447">
        <f>L101*Calc_SEC_retirement_rates!$G148</f>
        <v>15.894269870780144</v>
      </c>
      <c r="M169" s="447">
        <f>M101*Calc_SEC_retirement_rates!$G148</f>
        <v>15.955576275450566</v>
      </c>
      <c r="N169" s="447">
        <f>N101*Calc_SEC_retirement_rates!$G148</f>
        <v>15.893712180986498</v>
      </c>
      <c r="O169" s="320"/>
      <c r="P169" s="320"/>
      <c r="Q169" s="320"/>
    </row>
    <row r="170" spans="1:17">
      <c r="B170" s="331" t="str">
        <f t="shared" si="60"/>
        <v>65 plus</v>
      </c>
      <c r="C170" s="447">
        <f>C102*Calc_SEC_retirement_rates!$G149</f>
        <v>4.0843994980550002</v>
      </c>
      <c r="D170" s="447">
        <f>D102*Calc_SEC_retirement_rates!$G149</f>
        <v>4.6047953641362858</v>
      </c>
      <c r="E170" s="447">
        <f>E102*Calc_SEC_retirement_rates!$G149</f>
        <v>5.1077931008004454</v>
      </c>
      <c r="F170" s="447">
        <f>F102*Calc_SEC_retirement_rates!$G149</f>
        <v>5.4965714896591686</v>
      </c>
      <c r="G170" s="447">
        <f>G102*Calc_SEC_retirement_rates!$G149</f>
        <v>5.7979283224390814</v>
      </c>
      <c r="H170" s="447">
        <f>H102*Calc_SEC_retirement_rates!$G149</f>
        <v>6.0215442541600126</v>
      </c>
      <c r="I170" s="447">
        <f>I102*Calc_SEC_retirement_rates!$G149</f>
        <v>6.202073374894888</v>
      </c>
      <c r="J170" s="447">
        <f>J102*Calc_SEC_retirement_rates!$G149</f>
        <v>6.337152597410082</v>
      </c>
      <c r="K170" s="447">
        <f>K102*Calc_SEC_retirement_rates!$G149</f>
        <v>6.4652651136233388</v>
      </c>
      <c r="L170" s="447">
        <f>L102*Calc_SEC_retirement_rates!$G149</f>
        <v>6.5672343105933679</v>
      </c>
      <c r="M170" s="447">
        <f>M102*Calc_SEC_retirement_rates!$G149</f>
        <v>6.6428842672155808</v>
      </c>
      <c r="N170" s="447">
        <f>N102*Calc_SEC_retirement_rates!$G149</f>
        <v>6.6619534491416799</v>
      </c>
      <c r="O170" s="320"/>
      <c r="P170" s="320"/>
      <c r="Q170" s="320"/>
    </row>
    <row r="171" spans="1:17">
      <c r="B171" s="331" t="str">
        <f t="shared" si="60"/>
        <v>Total</v>
      </c>
      <c r="C171" s="447">
        <f>SUM(C161:C170)</f>
        <v>52.107535812359288</v>
      </c>
      <c r="D171" s="447">
        <f t="shared" ref="D171:N171" si="62">SUM(D161:D170)</f>
        <v>52.08202887889415</v>
      </c>
      <c r="E171" s="447">
        <f t="shared" si="62"/>
        <v>52.075881038239551</v>
      </c>
      <c r="F171" s="447">
        <f t="shared" si="62"/>
        <v>51.94890941967013</v>
      </c>
      <c r="G171" s="447">
        <f t="shared" si="62"/>
        <v>51.952111605470392</v>
      </c>
      <c r="H171" s="447">
        <f t="shared" si="62"/>
        <v>52.007175450553717</v>
      </c>
      <c r="I171" s="447">
        <f t="shared" si="62"/>
        <v>52.199812653747365</v>
      </c>
      <c r="J171" s="447">
        <f t="shared" si="62"/>
        <v>52.361410825229257</v>
      </c>
      <c r="K171" s="447">
        <f t="shared" si="62"/>
        <v>52.667179622007886</v>
      </c>
      <c r="L171" s="447">
        <f t="shared" si="62"/>
        <v>52.894876315958747</v>
      </c>
      <c r="M171" s="447">
        <f t="shared" si="62"/>
        <v>53.012642419060597</v>
      </c>
      <c r="N171" s="447">
        <f t="shared" si="62"/>
        <v>52.789050189097551</v>
      </c>
      <c r="O171" s="320"/>
      <c r="P171" s="320"/>
      <c r="Q171" s="320"/>
    </row>
    <row r="172" spans="1:17">
      <c r="A172" s="302">
        <f>SUM(C172:N172)</f>
        <v>0</v>
      </c>
      <c r="C172" s="302">
        <f t="shared" ref="C172:N172" si="63">SUM(C161:C170)-C171</f>
        <v>0</v>
      </c>
      <c r="D172" s="302">
        <f t="shared" si="63"/>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7" ht="15.75">
      <c r="B174" s="333" t="s">
        <v>527</v>
      </c>
      <c r="H174" s="318"/>
    </row>
    <row r="175" spans="1:17">
      <c r="H175" s="318"/>
    </row>
    <row r="176" spans="1:17">
      <c r="B176" s="334" t="s">
        <v>46</v>
      </c>
      <c r="H176" s="318"/>
    </row>
    <row r="177" spans="1:15">
      <c r="H177" s="318"/>
    </row>
    <row r="178" spans="1:15">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5">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row>
    <row r="180" spans="1:15">
      <c r="B180" s="331" t="str">
        <f t="shared" si="64"/>
        <v>25-29</v>
      </c>
      <c r="C180" s="447">
        <f>C78*Calc_SEC_death_rates!$G125</f>
        <v>1.2341608144403668E-2</v>
      </c>
      <c r="D180" s="447">
        <f>D78*Calc_SEC_death_rates!$G125</f>
        <v>1.2033325306142305E-2</v>
      </c>
      <c r="E180" s="447">
        <f>E78*Calc_SEC_death_rates!$G125</f>
        <v>1.2723358884599276E-2</v>
      </c>
      <c r="F180" s="447">
        <f>F78*Calc_SEC_death_rates!$G125</f>
        <v>1.3751850346732521E-2</v>
      </c>
      <c r="G180" s="447">
        <f>G78*Calc_SEC_death_rates!$G125</f>
        <v>1.5154677594168317E-2</v>
      </c>
      <c r="H180" s="447">
        <f>H78*Calc_SEC_death_rates!$G125</f>
        <v>1.6604878257482594E-2</v>
      </c>
      <c r="I180" s="447">
        <f>I78*Calc_SEC_death_rates!$G125</f>
        <v>1.8115972264764229E-2</v>
      </c>
      <c r="J180" s="447">
        <f>J78*Calc_SEC_death_rates!$G125</f>
        <v>1.9474001200350397E-2</v>
      </c>
      <c r="K180" s="447">
        <f>K78*Calc_SEC_death_rates!$G125</f>
        <v>2.0862067051580103E-2</v>
      </c>
      <c r="L180" s="447">
        <f>L78*Calc_SEC_death_rates!$G125</f>
        <v>2.2047046110330943E-2</v>
      </c>
      <c r="M180" s="447">
        <f>M78*Calc_SEC_death_rates!$G125</f>
        <v>2.3000377694757112E-2</v>
      </c>
      <c r="N180" s="447">
        <f>N78*Calc_SEC_death_rates!$G125</f>
        <v>2.3479894929467133E-2</v>
      </c>
      <c r="O180" s="320"/>
    </row>
    <row r="181" spans="1:15">
      <c r="B181" s="331" t="str">
        <f t="shared" si="64"/>
        <v>30-34</v>
      </c>
      <c r="C181" s="447">
        <f>C79*Calc_SEC_death_rates!$G126</f>
        <v>8.2990420538968615E-2</v>
      </c>
      <c r="D181" s="447">
        <f>D79*Calc_SEC_death_rates!$G126</f>
        <v>7.3276988956390204E-2</v>
      </c>
      <c r="E181" s="447">
        <f>E79*Calc_SEC_death_rates!$G126</f>
        <v>6.7219527126978887E-2</v>
      </c>
      <c r="F181" s="447">
        <f>F79*Calc_SEC_death_rates!$G126</f>
        <v>6.3478595045037792E-2</v>
      </c>
      <c r="G181" s="447">
        <f>G79*Calc_SEC_death_rates!$G126</f>
        <v>6.2097601684644385E-2</v>
      </c>
      <c r="H181" s="447">
        <f>H79*Calc_SEC_death_rates!$G126</f>
        <v>6.223585673086654E-2</v>
      </c>
      <c r="I181" s="447">
        <f>I79*Calc_SEC_death_rates!$G126</f>
        <v>6.3639946227365365E-2</v>
      </c>
      <c r="J181" s="447">
        <f>J79*Calc_SEC_death_rates!$G126</f>
        <v>6.5688890408789946E-2</v>
      </c>
      <c r="K181" s="447">
        <f>K79*Calc_SEC_death_rates!$G126</f>
        <v>6.8455045668065873E-2</v>
      </c>
      <c r="L181" s="447">
        <f>L79*Calc_SEC_death_rates!$G126</f>
        <v>7.1364265607900476E-2</v>
      </c>
      <c r="M181" s="447">
        <f>M79*Calc_SEC_death_rates!$G126</f>
        <v>7.4172368520315099E-2</v>
      </c>
      <c r="N181" s="447">
        <f>N79*Calc_SEC_death_rates!$G126</f>
        <v>7.6275955605220255E-2</v>
      </c>
      <c r="O181" s="320"/>
    </row>
    <row r="182" spans="1:15">
      <c r="B182" s="331" t="str">
        <f t="shared" si="64"/>
        <v>35-39</v>
      </c>
      <c r="C182" s="447">
        <f>C80*Calc_SEC_death_rates!$G127</f>
        <v>0.17259906471889053</v>
      </c>
      <c r="D182" s="447">
        <f>D80*Calc_SEC_death_rates!$G127</f>
        <v>0.16483012544548692</v>
      </c>
      <c r="E182" s="447">
        <f>E80*Calc_SEC_death_rates!$G127</f>
        <v>0.15742261935185728</v>
      </c>
      <c r="F182" s="447">
        <f>F80*Calc_SEC_death_rates!$G127</f>
        <v>0.15002238218690134</v>
      </c>
      <c r="G182" s="447">
        <f>G80*Calc_SEC_death_rates!$G127</f>
        <v>0.14433273411518047</v>
      </c>
      <c r="H182" s="447">
        <f>H80*Calc_SEC_death_rates!$G127</f>
        <v>0.1401119180606599</v>
      </c>
      <c r="I182" s="447">
        <f>I80*Calc_SEC_death_rates!$G127</f>
        <v>0.13768190913517453</v>
      </c>
      <c r="J182" s="447">
        <f>J80*Calc_SEC_death_rates!$G127</f>
        <v>0.13661672830101046</v>
      </c>
      <c r="K182" s="447">
        <f>K80*Calc_SEC_death_rates!$G127</f>
        <v>0.13722097708313438</v>
      </c>
      <c r="L182" s="447">
        <f>L80*Calc_SEC_death_rates!$G127</f>
        <v>0.138799213003206</v>
      </c>
      <c r="M182" s="447">
        <f>M80*Calc_SEC_death_rates!$G127</f>
        <v>0.14102895118916553</v>
      </c>
      <c r="N182" s="447">
        <f>N80*Calc_SEC_death_rates!$G127</f>
        <v>0.14305231844363814</v>
      </c>
      <c r="O182" s="320"/>
    </row>
    <row r="183" spans="1:15">
      <c r="B183" s="331" t="str">
        <f t="shared" si="64"/>
        <v>40-44</v>
      </c>
      <c r="C183" s="447">
        <f>C81*Calc_SEC_death_rates!$G128</f>
        <v>0.22873322773702903</v>
      </c>
      <c r="D183" s="447">
        <f>D81*Calc_SEC_death_rates!$G128</f>
        <v>0.22412668231709013</v>
      </c>
      <c r="E183" s="447">
        <f>E81*Calc_SEC_death_rates!$G128</f>
        <v>0.22107239762157949</v>
      </c>
      <c r="F183" s="447">
        <f>F81*Calc_SEC_death_rates!$G128</f>
        <v>0.21703505845442667</v>
      </c>
      <c r="G183" s="447">
        <f>G81*Calc_SEC_death_rates!$G128</f>
        <v>0.21354059661504016</v>
      </c>
      <c r="H183" s="447">
        <f>H81*Calc_SEC_death_rates!$G128</f>
        <v>0.210023543265865</v>
      </c>
      <c r="I183" s="447">
        <f>I81*Calc_SEC_death_rates!$G128</f>
        <v>0.20707488339032096</v>
      </c>
      <c r="J183" s="447">
        <f>J81*Calc_SEC_death_rates!$G128</f>
        <v>0.20450922810580952</v>
      </c>
      <c r="K183" s="447">
        <f>K81*Calc_SEC_death_rates!$G128</f>
        <v>0.20312430464206463</v>
      </c>
      <c r="L183" s="447">
        <f>L81*Calc_SEC_death_rates!$G128</f>
        <v>0.20241624023951477</v>
      </c>
      <c r="M183" s="447">
        <f>M81*Calc_SEC_death_rates!$G128</f>
        <v>0.20232246201773438</v>
      </c>
      <c r="N183" s="447">
        <f>N81*Calc_SEC_death_rates!$G128</f>
        <v>0.20205129459911778</v>
      </c>
      <c r="O183" s="320"/>
    </row>
    <row r="184" spans="1:15">
      <c r="B184" s="331" t="str">
        <f t="shared" si="64"/>
        <v>45-49</v>
      </c>
      <c r="C184" s="447">
        <f>C82*Calc_SEC_death_rates!$G129</f>
        <v>0.32706686688043851</v>
      </c>
      <c r="D184" s="447">
        <f>D82*Calc_SEC_death_rates!$G129</f>
        <v>0.31259173630146414</v>
      </c>
      <c r="E184" s="447">
        <f>E82*Calc_SEC_death_rates!$G129</f>
        <v>0.3039973266686033</v>
      </c>
      <c r="F184" s="447">
        <f>F82*Calc_SEC_death_rates!$G129</f>
        <v>0.29702660844483963</v>
      </c>
      <c r="G184" s="447">
        <f>G82*Calc_SEC_death_rates!$G129</f>
        <v>0.29279123638845439</v>
      </c>
      <c r="H184" s="447">
        <f>H82*Calc_SEC_death_rates!$G129</f>
        <v>0.28950910034758648</v>
      </c>
      <c r="I184" s="447">
        <f>I82*Calc_SEC_death_rates!$G129</f>
        <v>0.28713815253408481</v>
      </c>
      <c r="J184" s="447">
        <f>J82*Calc_SEC_death_rates!$G129</f>
        <v>0.28493011172945509</v>
      </c>
      <c r="K184" s="447">
        <f>K82*Calc_SEC_death_rates!$G129</f>
        <v>0.28359382375390657</v>
      </c>
      <c r="L184" s="447">
        <f>L82*Calc_SEC_death_rates!$G129</f>
        <v>0.2824090221262085</v>
      </c>
      <c r="M184" s="447">
        <f>M82*Calc_SEC_death_rates!$G129</f>
        <v>0.28133161387864819</v>
      </c>
      <c r="N184" s="447">
        <f>N82*Calc_SEC_death_rates!$G129</f>
        <v>0.27949665106540317</v>
      </c>
      <c r="O184" s="320"/>
    </row>
    <row r="185" spans="1:15">
      <c r="B185" s="331" t="str">
        <f t="shared" si="64"/>
        <v>50-54</v>
      </c>
      <c r="C185" s="447">
        <f>C83*Calc_SEC_death_rates!$G130</f>
        <v>0.29982803731412483</v>
      </c>
      <c r="D185" s="447">
        <f>D83*Calc_SEC_death_rates!$G130</f>
        <v>0.28984710337279279</v>
      </c>
      <c r="E185" s="447">
        <f>E83*Calc_SEC_death_rates!$G130</f>
        <v>0.28267855768123845</v>
      </c>
      <c r="F185" s="447">
        <f>F83*Calc_SEC_death_rates!$G130</f>
        <v>0.2758316555297452</v>
      </c>
      <c r="G185" s="447">
        <f>G83*Calc_SEC_death_rates!$G130</f>
        <v>0.27129584978996973</v>
      </c>
      <c r="H185" s="447">
        <f>H83*Calc_SEC_death_rates!$G130</f>
        <v>0.26787880735276659</v>
      </c>
      <c r="I185" s="447">
        <f>I83*Calc_SEC_death_rates!$G130</f>
        <v>0.26564928748512595</v>
      </c>
      <c r="J185" s="447">
        <f>J83*Calc_SEC_death_rates!$G130</f>
        <v>0.26387484517757737</v>
      </c>
      <c r="K185" s="447">
        <f>K83*Calc_SEC_death_rates!$G130</f>
        <v>0.26302199543020133</v>
      </c>
      <c r="L185" s="447">
        <f>L83*Calc_SEC_death_rates!$G130</f>
        <v>0.26229256397719602</v>
      </c>
      <c r="M185" s="447">
        <f>M83*Calc_SEC_death_rates!$G130</f>
        <v>0.26151391197210877</v>
      </c>
      <c r="N185" s="447">
        <f>N83*Calc_SEC_death_rates!$G130</f>
        <v>0.25984131318708287</v>
      </c>
      <c r="O185" s="320"/>
    </row>
    <row r="186" spans="1:15">
      <c r="B186" s="331" t="str">
        <f t="shared" si="64"/>
        <v>55-59</v>
      </c>
      <c r="C186" s="447">
        <f>C84*Calc_SEC_death_rates!$G131</f>
        <v>0.26481256087827371</v>
      </c>
      <c r="D186" s="447">
        <f>D84*Calc_SEC_death_rates!$G131</f>
        <v>0.24146273643968988</v>
      </c>
      <c r="E186" s="447">
        <f>E84*Calc_SEC_death_rates!$G131</f>
        <v>0.22744065260108118</v>
      </c>
      <c r="F186" s="447">
        <f>F84*Calc_SEC_death_rates!$G131</f>
        <v>0.21754352416672584</v>
      </c>
      <c r="G186" s="447">
        <f>G84*Calc_SEC_death_rates!$G131</f>
        <v>0.21142250857495115</v>
      </c>
      <c r="H186" s="447">
        <f>H84*Calc_SEC_death_rates!$G131</f>
        <v>0.20726324408992169</v>
      </c>
      <c r="I186" s="447">
        <f>I84*Calc_SEC_death_rates!$G131</f>
        <v>0.20474349933808028</v>
      </c>
      <c r="J186" s="447">
        <f>J84*Calc_SEC_death_rates!$G131</f>
        <v>0.20296211930246139</v>
      </c>
      <c r="K186" s="447">
        <f>K84*Calc_SEC_death_rates!$G131</f>
        <v>0.2022674078687175</v>
      </c>
      <c r="L186" s="447">
        <f>L84*Calc_SEC_death_rates!$G131</f>
        <v>0.20178579936500374</v>
      </c>
      <c r="M186" s="447">
        <f>M84*Calc_SEC_death_rates!$G131</f>
        <v>0.20130492767584066</v>
      </c>
      <c r="N186" s="447">
        <f>N84*Calc_SEC_death_rates!$G131</f>
        <v>0.19998572524364744</v>
      </c>
      <c r="O186" s="320"/>
    </row>
    <row r="187" spans="1:15">
      <c r="B187" s="331" t="str">
        <f t="shared" si="64"/>
        <v>60-64</v>
      </c>
      <c r="C187" s="447">
        <f>C85*Calc_SEC_death_rates!$G132</f>
        <v>0.14959885408307586</v>
      </c>
      <c r="D187" s="447">
        <f>D85*Calc_SEC_death_rates!$G132</f>
        <v>0.14960044179879919</v>
      </c>
      <c r="E187" s="447">
        <f>E85*Calc_SEC_death_rates!$G132</f>
        <v>0.1458926714980126</v>
      </c>
      <c r="F187" s="447">
        <f>F85*Calc_SEC_death_rates!$G132</f>
        <v>0.14096109455239936</v>
      </c>
      <c r="G187" s="447">
        <f>G85*Calc_SEC_death_rates!$G132</f>
        <v>0.13728322816422389</v>
      </c>
      <c r="H187" s="447">
        <f>H85*Calc_SEC_death_rates!$G132</f>
        <v>0.13446643056222651</v>
      </c>
      <c r="I187" s="447">
        <f>I85*Calc_SEC_death_rates!$G132</f>
        <v>0.13274253421009893</v>
      </c>
      <c r="J187" s="447">
        <f>J85*Calc_SEC_death_rates!$G132</f>
        <v>0.13149403682582847</v>
      </c>
      <c r="K187" s="447">
        <f>K85*Calc_SEC_death_rates!$G132</f>
        <v>0.13115227024612325</v>
      </c>
      <c r="L187" s="447">
        <f>L85*Calc_SEC_death_rates!$G132</f>
        <v>0.1309384872684807</v>
      </c>
      <c r="M187" s="447">
        <f>M85*Calc_SEC_death_rates!$G132</f>
        <v>0.13069993098882535</v>
      </c>
      <c r="N187" s="447">
        <f>N85*Calc_SEC_death_rates!$G132</f>
        <v>0.12969986518086091</v>
      </c>
      <c r="O187" s="320"/>
    </row>
    <row r="188" spans="1:15">
      <c r="B188" s="331" t="str">
        <f t="shared" si="64"/>
        <v>65 plus</v>
      </c>
      <c r="C188" s="447">
        <f>C86*Calc_SEC_death_rates!$G133</f>
        <v>3.8181617687744938E-2</v>
      </c>
      <c r="D188" s="447">
        <f>D86*Calc_SEC_death_rates!$G133</f>
        <v>4.5967201074911444E-2</v>
      </c>
      <c r="E188" s="447">
        <f>E86*Calc_SEC_death_rates!$G133</f>
        <v>5.1606168908066068E-2</v>
      </c>
      <c r="F188" s="447">
        <f>F86*Calc_SEC_death_rates!$G133</f>
        <v>5.4648114451112006E-2</v>
      </c>
      <c r="G188" s="447">
        <f>G86*Calc_SEC_death_rates!$G133</f>
        <v>5.6434197727350408E-2</v>
      </c>
      <c r="H188" s="447">
        <f>H86*Calc_SEC_death_rates!$G133</f>
        <v>5.727849947551733E-2</v>
      </c>
      <c r="I188" s="447">
        <f>I86*Calc_SEC_death_rates!$G133</f>
        <v>5.7741569494970446E-2</v>
      </c>
      <c r="J188" s="447">
        <f>J86*Calc_SEC_death_rates!$G133</f>
        <v>5.7905397885423746E-2</v>
      </c>
      <c r="K188" s="447">
        <f>K86*Calc_SEC_death_rates!$G133</f>
        <v>5.8161572144105306E-2</v>
      </c>
      <c r="L188" s="447">
        <f>L86*Calc_SEC_death_rates!$G133</f>
        <v>5.8328978909734312E-2</v>
      </c>
      <c r="M188" s="447">
        <f>M86*Calc_SEC_death_rates!$G133</f>
        <v>5.8397354133242083E-2</v>
      </c>
      <c r="N188" s="447">
        <f>N86*Calc_SEC_death_rates!$G133</f>
        <v>5.807577677790976E-2</v>
      </c>
      <c r="O188" s="320"/>
    </row>
    <row r="189" spans="1:15">
      <c r="B189" s="331" t="str">
        <f t="shared" si="64"/>
        <v>Total</v>
      </c>
      <c r="C189" s="447">
        <f>SUM(C179:C188)</f>
        <v>1.5761522579829499</v>
      </c>
      <c r="D189" s="447">
        <f t="shared" ref="D189:N189" si="66">SUM(D179:D188)</f>
        <v>1.5137363410127671</v>
      </c>
      <c r="E189" s="447">
        <f t="shared" si="66"/>
        <v>1.4700532803420165</v>
      </c>
      <c r="F189" s="447">
        <f t="shared" si="66"/>
        <v>1.4302988831779202</v>
      </c>
      <c r="G189" s="447">
        <f t="shared" si="66"/>
        <v>1.4043526306539831</v>
      </c>
      <c r="H189" s="447">
        <f t="shared" si="66"/>
        <v>1.3853722781428928</v>
      </c>
      <c r="I189" s="447">
        <f t="shared" si="66"/>
        <v>1.3745277540799856</v>
      </c>
      <c r="J189" s="447">
        <f t="shared" si="66"/>
        <v>1.3674553589367064</v>
      </c>
      <c r="K189" s="447">
        <f t="shared" si="66"/>
        <v>1.3678594638878989</v>
      </c>
      <c r="L189" s="447">
        <f t="shared" si="66"/>
        <v>1.3703816166075755</v>
      </c>
      <c r="M189" s="447">
        <f t="shared" si="66"/>
        <v>1.3737718980706373</v>
      </c>
      <c r="N189" s="447">
        <f t="shared" si="66"/>
        <v>1.3719587950323477</v>
      </c>
      <c r="O189" s="320"/>
    </row>
    <row r="190" spans="1:15">
      <c r="A190" s="302">
        <f>SUM(C190:N190)</f>
        <v>0</v>
      </c>
      <c r="C190" s="302">
        <f t="shared" ref="C190:N190" si="67">SUM(C179:C188)-C189</f>
        <v>0</v>
      </c>
      <c r="D190" s="302">
        <f t="shared" si="67"/>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5">
      <c r="B192" s="334" t="s">
        <v>47</v>
      </c>
      <c r="C192" s="322"/>
      <c r="D192" s="322"/>
      <c r="E192" s="322"/>
      <c r="F192" s="322"/>
      <c r="G192" s="322"/>
      <c r="H192" s="332"/>
      <c r="I192" s="322"/>
      <c r="J192" s="322"/>
      <c r="K192" s="322"/>
      <c r="L192" s="322"/>
    </row>
    <row r="193" spans="1:15">
      <c r="C193" s="322"/>
      <c r="D193" s="322"/>
      <c r="E193" s="322"/>
      <c r="F193" s="322"/>
      <c r="G193" s="322"/>
      <c r="H193" s="332"/>
      <c r="I193" s="322"/>
      <c r="J193" s="322"/>
      <c r="K193" s="322"/>
      <c r="L193" s="322"/>
    </row>
    <row r="194" spans="1:15">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5">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row>
    <row r="196" spans="1:15">
      <c r="B196" s="331" t="str">
        <f t="shared" si="68"/>
        <v>25-29</v>
      </c>
      <c r="C196" s="447">
        <f>C94*Calc_SEC_death_rates!$G141</f>
        <v>2.6684378039770574E-2</v>
      </c>
      <c r="D196" s="447">
        <f>D94*Calc_SEC_death_rates!$G141</f>
        <v>2.4873322709572172E-2</v>
      </c>
      <c r="E196" s="447">
        <f>E94*Calc_SEC_death_rates!$G141</f>
        <v>2.5002743274264459E-2</v>
      </c>
      <c r="F196" s="447">
        <f>F94*Calc_SEC_death_rates!$G141</f>
        <v>2.5996344629672357E-2</v>
      </c>
      <c r="G196" s="447">
        <f>G94*Calc_SEC_death_rates!$G141</f>
        <v>2.7754216020570061E-2</v>
      </c>
      <c r="H196" s="447">
        <f>H94*Calc_SEC_death_rates!$G141</f>
        <v>2.9746126954253466E-2</v>
      </c>
      <c r="I196" s="447">
        <f>I94*Calc_SEC_death_rates!$G141</f>
        <v>3.195906093460639E-2</v>
      </c>
      <c r="J196" s="447">
        <f>J94*Calc_SEC_death_rates!$G141</f>
        <v>3.399852396579809E-2</v>
      </c>
      <c r="K196" s="447">
        <f>K94*Calc_SEC_death_rates!$G141</f>
        <v>3.6157133831894832E-2</v>
      </c>
      <c r="L196" s="447">
        <f>L94*Calc_SEC_death_rates!$G141</f>
        <v>3.8019013842331466E-2</v>
      </c>
      <c r="M196" s="447">
        <f>M94*Calc_SEC_death_rates!$G141</f>
        <v>3.9523239866239755E-2</v>
      </c>
      <c r="N196" s="447">
        <f>N94*Calc_SEC_death_rates!$G141</f>
        <v>4.02459993800552E-2</v>
      </c>
      <c r="O196" s="320"/>
    </row>
    <row r="197" spans="1:15">
      <c r="B197" s="331" t="str">
        <f t="shared" si="68"/>
        <v>30-34</v>
      </c>
      <c r="C197" s="447">
        <f>C95*Calc_SEC_death_rates!$G142</f>
        <v>3.593147479625685E-2</v>
      </c>
      <c r="D197" s="447">
        <f>D95*Calc_SEC_death_rates!$G142</f>
        <v>3.2353969735837124E-2</v>
      </c>
      <c r="E197" s="447">
        <f>E95*Calc_SEC_death_rates!$G142</f>
        <v>2.9961471547974811E-2</v>
      </c>
      <c r="F197" s="447">
        <f>F95*Calc_SEC_death_rates!$G142</f>
        <v>2.8427476848291756E-2</v>
      </c>
      <c r="G197" s="447">
        <f>G95*Calc_SEC_death_rates!$G142</f>
        <v>2.7743586056406467E-2</v>
      </c>
      <c r="H197" s="447">
        <f>H95*Calc_SEC_death_rates!$G142</f>
        <v>2.7664012104933845E-2</v>
      </c>
      <c r="I197" s="447">
        <f>I95*Calc_SEC_death_rates!$G142</f>
        <v>2.810899678969523E-2</v>
      </c>
      <c r="J197" s="447">
        <f>J95*Calc_SEC_death_rates!$G142</f>
        <v>2.8824374086551724E-2</v>
      </c>
      <c r="K197" s="447">
        <f>K95*Calc_SEC_death_rates!$G142</f>
        <v>2.9855309181413624E-2</v>
      </c>
      <c r="L197" s="447">
        <f>L95*Calc_SEC_death_rates!$G142</f>
        <v>3.0955170540936657E-2</v>
      </c>
      <c r="M197" s="447">
        <f>M95*Calc_SEC_death_rates!$G142</f>
        <v>3.2021440110666571E-2</v>
      </c>
      <c r="N197" s="447">
        <f>N95*Calc_SEC_death_rates!$G142</f>
        <v>3.279140301433054E-2</v>
      </c>
      <c r="O197" s="320"/>
    </row>
    <row r="198" spans="1:15">
      <c r="B198" s="331" t="str">
        <f t="shared" si="68"/>
        <v>35-39</v>
      </c>
      <c r="C198" s="447">
        <f>C96*Calc_SEC_death_rates!$G143</f>
        <v>0.19844393711895647</v>
      </c>
      <c r="D198" s="447">
        <f>D96*Calc_SEC_death_rates!$G143</f>
        <v>0.18559550440572137</v>
      </c>
      <c r="E198" s="447">
        <f>E96*Calc_SEC_death_rates!$G143</f>
        <v>0.17447888917893367</v>
      </c>
      <c r="F198" s="447">
        <f>F96*Calc_SEC_death_rates!$G143</f>
        <v>0.1647087916539125</v>
      </c>
      <c r="G198" s="447">
        <f>G96*Calc_SEC_death_rates!$G143</f>
        <v>0.15705192355201195</v>
      </c>
      <c r="H198" s="447">
        <f>H96*Calc_SEC_death_rates!$G143</f>
        <v>0.15137663458210446</v>
      </c>
      <c r="I198" s="447">
        <f>I96*Calc_SEC_death_rates!$G143</f>
        <v>0.14785709932082805</v>
      </c>
      <c r="J198" s="447">
        <f>J96*Calc_SEC_death_rates!$G143</f>
        <v>0.14592108837481468</v>
      </c>
      <c r="K198" s="447">
        <f>K96*Calc_SEC_death_rates!$G143</f>
        <v>0.14585103095622215</v>
      </c>
      <c r="L198" s="447">
        <f>L96*Calc_SEC_death_rates!$G143</f>
        <v>0.14685413984627929</v>
      </c>
      <c r="M198" s="447">
        <f>M96*Calc_SEC_death_rates!$G143</f>
        <v>0.14857043791688529</v>
      </c>
      <c r="N198" s="447">
        <f>N96*Calc_SEC_death_rates!$G143</f>
        <v>0.15006301271160519</v>
      </c>
      <c r="O198" s="320"/>
    </row>
    <row r="199" spans="1:15">
      <c r="B199" s="331" t="str">
        <f t="shared" si="68"/>
        <v>40-44</v>
      </c>
      <c r="C199" s="447">
        <f>C97*Calc_SEC_death_rates!$G144</f>
        <v>0.15740919870069212</v>
      </c>
      <c r="D199" s="447">
        <f>D97*Calc_SEC_death_rates!$G144</f>
        <v>0.15302154146703509</v>
      </c>
      <c r="E199" s="447">
        <f>E97*Calc_SEC_death_rates!$G144</f>
        <v>0.14885422165288301</v>
      </c>
      <c r="F199" s="447">
        <f>F97*Calc_SEC_death_rates!$G144</f>
        <v>0.14437513483226991</v>
      </c>
      <c r="G199" s="447">
        <f>G97*Calc_SEC_death_rates!$G144</f>
        <v>0.14014179422435286</v>
      </c>
      <c r="H199" s="447">
        <f>H97*Calc_SEC_death_rates!$G144</f>
        <v>0.13621303828785591</v>
      </c>
      <c r="I199" s="447">
        <f>I97*Calc_SEC_death_rates!$G144</f>
        <v>0.13294128838702501</v>
      </c>
      <c r="J199" s="447">
        <f>J97*Calc_SEC_death_rates!$G144</f>
        <v>0.13015538204429544</v>
      </c>
      <c r="K199" s="447">
        <f>K97*Calc_SEC_death_rates!$G144</f>
        <v>0.12831587092659005</v>
      </c>
      <c r="L199" s="447">
        <f>L97*Calc_SEC_death_rates!$G144</f>
        <v>0.12704803951120719</v>
      </c>
      <c r="M199" s="447">
        <f>M97*Calc_SEC_death_rates!$G144</f>
        <v>0.1262726642394266</v>
      </c>
      <c r="N199" s="447">
        <f>N97*Calc_SEC_death_rates!$G144</f>
        <v>0.12545087332984059</v>
      </c>
      <c r="O199" s="320"/>
    </row>
    <row r="200" spans="1:15">
      <c r="B200" s="331" t="str">
        <f t="shared" si="68"/>
        <v>45-49</v>
      </c>
      <c r="C200" s="447">
        <f>C98*Calc_SEC_death_rates!$G145</f>
        <v>0.25009898878849746</v>
      </c>
      <c r="D200" s="447">
        <f>D98*Calc_SEC_death_rates!$G145</f>
        <v>0.24660001280896332</v>
      </c>
      <c r="E200" s="447">
        <f>E98*Calc_SEC_death_rates!$G145</f>
        <v>0.24428133056422716</v>
      </c>
      <c r="F200" s="447">
        <f>F98*Calc_SEC_death_rates!$G145</f>
        <v>0.24166052087774703</v>
      </c>
      <c r="G200" s="447">
        <f>G98*Calc_SEC_death_rates!$G145</f>
        <v>0.23911941502341644</v>
      </c>
      <c r="H200" s="447">
        <f>H98*Calc_SEC_death_rates!$G145</f>
        <v>0.2364192659747158</v>
      </c>
      <c r="I200" s="447">
        <f>I98*Calc_SEC_death_rates!$G145</f>
        <v>0.23389445205706624</v>
      </c>
      <c r="J200" s="447">
        <f>J98*Calc_SEC_death_rates!$G145</f>
        <v>0.23118401451067175</v>
      </c>
      <c r="K200" s="447">
        <f>K98*Calc_SEC_death_rates!$G145</f>
        <v>0.22904568335619796</v>
      </c>
      <c r="L200" s="447">
        <f>L98*Calc_SEC_death_rates!$G145</f>
        <v>0.22698579891058895</v>
      </c>
      <c r="M200" s="447">
        <f>M98*Calc_SEC_death_rates!$G145</f>
        <v>0.22502771720379244</v>
      </c>
      <c r="N200" s="447">
        <f>N98*Calc_SEC_death_rates!$G145</f>
        <v>0.22248657448582515</v>
      </c>
      <c r="O200" s="320"/>
    </row>
    <row r="201" spans="1:15">
      <c r="B201" s="331" t="str">
        <f t="shared" si="68"/>
        <v>50-54</v>
      </c>
      <c r="C201" s="447">
        <f>C99*Calc_SEC_death_rates!$G146</f>
        <v>0.3272536832680123</v>
      </c>
      <c r="D201" s="447">
        <f>D99*Calc_SEC_death_rates!$G146</f>
        <v>0.3178229025794278</v>
      </c>
      <c r="E201" s="447">
        <f>E99*Calc_SEC_death_rates!$G146</f>
        <v>0.31233300574930312</v>
      </c>
      <c r="F201" s="447">
        <f>F99*Calc_SEC_death_rates!$G146</f>
        <v>0.30841896694991155</v>
      </c>
      <c r="G201" s="447">
        <f>G99*Calc_SEC_death_rates!$G146</f>
        <v>0.30605109844667505</v>
      </c>
      <c r="H201" s="447">
        <f>H99*Calc_SEC_death_rates!$G146</f>
        <v>0.30443715800192694</v>
      </c>
      <c r="I201" s="447">
        <f>I99*Calc_SEC_death_rates!$G146</f>
        <v>0.3035366101644365</v>
      </c>
      <c r="J201" s="447">
        <f>J99*Calc_SEC_death_rates!$G146</f>
        <v>0.30250502296909582</v>
      </c>
      <c r="K201" s="447">
        <f>K99*Calc_SEC_death_rates!$G146</f>
        <v>0.30199471772955849</v>
      </c>
      <c r="L201" s="447">
        <f>L99*Calc_SEC_death_rates!$G146</f>
        <v>0.30117726394491151</v>
      </c>
      <c r="M201" s="447">
        <f>M99*Calc_SEC_death_rates!$G146</f>
        <v>0.29996608452670692</v>
      </c>
      <c r="N201" s="447">
        <f>N99*Calc_SEC_death_rates!$G146</f>
        <v>0.29746091889334042</v>
      </c>
      <c r="O201" s="320"/>
    </row>
    <row r="202" spans="1:15">
      <c r="B202" s="331" t="str">
        <f t="shared" si="68"/>
        <v>55-59</v>
      </c>
      <c r="C202" s="447">
        <f>C100*Calc_SEC_death_rates!$G147</f>
        <v>0.26617499189693405</v>
      </c>
      <c r="D202" s="447">
        <f>D100*Calc_SEC_death_rates!$G147</f>
        <v>0.25481324018914453</v>
      </c>
      <c r="E202" s="447">
        <f>E100*Calc_SEC_death_rates!$G147</f>
        <v>0.24772599670188247</v>
      </c>
      <c r="F202" s="447">
        <f>F100*Calc_SEC_death_rates!$G147</f>
        <v>0.24281870707582257</v>
      </c>
      <c r="G202" s="447">
        <f>G100*Calc_SEC_death_rates!$G147</f>
        <v>0.24010793530364283</v>
      </c>
      <c r="H202" s="447">
        <f>H100*Calc_SEC_death_rates!$G147</f>
        <v>0.23866040296807012</v>
      </c>
      <c r="I202" s="447">
        <f>I100*Calc_SEC_death_rates!$G147</f>
        <v>0.23838992016303023</v>
      </c>
      <c r="J202" s="447">
        <f>J100*Calc_SEC_death_rates!$G147</f>
        <v>0.23835009757562664</v>
      </c>
      <c r="K202" s="447">
        <f>K100*Calc_SEC_death_rates!$G147</f>
        <v>0.23906273801909944</v>
      </c>
      <c r="L202" s="447">
        <f>L100*Calc_SEC_death_rates!$G147</f>
        <v>0.23954584335789439</v>
      </c>
      <c r="M202" s="447">
        <f>M100*Calc_SEC_death_rates!$G147</f>
        <v>0.23961878082645557</v>
      </c>
      <c r="N202" s="447">
        <f>N100*Calc_SEC_death_rates!$G147</f>
        <v>0.23833416978563249</v>
      </c>
      <c r="O202" s="320"/>
    </row>
    <row r="203" spans="1:15">
      <c r="B203" s="331" t="str">
        <f t="shared" si="68"/>
        <v>60-64</v>
      </c>
      <c r="C203" s="447">
        <f>C101*Calc_SEC_death_rates!$G148</f>
        <v>8.3026612447281697E-2</v>
      </c>
      <c r="D203" s="447">
        <f>D101*Calc_SEC_death_rates!$G148</f>
        <v>8.7627982996190706E-2</v>
      </c>
      <c r="E203" s="447">
        <f>E101*Calc_SEC_death_rates!$G148</f>
        <v>8.9503543685236595E-2</v>
      </c>
      <c r="F203" s="447">
        <f>F101*Calc_SEC_death_rates!$G148</f>
        <v>8.9901304148829381E-2</v>
      </c>
      <c r="G203" s="447">
        <f>G101*Calc_SEC_death_rates!$G148</f>
        <v>9.0104453705460191E-2</v>
      </c>
      <c r="H203" s="447">
        <f>H101*Calc_SEC_death_rates!$G148</f>
        <v>9.0233593343708562E-2</v>
      </c>
      <c r="I203" s="447">
        <f>I101*Calc_SEC_death_rates!$G148</f>
        <v>9.0632443143610297E-2</v>
      </c>
      <c r="J203" s="447">
        <f>J101*Calc_SEC_death_rates!$G148</f>
        <v>9.0986248145441928E-2</v>
      </c>
      <c r="K203" s="447">
        <f>K101*Calc_SEC_death_rates!$G148</f>
        <v>9.170039203154208E-2</v>
      </c>
      <c r="L203" s="447">
        <f>L101*Calc_SEC_death_rates!$G148</f>
        <v>9.2269139330805452E-2</v>
      </c>
      <c r="M203" s="447">
        <f>M101*Calc_SEC_death_rates!$G148</f>
        <v>9.262503420615327E-2</v>
      </c>
      <c r="N203" s="447">
        <f>N101*Calc_SEC_death_rates!$G148</f>
        <v>9.2265901839703846E-2</v>
      </c>
      <c r="O203" s="320"/>
    </row>
    <row r="204" spans="1:15">
      <c r="B204" s="331" t="str">
        <f t="shared" si="68"/>
        <v>65 plus</v>
      </c>
      <c r="C204" s="447">
        <f>C102*Calc_SEC_death_rates!$G149</f>
        <v>0.10036184228096684</v>
      </c>
      <c r="D204" s="447">
        <f>D102*Calc_SEC_death_rates!$G149</f>
        <v>0.11314900667568095</v>
      </c>
      <c r="E204" s="447">
        <f>E102*Calc_SEC_death_rates!$G149</f>
        <v>0.12550866432885893</v>
      </c>
      <c r="F204" s="447">
        <f>F102*Calc_SEC_death_rates!$G149</f>
        <v>0.13506172478816714</v>
      </c>
      <c r="G204" s="447">
        <f>G102*Calc_SEC_death_rates!$G149</f>
        <v>0.14246666324635468</v>
      </c>
      <c r="H204" s="447">
        <f>H102*Calc_SEC_death_rates!$G149</f>
        <v>0.14796135270598632</v>
      </c>
      <c r="I204" s="447">
        <f>I102*Calc_SEC_death_rates!$G149</f>
        <v>0.15239731328010328</v>
      </c>
      <c r="J204" s="447">
        <f>J102*Calc_SEC_death_rates!$G149</f>
        <v>0.15571647920203657</v>
      </c>
      <c r="K204" s="447">
        <f>K102*Calc_SEC_death_rates!$G149</f>
        <v>0.15886445925455972</v>
      </c>
      <c r="L204" s="447">
        <f>L102*Calc_SEC_death_rates!$G149</f>
        <v>0.16137004580864098</v>
      </c>
      <c r="M204" s="447">
        <f>M102*Calc_SEC_death_rates!$G149</f>
        <v>0.16322891613185397</v>
      </c>
      <c r="N204" s="447">
        <f>N102*Calc_SEC_death_rates!$G149</f>
        <v>0.16369748396656397</v>
      </c>
      <c r="O204" s="320"/>
    </row>
    <row r="205" spans="1:15">
      <c r="B205" s="331" t="str">
        <f t="shared" si="68"/>
        <v>Total</v>
      </c>
      <c r="C205" s="447">
        <f>SUM(C195:C204)</f>
        <v>1.4453851073373685</v>
      </c>
      <c r="D205" s="447">
        <f t="shared" ref="D205:N205" si="70">SUM(D195:D204)</f>
        <v>1.4158574835675735</v>
      </c>
      <c r="E205" s="447">
        <f t="shared" si="70"/>
        <v>1.3976498666835642</v>
      </c>
      <c r="F205" s="447">
        <f t="shared" si="70"/>
        <v>1.3813689718046243</v>
      </c>
      <c r="G205" s="447">
        <f t="shared" si="70"/>
        <v>1.3705410855788906</v>
      </c>
      <c r="H205" s="447">
        <f t="shared" si="70"/>
        <v>1.3627115849235554</v>
      </c>
      <c r="I205" s="447">
        <f t="shared" si="70"/>
        <v>1.3597171842404012</v>
      </c>
      <c r="J205" s="447">
        <f t="shared" si="70"/>
        <v>1.3576412308743326</v>
      </c>
      <c r="K205" s="447">
        <f t="shared" si="70"/>
        <v>1.3608473352870782</v>
      </c>
      <c r="L205" s="447">
        <f t="shared" si="70"/>
        <v>1.3642244550935958</v>
      </c>
      <c r="M205" s="447">
        <f t="shared" si="70"/>
        <v>1.3668543150281804</v>
      </c>
      <c r="N205" s="447">
        <f t="shared" si="70"/>
        <v>1.3627963374068972</v>
      </c>
      <c r="O205" s="320"/>
    </row>
    <row r="206" spans="1:15">
      <c r="A206" s="302">
        <f>SUM(C206:N206)</f>
        <v>0</v>
      </c>
      <c r="C206" s="302">
        <f t="shared" ref="C206:N206" si="71">SUM(C195:C204)-C205</f>
        <v>0</v>
      </c>
      <c r="D206" s="302">
        <f t="shared" si="71"/>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5" ht="15.75">
      <c r="B208" s="333" t="s">
        <v>166</v>
      </c>
      <c r="C208" s="322"/>
      <c r="D208" s="322"/>
      <c r="E208" s="322"/>
      <c r="F208" s="322"/>
      <c r="G208" s="322"/>
      <c r="H208" s="332"/>
      <c r="I208" s="322"/>
      <c r="J208" s="322"/>
      <c r="K208" s="322"/>
      <c r="L208" s="322"/>
    </row>
    <row r="209" spans="1:15">
      <c r="C209" s="322"/>
      <c r="D209" s="322"/>
      <c r="E209" s="322"/>
      <c r="F209" s="322"/>
      <c r="G209" s="322"/>
      <c r="H209" s="332"/>
      <c r="I209" s="322"/>
      <c r="J209" s="322"/>
      <c r="K209" s="322"/>
      <c r="L209" s="322"/>
    </row>
    <row r="210" spans="1:15">
      <c r="B210" s="334" t="s">
        <v>46</v>
      </c>
      <c r="C210" s="322"/>
      <c r="D210" s="322"/>
      <c r="E210" s="322"/>
      <c r="F210" s="322"/>
      <c r="G210" s="322"/>
      <c r="H210" s="332"/>
      <c r="I210" s="322"/>
      <c r="J210" s="322"/>
      <c r="K210" s="322"/>
      <c r="L210" s="322"/>
    </row>
    <row r="211" spans="1:15">
      <c r="C211" s="322"/>
      <c r="D211" s="322"/>
      <c r="E211" s="322"/>
      <c r="F211" s="322"/>
      <c r="G211" s="322"/>
      <c r="H211" s="332"/>
      <c r="I211" s="322"/>
      <c r="J211" s="322"/>
      <c r="K211" s="322"/>
      <c r="L211" s="322"/>
    </row>
    <row r="212" spans="1:15">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5">
      <c r="B213" s="331" t="str">
        <f t="shared" si="72"/>
        <v>20-24</v>
      </c>
      <c r="C213" s="447">
        <f t="shared" ref="C213:C222" si="74">C111+C145+C179</f>
        <v>3.3067851633982683</v>
      </c>
      <c r="D213" s="447">
        <f t="shared" ref="D213:N213" si="75">D111+D145+D179</f>
        <v>4.9835434673235204</v>
      </c>
      <c r="E213" s="447">
        <f t="shared" si="75"/>
        <v>7.1705158180768462</v>
      </c>
      <c r="F213" s="447">
        <f t="shared" si="75"/>
        <v>8.7152074361376339</v>
      </c>
      <c r="G213" s="447">
        <f t="shared" si="75"/>
        <v>10.34176049702921</v>
      </c>
      <c r="H213" s="447">
        <f t="shared" si="75"/>
        <v>11.713903096642165</v>
      </c>
      <c r="I213" s="447">
        <f t="shared" si="75"/>
        <v>12.969911090431305</v>
      </c>
      <c r="J213" s="447">
        <f t="shared" si="75"/>
        <v>13.95467125563183</v>
      </c>
      <c r="K213" s="447">
        <f t="shared" si="75"/>
        <v>14.932995837589452</v>
      </c>
      <c r="L213" s="447">
        <f t="shared" si="75"/>
        <v>15.673247340581289</v>
      </c>
      <c r="M213" s="447">
        <f t="shared" si="75"/>
        <v>16.190757623967492</v>
      </c>
      <c r="N213" s="447">
        <f t="shared" si="75"/>
        <v>16.263273009918933</v>
      </c>
      <c r="O213" s="320"/>
    </row>
    <row r="214" spans="1:15">
      <c r="B214" s="331" t="str">
        <f t="shared" si="72"/>
        <v>25-29</v>
      </c>
      <c r="C214" s="447">
        <f t="shared" si="74"/>
        <v>13.102007610779479</v>
      </c>
      <c r="D214" s="447">
        <f t="shared" ref="D214:N214" si="76">D112+D146+D180</f>
        <v>12.315854027986973</v>
      </c>
      <c r="E214" s="447">
        <f t="shared" si="76"/>
        <v>13.510292640088561</v>
      </c>
      <c r="F214" s="447">
        <f t="shared" si="76"/>
        <v>14.328456415860087</v>
      </c>
      <c r="G214" s="447">
        <f t="shared" si="76"/>
        <v>15.79010329006714</v>
      </c>
      <c r="H214" s="447">
        <f t="shared" si="76"/>
        <v>17.301109916421765</v>
      </c>
      <c r="I214" s="447">
        <f t="shared" si="76"/>
        <v>18.875563104733747</v>
      </c>
      <c r="J214" s="447">
        <f t="shared" si="76"/>
        <v>20.290533303245738</v>
      </c>
      <c r="K214" s="447">
        <f t="shared" si="76"/>
        <v>21.736799845581565</v>
      </c>
      <c r="L214" s="447">
        <f t="shared" si="76"/>
        <v>22.971464299376507</v>
      </c>
      <c r="M214" s="447">
        <f t="shared" si="76"/>
        <v>23.964768452119763</v>
      </c>
      <c r="N214" s="447">
        <f t="shared" si="76"/>
        <v>24.464391530102777</v>
      </c>
      <c r="O214" s="320"/>
    </row>
    <row r="215" spans="1:15">
      <c r="B215" s="331" t="str">
        <f t="shared" si="72"/>
        <v>30-34</v>
      </c>
      <c r="C215" s="447">
        <f t="shared" si="74"/>
        <v>21.580952903632877</v>
      </c>
      <c r="D215" s="447">
        <f t="shared" ref="D215:N215" si="77">D113+D147+D181</f>
        <v>18.373888439114641</v>
      </c>
      <c r="E215" s="447">
        <f t="shared" si="77"/>
        <v>17.483747348146505</v>
      </c>
      <c r="F215" s="447">
        <f t="shared" si="77"/>
        <v>16.202487545859675</v>
      </c>
      <c r="G215" s="447">
        <f t="shared" si="77"/>
        <v>15.849998211355441</v>
      </c>
      <c r="H215" s="447">
        <f t="shared" si="77"/>
        <v>15.885286888790368</v>
      </c>
      <c r="I215" s="447">
        <f t="shared" si="77"/>
        <v>16.243671357825228</v>
      </c>
      <c r="J215" s="447">
        <f t="shared" si="77"/>
        <v>16.766650679565721</v>
      </c>
      <c r="K215" s="447">
        <f t="shared" si="77"/>
        <v>17.472693340190673</v>
      </c>
      <c r="L215" s="447">
        <f t="shared" si="77"/>
        <v>18.215252305301568</v>
      </c>
      <c r="M215" s="447">
        <f t="shared" si="77"/>
        <v>18.932001824310447</v>
      </c>
      <c r="N215" s="447">
        <f t="shared" si="77"/>
        <v>19.468928382319884</v>
      </c>
      <c r="O215" s="320"/>
    </row>
    <row r="216" spans="1:15">
      <c r="B216" s="331" t="str">
        <f t="shared" si="72"/>
        <v>35-39</v>
      </c>
      <c r="C216" s="447">
        <f t="shared" si="74"/>
        <v>22.907601312509911</v>
      </c>
      <c r="D216" s="447">
        <f t="shared" ref="D216:N216" si="78">D114+D148+D182</f>
        <v>21.099092162504707</v>
      </c>
      <c r="E216" s="447">
        <f t="shared" si="78"/>
        <v>20.897972799738081</v>
      </c>
      <c r="F216" s="447">
        <f t="shared" si="78"/>
        <v>19.545970831281323</v>
      </c>
      <c r="G216" s="447">
        <f t="shared" si="78"/>
        <v>18.804683473828462</v>
      </c>
      <c r="H216" s="447">
        <f t="shared" si="78"/>
        <v>18.254765879645195</v>
      </c>
      <c r="I216" s="447">
        <f t="shared" si="78"/>
        <v>17.938167230264213</v>
      </c>
      <c r="J216" s="447">
        <f t="shared" si="78"/>
        <v>17.799387981387383</v>
      </c>
      <c r="K216" s="447">
        <f t="shared" si="78"/>
        <v>17.878113761488098</v>
      </c>
      <c r="L216" s="447">
        <f t="shared" si="78"/>
        <v>18.083737434495564</v>
      </c>
      <c r="M216" s="447">
        <f t="shared" si="78"/>
        <v>18.374243403730631</v>
      </c>
      <c r="N216" s="447">
        <f t="shared" si="78"/>
        <v>18.637861916917686</v>
      </c>
      <c r="O216" s="320"/>
    </row>
    <row r="217" spans="1:15">
      <c r="B217" s="331" t="str">
        <f t="shared" si="72"/>
        <v>40-44</v>
      </c>
      <c r="C217" s="447">
        <f t="shared" si="74"/>
        <v>22.600690967406184</v>
      </c>
      <c r="D217" s="447">
        <f t="shared" ref="D217:N217" si="79">D115+D149+D183</f>
        <v>21.363213404032198</v>
      </c>
      <c r="E217" s="447">
        <f t="shared" si="79"/>
        <v>21.848531932276117</v>
      </c>
      <c r="F217" s="447">
        <f t="shared" si="79"/>
        <v>21.053791433622365</v>
      </c>
      <c r="G217" s="447">
        <f t="shared" si="79"/>
        <v>20.714806242643903</v>
      </c>
      <c r="H217" s="447">
        <f t="shared" si="79"/>
        <v>20.373629530449243</v>
      </c>
      <c r="I217" s="447">
        <f t="shared" si="79"/>
        <v>20.087590627469744</v>
      </c>
      <c r="J217" s="447">
        <f t="shared" si="79"/>
        <v>19.83870562411893</v>
      </c>
      <c r="K217" s="447">
        <f t="shared" si="79"/>
        <v>19.704359173527685</v>
      </c>
      <c r="L217" s="447">
        <f t="shared" si="79"/>
        <v>19.635672389194237</v>
      </c>
      <c r="M217" s="447">
        <f t="shared" si="79"/>
        <v>19.626575300749444</v>
      </c>
      <c r="N217" s="447">
        <f t="shared" si="79"/>
        <v>19.60027032349921</v>
      </c>
      <c r="O217" s="320"/>
    </row>
    <row r="218" spans="1:15">
      <c r="B218" s="331" t="str">
        <f t="shared" si="72"/>
        <v>45-49</v>
      </c>
      <c r="C218" s="447">
        <f t="shared" si="74"/>
        <v>23.239628095930485</v>
      </c>
      <c r="D218" s="447">
        <f t="shared" ref="D218:N218" si="80">D116+D150+D184</f>
        <v>21.435473976002871</v>
      </c>
      <c r="E218" s="447">
        <f t="shared" si="80"/>
        <v>21.6051146596749</v>
      </c>
      <c r="F218" s="447">
        <f t="shared" si="80"/>
        <v>20.724710481090224</v>
      </c>
      <c r="G218" s="447">
        <f t="shared" si="80"/>
        <v>20.42919197482621</v>
      </c>
      <c r="H218" s="447">
        <f t="shared" si="80"/>
        <v>20.200184480976812</v>
      </c>
      <c r="I218" s="447">
        <f t="shared" si="80"/>
        <v>20.034754160582736</v>
      </c>
      <c r="J218" s="447">
        <f t="shared" si="80"/>
        <v>19.880690500609717</v>
      </c>
      <c r="K218" s="447">
        <f t="shared" si="80"/>
        <v>19.787452451811316</v>
      </c>
      <c r="L218" s="447">
        <f t="shared" si="80"/>
        <v>19.704784199158361</v>
      </c>
      <c r="M218" s="447">
        <f t="shared" si="80"/>
        <v>19.629609203498767</v>
      </c>
      <c r="N218" s="447">
        <f t="shared" si="80"/>
        <v>19.501576657030352</v>
      </c>
      <c r="O218" s="320"/>
    </row>
    <row r="219" spans="1:15">
      <c r="B219" s="331" t="str">
        <f t="shared" si="72"/>
        <v>50-54</v>
      </c>
      <c r="C219" s="447">
        <f t="shared" si="74"/>
        <v>24.354204493694454</v>
      </c>
      <c r="D219" s="447">
        <f t="shared" ref="D219:N219" si="81">D117+D151+D185</f>
        <v>22.917072563574553</v>
      </c>
      <c r="E219" s="447">
        <f t="shared" si="81"/>
        <v>22.964994074338271</v>
      </c>
      <c r="F219" s="447">
        <f t="shared" si="81"/>
        <v>22.097349299052997</v>
      </c>
      <c r="G219" s="447">
        <f t="shared" si="81"/>
        <v>21.733978084128537</v>
      </c>
      <c r="H219" s="447">
        <f t="shared" si="81"/>
        <v>21.460232925475331</v>
      </c>
      <c r="I219" s="447">
        <f t="shared" si="81"/>
        <v>21.281622246473262</v>
      </c>
      <c r="J219" s="447">
        <f t="shared" si="81"/>
        <v>21.139468615101208</v>
      </c>
      <c r="K219" s="447">
        <f t="shared" si="81"/>
        <v>21.071145352018206</v>
      </c>
      <c r="L219" s="447">
        <f t="shared" si="81"/>
        <v>21.012709341199155</v>
      </c>
      <c r="M219" s="447">
        <f t="shared" si="81"/>
        <v>20.950330187124997</v>
      </c>
      <c r="N219" s="447">
        <f t="shared" si="81"/>
        <v>20.81633541586168</v>
      </c>
      <c r="O219" s="320"/>
    </row>
    <row r="220" spans="1:15">
      <c r="B220" s="331" t="str">
        <f t="shared" si="72"/>
        <v>55-59</v>
      </c>
      <c r="C220" s="447">
        <f t="shared" si="74"/>
        <v>33.151084587935586</v>
      </c>
      <c r="D220" s="447">
        <f t="shared" ref="D220:N220" si="82">D118+D152+D186</f>
        <v>30.00535188673587</v>
      </c>
      <c r="E220" s="447">
        <f t="shared" si="82"/>
        <v>28.473910824364658</v>
      </c>
      <c r="F220" s="447">
        <f t="shared" si="82"/>
        <v>27.130082188288533</v>
      </c>
      <c r="G220" s="447">
        <f t="shared" si="82"/>
        <v>26.366723882327783</v>
      </c>
      <c r="H220" s="447">
        <f t="shared" si="82"/>
        <v>25.848017624562114</v>
      </c>
      <c r="I220" s="447">
        <f t="shared" si="82"/>
        <v>25.533777600765426</v>
      </c>
      <c r="J220" s="447">
        <f t="shared" si="82"/>
        <v>25.311619818960452</v>
      </c>
      <c r="K220" s="447">
        <f t="shared" si="82"/>
        <v>25.224981623836932</v>
      </c>
      <c r="L220" s="447">
        <f t="shared" si="82"/>
        <v>25.164919719726566</v>
      </c>
      <c r="M220" s="447">
        <f t="shared" si="82"/>
        <v>25.104949704535414</v>
      </c>
      <c r="N220" s="447">
        <f t="shared" si="82"/>
        <v>24.940430578785833</v>
      </c>
      <c r="O220" s="320"/>
    </row>
    <row r="221" spans="1:15">
      <c r="B221" s="331" t="str">
        <f t="shared" si="72"/>
        <v>60-64</v>
      </c>
      <c r="C221" s="447">
        <f t="shared" si="74"/>
        <v>16.507232314650704</v>
      </c>
      <c r="D221" s="447">
        <f t="shared" ref="D221:N221" si="83">D119+D153+D187</f>
        <v>16.418547966347184</v>
      </c>
      <c r="E221" s="447">
        <f t="shared" si="83"/>
        <v>16.09881811488987</v>
      </c>
      <c r="F221" s="447">
        <f t="shared" si="83"/>
        <v>15.510895951550598</v>
      </c>
      <c r="G221" s="447">
        <f t="shared" si="83"/>
        <v>15.106195611702651</v>
      </c>
      <c r="H221" s="447">
        <f t="shared" si="83"/>
        <v>14.796244453477804</v>
      </c>
      <c r="I221" s="447">
        <f t="shared" si="83"/>
        <v>14.6065525598811</v>
      </c>
      <c r="J221" s="447">
        <f t="shared" si="83"/>
        <v>14.469172007575558</v>
      </c>
      <c r="K221" s="447">
        <f t="shared" si="83"/>
        <v>14.431565135449899</v>
      </c>
      <c r="L221" s="447">
        <f t="shared" si="83"/>
        <v>14.408041158618165</v>
      </c>
      <c r="M221" s="447">
        <f t="shared" si="83"/>
        <v>14.381791208984385</v>
      </c>
      <c r="N221" s="447">
        <f t="shared" si="83"/>
        <v>14.27174725152722</v>
      </c>
      <c r="O221" s="320"/>
    </row>
    <row r="222" spans="1:15">
      <c r="B222" s="331" t="str">
        <f t="shared" si="72"/>
        <v>65 plus</v>
      </c>
      <c r="C222" s="447">
        <f t="shared" si="74"/>
        <v>4.4914336974181595</v>
      </c>
      <c r="D222" s="447">
        <f t="shared" ref="D222:N222" si="84">D120+D154+D188</f>
        <v>5.36226667253014</v>
      </c>
      <c r="E222" s="447">
        <f t="shared" si="84"/>
        <v>6.0709232408189839</v>
      </c>
      <c r="F222" s="447">
        <f t="shared" si="84"/>
        <v>6.4008226850765029</v>
      </c>
      <c r="G222" s="447">
        <f t="shared" si="84"/>
        <v>6.6100229926591165</v>
      </c>
      <c r="H222" s="447">
        <f t="shared" si="84"/>
        <v>6.7089143421045065</v>
      </c>
      <c r="I222" s="447">
        <f t="shared" si="84"/>
        <v>6.7631527932398319</v>
      </c>
      <c r="J222" s="447">
        <f t="shared" si="84"/>
        <v>6.7823416799673177</v>
      </c>
      <c r="K222" s="447">
        <f t="shared" si="84"/>
        <v>6.8123468507361737</v>
      </c>
      <c r="L222" s="447">
        <f t="shared" si="84"/>
        <v>6.831954865282257</v>
      </c>
      <c r="M222" s="447">
        <f t="shared" si="84"/>
        <v>6.8399635163788508</v>
      </c>
      <c r="N222" s="447">
        <f t="shared" si="84"/>
        <v>6.8022978136973897</v>
      </c>
      <c r="O222" s="320"/>
    </row>
    <row r="223" spans="1:15">
      <c r="B223" s="331" t="str">
        <f t="shared" si="72"/>
        <v>Total</v>
      </c>
      <c r="C223" s="447">
        <f>SUM(C213:C222)</f>
        <v>185.24162114735614</v>
      </c>
      <c r="D223" s="447">
        <f t="shared" ref="D223:K223" si="85">SUM(D213:D222)</f>
        <v>174.27430456615264</v>
      </c>
      <c r="E223" s="447">
        <f t="shared" si="85"/>
        <v>176.12482145241279</v>
      </c>
      <c r="F223" s="447">
        <f t="shared" si="85"/>
        <v>171.70977426781994</v>
      </c>
      <c r="G223" s="447">
        <f t="shared" si="85"/>
        <v>171.74746426056845</v>
      </c>
      <c r="H223" s="447">
        <f t="shared" si="85"/>
        <v>172.5422891385453</v>
      </c>
      <c r="I223" s="447">
        <f t="shared" si="85"/>
        <v>174.33476277166662</v>
      </c>
      <c r="J223" s="447">
        <f t="shared" si="85"/>
        <v>176.23324146616386</v>
      </c>
      <c r="K223" s="447">
        <f t="shared" si="85"/>
        <v>179.05245337222996</v>
      </c>
      <c r="L223" s="447">
        <f>SUM(L213:L222)</f>
        <v>181.70178305293368</v>
      </c>
      <c r="M223" s="447">
        <f>SUM(M213:M222)</f>
        <v>183.9949904254002</v>
      </c>
      <c r="N223" s="447">
        <f>SUM(N213:N222)</f>
        <v>184.76711287966094</v>
      </c>
      <c r="O223" s="320"/>
    </row>
    <row r="224" spans="1:15">
      <c r="A224" s="302">
        <f>SUM(C224:N224)</f>
        <v>0</v>
      </c>
      <c r="C224" s="302">
        <f t="shared" ref="C224:N224" si="86">SUM(C213:C222)-C223</f>
        <v>0</v>
      </c>
      <c r="D224" s="302">
        <f t="shared" si="86"/>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7">
      <c r="B226" s="334" t="s">
        <v>47</v>
      </c>
      <c r="C226" s="322"/>
      <c r="D226" s="322"/>
      <c r="E226" s="322"/>
      <c r="F226" s="322"/>
      <c r="G226" s="322"/>
      <c r="H226" s="332"/>
      <c r="I226" s="322"/>
      <c r="J226" s="322"/>
      <c r="K226" s="322"/>
      <c r="L226" s="322"/>
    </row>
    <row r="227" spans="1:17">
      <c r="C227" s="322"/>
      <c r="D227" s="322"/>
      <c r="E227" s="322"/>
      <c r="F227" s="322"/>
      <c r="G227" s="322"/>
      <c r="H227" s="332"/>
      <c r="I227" s="322"/>
      <c r="J227" s="322"/>
      <c r="K227" s="322"/>
      <c r="L227" s="322"/>
    </row>
    <row r="228" spans="1:17">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7">
      <c r="B229" s="331" t="str">
        <f t="shared" si="87"/>
        <v>20-24</v>
      </c>
      <c r="C229" s="447">
        <f t="shared" ref="C229:C238" si="89">C195+C161+C127</f>
        <v>5.2180801598930575</v>
      </c>
      <c r="D229" s="447">
        <f t="shared" ref="D229:N229" si="90">D195+D161+D127</f>
        <v>7.3279189256730737</v>
      </c>
      <c r="E229" s="447">
        <f t="shared" si="90"/>
        <v>9.8147655994788057</v>
      </c>
      <c r="F229" s="447">
        <f t="shared" si="90"/>
        <v>12.043465801549907</v>
      </c>
      <c r="G229" s="447">
        <f t="shared" si="90"/>
        <v>14.086114651534723</v>
      </c>
      <c r="H229" s="447">
        <f t="shared" si="90"/>
        <v>15.826170114326858</v>
      </c>
      <c r="I229" s="447">
        <f t="shared" si="90"/>
        <v>17.437378575811451</v>
      </c>
      <c r="J229" s="447">
        <f t="shared" si="90"/>
        <v>18.705057153842478</v>
      </c>
      <c r="K229" s="447">
        <f t="shared" si="90"/>
        <v>19.977308454047446</v>
      </c>
      <c r="L229" s="447">
        <f t="shared" si="90"/>
        <v>20.941103217042706</v>
      </c>
      <c r="M229" s="447">
        <f t="shared" si="90"/>
        <v>21.614309620418734</v>
      </c>
      <c r="N229" s="447">
        <f t="shared" si="90"/>
        <v>21.698487443478754</v>
      </c>
      <c r="O229" s="320"/>
      <c r="P229" s="320"/>
      <c r="Q229" s="320"/>
    </row>
    <row r="230" spans="1:17">
      <c r="B230" s="331" t="str">
        <f t="shared" si="87"/>
        <v>25-29</v>
      </c>
      <c r="C230" s="447">
        <f t="shared" si="89"/>
        <v>21.258917506916166</v>
      </c>
      <c r="D230" s="447">
        <f t="shared" ref="D230:N230" si="91">D196+D162+D128</f>
        <v>19.913896165964005</v>
      </c>
      <c r="E230" s="447">
        <f t="shared" si="91"/>
        <v>20.35031996468944</v>
      </c>
      <c r="F230" s="447">
        <f t="shared" si="91"/>
        <v>21.430710266800947</v>
      </c>
      <c r="G230" s="447">
        <f t="shared" si="91"/>
        <v>22.879853713746463</v>
      </c>
      <c r="H230" s="447">
        <f t="shared" si="91"/>
        <v>24.521933271666992</v>
      </c>
      <c r="I230" s="447">
        <f t="shared" si="91"/>
        <v>26.346218479763952</v>
      </c>
      <c r="J230" s="447">
        <f t="shared" si="91"/>
        <v>28.027498749892136</v>
      </c>
      <c r="K230" s="447">
        <f t="shared" si="91"/>
        <v>29.807000571335728</v>
      </c>
      <c r="L230" s="447">
        <f t="shared" si="91"/>
        <v>31.341886018640967</v>
      </c>
      <c r="M230" s="447">
        <f t="shared" si="91"/>
        <v>32.5819308231465</v>
      </c>
      <c r="N230" s="447">
        <f t="shared" si="91"/>
        <v>33.177754965109649</v>
      </c>
      <c r="O230" s="320"/>
      <c r="P230" s="320"/>
      <c r="Q230" s="320"/>
    </row>
    <row r="231" spans="1:17">
      <c r="B231" s="331" t="str">
        <f t="shared" si="87"/>
        <v>30-34</v>
      </c>
      <c r="C231" s="447">
        <f t="shared" si="89"/>
        <v>31.658721250796503</v>
      </c>
      <c r="D231" s="447">
        <f t="shared" ref="D231:N231" si="92">D197+D163+D129</f>
        <v>28.647208712202872</v>
      </c>
      <c r="E231" s="447">
        <f t="shared" si="92"/>
        <v>26.969477199254694</v>
      </c>
      <c r="F231" s="447">
        <f t="shared" si="92"/>
        <v>25.916923592690608</v>
      </c>
      <c r="G231" s="447">
        <f t="shared" si="92"/>
        <v>25.293430150285403</v>
      </c>
      <c r="H231" s="447">
        <f t="shared" si="92"/>
        <v>25.220883718138424</v>
      </c>
      <c r="I231" s="447">
        <f t="shared" si="92"/>
        <v>25.626569883548889</v>
      </c>
      <c r="J231" s="447">
        <f t="shared" si="92"/>
        <v>26.278769121684565</v>
      </c>
      <c r="K231" s="447">
        <f t="shared" si="92"/>
        <v>27.218657885824552</v>
      </c>
      <c r="L231" s="447">
        <f t="shared" si="92"/>
        <v>28.221385738508534</v>
      </c>
      <c r="M231" s="447">
        <f t="shared" si="92"/>
        <v>29.19348843743526</v>
      </c>
      <c r="N231" s="447">
        <f t="shared" si="92"/>
        <v>29.895452591692035</v>
      </c>
      <c r="O231" s="320"/>
      <c r="P231" s="320"/>
      <c r="Q231" s="320"/>
    </row>
    <row r="232" spans="1:17">
      <c r="B232" s="331" t="str">
        <f t="shared" si="87"/>
        <v>35-39</v>
      </c>
      <c r="C232" s="447">
        <f t="shared" si="89"/>
        <v>34.96913032635743</v>
      </c>
      <c r="D232" s="447">
        <f t="shared" ref="D232:N232" si="93">D198+D164+D130</f>
        <v>32.865099064183902</v>
      </c>
      <c r="E232" s="447">
        <f t="shared" si="93"/>
        <v>31.405976193159027</v>
      </c>
      <c r="F232" s="447">
        <f t="shared" si="93"/>
        <v>30.024910529257344</v>
      </c>
      <c r="G232" s="447">
        <f t="shared" si="93"/>
        <v>28.629133307013191</v>
      </c>
      <c r="H232" s="447">
        <f t="shared" si="93"/>
        <v>27.59457988798745</v>
      </c>
      <c r="I232" s="447">
        <f t="shared" si="93"/>
        <v>26.953000708981431</v>
      </c>
      <c r="J232" s="447">
        <f t="shared" si="93"/>
        <v>26.600083570472794</v>
      </c>
      <c r="K232" s="447">
        <f t="shared" si="93"/>
        <v>26.587312742006205</v>
      </c>
      <c r="L232" s="447">
        <f t="shared" si="93"/>
        <v>26.770170344036053</v>
      </c>
      <c r="M232" s="447">
        <f t="shared" si="93"/>
        <v>27.083035829199478</v>
      </c>
      <c r="N232" s="447">
        <f t="shared" si="93"/>
        <v>27.355118601586355</v>
      </c>
      <c r="O232" s="320"/>
      <c r="P232" s="320"/>
      <c r="Q232" s="320"/>
    </row>
    <row r="233" spans="1:17">
      <c r="B233" s="331" t="str">
        <f t="shared" si="87"/>
        <v>40-44</v>
      </c>
      <c r="C233" s="447">
        <f t="shared" si="89"/>
        <v>32.058723822655622</v>
      </c>
      <c r="D233" s="447">
        <f t="shared" ref="D233:N233" si="94">D199+D165+D131</f>
        <v>31.316975450465687</v>
      </c>
      <c r="E233" s="447">
        <f t="shared" si="94"/>
        <v>30.964154703820494</v>
      </c>
      <c r="F233" s="447">
        <f t="shared" si="94"/>
        <v>30.413212695765829</v>
      </c>
      <c r="G233" s="447">
        <f t="shared" si="94"/>
        <v>29.521442180906877</v>
      </c>
      <c r="H233" s="447">
        <f t="shared" si="94"/>
        <v>28.693833672937352</v>
      </c>
      <c r="I233" s="447">
        <f t="shared" si="94"/>
        <v>28.004626173758759</v>
      </c>
      <c r="J233" s="447">
        <f t="shared" si="94"/>
        <v>27.417763607359415</v>
      </c>
      <c r="K233" s="447">
        <f t="shared" si="94"/>
        <v>27.030263066189384</v>
      </c>
      <c r="L233" s="447">
        <f t="shared" si="94"/>
        <v>26.763189192677789</v>
      </c>
      <c r="M233" s="447">
        <f t="shared" si="94"/>
        <v>26.599853220128939</v>
      </c>
      <c r="N233" s="447">
        <f t="shared" si="94"/>
        <v>26.42673960362065</v>
      </c>
      <c r="O233" s="320"/>
      <c r="P233" s="320"/>
      <c r="Q233" s="320"/>
    </row>
    <row r="234" spans="1:17">
      <c r="B234" s="331" t="str">
        <f t="shared" si="87"/>
        <v>45-49</v>
      </c>
      <c r="C234" s="447">
        <f t="shared" si="89"/>
        <v>29.468367566850706</v>
      </c>
      <c r="D234" s="447">
        <f t="shared" ref="D234:N234" si="95">D200+D166+D132</f>
        <v>29.1967037864875</v>
      </c>
      <c r="E234" s="447">
        <f t="shared" si="95"/>
        <v>29.393660801610565</v>
      </c>
      <c r="F234" s="447">
        <f t="shared" si="95"/>
        <v>29.44450066705047</v>
      </c>
      <c r="G234" s="447">
        <f t="shared" si="95"/>
        <v>29.134886201472398</v>
      </c>
      <c r="H234" s="447">
        <f t="shared" si="95"/>
        <v>28.805893529533968</v>
      </c>
      <c r="I234" s="447">
        <f t="shared" si="95"/>
        <v>28.498264112811746</v>
      </c>
      <c r="J234" s="447">
        <f t="shared" si="95"/>
        <v>28.168017865501927</v>
      </c>
      <c r="K234" s="447">
        <f t="shared" si="95"/>
        <v>27.907478440710531</v>
      </c>
      <c r="L234" s="447">
        <f t="shared" si="95"/>
        <v>27.656497152114099</v>
      </c>
      <c r="M234" s="447">
        <f t="shared" si="95"/>
        <v>27.417919754728302</v>
      </c>
      <c r="N234" s="447">
        <f t="shared" si="95"/>
        <v>27.108300797595827</v>
      </c>
      <c r="O234" s="320"/>
      <c r="P234" s="320"/>
      <c r="Q234" s="320"/>
    </row>
    <row r="235" spans="1:17">
      <c r="B235" s="331" t="str">
        <f t="shared" si="87"/>
        <v>50-54</v>
      </c>
      <c r="C235" s="447">
        <f t="shared" si="89"/>
        <v>29.344070496538293</v>
      </c>
      <c r="D235" s="447">
        <f t="shared" ref="D235:N235" si="96">D201+D167+D133</f>
        <v>28.606203078197947</v>
      </c>
      <c r="E235" s="447">
        <f t="shared" si="96"/>
        <v>28.470566486462836</v>
      </c>
      <c r="F235" s="447">
        <f t="shared" si="96"/>
        <v>28.391712289917084</v>
      </c>
      <c r="G235" s="447">
        <f t="shared" si="96"/>
        <v>28.173736586447568</v>
      </c>
      <c r="H235" s="447">
        <f t="shared" si="96"/>
        <v>28.025164229781218</v>
      </c>
      <c r="I235" s="447">
        <f t="shared" si="96"/>
        <v>27.942263702105535</v>
      </c>
      <c r="J235" s="447">
        <f t="shared" si="96"/>
        <v>27.847300259546468</v>
      </c>
      <c r="K235" s="447">
        <f t="shared" si="96"/>
        <v>27.800323772710193</v>
      </c>
      <c r="L235" s="447">
        <f t="shared" si="96"/>
        <v>27.725072523107986</v>
      </c>
      <c r="M235" s="447">
        <f t="shared" si="96"/>
        <v>27.613576599516758</v>
      </c>
      <c r="N235" s="447">
        <f t="shared" si="96"/>
        <v>27.382961917791683</v>
      </c>
      <c r="O235" s="320"/>
      <c r="P235" s="320"/>
      <c r="Q235" s="320"/>
    </row>
    <row r="236" spans="1:17">
      <c r="B236" s="331" t="str">
        <f t="shared" si="87"/>
        <v>55-59</v>
      </c>
      <c r="C236" s="447">
        <f t="shared" si="89"/>
        <v>35.199604418342155</v>
      </c>
      <c r="D236" s="447">
        <f t="shared" ref="D236:N236" si="97">D202+D168+D134</f>
        <v>33.737799139674735</v>
      </c>
      <c r="E236" s="447">
        <f t="shared" si="97"/>
        <v>32.933367508886505</v>
      </c>
      <c r="F236" s="447">
        <f t="shared" si="97"/>
        <v>32.38404912831399</v>
      </c>
      <c r="G236" s="447">
        <f t="shared" si="97"/>
        <v>32.022521108899475</v>
      </c>
      <c r="H236" s="447">
        <f t="shared" si="97"/>
        <v>31.829467785971715</v>
      </c>
      <c r="I236" s="447">
        <f t="shared" si="97"/>
        <v>31.793394253778658</v>
      </c>
      <c r="J236" s="447">
        <f t="shared" si="97"/>
        <v>31.788083227118381</v>
      </c>
      <c r="K236" s="447">
        <f t="shared" si="97"/>
        <v>31.883126081971575</v>
      </c>
      <c r="L236" s="447">
        <f t="shared" si="97"/>
        <v>31.947556484447936</v>
      </c>
      <c r="M236" s="447">
        <f t="shared" si="97"/>
        <v>31.95728394982169</v>
      </c>
      <c r="N236" s="447">
        <f t="shared" si="97"/>
        <v>31.785958982492055</v>
      </c>
      <c r="O236" s="320"/>
      <c r="P236" s="320"/>
      <c r="Q236" s="320"/>
    </row>
    <row r="237" spans="1:17">
      <c r="B237" s="331" t="str">
        <f t="shared" si="87"/>
        <v>60-64</v>
      </c>
      <c r="C237" s="447">
        <f t="shared" si="89"/>
        <v>16.672072610249749</v>
      </c>
      <c r="D237" s="447">
        <f t="shared" ref="D237:N237" si="98">D203+D169+D135</f>
        <v>17.607974525123122</v>
      </c>
      <c r="E237" s="447">
        <f t="shared" si="98"/>
        <v>18.026091525353923</v>
      </c>
      <c r="F237" s="447">
        <f t="shared" si="98"/>
        <v>18.13872400540529</v>
      </c>
      <c r="G237" s="447">
        <f t="shared" si="98"/>
        <v>18.179711995228516</v>
      </c>
      <c r="H237" s="447">
        <f t="shared" si="98"/>
        <v>18.205767548910664</v>
      </c>
      <c r="I237" s="447">
        <f t="shared" si="98"/>
        <v>18.286240535465474</v>
      </c>
      <c r="J237" s="447">
        <f t="shared" si="98"/>
        <v>18.357625164873426</v>
      </c>
      <c r="K237" s="447">
        <f t="shared" si="98"/>
        <v>18.501712717025882</v>
      </c>
      <c r="L237" s="447">
        <f t="shared" si="98"/>
        <v>18.616464670713668</v>
      </c>
      <c r="M237" s="447">
        <f t="shared" si="98"/>
        <v>18.688270958508841</v>
      </c>
      <c r="N237" s="447">
        <f t="shared" si="98"/>
        <v>18.615811465978563</v>
      </c>
      <c r="O237" s="320"/>
      <c r="P237" s="320"/>
      <c r="Q237" s="320"/>
    </row>
    <row r="238" spans="1:17">
      <c r="B238" s="331" t="str">
        <f t="shared" si="87"/>
        <v>65 plus</v>
      </c>
      <c r="C238" s="447">
        <f t="shared" si="89"/>
        <v>5.3048321421190145</v>
      </c>
      <c r="D238" s="447">
        <f t="shared" ref="D238:N238" si="99">D204+D170+D136</f>
        <v>5.9869649054902858</v>
      </c>
      <c r="E238" s="447">
        <f t="shared" si="99"/>
        <v>6.6643742794492908</v>
      </c>
      <c r="F238" s="447">
        <f t="shared" si="99"/>
        <v>7.1914288310724519</v>
      </c>
      <c r="G238" s="447">
        <f t="shared" si="99"/>
        <v>7.5857084688014123</v>
      </c>
      <c r="H238" s="447">
        <f t="shared" si="99"/>
        <v>7.8782759468175589</v>
      </c>
      <c r="I238" s="447">
        <f t="shared" si="99"/>
        <v>8.1144708778110672</v>
      </c>
      <c r="J238" s="447">
        <f t="shared" si="99"/>
        <v>8.2912015211042842</v>
      </c>
      <c r="K238" s="447">
        <f t="shared" si="99"/>
        <v>8.4588172874871184</v>
      </c>
      <c r="L238" s="447">
        <f t="shared" si="99"/>
        <v>8.5922284919717971</v>
      </c>
      <c r="M238" s="447">
        <f t="shared" si="99"/>
        <v>8.6912049685164678</v>
      </c>
      <c r="N238" s="447">
        <f t="shared" si="99"/>
        <v>8.7161540963402953</v>
      </c>
      <c r="O238" s="320"/>
      <c r="P238" s="320"/>
      <c r="Q238" s="320"/>
    </row>
    <row r="239" spans="1:17">
      <c r="B239" s="331" t="str">
        <f t="shared" si="87"/>
        <v>Total</v>
      </c>
      <c r="C239" s="447">
        <f>SUM(C229:C238)</f>
        <v>241.15252030071872</v>
      </c>
      <c r="D239" s="447">
        <f t="shared" ref="D239:N239" si="100">SUM(D229:D238)</f>
        <v>235.20674375346312</v>
      </c>
      <c r="E239" s="447">
        <f t="shared" si="100"/>
        <v>234.99275426216559</v>
      </c>
      <c r="F239" s="447">
        <f t="shared" si="100"/>
        <v>235.37963780782391</v>
      </c>
      <c r="G239" s="447">
        <f t="shared" si="100"/>
        <v>235.50653836433602</v>
      </c>
      <c r="H239" s="447">
        <f t="shared" si="100"/>
        <v>236.60196970607217</v>
      </c>
      <c r="I239" s="447">
        <f t="shared" si="100"/>
        <v>239.00242730383695</v>
      </c>
      <c r="J239" s="447">
        <f t="shared" si="100"/>
        <v>241.4814002413959</v>
      </c>
      <c r="K239" s="447">
        <f t="shared" si="100"/>
        <v>245.17200101930857</v>
      </c>
      <c r="L239" s="447">
        <f t="shared" si="100"/>
        <v>248.57555383326158</v>
      </c>
      <c r="M239" s="447">
        <f t="shared" si="100"/>
        <v>251.44087416142096</v>
      </c>
      <c r="N239" s="447">
        <f t="shared" si="100"/>
        <v>252.16274046568586</v>
      </c>
      <c r="O239" s="320"/>
      <c r="P239" s="320"/>
      <c r="Q239" s="320"/>
    </row>
    <row r="240" spans="1:17">
      <c r="A240" s="302">
        <f>SUM(C240:N240)</f>
        <v>0</v>
      </c>
      <c r="C240" s="302">
        <f t="shared" ref="C240:N240" si="101">SUM(C229:C238)-C239</f>
        <v>0</v>
      </c>
      <c r="D240" s="302">
        <f t="shared" si="101"/>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23.702389051946074</v>
      </c>
      <c r="D247" s="447">
        <f t="shared" ref="D247:N247" si="105">D77-D213</f>
        <v>37.239161455723028</v>
      </c>
      <c r="E247" s="447">
        <f t="shared" si="105"/>
        <v>51.383778063367323</v>
      </c>
      <c r="F247" s="447">
        <f t="shared" si="105"/>
        <v>63.8149490741298</v>
      </c>
      <c r="G247" s="447">
        <f t="shared" si="105"/>
        <v>75.724981222850147</v>
      </c>
      <c r="H247" s="447">
        <f t="shared" si="105"/>
        <v>85.772155746047801</v>
      </c>
      <c r="I247" s="447">
        <f t="shared" si="105"/>
        <v>94.968963366254641</v>
      </c>
      <c r="J247" s="447">
        <f t="shared" si="105"/>
        <v>102.17962590676134</v>
      </c>
      <c r="K247" s="447">
        <f t="shared" si="105"/>
        <v>109.34316548204691</v>
      </c>
      <c r="L247" s="447">
        <f t="shared" si="105"/>
        <v>114.76347386961267</v>
      </c>
      <c r="M247" s="447">
        <f t="shared" si="105"/>
        <v>118.55281481434923</v>
      </c>
      <c r="N247" s="447">
        <f t="shared" si="105"/>
        <v>119.08379077739905</v>
      </c>
    </row>
    <row r="248" spans="2:14">
      <c r="B248" s="331" t="str">
        <f t="shared" si="102"/>
        <v>25-29</v>
      </c>
      <c r="C248" s="447">
        <f t="shared" si="104"/>
        <v>122.98607006872854</v>
      </c>
      <c r="D248" s="447">
        <f t="shared" ref="D248:N248" si="106">D78-D214</f>
        <v>120.37285961810733</v>
      </c>
      <c r="E248" s="447">
        <f t="shared" si="106"/>
        <v>126.78726274913812</v>
      </c>
      <c r="F248" s="447">
        <f t="shared" si="106"/>
        <v>137.31003804336677</v>
      </c>
      <c r="G248" s="447">
        <f t="shared" si="106"/>
        <v>151.31704494476517</v>
      </c>
      <c r="H248" s="447">
        <f t="shared" si="106"/>
        <v>165.79706786746317</v>
      </c>
      <c r="I248" s="447">
        <f t="shared" si="106"/>
        <v>180.88510114265398</v>
      </c>
      <c r="J248" s="447">
        <f t="shared" si="106"/>
        <v>194.44480402682882</v>
      </c>
      <c r="K248" s="447">
        <f t="shared" si="106"/>
        <v>208.30442073537853</v>
      </c>
      <c r="L248" s="447">
        <f t="shared" si="106"/>
        <v>220.13624812843415</v>
      </c>
      <c r="M248" s="447">
        <f t="shared" si="106"/>
        <v>229.65511234124918</v>
      </c>
      <c r="N248" s="447">
        <f t="shared" si="106"/>
        <v>234.44301564737606</v>
      </c>
    </row>
    <row r="249" spans="2:14">
      <c r="B249" s="331" t="str">
        <f t="shared" si="102"/>
        <v>30-34</v>
      </c>
      <c r="C249" s="447">
        <f t="shared" si="104"/>
        <v>280.51589046380724</v>
      </c>
      <c r="D249" s="447">
        <f t="shared" ref="D249:N249" si="107">D79-D215</f>
        <v>248.36469309153102</v>
      </c>
      <c r="E249" s="447">
        <f t="shared" si="107"/>
        <v>227.20481822162498</v>
      </c>
      <c r="F249" s="447">
        <f t="shared" si="107"/>
        <v>214.86855728034919</v>
      </c>
      <c r="G249" s="447">
        <f t="shared" si="107"/>
        <v>210.19403588064046</v>
      </c>
      <c r="H249" s="447">
        <f t="shared" si="107"/>
        <v>210.66201508366797</v>
      </c>
      <c r="I249" s="447">
        <f t="shared" si="107"/>
        <v>215.41471454387411</v>
      </c>
      <c r="J249" s="447">
        <f t="shared" si="107"/>
        <v>222.35018121414788</v>
      </c>
      <c r="K249" s="447">
        <f t="shared" si="107"/>
        <v>231.71333409036345</v>
      </c>
      <c r="L249" s="447">
        <f t="shared" si="107"/>
        <v>241.56074629033387</v>
      </c>
      <c r="M249" s="447">
        <f t="shared" si="107"/>
        <v>251.0658876857473</v>
      </c>
      <c r="N249" s="447">
        <f t="shared" si="107"/>
        <v>258.18631500028476</v>
      </c>
    </row>
    <row r="250" spans="2:14">
      <c r="B250" s="331" t="str">
        <f t="shared" si="102"/>
        <v>35-39</v>
      </c>
      <c r="C250" s="447">
        <f t="shared" si="104"/>
        <v>296.56553789587099</v>
      </c>
      <c r="D250" s="447">
        <f t="shared" ref="D250:N250" si="108">D80-D216</f>
        <v>283.99408837092125</v>
      </c>
      <c r="E250" s="447">
        <f t="shared" si="108"/>
        <v>270.48424568825993</v>
      </c>
      <c r="F250" s="447">
        <f t="shared" si="108"/>
        <v>258.1387400727358</v>
      </c>
      <c r="G250" s="447">
        <f t="shared" si="108"/>
        <v>248.34874365165825</v>
      </c>
      <c r="H250" s="447">
        <f t="shared" si="108"/>
        <v>241.08611975174361</v>
      </c>
      <c r="I250" s="447">
        <f t="shared" si="108"/>
        <v>236.90488070430058</v>
      </c>
      <c r="J250" s="447">
        <f t="shared" si="108"/>
        <v>235.07205793164135</v>
      </c>
      <c r="K250" s="447">
        <f t="shared" si="108"/>
        <v>236.11176958689043</v>
      </c>
      <c r="L250" s="447">
        <f t="shared" si="108"/>
        <v>238.82738992304314</v>
      </c>
      <c r="M250" s="447">
        <f t="shared" si="108"/>
        <v>242.66402948058987</v>
      </c>
      <c r="N250" s="447">
        <f t="shared" si="108"/>
        <v>246.14557314201022</v>
      </c>
    </row>
    <row r="251" spans="2:14">
      <c r="B251" s="331" t="str">
        <f t="shared" si="102"/>
        <v>40-44</v>
      </c>
      <c r="C251" s="447">
        <f t="shared" si="104"/>
        <v>260.85316547839454</v>
      </c>
      <c r="D251" s="447">
        <f t="shared" ref="D251:N251" si="109">D81-D217</f>
        <v>256.38205807974623</v>
      </c>
      <c r="E251" s="447">
        <f t="shared" si="109"/>
        <v>252.11176793110786</v>
      </c>
      <c r="F251" s="447">
        <f t="shared" si="109"/>
        <v>247.9033028700305</v>
      </c>
      <c r="G251" s="447">
        <f t="shared" si="109"/>
        <v>243.91183422018977</v>
      </c>
      <c r="H251" s="447">
        <f t="shared" si="109"/>
        <v>239.89456093798543</v>
      </c>
      <c r="I251" s="447">
        <f t="shared" si="109"/>
        <v>236.52652202577809</v>
      </c>
      <c r="J251" s="447">
        <f t="shared" si="109"/>
        <v>233.59596129708416</v>
      </c>
      <c r="K251" s="447">
        <f t="shared" si="109"/>
        <v>232.01406432924176</v>
      </c>
      <c r="L251" s="447">
        <f t="shared" si="109"/>
        <v>231.20529405366128</v>
      </c>
      <c r="M251" s="447">
        <f t="shared" si="109"/>
        <v>231.09817803709609</v>
      </c>
      <c r="N251" s="447">
        <f t="shared" si="109"/>
        <v>230.7884432910854</v>
      </c>
    </row>
    <row r="252" spans="2:14">
      <c r="B252" s="331" t="str">
        <f t="shared" si="102"/>
        <v>45-49</v>
      </c>
      <c r="C252" s="447">
        <f t="shared" si="104"/>
        <v>243.57603747230411</v>
      </c>
      <c r="D252" s="447">
        <f t="shared" ref="D252:N252" si="110">D82-D218</f>
        <v>233.57162279266572</v>
      </c>
      <c r="E252" s="447">
        <f t="shared" si="110"/>
        <v>226.39080684618088</v>
      </c>
      <c r="F252" s="447">
        <f t="shared" si="110"/>
        <v>221.58461598656498</v>
      </c>
      <c r="G252" s="447">
        <f t="shared" si="110"/>
        <v>218.42498899022252</v>
      </c>
      <c r="H252" s="447">
        <f t="shared" si="110"/>
        <v>215.97648493855118</v>
      </c>
      <c r="I252" s="447">
        <f t="shared" si="110"/>
        <v>214.20773579001653</v>
      </c>
      <c r="J252" s="447">
        <f t="shared" si="110"/>
        <v>212.56051678718632</v>
      </c>
      <c r="K252" s="447">
        <f t="shared" si="110"/>
        <v>211.56363351312649</v>
      </c>
      <c r="L252" s="447">
        <f t="shared" si="110"/>
        <v>210.67976046529316</v>
      </c>
      <c r="M252" s="447">
        <f t="shared" si="110"/>
        <v>209.87600387915302</v>
      </c>
      <c r="N252" s="447">
        <f t="shared" si="110"/>
        <v>208.50710453221782</v>
      </c>
    </row>
    <row r="253" spans="2:14">
      <c r="B253" s="331" t="str">
        <f t="shared" si="102"/>
        <v>50-54</v>
      </c>
      <c r="C253" s="447">
        <f t="shared" si="104"/>
        <v>187.1772197301857</v>
      </c>
      <c r="D253" s="447">
        <f t="shared" ref="D253:N253" si="111">D83-D219</f>
        <v>181.57271142343052</v>
      </c>
      <c r="E253" s="447">
        <f t="shared" si="111"/>
        <v>176.46731532379178</v>
      </c>
      <c r="F253" s="447">
        <f t="shared" si="111"/>
        <v>172.50440797126015</v>
      </c>
      <c r="G253" s="447">
        <f t="shared" si="111"/>
        <v>169.66772672700671</v>
      </c>
      <c r="H253" s="447">
        <f t="shared" si="111"/>
        <v>167.53071717489297</v>
      </c>
      <c r="I253" s="447">
        <f t="shared" si="111"/>
        <v>166.13638118365634</v>
      </c>
      <c r="J253" s="447">
        <f t="shared" si="111"/>
        <v>165.02664952811105</v>
      </c>
      <c r="K253" s="447">
        <f t="shared" si="111"/>
        <v>164.49327948950184</v>
      </c>
      <c r="L253" s="447">
        <f t="shared" si="111"/>
        <v>164.03709493477902</v>
      </c>
      <c r="M253" s="447">
        <f t="shared" si="111"/>
        <v>163.55012797337193</v>
      </c>
      <c r="N253" s="447">
        <f t="shared" si="111"/>
        <v>162.50408899488625</v>
      </c>
    </row>
    <row r="254" spans="2:14">
      <c r="B254" s="331" t="str">
        <f t="shared" si="102"/>
        <v>55-59</v>
      </c>
      <c r="C254" s="447">
        <f t="shared" si="104"/>
        <v>100.68077443223781</v>
      </c>
      <c r="D254" s="447">
        <f t="shared" ref="D254:N254" si="112">D84-D220</f>
        <v>92.025894647208844</v>
      </c>
      <c r="E254" s="447">
        <f t="shared" si="112"/>
        <v>86.470808011521399</v>
      </c>
      <c r="F254" s="447">
        <f t="shared" si="112"/>
        <v>82.812792728494117</v>
      </c>
      <c r="G254" s="447">
        <f t="shared" si="112"/>
        <v>80.482691672022156</v>
      </c>
      <c r="H254" s="447">
        <f t="shared" si="112"/>
        <v>78.899374912669899</v>
      </c>
      <c r="I254" s="447">
        <f t="shared" si="112"/>
        <v>77.940177893764258</v>
      </c>
      <c r="J254" s="447">
        <f t="shared" si="112"/>
        <v>77.262055866342621</v>
      </c>
      <c r="K254" s="447">
        <f t="shared" si="112"/>
        <v>76.997598470108414</v>
      </c>
      <c r="L254" s="447">
        <f t="shared" si="112"/>
        <v>76.814263455439061</v>
      </c>
      <c r="M254" s="447">
        <f t="shared" si="112"/>
        <v>76.631208925656125</v>
      </c>
      <c r="N254" s="447">
        <f t="shared" si="112"/>
        <v>76.129025107486399</v>
      </c>
    </row>
    <row r="255" spans="2:14">
      <c r="B255" s="331" t="str">
        <f t="shared" si="102"/>
        <v>60-64</v>
      </c>
      <c r="C255" s="447">
        <f t="shared" si="104"/>
        <v>29.250885495907401</v>
      </c>
      <c r="D255" s="447">
        <f t="shared" ref="D255:N255" si="113">D85-D221</f>
        <v>29.34005548217629</v>
      </c>
      <c r="E255" s="447">
        <f t="shared" si="113"/>
        <v>28.525681792013796</v>
      </c>
      <c r="F255" s="447">
        <f t="shared" si="113"/>
        <v>27.605172087660488</v>
      </c>
      <c r="G255" s="447">
        <f t="shared" si="113"/>
        <v>26.884915658867897</v>
      </c>
      <c r="H255" s="447">
        <f t="shared" si="113"/>
        <v>26.333286978726356</v>
      </c>
      <c r="I255" s="447">
        <f t="shared" si="113"/>
        <v>25.995687050087305</v>
      </c>
      <c r="J255" s="447">
        <f t="shared" si="113"/>
        <v>25.751187067640252</v>
      </c>
      <c r="K255" s="447">
        <f t="shared" si="113"/>
        <v>25.684257073399415</v>
      </c>
      <c r="L255" s="447">
        <f t="shared" si="113"/>
        <v>25.642390798836391</v>
      </c>
      <c r="M255" s="447">
        <f t="shared" si="113"/>
        <v>25.595673034808033</v>
      </c>
      <c r="N255" s="447">
        <f t="shared" si="113"/>
        <v>25.399824749041624</v>
      </c>
    </row>
    <row r="256" spans="2:14">
      <c r="B256" s="331" t="str">
        <f t="shared" si="102"/>
        <v>65 plus</v>
      </c>
      <c r="C256" s="447">
        <f t="shared" si="104"/>
        <v>6.7517466652076337</v>
      </c>
      <c r="D256" s="447">
        <f t="shared" ref="D256:N256" si="114">D86-D222</f>
        <v>8.1735016827272986</v>
      </c>
      <c r="E256" s="447">
        <f t="shared" si="114"/>
        <v>9.1253282538825928</v>
      </c>
      <c r="F256" s="447">
        <f t="shared" si="114"/>
        <v>9.6911777187848003</v>
      </c>
      <c r="G256" s="447">
        <f t="shared" si="114"/>
        <v>10.007917841009155</v>
      </c>
      <c r="H256" s="447">
        <f t="shared" si="114"/>
        <v>10.157644476080637</v>
      </c>
      <c r="I256" s="447">
        <f t="shared" si="114"/>
        <v>10.239764305828395</v>
      </c>
      <c r="J256" s="447">
        <f t="shared" si="114"/>
        <v>10.268817276149736</v>
      </c>
      <c r="K256" s="447">
        <f t="shared" si="114"/>
        <v>10.314246661825649</v>
      </c>
      <c r="L256" s="447">
        <f t="shared" si="114"/>
        <v>10.343934213415174</v>
      </c>
      <c r="M256" s="447">
        <f t="shared" si="114"/>
        <v>10.356059726787976</v>
      </c>
      <c r="N256" s="447">
        <f t="shared" si="114"/>
        <v>10.299031898249623</v>
      </c>
    </row>
    <row r="257" spans="1:15">
      <c r="B257" s="331" t="str">
        <f t="shared" si="102"/>
        <v>Total</v>
      </c>
      <c r="C257" s="447">
        <f>SUM(C247:C256)</f>
        <v>1552.0597167545898</v>
      </c>
      <c r="D257" s="447">
        <f t="shared" ref="D257:N257" si="115">SUM(D247:D256)</f>
        <v>1491.0366466442374</v>
      </c>
      <c r="E257" s="447">
        <f t="shared" si="115"/>
        <v>1454.9518128808886</v>
      </c>
      <c r="F257" s="447">
        <f t="shared" si="115"/>
        <v>1436.2337538333766</v>
      </c>
      <c r="G257" s="447">
        <f t="shared" si="115"/>
        <v>1434.9648808092325</v>
      </c>
      <c r="H257" s="447">
        <f t="shared" si="115"/>
        <v>1442.109427867829</v>
      </c>
      <c r="I257" s="447">
        <f t="shared" si="115"/>
        <v>1459.2199280062143</v>
      </c>
      <c r="J257" s="447">
        <f t="shared" si="115"/>
        <v>1478.5118569018935</v>
      </c>
      <c r="K257" s="447">
        <f t="shared" si="115"/>
        <v>1506.5397694318829</v>
      </c>
      <c r="L257" s="447">
        <f t="shared" si="115"/>
        <v>1534.0105961328479</v>
      </c>
      <c r="M257" s="447">
        <f t="shared" si="115"/>
        <v>1559.045095898809</v>
      </c>
      <c r="N257" s="447">
        <f t="shared" si="115"/>
        <v>1571.4862131400373</v>
      </c>
    </row>
    <row r="258" spans="1:15">
      <c r="A258" s="302">
        <f>SUM(C258:N258)</f>
        <v>0</v>
      </c>
      <c r="C258" s="302">
        <f t="shared" ref="C258:N258" si="116">SUM(C247:C256)-C257</f>
        <v>0</v>
      </c>
      <c r="D258" s="302">
        <f t="shared" si="116"/>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5">
      <c r="B263" s="331" t="str">
        <f t="shared" si="117"/>
        <v>20-24</v>
      </c>
      <c r="C263" s="447">
        <f t="shared" ref="C263:C272" si="119">C93-C229</f>
        <v>39.493640670957724</v>
      </c>
      <c r="D263" s="447">
        <f t="shared" ref="D263:N263" si="120">D93-D229</f>
        <v>55.15340763580997</v>
      </c>
      <c r="E263" s="447">
        <f t="shared" si="120"/>
        <v>72.500330425179001</v>
      </c>
      <c r="F263" s="447">
        <f t="shared" si="120"/>
        <v>87.681425041364236</v>
      </c>
      <c r="G263" s="447">
        <f t="shared" si="120"/>
        <v>102.55275568463497</v>
      </c>
      <c r="H263" s="447">
        <f t="shared" si="120"/>
        <v>115.22108099419748</v>
      </c>
      <c r="I263" s="447">
        <f t="shared" si="120"/>
        <v>126.95134670587429</v>
      </c>
      <c r="J263" s="447">
        <f t="shared" si="120"/>
        <v>136.1805724161234</v>
      </c>
      <c r="K263" s="447">
        <f t="shared" si="120"/>
        <v>145.44308943994758</v>
      </c>
      <c r="L263" s="447">
        <f t="shared" si="120"/>
        <v>152.45991496669529</v>
      </c>
      <c r="M263" s="447">
        <f t="shared" si="120"/>
        <v>157.36113673853649</v>
      </c>
      <c r="N263" s="447">
        <f t="shared" si="120"/>
        <v>157.97398619602677</v>
      </c>
      <c r="O263" s="320"/>
    </row>
    <row r="264" spans="1:15">
      <c r="B264" s="331" t="str">
        <f t="shared" si="117"/>
        <v>25-29</v>
      </c>
      <c r="C264" s="447">
        <f t="shared" si="119"/>
        <v>206.86001398796151</v>
      </c>
      <c r="D264" s="447">
        <f t="shared" ref="D264:N264" si="121">D94-D230</f>
        <v>192.72271806496161</v>
      </c>
      <c r="E264" s="447">
        <f t="shared" si="121"/>
        <v>193.39268246411987</v>
      </c>
      <c r="F264" s="447">
        <f t="shared" si="121"/>
        <v>200.80637357509946</v>
      </c>
      <c r="G264" s="447">
        <f t="shared" si="121"/>
        <v>214.38488948747423</v>
      </c>
      <c r="H264" s="447">
        <f t="shared" si="121"/>
        <v>229.77122232678448</v>
      </c>
      <c r="I264" s="447">
        <f t="shared" si="121"/>
        <v>246.86482736572421</v>
      </c>
      <c r="J264" s="447">
        <f t="shared" si="121"/>
        <v>262.61847200954224</v>
      </c>
      <c r="K264" s="447">
        <f t="shared" si="121"/>
        <v>279.29245542333194</v>
      </c>
      <c r="L264" s="447">
        <f t="shared" si="121"/>
        <v>293.67437635313075</v>
      </c>
      <c r="M264" s="447">
        <f t="shared" si="121"/>
        <v>305.29363195237931</v>
      </c>
      <c r="N264" s="447">
        <f t="shared" si="121"/>
        <v>310.87652135485797</v>
      </c>
      <c r="O264" s="320"/>
    </row>
    <row r="265" spans="1:15">
      <c r="B265" s="331" t="str">
        <f t="shared" si="117"/>
        <v>30-34</v>
      </c>
      <c r="C265" s="447">
        <f t="shared" si="119"/>
        <v>362.48234522980886</v>
      </c>
      <c r="D265" s="447">
        <f t="shared" ref="D265:N265" si="122">D95-D231</f>
        <v>326.25133661253597</v>
      </c>
      <c r="E265" s="447">
        <f t="shared" si="122"/>
        <v>301.6851749186514</v>
      </c>
      <c r="F265" s="447">
        <f t="shared" si="122"/>
        <v>285.91096841205535</v>
      </c>
      <c r="G265" s="447">
        <f t="shared" si="122"/>
        <v>279.03269779945396</v>
      </c>
      <c r="H265" s="447">
        <f t="shared" si="122"/>
        <v>278.23237824779881</v>
      </c>
      <c r="I265" s="447">
        <f t="shared" si="122"/>
        <v>282.70783707334374</v>
      </c>
      <c r="J265" s="447">
        <f t="shared" si="122"/>
        <v>289.90278500402968</v>
      </c>
      <c r="K265" s="447">
        <f t="shared" si="122"/>
        <v>300.27147347099969</v>
      </c>
      <c r="L265" s="447">
        <f t="shared" si="122"/>
        <v>311.33339177273336</v>
      </c>
      <c r="M265" s="447">
        <f t="shared" si="122"/>
        <v>322.0574587343113</v>
      </c>
      <c r="N265" s="447">
        <f t="shared" si="122"/>
        <v>329.80140451615972</v>
      </c>
      <c r="O265" s="320"/>
    </row>
    <row r="266" spans="1:15">
      <c r="B266" s="331" t="str">
        <f t="shared" si="117"/>
        <v>35-39</v>
      </c>
      <c r="C266" s="447">
        <f t="shared" si="119"/>
        <v>409.42912198567967</v>
      </c>
      <c r="D266" s="447">
        <f t="shared" ref="D266:N266" si="123">D96-D232</f>
        <v>382.76018529727406</v>
      </c>
      <c r="E266" s="447">
        <f t="shared" si="123"/>
        <v>359.32459760100937</v>
      </c>
      <c r="F266" s="447">
        <f t="shared" si="123"/>
        <v>338.8263641133583</v>
      </c>
      <c r="G266" s="447">
        <f t="shared" si="123"/>
        <v>323.07523903125713</v>
      </c>
      <c r="H266" s="447">
        <f t="shared" si="123"/>
        <v>311.40046740760943</v>
      </c>
      <c r="I266" s="447">
        <f t="shared" si="123"/>
        <v>304.16034789745743</v>
      </c>
      <c r="J266" s="447">
        <f t="shared" si="123"/>
        <v>300.1777338357885</v>
      </c>
      <c r="K266" s="447">
        <f t="shared" si="123"/>
        <v>300.03361705742765</v>
      </c>
      <c r="L266" s="447">
        <f t="shared" si="123"/>
        <v>302.09713616053665</v>
      </c>
      <c r="M266" s="447">
        <f t="shared" si="123"/>
        <v>305.62777365206841</v>
      </c>
      <c r="N266" s="447">
        <f t="shared" si="123"/>
        <v>308.69818468346506</v>
      </c>
      <c r="O266" s="320"/>
    </row>
    <row r="267" spans="1:15">
      <c r="B267" s="331" t="str">
        <f t="shared" si="117"/>
        <v>40-44</v>
      </c>
      <c r="C267" s="447">
        <f t="shared" si="119"/>
        <v>369.88402631786533</v>
      </c>
      <c r="D267" s="447">
        <f t="shared" ref="D267:N267" si="124">D97-D233</f>
        <v>359.42193762254396</v>
      </c>
      <c r="E267" s="447">
        <f t="shared" si="124"/>
        <v>349.13355060851461</v>
      </c>
      <c r="F267" s="447">
        <f t="shared" si="124"/>
        <v>338.24719105061274</v>
      </c>
      <c r="G267" s="447">
        <f t="shared" si="124"/>
        <v>328.32917039524165</v>
      </c>
      <c r="H267" s="447">
        <f t="shared" si="124"/>
        <v>319.12474152050942</v>
      </c>
      <c r="I267" s="447">
        <f t="shared" si="124"/>
        <v>311.45956970915938</v>
      </c>
      <c r="J267" s="447">
        <f t="shared" si="124"/>
        <v>304.93264943266496</v>
      </c>
      <c r="K267" s="447">
        <f t="shared" si="124"/>
        <v>300.62297748539311</v>
      </c>
      <c r="L267" s="447">
        <f t="shared" si="124"/>
        <v>297.65265703875116</v>
      </c>
      <c r="M267" s="447">
        <f t="shared" si="124"/>
        <v>295.83608032701625</v>
      </c>
      <c r="N267" s="447">
        <f t="shared" si="124"/>
        <v>293.91075941132442</v>
      </c>
      <c r="O267" s="320"/>
    </row>
    <row r="268" spans="1:15">
      <c r="B268" s="331" t="str">
        <f t="shared" si="117"/>
        <v>45-49</v>
      </c>
      <c r="C268" s="447">
        <f t="shared" si="119"/>
        <v>298.43082146267852</v>
      </c>
      <c r="D268" s="447">
        <f t="shared" ref="D268:N268" si="125">D98-D234</f>
        <v>294.11505611475644</v>
      </c>
      <c r="E268" s="447">
        <f t="shared" si="125"/>
        <v>290.87812668171563</v>
      </c>
      <c r="F268" s="447">
        <f t="shared" si="125"/>
        <v>287.39120186862999</v>
      </c>
      <c r="G268" s="447">
        <f t="shared" si="125"/>
        <v>284.36922929777336</v>
      </c>
      <c r="H268" s="447">
        <f t="shared" si="125"/>
        <v>281.15811695922514</v>
      </c>
      <c r="I268" s="447">
        <f t="shared" si="125"/>
        <v>278.15551933321484</v>
      </c>
      <c r="J268" s="447">
        <f t="shared" si="125"/>
        <v>274.93217155088405</v>
      </c>
      <c r="K268" s="447">
        <f t="shared" si="125"/>
        <v>272.38919283741751</v>
      </c>
      <c r="L268" s="447">
        <f t="shared" si="125"/>
        <v>269.93950571275241</v>
      </c>
      <c r="M268" s="447">
        <f t="shared" si="125"/>
        <v>267.61088599022065</v>
      </c>
      <c r="N268" s="447">
        <f t="shared" si="125"/>
        <v>264.58886957982907</v>
      </c>
      <c r="O268" s="320"/>
    </row>
    <row r="269" spans="1:15">
      <c r="B269" s="331" t="str">
        <f t="shared" si="117"/>
        <v>50-54</v>
      </c>
      <c r="C269" s="447">
        <f t="shared" si="119"/>
        <v>228.98588226486299</v>
      </c>
      <c r="D269" s="447">
        <f t="shared" ref="D269:N269" si="126">D99-D235</f>
        <v>222.27920969985976</v>
      </c>
      <c r="E269" s="447">
        <f t="shared" si="126"/>
        <v>218.08119059480137</v>
      </c>
      <c r="F269" s="447">
        <f t="shared" si="126"/>
        <v>215.07035165770245</v>
      </c>
      <c r="G269" s="447">
        <f t="shared" si="126"/>
        <v>213.41916166537951</v>
      </c>
      <c r="H269" s="447">
        <f t="shared" si="126"/>
        <v>212.29370967894917</v>
      </c>
      <c r="I269" s="447">
        <f t="shared" si="126"/>
        <v>211.66572903946695</v>
      </c>
      <c r="J269" s="447">
        <f t="shared" si="126"/>
        <v>210.9463704894348</v>
      </c>
      <c r="K269" s="447">
        <f t="shared" si="126"/>
        <v>210.59051842104407</v>
      </c>
      <c r="L269" s="447">
        <f t="shared" si="126"/>
        <v>210.02048190653713</v>
      </c>
      <c r="M269" s="447">
        <f t="shared" si="126"/>
        <v>209.17588798947065</v>
      </c>
      <c r="N269" s="447">
        <f t="shared" si="126"/>
        <v>207.42895634302485</v>
      </c>
      <c r="O269" s="320"/>
    </row>
    <row r="270" spans="1:15">
      <c r="B270" s="331" t="str">
        <f t="shared" si="117"/>
        <v>55-59</v>
      </c>
      <c r="C270" s="447">
        <f t="shared" si="119"/>
        <v>111.11079798912678</v>
      </c>
      <c r="D270" s="447">
        <f t="shared" ref="D270:N270" si="127">D100-D236</f>
        <v>106.32730406604156</v>
      </c>
      <c r="E270" s="447">
        <f t="shared" si="127"/>
        <v>103.23603746015044</v>
      </c>
      <c r="F270" s="447">
        <f t="shared" si="127"/>
        <v>101.08792917865384</v>
      </c>
      <c r="G270" s="447">
        <f t="shared" si="127"/>
        <v>99.959406964588879</v>
      </c>
      <c r="H270" s="447">
        <f t="shared" si="127"/>
        <v>99.356784341380134</v>
      </c>
      <c r="I270" s="447">
        <f t="shared" si="127"/>
        <v>99.244179563234368</v>
      </c>
      <c r="J270" s="447">
        <f t="shared" si="127"/>
        <v>99.227601009861601</v>
      </c>
      <c r="K270" s="447">
        <f t="shared" si="127"/>
        <v>99.524280567821393</v>
      </c>
      <c r="L270" s="447">
        <f t="shared" si="127"/>
        <v>99.725402297123253</v>
      </c>
      <c r="M270" s="447">
        <f t="shared" si="127"/>
        <v>99.755766916658445</v>
      </c>
      <c r="N270" s="447">
        <f t="shared" si="127"/>
        <v>99.220970106805197</v>
      </c>
      <c r="O270" s="320"/>
    </row>
    <row r="271" spans="1:15">
      <c r="B271" s="331" t="str">
        <f t="shared" si="117"/>
        <v>60-64</v>
      </c>
      <c r="C271" s="447">
        <f t="shared" si="119"/>
        <v>29.661723172553906</v>
      </c>
      <c r="D271" s="447">
        <f t="shared" ref="D271:N271" si="128">D101-D237</f>
        <v>31.293660135480454</v>
      </c>
      <c r="E271" s="447">
        <f t="shared" si="128"/>
        <v>31.92221773009339</v>
      </c>
      <c r="F271" s="447">
        <f t="shared" si="128"/>
        <v>32.03155928399751</v>
      </c>
      <c r="G271" s="447">
        <f t="shared" si="128"/>
        <v>32.103940848740606</v>
      </c>
      <c r="H271" s="447">
        <f t="shared" si="128"/>
        <v>32.149952906270038</v>
      </c>
      <c r="I271" s="447">
        <f t="shared" si="128"/>
        <v>32.292061868224728</v>
      </c>
      <c r="J271" s="447">
        <f t="shared" si="128"/>
        <v>32.418121506607541</v>
      </c>
      <c r="K271" s="447">
        <f t="shared" si="128"/>
        <v>32.672568785670947</v>
      </c>
      <c r="L271" s="447">
        <f t="shared" si="128"/>
        <v>32.875211706220895</v>
      </c>
      <c r="M271" s="447">
        <f t="shared" si="128"/>
        <v>33.002015960135864</v>
      </c>
      <c r="N271" s="447">
        <f t="shared" si="128"/>
        <v>32.874058198058421</v>
      </c>
      <c r="O271" s="320"/>
    </row>
    <row r="272" spans="1:15">
      <c r="B272" s="331" t="str">
        <f t="shared" si="117"/>
        <v>65 plus</v>
      </c>
      <c r="C272" s="447">
        <f t="shared" si="119"/>
        <v>9.3525077023512626</v>
      </c>
      <c r="D272" s="447">
        <f t="shared" ref="D272:N272" si="129">D102-D238</f>
        <v>10.537875673529374</v>
      </c>
      <c r="E272" s="447">
        <f t="shared" si="129"/>
        <v>11.665531835103025</v>
      </c>
      <c r="F272" s="447">
        <f t="shared" si="129"/>
        <v>12.53365348316394</v>
      </c>
      <c r="G272" s="447">
        <f t="shared" si="129"/>
        <v>13.220827683290901</v>
      </c>
      <c r="H272" s="447">
        <f t="shared" si="129"/>
        <v>13.730731831136122</v>
      </c>
      <c r="I272" s="447">
        <f t="shared" si="129"/>
        <v>14.142386523005053</v>
      </c>
      <c r="J272" s="447">
        <f t="shared" si="129"/>
        <v>14.450403287813042</v>
      </c>
      <c r="K272" s="447">
        <f t="shared" si="129"/>
        <v>14.742534098463654</v>
      </c>
      <c r="L272" s="447">
        <f t="shared" si="129"/>
        <v>14.975051147169969</v>
      </c>
      <c r="M272" s="447">
        <f t="shared" si="129"/>
        <v>15.14755328674971</v>
      </c>
      <c r="N272" s="447">
        <f t="shared" si="129"/>
        <v>15.191036123081192</v>
      </c>
      <c r="O272" s="320"/>
    </row>
    <row r="273" spans="1:15">
      <c r="B273" s="331" t="str">
        <f t="shared" si="117"/>
        <v>Total</v>
      </c>
      <c r="C273" s="447">
        <f>SUM(C263:C272)</f>
        <v>2065.6908807838468</v>
      </c>
      <c r="D273" s="447">
        <f t="shared" ref="D273:N273" si="130">SUM(D263:D272)</f>
        <v>1980.8626909227933</v>
      </c>
      <c r="E273" s="447">
        <f t="shared" si="130"/>
        <v>1931.8194403193379</v>
      </c>
      <c r="F273" s="447">
        <f t="shared" si="130"/>
        <v>1899.5870176646381</v>
      </c>
      <c r="G273" s="447">
        <f t="shared" si="130"/>
        <v>1890.4473188578354</v>
      </c>
      <c r="H273" s="447">
        <f t="shared" si="130"/>
        <v>1892.4391862138602</v>
      </c>
      <c r="I273" s="447">
        <f t="shared" si="130"/>
        <v>1907.6438050787051</v>
      </c>
      <c r="J273" s="447">
        <f t="shared" si="130"/>
        <v>1925.7868805427499</v>
      </c>
      <c r="K273" s="447">
        <f t="shared" si="130"/>
        <v>1955.5827075875177</v>
      </c>
      <c r="L273" s="447">
        <f t="shared" si="130"/>
        <v>1984.7531290616507</v>
      </c>
      <c r="M273" s="447">
        <f t="shared" si="130"/>
        <v>2010.868191547547</v>
      </c>
      <c r="N273" s="447">
        <f t="shared" si="130"/>
        <v>2020.5647465126326</v>
      </c>
      <c r="O273" s="320"/>
    </row>
    <row r="274" spans="1:15">
      <c r="A274" s="302">
        <f>SUM(C274:N274)</f>
        <v>0</v>
      </c>
      <c r="C274" s="302">
        <f t="shared" ref="C274:N274" si="131">SUM(C263:C272)-C273</f>
        <v>0</v>
      </c>
      <c r="D274" s="302">
        <f t="shared" si="131"/>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5" ht="15.75">
      <c r="B275" s="333"/>
      <c r="H275" s="320"/>
    </row>
    <row r="276" spans="1:15" ht="15.75">
      <c r="B276" s="333" t="s">
        <v>528</v>
      </c>
      <c r="H276" s="320"/>
    </row>
    <row r="277" spans="1:15" ht="15.75">
      <c r="B277" s="333"/>
      <c r="H277" s="320"/>
    </row>
    <row r="278" spans="1:15"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5">
      <c r="B279" s="319" t="s">
        <v>557</v>
      </c>
      <c r="C279" s="447">
        <f>C223+C239</f>
        <v>426.39414144807483</v>
      </c>
      <c r="D279" s="447">
        <f t="shared" ref="D279:K279" si="133">D223+D239</f>
        <v>409.48104831961575</v>
      </c>
      <c r="E279" s="447">
        <f t="shared" si="133"/>
        <v>411.11757571457838</v>
      </c>
      <c r="F279" s="447">
        <f t="shared" si="133"/>
        <v>407.08941207564385</v>
      </c>
      <c r="G279" s="447">
        <f t="shared" si="133"/>
        <v>407.2540026249045</v>
      </c>
      <c r="H279" s="447">
        <f t="shared" si="133"/>
        <v>409.14425884461747</v>
      </c>
      <c r="I279" s="447">
        <f t="shared" si="133"/>
        <v>413.3371900755036</v>
      </c>
      <c r="J279" s="447">
        <f t="shared" si="133"/>
        <v>417.71464170755974</v>
      </c>
      <c r="K279" s="447">
        <f t="shared" si="133"/>
        <v>424.22445439153853</v>
      </c>
      <c r="L279" s="447">
        <f>L223+L239</f>
        <v>430.27733688619526</v>
      </c>
      <c r="M279" s="447">
        <f>M223+M239</f>
        <v>435.43586458682114</v>
      </c>
      <c r="N279" s="447">
        <f>N223+N239</f>
        <v>436.92985334534683</v>
      </c>
    </row>
    <row r="280" spans="1:15">
      <c r="B280" s="319" t="s">
        <v>558</v>
      </c>
      <c r="C280" s="447">
        <f>C155+C171</f>
        <v>102.17735341936826</v>
      </c>
      <c r="D280" s="447">
        <f t="shared" ref="D280:N280" si="134">D155+D171</f>
        <v>100.31874949342904</v>
      </c>
      <c r="E280" s="447">
        <f t="shared" si="134"/>
        <v>98.928324490165863</v>
      </c>
      <c r="F280" s="447">
        <f t="shared" si="134"/>
        <v>97.486397567959841</v>
      </c>
      <c r="G280" s="447">
        <f t="shared" si="134"/>
        <v>96.602703032399774</v>
      </c>
      <c r="H280" s="447">
        <f t="shared" si="134"/>
        <v>95.984961102104805</v>
      </c>
      <c r="I280" s="447">
        <f t="shared" si="134"/>
        <v>95.760580302552853</v>
      </c>
      <c r="J280" s="447">
        <f t="shared" si="134"/>
        <v>95.605965356527676</v>
      </c>
      <c r="K280" s="447">
        <f t="shared" si="134"/>
        <v>95.816600561066963</v>
      </c>
      <c r="L280" s="447">
        <f t="shared" si="134"/>
        <v>95.977842451674832</v>
      </c>
      <c r="M280" s="447">
        <f t="shared" si="134"/>
        <v>96.017946533862641</v>
      </c>
      <c r="N280" s="447">
        <f t="shared" si="134"/>
        <v>95.509166992513087</v>
      </c>
    </row>
    <row r="281" spans="1:15">
      <c r="B281" s="319" t="s">
        <v>559</v>
      </c>
      <c r="C281" s="447">
        <f>C189+C205</f>
        <v>3.0215373653203184</v>
      </c>
      <c r="D281" s="447">
        <f t="shared" ref="D281:N281" si="135">D189+D205</f>
        <v>2.9295938245803406</v>
      </c>
      <c r="E281" s="447">
        <f t="shared" si="135"/>
        <v>2.8677031470255807</v>
      </c>
      <c r="F281" s="447">
        <f t="shared" si="135"/>
        <v>2.8116678549825442</v>
      </c>
      <c r="G281" s="447">
        <f t="shared" si="135"/>
        <v>2.7748937162328735</v>
      </c>
      <c r="H281" s="447">
        <f t="shared" si="135"/>
        <v>2.7480838630664479</v>
      </c>
      <c r="I281" s="447">
        <f t="shared" si="135"/>
        <v>2.7342449383203871</v>
      </c>
      <c r="J281" s="447">
        <f t="shared" si="135"/>
        <v>2.7250965898110389</v>
      </c>
      <c r="K281" s="447">
        <f t="shared" si="135"/>
        <v>2.7287067991749772</v>
      </c>
      <c r="L281" s="447">
        <f t="shared" si="135"/>
        <v>2.7346060717011715</v>
      </c>
      <c r="M281" s="447">
        <f t="shared" si="135"/>
        <v>2.7406262130988175</v>
      </c>
      <c r="N281" s="447">
        <f t="shared" si="135"/>
        <v>2.7347551324392452</v>
      </c>
    </row>
    <row r="282" spans="1:15">
      <c r="B282" s="319" t="s">
        <v>560</v>
      </c>
      <c r="C282" s="447">
        <f>C121+C137</f>
        <v>321.19525066338622</v>
      </c>
      <c r="D282" s="447">
        <f t="shared" ref="D282:N282" si="136">D121+D137</f>
        <v>306.2327050016064</v>
      </c>
      <c r="E282" s="447">
        <f t="shared" si="136"/>
        <v>309.32154807738698</v>
      </c>
      <c r="F282" s="447">
        <f t="shared" si="136"/>
        <v>306.79134665270146</v>
      </c>
      <c r="G282" s="447">
        <f t="shared" si="136"/>
        <v>307.87640587627186</v>
      </c>
      <c r="H282" s="447">
        <f t="shared" si="136"/>
        <v>310.41121387944622</v>
      </c>
      <c r="I282" s="447">
        <f t="shared" si="136"/>
        <v>314.8423648346303</v>
      </c>
      <c r="J282" s="447">
        <f t="shared" si="136"/>
        <v>319.38357976122097</v>
      </c>
      <c r="K282" s="447">
        <f t="shared" si="136"/>
        <v>325.67914703129668</v>
      </c>
      <c r="L282" s="447">
        <f t="shared" si="136"/>
        <v>331.56488836281915</v>
      </c>
      <c r="M282" s="447">
        <f t="shared" si="136"/>
        <v>336.67729183985966</v>
      </c>
      <c r="N282" s="447">
        <f t="shared" si="136"/>
        <v>338.68593122039448</v>
      </c>
    </row>
    <row r="283" spans="1:15"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5" ht="15.75">
      <c r="B284" s="333"/>
      <c r="H284" s="320"/>
    </row>
    <row r="285" spans="1:15" ht="15.75">
      <c r="B285" s="333" t="s">
        <v>266</v>
      </c>
      <c r="F285" s="357"/>
      <c r="G285" s="357" t="s">
        <v>267</v>
      </c>
      <c r="H285" s="320"/>
    </row>
    <row r="286" spans="1:15" ht="15.75">
      <c r="B286" s="333"/>
      <c r="H286" s="320"/>
    </row>
    <row r="287" spans="1:15" ht="15.75">
      <c r="B287" s="333" t="s">
        <v>212</v>
      </c>
      <c r="H287" s="320"/>
    </row>
    <row r="288" spans="1:15" ht="15.75">
      <c r="B288" s="333"/>
      <c r="H288" s="320"/>
    </row>
    <row r="289" spans="2:15"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5"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5" ht="15.75">
      <c r="B291" s="333"/>
      <c r="C291" s="320"/>
      <c r="D291" s="320"/>
      <c r="E291" s="320"/>
      <c r="F291" s="320"/>
      <c r="G291" s="320"/>
      <c r="H291" s="320"/>
      <c r="I291" s="320"/>
      <c r="J291" s="320"/>
      <c r="K291" s="320"/>
      <c r="L291" s="320"/>
      <c r="M291" s="320"/>
      <c r="N291" s="320"/>
    </row>
    <row r="292" spans="2:15" ht="15.75">
      <c r="B292" s="333" t="s">
        <v>264</v>
      </c>
      <c r="H292" s="320"/>
    </row>
    <row r="293" spans="2:15"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5">
      <c r="B294" s="356" t="s">
        <v>268</v>
      </c>
      <c r="C294" s="447">
        <f>C36-C15+C279-C290</f>
        <v>263.62978834821001</v>
      </c>
      <c r="D294" s="447">
        <f t="shared" ref="D294:N294" si="141">D36-D15+D279-D290</f>
        <v>325.98949134777433</v>
      </c>
      <c r="E294" s="447">
        <f t="shared" si="141"/>
        <v>356.13893037343132</v>
      </c>
      <c r="F294" s="447">
        <f t="shared" si="141"/>
        <v>396.84543079395735</v>
      </c>
      <c r="G294" s="447">
        <f t="shared" si="141"/>
        <v>418.28067325923951</v>
      </c>
      <c r="H294" s="447">
        <f t="shared" si="141"/>
        <v>445.65230907873359</v>
      </c>
      <c r="I294" s="447">
        <f t="shared" si="141"/>
        <v>455.1496460672837</v>
      </c>
      <c r="J294" s="447">
        <f t="shared" si="141"/>
        <v>482.04819396629557</v>
      </c>
      <c r="K294" s="447">
        <f t="shared" si="141"/>
        <v>486.91858506129347</v>
      </c>
      <c r="L294" s="447">
        <f t="shared" si="141"/>
        <v>486.58542683867825</v>
      </c>
      <c r="M294" s="447">
        <f t="shared" si="141"/>
        <v>459.06752555166088</v>
      </c>
      <c r="N294" s="447">
        <f t="shared" si="141"/>
        <v>428.65506057230527</v>
      </c>
    </row>
    <row r="295" spans="2:15" ht="12.75" customHeight="1">
      <c r="B295" s="1327" t="s">
        <v>265</v>
      </c>
      <c r="C295" s="1327"/>
      <c r="D295" s="1327"/>
      <c r="E295" s="1327"/>
      <c r="F295" s="1327"/>
      <c r="G295" s="1327"/>
      <c r="H295" s="1327"/>
      <c r="I295" s="1327"/>
      <c r="J295" s="1327"/>
      <c r="K295" s="1327"/>
      <c r="L295" s="1327"/>
      <c r="M295" s="1327"/>
      <c r="N295" s="1327"/>
    </row>
    <row r="296" spans="2:15">
      <c r="B296" s="319" t="s">
        <v>429</v>
      </c>
      <c r="C296" s="276">
        <f>IF(C294&lt;0,0,C294)</f>
        <v>263.62978834821001</v>
      </c>
      <c r="D296" s="276">
        <f t="shared" ref="D296:N296" si="142">IF(D294&lt;0,0,D294)</f>
        <v>325.98949134777433</v>
      </c>
      <c r="E296" s="276">
        <f t="shared" si="142"/>
        <v>356.13893037343132</v>
      </c>
      <c r="F296" s="276">
        <f t="shared" si="142"/>
        <v>396.84543079395735</v>
      </c>
      <c r="G296" s="276">
        <f t="shared" si="142"/>
        <v>418.28067325923951</v>
      </c>
      <c r="H296" s="276">
        <f t="shared" si="142"/>
        <v>445.65230907873359</v>
      </c>
      <c r="I296" s="276">
        <f t="shared" si="142"/>
        <v>455.1496460672837</v>
      </c>
      <c r="J296" s="276">
        <f t="shared" si="142"/>
        <v>482.04819396629557</v>
      </c>
      <c r="K296" s="276">
        <f t="shared" si="142"/>
        <v>486.91858506129347</v>
      </c>
      <c r="L296" s="276">
        <f t="shared" si="142"/>
        <v>486.58542683867825</v>
      </c>
      <c r="M296" s="276">
        <f t="shared" si="142"/>
        <v>459.06752555166088</v>
      </c>
      <c r="N296" s="276">
        <f t="shared" si="142"/>
        <v>428.65506057230527</v>
      </c>
    </row>
    <row r="297" spans="2:15" ht="15.75">
      <c r="B297" s="333"/>
      <c r="H297" s="320"/>
    </row>
    <row r="298" spans="2:15" ht="15.75">
      <c r="B298" s="333" t="s">
        <v>175</v>
      </c>
      <c r="H298" s="320"/>
    </row>
    <row r="299" spans="2:15" ht="15.75">
      <c r="B299" s="333"/>
      <c r="H299" s="320"/>
    </row>
    <row r="300" spans="2:15">
      <c r="B300" s="334" t="s">
        <v>46</v>
      </c>
      <c r="H300" s="318"/>
    </row>
    <row r="301" spans="2:15">
      <c r="H301" s="318"/>
    </row>
    <row r="302" spans="2:15">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5">
      <c r="B303" s="331" t="str">
        <f t="shared" si="143"/>
        <v>20-24</v>
      </c>
      <c r="C303" s="447">
        <f>C$296*Entrant_age_breakdowns!$K76*$G$31</f>
        <v>29.075992101862116</v>
      </c>
      <c r="D303" s="447">
        <f>D$296*Entrant_age_breakdowns!$K76*$G$31</f>
        <v>35.953705896082184</v>
      </c>
      <c r="E303" s="447">
        <f>E$296*Entrant_age_breakdowns!$K76*$G$31</f>
        <v>39.278917574466966</v>
      </c>
      <c r="F303" s="447">
        <f>F$296*Entrant_age_breakdowns!$K76*$G$31</f>
        <v>43.768478075719393</v>
      </c>
      <c r="G303" s="447">
        <f>G$296*Entrant_age_breakdowns!$K76*$G$31</f>
        <v>46.13259233051231</v>
      </c>
      <c r="H303" s="447">
        <f>H$296*Entrant_age_breakdowns!$K76*$G$31</f>
        <v>49.151437324809642</v>
      </c>
      <c r="I303" s="447">
        <f>I$296*Entrant_age_breakdowns!$K76*$G$31</f>
        <v>50.198908086736836</v>
      </c>
      <c r="J303" s="447">
        <f>J$296*Entrant_age_breakdowns!$K76*$G$31</f>
        <v>53.165575742784128</v>
      </c>
      <c r="K303" s="447">
        <f>K$296*Entrant_age_breakdowns!$K76*$G$31</f>
        <v>53.702736030695505</v>
      </c>
      <c r="L303" s="447">
        <f>L$296*Entrant_age_breakdowns!$K76*$G$31</f>
        <v>53.665991678283262</v>
      </c>
      <c r="M303" s="447">
        <f>M$296*Entrant_age_breakdowns!$K76*$G$31</f>
        <v>50.631014919798261</v>
      </c>
      <c r="N303" s="447">
        <f>N$296*Entrant_age_breakdowns!$K76*$G$31</f>
        <v>47.276793846836924</v>
      </c>
      <c r="O303" s="320"/>
    </row>
    <row r="304" spans="2:15">
      <c r="B304" s="331" t="str">
        <f t="shared" si="143"/>
        <v>25-29</v>
      </c>
      <c r="C304" s="447">
        <f>C$296*Entrant_age_breakdowns!$K77*$G$31</f>
        <v>29.680226700437302</v>
      </c>
      <c r="D304" s="447">
        <f>D$296*Entrant_age_breakdowns!$K77*$G$31</f>
        <v>36.700867780474702</v>
      </c>
      <c r="E304" s="447">
        <f>E$296*Entrant_age_breakdowns!$K77*$G$31</f>
        <v>40.095181415436834</v>
      </c>
      <c r="F304" s="447">
        <f>F$296*Entrant_age_breakdowns!$K77*$G$31</f>
        <v>44.678040462711351</v>
      </c>
      <c r="G304" s="447">
        <f>G$296*Entrant_age_breakdowns!$K77*$G$31</f>
        <v>47.091283896750369</v>
      </c>
      <c r="H304" s="447">
        <f>H$296*Entrant_age_breakdowns!$K77*$G$31</f>
        <v>50.172864174057111</v>
      </c>
      <c r="I304" s="447">
        <f>I$296*Entrant_age_breakdowns!$K77*$G$31</f>
        <v>51.242102656691316</v>
      </c>
      <c r="J304" s="447">
        <f>J$296*Entrant_age_breakdowns!$K77*$G$31</f>
        <v>54.27042128698492</v>
      </c>
      <c r="K304" s="447">
        <f>K$296*Entrant_age_breakdowns!$K77*$G$31</f>
        <v>54.818744421199163</v>
      </c>
      <c r="L304" s="447">
        <f>L$296*Entrant_age_breakdowns!$K77*$G$31</f>
        <v>54.781236476303064</v>
      </c>
      <c r="M304" s="447">
        <f>M$296*Entrant_age_breakdowns!$K77*$G$31</f>
        <v>51.683189197062525</v>
      </c>
      <c r="N304" s="447">
        <f>N$296*Entrant_age_breakdowns!$K77*$G$31</f>
        <v>48.259263316903116</v>
      </c>
      <c r="O304" s="320"/>
    </row>
    <row r="305" spans="1:15">
      <c r="B305" s="331" t="str">
        <f t="shared" si="143"/>
        <v>30-34</v>
      </c>
      <c r="C305" s="447">
        <f>C$296*Entrant_age_breakdowns!$K78*$G$31</f>
        <v>14.740762257208377</v>
      </c>
      <c r="D305" s="447">
        <f>D$296*Entrant_age_breakdowns!$K78*$G$31</f>
        <v>18.227582021037783</v>
      </c>
      <c r="E305" s="447">
        <f>E$296*Entrant_age_breakdowns!$K78*$G$31</f>
        <v>19.913376769992325</v>
      </c>
      <c r="F305" s="447">
        <f>F$296*Entrant_age_breakdowns!$K78*$G$31</f>
        <v>22.189465708126168</v>
      </c>
      <c r="G305" s="447">
        <f>G$296*Entrant_age_breakdowns!$K78*$G$31</f>
        <v>23.388009374553562</v>
      </c>
      <c r="H305" s="447">
        <f>H$296*Entrant_age_breakdowns!$K78*$G$31</f>
        <v>24.918484283076133</v>
      </c>
      <c r="I305" s="447">
        <f>I$296*Entrant_age_breakdowns!$K78*$G$31</f>
        <v>25.449524373431533</v>
      </c>
      <c r="J305" s="447">
        <f>J$296*Entrant_age_breakdowns!$K78*$G$31</f>
        <v>26.953546745591353</v>
      </c>
      <c r="K305" s="447">
        <f>K$296*Entrant_age_breakdowns!$K78*$G$31</f>
        <v>27.225872865036408</v>
      </c>
      <c r="L305" s="447">
        <f>L$296*Entrant_age_breakdowns!$K78*$G$31</f>
        <v>27.207244446053956</v>
      </c>
      <c r="M305" s="447">
        <f>M$296*Entrant_age_breakdowns!$K78*$G$31</f>
        <v>25.66859115793055</v>
      </c>
      <c r="N305" s="447">
        <f>N$296*Entrant_age_breakdowns!$K78*$G$31</f>
        <v>23.968089409910235</v>
      </c>
      <c r="O305" s="320"/>
    </row>
    <row r="306" spans="1:15">
      <c r="B306" s="331" t="str">
        <f t="shared" si="143"/>
        <v>35-39</v>
      </c>
      <c r="C306" s="447">
        <f>C$296*Entrant_age_breakdowns!$K79*$G$31</f>
        <v>10.986774590657534</v>
      </c>
      <c r="D306" s="447">
        <f>D$296*Entrant_age_breakdowns!$K79*$G$31</f>
        <v>13.585615960934025</v>
      </c>
      <c r="E306" s="447">
        <f>E$296*Entrant_age_breakdowns!$K79*$G$31</f>
        <v>14.842094193857189</v>
      </c>
      <c r="F306" s="447">
        <f>F$296*Entrant_age_breakdowns!$K79*$G$31</f>
        <v>16.53853808700369</v>
      </c>
      <c r="G306" s="447">
        <f>G$296*Entrant_age_breakdowns!$K79*$G$31</f>
        <v>17.431852073779286</v>
      </c>
      <c r="H306" s="447">
        <f>H$296*Entrant_age_breakdowns!$K79*$G$31</f>
        <v>18.572565324776331</v>
      </c>
      <c r="I306" s="447">
        <f>I$296*Entrant_age_breakdowns!$K79*$G$31</f>
        <v>18.968366957658922</v>
      </c>
      <c r="J306" s="447">
        <f>J$296*Entrant_age_breakdowns!$K79*$G$31</f>
        <v>20.089364263896965</v>
      </c>
      <c r="K306" s="447">
        <f>K$296*Entrant_age_breakdowns!$K79*$G$31</f>
        <v>20.29233787118299</v>
      </c>
      <c r="L306" s="447">
        <f>L$296*Entrant_age_breakdowns!$K79*$G$31</f>
        <v>20.278453498260522</v>
      </c>
      <c r="M306" s="447">
        <f>M$296*Entrant_age_breakdowns!$K79*$G$31</f>
        <v>19.131644632150543</v>
      </c>
      <c r="N306" s="447">
        <f>N$296*Entrant_age_breakdowns!$K79*$G$31</f>
        <v>17.864204789452984</v>
      </c>
      <c r="O306" s="320"/>
    </row>
    <row r="307" spans="1:15">
      <c r="B307" s="331" t="str">
        <f t="shared" si="143"/>
        <v>40-44</v>
      </c>
      <c r="C307" s="447">
        <f>C$296*Entrant_age_breakdowns!$K80*$G$31</f>
        <v>9.4403457546964162</v>
      </c>
      <c r="D307" s="447">
        <f>D$296*Entrant_age_breakdowns!$K80*$G$31</f>
        <v>11.673390666519877</v>
      </c>
      <c r="E307" s="447">
        <f>E$296*Entrant_age_breakdowns!$K80*$G$31</f>
        <v>12.753014977928888</v>
      </c>
      <c r="F307" s="447">
        <f>F$296*Entrant_age_breakdowns!$K80*$G$31</f>
        <v>14.210678168576706</v>
      </c>
      <c r="G307" s="447">
        <f>G$296*Entrant_age_breakdowns!$K80*$G$31</f>
        <v>14.978254933994187</v>
      </c>
      <c r="H307" s="447">
        <f>H$296*Entrant_age_breakdowns!$K80*$G$31</f>
        <v>15.95840860944439</v>
      </c>
      <c r="I307" s="447">
        <f>I$296*Entrant_age_breakdowns!$K80*$G$31</f>
        <v>16.298499710235919</v>
      </c>
      <c r="J307" s="447">
        <f>J$296*Entrant_age_breakdowns!$K80*$G$31</f>
        <v>17.261712532493075</v>
      </c>
      <c r="K307" s="447">
        <f>K$296*Entrant_age_breakdowns!$K80*$G$31</f>
        <v>17.436116859809246</v>
      </c>
      <c r="L307" s="447">
        <f>L$296*Entrant_age_breakdowns!$K80*$G$31</f>
        <v>17.424186763319717</v>
      </c>
      <c r="M307" s="447">
        <f>M$296*Entrant_age_breakdowns!$K80*$G$31</f>
        <v>16.438795452949563</v>
      </c>
      <c r="N307" s="447">
        <f>N$296*Entrant_age_breakdowns!$K80*$G$31</f>
        <v>15.349752418561897</v>
      </c>
      <c r="O307" s="320"/>
    </row>
    <row r="308" spans="1:15">
      <c r="B308" s="331" t="str">
        <f t="shared" si="143"/>
        <v>45-49</v>
      </c>
      <c r="C308" s="447">
        <f>C$296*Entrant_age_breakdowns!$K81*$G$31</f>
        <v>7.6094556802588631</v>
      </c>
      <c r="D308" s="447">
        <f>D$296*Entrant_age_breakdowns!$K81*$G$31</f>
        <v>9.4094169030874681</v>
      </c>
      <c r="E308" s="447">
        <f>E$296*Entrant_age_breakdowns!$K81*$G$31</f>
        <v>10.279655511128901</v>
      </c>
      <c r="F308" s="447">
        <f>F$296*Entrant_age_breakdowns!$K81*$G$31</f>
        <v>11.454614960094126</v>
      </c>
      <c r="G308" s="447">
        <f>G$296*Entrant_age_breakdowns!$K81*$G$31</f>
        <v>12.073325495641519</v>
      </c>
      <c r="H308" s="447">
        <f>H$296*Entrant_age_breakdowns!$K81*$G$31</f>
        <v>12.863385112840469</v>
      </c>
      <c r="I308" s="447">
        <f>I$296*Entrant_age_breakdowns!$K81*$G$31</f>
        <v>13.137517885724991</v>
      </c>
      <c r="J308" s="447">
        <f>J$296*Entrant_age_breakdowns!$K81*$G$31</f>
        <v>13.913922211591609</v>
      </c>
      <c r="K308" s="447">
        <f>K$296*Entrant_age_breakdowns!$K81*$G$31</f>
        <v>14.054502020175162</v>
      </c>
      <c r="L308" s="447">
        <f>L$296*Entrant_age_breakdowns!$K81*$G$31</f>
        <v>14.04488568377635</v>
      </c>
      <c r="M308" s="447">
        <f>M$296*Entrant_age_breakdowns!$K81*$G$31</f>
        <v>13.25060423489577</v>
      </c>
      <c r="N308" s="447">
        <f>N$296*Entrant_age_breakdowns!$K81*$G$31</f>
        <v>12.372773600361549</v>
      </c>
      <c r="O308" s="320"/>
    </row>
    <row r="309" spans="1:15">
      <c r="B309" s="331" t="str">
        <f t="shared" si="143"/>
        <v>50-54</v>
      </c>
      <c r="C309" s="447">
        <f>C$296*Entrant_age_breakdowns!$K82*$G$31</f>
        <v>5.6386369654298765</v>
      </c>
      <c r="D309" s="447">
        <f>D$296*Entrant_age_breakdowns!$K82*$G$31</f>
        <v>6.9724154002937571</v>
      </c>
      <c r="E309" s="447">
        <f>E$296*Entrant_age_breakdowns!$K82*$G$31</f>
        <v>7.6172656747722263</v>
      </c>
      <c r="F309" s="447">
        <f>F$296*Entrant_age_breakdowns!$K82*$G$31</f>
        <v>8.4879153059940808</v>
      </c>
      <c r="G309" s="447">
        <f>G$296*Entrant_age_breakdowns!$K82*$G$31</f>
        <v>8.9463822769876984</v>
      </c>
      <c r="H309" s="447">
        <f>H$296*Entrant_age_breakdowns!$K82*$G$31</f>
        <v>9.5318195999211319</v>
      </c>
      <c r="I309" s="447">
        <f>I$296*Entrant_age_breakdowns!$K82*$G$31</f>
        <v>9.7349530764236043</v>
      </c>
      <c r="J309" s="447">
        <f>J$296*Entrant_age_breakdowns!$K82*$G$31</f>
        <v>10.310271774094533</v>
      </c>
      <c r="K309" s="447">
        <f>K$296*Entrant_age_breakdowns!$K82*$G$31</f>
        <v>10.414441972145454</v>
      </c>
      <c r="L309" s="447">
        <f>L$296*Entrant_age_breakdowns!$K82*$G$31</f>
        <v>10.407316228574723</v>
      </c>
      <c r="M309" s="447">
        <f>M$296*Entrant_age_breakdowns!$K82*$G$31</f>
        <v>9.818750511550812</v>
      </c>
      <c r="N309" s="447">
        <f>N$296*Entrant_age_breakdowns!$K82*$G$31</f>
        <v>9.1682745152042475</v>
      </c>
      <c r="O309" s="320"/>
    </row>
    <row r="310" spans="1:15">
      <c r="B310" s="331" t="str">
        <f t="shared" si="143"/>
        <v>55-59</v>
      </c>
      <c r="C310" s="447">
        <f>C$296*Entrant_age_breakdowns!$K83*$G$31</f>
        <v>3.6543195612891948</v>
      </c>
      <c r="D310" s="447">
        <f>D$296*Entrant_age_breakdowns!$K83*$G$31</f>
        <v>4.5187221917176599</v>
      </c>
      <c r="E310" s="447">
        <f>E$296*Entrant_age_breakdowns!$K83*$G$31</f>
        <v>4.9366403848158953</v>
      </c>
      <c r="F310" s="447">
        <f>F$296*Entrant_age_breakdowns!$K83*$G$31</f>
        <v>5.5008958951297595</v>
      </c>
      <c r="G310" s="447">
        <f>G$296*Entrant_age_breakdowns!$K83*$G$31</f>
        <v>5.7980217485192682</v>
      </c>
      <c r="H310" s="447">
        <f>H$296*Entrant_age_breakdowns!$K83*$G$31</f>
        <v>6.1774352617886619</v>
      </c>
      <c r="I310" s="447">
        <f>I$296*Entrant_age_breakdowns!$K83*$G$31</f>
        <v>6.3090831478445919</v>
      </c>
      <c r="J310" s="447">
        <f>J$296*Entrant_age_breakdowns!$K83*$G$31</f>
        <v>6.6819389255376702</v>
      </c>
      <c r="K310" s="447">
        <f>K$296*Entrant_age_breakdowns!$K83*$G$31</f>
        <v>6.7494501334368007</v>
      </c>
      <c r="L310" s="447">
        <f>L$296*Entrant_age_breakdowns!$K83*$G$31</f>
        <v>6.7448320414619323</v>
      </c>
      <c r="M310" s="447">
        <f>M$296*Entrant_age_breakdowns!$K83*$G$31</f>
        <v>6.3633910609534956</v>
      </c>
      <c r="N310" s="447">
        <f>N$296*Entrant_age_breakdowns!$K83*$G$31</f>
        <v>5.9418269183828967</v>
      </c>
      <c r="O310" s="320"/>
    </row>
    <row r="311" spans="1:15">
      <c r="B311" s="331" t="str">
        <f t="shared" si="143"/>
        <v>60-64</v>
      </c>
      <c r="C311" s="447">
        <f>C$296*Entrant_age_breakdowns!$K84*$G$31</f>
        <v>1.8635953163651866</v>
      </c>
      <c r="D311" s="447">
        <f>D$296*Entrant_age_breakdowns!$K84*$G$31</f>
        <v>2.3044151917216631</v>
      </c>
      <c r="E311" s="447">
        <f>E$296*Entrant_age_breakdowns!$K84*$G$31</f>
        <v>2.5175411579157392</v>
      </c>
      <c r="F311" s="447">
        <f>F$296*Entrant_age_breakdowns!$K84*$G$31</f>
        <v>2.8052948446467361</v>
      </c>
      <c r="G311" s="447">
        <f>G$296*Entrant_age_breakdowns!$K84*$G$31</f>
        <v>2.9568202762519435</v>
      </c>
      <c r="H311" s="447">
        <f>H$296*Entrant_age_breakdowns!$K84*$G$31</f>
        <v>3.1503099901195117</v>
      </c>
      <c r="I311" s="447">
        <f>I$296*Entrant_age_breakdowns!$K84*$G$31</f>
        <v>3.2174465335302518</v>
      </c>
      <c r="J311" s="447">
        <f>J$296*Entrant_age_breakdowns!$K84*$G$31</f>
        <v>3.4075919954513174</v>
      </c>
      <c r="K311" s="447">
        <f>K$296*Entrant_age_breakdowns!$K84*$G$31</f>
        <v>3.4420207225324786</v>
      </c>
      <c r="L311" s="447">
        <f>L$296*Entrant_age_breakdowns!$K84*$G$31</f>
        <v>3.4396656316788823</v>
      </c>
      <c r="M311" s="447">
        <f>M$296*Entrant_age_breakdowns!$K84*$G$31</f>
        <v>3.2451419692506067</v>
      </c>
      <c r="N311" s="447">
        <f>N$296*Entrant_age_breakdowns!$K84*$G$31</f>
        <v>3.0301566762389256</v>
      </c>
      <c r="O311" s="320"/>
    </row>
    <row r="312" spans="1:15">
      <c r="B312" s="331" t="str">
        <f t="shared" si="143"/>
        <v>65 plus</v>
      </c>
      <c r="C312" s="447">
        <f>C$296*Entrant_age_breakdowns!$K85*$G$31</f>
        <v>0.56112552759528689</v>
      </c>
      <c r="D312" s="447">
        <f>D$296*Entrant_age_breakdowns!$K85*$G$31</f>
        <v>0.69385567719468633</v>
      </c>
      <c r="E312" s="447">
        <f>E$296*Entrant_age_breakdowns!$K85*$G$31</f>
        <v>0.75802755999280325</v>
      </c>
      <c r="F312" s="447">
        <f>F$296*Entrant_age_breakdowns!$K85*$G$31</f>
        <v>0.84466972842202392</v>
      </c>
      <c r="G312" s="447">
        <f>G$296*Entrant_age_breakdowns!$K85*$G$31</f>
        <v>0.89029379015201937</v>
      </c>
      <c r="H312" s="447">
        <f>H$296*Entrant_age_breakdowns!$K85*$G$31</f>
        <v>0.94855322921841634</v>
      </c>
      <c r="I312" s="447">
        <f>I$296*Entrant_age_breakdowns!$K85*$G$31</f>
        <v>0.96876793356514757</v>
      </c>
      <c r="J312" s="447">
        <f>J$296*Entrant_age_breakdowns!$K85*$G$31</f>
        <v>1.0260204237937718</v>
      </c>
      <c r="K312" s="447">
        <f>K$296*Entrant_age_breakdowns!$K85*$G$31</f>
        <v>1.0363868576854016</v>
      </c>
      <c r="L312" s="447">
        <f>L$296*Entrant_age_breakdowns!$K85*$G$31</f>
        <v>1.0356777436485964</v>
      </c>
      <c r="M312" s="447">
        <f>M$296*Entrant_age_breakdowns!$K85*$G$31</f>
        <v>0.97710698434730792</v>
      </c>
      <c r="N312" s="447">
        <f>N$296*Entrant_age_breakdowns!$K85*$G$31</f>
        <v>0.91237526125965029</v>
      </c>
      <c r="O312" s="320"/>
    </row>
    <row r="313" spans="1:15">
      <c r="B313" s="331" t="str">
        <f t="shared" si="143"/>
        <v>Total</v>
      </c>
      <c r="C313" s="447">
        <f t="shared" ref="C313:N313" si="145">SUM(C303:C312)</f>
        <v>113.25123445580016</v>
      </c>
      <c r="D313" s="447">
        <f t="shared" si="145"/>
        <v>140.03998768906379</v>
      </c>
      <c r="E313" s="447">
        <f t="shared" si="145"/>
        <v>152.99171522030775</v>
      </c>
      <c r="F313" s="447">
        <f t="shared" si="145"/>
        <v>170.47859123642402</v>
      </c>
      <c r="G313" s="447">
        <f t="shared" si="145"/>
        <v>179.68683619714213</v>
      </c>
      <c r="H313" s="447">
        <f t="shared" si="145"/>
        <v>191.44526291005184</v>
      </c>
      <c r="I313" s="447">
        <f t="shared" si="145"/>
        <v>195.52517036184312</v>
      </c>
      <c r="J313" s="447">
        <f t="shared" si="145"/>
        <v>207.08036590221934</v>
      </c>
      <c r="K313" s="447">
        <f t="shared" si="145"/>
        <v>209.1726097538986</v>
      </c>
      <c r="L313" s="447">
        <f t="shared" si="145"/>
        <v>209.02949019136099</v>
      </c>
      <c r="M313" s="447">
        <f t="shared" si="145"/>
        <v>197.20823012088943</v>
      </c>
      <c r="N313" s="447">
        <f t="shared" si="145"/>
        <v>184.14351075311245</v>
      </c>
      <c r="O313" s="320"/>
    </row>
    <row r="314" spans="1:15">
      <c r="A314" s="302">
        <f>SUM(C314:N314)</f>
        <v>0</v>
      </c>
      <c r="C314" s="302">
        <f t="shared" ref="C314:N314" si="146">SUM(C303:C312)-C313</f>
        <v>0</v>
      </c>
      <c r="D314" s="302">
        <f t="shared" si="146"/>
        <v>0</v>
      </c>
      <c r="E314" s="302">
        <f t="shared" si="146"/>
        <v>0</v>
      </c>
      <c r="F314" s="302">
        <f t="shared" si="146"/>
        <v>0</v>
      </c>
      <c r="G314" s="302">
        <f t="shared" si="146"/>
        <v>0</v>
      </c>
      <c r="H314" s="302">
        <f t="shared" si="146"/>
        <v>0</v>
      </c>
      <c r="I314" s="302">
        <f t="shared" si="146"/>
        <v>0</v>
      </c>
      <c r="J314" s="302">
        <f t="shared" si="146"/>
        <v>0</v>
      </c>
      <c r="K314" s="302">
        <f t="shared" si="146"/>
        <v>0</v>
      </c>
      <c r="L314" s="302">
        <f t="shared" si="146"/>
        <v>0</v>
      </c>
      <c r="M314" s="302">
        <f t="shared" si="146"/>
        <v>0</v>
      </c>
      <c r="N314" s="302">
        <f t="shared" si="146"/>
        <v>0</v>
      </c>
    </row>
    <row r="316" spans="1:15">
      <c r="B316" s="334" t="s">
        <v>47</v>
      </c>
      <c r="H316" s="318"/>
    </row>
    <row r="317" spans="1:15">
      <c r="H317" s="318"/>
    </row>
    <row r="318" spans="1:15">
      <c r="B318" s="331" t="str">
        <f t="shared" ref="B318:B329" si="147">B302</f>
        <v>Age group</v>
      </c>
      <c r="C318" s="331" t="str">
        <f>C293</f>
        <v>2017/18</v>
      </c>
      <c r="D318" s="331" t="str">
        <f t="shared" ref="D318:N318" si="148">D302</f>
        <v>2018/19</v>
      </c>
      <c r="E318" s="331" t="str">
        <f t="shared" si="148"/>
        <v>2019/20</v>
      </c>
      <c r="F318" s="331" t="str">
        <f t="shared" si="148"/>
        <v>2020/21</v>
      </c>
      <c r="G318" s="331" t="str">
        <f t="shared" si="148"/>
        <v>2021/22</v>
      </c>
      <c r="H318" s="331" t="str">
        <f t="shared" si="148"/>
        <v>2022/23</v>
      </c>
      <c r="I318" s="331" t="str">
        <f t="shared" si="148"/>
        <v>2023/24</v>
      </c>
      <c r="J318" s="331" t="str">
        <f t="shared" si="148"/>
        <v>2024/25</v>
      </c>
      <c r="K318" s="331" t="str">
        <f t="shared" si="148"/>
        <v>2025/26</v>
      </c>
      <c r="L318" s="331" t="str">
        <f t="shared" si="148"/>
        <v>2026/27</v>
      </c>
      <c r="M318" s="331" t="str">
        <f t="shared" si="148"/>
        <v>2027/28</v>
      </c>
      <c r="N318" s="331" t="str">
        <f t="shared" si="148"/>
        <v>2028/29</v>
      </c>
    </row>
    <row r="319" spans="1:15">
      <c r="B319" s="331" t="str">
        <f t="shared" si="147"/>
        <v>20-24</v>
      </c>
      <c r="C319" s="447">
        <f>C$296*Entrant_age_breakdowns!$K76*$H$31</f>
        <v>38.608017530896092</v>
      </c>
      <c r="D319" s="447">
        <f>D$296*Entrant_age_breakdowns!$K76*$H$31</f>
        <v>47.740462395012294</v>
      </c>
      <c r="E319" s="447">
        <f>E$296*Entrant_age_breakdowns!$K76*$H$31</f>
        <v>52.155783128463668</v>
      </c>
      <c r="F319" s="447">
        <f>F$296*Entrant_age_breakdowns!$K76*$H$31</f>
        <v>58.117162878847893</v>
      </c>
      <c r="G319" s="447">
        <f>G$296*Entrant_age_breakdowns!$K76*$H$31</f>
        <v>61.256308201020438</v>
      </c>
      <c r="H319" s="447">
        <f>H$296*Entrant_age_breakdowns!$K76*$H$31</f>
        <v>65.2648256079097</v>
      </c>
      <c r="I319" s="447">
        <f>I$296*Entrant_age_breakdowns!$K76*$H$31</f>
        <v>66.655690256583071</v>
      </c>
      <c r="J319" s="447">
        <f>J$296*Entrant_age_breakdowns!$K76*$H$31</f>
        <v>70.594924951370359</v>
      </c>
      <c r="K319" s="447">
        <f>K$296*Entrant_age_breakdowns!$K76*$H$31</f>
        <v>71.308183289724894</v>
      </c>
      <c r="L319" s="447">
        <f>L$296*Entrant_age_breakdowns!$K76*$H$31</f>
        <v>71.25939298199873</v>
      </c>
      <c r="M319" s="447">
        <f>M$296*Entrant_age_breakdowns!$K76*$H$31</f>
        <v>67.229455310845395</v>
      </c>
      <c r="N319" s="447">
        <f>N$296*Entrant_age_breakdowns!$K76*$H$31</f>
        <v>62.775614990153507</v>
      </c>
      <c r="O319" s="320"/>
    </row>
    <row r="320" spans="1:15">
      <c r="B320" s="331" t="str">
        <f t="shared" si="147"/>
        <v>25-29</v>
      </c>
      <c r="C320" s="447">
        <f>C$296*Entrant_age_breakdowns!$K77*$H$31</f>
        <v>39.410339250232049</v>
      </c>
      <c r="D320" s="447">
        <f>D$296*Entrant_age_breakdowns!$K77*$H$31</f>
        <v>48.732567463344473</v>
      </c>
      <c r="E320" s="447">
        <f>E$296*Entrant_age_breakdowns!$K77*$H$31</f>
        <v>53.239643949844996</v>
      </c>
      <c r="F320" s="447">
        <f>F$296*Entrant_age_breakdowns!$K77*$H$31</f>
        <v>59.32490844637335</v>
      </c>
      <c r="G320" s="447">
        <f>G$296*Entrant_age_breakdowns!$K77*$H$31</f>
        <v>62.529289039176284</v>
      </c>
      <c r="H320" s="447">
        <f>H$296*Entrant_age_breakdowns!$K77*$H$31</f>
        <v>66.621108329548932</v>
      </c>
      <c r="I320" s="447">
        <f>I$296*Entrant_age_breakdowns!$K77*$H$31</f>
        <v>68.040876842954404</v>
      </c>
      <c r="J320" s="447">
        <f>J$296*Entrant_age_breakdowns!$K77*$H$31</f>
        <v>72.061973641918897</v>
      </c>
      <c r="K320" s="447">
        <f>K$296*Entrant_age_breakdowns!$K77*$H$31</f>
        <v>72.790054358964625</v>
      </c>
      <c r="L320" s="447">
        <f>L$296*Entrant_age_breakdowns!$K77*$H$31</f>
        <v>72.740250129102975</v>
      </c>
      <c r="M320" s="447">
        <f>M$296*Entrant_age_breakdowns!$K77*$H$31</f>
        <v>68.626565435234752</v>
      </c>
      <c r="N320" s="447">
        <f>N$296*Entrant_age_breakdowns!$K77*$H$31</f>
        <v>64.080168877463734</v>
      </c>
      <c r="O320" s="320"/>
    </row>
    <row r="321" spans="1:15">
      <c r="B321" s="331" t="str">
        <f t="shared" si="147"/>
        <v>30-34</v>
      </c>
      <c r="C321" s="447">
        <f>C$296*Entrant_age_breakdowns!$K78*$H$31</f>
        <v>19.573248116566408</v>
      </c>
      <c r="D321" s="447">
        <f>D$296*Entrant_age_breakdowns!$K78*$H$31</f>
        <v>24.203157152770171</v>
      </c>
      <c r="E321" s="447">
        <f>E$296*Entrant_age_breakdowns!$K78*$H$31</f>
        <v>26.441608483789803</v>
      </c>
      <c r="F321" s="447">
        <f>F$296*Entrant_age_breakdowns!$K78*$H$31</f>
        <v>29.463871019750606</v>
      </c>
      <c r="G321" s="447">
        <f>G$296*Entrant_age_breakdowns!$K78*$H$31</f>
        <v>31.055335026304995</v>
      </c>
      <c r="H321" s="447">
        <f>H$296*Entrant_age_breakdowns!$K78*$H$31</f>
        <v>33.087547784233614</v>
      </c>
      <c r="I321" s="447">
        <f>I$296*Entrant_age_breakdowns!$K78*$H$31</f>
        <v>33.792679531629325</v>
      </c>
      <c r="J321" s="447">
        <f>J$296*Entrant_age_breakdowns!$K78*$H$31</f>
        <v>35.789767779135332</v>
      </c>
      <c r="K321" s="447">
        <f>K$296*Entrant_age_breakdowns!$K78*$H$31</f>
        <v>36.151370972478553</v>
      </c>
      <c r="L321" s="447">
        <f>L$296*Entrant_age_breakdowns!$K78*$H$31</f>
        <v>36.126635571391368</v>
      </c>
      <c r="M321" s="447">
        <f>M$296*Entrant_age_breakdowns!$K78*$H$31</f>
        <v>34.08356330359986</v>
      </c>
      <c r="N321" s="447">
        <f>N$296*Entrant_age_breakdowns!$K78*$H$31</f>
        <v>31.825583556292006</v>
      </c>
      <c r="O321" s="320"/>
    </row>
    <row r="322" spans="1:15">
      <c r="B322" s="331" t="str">
        <f t="shared" si="147"/>
        <v>35-39</v>
      </c>
      <c r="C322" s="447">
        <f>C$296*Entrant_age_breakdowns!$K79*$H$31</f>
        <v>14.588585129548996</v>
      </c>
      <c r="D322" s="447">
        <f>D$296*Entrant_age_breakdowns!$K79*$H$31</f>
        <v>18.039408504109858</v>
      </c>
      <c r="E322" s="447">
        <f>E$296*Entrant_age_breakdowns!$K79*$H$31</f>
        <v>19.707799851649813</v>
      </c>
      <c r="F322" s="447">
        <f>F$296*Entrant_age_breakdowns!$K79*$H$31</f>
        <v>21.960391451528093</v>
      </c>
      <c r="G322" s="447">
        <f>G$296*Entrant_age_breakdowns!$K79*$H$31</f>
        <v>23.146561881799258</v>
      </c>
      <c r="H322" s="447">
        <f>H$296*Entrant_age_breakdowns!$K79*$H$31</f>
        <v>24.661236842431087</v>
      </c>
      <c r="I322" s="447">
        <f>I$296*Entrant_age_breakdowns!$K79*$H$31</f>
        <v>25.186794709125852</v>
      </c>
      <c r="J322" s="447">
        <f>J$296*Entrant_age_breakdowns!$K79*$H$31</f>
        <v>26.6752902177126</v>
      </c>
      <c r="K322" s="447">
        <f>K$296*Entrant_age_breakdowns!$K79*$H$31</f>
        <v>26.944804962418637</v>
      </c>
      <c r="L322" s="447">
        <f>L$296*Entrant_age_breakdowns!$K79*$H$31</f>
        <v>26.926368855017103</v>
      </c>
      <c r="M322" s="447">
        <f>M$296*Entrant_age_breakdowns!$K79*$H$31</f>
        <v>25.403599944768104</v>
      </c>
      <c r="N322" s="447">
        <f>N$296*Entrant_age_breakdowns!$K79*$H$31</f>
        <v>23.720653426733737</v>
      </c>
      <c r="O322" s="320"/>
    </row>
    <row r="323" spans="1:15">
      <c r="B323" s="331" t="str">
        <f t="shared" si="147"/>
        <v>40-44</v>
      </c>
      <c r="C323" s="447">
        <f>C$296*Entrant_age_breakdowns!$K80*$H$31</f>
        <v>12.535188244589518</v>
      </c>
      <c r="D323" s="447">
        <f>D$296*Entrant_age_breakdowns!$K80*$H$31</f>
        <v>15.500295567528884</v>
      </c>
      <c r="E323" s="447">
        <f>E$296*Entrant_age_breakdowns!$K80*$H$31</f>
        <v>16.933854711293794</v>
      </c>
      <c r="F323" s="447">
        <f>F$296*Entrant_age_breakdowns!$K80*$H$31</f>
        <v>18.869385778351301</v>
      </c>
      <c r="G323" s="447">
        <f>G$296*Entrant_age_breakdowns!$K80*$H$31</f>
        <v>19.888598368302745</v>
      </c>
      <c r="H323" s="447">
        <f>H$296*Entrant_age_breakdowns!$K80*$H$31</f>
        <v>21.190077270628151</v>
      </c>
      <c r="I323" s="447">
        <f>I$296*Entrant_age_breakdowns!$K80*$H$31</f>
        <v>21.641660939225318</v>
      </c>
      <c r="J323" s="447">
        <f>J$296*Entrant_age_breakdowns!$K80*$H$31</f>
        <v>22.920645243437811</v>
      </c>
      <c r="K323" s="447">
        <f>K$296*Entrant_age_breakdowns!$K80*$H$31</f>
        <v>23.152224798931488</v>
      </c>
      <c r="L323" s="447">
        <f>L$296*Entrant_age_breakdowns!$K80*$H$31</f>
        <v>23.136383641291904</v>
      </c>
      <c r="M323" s="447">
        <f>M$296*Entrant_age_breakdowns!$K80*$H$31</f>
        <v>21.827950042456006</v>
      </c>
      <c r="N323" s="447">
        <f>N$296*Entrant_age_breakdowns!$K80*$H$31</f>
        <v>20.381884421849147</v>
      </c>
      <c r="O323" s="320"/>
    </row>
    <row r="324" spans="1:15">
      <c r="B324" s="331" t="str">
        <f t="shared" si="147"/>
        <v>45-49</v>
      </c>
      <c r="C324" s="447">
        <f>C$296*Entrant_age_breakdowns!$K81*$H$31</f>
        <v>10.104074773262717</v>
      </c>
      <c r="D324" s="447">
        <f>D$296*Entrant_age_breakdowns!$K81*$H$31</f>
        <v>12.494119941883099</v>
      </c>
      <c r="E324" s="447">
        <f>E$296*Entrant_age_breakdowns!$K81*$H$31</f>
        <v>13.649650157932873</v>
      </c>
      <c r="F324" s="447">
        <f>F$296*Entrant_age_breakdowns!$K81*$H$31</f>
        <v>15.209798298186227</v>
      </c>
      <c r="G324" s="447">
        <f>G$296*Entrant_age_breakdowns!$K81*$H$31</f>
        <v>16.031341622289485</v>
      </c>
      <c r="H324" s="447">
        <f>H$296*Entrant_age_breakdowns!$K81*$H$31</f>
        <v>17.080407650523707</v>
      </c>
      <c r="I324" s="447">
        <f>I$296*Entrant_age_breakdowns!$K81*$H$31</f>
        <v>17.444409775171451</v>
      </c>
      <c r="J324" s="447">
        <f>J$296*Entrant_age_breakdowns!$K81*$H$31</f>
        <v>18.475343877750266</v>
      </c>
      <c r="K324" s="447">
        <f>K$296*Entrant_age_breakdowns!$K81*$H$31</f>
        <v>18.662010172584491</v>
      </c>
      <c r="L324" s="447">
        <f>L$296*Entrant_age_breakdowns!$K81*$H$31</f>
        <v>18.649241298423028</v>
      </c>
      <c r="M324" s="447">
        <f>M$296*Entrant_age_breakdowns!$K81*$H$31</f>
        <v>17.594569389192351</v>
      </c>
      <c r="N324" s="447">
        <f>N$296*Entrant_age_breakdowns!$K81*$H$31</f>
        <v>16.428958241393055</v>
      </c>
      <c r="O324" s="320"/>
    </row>
    <row r="325" spans="1:15">
      <c r="B325" s="331" t="str">
        <f t="shared" si="147"/>
        <v>50-54</v>
      </c>
      <c r="C325" s="447">
        <f>C$296*Entrant_age_breakdowns!$K82*$H$31</f>
        <v>7.4871596487238499</v>
      </c>
      <c r="D325" s="447">
        <f>D$296*Entrant_age_breakdowns!$K82*$H$31</f>
        <v>9.2581926375606418</v>
      </c>
      <c r="E325" s="447">
        <f>E$296*Entrant_age_breakdowns!$K82*$H$31</f>
        <v>10.114445129810887</v>
      </c>
      <c r="F325" s="447">
        <f>F$296*Entrant_age_breakdowns!$K82*$H$31</f>
        <v>11.270521115377305</v>
      </c>
      <c r="G325" s="447">
        <f>G$296*Entrant_age_breakdowns!$K82*$H$31</f>
        <v>11.879287990517733</v>
      </c>
      <c r="H325" s="447">
        <f>H$296*Entrant_age_breakdowns!$K82*$H$31</f>
        <v>12.656650095579225</v>
      </c>
      <c r="I325" s="447">
        <f>I$296*Entrant_age_breakdowns!$K82*$H$31</f>
        <v>12.926377119663027</v>
      </c>
      <c r="J325" s="447">
        <f>J$296*Entrant_age_breakdowns!$K82*$H$31</f>
        <v>13.690303395599418</v>
      </c>
      <c r="K325" s="447">
        <f>K$296*Entrant_age_breakdowns!$K82*$H$31</f>
        <v>13.828623863511822</v>
      </c>
      <c r="L325" s="447">
        <f>L$296*Entrant_age_breakdowns!$K82*$H$31</f>
        <v>13.819162076903282</v>
      </c>
      <c r="M325" s="447">
        <f>M$296*Entrant_age_breakdowns!$K82*$H$31</f>
        <v>13.03764599169674</v>
      </c>
      <c r="N325" s="447">
        <f>N$296*Entrant_age_breakdowns!$K82*$H$31</f>
        <v>12.173923488870535</v>
      </c>
      <c r="O325" s="320"/>
    </row>
    <row r="326" spans="1:15">
      <c r="B326" s="331" t="str">
        <f t="shared" si="147"/>
        <v>55-59</v>
      </c>
      <c r="C326" s="447">
        <f>C$296*Entrant_age_breakdowns!$K83*$H$31</f>
        <v>4.8523205396219016</v>
      </c>
      <c r="D326" s="447">
        <f>D$296*Entrant_age_breakdowns!$K83*$H$31</f>
        <v>6.0001015608995063</v>
      </c>
      <c r="E326" s="447">
        <f>E$296*Entrant_age_breakdowns!$K83*$H$31</f>
        <v>6.555026492406272</v>
      </c>
      <c r="F326" s="447">
        <f>F$296*Entrant_age_breakdowns!$K83*$H$31</f>
        <v>7.3042627199366557</v>
      </c>
      <c r="G326" s="447">
        <f>G$296*Entrant_age_breakdowns!$K83*$H$31</f>
        <v>7.6987957806266101</v>
      </c>
      <c r="H326" s="447">
        <f>H$296*Entrant_age_breakdowns!$K83*$H$31</f>
        <v>8.2025929862540501</v>
      </c>
      <c r="I326" s="447">
        <f>I$296*Entrant_age_breakdowns!$K83*$H$31</f>
        <v>8.3773991932081113</v>
      </c>
      <c r="J326" s="447">
        <f>J$296*Entrant_age_breakdowns!$K83*$H$31</f>
        <v>8.8724888311210446</v>
      </c>
      <c r="K326" s="447">
        <f>K$296*Entrant_age_breakdowns!$K83*$H$31</f>
        <v>8.9621323380036415</v>
      </c>
      <c r="L326" s="447">
        <f>L$296*Entrant_age_breakdowns!$K83*$H$31</f>
        <v>8.956000290116835</v>
      </c>
      <c r="M326" s="447">
        <f>M$296*Entrant_age_breakdowns!$K83*$H$31</f>
        <v>8.4495109496712946</v>
      </c>
      <c r="N326" s="447">
        <f>N$296*Entrant_age_breakdowns!$K83*$H$31</f>
        <v>7.8897448116924451</v>
      </c>
      <c r="O326" s="320"/>
    </row>
    <row r="327" spans="1:15">
      <c r="B327" s="331" t="str">
        <f t="shared" si="147"/>
        <v>60-64</v>
      </c>
      <c r="C327" s="447">
        <f>C$296*Entrant_age_breakdowns!$K84*$H$31</f>
        <v>2.4745405210133855</v>
      </c>
      <c r="D327" s="447">
        <f>D$296*Entrant_age_breakdowns!$K84*$H$31</f>
        <v>3.0598750270934141</v>
      </c>
      <c r="E327" s="447">
        <f>E$296*Entrant_age_breakdowns!$K84*$H$31</f>
        <v>3.342870393520931</v>
      </c>
      <c r="F327" s="447">
        <f>F$296*Entrant_age_breakdowns!$K84*$H$31</f>
        <v>3.7249587963162671</v>
      </c>
      <c r="G327" s="447">
        <f>G$296*Entrant_age_breakdowns!$K84*$H$31</f>
        <v>3.9261590339314023</v>
      </c>
      <c r="H327" s="447">
        <f>H$296*Entrant_age_breakdowns!$K84*$H$31</f>
        <v>4.183080766434168</v>
      </c>
      <c r="I327" s="447">
        <f>I$296*Entrant_age_breakdowns!$K84*$H$31</f>
        <v>4.2722267820158555</v>
      </c>
      <c r="J327" s="447">
        <f>J$296*Entrant_age_breakdowns!$K84*$H$31</f>
        <v>4.5247079115178366</v>
      </c>
      <c r="K327" s="447">
        <f>K$296*Entrant_age_breakdowns!$K84*$H$31</f>
        <v>4.5704234590410033</v>
      </c>
      <c r="L327" s="447">
        <f>L$296*Entrant_age_breakdowns!$K84*$H$31</f>
        <v>4.5672962952749669</v>
      </c>
      <c r="M327" s="447">
        <f>M$296*Entrant_age_breakdowns!$K84*$H$31</f>
        <v>4.3090016533279432</v>
      </c>
      <c r="N327" s="447">
        <f>N$296*Entrant_age_breakdowns!$K84*$H$31</f>
        <v>4.0235374142264249</v>
      </c>
      <c r="O327" s="320"/>
    </row>
    <row r="328" spans="1:15">
      <c r="B328" s="331" t="str">
        <f t="shared" si="147"/>
        <v>65 plus</v>
      </c>
      <c r="C328" s="447">
        <f>C$296*Entrant_age_breakdowns!$K85*$H$31</f>
        <v>0.74508013795493933</v>
      </c>
      <c r="D328" s="447">
        <f>D$296*Entrant_age_breakdowns!$K85*$H$31</f>
        <v>0.92132340850816963</v>
      </c>
      <c r="E328" s="447">
        <f>E$296*Entrant_age_breakdowns!$K85*$H$31</f>
        <v>1.0065328544105037</v>
      </c>
      <c r="F328" s="447">
        <f>F$296*Entrant_age_breakdowns!$K85*$H$31</f>
        <v>1.1215790528656193</v>
      </c>
      <c r="G328" s="447">
        <f>G$296*Entrant_age_breakdowns!$K85*$H$31</f>
        <v>1.1821601181283774</v>
      </c>
      <c r="H328" s="447">
        <f>H$296*Entrant_age_breakdowns!$K85*$H$31</f>
        <v>1.2595188351391573</v>
      </c>
      <c r="I328" s="447">
        <f>I$296*Entrant_age_breakdowns!$K85*$H$31</f>
        <v>1.2863605558641571</v>
      </c>
      <c r="J328" s="447">
        <f>J$296*Entrant_age_breakdowns!$K85*$H$31</f>
        <v>1.362382214512655</v>
      </c>
      <c r="K328" s="447">
        <f>K$296*Entrant_age_breakdowns!$K85*$H$31</f>
        <v>1.3761470917357193</v>
      </c>
      <c r="L328" s="447">
        <f>L$296*Entrant_age_breakdowns!$K85*$H$31</f>
        <v>1.3752055077970367</v>
      </c>
      <c r="M328" s="447">
        <f>M$296*Entrant_age_breakdowns!$K85*$H$31</f>
        <v>1.297433409979015</v>
      </c>
      <c r="N328" s="447">
        <f>N$296*Entrant_age_breakdowns!$K85*$H$31</f>
        <v>1.2114805905182702</v>
      </c>
      <c r="O328" s="320"/>
    </row>
    <row r="329" spans="1:15">
      <c r="B329" s="331" t="str">
        <f t="shared" si="147"/>
        <v>Total</v>
      </c>
      <c r="C329" s="447">
        <f t="shared" ref="C329:N329" si="149">SUM(C319:C328)</f>
        <v>150.37855389240988</v>
      </c>
      <c r="D329" s="447">
        <f t="shared" si="149"/>
        <v>185.94950365871054</v>
      </c>
      <c r="E329" s="447">
        <f t="shared" si="149"/>
        <v>203.14721515312357</v>
      </c>
      <c r="F329" s="447">
        <f t="shared" si="149"/>
        <v>226.3668395575333</v>
      </c>
      <c r="G329" s="447">
        <f t="shared" si="149"/>
        <v>238.59383706209732</v>
      </c>
      <c r="H329" s="447">
        <f t="shared" si="149"/>
        <v>254.20704616868176</v>
      </c>
      <c r="I329" s="447">
        <f t="shared" si="149"/>
        <v>259.62447570544055</v>
      </c>
      <c r="J329" s="447">
        <f t="shared" si="149"/>
        <v>274.96782806407623</v>
      </c>
      <c r="K329" s="447">
        <f t="shared" si="149"/>
        <v>277.74597530739493</v>
      </c>
      <c r="L329" s="447">
        <f t="shared" si="149"/>
        <v>277.5559366473172</v>
      </c>
      <c r="M329" s="447">
        <f t="shared" si="149"/>
        <v>261.85929543077145</v>
      </c>
      <c r="N329" s="447">
        <f t="shared" si="149"/>
        <v>244.51154981919288</v>
      </c>
      <c r="O329" s="320"/>
    </row>
    <row r="330" spans="1:15">
      <c r="A330" s="302">
        <f>SUM(C330:N330)</f>
        <v>0</v>
      </c>
      <c r="C330" s="302">
        <f t="shared" ref="C330:N330" si="150">SUM(C319:C328)-C329</f>
        <v>0</v>
      </c>
      <c r="D330" s="302">
        <f t="shared" si="150"/>
        <v>0</v>
      </c>
      <c r="E330" s="302">
        <f t="shared" si="150"/>
        <v>0</v>
      </c>
      <c r="F330" s="302">
        <f t="shared" si="150"/>
        <v>0</v>
      </c>
      <c r="G330" s="302">
        <f t="shared" si="150"/>
        <v>0</v>
      </c>
      <c r="H330" s="302">
        <f t="shared" si="150"/>
        <v>0</v>
      </c>
      <c r="I330" s="302">
        <f t="shared" si="150"/>
        <v>0</v>
      </c>
      <c r="J330" s="302">
        <f t="shared" si="150"/>
        <v>0</v>
      </c>
      <c r="K330" s="302">
        <f t="shared" si="150"/>
        <v>0</v>
      </c>
      <c r="L330" s="302">
        <f t="shared" si="150"/>
        <v>0</v>
      </c>
      <c r="M330" s="302">
        <f t="shared" si="150"/>
        <v>0</v>
      </c>
      <c r="N330" s="302">
        <f t="shared" si="150"/>
        <v>0</v>
      </c>
    </row>
    <row r="331" spans="1:15">
      <c r="C331" s="322">
        <f>C294</f>
        <v>263.62978834821001</v>
      </c>
      <c r="D331" s="322">
        <f t="shared" ref="D331:N331" si="151">D294</f>
        <v>325.98949134777433</v>
      </c>
      <c r="E331" s="322">
        <f t="shared" si="151"/>
        <v>356.13893037343132</v>
      </c>
      <c r="F331" s="322">
        <f t="shared" si="151"/>
        <v>396.84543079395735</v>
      </c>
      <c r="G331" s="322">
        <f t="shared" si="151"/>
        <v>418.28067325923951</v>
      </c>
      <c r="H331" s="322">
        <f t="shared" si="151"/>
        <v>445.65230907873359</v>
      </c>
      <c r="I331" s="322">
        <f t="shared" si="151"/>
        <v>455.1496460672837</v>
      </c>
      <c r="J331" s="322">
        <f t="shared" si="151"/>
        <v>482.04819396629557</v>
      </c>
      <c r="K331" s="322">
        <f t="shared" si="151"/>
        <v>486.91858506129347</v>
      </c>
      <c r="L331" s="322">
        <f t="shared" si="151"/>
        <v>486.58542683867825</v>
      </c>
      <c r="M331" s="322">
        <f t="shared" si="151"/>
        <v>459.06752555166088</v>
      </c>
      <c r="N331" s="322">
        <f t="shared" si="151"/>
        <v>428.65506057230527</v>
      </c>
    </row>
    <row r="332" spans="1:15">
      <c r="C332" s="322">
        <f>C313+C329</f>
        <v>263.62978834821001</v>
      </c>
      <c r="D332" s="322">
        <f t="shared" ref="D332:N332" si="152">D313+D329</f>
        <v>325.98949134777433</v>
      </c>
      <c r="E332" s="322">
        <f t="shared" si="152"/>
        <v>356.13893037343132</v>
      </c>
      <c r="F332" s="322">
        <f t="shared" si="152"/>
        <v>396.84543079395735</v>
      </c>
      <c r="G332" s="322">
        <f t="shared" si="152"/>
        <v>418.28067325923945</v>
      </c>
      <c r="H332" s="322">
        <f t="shared" si="152"/>
        <v>445.65230907873359</v>
      </c>
      <c r="I332" s="322">
        <f t="shared" si="152"/>
        <v>455.1496460672837</v>
      </c>
      <c r="J332" s="322">
        <f t="shared" si="152"/>
        <v>482.04819396629557</v>
      </c>
      <c r="K332" s="322">
        <f t="shared" si="152"/>
        <v>486.91858506129353</v>
      </c>
      <c r="L332" s="322">
        <f t="shared" si="152"/>
        <v>486.58542683867819</v>
      </c>
      <c r="M332" s="322">
        <f t="shared" si="152"/>
        <v>459.06752555166088</v>
      </c>
      <c r="N332" s="322">
        <f t="shared" si="152"/>
        <v>428.65506057230533</v>
      </c>
    </row>
    <row r="333" spans="1:15">
      <c r="A333" s="302">
        <f>SUM(C333:L333)</f>
        <v>0</v>
      </c>
      <c r="C333" s="322">
        <f>C331-C332</f>
        <v>0</v>
      </c>
      <c r="D333" s="322">
        <f t="shared" ref="D333:K333" si="153">D331-D332</f>
        <v>0</v>
      </c>
      <c r="E333" s="322">
        <f t="shared" si="153"/>
        <v>0</v>
      </c>
      <c r="F333" s="322">
        <f t="shared" si="153"/>
        <v>0</v>
      </c>
      <c r="G333" s="322">
        <f t="shared" si="153"/>
        <v>0</v>
      </c>
      <c r="H333" s="322">
        <f t="shared" si="153"/>
        <v>0</v>
      </c>
      <c r="I333" s="322">
        <f t="shared" si="153"/>
        <v>0</v>
      </c>
      <c r="J333" s="322">
        <f t="shared" si="153"/>
        <v>0</v>
      </c>
      <c r="K333" s="322">
        <f t="shared" si="153"/>
        <v>0</v>
      </c>
      <c r="L333" s="322">
        <f>L331-L332</f>
        <v>0</v>
      </c>
      <c r="M333" s="322">
        <f>M331-M332</f>
        <v>0</v>
      </c>
      <c r="N333" s="322">
        <f>N331-N332</f>
        <v>0</v>
      </c>
    </row>
    <row r="334" spans="1:15">
      <c r="C334" s="322"/>
      <c r="D334" s="322"/>
      <c r="E334" s="322"/>
      <c r="F334" s="322"/>
      <c r="G334" s="322"/>
      <c r="H334" s="335"/>
      <c r="I334" s="322"/>
      <c r="J334" s="322"/>
      <c r="K334" s="322"/>
      <c r="L334" s="322"/>
    </row>
    <row r="335" spans="1:15" ht="15.75">
      <c r="B335" s="333" t="s">
        <v>176</v>
      </c>
      <c r="C335" s="322"/>
      <c r="D335" s="322"/>
      <c r="E335" s="322"/>
      <c r="F335" s="322"/>
      <c r="G335" s="322"/>
      <c r="H335" s="335"/>
      <c r="I335" s="322"/>
      <c r="J335" s="322"/>
      <c r="K335" s="322"/>
      <c r="L335" s="322"/>
    </row>
    <row r="336" spans="1:15"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4">C318</f>
        <v>2017/18</v>
      </c>
      <c r="D339" s="331" t="str">
        <f t="shared" si="154"/>
        <v>2018/19</v>
      </c>
      <c r="E339" s="331" t="str">
        <f t="shared" si="154"/>
        <v>2019/20</v>
      </c>
      <c r="F339" s="331" t="str">
        <f t="shared" si="154"/>
        <v>2020/21</v>
      </c>
      <c r="G339" s="331" t="str">
        <f t="shared" si="154"/>
        <v>2021/22</v>
      </c>
      <c r="H339" s="331" t="str">
        <f t="shared" si="154"/>
        <v>2022/23</v>
      </c>
      <c r="I339" s="331" t="str">
        <f t="shared" si="154"/>
        <v>2023/24</v>
      </c>
      <c r="J339" s="331" t="str">
        <f t="shared" si="154"/>
        <v>2024/25</v>
      </c>
      <c r="K339" s="331" t="str">
        <f t="shared" si="154"/>
        <v>2025/26</v>
      </c>
      <c r="L339" s="331" t="str">
        <f t="shared" si="154"/>
        <v>2026/27</v>
      </c>
      <c r="M339" s="331" t="str">
        <f t="shared" si="154"/>
        <v>2027/28</v>
      </c>
      <c r="N339" s="331" t="str">
        <f t="shared" si="154"/>
        <v>2028/29</v>
      </c>
    </row>
    <row r="340" spans="1:14">
      <c r="B340" s="331" t="str">
        <f t="shared" ref="B340:B350" si="155">B319</f>
        <v>20-24</v>
      </c>
      <c r="C340" s="447">
        <f t="shared" ref="C340:N340" si="156">C303+C247</f>
        <v>52.778381153808191</v>
      </c>
      <c r="D340" s="447">
        <f t="shared" si="156"/>
        <v>73.192867351805205</v>
      </c>
      <c r="E340" s="447">
        <f t="shared" si="156"/>
        <v>90.66269563783429</v>
      </c>
      <c r="F340" s="447">
        <f t="shared" si="156"/>
        <v>107.5834271498492</v>
      </c>
      <c r="G340" s="447">
        <f t="shared" si="156"/>
        <v>121.85757355336246</v>
      </c>
      <c r="H340" s="447">
        <f t="shared" si="156"/>
        <v>134.92359307085744</v>
      </c>
      <c r="I340" s="447">
        <f t="shared" si="156"/>
        <v>145.16787145299148</v>
      </c>
      <c r="J340" s="447">
        <f t="shared" si="156"/>
        <v>155.34520164954546</v>
      </c>
      <c r="K340" s="447">
        <f t="shared" si="156"/>
        <v>163.04590151274243</v>
      </c>
      <c r="L340" s="447">
        <f t="shared" si="156"/>
        <v>168.42946554789592</v>
      </c>
      <c r="M340" s="447">
        <f t="shared" si="156"/>
        <v>169.18382973414748</v>
      </c>
      <c r="N340" s="447">
        <f t="shared" si="156"/>
        <v>166.36058462423597</v>
      </c>
    </row>
    <row r="341" spans="1:14">
      <c r="B341" s="331" t="str">
        <f t="shared" si="155"/>
        <v>25-29</v>
      </c>
      <c r="C341" s="447">
        <f t="shared" ref="C341:N341" si="157">C304+C248</f>
        <v>152.66629676916585</v>
      </c>
      <c r="D341" s="447">
        <f t="shared" si="157"/>
        <v>157.07372739858204</v>
      </c>
      <c r="E341" s="447">
        <f t="shared" si="157"/>
        <v>166.88244416457496</v>
      </c>
      <c r="F341" s="447">
        <f t="shared" si="157"/>
        <v>181.98807850607812</v>
      </c>
      <c r="G341" s="447">
        <f t="shared" si="157"/>
        <v>198.40832884151553</v>
      </c>
      <c r="H341" s="447">
        <f t="shared" si="157"/>
        <v>215.96993204152028</v>
      </c>
      <c r="I341" s="447">
        <f t="shared" si="157"/>
        <v>232.1272037993453</v>
      </c>
      <c r="J341" s="447">
        <f t="shared" si="157"/>
        <v>248.71522531381373</v>
      </c>
      <c r="K341" s="447">
        <f t="shared" si="157"/>
        <v>263.12316515657767</v>
      </c>
      <c r="L341" s="447">
        <f t="shared" si="157"/>
        <v>274.91748460473718</v>
      </c>
      <c r="M341" s="447">
        <f t="shared" si="157"/>
        <v>281.33830153831173</v>
      </c>
      <c r="N341" s="447">
        <f t="shared" si="157"/>
        <v>282.70227896427917</v>
      </c>
    </row>
    <row r="342" spans="1:14">
      <c r="B342" s="331" t="str">
        <f t="shared" si="155"/>
        <v>30-34</v>
      </c>
      <c r="C342" s="447">
        <f t="shared" ref="C342:N342" si="158">C305+C249</f>
        <v>295.2566527210156</v>
      </c>
      <c r="D342" s="447">
        <f t="shared" si="158"/>
        <v>266.59227511256881</v>
      </c>
      <c r="E342" s="447">
        <f t="shared" si="158"/>
        <v>247.11819499161732</v>
      </c>
      <c r="F342" s="447">
        <f t="shared" si="158"/>
        <v>237.05802298847536</v>
      </c>
      <c r="G342" s="447">
        <f t="shared" si="158"/>
        <v>233.58204525519403</v>
      </c>
      <c r="H342" s="447">
        <f t="shared" si="158"/>
        <v>235.58049936674411</v>
      </c>
      <c r="I342" s="447">
        <f t="shared" si="158"/>
        <v>240.86423891730564</v>
      </c>
      <c r="J342" s="447">
        <f t="shared" si="158"/>
        <v>249.30372795973923</v>
      </c>
      <c r="K342" s="447">
        <f t="shared" si="158"/>
        <v>258.93920695539987</v>
      </c>
      <c r="L342" s="447">
        <f t="shared" si="158"/>
        <v>268.76799073638784</v>
      </c>
      <c r="M342" s="447">
        <f t="shared" si="158"/>
        <v>276.73447884367783</v>
      </c>
      <c r="N342" s="447">
        <f t="shared" si="158"/>
        <v>282.15440441019501</v>
      </c>
    </row>
    <row r="343" spans="1:14">
      <c r="B343" s="331" t="str">
        <f t="shared" si="155"/>
        <v>35-39</v>
      </c>
      <c r="C343" s="447">
        <f t="shared" ref="C343:N343" si="159">C306+C250</f>
        <v>307.55231248652854</v>
      </c>
      <c r="D343" s="447">
        <f t="shared" si="159"/>
        <v>297.57970433185528</v>
      </c>
      <c r="E343" s="447">
        <f t="shared" si="159"/>
        <v>285.32633988211711</v>
      </c>
      <c r="F343" s="447">
        <f t="shared" si="159"/>
        <v>274.6772781597395</v>
      </c>
      <c r="G343" s="447">
        <f t="shared" si="159"/>
        <v>265.78059572543754</v>
      </c>
      <c r="H343" s="447">
        <f t="shared" si="159"/>
        <v>259.65868507651993</v>
      </c>
      <c r="I343" s="447">
        <f t="shared" si="159"/>
        <v>255.87324766195951</v>
      </c>
      <c r="J343" s="447">
        <f t="shared" si="159"/>
        <v>255.16142219553831</v>
      </c>
      <c r="K343" s="447">
        <f t="shared" si="159"/>
        <v>256.40410745807344</v>
      </c>
      <c r="L343" s="447">
        <f t="shared" si="159"/>
        <v>259.10584342130369</v>
      </c>
      <c r="M343" s="447">
        <f t="shared" si="159"/>
        <v>261.79567411274041</v>
      </c>
      <c r="N343" s="447">
        <f t="shared" si="159"/>
        <v>264.00977793146319</v>
      </c>
    </row>
    <row r="344" spans="1:14">
      <c r="B344" s="331" t="str">
        <f t="shared" si="155"/>
        <v>40-44</v>
      </c>
      <c r="C344" s="447">
        <f t="shared" ref="C344:N344" si="160">C307+C251</f>
        <v>270.29351123309095</v>
      </c>
      <c r="D344" s="447">
        <f t="shared" si="160"/>
        <v>268.05544874626611</v>
      </c>
      <c r="E344" s="447">
        <f t="shared" si="160"/>
        <v>264.86478290903676</v>
      </c>
      <c r="F344" s="447">
        <f t="shared" si="160"/>
        <v>262.11398103860722</v>
      </c>
      <c r="G344" s="447">
        <f t="shared" si="160"/>
        <v>258.89008915418395</v>
      </c>
      <c r="H344" s="447">
        <f t="shared" si="160"/>
        <v>255.85296954742984</v>
      </c>
      <c r="I344" s="447">
        <f t="shared" si="160"/>
        <v>252.82502173601401</v>
      </c>
      <c r="J344" s="447">
        <f t="shared" si="160"/>
        <v>250.85767382957724</v>
      </c>
      <c r="K344" s="447">
        <f t="shared" si="160"/>
        <v>249.45018118905102</v>
      </c>
      <c r="L344" s="447">
        <f t="shared" si="160"/>
        <v>248.62948081698099</v>
      </c>
      <c r="M344" s="447">
        <f t="shared" si="160"/>
        <v>247.53697349004565</v>
      </c>
      <c r="N344" s="447">
        <f t="shared" si="160"/>
        <v>246.13819570964731</v>
      </c>
    </row>
    <row r="345" spans="1:14">
      <c r="B345" s="331" t="str">
        <f t="shared" si="155"/>
        <v>45-49</v>
      </c>
      <c r="C345" s="447">
        <f t="shared" ref="C345:N345" si="161">C308+C252</f>
        <v>251.18549315256297</v>
      </c>
      <c r="D345" s="447">
        <f t="shared" si="161"/>
        <v>242.9810396957532</v>
      </c>
      <c r="E345" s="447">
        <f t="shared" si="161"/>
        <v>236.67046235730979</v>
      </c>
      <c r="F345" s="447">
        <f t="shared" si="161"/>
        <v>233.0392309466591</v>
      </c>
      <c r="G345" s="447">
        <f t="shared" si="161"/>
        <v>230.49831448586403</v>
      </c>
      <c r="H345" s="447">
        <f t="shared" si="161"/>
        <v>228.83987005139164</v>
      </c>
      <c r="I345" s="447">
        <f t="shared" si="161"/>
        <v>227.34525367574153</v>
      </c>
      <c r="J345" s="447">
        <f t="shared" si="161"/>
        <v>226.47443899877791</v>
      </c>
      <c r="K345" s="447">
        <f t="shared" si="161"/>
        <v>225.61813553330165</v>
      </c>
      <c r="L345" s="447">
        <f t="shared" si="161"/>
        <v>224.72464614906951</v>
      </c>
      <c r="M345" s="447">
        <f t="shared" si="161"/>
        <v>223.12660811404879</v>
      </c>
      <c r="N345" s="447">
        <f t="shared" si="161"/>
        <v>220.87987813257936</v>
      </c>
    </row>
    <row r="346" spans="1:14">
      <c r="B346" s="331" t="str">
        <f t="shared" si="155"/>
        <v>50-54</v>
      </c>
      <c r="C346" s="447">
        <f t="shared" ref="C346:N346" si="162">C309+C253</f>
        <v>192.81585669561557</v>
      </c>
      <c r="D346" s="447">
        <f t="shared" si="162"/>
        <v>188.54512682372427</v>
      </c>
      <c r="E346" s="447">
        <f t="shared" si="162"/>
        <v>184.08458099856401</v>
      </c>
      <c r="F346" s="447">
        <f t="shared" si="162"/>
        <v>180.99232327725423</v>
      </c>
      <c r="G346" s="447">
        <f t="shared" si="162"/>
        <v>178.6141090039944</v>
      </c>
      <c r="H346" s="447">
        <f t="shared" si="162"/>
        <v>177.06253677481411</v>
      </c>
      <c r="I346" s="447">
        <f t="shared" si="162"/>
        <v>175.87133426007995</v>
      </c>
      <c r="J346" s="447">
        <f t="shared" si="162"/>
        <v>175.33692130220558</v>
      </c>
      <c r="K346" s="447">
        <f t="shared" si="162"/>
        <v>174.9077214616473</v>
      </c>
      <c r="L346" s="447">
        <f t="shared" si="162"/>
        <v>174.44441116335375</v>
      </c>
      <c r="M346" s="447">
        <f t="shared" si="162"/>
        <v>173.36887848492273</v>
      </c>
      <c r="N346" s="447">
        <f t="shared" si="162"/>
        <v>171.67236351009049</v>
      </c>
    </row>
    <row r="347" spans="1:14">
      <c r="B347" s="331" t="str">
        <f t="shared" si="155"/>
        <v>55-59</v>
      </c>
      <c r="C347" s="447">
        <f t="shared" ref="C347:N347" si="163">C310+C254</f>
        <v>104.33509399352701</v>
      </c>
      <c r="D347" s="447">
        <f t="shared" si="163"/>
        <v>96.544616838926501</v>
      </c>
      <c r="E347" s="447">
        <f t="shared" si="163"/>
        <v>91.407448396337287</v>
      </c>
      <c r="F347" s="447">
        <f t="shared" si="163"/>
        <v>88.313688623623875</v>
      </c>
      <c r="G347" s="447">
        <f t="shared" si="163"/>
        <v>86.280713420541417</v>
      </c>
      <c r="H347" s="447">
        <f t="shared" si="163"/>
        <v>85.076810174458558</v>
      </c>
      <c r="I347" s="447">
        <f t="shared" si="163"/>
        <v>84.249261041608847</v>
      </c>
      <c r="J347" s="447">
        <f t="shared" si="163"/>
        <v>83.943994791880286</v>
      </c>
      <c r="K347" s="447">
        <f t="shared" si="163"/>
        <v>83.74704860354521</v>
      </c>
      <c r="L347" s="447">
        <f t="shared" si="163"/>
        <v>83.559095496900994</v>
      </c>
      <c r="M347" s="447">
        <f t="shared" si="163"/>
        <v>82.994599986609614</v>
      </c>
      <c r="N347" s="447">
        <f t="shared" si="163"/>
        <v>82.0708520258693</v>
      </c>
    </row>
    <row r="348" spans="1:14">
      <c r="B348" s="331" t="str">
        <f t="shared" si="155"/>
        <v>60-64</v>
      </c>
      <c r="C348" s="447">
        <f t="shared" ref="C348:N348" si="164">C311+C255</f>
        <v>31.114480812272589</v>
      </c>
      <c r="D348" s="447">
        <f t="shared" si="164"/>
        <v>31.644470673897953</v>
      </c>
      <c r="E348" s="447">
        <f t="shared" si="164"/>
        <v>31.043222949929536</v>
      </c>
      <c r="F348" s="447">
        <f t="shared" si="164"/>
        <v>30.410466932307223</v>
      </c>
      <c r="G348" s="447">
        <f t="shared" si="164"/>
        <v>29.841735935119839</v>
      </c>
      <c r="H348" s="447">
        <f t="shared" si="164"/>
        <v>29.483596968845866</v>
      </c>
      <c r="I348" s="447">
        <f t="shared" si="164"/>
        <v>29.213133583617555</v>
      </c>
      <c r="J348" s="447">
        <f t="shared" si="164"/>
        <v>29.158779063091568</v>
      </c>
      <c r="K348" s="447">
        <f t="shared" si="164"/>
        <v>29.126277795931895</v>
      </c>
      <c r="L348" s="447">
        <f t="shared" si="164"/>
        <v>29.082056430515273</v>
      </c>
      <c r="M348" s="447">
        <f t="shared" si="164"/>
        <v>28.840815004058641</v>
      </c>
      <c r="N348" s="447">
        <f t="shared" si="164"/>
        <v>28.429981425280548</v>
      </c>
    </row>
    <row r="349" spans="1:14">
      <c r="B349" s="331" t="str">
        <f t="shared" si="155"/>
        <v>65 plus</v>
      </c>
      <c r="C349" s="447">
        <f t="shared" ref="C349:N349" si="165">C312+C256</f>
        <v>7.3128721928029208</v>
      </c>
      <c r="D349" s="447">
        <f t="shared" si="165"/>
        <v>8.8673573599219857</v>
      </c>
      <c r="E349" s="447">
        <f t="shared" si="165"/>
        <v>9.8833558138753954</v>
      </c>
      <c r="F349" s="447">
        <f t="shared" si="165"/>
        <v>10.535847447206825</v>
      </c>
      <c r="G349" s="447">
        <f t="shared" si="165"/>
        <v>10.898211631161175</v>
      </c>
      <c r="H349" s="447">
        <f t="shared" si="165"/>
        <v>11.106197705299055</v>
      </c>
      <c r="I349" s="447">
        <f t="shared" si="165"/>
        <v>11.208532239393541</v>
      </c>
      <c r="J349" s="447">
        <f t="shared" si="165"/>
        <v>11.294837699943509</v>
      </c>
      <c r="K349" s="447">
        <f t="shared" si="165"/>
        <v>11.350633519511051</v>
      </c>
      <c r="L349" s="447">
        <f t="shared" si="165"/>
        <v>11.379611957063771</v>
      </c>
      <c r="M349" s="447">
        <f t="shared" si="165"/>
        <v>11.333166711135284</v>
      </c>
      <c r="N349" s="447">
        <f t="shared" si="165"/>
        <v>11.211407159509275</v>
      </c>
    </row>
    <row r="350" spans="1:14">
      <c r="B350" s="331" t="str">
        <f t="shared" si="155"/>
        <v>Total</v>
      </c>
      <c r="C350" s="447">
        <f t="shared" ref="C350:N350" si="166">SUM(C340:C349)</f>
        <v>1665.3109512103899</v>
      </c>
      <c r="D350" s="447">
        <f t="shared" si="166"/>
        <v>1631.0766343333014</v>
      </c>
      <c r="E350" s="447">
        <f t="shared" si="166"/>
        <v>1607.9435281011965</v>
      </c>
      <c r="F350" s="447">
        <f t="shared" si="166"/>
        <v>1606.7123450698007</v>
      </c>
      <c r="G350" s="447">
        <f t="shared" si="166"/>
        <v>1614.6517170063742</v>
      </c>
      <c r="H350" s="447">
        <f t="shared" si="166"/>
        <v>1633.554690777881</v>
      </c>
      <c r="I350" s="447">
        <f t="shared" si="166"/>
        <v>1654.7450983680571</v>
      </c>
      <c r="J350" s="447">
        <f t="shared" si="166"/>
        <v>1685.5922228041127</v>
      </c>
      <c r="K350" s="447">
        <f t="shared" si="166"/>
        <v>1715.7123791857816</v>
      </c>
      <c r="L350" s="447">
        <f t="shared" si="166"/>
        <v>1743.0400863242089</v>
      </c>
      <c r="M350" s="447">
        <f t="shared" si="166"/>
        <v>1756.2533260196985</v>
      </c>
      <c r="N350" s="447">
        <f t="shared" si="166"/>
        <v>1755.6297238931495</v>
      </c>
    </row>
    <row r="351" spans="1:14">
      <c r="A351" s="302">
        <f>SUM(C351:N351)</f>
        <v>0</v>
      </c>
      <c r="C351" s="302">
        <f t="shared" ref="C351:N351" si="167">SUM(C340:C349)-C350</f>
        <v>0</v>
      </c>
      <c r="D351" s="302">
        <f t="shared" si="167"/>
        <v>0</v>
      </c>
      <c r="E351" s="302">
        <f t="shared" si="167"/>
        <v>0</v>
      </c>
      <c r="F351" s="302">
        <f t="shared" si="167"/>
        <v>0</v>
      </c>
      <c r="G351" s="302">
        <f t="shared" si="167"/>
        <v>0</v>
      </c>
      <c r="H351" s="302">
        <f t="shared" si="167"/>
        <v>0</v>
      </c>
      <c r="I351" s="302">
        <f t="shared" si="167"/>
        <v>0</v>
      </c>
      <c r="J351" s="302">
        <f t="shared" si="167"/>
        <v>0</v>
      </c>
      <c r="K351" s="302">
        <f t="shared" si="167"/>
        <v>0</v>
      </c>
      <c r="L351" s="302">
        <f t="shared" si="167"/>
        <v>0</v>
      </c>
      <c r="M351" s="302">
        <f t="shared" si="167"/>
        <v>0</v>
      </c>
      <c r="N351" s="302">
        <f t="shared" si="167"/>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8">B339</f>
        <v>Age group</v>
      </c>
      <c r="C355" s="331" t="str">
        <f t="shared" ref="C355:N355" si="169">C339</f>
        <v>2017/18</v>
      </c>
      <c r="D355" s="331" t="str">
        <f t="shared" si="169"/>
        <v>2018/19</v>
      </c>
      <c r="E355" s="331" t="str">
        <f t="shared" si="169"/>
        <v>2019/20</v>
      </c>
      <c r="F355" s="331" t="str">
        <f t="shared" si="169"/>
        <v>2020/21</v>
      </c>
      <c r="G355" s="331" t="str">
        <f t="shared" si="169"/>
        <v>2021/22</v>
      </c>
      <c r="H355" s="331" t="str">
        <f t="shared" si="169"/>
        <v>2022/23</v>
      </c>
      <c r="I355" s="331" t="str">
        <f t="shared" si="169"/>
        <v>2023/24</v>
      </c>
      <c r="J355" s="331" t="str">
        <f t="shared" si="169"/>
        <v>2024/25</v>
      </c>
      <c r="K355" s="331" t="str">
        <f t="shared" si="169"/>
        <v>2025/26</v>
      </c>
      <c r="L355" s="331" t="str">
        <f t="shared" si="169"/>
        <v>2026/27</v>
      </c>
      <c r="M355" s="331" t="str">
        <f t="shared" si="169"/>
        <v>2027/28</v>
      </c>
      <c r="N355" s="331" t="str">
        <f t="shared" si="169"/>
        <v>2028/29</v>
      </c>
    </row>
    <row r="356" spans="1:14">
      <c r="B356" s="331" t="str">
        <f t="shared" si="168"/>
        <v>20-24</v>
      </c>
      <c r="C356" s="447">
        <f t="shared" ref="C356:N356" si="170">C319+C263</f>
        <v>78.101658201853809</v>
      </c>
      <c r="D356" s="447">
        <f t="shared" si="170"/>
        <v>102.89387003082226</v>
      </c>
      <c r="E356" s="447">
        <f t="shared" si="170"/>
        <v>124.65611355364267</v>
      </c>
      <c r="F356" s="447">
        <f t="shared" si="170"/>
        <v>145.79858792021213</v>
      </c>
      <c r="G356" s="447">
        <f t="shared" si="170"/>
        <v>163.80906388565541</v>
      </c>
      <c r="H356" s="447">
        <f t="shared" si="170"/>
        <v>180.48590660210718</v>
      </c>
      <c r="I356" s="447">
        <f t="shared" si="170"/>
        <v>193.60703696245736</v>
      </c>
      <c r="J356" s="447">
        <f t="shared" si="170"/>
        <v>206.77549736749376</v>
      </c>
      <c r="K356" s="447">
        <f t="shared" si="170"/>
        <v>216.75127272967248</v>
      </c>
      <c r="L356" s="447">
        <f t="shared" si="170"/>
        <v>223.71930794869402</v>
      </c>
      <c r="M356" s="447">
        <f t="shared" si="170"/>
        <v>224.59059204938188</v>
      </c>
      <c r="N356" s="447">
        <f t="shared" si="170"/>
        <v>220.74960118618029</v>
      </c>
    </row>
    <row r="357" spans="1:14">
      <c r="B357" s="331" t="str">
        <f t="shared" si="168"/>
        <v>25-29</v>
      </c>
      <c r="C357" s="447">
        <f t="shared" ref="C357:N357" si="171">C320+C264</f>
        <v>246.27035323819356</v>
      </c>
      <c r="D357" s="447">
        <f t="shared" si="171"/>
        <v>241.45528552830609</v>
      </c>
      <c r="E357" s="447">
        <f t="shared" si="171"/>
        <v>246.63232641396488</v>
      </c>
      <c r="F357" s="447">
        <f t="shared" si="171"/>
        <v>260.13128202147283</v>
      </c>
      <c r="G357" s="447">
        <f t="shared" si="171"/>
        <v>276.91417852665052</v>
      </c>
      <c r="H357" s="447">
        <f t="shared" si="171"/>
        <v>296.3923306563334</v>
      </c>
      <c r="I357" s="447">
        <f t="shared" si="171"/>
        <v>314.90570420867863</v>
      </c>
      <c r="J357" s="447">
        <f t="shared" si="171"/>
        <v>334.68044565146113</v>
      </c>
      <c r="K357" s="447">
        <f t="shared" si="171"/>
        <v>352.0825097822966</v>
      </c>
      <c r="L357" s="447">
        <f t="shared" si="171"/>
        <v>366.41462648223376</v>
      </c>
      <c r="M357" s="447">
        <f t="shared" si="171"/>
        <v>373.92019738761405</v>
      </c>
      <c r="N357" s="447">
        <f t="shared" si="171"/>
        <v>374.95669023232171</v>
      </c>
    </row>
    <row r="358" spans="1:14">
      <c r="B358" s="331" t="str">
        <f t="shared" si="168"/>
        <v>30-34</v>
      </c>
      <c r="C358" s="447">
        <f t="shared" ref="C358:N358" si="172">C321+C265</f>
        <v>382.05559334637525</v>
      </c>
      <c r="D358" s="447">
        <f t="shared" si="172"/>
        <v>350.45449376530615</v>
      </c>
      <c r="E358" s="447">
        <f t="shared" si="172"/>
        <v>328.12678340244122</v>
      </c>
      <c r="F358" s="447">
        <f t="shared" si="172"/>
        <v>315.37483943180598</v>
      </c>
      <c r="G358" s="447">
        <f t="shared" si="172"/>
        <v>310.08803282575894</v>
      </c>
      <c r="H358" s="447">
        <f t="shared" si="172"/>
        <v>311.31992603203241</v>
      </c>
      <c r="I358" s="447">
        <f t="shared" si="172"/>
        <v>316.50051660497309</v>
      </c>
      <c r="J358" s="447">
        <f t="shared" si="172"/>
        <v>325.69255278316501</v>
      </c>
      <c r="K358" s="447">
        <f t="shared" si="172"/>
        <v>336.42284444347825</v>
      </c>
      <c r="L358" s="447">
        <f t="shared" si="172"/>
        <v>347.46002734412474</v>
      </c>
      <c r="M358" s="447">
        <f t="shared" si="172"/>
        <v>356.14102203791117</v>
      </c>
      <c r="N358" s="447">
        <f t="shared" si="172"/>
        <v>361.62698807245175</v>
      </c>
    </row>
    <row r="359" spans="1:14">
      <c r="B359" s="331" t="str">
        <f t="shared" si="168"/>
        <v>35-39</v>
      </c>
      <c r="C359" s="447">
        <f t="shared" ref="C359:N359" si="173">C322+C266</f>
        <v>424.01770711522869</v>
      </c>
      <c r="D359" s="447">
        <f t="shared" si="173"/>
        <v>400.79959380138393</v>
      </c>
      <c r="E359" s="447">
        <f t="shared" si="173"/>
        <v>379.03239745265921</v>
      </c>
      <c r="F359" s="447">
        <f t="shared" si="173"/>
        <v>360.78675556488639</v>
      </c>
      <c r="G359" s="447">
        <f t="shared" si="173"/>
        <v>346.22180091305637</v>
      </c>
      <c r="H359" s="447">
        <f t="shared" si="173"/>
        <v>336.06170425004052</v>
      </c>
      <c r="I359" s="447">
        <f t="shared" si="173"/>
        <v>329.3471426065833</v>
      </c>
      <c r="J359" s="447">
        <f t="shared" si="173"/>
        <v>326.85302405350109</v>
      </c>
      <c r="K359" s="447">
        <f t="shared" si="173"/>
        <v>326.97842201984628</v>
      </c>
      <c r="L359" s="447">
        <f t="shared" si="173"/>
        <v>329.02350501555372</v>
      </c>
      <c r="M359" s="447">
        <f t="shared" si="173"/>
        <v>331.03137359683649</v>
      </c>
      <c r="N359" s="447">
        <f t="shared" si="173"/>
        <v>332.41883811019881</v>
      </c>
    </row>
    <row r="360" spans="1:14">
      <c r="B360" s="331" t="str">
        <f t="shared" si="168"/>
        <v>40-44</v>
      </c>
      <c r="C360" s="447">
        <f t="shared" ref="C360:N360" si="174">C323+C267</f>
        <v>382.41921456245484</v>
      </c>
      <c r="D360" s="447">
        <f t="shared" si="174"/>
        <v>374.92223319007286</v>
      </c>
      <c r="E360" s="447">
        <f t="shared" si="174"/>
        <v>366.06740531980842</v>
      </c>
      <c r="F360" s="447">
        <f t="shared" si="174"/>
        <v>357.11657682896407</v>
      </c>
      <c r="G360" s="447">
        <f t="shared" si="174"/>
        <v>348.21776876354437</v>
      </c>
      <c r="H360" s="447">
        <f t="shared" si="174"/>
        <v>340.31481879113755</v>
      </c>
      <c r="I360" s="447">
        <f t="shared" si="174"/>
        <v>333.10123064838467</v>
      </c>
      <c r="J360" s="447">
        <f t="shared" si="174"/>
        <v>327.85329467610279</v>
      </c>
      <c r="K360" s="447">
        <f t="shared" si="174"/>
        <v>323.77520228432462</v>
      </c>
      <c r="L360" s="447">
        <f t="shared" si="174"/>
        <v>320.78904068004306</v>
      </c>
      <c r="M360" s="447">
        <f t="shared" si="174"/>
        <v>317.66403036947224</v>
      </c>
      <c r="N360" s="447">
        <f t="shared" si="174"/>
        <v>314.29264383317354</v>
      </c>
    </row>
    <row r="361" spans="1:14">
      <c r="B361" s="331" t="str">
        <f t="shared" si="168"/>
        <v>45-49</v>
      </c>
      <c r="C361" s="447">
        <f t="shared" ref="C361:N361" si="175">C324+C268</f>
        <v>308.53489623594123</v>
      </c>
      <c r="D361" s="447">
        <f t="shared" si="175"/>
        <v>306.60917605663951</v>
      </c>
      <c r="E361" s="447">
        <f t="shared" si="175"/>
        <v>304.52777683964848</v>
      </c>
      <c r="F361" s="447">
        <f t="shared" si="175"/>
        <v>302.60100016681622</v>
      </c>
      <c r="G361" s="447">
        <f t="shared" si="175"/>
        <v>300.40057092006282</v>
      </c>
      <c r="H361" s="447">
        <f t="shared" si="175"/>
        <v>298.23852460974882</v>
      </c>
      <c r="I361" s="447">
        <f t="shared" si="175"/>
        <v>295.59992910838628</v>
      </c>
      <c r="J361" s="447">
        <f t="shared" si="175"/>
        <v>293.40751542863433</v>
      </c>
      <c r="K361" s="447">
        <f t="shared" si="175"/>
        <v>291.05120301000198</v>
      </c>
      <c r="L361" s="447">
        <f t="shared" si="175"/>
        <v>288.58874701117543</v>
      </c>
      <c r="M361" s="447">
        <f t="shared" si="175"/>
        <v>285.20545537941302</v>
      </c>
      <c r="N361" s="447">
        <f t="shared" si="175"/>
        <v>281.01782782122211</v>
      </c>
    </row>
    <row r="362" spans="1:14">
      <c r="B362" s="331" t="str">
        <f t="shared" si="168"/>
        <v>50-54</v>
      </c>
      <c r="C362" s="447">
        <f t="shared" ref="C362:N362" si="176">C325+C269</f>
        <v>236.47304191358685</v>
      </c>
      <c r="D362" s="447">
        <f t="shared" si="176"/>
        <v>231.53740233742042</v>
      </c>
      <c r="E362" s="447">
        <f t="shared" si="176"/>
        <v>228.19563572461226</v>
      </c>
      <c r="F362" s="447">
        <f t="shared" si="176"/>
        <v>226.34087277307975</v>
      </c>
      <c r="G362" s="447">
        <f t="shared" si="176"/>
        <v>225.29844965589723</v>
      </c>
      <c r="H362" s="447">
        <f t="shared" si="176"/>
        <v>224.95035977452841</v>
      </c>
      <c r="I362" s="447">
        <f t="shared" si="176"/>
        <v>224.59210615912997</v>
      </c>
      <c r="J362" s="447">
        <f t="shared" si="176"/>
        <v>224.63667388503421</v>
      </c>
      <c r="K362" s="447">
        <f t="shared" si="176"/>
        <v>224.4191422845559</v>
      </c>
      <c r="L362" s="447">
        <f t="shared" si="176"/>
        <v>223.8396439834404</v>
      </c>
      <c r="M362" s="447">
        <f t="shared" si="176"/>
        <v>222.21353398116739</v>
      </c>
      <c r="N362" s="447">
        <f t="shared" si="176"/>
        <v>219.60287983189539</v>
      </c>
    </row>
    <row r="363" spans="1:14">
      <c r="B363" s="331" t="str">
        <f t="shared" si="168"/>
        <v>55-59</v>
      </c>
      <c r="C363" s="447">
        <f t="shared" ref="C363:N363" si="177">C326+C270</f>
        <v>115.96311852874868</v>
      </c>
      <c r="D363" s="447">
        <f t="shared" si="177"/>
        <v>112.32740562694107</v>
      </c>
      <c r="E363" s="447">
        <f t="shared" si="177"/>
        <v>109.79106395255671</v>
      </c>
      <c r="F363" s="447">
        <f t="shared" si="177"/>
        <v>108.3921918985905</v>
      </c>
      <c r="G363" s="447">
        <f t="shared" si="177"/>
        <v>107.65820274521549</v>
      </c>
      <c r="H363" s="447">
        <f t="shared" si="177"/>
        <v>107.55937732763418</v>
      </c>
      <c r="I363" s="447">
        <f t="shared" si="177"/>
        <v>107.62157875644247</v>
      </c>
      <c r="J363" s="447">
        <f t="shared" si="177"/>
        <v>108.10008984098265</v>
      </c>
      <c r="K363" s="447">
        <f t="shared" si="177"/>
        <v>108.48641290582503</v>
      </c>
      <c r="L363" s="447">
        <f t="shared" si="177"/>
        <v>108.68140258724009</v>
      </c>
      <c r="M363" s="447">
        <f t="shared" si="177"/>
        <v>108.20527786632974</v>
      </c>
      <c r="N363" s="447">
        <f t="shared" si="177"/>
        <v>107.11071491849765</v>
      </c>
    </row>
    <row r="364" spans="1:14">
      <c r="B364" s="331" t="str">
        <f t="shared" si="168"/>
        <v>60-64</v>
      </c>
      <c r="C364" s="447">
        <f t="shared" ref="C364:N364" si="178">C327+C271</f>
        <v>32.136263693567294</v>
      </c>
      <c r="D364" s="447">
        <f t="shared" si="178"/>
        <v>34.35353516257387</v>
      </c>
      <c r="E364" s="447">
        <f t="shared" si="178"/>
        <v>35.265088123614319</v>
      </c>
      <c r="F364" s="447">
        <f t="shared" si="178"/>
        <v>35.756518080313775</v>
      </c>
      <c r="G364" s="447">
        <f t="shared" si="178"/>
        <v>36.030099882672012</v>
      </c>
      <c r="H364" s="447">
        <f t="shared" si="178"/>
        <v>36.333033672704204</v>
      </c>
      <c r="I364" s="447">
        <f t="shared" si="178"/>
        <v>36.564288650240584</v>
      </c>
      <c r="J364" s="447">
        <f t="shared" si="178"/>
        <v>36.942829418125378</v>
      </c>
      <c r="K364" s="447">
        <f t="shared" si="178"/>
        <v>37.242992244711949</v>
      </c>
      <c r="L364" s="447">
        <f t="shared" si="178"/>
        <v>37.44250800149586</v>
      </c>
      <c r="M364" s="447">
        <f t="shared" si="178"/>
        <v>37.311017613463804</v>
      </c>
      <c r="N364" s="447">
        <f t="shared" si="178"/>
        <v>36.897595612284846</v>
      </c>
    </row>
    <row r="365" spans="1:14">
      <c r="B365" s="331" t="str">
        <f t="shared" si="168"/>
        <v>65 plus</v>
      </c>
      <c r="C365" s="447">
        <f t="shared" ref="C365:N365" si="179">C328+C272</f>
        <v>10.097587840306202</v>
      </c>
      <c r="D365" s="447">
        <f t="shared" si="179"/>
        <v>11.459199082037543</v>
      </c>
      <c r="E365" s="447">
        <f t="shared" si="179"/>
        <v>12.672064689513528</v>
      </c>
      <c r="F365" s="447">
        <f t="shared" si="179"/>
        <v>13.65523253602956</v>
      </c>
      <c r="G365" s="447">
        <f t="shared" si="179"/>
        <v>14.402987801419279</v>
      </c>
      <c r="H365" s="447">
        <f t="shared" si="179"/>
        <v>14.99025066627528</v>
      </c>
      <c r="I365" s="447">
        <f t="shared" si="179"/>
        <v>15.428747078869209</v>
      </c>
      <c r="J365" s="447">
        <f t="shared" si="179"/>
        <v>15.812785502325697</v>
      </c>
      <c r="K365" s="447">
        <f t="shared" si="179"/>
        <v>16.118681190199375</v>
      </c>
      <c r="L365" s="447">
        <f t="shared" si="179"/>
        <v>16.350256654967005</v>
      </c>
      <c r="M365" s="447">
        <f t="shared" si="179"/>
        <v>16.444986696728726</v>
      </c>
      <c r="N365" s="447">
        <f t="shared" si="179"/>
        <v>16.402516713599461</v>
      </c>
    </row>
    <row r="366" spans="1:14">
      <c r="B366" s="331" t="str">
        <f t="shared" si="168"/>
        <v>Total</v>
      </c>
      <c r="C366" s="447">
        <f t="shared" ref="C366:N366" si="180">SUM(C356:C365)</f>
        <v>2216.0694346762557</v>
      </c>
      <c r="D366" s="447">
        <f t="shared" si="180"/>
        <v>2166.8121945815037</v>
      </c>
      <c r="E366" s="447">
        <f t="shared" si="180"/>
        <v>2134.9666554724618</v>
      </c>
      <c r="F366" s="447">
        <f t="shared" si="180"/>
        <v>2125.9538572221713</v>
      </c>
      <c r="G366" s="447">
        <f t="shared" si="180"/>
        <v>2129.0411559199324</v>
      </c>
      <c r="H366" s="447">
        <f t="shared" si="180"/>
        <v>2146.6462323825413</v>
      </c>
      <c r="I366" s="447">
        <f t="shared" si="180"/>
        <v>2167.2682807841456</v>
      </c>
      <c r="J366" s="447">
        <f t="shared" si="180"/>
        <v>2200.7547086068257</v>
      </c>
      <c r="K366" s="447">
        <f t="shared" si="180"/>
        <v>2233.3286828949122</v>
      </c>
      <c r="L366" s="447">
        <f t="shared" si="180"/>
        <v>2262.3090657089674</v>
      </c>
      <c r="M366" s="447">
        <f t="shared" si="180"/>
        <v>2272.7274869783182</v>
      </c>
      <c r="N366" s="447">
        <f t="shared" si="180"/>
        <v>2265.0762963318257</v>
      </c>
    </row>
    <row r="367" spans="1:14">
      <c r="A367" s="302">
        <f>SUM(C367:N367)</f>
        <v>0</v>
      </c>
      <c r="C367" s="302">
        <f t="shared" ref="C367:N367" si="181">SUM(C356:C365)-C366</f>
        <v>0</v>
      </c>
      <c r="D367" s="302">
        <f t="shared" si="181"/>
        <v>0</v>
      </c>
      <c r="E367" s="302">
        <f t="shared" si="181"/>
        <v>0</v>
      </c>
      <c r="F367" s="302">
        <f t="shared" si="181"/>
        <v>0</v>
      </c>
      <c r="G367" s="302">
        <f t="shared" si="181"/>
        <v>0</v>
      </c>
      <c r="H367" s="302">
        <f t="shared" si="181"/>
        <v>0</v>
      </c>
      <c r="I367" s="302">
        <f t="shared" si="181"/>
        <v>0</v>
      </c>
      <c r="J367" s="302">
        <f t="shared" si="181"/>
        <v>0</v>
      </c>
      <c r="K367" s="302">
        <f t="shared" si="181"/>
        <v>0</v>
      </c>
      <c r="L367" s="302">
        <f t="shared" si="181"/>
        <v>0</v>
      </c>
      <c r="M367" s="302">
        <f t="shared" si="181"/>
        <v>0</v>
      </c>
      <c r="N367" s="302">
        <f t="shared" si="181"/>
        <v>0</v>
      </c>
    </row>
    <row r="368" spans="1:14">
      <c r="C368" s="322">
        <f>C350+C366</f>
        <v>3881.3803858866459</v>
      </c>
      <c r="D368" s="322">
        <f t="shared" ref="D368:N368" si="182">D350+D366</f>
        <v>3797.8888289148053</v>
      </c>
      <c r="E368" s="322">
        <f t="shared" si="182"/>
        <v>3742.9101835736583</v>
      </c>
      <c r="F368" s="322">
        <f t="shared" si="182"/>
        <v>3732.6662022919718</v>
      </c>
      <c r="G368" s="322">
        <f t="shared" si="182"/>
        <v>3743.6928729263063</v>
      </c>
      <c r="H368" s="322">
        <f t="shared" si="182"/>
        <v>3780.2009231604225</v>
      </c>
      <c r="I368" s="322">
        <f t="shared" si="182"/>
        <v>3822.013379152203</v>
      </c>
      <c r="J368" s="322">
        <f t="shared" si="182"/>
        <v>3886.3469314109384</v>
      </c>
      <c r="K368" s="322">
        <f t="shared" si="182"/>
        <v>3949.0410620806938</v>
      </c>
      <c r="L368" s="322">
        <f t="shared" si="182"/>
        <v>4005.3491520331763</v>
      </c>
      <c r="M368" s="322">
        <f t="shared" si="182"/>
        <v>4028.9808129980165</v>
      </c>
      <c r="N368" s="322">
        <f t="shared" si="182"/>
        <v>4020.706020224975</v>
      </c>
    </row>
    <row r="369" spans="1:14">
      <c r="C369" s="322">
        <f>C36</f>
        <v>3881.3803858866468</v>
      </c>
      <c r="D369" s="322">
        <f t="shared" ref="D369:N369" si="183">D36</f>
        <v>3797.8888289148053</v>
      </c>
      <c r="E369" s="322">
        <f t="shared" si="183"/>
        <v>3742.9101835736583</v>
      </c>
      <c r="F369" s="322">
        <f t="shared" si="183"/>
        <v>3732.6662022919718</v>
      </c>
      <c r="G369" s="322">
        <f t="shared" si="183"/>
        <v>3743.6928729263068</v>
      </c>
      <c r="H369" s="322">
        <f t="shared" si="183"/>
        <v>3780.2009231604229</v>
      </c>
      <c r="I369" s="322">
        <f t="shared" si="183"/>
        <v>3822.013379152203</v>
      </c>
      <c r="J369" s="322">
        <f t="shared" si="183"/>
        <v>3886.3469314109389</v>
      </c>
      <c r="K369" s="322">
        <f t="shared" si="183"/>
        <v>3949.0410620806938</v>
      </c>
      <c r="L369" s="322">
        <f t="shared" si="183"/>
        <v>4005.3491520331768</v>
      </c>
      <c r="M369" s="322">
        <f t="shared" si="183"/>
        <v>4028.9808129980165</v>
      </c>
      <c r="N369" s="322">
        <f t="shared" si="183"/>
        <v>4020.706020224975</v>
      </c>
    </row>
    <row r="370" spans="1:14">
      <c r="A370" s="302">
        <f>SUM(C370:L370)</f>
        <v>0</v>
      </c>
      <c r="C370" s="322">
        <f>C368-C369</f>
        <v>0</v>
      </c>
      <c r="D370" s="322">
        <f t="shared" ref="D370:N370" si="184">D368-D369</f>
        <v>0</v>
      </c>
      <c r="E370" s="322">
        <f t="shared" si="184"/>
        <v>0</v>
      </c>
      <c r="F370" s="322">
        <f t="shared" si="184"/>
        <v>0</v>
      </c>
      <c r="G370" s="322">
        <f t="shared" si="184"/>
        <v>0</v>
      </c>
      <c r="H370" s="322">
        <f t="shared" si="184"/>
        <v>0</v>
      </c>
      <c r="I370" s="322">
        <f t="shared" si="184"/>
        <v>0</v>
      </c>
      <c r="J370" s="322">
        <f t="shared" si="184"/>
        <v>0</v>
      </c>
      <c r="K370" s="322">
        <f t="shared" si="184"/>
        <v>0</v>
      </c>
      <c r="L370" s="322">
        <f t="shared" si="184"/>
        <v>0</v>
      </c>
      <c r="M370" s="322">
        <f t="shared" si="184"/>
        <v>0</v>
      </c>
      <c r="N370" s="322">
        <f t="shared" si="184"/>
        <v>0</v>
      </c>
    </row>
    <row r="371" spans="1:14">
      <c r="A371" s="302">
        <f>SUM(C371:L371)</f>
        <v>0</v>
      </c>
      <c r="C371" s="322">
        <f>IF(C294&gt;0,0,C294)</f>
        <v>0</v>
      </c>
      <c r="D371" s="322">
        <f t="shared" ref="D371:N371" si="185">IF(D294&gt;0,0,D294)</f>
        <v>0</v>
      </c>
      <c r="E371" s="322">
        <f t="shared" si="185"/>
        <v>0</v>
      </c>
      <c r="F371" s="322">
        <f t="shared" si="185"/>
        <v>0</v>
      </c>
      <c r="G371" s="322">
        <f t="shared" si="185"/>
        <v>0</v>
      </c>
      <c r="H371" s="322">
        <f t="shared" si="185"/>
        <v>0</v>
      </c>
      <c r="I371" s="322">
        <f t="shared" si="185"/>
        <v>0</v>
      </c>
      <c r="J371" s="322">
        <f t="shared" si="185"/>
        <v>0</v>
      </c>
      <c r="K371" s="322">
        <f t="shared" si="185"/>
        <v>0</v>
      </c>
      <c r="L371" s="322">
        <f t="shared" si="185"/>
        <v>0</v>
      </c>
      <c r="M371" s="322">
        <f t="shared" si="185"/>
        <v>0</v>
      </c>
      <c r="N371" s="322">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R371"/>
  <sheetViews>
    <sheetView showGridLines="0" workbookViewId="0"/>
  </sheetViews>
  <sheetFormatPr defaultColWidth="9.140625" defaultRowHeight="12.75"/>
  <cols>
    <col min="1" max="1" width="9.140625" style="302"/>
    <col min="2" max="2" width="28.7109375" style="302" customWidth="1"/>
    <col min="3" max="15" width="10.7109375" style="302" customWidth="1"/>
    <col min="16"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270</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Forecast_stock_figures!B19</f>
        <v>Chemistry</v>
      </c>
      <c r="C15" s="300">
        <f>Forecast_stock_figures!C43</f>
        <v>10610.907797574389</v>
      </c>
      <c r="D15" s="300">
        <f>Forecast_stock_figures!D43</f>
        <v>10896.284169016637</v>
      </c>
      <c r="E15" s="300">
        <f>Forecast_stock_figures!E43</f>
        <v>11002.935829109545</v>
      </c>
      <c r="F15" s="300">
        <f>Forecast_stock_figures!F43</f>
        <v>11103.173296540359</v>
      </c>
      <c r="G15" s="300">
        <f>Forecast_stock_figures!G43</f>
        <v>11193.803782266205</v>
      </c>
      <c r="H15" s="300">
        <f>Forecast_stock_figures!H43</f>
        <v>11305.034003721705</v>
      </c>
      <c r="I15" s="300">
        <f>Forecast_stock_figures!I43</f>
        <v>11439.711683313926</v>
      </c>
      <c r="J15" s="300">
        <f>Forecast_stock_figures!J43</f>
        <v>11572.64604515582</v>
      </c>
      <c r="K15" s="300">
        <f>Forecast_stock_figures!K43</f>
        <v>11664.160076164777</v>
      </c>
      <c r="L15" s="300">
        <f>Forecast_stock_figures!L43</f>
        <v>11734.231883996306</v>
      </c>
      <c r="M15" s="300">
        <f>Forecast_stock_figures!M43</f>
        <v>11774.418855501839</v>
      </c>
      <c r="N15" s="300">
        <f>Forecast_stock_figures!N43</f>
        <v>11759.590645675262</v>
      </c>
    </row>
    <row r="17" spans="1:9" ht="15.75">
      <c r="B17" s="333" t="s">
        <v>162</v>
      </c>
    </row>
    <row r="19" spans="1:9">
      <c r="B19" s="1327" t="str">
        <f>Stock_ages_breakdowns!B73</f>
        <v>Age group</v>
      </c>
      <c r="C19" s="1328" t="str">
        <f>Stock_ages_breakdowns!I73</f>
        <v>Chemistry</v>
      </c>
      <c r="D19" s="1329"/>
      <c r="H19" s="318" t="s">
        <v>133</v>
      </c>
    </row>
    <row r="20" spans="1:9">
      <c r="B20" s="1327"/>
      <c r="C20" s="356" t="str">
        <f>Stock_ages_breakdowns!I74</f>
        <v>Male</v>
      </c>
      <c r="D20" s="356" t="str">
        <f>Stock_ages_breakdowns!J74</f>
        <v>Female</v>
      </c>
    </row>
    <row r="21" spans="1:9">
      <c r="B21" s="356" t="str">
        <f>Stock_ages_breakdowns!B75</f>
        <v>20-24</v>
      </c>
      <c r="C21" s="324">
        <f>Stock_ages_breakdowns!I20</f>
        <v>168.38817055919839</v>
      </c>
      <c r="D21" s="324">
        <f>Stock_ages_breakdowns!J20</f>
        <v>351.25525971594135</v>
      </c>
    </row>
    <row r="22" spans="1:9">
      <c r="B22" s="356" t="str">
        <f>Stock_ages_breakdowns!B76</f>
        <v>25-29</v>
      </c>
      <c r="C22" s="324">
        <f>Stock_ages_breakdowns!I21</f>
        <v>705.84001963376693</v>
      </c>
      <c r="D22" s="324">
        <f>Stock_ages_breakdowns!J21</f>
        <v>1204.2423604741414</v>
      </c>
    </row>
    <row r="23" spans="1:9">
      <c r="B23" s="356" t="str">
        <f>Stock_ages_breakdowns!B77</f>
        <v>30-34</v>
      </c>
      <c r="C23" s="324">
        <f>Stock_ages_breakdowns!I22</f>
        <v>610.50853581483204</v>
      </c>
      <c r="D23" s="324">
        <f>Stock_ages_breakdowns!J22</f>
        <v>1051.1524620519406</v>
      </c>
    </row>
    <row r="24" spans="1:9">
      <c r="B24" s="356" t="str">
        <f>Stock_ages_breakdowns!B78</f>
        <v>35-39</v>
      </c>
      <c r="C24" s="324">
        <f>Stock_ages_breakdowns!I23</f>
        <v>661.19326497113445</v>
      </c>
      <c r="D24" s="324">
        <f>Stock_ages_breakdowns!J23</f>
        <v>987.13771223177628</v>
      </c>
    </row>
    <row r="25" spans="1:9">
      <c r="B25" s="356" t="str">
        <f>Stock_ages_breakdowns!B79</f>
        <v>40-44</v>
      </c>
      <c r="C25" s="324">
        <f>Stock_ages_breakdowns!I24</f>
        <v>672.61313013409574</v>
      </c>
      <c r="D25" s="324">
        <f>Stock_ages_breakdowns!J24</f>
        <v>923.82812731598233</v>
      </c>
    </row>
    <row r="26" spans="1:9">
      <c r="B26" s="356" t="str">
        <f>Stock_ages_breakdowns!B80</f>
        <v>45-49</v>
      </c>
      <c r="C26" s="324">
        <f>Stock_ages_breakdowns!I25</f>
        <v>580.45789334890787</v>
      </c>
      <c r="D26" s="324">
        <f>Stock_ages_breakdowns!J25</f>
        <v>769.88582074943611</v>
      </c>
    </row>
    <row r="27" spans="1:9">
      <c r="B27" s="356" t="str">
        <f>Stock_ages_breakdowns!B81</f>
        <v>50-54</v>
      </c>
      <c r="C27" s="324">
        <f>Stock_ages_breakdowns!I26</f>
        <v>483.40055849271459</v>
      </c>
      <c r="D27" s="324">
        <f>Stock_ages_breakdowns!J26</f>
        <v>577.80951833874485</v>
      </c>
    </row>
    <row r="28" spans="1:9">
      <c r="B28" s="356" t="str">
        <f>Stock_ages_breakdowns!B82</f>
        <v>55-59</v>
      </c>
      <c r="C28" s="324">
        <f>Stock_ages_breakdowns!I27</f>
        <v>324.92275947306007</v>
      </c>
      <c r="D28" s="324">
        <f>Stock_ages_breakdowns!J27</f>
        <v>332.56838975013079</v>
      </c>
    </row>
    <row r="29" spans="1:9">
      <c r="B29" s="356" t="str">
        <f>Stock_ages_breakdowns!B83</f>
        <v>60-64</v>
      </c>
      <c r="C29" s="324">
        <f>Stock_ages_breakdowns!I28</f>
        <v>99.345114176621578</v>
      </c>
      <c r="D29" s="324">
        <f>Stock_ages_breakdowns!J28</f>
        <v>68.810672493636616</v>
      </c>
      <c r="F29" s="318"/>
    </row>
    <row r="30" spans="1:9">
      <c r="B30" s="356" t="str">
        <f>Stock_ages_breakdowns!B84</f>
        <v>65 plus</v>
      </c>
      <c r="C30" s="324">
        <f>Stock_ages_breakdowns!I29</f>
        <v>25.368908427534457</v>
      </c>
      <c r="D30" s="324">
        <f>Stock_ages_breakdowns!J29</f>
        <v>12.179119420791704</v>
      </c>
      <c r="G30" s="319" t="s">
        <v>46</v>
      </c>
      <c r="H30" s="319" t="s">
        <v>47</v>
      </c>
    </row>
    <row r="31" spans="1:9">
      <c r="A31" s="302">
        <f>I31</f>
        <v>0</v>
      </c>
      <c r="B31" s="356" t="str">
        <f>Stock_ages_breakdowns!B85</f>
        <v>Total</v>
      </c>
      <c r="C31" s="324">
        <f>Stock_ages_breakdowns!I30</f>
        <v>4332.0383550318666</v>
      </c>
      <c r="D31" s="324">
        <f>Stock_ages_breakdowns!J30</f>
        <v>6278.8694425425228</v>
      </c>
      <c r="E31" s="320">
        <f>SUM(C31:D31)</f>
        <v>10610.907797574389</v>
      </c>
      <c r="G31" s="359">
        <f>C31/$E$31</f>
        <v>0.40826274600389545</v>
      </c>
      <c r="H31" s="359">
        <f>D31/$E$31</f>
        <v>0.59173725399610455</v>
      </c>
      <c r="I31" s="302">
        <f>(G31+H31)-1</f>
        <v>0</v>
      </c>
    </row>
    <row r="33" spans="2:16" ht="15.75">
      <c r="B33" s="333" t="s">
        <v>263</v>
      </c>
      <c r="H33" s="318"/>
    </row>
    <row r="34" spans="2:16">
      <c r="H34" s="318"/>
    </row>
    <row r="35" spans="2:16">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6">
      <c r="B36" s="319" t="str">
        <f>B15</f>
        <v>Chemistry</v>
      </c>
      <c r="C36" s="300">
        <f>Teacher_need_by_subject!C626</f>
        <v>10896.284169016637</v>
      </c>
      <c r="D36" s="300">
        <f>Teacher_need_by_subject!D626</f>
        <v>11002.935829109545</v>
      </c>
      <c r="E36" s="300">
        <f>Teacher_need_by_subject!E626</f>
        <v>11103.173296540359</v>
      </c>
      <c r="F36" s="300">
        <f>Teacher_need_by_subject!F626</f>
        <v>11193.803782266205</v>
      </c>
      <c r="G36" s="300">
        <f>Teacher_need_by_subject!G626</f>
        <v>11305.034003721705</v>
      </c>
      <c r="H36" s="300">
        <f>Teacher_need_by_subject!H626</f>
        <v>11439.711683313926</v>
      </c>
      <c r="I36" s="300">
        <f>Teacher_need_by_subject!I626</f>
        <v>11572.64604515582</v>
      </c>
      <c r="J36" s="300">
        <f>Teacher_need_by_subject!J626</f>
        <v>11664.160076164777</v>
      </c>
      <c r="K36" s="300">
        <f>Teacher_need_by_subject!K626</f>
        <v>11734.231883996306</v>
      </c>
      <c r="L36" s="300">
        <f>Teacher_need_by_subject!L626</f>
        <v>11774.418855501839</v>
      </c>
      <c r="M36" s="300">
        <f>Teacher_need_by_subject!M626</f>
        <v>11759.590645675262</v>
      </c>
      <c r="N36" s="300">
        <f>Teacher_need_by_subject!N626</f>
        <v>11698.057744069438</v>
      </c>
    </row>
    <row r="37" spans="2:16">
      <c r="H37" s="318"/>
    </row>
    <row r="38" spans="2:16" ht="15.75">
      <c r="B38" s="333" t="s">
        <v>170</v>
      </c>
      <c r="H38" s="318"/>
    </row>
    <row r="39" spans="2:16">
      <c r="H39" s="318"/>
    </row>
    <row r="40" spans="2:16">
      <c r="B40" s="334" t="s">
        <v>46</v>
      </c>
      <c r="H40" s="318"/>
    </row>
    <row r="41" spans="2:16">
      <c r="H41" s="318"/>
    </row>
    <row r="42" spans="2:16">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6">
      <c r="B43" s="356" t="str">
        <f>B21</f>
        <v>20-24</v>
      </c>
      <c r="C43" s="300">
        <f>C21</f>
        <v>168.38817055919839</v>
      </c>
      <c r="D43" s="300">
        <f>C340</f>
        <v>276.73316842726837</v>
      </c>
      <c r="E43" s="300">
        <f t="shared" ref="E43:L43" si="2">D340</f>
        <v>332.82703148285174</v>
      </c>
      <c r="F43" s="300">
        <f t="shared" si="2"/>
        <v>371.34922730411336</v>
      </c>
      <c r="G43" s="300">
        <f t="shared" si="2"/>
        <v>397.58789072288153</v>
      </c>
      <c r="H43" s="300">
        <f t="shared" si="2"/>
        <v>417.89870942059849</v>
      </c>
      <c r="I43" s="300">
        <f t="shared" si="2"/>
        <v>434.90928823976981</v>
      </c>
      <c r="J43" s="300">
        <f t="shared" si="2"/>
        <v>447.44639456429888</v>
      </c>
      <c r="K43" s="300">
        <f t="shared" si="2"/>
        <v>452.87364460646859</v>
      </c>
      <c r="L43" s="300">
        <f t="shared" si="2"/>
        <v>455.17616297860707</v>
      </c>
      <c r="M43" s="300">
        <f>L340</f>
        <v>454.27759227019249</v>
      </c>
      <c r="N43" s="300">
        <f>M340</f>
        <v>448.26744461823534</v>
      </c>
      <c r="O43" s="320"/>
      <c r="P43" s="320"/>
    </row>
    <row r="44" spans="2:16">
      <c r="B44" s="356" t="str">
        <f t="shared" ref="B44:C53" si="3">B22</f>
        <v>25-29</v>
      </c>
      <c r="C44" s="300">
        <f t="shared" si="3"/>
        <v>705.84001963376693</v>
      </c>
      <c r="D44" s="300">
        <f t="shared" ref="D44:L53" si="4">C341</f>
        <v>689.37749442004292</v>
      </c>
      <c r="E44" s="300">
        <f t="shared" si="4"/>
        <v>683.23432402153151</v>
      </c>
      <c r="F44" s="300">
        <f t="shared" si="4"/>
        <v>689.26384263764464</v>
      </c>
      <c r="G44" s="300">
        <f t="shared" si="4"/>
        <v>701.76371602635254</v>
      </c>
      <c r="H44" s="300">
        <f t="shared" si="4"/>
        <v>718.210545686351</v>
      </c>
      <c r="I44" s="300">
        <f t="shared" si="4"/>
        <v>736.96907656187659</v>
      </c>
      <c r="J44" s="300">
        <f t="shared" si="4"/>
        <v>754.40325954660227</v>
      </c>
      <c r="K44" s="300">
        <f t="shared" si="4"/>
        <v>765.8720481146878</v>
      </c>
      <c r="L44" s="300">
        <f t="shared" si="4"/>
        <v>773.51818478505311</v>
      </c>
      <c r="M44" s="300">
        <f>L341</f>
        <v>776.78275181731976</v>
      </c>
      <c r="N44" s="300">
        <f>M341</f>
        <v>773.36437030114962</v>
      </c>
      <c r="O44" s="320"/>
      <c r="P44" s="320"/>
    </row>
    <row r="45" spans="2:16">
      <c r="B45" s="356" t="str">
        <f t="shared" si="3"/>
        <v>30-34</v>
      </c>
      <c r="C45" s="300">
        <f t="shared" si="3"/>
        <v>610.50853581483204</v>
      </c>
      <c r="D45" s="300">
        <f t="shared" si="4"/>
        <v>654.9233591630599</v>
      </c>
      <c r="E45" s="300">
        <f t="shared" si="4"/>
        <v>678.21055769783607</v>
      </c>
      <c r="F45" s="300">
        <f t="shared" si="4"/>
        <v>693.45329239190403</v>
      </c>
      <c r="G45" s="300">
        <f t="shared" si="4"/>
        <v>706.848741720318</v>
      </c>
      <c r="H45" s="300">
        <f t="shared" si="4"/>
        <v>720.4249422637331</v>
      </c>
      <c r="I45" s="300">
        <f t="shared" si="4"/>
        <v>735.14497160689552</v>
      </c>
      <c r="J45" s="300">
        <f t="shared" si="4"/>
        <v>749.94359598469441</v>
      </c>
      <c r="K45" s="300">
        <f t="shared" si="4"/>
        <v>762.44046515762295</v>
      </c>
      <c r="L45" s="300">
        <f t="shared" ref="L45:L53" si="5">K342</f>
        <v>772.96086377604956</v>
      </c>
      <c r="M45" s="300">
        <f t="shared" ref="M45:M53" si="6">L342</f>
        <v>780.76737851837277</v>
      </c>
      <c r="N45" s="300">
        <f t="shared" ref="N45:N53" si="7">M342</f>
        <v>784.27990520449316</v>
      </c>
      <c r="O45" s="320"/>
      <c r="P45" s="320"/>
    </row>
    <row r="46" spans="2:16">
      <c r="B46" s="356" t="str">
        <f t="shared" si="3"/>
        <v>35-39</v>
      </c>
      <c r="C46" s="300">
        <f t="shared" si="3"/>
        <v>661.19326497113445</v>
      </c>
      <c r="D46" s="300">
        <f t="shared" si="4"/>
        <v>654.59625689080178</v>
      </c>
      <c r="E46" s="300">
        <f t="shared" si="4"/>
        <v>653.93108456144762</v>
      </c>
      <c r="F46" s="300">
        <f t="shared" si="4"/>
        <v>656.81808731840442</v>
      </c>
      <c r="G46" s="300">
        <f t="shared" si="4"/>
        <v>662.84431472609981</v>
      </c>
      <c r="H46" s="300">
        <f t="shared" si="4"/>
        <v>670.84948942361052</v>
      </c>
      <c r="I46" s="300">
        <f t="shared" si="4"/>
        <v>680.54937749717567</v>
      </c>
      <c r="J46" s="300">
        <f t="shared" si="4"/>
        <v>690.81840885446945</v>
      </c>
      <c r="K46" s="300">
        <f t="shared" si="4"/>
        <v>699.9372849245683</v>
      </c>
      <c r="L46" s="300">
        <f t="shared" si="5"/>
        <v>708.37922410547253</v>
      </c>
      <c r="M46" s="300">
        <f t="shared" si="6"/>
        <v>715.53248347187218</v>
      </c>
      <c r="N46" s="300">
        <f t="shared" si="7"/>
        <v>720.11432956404531</v>
      </c>
      <c r="O46" s="320"/>
      <c r="P46" s="320"/>
    </row>
    <row r="47" spans="2:16">
      <c r="B47" s="356" t="str">
        <f t="shared" si="3"/>
        <v>40-44</v>
      </c>
      <c r="C47" s="300">
        <f t="shared" si="3"/>
        <v>672.61313013409574</v>
      </c>
      <c r="D47" s="300">
        <f t="shared" si="4"/>
        <v>669.69477009027639</v>
      </c>
      <c r="E47" s="300">
        <f t="shared" si="4"/>
        <v>663.04789291783311</v>
      </c>
      <c r="F47" s="300">
        <f t="shared" si="4"/>
        <v>657.207865158353</v>
      </c>
      <c r="G47" s="300">
        <f t="shared" si="4"/>
        <v>654.46427469278774</v>
      </c>
      <c r="H47" s="300">
        <f t="shared" si="4"/>
        <v>654.5663045994728</v>
      </c>
      <c r="I47" s="300">
        <f t="shared" si="4"/>
        <v>657.31573981398265</v>
      </c>
      <c r="J47" s="300">
        <f t="shared" si="4"/>
        <v>661.57450842531318</v>
      </c>
      <c r="K47" s="300">
        <f t="shared" si="4"/>
        <v>665.6918219927843</v>
      </c>
      <c r="L47" s="300">
        <f t="shared" si="5"/>
        <v>669.99157621794905</v>
      </c>
      <c r="M47" s="300">
        <f t="shared" si="6"/>
        <v>673.92650868396674</v>
      </c>
      <c r="N47" s="300">
        <f t="shared" si="7"/>
        <v>676.37737707475128</v>
      </c>
      <c r="O47" s="320"/>
      <c r="P47" s="320"/>
    </row>
    <row r="48" spans="2:16">
      <c r="B48" s="356" t="str">
        <f t="shared" si="3"/>
        <v>45-49</v>
      </c>
      <c r="C48" s="300">
        <f t="shared" si="3"/>
        <v>580.45789334890787</v>
      </c>
      <c r="D48" s="300">
        <f t="shared" si="4"/>
        <v>580.78004495322148</v>
      </c>
      <c r="E48" s="300">
        <f t="shared" si="4"/>
        <v>578.44772653868426</v>
      </c>
      <c r="F48" s="300">
        <f t="shared" si="4"/>
        <v>574.29190234678606</v>
      </c>
      <c r="G48" s="300">
        <f t="shared" si="4"/>
        <v>571.39925164621286</v>
      </c>
      <c r="H48" s="300">
        <f t="shared" si="4"/>
        <v>569.64227735631414</v>
      </c>
      <c r="I48" s="300">
        <f t="shared" si="4"/>
        <v>569.36615725920774</v>
      </c>
      <c r="J48" s="300">
        <f t="shared" si="4"/>
        <v>570.02578762149005</v>
      </c>
      <c r="K48" s="300">
        <f t="shared" si="4"/>
        <v>570.53592272254252</v>
      </c>
      <c r="L48" s="300">
        <f t="shared" si="5"/>
        <v>571.31463539310903</v>
      </c>
      <c r="M48" s="300">
        <f t="shared" si="6"/>
        <v>572.01734089874731</v>
      </c>
      <c r="N48" s="300">
        <f t="shared" si="7"/>
        <v>571.81102758678674</v>
      </c>
      <c r="O48" s="320"/>
      <c r="P48" s="320"/>
    </row>
    <row r="49" spans="1:16">
      <c r="B49" s="356" t="str">
        <f t="shared" si="3"/>
        <v>50-54</v>
      </c>
      <c r="C49" s="300">
        <f t="shared" si="3"/>
        <v>483.40055849271459</v>
      </c>
      <c r="D49" s="300">
        <f t="shared" si="4"/>
        <v>468.32901938552004</v>
      </c>
      <c r="E49" s="300">
        <f t="shared" si="4"/>
        <v>456.63144259069054</v>
      </c>
      <c r="F49" s="300">
        <f t="shared" si="4"/>
        <v>446.9431381822028</v>
      </c>
      <c r="G49" s="300">
        <f t="shared" si="4"/>
        <v>440.43070837934022</v>
      </c>
      <c r="H49" s="300">
        <f t="shared" si="4"/>
        <v>436.0052440659382</v>
      </c>
      <c r="I49" s="300">
        <f t="shared" si="4"/>
        <v>433.34124036288489</v>
      </c>
      <c r="J49" s="300">
        <f t="shared" si="4"/>
        <v>431.71098132220993</v>
      </c>
      <c r="K49" s="300">
        <f t="shared" si="4"/>
        <v>430.15165470320608</v>
      </c>
      <c r="L49" s="300">
        <f t="shared" si="5"/>
        <v>428.91316027321693</v>
      </c>
      <c r="M49" s="300">
        <f t="shared" si="6"/>
        <v>427.72067133425975</v>
      </c>
      <c r="N49" s="300">
        <f t="shared" si="7"/>
        <v>425.96245278392342</v>
      </c>
      <c r="O49" s="320"/>
      <c r="P49" s="320"/>
    </row>
    <row r="50" spans="1:16">
      <c r="B50" s="356" t="str">
        <f t="shared" si="3"/>
        <v>55-59</v>
      </c>
      <c r="C50" s="300">
        <f t="shared" si="3"/>
        <v>324.92275947306007</v>
      </c>
      <c r="D50" s="300">
        <f t="shared" si="4"/>
        <v>281.1926466954551</v>
      </c>
      <c r="E50" s="300">
        <f t="shared" si="4"/>
        <v>252.28579708631261</v>
      </c>
      <c r="F50" s="300">
        <f t="shared" si="4"/>
        <v>233.28620013179287</v>
      </c>
      <c r="G50" s="300">
        <f t="shared" si="4"/>
        <v>221.17107755769311</v>
      </c>
      <c r="H50" s="300">
        <f t="shared" si="4"/>
        <v>213.52526440324621</v>
      </c>
      <c r="I50" s="300">
        <f t="shared" si="4"/>
        <v>208.87183984275811</v>
      </c>
      <c r="J50" s="300">
        <f t="shared" si="4"/>
        <v>205.93559503077424</v>
      </c>
      <c r="K50" s="300">
        <f t="shared" si="4"/>
        <v>203.62960829918876</v>
      </c>
      <c r="L50" s="300">
        <f t="shared" si="5"/>
        <v>201.89540230112232</v>
      </c>
      <c r="M50" s="300">
        <f t="shared" si="6"/>
        <v>200.39752522345242</v>
      </c>
      <c r="N50" s="300">
        <f t="shared" si="7"/>
        <v>198.66578266820508</v>
      </c>
      <c r="O50" s="320"/>
      <c r="P50" s="320"/>
    </row>
    <row r="51" spans="1:16">
      <c r="B51" s="356" t="str">
        <f t="shared" si="3"/>
        <v>60-64</v>
      </c>
      <c r="C51" s="300">
        <f t="shared" si="3"/>
        <v>99.345114176621578</v>
      </c>
      <c r="D51" s="300">
        <f t="shared" si="4"/>
        <v>99.537277531290485</v>
      </c>
      <c r="E51" s="300">
        <f t="shared" si="4"/>
        <v>93.605290448448287</v>
      </c>
      <c r="F51" s="300">
        <f t="shared" si="4"/>
        <v>86.964505879903641</v>
      </c>
      <c r="G51" s="300">
        <f t="shared" si="4"/>
        <v>81.536108827082586</v>
      </c>
      <c r="H51" s="300">
        <f t="shared" si="4"/>
        <v>77.565190753174377</v>
      </c>
      <c r="I51" s="300">
        <f t="shared" si="4"/>
        <v>74.901497293069212</v>
      </c>
      <c r="J51" s="300">
        <f t="shared" si="4"/>
        <v>73.103287435142136</v>
      </c>
      <c r="K51" s="300">
        <f t="shared" si="4"/>
        <v>71.675789689885193</v>
      </c>
      <c r="L51" s="300">
        <f t="shared" si="5"/>
        <v>70.607142627624668</v>
      </c>
      <c r="M51" s="300">
        <f t="shared" si="6"/>
        <v>69.712024171035424</v>
      </c>
      <c r="N51" s="300">
        <f t="shared" si="7"/>
        <v>68.738439336333172</v>
      </c>
      <c r="O51" s="320"/>
      <c r="P51" s="320"/>
    </row>
    <row r="52" spans="1:16">
      <c r="B52" s="356" t="str">
        <f t="shared" si="3"/>
        <v>65 plus</v>
      </c>
      <c r="C52" s="300">
        <f t="shared" si="3"/>
        <v>25.368908427534457</v>
      </c>
      <c r="D52" s="300">
        <f t="shared" si="4"/>
        <v>29.117987277393802</v>
      </c>
      <c r="E52" s="300">
        <f t="shared" si="4"/>
        <v>31.188564430627238</v>
      </c>
      <c r="F52" s="300">
        <f t="shared" si="4"/>
        <v>31.546521702854722</v>
      </c>
      <c r="G52" s="300">
        <f t="shared" si="4"/>
        <v>31.103349656526134</v>
      </c>
      <c r="H52" s="300">
        <f t="shared" si="4"/>
        <v>30.284854935686273</v>
      </c>
      <c r="I52" s="300">
        <f t="shared" si="4"/>
        <v>29.429454771925251</v>
      </c>
      <c r="J52" s="300">
        <f t="shared" si="4"/>
        <v>28.658503681978353</v>
      </c>
      <c r="K52" s="300">
        <f t="shared" si="4"/>
        <v>27.954928826161265</v>
      </c>
      <c r="L52" s="300">
        <f t="shared" si="5"/>
        <v>27.362293246476344</v>
      </c>
      <c r="M52" s="300">
        <f t="shared" si="6"/>
        <v>26.852401992313446</v>
      </c>
      <c r="N52" s="300">
        <f t="shared" si="7"/>
        <v>26.351845140966521</v>
      </c>
      <c r="O52" s="320"/>
      <c r="P52" s="320"/>
    </row>
    <row r="53" spans="1:16">
      <c r="B53" s="356" t="str">
        <f t="shared" si="3"/>
        <v>Total</v>
      </c>
      <c r="C53" s="300">
        <f t="shared" si="3"/>
        <v>4332.0383550318666</v>
      </c>
      <c r="D53" s="300">
        <f t="shared" si="4"/>
        <v>4404.2820248343305</v>
      </c>
      <c r="E53" s="300">
        <f t="shared" si="4"/>
        <v>4423.4097117762631</v>
      </c>
      <c r="F53" s="300">
        <f t="shared" si="4"/>
        <v>4441.1245830539601</v>
      </c>
      <c r="G53" s="300">
        <f t="shared" si="4"/>
        <v>4469.1494339552946</v>
      </c>
      <c r="H53" s="300">
        <f t="shared" si="4"/>
        <v>4508.9728229081247</v>
      </c>
      <c r="I53" s="300">
        <f t="shared" si="4"/>
        <v>4560.7986432495454</v>
      </c>
      <c r="J53" s="300">
        <f t="shared" si="4"/>
        <v>4613.6203224669734</v>
      </c>
      <c r="K53" s="300">
        <f t="shared" si="4"/>
        <v>4650.7631690371154</v>
      </c>
      <c r="L53" s="300">
        <f t="shared" si="5"/>
        <v>4680.1186457046797</v>
      </c>
      <c r="M53" s="300">
        <f t="shared" si="6"/>
        <v>4697.9866783815314</v>
      </c>
      <c r="N53" s="300">
        <f t="shared" si="7"/>
        <v>4693.9329742788896</v>
      </c>
      <c r="O53" s="320"/>
      <c r="P53" s="320"/>
    </row>
    <row r="54" spans="1:16">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6">
      <c r="B56" s="334" t="s">
        <v>47</v>
      </c>
      <c r="H56" s="318"/>
    </row>
    <row r="57" spans="1:16">
      <c r="H57" s="318"/>
    </row>
    <row r="58" spans="1:16">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6">
      <c r="B59" s="331" t="str">
        <f t="shared" si="9"/>
        <v>20-24</v>
      </c>
      <c r="C59" s="300">
        <f t="shared" ref="C59:C69" si="11">D21</f>
        <v>351.25525971594135</v>
      </c>
      <c r="D59" s="300">
        <f>C356</f>
        <v>481.99508579916039</v>
      </c>
      <c r="E59" s="300">
        <f t="shared" ref="E59:L59" si="12">D356</f>
        <v>547.81130896788216</v>
      </c>
      <c r="F59" s="300">
        <f t="shared" si="12"/>
        <v>596.63121035112408</v>
      </c>
      <c r="G59" s="300">
        <f t="shared" si="12"/>
        <v>629.08331241918825</v>
      </c>
      <c r="H59" s="300">
        <f t="shared" si="12"/>
        <v>655.6582034548145</v>
      </c>
      <c r="I59" s="300">
        <f t="shared" si="12"/>
        <v>679.08515133933781</v>
      </c>
      <c r="J59" s="300">
        <f t="shared" si="12"/>
        <v>697.02308872587957</v>
      </c>
      <c r="K59" s="300">
        <f t="shared" si="12"/>
        <v>705.17398065393024</v>
      </c>
      <c r="L59" s="300">
        <f t="shared" si="12"/>
        <v>708.89657653465053</v>
      </c>
      <c r="M59" s="300">
        <f>L356</f>
        <v>707.93747289258431</v>
      </c>
      <c r="N59" s="300">
        <f>M356</f>
        <v>699.4278956008053</v>
      </c>
      <c r="O59" s="320"/>
    </row>
    <row r="60" spans="1:16">
      <c r="B60" s="331" t="str">
        <f t="shared" si="9"/>
        <v>25-29</v>
      </c>
      <c r="C60" s="300">
        <f t="shared" si="11"/>
        <v>1204.2423604741414</v>
      </c>
      <c r="D60" s="300">
        <f t="shared" ref="D60:K69" si="13">C357</f>
        <v>1160.56752002903</v>
      </c>
      <c r="E60" s="300">
        <f t="shared" si="13"/>
        <v>1128.4306811252834</v>
      </c>
      <c r="F60" s="300">
        <f t="shared" si="13"/>
        <v>1120.411497592645</v>
      </c>
      <c r="G60" s="300">
        <f t="shared" si="13"/>
        <v>1121.9271868697974</v>
      </c>
      <c r="H60" s="300">
        <f t="shared" si="13"/>
        <v>1133.3177882522782</v>
      </c>
      <c r="I60" s="300">
        <f t="shared" si="13"/>
        <v>1151.4895614518857</v>
      </c>
      <c r="J60" s="300">
        <f t="shared" si="13"/>
        <v>1170.4617819443392</v>
      </c>
      <c r="K60" s="300">
        <f t="shared" si="13"/>
        <v>1182.8492139274076</v>
      </c>
      <c r="L60" s="300">
        <f t="shared" ref="L60:L69" si="14">K357</f>
        <v>1191.1486996946674</v>
      </c>
      <c r="M60" s="300">
        <f t="shared" ref="M60:M69" si="15">L357</f>
        <v>1194.0844694631464</v>
      </c>
      <c r="N60" s="300">
        <f t="shared" ref="N60:N69" si="16">M357</f>
        <v>1187.9612775104983</v>
      </c>
      <c r="O60" s="320"/>
    </row>
    <row r="61" spans="1:16">
      <c r="B61" s="331" t="str">
        <f t="shared" si="9"/>
        <v>30-34</v>
      </c>
      <c r="C61" s="300">
        <f t="shared" si="11"/>
        <v>1051.1524620519406</v>
      </c>
      <c r="D61" s="300">
        <f t="shared" si="13"/>
        <v>1103.2257208989042</v>
      </c>
      <c r="E61" s="300">
        <f t="shared" si="13"/>
        <v>1120.7472490806526</v>
      </c>
      <c r="F61" s="300">
        <f t="shared" si="13"/>
        <v>1128.368388611992</v>
      </c>
      <c r="G61" s="300">
        <f t="shared" si="13"/>
        <v>1131.1058659122991</v>
      </c>
      <c r="H61" s="300">
        <f t="shared" si="13"/>
        <v>1135.6486065847589</v>
      </c>
      <c r="I61" s="300">
        <f t="shared" si="13"/>
        <v>1143.7088892412219</v>
      </c>
      <c r="J61" s="300">
        <f t="shared" si="13"/>
        <v>1153.8378435175025</v>
      </c>
      <c r="K61" s="300">
        <f t="shared" si="13"/>
        <v>1162.5357718771859</v>
      </c>
      <c r="L61" s="300">
        <f t="shared" si="14"/>
        <v>1170.137374135943</v>
      </c>
      <c r="M61" s="300">
        <f t="shared" si="15"/>
        <v>1175.3606377287047</v>
      </c>
      <c r="N61" s="300">
        <f t="shared" si="16"/>
        <v>1175.6816393900915</v>
      </c>
      <c r="O61" s="320"/>
    </row>
    <row r="62" spans="1:16">
      <c r="B62" s="331" t="str">
        <f t="shared" si="9"/>
        <v>35-39</v>
      </c>
      <c r="C62" s="300">
        <f t="shared" si="11"/>
        <v>987.13771223177628</v>
      </c>
      <c r="D62" s="300">
        <f t="shared" si="13"/>
        <v>1004.3021108553726</v>
      </c>
      <c r="E62" s="300">
        <f t="shared" si="13"/>
        <v>1017.1083574179992</v>
      </c>
      <c r="F62" s="300">
        <f t="shared" si="13"/>
        <v>1030.0183415648405</v>
      </c>
      <c r="G62" s="300">
        <f t="shared" si="13"/>
        <v>1039.668445891715</v>
      </c>
      <c r="H62" s="300">
        <f t="shared" si="13"/>
        <v>1048.8991389129073</v>
      </c>
      <c r="I62" s="300">
        <f t="shared" si="13"/>
        <v>1058.4729320269071</v>
      </c>
      <c r="J62" s="300">
        <f t="shared" si="13"/>
        <v>1067.6710118523322</v>
      </c>
      <c r="K62" s="300">
        <f t="shared" si="13"/>
        <v>1074.6835664178068</v>
      </c>
      <c r="L62" s="300">
        <f t="shared" si="14"/>
        <v>1080.6848593683876</v>
      </c>
      <c r="M62" s="300">
        <f t="shared" si="15"/>
        <v>1085.118669133205</v>
      </c>
      <c r="N62" s="300">
        <f t="shared" si="16"/>
        <v>1086.3278322255142</v>
      </c>
      <c r="O62" s="320"/>
    </row>
    <row r="63" spans="1:16">
      <c r="B63" s="331" t="str">
        <f t="shared" si="9"/>
        <v>40-44</v>
      </c>
      <c r="C63" s="300">
        <f t="shared" si="11"/>
        <v>923.82812731598233</v>
      </c>
      <c r="D63" s="300">
        <f t="shared" si="13"/>
        <v>933.98879533118202</v>
      </c>
      <c r="E63" s="300">
        <f t="shared" si="13"/>
        <v>936.58679870593983</v>
      </c>
      <c r="F63" s="300">
        <f t="shared" si="13"/>
        <v>941.061018315203</v>
      </c>
      <c r="G63" s="300">
        <f t="shared" si="13"/>
        <v>945.63757228931775</v>
      </c>
      <c r="H63" s="300">
        <f t="shared" si="13"/>
        <v>952.19559174005201</v>
      </c>
      <c r="I63" s="300">
        <f t="shared" si="13"/>
        <v>960.39540363598201</v>
      </c>
      <c r="J63" s="300">
        <f t="shared" si="13"/>
        <v>968.76608261974445</v>
      </c>
      <c r="K63" s="300">
        <f t="shared" si="13"/>
        <v>975.22641849242018</v>
      </c>
      <c r="L63" s="300">
        <f t="shared" si="14"/>
        <v>980.61918241009153</v>
      </c>
      <c r="M63" s="300">
        <f t="shared" si="15"/>
        <v>984.50730656675682</v>
      </c>
      <c r="N63" s="300">
        <f t="shared" si="16"/>
        <v>985.59562707498844</v>
      </c>
      <c r="O63" s="320"/>
    </row>
    <row r="64" spans="1:16">
      <c r="B64" s="331" t="str">
        <f t="shared" si="9"/>
        <v>45-49</v>
      </c>
      <c r="C64" s="300">
        <f t="shared" si="11"/>
        <v>769.88582074943611</v>
      </c>
      <c r="D64" s="300">
        <f t="shared" si="13"/>
        <v>787.59695171314786</v>
      </c>
      <c r="E64" s="300">
        <f t="shared" si="13"/>
        <v>795.7789689470535</v>
      </c>
      <c r="F64" s="300">
        <f t="shared" si="13"/>
        <v>802.16697853819142</v>
      </c>
      <c r="G64" s="300">
        <f t="shared" si="13"/>
        <v>806.59626762582286</v>
      </c>
      <c r="H64" s="300">
        <f t="shared" si="13"/>
        <v>811.79779212128722</v>
      </c>
      <c r="I64" s="300">
        <f t="shared" si="13"/>
        <v>818.13491862295245</v>
      </c>
      <c r="J64" s="300">
        <f t="shared" si="13"/>
        <v>824.71029454618429</v>
      </c>
      <c r="K64" s="300">
        <f t="shared" si="13"/>
        <v>829.90325376760904</v>
      </c>
      <c r="L64" s="300">
        <f t="shared" si="14"/>
        <v>834.33689669379442</v>
      </c>
      <c r="M64" s="300">
        <f t="shared" si="15"/>
        <v>837.59297487767424</v>
      </c>
      <c r="N64" s="300">
        <f t="shared" si="16"/>
        <v>838.58539026147321</v>
      </c>
      <c r="O64" s="320"/>
    </row>
    <row r="65" spans="1:18">
      <c r="B65" s="331" t="str">
        <f t="shared" si="9"/>
        <v>50-54</v>
      </c>
      <c r="C65" s="300">
        <f t="shared" si="11"/>
        <v>577.80951833874485</v>
      </c>
      <c r="D65" s="300">
        <f t="shared" si="13"/>
        <v>588.40064736937381</v>
      </c>
      <c r="E65" s="300">
        <f t="shared" si="13"/>
        <v>594.14780758676534</v>
      </c>
      <c r="F65" s="300">
        <f t="shared" si="13"/>
        <v>599.5741832472246</v>
      </c>
      <c r="G65" s="300">
        <f t="shared" si="13"/>
        <v>603.72583585347979</v>
      </c>
      <c r="H65" s="300">
        <f t="shared" si="13"/>
        <v>608.28529290993106</v>
      </c>
      <c r="I65" s="300">
        <f t="shared" si="13"/>
        <v>613.42973537251873</v>
      </c>
      <c r="J65" s="300">
        <f t="shared" si="13"/>
        <v>618.53314943222472</v>
      </c>
      <c r="K65" s="300">
        <f t="shared" si="13"/>
        <v>622.47503852023078</v>
      </c>
      <c r="L65" s="300">
        <f t="shared" si="14"/>
        <v>625.79259932008472</v>
      </c>
      <c r="M65" s="300">
        <f t="shared" si="15"/>
        <v>628.21571436210525</v>
      </c>
      <c r="N65" s="300">
        <f t="shared" si="16"/>
        <v>628.95903894987998</v>
      </c>
      <c r="O65" s="320"/>
    </row>
    <row r="66" spans="1:18">
      <c r="B66" s="331" t="str">
        <f t="shared" si="9"/>
        <v>55-59</v>
      </c>
      <c r="C66" s="300">
        <f t="shared" si="11"/>
        <v>332.56838975013079</v>
      </c>
      <c r="D66" s="300">
        <f t="shared" si="13"/>
        <v>317.97769966230356</v>
      </c>
      <c r="E66" s="300">
        <f t="shared" si="13"/>
        <v>307.7312013099135</v>
      </c>
      <c r="F66" s="300">
        <f t="shared" si="13"/>
        <v>302.64666787089072</v>
      </c>
      <c r="G66" s="300">
        <f t="shared" si="13"/>
        <v>300.10968756526734</v>
      </c>
      <c r="H66" s="300">
        <f t="shared" si="13"/>
        <v>299.7765510079069</v>
      </c>
      <c r="I66" s="300">
        <f t="shared" si="13"/>
        <v>300.93575955394181</v>
      </c>
      <c r="J66" s="300">
        <f t="shared" si="13"/>
        <v>302.65891129064073</v>
      </c>
      <c r="K66" s="300">
        <f t="shared" si="13"/>
        <v>303.95368883914819</v>
      </c>
      <c r="L66" s="300">
        <f t="shared" si="14"/>
        <v>305.09589728849897</v>
      </c>
      <c r="M66" s="300">
        <f t="shared" si="15"/>
        <v>305.8424457856687</v>
      </c>
      <c r="N66" s="300">
        <f t="shared" si="16"/>
        <v>305.66772226307899</v>
      </c>
      <c r="O66" s="320"/>
    </row>
    <row r="67" spans="1:18">
      <c r="B67" s="331" t="str">
        <f t="shared" si="9"/>
        <v>60-64</v>
      </c>
      <c r="C67" s="300">
        <f t="shared" si="11"/>
        <v>68.810672493636616</v>
      </c>
      <c r="D67" s="300">
        <f t="shared" si="13"/>
        <v>92.466283670921143</v>
      </c>
      <c r="E67" s="300">
        <f t="shared" si="13"/>
        <v>101.06918378265975</v>
      </c>
      <c r="F67" s="300">
        <f t="shared" si="13"/>
        <v>104.30911725484162</v>
      </c>
      <c r="G67" s="300">
        <f t="shared" si="13"/>
        <v>105.20470550843582</v>
      </c>
      <c r="H67" s="300">
        <f t="shared" si="13"/>
        <v>105.62628697658594</v>
      </c>
      <c r="I67" s="300">
        <f t="shared" si="13"/>
        <v>106.14098335922029</v>
      </c>
      <c r="J67" s="300">
        <f t="shared" si="13"/>
        <v>106.67640132872243</v>
      </c>
      <c r="K67" s="300">
        <f t="shared" si="13"/>
        <v>106.90529254768326</v>
      </c>
      <c r="L67" s="300">
        <f t="shared" si="14"/>
        <v>107.06784410088727</v>
      </c>
      <c r="M67" s="300">
        <f t="shared" si="15"/>
        <v>107.07047426961203</v>
      </c>
      <c r="N67" s="300">
        <f t="shared" si="16"/>
        <v>106.66241083749163</v>
      </c>
      <c r="O67" s="320"/>
    </row>
    <row r="68" spans="1:18">
      <c r="B68" s="331" t="str">
        <f t="shared" si="9"/>
        <v>65 plus</v>
      </c>
      <c r="C68" s="300">
        <f t="shared" si="11"/>
        <v>12.179119420791704</v>
      </c>
      <c r="D68" s="300">
        <f t="shared" si="13"/>
        <v>21.481328852909499</v>
      </c>
      <c r="E68" s="300">
        <f t="shared" si="13"/>
        <v>30.11456040913108</v>
      </c>
      <c r="F68" s="300">
        <f t="shared" si="13"/>
        <v>36.861310139445393</v>
      </c>
      <c r="G68" s="300">
        <f t="shared" si="13"/>
        <v>41.595468375585845</v>
      </c>
      <c r="H68" s="300">
        <f t="shared" si="13"/>
        <v>44.85592885305698</v>
      </c>
      <c r="I68" s="300">
        <f t="shared" si="13"/>
        <v>47.119705460412369</v>
      </c>
      <c r="J68" s="300">
        <f t="shared" si="13"/>
        <v>48.687157431275978</v>
      </c>
      <c r="K68" s="300">
        <f t="shared" si="13"/>
        <v>49.690682084238453</v>
      </c>
      <c r="L68" s="300">
        <f t="shared" si="14"/>
        <v>50.333308744619238</v>
      </c>
      <c r="M68" s="300">
        <f t="shared" si="15"/>
        <v>50.70201204084826</v>
      </c>
      <c r="N68" s="300">
        <f t="shared" si="16"/>
        <v>50.788837282549352</v>
      </c>
      <c r="O68" s="320"/>
    </row>
    <row r="69" spans="1:18">
      <c r="B69" s="331" t="str">
        <f t="shared" si="9"/>
        <v>Total</v>
      </c>
      <c r="C69" s="300">
        <f t="shared" si="11"/>
        <v>6278.8694425425228</v>
      </c>
      <c r="D69" s="300">
        <f t="shared" si="13"/>
        <v>6492.0021441823046</v>
      </c>
      <c r="E69" s="300">
        <f t="shared" si="13"/>
        <v>6579.5261173332801</v>
      </c>
      <c r="F69" s="300">
        <f t="shared" si="13"/>
        <v>6662.0487134864006</v>
      </c>
      <c r="G69" s="300">
        <f t="shared" si="13"/>
        <v>6724.6543483109108</v>
      </c>
      <c r="H69" s="300">
        <f t="shared" si="13"/>
        <v>6796.0611808135791</v>
      </c>
      <c r="I69" s="300">
        <f t="shared" si="13"/>
        <v>6878.9130400643808</v>
      </c>
      <c r="J69" s="300">
        <f t="shared" si="13"/>
        <v>6959.0257226888452</v>
      </c>
      <c r="K69" s="300">
        <f t="shared" si="13"/>
        <v>7013.3969071276624</v>
      </c>
      <c r="L69" s="300">
        <f t="shared" si="14"/>
        <v>7054.1132382916248</v>
      </c>
      <c r="M69" s="300">
        <f t="shared" si="15"/>
        <v>7076.4321771203049</v>
      </c>
      <c r="N69" s="300">
        <f t="shared" si="16"/>
        <v>7065.6576713963714</v>
      </c>
      <c r="O69" s="320"/>
    </row>
    <row r="70" spans="1:18">
      <c r="A70" s="302">
        <f>SUM(C70:N70)</f>
        <v>0</v>
      </c>
      <c r="C70" s="302">
        <f t="shared" ref="C70:N70" si="17">SUM(C59:C68)-C69</f>
        <v>0</v>
      </c>
      <c r="D70" s="302">
        <f t="shared" si="17"/>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8" ht="15.75">
      <c r="B72" s="333" t="s">
        <v>163</v>
      </c>
      <c r="H72" s="318"/>
    </row>
    <row r="73" spans="1:18">
      <c r="H73" s="318"/>
    </row>
    <row r="74" spans="1:18">
      <c r="B74" s="334" t="s">
        <v>46</v>
      </c>
      <c r="C74" s="256" t="s">
        <v>456</v>
      </c>
      <c r="H74" s="318"/>
    </row>
    <row r="75" spans="1:18">
      <c r="H75" s="318"/>
    </row>
    <row r="76" spans="1:18">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8">
      <c r="B77" s="331" t="str">
        <f t="shared" si="18"/>
        <v>20-24</v>
      </c>
      <c r="C77" s="447">
        <f>C43-(0.2*C43)</f>
        <v>134.71053644735872</v>
      </c>
      <c r="D77" s="447">
        <f>D43-(0.2*D43)</f>
        <v>221.3865347418147</v>
      </c>
      <c r="E77" s="447">
        <f t="shared" ref="E77:N77" si="20">E43-(0.2*E43)</f>
        <v>266.26162518628138</v>
      </c>
      <c r="F77" s="447">
        <f t="shared" si="20"/>
        <v>297.07938184329066</v>
      </c>
      <c r="G77" s="447">
        <f t="shared" si="20"/>
        <v>318.07031257830522</v>
      </c>
      <c r="H77" s="447">
        <f t="shared" si="20"/>
        <v>334.31896753647879</v>
      </c>
      <c r="I77" s="447">
        <f t="shared" si="20"/>
        <v>347.92743059181583</v>
      </c>
      <c r="J77" s="447">
        <f t="shared" si="20"/>
        <v>357.9571156514391</v>
      </c>
      <c r="K77" s="447">
        <f t="shared" si="20"/>
        <v>362.29891568517485</v>
      </c>
      <c r="L77" s="447">
        <f t="shared" si="20"/>
        <v>364.14093038288564</v>
      </c>
      <c r="M77" s="447">
        <f t="shared" si="20"/>
        <v>363.42207381615401</v>
      </c>
      <c r="N77" s="447">
        <f t="shared" si="20"/>
        <v>358.6139556945883</v>
      </c>
      <c r="O77" s="320"/>
      <c r="P77" s="320"/>
      <c r="Q77" s="320"/>
      <c r="R77" s="320"/>
    </row>
    <row r="78" spans="1:18">
      <c r="B78" s="331" t="str">
        <f t="shared" si="18"/>
        <v>25-29</v>
      </c>
      <c r="C78" s="447">
        <f t="shared" ref="C78:C85" si="21">C44+(0.2*C43)-(0.2*C44)</f>
        <v>598.34964981885321</v>
      </c>
      <c r="D78" s="447">
        <f t="shared" ref="D78:N78" si="22">D44+(0.2*D43)-(0.2*D44)</f>
        <v>606.84862922148795</v>
      </c>
      <c r="E78" s="447">
        <f t="shared" si="22"/>
        <v>613.15286551379552</v>
      </c>
      <c r="F78" s="447">
        <f t="shared" si="22"/>
        <v>625.68091957093839</v>
      </c>
      <c r="G78" s="447">
        <f t="shared" si="22"/>
        <v>640.92855096565836</v>
      </c>
      <c r="H78" s="447">
        <f t="shared" si="22"/>
        <v>658.14817843320043</v>
      </c>
      <c r="I78" s="447">
        <f t="shared" si="22"/>
        <v>676.55711889745533</v>
      </c>
      <c r="J78" s="447">
        <f t="shared" si="22"/>
        <v>693.01188655014153</v>
      </c>
      <c r="K78" s="447">
        <f t="shared" si="22"/>
        <v>703.27236741304398</v>
      </c>
      <c r="L78" s="447">
        <f t="shared" si="22"/>
        <v>709.84978042376395</v>
      </c>
      <c r="M78" s="447">
        <f t="shared" si="22"/>
        <v>712.28171990789428</v>
      </c>
      <c r="N78" s="447">
        <f t="shared" si="22"/>
        <v>708.34498516456676</v>
      </c>
      <c r="O78" s="320"/>
      <c r="P78" s="320"/>
      <c r="Q78" s="320"/>
      <c r="R78" s="320"/>
    </row>
    <row r="79" spans="1:18">
      <c r="B79" s="331" t="str">
        <f t="shared" si="18"/>
        <v>30-34</v>
      </c>
      <c r="C79" s="447">
        <f t="shared" si="21"/>
        <v>629.57483257861895</v>
      </c>
      <c r="D79" s="447">
        <f t="shared" ref="D79:N79" si="23">D45+(0.2*D44)-(0.2*D45)</f>
        <v>661.81418621445653</v>
      </c>
      <c r="E79" s="447">
        <f t="shared" si="23"/>
        <v>679.21531096257513</v>
      </c>
      <c r="F79" s="447">
        <f t="shared" si="23"/>
        <v>692.6154024410522</v>
      </c>
      <c r="G79" s="447">
        <f t="shared" si="23"/>
        <v>705.83173658152486</v>
      </c>
      <c r="H79" s="447">
        <f t="shared" si="23"/>
        <v>719.98206294825661</v>
      </c>
      <c r="I79" s="447">
        <f t="shared" si="23"/>
        <v>735.50979259789165</v>
      </c>
      <c r="J79" s="447">
        <f t="shared" si="23"/>
        <v>750.83552869707603</v>
      </c>
      <c r="K79" s="447">
        <f t="shared" si="23"/>
        <v>763.1267817490359</v>
      </c>
      <c r="L79" s="447">
        <f t="shared" si="23"/>
        <v>773.07232797785025</v>
      </c>
      <c r="M79" s="447">
        <f t="shared" si="23"/>
        <v>779.97045317816219</v>
      </c>
      <c r="N79" s="447">
        <f t="shared" si="23"/>
        <v>782.09679822382441</v>
      </c>
      <c r="O79" s="320"/>
      <c r="P79" s="320"/>
      <c r="Q79" s="320"/>
      <c r="R79" s="320"/>
    </row>
    <row r="80" spans="1:18">
      <c r="B80" s="331" t="str">
        <f t="shared" si="18"/>
        <v>35-39</v>
      </c>
      <c r="C80" s="447">
        <f t="shared" si="21"/>
        <v>651.05631913987395</v>
      </c>
      <c r="D80" s="447">
        <f t="shared" ref="D80:N80" si="24">D46+(0.2*D45)-(0.2*D46)</f>
        <v>654.66167734525334</v>
      </c>
      <c r="E80" s="447">
        <f t="shared" si="24"/>
        <v>658.78697918872535</v>
      </c>
      <c r="F80" s="447">
        <f t="shared" si="24"/>
        <v>664.14512833310437</v>
      </c>
      <c r="G80" s="447">
        <f t="shared" si="24"/>
        <v>671.64520012494347</v>
      </c>
      <c r="H80" s="447">
        <f t="shared" si="24"/>
        <v>680.76457999163506</v>
      </c>
      <c r="I80" s="447">
        <f t="shared" si="24"/>
        <v>691.46849631911971</v>
      </c>
      <c r="J80" s="447">
        <f t="shared" si="24"/>
        <v>702.64344628051435</v>
      </c>
      <c r="K80" s="447">
        <f t="shared" si="24"/>
        <v>712.43792097117921</v>
      </c>
      <c r="L80" s="447">
        <f t="shared" si="24"/>
        <v>721.29555203958796</v>
      </c>
      <c r="M80" s="447">
        <f t="shared" si="24"/>
        <v>728.5794624811723</v>
      </c>
      <c r="N80" s="447">
        <f t="shared" si="24"/>
        <v>732.94744469213492</v>
      </c>
      <c r="O80" s="320"/>
      <c r="P80" s="320"/>
      <c r="Q80" s="320"/>
      <c r="R80" s="320"/>
    </row>
    <row r="81" spans="1:18">
      <c r="B81" s="331" t="str">
        <f t="shared" si="18"/>
        <v>40-44</v>
      </c>
      <c r="C81" s="447">
        <f t="shared" si="21"/>
        <v>670.32915710150348</v>
      </c>
      <c r="D81" s="447">
        <f t="shared" ref="D81:N81" si="25">D47+(0.2*D46)-(0.2*D47)</f>
        <v>666.67506745038145</v>
      </c>
      <c r="E81" s="447">
        <f t="shared" si="25"/>
        <v>661.22453124655601</v>
      </c>
      <c r="F81" s="447">
        <f t="shared" si="25"/>
        <v>657.12990959036335</v>
      </c>
      <c r="G81" s="447">
        <f t="shared" si="25"/>
        <v>656.14028269945015</v>
      </c>
      <c r="H81" s="447">
        <f t="shared" si="25"/>
        <v>657.82294156430032</v>
      </c>
      <c r="I81" s="447">
        <f t="shared" si="25"/>
        <v>661.96246735062118</v>
      </c>
      <c r="J81" s="447">
        <f t="shared" si="25"/>
        <v>667.42328851114451</v>
      </c>
      <c r="K81" s="447">
        <f t="shared" si="25"/>
        <v>672.54091457914114</v>
      </c>
      <c r="L81" s="447">
        <f t="shared" si="25"/>
        <v>677.66910579545379</v>
      </c>
      <c r="M81" s="447">
        <f t="shared" si="25"/>
        <v>682.24770364154779</v>
      </c>
      <c r="N81" s="447">
        <f t="shared" si="25"/>
        <v>685.12476757261004</v>
      </c>
      <c r="O81" s="320"/>
      <c r="P81" s="320"/>
      <c r="Q81" s="320"/>
      <c r="R81" s="320"/>
    </row>
    <row r="82" spans="1:18">
      <c r="B82" s="331" t="str">
        <f t="shared" si="18"/>
        <v>45-49</v>
      </c>
      <c r="C82" s="447">
        <f t="shared" si="21"/>
        <v>598.8889407059454</v>
      </c>
      <c r="D82" s="447">
        <f t="shared" ref="D82:N82" si="26">D48+(0.2*D47)-(0.2*D48)</f>
        <v>598.56298998063244</v>
      </c>
      <c r="E82" s="447">
        <f t="shared" si="26"/>
        <v>595.3677598145141</v>
      </c>
      <c r="F82" s="447">
        <f t="shared" si="26"/>
        <v>590.8750949090994</v>
      </c>
      <c r="G82" s="447">
        <f t="shared" si="26"/>
        <v>588.01225625552786</v>
      </c>
      <c r="H82" s="447">
        <f t="shared" si="26"/>
        <v>586.62708280494587</v>
      </c>
      <c r="I82" s="447">
        <f t="shared" si="26"/>
        <v>586.95607377016267</v>
      </c>
      <c r="J82" s="447">
        <f t="shared" si="26"/>
        <v>588.33553178225463</v>
      </c>
      <c r="K82" s="447">
        <f t="shared" si="26"/>
        <v>589.56710257659086</v>
      </c>
      <c r="L82" s="447">
        <f t="shared" si="26"/>
        <v>591.05002355807699</v>
      </c>
      <c r="M82" s="447">
        <f t="shared" si="26"/>
        <v>592.39917445579124</v>
      </c>
      <c r="N82" s="447">
        <f t="shared" si="26"/>
        <v>592.72429748437969</v>
      </c>
      <c r="O82" s="320"/>
      <c r="P82" s="320"/>
      <c r="Q82" s="320"/>
      <c r="R82" s="320"/>
    </row>
    <row r="83" spans="1:18">
      <c r="B83" s="331" t="str">
        <f t="shared" si="18"/>
        <v>50-54</v>
      </c>
      <c r="C83" s="447">
        <f t="shared" si="21"/>
        <v>502.81202546395326</v>
      </c>
      <c r="D83" s="447">
        <f t="shared" ref="D83:N83" si="27">D49+(0.2*D48)-(0.2*D49)</f>
        <v>490.81922449906034</v>
      </c>
      <c r="E83" s="447">
        <f t="shared" si="27"/>
        <v>480.99469938028926</v>
      </c>
      <c r="F83" s="447">
        <f t="shared" si="27"/>
        <v>472.4128910151195</v>
      </c>
      <c r="G83" s="447">
        <f t="shared" si="27"/>
        <v>466.62441703271475</v>
      </c>
      <c r="H83" s="447">
        <f t="shared" si="27"/>
        <v>462.73265072401341</v>
      </c>
      <c r="I83" s="447">
        <f t="shared" si="27"/>
        <v>460.54622374214949</v>
      </c>
      <c r="J83" s="447">
        <f t="shared" si="27"/>
        <v>459.37394258206598</v>
      </c>
      <c r="K83" s="447">
        <f t="shared" si="27"/>
        <v>458.22850830707341</v>
      </c>
      <c r="L83" s="447">
        <f t="shared" si="27"/>
        <v>457.39345529719537</v>
      </c>
      <c r="M83" s="447">
        <f t="shared" si="27"/>
        <v>456.58000524715726</v>
      </c>
      <c r="N83" s="447">
        <f t="shared" si="27"/>
        <v>455.13216774449609</v>
      </c>
      <c r="O83" s="320"/>
      <c r="P83" s="320"/>
      <c r="Q83" s="320"/>
      <c r="R83" s="320"/>
    </row>
    <row r="84" spans="1:18">
      <c r="B84" s="331" t="str">
        <f t="shared" si="18"/>
        <v>55-59</v>
      </c>
      <c r="C84" s="447">
        <f t="shared" si="21"/>
        <v>356.61831927699097</v>
      </c>
      <c r="D84" s="447">
        <f t="shared" ref="D84:N84" si="28">D50+(0.2*D49)-(0.2*D50)</f>
        <v>318.61992123346806</v>
      </c>
      <c r="E84" s="447">
        <f t="shared" si="28"/>
        <v>293.15492618718821</v>
      </c>
      <c r="F84" s="447">
        <f t="shared" si="28"/>
        <v>276.01758774187482</v>
      </c>
      <c r="G84" s="447">
        <f t="shared" si="28"/>
        <v>265.02300372202251</v>
      </c>
      <c r="H84" s="447">
        <f t="shared" si="28"/>
        <v>258.02126033578458</v>
      </c>
      <c r="I84" s="447">
        <f t="shared" si="28"/>
        <v>253.76571994678349</v>
      </c>
      <c r="J84" s="447">
        <f t="shared" si="28"/>
        <v>251.09067228906136</v>
      </c>
      <c r="K84" s="447">
        <f t="shared" si="28"/>
        <v>248.93401757999226</v>
      </c>
      <c r="L84" s="447">
        <f t="shared" si="28"/>
        <v>247.29895389554125</v>
      </c>
      <c r="M84" s="447">
        <f t="shared" si="28"/>
        <v>245.86215444561387</v>
      </c>
      <c r="N84" s="447">
        <f t="shared" si="28"/>
        <v>244.12511669134875</v>
      </c>
      <c r="O84" s="320"/>
      <c r="P84" s="320"/>
      <c r="Q84" s="320"/>
      <c r="R84" s="320"/>
    </row>
    <row r="85" spans="1:18">
      <c r="B85" s="331" t="str">
        <f t="shared" si="18"/>
        <v>60-64</v>
      </c>
      <c r="C85" s="447">
        <f t="shared" si="21"/>
        <v>144.46064323590929</v>
      </c>
      <c r="D85" s="447">
        <f t="shared" ref="D85:N85" si="29">D51+(0.2*D50)-(0.2*D51)</f>
        <v>135.86835136412341</v>
      </c>
      <c r="E85" s="447">
        <f t="shared" si="29"/>
        <v>125.34139177602115</v>
      </c>
      <c r="F85" s="447">
        <f t="shared" si="29"/>
        <v>116.22884473028149</v>
      </c>
      <c r="G85" s="447">
        <f t="shared" si="29"/>
        <v>109.46310257320469</v>
      </c>
      <c r="H85" s="447">
        <f t="shared" si="29"/>
        <v>104.75720548318876</v>
      </c>
      <c r="I85" s="447">
        <f t="shared" si="29"/>
        <v>101.69556580300699</v>
      </c>
      <c r="J85" s="447">
        <f t="shared" si="29"/>
        <v>99.66974895426857</v>
      </c>
      <c r="K85" s="447">
        <f t="shared" si="29"/>
        <v>98.0665534117459</v>
      </c>
      <c r="L85" s="447">
        <f t="shared" si="29"/>
        <v>96.864794562324207</v>
      </c>
      <c r="M85" s="447">
        <f t="shared" si="29"/>
        <v>95.849124381518834</v>
      </c>
      <c r="N85" s="447">
        <f t="shared" si="29"/>
        <v>94.72390800270756</v>
      </c>
      <c r="O85" s="320"/>
      <c r="P85" s="320"/>
      <c r="Q85" s="320"/>
      <c r="R85" s="320"/>
    </row>
    <row r="86" spans="1:18">
      <c r="B86" s="331" t="str">
        <f t="shared" si="18"/>
        <v>65 plus</v>
      </c>
      <c r="C86" s="447">
        <f>C52+(0.2*C51)</f>
        <v>45.237931262858773</v>
      </c>
      <c r="D86" s="447">
        <f t="shared" ref="D86:N86" si="30">D52+(0.2*D51)</f>
        <v>49.025442783651897</v>
      </c>
      <c r="E86" s="447">
        <f t="shared" si="30"/>
        <v>49.909622520316901</v>
      </c>
      <c r="F86" s="447">
        <f t="shared" si="30"/>
        <v>48.939422878835451</v>
      </c>
      <c r="G86" s="447">
        <f t="shared" si="30"/>
        <v>47.410571421942649</v>
      </c>
      <c r="H86" s="447">
        <f t="shared" si="30"/>
        <v>45.797893086321153</v>
      </c>
      <c r="I86" s="447">
        <f t="shared" si="30"/>
        <v>44.409754230539093</v>
      </c>
      <c r="J86" s="447">
        <f t="shared" si="30"/>
        <v>43.279161169006784</v>
      </c>
      <c r="K86" s="447">
        <f t="shared" si="30"/>
        <v>42.290086764138302</v>
      </c>
      <c r="L86" s="447">
        <f t="shared" si="30"/>
        <v>41.483721772001275</v>
      </c>
      <c r="M86" s="447">
        <f t="shared" si="30"/>
        <v>40.794806826520528</v>
      </c>
      <c r="N86" s="447">
        <f t="shared" si="30"/>
        <v>40.099533008233152</v>
      </c>
      <c r="O86" s="320"/>
      <c r="P86" s="320"/>
      <c r="Q86" s="320"/>
      <c r="R86" s="320"/>
    </row>
    <row r="87" spans="1:18">
      <c r="B87" s="331" t="str">
        <f t="shared" si="18"/>
        <v>Total</v>
      </c>
      <c r="C87" s="447">
        <f>SUM(C77:C86)</f>
        <v>4332.0383550318675</v>
      </c>
      <c r="D87" s="447">
        <f t="shared" ref="D87:N87" si="31">SUM(D77:D86)</f>
        <v>4404.2820248343296</v>
      </c>
      <c r="E87" s="447">
        <f t="shared" si="31"/>
        <v>4423.4097117762622</v>
      </c>
      <c r="F87" s="447">
        <f t="shared" si="31"/>
        <v>4441.1245830539592</v>
      </c>
      <c r="G87" s="447">
        <f t="shared" si="31"/>
        <v>4469.1494339552946</v>
      </c>
      <c r="H87" s="447">
        <f t="shared" si="31"/>
        <v>4508.9728229081256</v>
      </c>
      <c r="I87" s="447">
        <f t="shared" si="31"/>
        <v>4560.7986432495454</v>
      </c>
      <c r="J87" s="447">
        <f t="shared" si="31"/>
        <v>4613.6203224669734</v>
      </c>
      <c r="K87" s="447">
        <f t="shared" si="31"/>
        <v>4650.7631690371163</v>
      </c>
      <c r="L87" s="447">
        <f t="shared" si="31"/>
        <v>4680.1186457046815</v>
      </c>
      <c r="M87" s="447">
        <f t="shared" si="31"/>
        <v>4697.9866783815323</v>
      </c>
      <c r="N87" s="447">
        <f t="shared" si="31"/>
        <v>4693.9329742788896</v>
      </c>
      <c r="O87" s="320"/>
      <c r="P87" s="320"/>
      <c r="Q87" s="320"/>
      <c r="R87" s="320"/>
    </row>
    <row r="88" spans="1:18">
      <c r="A88" s="302">
        <f>SUM(C88:N88)</f>
        <v>0</v>
      </c>
      <c r="C88" s="302">
        <f t="shared" ref="C88:N88" si="32">SUM(C77:C86)-C87</f>
        <v>0</v>
      </c>
      <c r="D88" s="302">
        <f t="shared" si="32"/>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8">
      <c r="B90" s="334" t="s">
        <v>47</v>
      </c>
      <c r="H90" s="318"/>
    </row>
    <row r="91" spans="1:18">
      <c r="H91" s="318"/>
    </row>
    <row r="92" spans="1:18">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8">
      <c r="B93" s="331" t="str">
        <f t="shared" si="33"/>
        <v>20-24</v>
      </c>
      <c r="C93" s="447">
        <f>C59-(0.2*C59)</f>
        <v>281.00420777275309</v>
      </c>
      <c r="D93" s="447">
        <f t="shared" ref="D93:N93" si="35">D59-(0.2*D59)</f>
        <v>385.59606863932834</v>
      </c>
      <c r="E93" s="447">
        <f t="shared" si="35"/>
        <v>438.2490471743057</v>
      </c>
      <c r="F93" s="447">
        <f t="shared" si="35"/>
        <v>477.30496828089929</v>
      </c>
      <c r="G93" s="447">
        <f t="shared" si="35"/>
        <v>503.26664993535059</v>
      </c>
      <c r="H93" s="447">
        <f t="shared" si="35"/>
        <v>524.52656276385164</v>
      </c>
      <c r="I93" s="447">
        <f t="shared" si="35"/>
        <v>543.2681210714702</v>
      </c>
      <c r="J93" s="447">
        <f t="shared" si="35"/>
        <v>557.61847098070371</v>
      </c>
      <c r="K93" s="447">
        <f t="shared" si="35"/>
        <v>564.13918452314419</v>
      </c>
      <c r="L93" s="447">
        <f t="shared" si="35"/>
        <v>567.11726122772041</v>
      </c>
      <c r="M93" s="447">
        <f t="shared" si="35"/>
        <v>566.34997831406747</v>
      </c>
      <c r="N93" s="447">
        <f t="shared" si="35"/>
        <v>559.54231648064422</v>
      </c>
    </row>
    <row r="94" spans="1:18">
      <c r="B94" s="331" t="str">
        <f t="shared" si="33"/>
        <v>25-29</v>
      </c>
      <c r="C94" s="447">
        <f t="shared" ref="C94:C101" si="36">C60+(0.2*C59)-(0.2*C60)</f>
        <v>1033.6449403225013</v>
      </c>
      <c r="D94" s="447">
        <f t="shared" ref="D94:N94" si="37">D60+(0.2*D59)-(0.2*D60)</f>
        <v>1024.8530331830561</v>
      </c>
      <c r="E94" s="447">
        <f t="shared" si="37"/>
        <v>1012.3068066938032</v>
      </c>
      <c r="F94" s="447">
        <f t="shared" si="37"/>
        <v>1015.6554401443409</v>
      </c>
      <c r="G94" s="447">
        <f t="shared" si="37"/>
        <v>1023.3584119796757</v>
      </c>
      <c r="H94" s="447">
        <f t="shared" si="37"/>
        <v>1037.7858712927855</v>
      </c>
      <c r="I94" s="447">
        <f t="shared" si="37"/>
        <v>1057.0086794293761</v>
      </c>
      <c r="J94" s="447">
        <f t="shared" si="37"/>
        <v>1075.7740433006475</v>
      </c>
      <c r="K94" s="447">
        <f t="shared" si="37"/>
        <v>1087.3141672727122</v>
      </c>
      <c r="L94" s="447">
        <f t="shared" si="37"/>
        <v>1094.6982750626639</v>
      </c>
      <c r="M94" s="447">
        <f t="shared" si="37"/>
        <v>1096.855070149034</v>
      </c>
      <c r="N94" s="447">
        <f t="shared" si="37"/>
        <v>1090.2546011285597</v>
      </c>
    </row>
    <row r="95" spans="1:18">
      <c r="B95" s="331" t="str">
        <f t="shared" si="33"/>
        <v>30-34</v>
      </c>
      <c r="C95" s="447">
        <f t="shared" si="36"/>
        <v>1081.7704417363807</v>
      </c>
      <c r="D95" s="447">
        <f t="shared" ref="D95:N95" si="38">D61+(0.2*D60)-(0.2*D61)</f>
        <v>1114.6940807249293</v>
      </c>
      <c r="E95" s="447">
        <f t="shared" si="38"/>
        <v>1122.2839354895789</v>
      </c>
      <c r="F95" s="447">
        <f t="shared" si="38"/>
        <v>1126.7770104081226</v>
      </c>
      <c r="G95" s="447">
        <f t="shared" si="38"/>
        <v>1129.2701301037989</v>
      </c>
      <c r="H95" s="447">
        <f t="shared" si="38"/>
        <v>1135.1824429182627</v>
      </c>
      <c r="I95" s="447">
        <f t="shared" si="38"/>
        <v>1145.2650236833547</v>
      </c>
      <c r="J95" s="447">
        <f t="shared" si="38"/>
        <v>1157.16263120287</v>
      </c>
      <c r="K95" s="447">
        <f t="shared" si="38"/>
        <v>1166.5984602872302</v>
      </c>
      <c r="L95" s="447">
        <f t="shared" si="38"/>
        <v>1174.339639247688</v>
      </c>
      <c r="M95" s="447">
        <f t="shared" si="38"/>
        <v>1179.105404075593</v>
      </c>
      <c r="N95" s="447">
        <f t="shared" si="38"/>
        <v>1178.1375670141729</v>
      </c>
    </row>
    <row r="96" spans="1:18">
      <c r="B96" s="331" t="str">
        <f t="shared" si="33"/>
        <v>35-39</v>
      </c>
      <c r="C96" s="447">
        <f t="shared" si="36"/>
        <v>999.9406621958093</v>
      </c>
      <c r="D96" s="447">
        <f t="shared" ref="D96:N96" si="39">D62+(0.2*D61)-(0.2*D62)</f>
        <v>1024.0868328640788</v>
      </c>
      <c r="E96" s="447">
        <f t="shared" si="39"/>
        <v>1037.83613575053</v>
      </c>
      <c r="F96" s="447">
        <f t="shared" si="39"/>
        <v>1049.6883509742709</v>
      </c>
      <c r="G96" s="447">
        <f t="shared" si="39"/>
        <v>1057.9559298958318</v>
      </c>
      <c r="H96" s="447">
        <f t="shared" si="39"/>
        <v>1066.2490324472778</v>
      </c>
      <c r="I96" s="447">
        <f t="shared" si="39"/>
        <v>1075.5201234697702</v>
      </c>
      <c r="J96" s="447">
        <f t="shared" si="39"/>
        <v>1084.9043781853661</v>
      </c>
      <c r="K96" s="447">
        <f t="shared" si="39"/>
        <v>1092.2540075096827</v>
      </c>
      <c r="L96" s="447">
        <f t="shared" si="39"/>
        <v>1098.5753623218986</v>
      </c>
      <c r="M96" s="447">
        <f t="shared" si="39"/>
        <v>1103.1670628523048</v>
      </c>
      <c r="N96" s="447">
        <f t="shared" si="39"/>
        <v>1104.1985936584297</v>
      </c>
    </row>
    <row r="97" spans="1:14">
      <c r="B97" s="331" t="str">
        <f t="shared" si="33"/>
        <v>40-44</v>
      </c>
      <c r="C97" s="447">
        <f t="shared" si="36"/>
        <v>936.49004429914123</v>
      </c>
      <c r="D97" s="447">
        <f t="shared" ref="D97:N97" si="40">D63+(0.2*D62)-(0.2*D63)</f>
        <v>948.0514584360202</v>
      </c>
      <c r="E97" s="447">
        <f t="shared" si="40"/>
        <v>952.69111044835165</v>
      </c>
      <c r="F97" s="447">
        <f t="shared" si="40"/>
        <v>958.85248296513055</v>
      </c>
      <c r="G97" s="447">
        <f t="shared" si="40"/>
        <v>964.44374700979733</v>
      </c>
      <c r="H97" s="447">
        <f t="shared" si="40"/>
        <v>971.53630117462308</v>
      </c>
      <c r="I97" s="447">
        <f t="shared" si="40"/>
        <v>980.01090931416684</v>
      </c>
      <c r="J97" s="447">
        <f t="shared" si="40"/>
        <v>988.54706846626198</v>
      </c>
      <c r="K97" s="447">
        <f t="shared" si="40"/>
        <v>995.11784807749757</v>
      </c>
      <c r="L97" s="447">
        <f t="shared" si="40"/>
        <v>1000.6323178017508</v>
      </c>
      <c r="M97" s="447">
        <f t="shared" si="40"/>
        <v>1004.6295790800466</v>
      </c>
      <c r="N97" s="447">
        <f t="shared" si="40"/>
        <v>1005.7420681050936</v>
      </c>
    </row>
    <row r="98" spans="1:14">
      <c r="B98" s="331" t="str">
        <f t="shared" si="33"/>
        <v>45-49</v>
      </c>
      <c r="C98" s="447">
        <f t="shared" si="36"/>
        <v>800.67428206274531</v>
      </c>
      <c r="D98" s="447">
        <f t="shared" ref="D98:N98" si="41">D64+(0.2*D63)-(0.2*D64)</f>
        <v>816.87532043675469</v>
      </c>
      <c r="E98" s="447">
        <f t="shared" si="41"/>
        <v>823.94053489883072</v>
      </c>
      <c r="F98" s="447">
        <f t="shared" si="41"/>
        <v>829.94578649359369</v>
      </c>
      <c r="G98" s="447">
        <f t="shared" si="41"/>
        <v>834.40452855852186</v>
      </c>
      <c r="H98" s="447">
        <f t="shared" si="41"/>
        <v>839.8773520450402</v>
      </c>
      <c r="I98" s="447">
        <f t="shared" si="41"/>
        <v>846.58701562555848</v>
      </c>
      <c r="J98" s="447">
        <f t="shared" si="41"/>
        <v>853.52145216089639</v>
      </c>
      <c r="K98" s="447">
        <f t="shared" si="41"/>
        <v>858.96788671257127</v>
      </c>
      <c r="L98" s="447">
        <f t="shared" si="41"/>
        <v>863.59335383705388</v>
      </c>
      <c r="M98" s="447">
        <f t="shared" si="41"/>
        <v>866.97584121549085</v>
      </c>
      <c r="N98" s="447">
        <f t="shared" si="41"/>
        <v>867.98743762417621</v>
      </c>
    </row>
    <row r="99" spans="1:14">
      <c r="B99" s="331" t="str">
        <f t="shared" si="33"/>
        <v>50-54</v>
      </c>
      <c r="C99" s="447">
        <f t="shared" si="36"/>
        <v>616.2247788208831</v>
      </c>
      <c r="D99" s="447">
        <f t="shared" ref="D99:N99" si="42">D65+(0.2*D64)-(0.2*D65)</f>
        <v>628.23990823812858</v>
      </c>
      <c r="E99" s="447">
        <f t="shared" si="42"/>
        <v>634.47403985882295</v>
      </c>
      <c r="F99" s="447">
        <f t="shared" si="42"/>
        <v>640.09274230541791</v>
      </c>
      <c r="G99" s="447">
        <f t="shared" si="42"/>
        <v>644.2999222079485</v>
      </c>
      <c r="H99" s="447">
        <f t="shared" si="42"/>
        <v>648.98779275220227</v>
      </c>
      <c r="I99" s="447">
        <f t="shared" si="42"/>
        <v>654.37077202260548</v>
      </c>
      <c r="J99" s="447">
        <f t="shared" si="42"/>
        <v>659.76857845501661</v>
      </c>
      <c r="K99" s="447">
        <f t="shared" si="42"/>
        <v>663.96068156970637</v>
      </c>
      <c r="L99" s="447">
        <f t="shared" si="42"/>
        <v>667.50145879482659</v>
      </c>
      <c r="M99" s="447">
        <f t="shared" si="42"/>
        <v>670.09116646521898</v>
      </c>
      <c r="N99" s="447">
        <f t="shared" si="42"/>
        <v>670.88430921219856</v>
      </c>
    </row>
    <row r="100" spans="1:14">
      <c r="B100" s="331" t="str">
        <f t="shared" si="33"/>
        <v>55-59</v>
      </c>
      <c r="C100" s="447">
        <f t="shared" si="36"/>
        <v>381.61661546785365</v>
      </c>
      <c r="D100" s="447">
        <f t="shared" ref="D100:N100" si="43">D66+(0.2*D65)-(0.2*D66)</f>
        <v>372.06228920371763</v>
      </c>
      <c r="E100" s="447">
        <f t="shared" si="43"/>
        <v>365.01452256528387</v>
      </c>
      <c r="F100" s="447">
        <f t="shared" si="43"/>
        <v>362.03217094615746</v>
      </c>
      <c r="G100" s="447">
        <f t="shared" si="43"/>
        <v>360.83291722290983</v>
      </c>
      <c r="H100" s="447">
        <f t="shared" si="43"/>
        <v>361.47829938831177</v>
      </c>
      <c r="I100" s="447">
        <f t="shared" si="43"/>
        <v>363.43455471765719</v>
      </c>
      <c r="J100" s="447">
        <f t="shared" si="43"/>
        <v>365.83375891895753</v>
      </c>
      <c r="K100" s="447">
        <f t="shared" si="43"/>
        <v>367.6579587753647</v>
      </c>
      <c r="L100" s="447">
        <f t="shared" si="43"/>
        <v>369.23523769481613</v>
      </c>
      <c r="M100" s="447">
        <f t="shared" si="43"/>
        <v>370.31709950095598</v>
      </c>
      <c r="N100" s="447">
        <f t="shared" si="43"/>
        <v>370.3259856004392</v>
      </c>
    </row>
    <row r="101" spans="1:14">
      <c r="B101" s="331" t="str">
        <f t="shared" si="33"/>
        <v>60-64</v>
      </c>
      <c r="C101" s="447">
        <f t="shared" si="36"/>
        <v>121.56221594493546</v>
      </c>
      <c r="D101" s="447">
        <f t="shared" ref="D101:N101" si="44">D67+(0.2*D66)-(0.2*D67)</f>
        <v>137.56856686919764</v>
      </c>
      <c r="E101" s="447">
        <f t="shared" si="44"/>
        <v>142.40158728811051</v>
      </c>
      <c r="F101" s="447">
        <f t="shared" si="44"/>
        <v>143.97662737805143</v>
      </c>
      <c r="G101" s="447">
        <f t="shared" si="44"/>
        <v>144.18570191980211</v>
      </c>
      <c r="H101" s="447">
        <f t="shared" si="44"/>
        <v>144.45633978285014</v>
      </c>
      <c r="I101" s="447">
        <f t="shared" si="44"/>
        <v>145.09993859816461</v>
      </c>
      <c r="J101" s="447">
        <f t="shared" si="44"/>
        <v>145.87290332110609</v>
      </c>
      <c r="K101" s="447">
        <f t="shared" si="44"/>
        <v>146.31497180597626</v>
      </c>
      <c r="L101" s="447">
        <f t="shared" si="44"/>
        <v>146.67345473840962</v>
      </c>
      <c r="M101" s="447">
        <f t="shared" si="44"/>
        <v>146.82486857282339</v>
      </c>
      <c r="N101" s="447">
        <f t="shared" si="44"/>
        <v>146.46347312260912</v>
      </c>
    </row>
    <row r="102" spans="1:14">
      <c r="B102" s="331" t="str">
        <f t="shared" si="33"/>
        <v>65 plus</v>
      </c>
      <c r="C102" s="447">
        <f>C68+(0.2*C67)</f>
        <v>25.941253919519028</v>
      </c>
      <c r="D102" s="447">
        <f t="shared" ref="D102:N102" si="45">D68+(0.2*D67)</f>
        <v>39.974585587093728</v>
      </c>
      <c r="E102" s="447">
        <f t="shared" si="45"/>
        <v>50.328397165663034</v>
      </c>
      <c r="F102" s="447">
        <f t="shared" si="45"/>
        <v>57.723133590413724</v>
      </c>
      <c r="G102" s="447">
        <f t="shared" si="45"/>
        <v>62.636409477273013</v>
      </c>
      <c r="H102" s="447">
        <f t="shared" si="45"/>
        <v>65.981186248374172</v>
      </c>
      <c r="I102" s="447">
        <f t="shared" si="45"/>
        <v>68.347902132256422</v>
      </c>
      <c r="J102" s="447">
        <f t="shared" si="45"/>
        <v>70.022437697020464</v>
      </c>
      <c r="K102" s="447">
        <f t="shared" si="45"/>
        <v>71.071740593775104</v>
      </c>
      <c r="L102" s="447">
        <f t="shared" si="45"/>
        <v>71.746877564796691</v>
      </c>
      <c r="M102" s="447">
        <f t="shared" si="45"/>
        <v>72.116106894770667</v>
      </c>
      <c r="N102" s="447">
        <f t="shared" si="45"/>
        <v>72.121319450047679</v>
      </c>
    </row>
    <row r="103" spans="1:14">
      <c r="B103" s="331" t="str">
        <f t="shared" si="33"/>
        <v>Total</v>
      </c>
      <c r="C103" s="447">
        <f>SUM(C93:C102)</f>
        <v>6278.8694425425228</v>
      </c>
      <c r="D103" s="447">
        <f t="shared" ref="D103:N103" si="46">SUM(D93:D102)</f>
        <v>6492.0021441823046</v>
      </c>
      <c r="E103" s="447">
        <f t="shared" si="46"/>
        <v>6579.5261173332801</v>
      </c>
      <c r="F103" s="447">
        <f t="shared" si="46"/>
        <v>6662.0487134863988</v>
      </c>
      <c r="G103" s="447">
        <f t="shared" si="46"/>
        <v>6724.6543483109099</v>
      </c>
      <c r="H103" s="447">
        <f t="shared" si="46"/>
        <v>6796.0611808135791</v>
      </c>
      <c r="I103" s="447">
        <f t="shared" si="46"/>
        <v>6878.9130400643808</v>
      </c>
      <c r="J103" s="447">
        <f t="shared" si="46"/>
        <v>6959.0257226888461</v>
      </c>
      <c r="K103" s="447">
        <f t="shared" si="46"/>
        <v>7013.3969071276597</v>
      </c>
      <c r="L103" s="447">
        <f t="shared" si="46"/>
        <v>7054.1132382916248</v>
      </c>
      <c r="M103" s="447">
        <f t="shared" si="46"/>
        <v>7076.4321771203049</v>
      </c>
      <c r="N103" s="447">
        <f t="shared" si="46"/>
        <v>7065.6576713963705</v>
      </c>
    </row>
    <row r="104" spans="1:14">
      <c r="A104" s="302">
        <f>SUM(C104:N104)</f>
        <v>0</v>
      </c>
      <c r="C104" s="302">
        <f t="shared" ref="C104:N104" si="47">SUM(C93:C102)-C103</f>
        <v>0</v>
      </c>
      <c r="D104" s="302">
        <f t="shared" si="47"/>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4" ht="15.75">
      <c r="B106" s="333" t="s">
        <v>164</v>
      </c>
      <c r="H106" s="318"/>
    </row>
    <row r="107" spans="1:14">
      <c r="H107" s="318"/>
    </row>
    <row r="108" spans="1:14">
      <c r="B108" s="334" t="s">
        <v>46</v>
      </c>
      <c r="H108" s="318"/>
    </row>
    <row r="109" spans="1:14">
      <c r="H109" s="318"/>
    </row>
    <row r="110" spans="1:14">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4">
      <c r="B111" s="331" t="str">
        <f t="shared" si="48"/>
        <v>20-24</v>
      </c>
      <c r="C111" s="447">
        <f>C77*Group_1_rates!E74</f>
        <v>24.832896548378343</v>
      </c>
      <c r="D111" s="447">
        <f>D77*Group_1_rates!F74</f>
        <v>39.343640260037468</v>
      </c>
      <c r="E111" s="447">
        <f>E77*Group_1_rates!G74</f>
        <v>49.094333454490432</v>
      </c>
      <c r="F111" s="447">
        <f>F77*Group_1_rates!H74</f>
        <v>53.74805648759164</v>
      </c>
      <c r="G111" s="447">
        <f>G77*Group_1_rates!I74</f>
        <v>57.545767805934901</v>
      </c>
      <c r="H111" s="447">
        <f>H77*Group_1_rates!J74</f>
        <v>60.485499331968519</v>
      </c>
      <c r="I111" s="447">
        <f>I77*Group_1_rates!K74</f>
        <v>62.947563297731669</v>
      </c>
      <c r="J111" s="447">
        <f>J77*Group_1_rates!L74</f>
        <v>64.762149270654376</v>
      </c>
      <c r="K111" s="447">
        <f>K77*Group_1_rates!M74</f>
        <v>65.547674378533316</v>
      </c>
      <c r="L111" s="447">
        <f>L77*Group_1_rates!N74</f>
        <v>65.880934497122624</v>
      </c>
      <c r="M111" s="447">
        <f>M77*Group_1_rates!O74</f>
        <v>65.75087786675185</v>
      </c>
      <c r="N111" s="447">
        <f>N77*Group_1_rates!P74</f>
        <v>64.880985776653034</v>
      </c>
    </row>
    <row r="112" spans="1:14">
      <c r="B112" s="331" t="str">
        <f t="shared" si="48"/>
        <v>25-29</v>
      </c>
      <c r="C112" s="447">
        <f>C78*Group_1_rates!E75</f>
        <v>79.240882066859442</v>
      </c>
      <c r="D112" s="447">
        <f>D78*Group_1_rates!F75</f>
        <v>77.476886453512009</v>
      </c>
      <c r="E112" s="447">
        <f>E78*Group_1_rates!G75</f>
        <v>81.219441380730842</v>
      </c>
      <c r="F112" s="447">
        <f>F78*Group_1_rates!H75</f>
        <v>81.322666593232455</v>
      </c>
      <c r="G112" s="447">
        <f>G78*Group_1_rates!I75</f>
        <v>83.304472343517489</v>
      </c>
      <c r="H112" s="447">
        <f>H78*Group_1_rates!J75</f>
        <v>85.542587618573151</v>
      </c>
      <c r="I112" s="447">
        <f>I78*Group_1_rates!K75</f>
        <v>87.935283449438316</v>
      </c>
      <c r="J112" s="447">
        <f>J78*Group_1_rates!L75</f>
        <v>90.073986327905729</v>
      </c>
      <c r="K112" s="447">
        <f>K78*Group_1_rates!M75</f>
        <v>91.407588869073606</v>
      </c>
      <c r="L112" s="447">
        <f>L78*Group_1_rates!N75</f>
        <v>92.262485907780771</v>
      </c>
      <c r="M112" s="447">
        <f>M78*Group_1_rates!O75</f>
        <v>92.578576422381204</v>
      </c>
      <c r="N112" s="447">
        <f>N78*Group_1_rates!P75</f>
        <v>92.066900651259473</v>
      </c>
    </row>
    <row r="113" spans="1:14">
      <c r="B113" s="331" t="str">
        <f t="shared" si="48"/>
        <v>30-34</v>
      </c>
      <c r="C113" s="447">
        <f>C79*Group_1_rates!E76</f>
        <v>58.983781222514637</v>
      </c>
      <c r="D113" s="447">
        <f>D79*Group_1_rates!F76</f>
        <v>59.774898558474888</v>
      </c>
      <c r="E113" s="447">
        <f>E79*Group_1_rates!G76</f>
        <v>63.648722971113443</v>
      </c>
      <c r="F113" s="447">
        <f>F79*Group_1_rates!H76</f>
        <v>63.685686731782823</v>
      </c>
      <c r="G113" s="447">
        <f>G79*Group_1_rates!I76</f>
        <v>64.900922940573807</v>
      </c>
      <c r="H113" s="447">
        <f>H79*Group_1_rates!J76</f>
        <v>66.202039330662842</v>
      </c>
      <c r="I113" s="447">
        <f>I79*Group_1_rates!K76</f>
        <v>67.629807356954515</v>
      </c>
      <c r="J113" s="447">
        <f>J79*Group_1_rates!L76</f>
        <v>69.039002163634692</v>
      </c>
      <c r="K113" s="447">
        <f>K79*Group_1_rates!M76</f>
        <v>70.169177566389763</v>
      </c>
      <c r="L113" s="447">
        <f>L79*Group_1_rates!N76</f>
        <v>71.083666241161396</v>
      </c>
      <c r="M113" s="447">
        <f>M79*Group_1_rates!O76</f>
        <v>71.717945870224469</v>
      </c>
      <c r="N113" s="447">
        <f>N79*Group_1_rates!P76</f>
        <v>71.913462377631689</v>
      </c>
    </row>
    <row r="114" spans="1:14">
      <c r="B114" s="331" t="str">
        <f t="shared" si="48"/>
        <v>35-39</v>
      </c>
      <c r="C114" s="447">
        <f>C80*Group_1_rates!E77</f>
        <v>58.965433984384063</v>
      </c>
      <c r="D114" s="447">
        <f>D80*Group_1_rates!F77</f>
        <v>57.160153167253071</v>
      </c>
      <c r="E114" s="447">
        <f>E80*Group_1_rates!G77</f>
        <v>59.678915641892843</v>
      </c>
      <c r="F114" s="447">
        <f>F80*Group_1_rates!H77</f>
        <v>59.034565583245644</v>
      </c>
      <c r="G114" s="447">
        <f>G80*Group_1_rates!I77</f>
        <v>59.701232342039226</v>
      </c>
      <c r="H114" s="447">
        <f>H80*Group_1_rates!J77</f>
        <v>60.511836238464589</v>
      </c>
      <c r="I114" s="447">
        <f>I80*Group_1_rates!K77</f>
        <v>61.463286491541702</v>
      </c>
      <c r="J114" s="447">
        <f>J80*Group_1_rates!L77</f>
        <v>62.456606005969519</v>
      </c>
      <c r="K114" s="447">
        <f>K80*Group_1_rates!M77</f>
        <v>63.327217765075112</v>
      </c>
      <c r="L114" s="447">
        <f>L80*Group_1_rates!N77</f>
        <v>64.114555321149012</v>
      </c>
      <c r="M114" s="447">
        <f>M80*Group_1_rates!O77</f>
        <v>64.762007918965139</v>
      </c>
      <c r="N114" s="447">
        <f>N80*Group_1_rates!P77</f>
        <v>65.150269341504995</v>
      </c>
    </row>
    <row r="115" spans="1:14">
      <c r="B115" s="331" t="str">
        <f t="shared" si="48"/>
        <v>40-44</v>
      </c>
      <c r="C115" s="447">
        <f>C81*Group_1_rates!E78</f>
        <v>53.874510040532329</v>
      </c>
      <c r="D115" s="447">
        <f>D81*Group_1_rates!F78</f>
        <v>51.654357155141007</v>
      </c>
      <c r="E115" s="447">
        <f>E81*Group_1_rates!G78</f>
        <v>53.154636994864781</v>
      </c>
      <c r="F115" s="447">
        <f>F81*Group_1_rates!H78</f>
        <v>51.833543283536848</v>
      </c>
      <c r="G115" s="447">
        <f>G81*Group_1_rates!I78</f>
        <v>51.755482815528815</v>
      </c>
      <c r="H115" s="447">
        <f>H81*Group_1_rates!J78</f>
        <v>51.888208734452526</v>
      </c>
      <c r="I115" s="447">
        <f>I81*Group_1_rates!K78</f>
        <v>52.214729085888571</v>
      </c>
      <c r="J115" s="447">
        <f>J81*Group_1_rates!L78</f>
        <v>52.645471479221555</v>
      </c>
      <c r="K115" s="447">
        <f>K81*Group_1_rates!M78</f>
        <v>53.049143094884002</v>
      </c>
      <c r="L115" s="447">
        <f>L81*Group_1_rates!N78</f>
        <v>53.45364807555471</v>
      </c>
      <c r="M115" s="447">
        <f>M81*Group_1_rates!O78</f>
        <v>53.814801853780025</v>
      </c>
      <c r="N115" s="447">
        <f>N81*Group_1_rates!P78</f>
        <v>54.041740873939958</v>
      </c>
    </row>
    <row r="116" spans="1:14">
      <c r="B116" s="331" t="str">
        <f t="shared" si="48"/>
        <v>45-49</v>
      </c>
      <c r="C116" s="447">
        <f>C82*Group_1_rates!E79</f>
        <v>60.276738464676583</v>
      </c>
      <c r="D116" s="447">
        <f>D82*Group_1_rates!F79</f>
        <v>58.077890829499097</v>
      </c>
      <c r="E116" s="447">
        <f>E82*Group_1_rates!G79</f>
        <v>59.935721899102973</v>
      </c>
      <c r="F116" s="447">
        <f>F82*Group_1_rates!H79</f>
        <v>58.366489926183647</v>
      </c>
      <c r="G116" s="447">
        <f>G82*Group_1_rates!I79</f>
        <v>58.083699460189003</v>
      </c>
      <c r="H116" s="447">
        <f>H82*Group_1_rates!J79</f>
        <v>57.946872382950545</v>
      </c>
      <c r="I116" s="447">
        <f>I82*Group_1_rates!K79</f>
        <v>57.979370025891619</v>
      </c>
      <c r="J116" s="447">
        <f>J82*Group_1_rates!L79</f>
        <v>58.115632533585817</v>
      </c>
      <c r="K116" s="447">
        <f>K82*Group_1_rates!M79</f>
        <v>58.237286779940646</v>
      </c>
      <c r="L116" s="447">
        <f>L82*Group_1_rates!N79</f>
        <v>58.383769333145146</v>
      </c>
      <c r="M116" s="447">
        <f>M82*Group_1_rates!O79</f>
        <v>58.517038111874868</v>
      </c>
      <c r="N116" s="447">
        <f>N82*Group_1_rates!P79</f>
        <v>58.549153681030468</v>
      </c>
    </row>
    <row r="117" spans="1:14">
      <c r="B117" s="331" t="str">
        <f t="shared" si="48"/>
        <v>50-54</v>
      </c>
      <c r="C117" s="447">
        <f>C83*Group_1_rates!E80</f>
        <v>51.789611960920311</v>
      </c>
      <c r="D117" s="447">
        <f>D83*Group_1_rates!F80</f>
        <v>48.736696724848763</v>
      </c>
      <c r="E117" s="447">
        <f>E83*Group_1_rates!G80</f>
        <v>49.553492351578008</v>
      </c>
      <c r="F117" s="447">
        <f>F83*Group_1_rates!H80</f>
        <v>47.755476274546233</v>
      </c>
      <c r="G117" s="447">
        <f>G83*Group_1_rates!I80</f>
        <v>47.170328542149342</v>
      </c>
      <c r="H117" s="447">
        <f>H83*Group_1_rates!J80</f>
        <v>46.776916005878569</v>
      </c>
      <c r="I117" s="447">
        <f>I83*Group_1_rates!K80</f>
        <v>46.555893540479573</v>
      </c>
      <c r="J117" s="447">
        <f>J83*Group_1_rates!L80</f>
        <v>46.437389481440938</v>
      </c>
      <c r="K117" s="447">
        <f>K83*Group_1_rates!M80</f>
        <v>46.321599331798922</v>
      </c>
      <c r="L117" s="447">
        <f>L83*Group_1_rates!N80</f>
        <v>46.237185136166943</v>
      </c>
      <c r="M117" s="447">
        <f>M83*Group_1_rates!O80</f>
        <v>46.15495474977412</v>
      </c>
      <c r="N117" s="447">
        <f>N83*Group_1_rates!P80</f>
        <v>46.008595133381853</v>
      </c>
    </row>
    <row r="118" spans="1:14">
      <c r="B118" s="331" t="str">
        <f t="shared" si="48"/>
        <v>55-59</v>
      </c>
      <c r="C118" s="447">
        <f>C84*Group_1_rates!E81</f>
        <v>26.155396653179494</v>
      </c>
      <c r="D118" s="447">
        <f>D84*Group_1_rates!F81</f>
        <v>22.52828397302126</v>
      </c>
      <c r="E118" s="447">
        <f>E84*Group_1_rates!G81</f>
        <v>21.505613386159592</v>
      </c>
      <c r="F118" s="447">
        <f>F84*Group_1_rates!H81</f>
        <v>19.868215293940587</v>
      </c>
      <c r="G118" s="447">
        <f>G84*Group_1_rates!I81</f>
        <v>19.07680644147997</v>
      </c>
      <c r="H118" s="447">
        <f>H84*Group_1_rates!J81</f>
        <v>18.572809047079168</v>
      </c>
      <c r="I118" s="447">
        <f>I84*Group_1_rates!K81</f>
        <v>18.266488013943402</v>
      </c>
      <c r="J118" s="447">
        <f>J84*Group_1_rates!L81</f>
        <v>18.073933535006073</v>
      </c>
      <c r="K118" s="447">
        <f>K84*Group_1_rates!M81</f>
        <v>17.918693861965576</v>
      </c>
      <c r="L118" s="447">
        <f>L84*Group_1_rates!N81</f>
        <v>17.800999197767741</v>
      </c>
      <c r="M118" s="447">
        <f>M84*Group_1_rates!O81</f>
        <v>17.697575930290782</v>
      </c>
      <c r="N118" s="447">
        <f>N84*Group_1_rates!P81</f>
        <v>17.572540999155464</v>
      </c>
    </row>
    <row r="119" spans="1:14">
      <c r="B119" s="331" t="str">
        <f t="shared" si="48"/>
        <v>60-64</v>
      </c>
      <c r="C119" s="447">
        <f>C85*Group_1_rates!E82</f>
        <v>11.306032124499509</v>
      </c>
      <c r="D119" s="447">
        <f>D85*Group_1_rates!F82</f>
        <v>10.251242347086501</v>
      </c>
      <c r="E119" s="447">
        <f>E85*Group_1_rates!G82</f>
        <v>9.8118784480225845</v>
      </c>
      <c r="F119" s="447">
        <f>F85*Group_1_rates!H82</f>
        <v>8.9276885589283399</v>
      </c>
      <c r="G119" s="447">
        <f>G85*Group_1_rates!I82</f>
        <v>8.4080031143335621</v>
      </c>
      <c r="H119" s="447">
        <f>H85*Group_1_rates!J82</f>
        <v>8.0465370453252749</v>
      </c>
      <c r="I119" s="447">
        <f>I85*Group_1_rates!K82</f>
        <v>7.8113685240537336</v>
      </c>
      <c r="J119" s="447">
        <f>J85*Group_1_rates!L82</f>
        <v>7.6557629001233236</v>
      </c>
      <c r="K119" s="447">
        <f>K85*Group_1_rates!M82</f>
        <v>7.5326193677590583</v>
      </c>
      <c r="L119" s="447">
        <f>L85*Group_1_rates!N82</f>
        <v>7.4403107093062424</v>
      </c>
      <c r="M119" s="447">
        <f>M85*Group_1_rates!O82</f>
        <v>7.3622957632413231</v>
      </c>
      <c r="N119" s="447">
        <f>N85*Group_1_rates!P82</f>
        <v>7.2758664313939336</v>
      </c>
    </row>
    <row r="120" spans="1:14">
      <c r="B120" s="331" t="str">
        <f t="shared" si="48"/>
        <v>65 plus</v>
      </c>
      <c r="C120" s="447">
        <f>C86*Group_1_rates!E83</f>
        <v>5.4523405557773259</v>
      </c>
      <c r="D120" s="447">
        <f>D86*Group_1_rates!F83</f>
        <v>5.6963843797102767</v>
      </c>
      <c r="E120" s="447">
        <f>E86*Group_1_rates!G83</f>
        <v>6.0167435205628683</v>
      </c>
      <c r="F120" s="447">
        <f>F86*Group_1_rates!H83</f>
        <v>5.7889996209957086</v>
      </c>
      <c r="G120" s="447">
        <f>G86*Group_1_rates!I83</f>
        <v>5.608153178927453</v>
      </c>
      <c r="H120" s="447">
        <f>H86*Group_1_rates!J83</f>
        <v>5.4173909319591056</v>
      </c>
      <c r="I120" s="447">
        <f>I86*Group_1_rates!K83</f>
        <v>5.2531892549203878</v>
      </c>
      <c r="J120" s="447">
        <f>J86*Group_1_rates!L83</f>
        <v>5.119452434588136</v>
      </c>
      <c r="K120" s="447">
        <f>K86*Group_1_rates!M83</f>
        <v>5.0024557268603793</v>
      </c>
      <c r="L120" s="447">
        <f>L86*Group_1_rates!N83</f>
        <v>4.9070715486402428</v>
      </c>
      <c r="M120" s="447">
        <f>M86*Group_1_rates!O83</f>
        <v>4.8255804291360311</v>
      </c>
      <c r="N120" s="447">
        <f>N86*Group_1_rates!P83</f>
        <v>4.7433371243770273</v>
      </c>
    </row>
    <row r="121" spans="1:14">
      <c r="B121" s="331" t="str">
        <f t="shared" si="48"/>
        <v>Total</v>
      </c>
      <c r="C121" s="447">
        <f>SUM(C111:C120)</f>
        <v>430.87762362172197</v>
      </c>
      <c r="D121" s="447">
        <f t="shared" ref="D121:N121" si="50">SUM(D111:D120)</f>
        <v>430.70043384858423</v>
      </c>
      <c r="E121" s="447">
        <f t="shared" si="50"/>
        <v>453.61950004851838</v>
      </c>
      <c r="F121" s="447">
        <f t="shared" si="50"/>
        <v>450.33138835398398</v>
      </c>
      <c r="G121" s="447">
        <f t="shared" si="50"/>
        <v>455.55486898467353</v>
      </c>
      <c r="H121" s="447">
        <f t="shared" si="50"/>
        <v>461.39069666731427</v>
      </c>
      <c r="I121" s="447">
        <f t="shared" si="50"/>
        <v>468.05697904084349</v>
      </c>
      <c r="J121" s="447">
        <f t="shared" si="50"/>
        <v>474.37938613213015</v>
      </c>
      <c r="K121" s="447">
        <f t="shared" si="50"/>
        <v>478.51345674228037</v>
      </c>
      <c r="L121" s="447">
        <f t="shared" si="50"/>
        <v>481.56462596779483</v>
      </c>
      <c r="M121" s="447">
        <f t="shared" si="50"/>
        <v>483.1816549164198</v>
      </c>
      <c r="N121" s="447">
        <f t="shared" si="50"/>
        <v>482.20285239032791</v>
      </c>
    </row>
    <row r="122" spans="1:14">
      <c r="A122" s="302">
        <f>SUM(C122:N122)</f>
        <v>0</v>
      </c>
      <c r="C122" s="302">
        <f t="shared" ref="C122:N122" si="51">SUM(C111:C120)-C121</f>
        <v>0</v>
      </c>
      <c r="D122" s="302">
        <f t="shared" si="51"/>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4">
      <c r="B127" s="331" t="str">
        <f t="shared" si="52"/>
        <v>20-24</v>
      </c>
      <c r="C127" s="447">
        <f>C93*Group_1_rates!E89</f>
        <v>40.850027693792171</v>
      </c>
      <c r="D127" s="447">
        <f>D93*Group_1_rates!F89</f>
        <v>56.331742095203559</v>
      </c>
      <c r="E127" s="447">
        <f>E93*Group_1_rates!G89</f>
        <v>65.08959873236121</v>
      </c>
      <c r="F127" s="447">
        <f>F93*Group_1_rates!H89</f>
        <v>71.80158642039153</v>
      </c>
      <c r="G127" s="447">
        <f>G93*Group_1_rates!I89</f>
        <v>75.707034829287494</v>
      </c>
      <c r="H127" s="447">
        <f>H93*Group_1_rates!J89</f>
        <v>78.905190242887244</v>
      </c>
      <c r="I127" s="447">
        <f>I93*Group_1_rates!K89</f>
        <v>81.72450641997203</v>
      </c>
      <c r="J127" s="447">
        <f>J93*Group_1_rates!L89</f>
        <v>83.883247597298919</v>
      </c>
      <c r="K127" s="447">
        <f>K93*Group_1_rates!M89</f>
        <v>84.864166732975335</v>
      </c>
      <c r="L127" s="447">
        <f>L93*Group_1_rates!N89</f>
        <v>85.312162555521112</v>
      </c>
      <c r="M127" s="447">
        <f>M93*Group_1_rates!O89</f>
        <v>85.196739222233873</v>
      </c>
      <c r="N127" s="447">
        <f>N93*Group_1_rates!P89</f>
        <v>84.172654094409097</v>
      </c>
    </row>
    <row r="128" spans="1:14">
      <c r="B128" s="331" t="str">
        <f t="shared" si="52"/>
        <v>25-29</v>
      </c>
      <c r="C128" s="447">
        <f>C94*Group_1_rates!E90</f>
        <v>119.82316379432258</v>
      </c>
      <c r="D128" s="447">
        <f>D94*Group_1_rates!F90</f>
        <v>119.39112454923008</v>
      </c>
      <c r="E128" s="447">
        <f>E94*Group_1_rates!G90</f>
        <v>119.89267160964259</v>
      </c>
      <c r="F128" s="447">
        <f>F94*Group_1_rates!H90</f>
        <v>121.83564060023318</v>
      </c>
      <c r="G128" s="447">
        <f>G94*Group_1_rates!I90</f>
        <v>122.75967100561375</v>
      </c>
      <c r="H128" s="447">
        <f>H94*Group_1_rates!J90</f>
        <v>124.49035513151843</v>
      </c>
      <c r="I128" s="447">
        <f>I94*Group_1_rates!K90</f>
        <v>126.79627803695185</v>
      </c>
      <c r="J128" s="447">
        <f>J94*Group_1_rates!L90</f>
        <v>129.0473270029554</v>
      </c>
      <c r="K128" s="447">
        <f>K94*Group_1_rates!M90</f>
        <v>130.43165316433826</v>
      </c>
      <c r="L128" s="447">
        <f>L94*Group_1_rates!N90</f>
        <v>131.31743338791691</v>
      </c>
      <c r="M128" s="447">
        <f>M94*Group_1_rates!O90</f>
        <v>131.57615745968872</v>
      </c>
      <c r="N128" s="447">
        <f>N94*Group_1_rates!P90</f>
        <v>130.7843807019556</v>
      </c>
    </row>
    <row r="129" spans="1:14">
      <c r="B129" s="331" t="str">
        <f t="shared" si="52"/>
        <v>30-34</v>
      </c>
      <c r="C129" s="447">
        <f>C95*Group_1_rates!E91</f>
        <v>100.96286353149257</v>
      </c>
      <c r="D129" s="447">
        <f>D95*Group_1_rates!F91</f>
        <v>104.54982173481238</v>
      </c>
      <c r="E129" s="447">
        <f>E95*Group_1_rates!G91</f>
        <v>107.01394562931085</v>
      </c>
      <c r="F129" s="447">
        <f>F95*Group_1_rates!H91</f>
        <v>108.82359761959358</v>
      </c>
      <c r="G129" s="447">
        <f>G95*Group_1_rates!I91</f>
        <v>109.06438195586745</v>
      </c>
      <c r="H129" s="447">
        <f>H95*Group_1_rates!J91</f>
        <v>109.63539036727383</v>
      </c>
      <c r="I129" s="447">
        <f>I95*Group_1_rates!K91</f>
        <v>110.6091613104261</v>
      </c>
      <c r="J129" s="447">
        <f>J95*Group_1_rates!L91</f>
        <v>111.7582266901596</v>
      </c>
      <c r="K129" s="447">
        <f>K95*Group_1_rates!M91</f>
        <v>112.66953465792844</v>
      </c>
      <c r="L129" s="447">
        <f>L95*Group_1_rates!N91</f>
        <v>113.41717410789289</v>
      </c>
      <c r="M129" s="447">
        <f>M95*Group_1_rates!O91</f>
        <v>113.87744945003331</v>
      </c>
      <c r="N129" s="447">
        <f>N95*Group_1_rates!P91</f>
        <v>113.78397619848448</v>
      </c>
    </row>
    <row r="130" spans="1:14">
      <c r="B130" s="331" t="str">
        <f t="shared" si="52"/>
        <v>35-39</v>
      </c>
      <c r="C130" s="447">
        <f>C96*Group_1_rates!E92</f>
        <v>86.264269424939414</v>
      </c>
      <c r="D130" s="447">
        <f>D96*Group_1_rates!F92</f>
        <v>88.783968711936666</v>
      </c>
      <c r="E130" s="447">
        <f>E96*Group_1_rates!G92</f>
        <v>91.473772210892236</v>
      </c>
      <c r="F130" s="447">
        <f>F96*Group_1_rates!H92</f>
        <v>93.707780106330432</v>
      </c>
      <c r="G130" s="447">
        <f>G96*Group_1_rates!I92</f>
        <v>94.44584342471849</v>
      </c>
      <c r="H130" s="447">
        <f>H96*Group_1_rates!J92</f>
        <v>95.186185288633496</v>
      </c>
      <c r="I130" s="447">
        <f>I96*Group_1_rates!K92</f>
        <v>96.013834140862002</v>
      </c>
      <c r="J130" s="447">
        <f>J96*Group_1_rates!L92</f>
        <v>96.851585342477847</v>
      </c>
      <c r="K130" s="447">
        <f>K96*Group_1_rates!M92</f>
        <v>97.507701462988152</v>
      </c>
      <c r="L130" s="447">
        <f>L96*Group_1_rates!N92</f>
        <v>98.072021459649477</v>
      </c>
      <c r="M130" s="447">
        <f>M96*Group_1_rates!O92</f>
        <v>98.481931756565743</v>
      </c>
      <c r="N130" s="447">
        <f>N96*Group_1_rates!P92</f>
        <v>98.574018576299949</v>
      </c>
    </row>
    <row r="131" spans="1:14">
      <c r="B131" s="331" t="str">
        <f t="shared" si="52"/>
        <v>40-44</v>
      </c>
      <c r="C131" s="447">
        <f>C97*Group_1_rates!E93</f>
        <v>79.974876435304623</v>
      </c>
      <c r="D131" s="447">
        <f>D97*Group_1_rates!F93</f>
        <v>81.362329845868913</v>
      </c>
      <c r="E131" s="447">
        <f>E97*Group_1_rates!G93</f>
        <v>83.121545054355266</v>
      </c>
      <c r="F131" s="447">
        <f>F97*Group_1_rates!H93</f>
        <v>84.73459594030885</v>
      </c>
      <c r="G131" s="447">
        <f>G97*Group_1_rates!I93</f>
        <v>85.22870062068192</v>
      </c>
      <c r="H131" s="447">
        <f>H97*Group_1_rates!J93</f>
        <v>85.855475564709593</v>
      </c>
      <c r="I131" s="447">
        <f>I97*Group_1_rates!K93</f>
        <v>86.604383774485598</v>
      </c>
      <c r="J131" s="447">
        <f>J97*Group_1_rates!L93</f>
        <v>87.358731298724379</v>
      </c>
      <c r="K131" s="447">
        <f>K97*Group_1_rates!M93</f>
        <v>87.939396589019211</v>
      </c>
      <c r="L131" s="447">
        <f>L97*Group_1_rates!N93</f>
        <v>88.426714891063654</v>
      </c>
      <c r="M131" s="447">
        <f>M97*Group_1_rates!O93</f>
        <v>88.779956213687996</v>
      </c>
      <c r="N131" s="447">
        <f>N97*Group_1_rates!P93</f>
        <v>88.87826779935952</v>
      </c>
    </row>
    <row r="132" spans="1:14">
      <c r="B132" s="331" t="str">
        <f t="shared" si="52"/>
        <v>45-49</v>
      </c>
      <c r="C132" s="447">
        <f>C98*Group_1_rates!E94</f>
        <v>74.871291390601996</v>
      </c>
      <c r="D132" s="447">
        <f>D98*Group_1_rates!F94</f>
        <v>76.763766001930094</v>
      </c>
      <c r="E132" s="447">
        <f>E98*Group_1_rates!G94</f>
        <v>78.716612344701062</v>
      </c>
      <c r="F132" s="447">
        <f>F98*Group_1_rates!H94</f>
        <v>80.309647940294766</v>
      </c>
      <c r="G132" s="447">
        <f>G98*Group_1_rates!I94</f>
        <v>80.741097814874891</v>
      </c>
      <c r="H132" s="447">
        <f>H98*Group_1_rates!J94</f>
        <v>81.270675209681087</v>
      </c>
      <c r="I132" s="447">
        <f>I98*Group_1_rates!K94</f>
        <v>81.919935352594536</v>
      </c>
      <c r="J132" s="447">
        <f>J98*Group_1_rates!L94</f>
        <v>82.590945635290396</v>
      </c>
      <c r="K132" s="447">
        <f>K98*Group_1_rates!M94</f>
        <v>83.117969506599906</v>
      </c>
      <c r="L132" s="447">
        <f>L98*Group_1_rates!N94</f>
        <v>83.56555252030013</v>
      </c>
      <c r="M132" s="447">
        <f>M98*Group_1_rates!O94</f>
        <v>83.892858682877844</v>
      </c>
      <c r="N132" s="447">
        <f>N98*Group_1_rates!P94</f>
        <v>83.990745740998136</v>
      </c>
    </row>
    <row r="133" spans="1:14">
      <c r="B133" s="331" t="str">
        <f t="shared" si="52"/>
        <v>50-54</v>
      </c>
      <c r="C133" s="447">
        <f>C99*Group_1_rates!E95</f>
        <v>58.286057388180623</v>
      </c>
      <c r="D133" s="447">
        <f>D99*Group_1_rates!F95</f>
        <v>59.716190618912499</v>
      </c>
      <c r="E133" s="447">
        <f>E99*Group_1_rates!G95</f>
        <v>61.312702716141771</v>
      </c>
      <c r="F133" s="447">
        <f>F99*Group_1_rates!H95</f>
        <v>62.650851454809185</v>
      </c>
      <c r="G133" s="447">
        <f>G99*Group_1_rates!I95</f>
        <v>63.062640849839276</v>
      </c>
      <c r="H133" s="447">
        <f>H99*Group_1_rates!J95</f>
        <v>63.521479173875889</v>
      </c>
      <c r="I133" s="447">
        <f>I99*Group_1_rates!K95</f>
        <v>64.048353191287305</v>
      </c>
      <c r="J133" s="447">
        <f>J99*Group_1_rates!L95</f>
        <v>64.576678458280327</v>
      </c>
      <c r="K133" s="447">
        <f>K99*Group_1_rates!M95</f>
        <v>64.986992170908479</v>
      </c>
      <c r="L133" s="447">
        <f>L99*Group_1_rates!N95</f>
        <v>65.333555556655682</v>
      </c>
      <c r="M133" s="447">
        <f>M99*Group_1_rates!O95</f>
        <v>65.587030373421712</v>
      </c>
      <c r="N133" s="447">
        <f>N99*Group_1_rates!P95</f>
        <v>65.664661418330155</v>
      </c>
    </row>
    <row r="134" spans="1:14">
      <c r="B134" s="331" t="str">
        <f t="shared" si="52"/>
        <v>55-59</v>
      </c>
      <c r="C134" s="447">
        <f>C100*Group_1_rates!E96</f>
        <v>24.661242863643341</v>
      </c>
      <c r="D134" s="447">
        <f>D100*Group_1_rates!F96</f>
        <v>24.162640435186965</v>
      </c>
      <c r="E134" s="447">
        <f>E100*Group_1_rates!G96</f>
        <v>24.09954870181981</v>
      </c>
      <c r="F134" s="447">
        <f>F100*Group_1_rates!H96</f>
        <v>24.209922652853344</v>
      </c>
      <c r="G134" s="447">
        <f>G100*Group_1_rates!I96</f>
        <v>24.129725802377063</v>
      </c>
      <c r="H134" s="447">
        <f>H100*Group_1_rates!J96</f>
        <v>24.172883989852718</v>
      </c>
      <c r="I134" s="447">
        <f>I100*Group_1_rates!K96</f>
        <v>24.303703276130257</v>
      </c>
      <c r="J134" s="447">
        <f>J100*Group_1_rates!L96</f>
        <v>24.464143570676679</v>
      </c>
      <c r="K134" s="447">
        <f>K100*Group_1_rates!M96</f>
        <v>24.586132004222637</v>
      </c>
      <c r="L134" s="447">
        <f>L100*Group_1_rates!N96</f>
        <v>24.691608267677616</v>
      </c>
      <c r="M134" s="447">
        <f>M100*Group_1_rates!O96</f>
        <v>24.76395485107453</v>
      </c>
      <c r="N134" s="447">
        <f>N100*Group_1_rates!P96</f>
        <v>24.764549084953281</v>
      </c>
    </row>
    <row r="135" spans="1:14">
      <c r="B135" s="331" t="str">
        <f t="shared" si="52"/>
        <v>60-64</v>
      </c>
      <c r="C135" s="447">
        <f>C101*Group_1_rates!E97</f>
        <v>6.8552441173214964</v>
      </c>
      <c r="D135" s="447">
        <f>D101*Group_1_rates!F97</f>
        <v>7.7962289109500151</v>
      </c>
      <c r="E135" s="447">
        <f>E101*Group_1_rates!G97</f>
        <v>8.2044642742528513</v>
      </c>
      <c r="F135" s="447">
        <f>F101*Group_1_rates!H97</f>
        <v>8.4018488711117616</v>
      </c>
      <c r="G135" s="447">
        <f>G101*Group_1_rates!I97</f>
        <v>8.4140495507260553</v>
      </c>
      <c r="H135" s="447">
        <f>H101*Group_1_rates!J97</f>
        <v>8.4298427976268826</v>
      </c>
      <c r="I135" s="447">
        <f>I101*Group_1_rates!K97</f>
        <v>8.4674004212382492</v>
      </c>
      <c r="J135" s="447">
        <f>J101*Group_1_rates!L97</f>
        <v>8.5125072757543112</v>
      </c>
      <c r="K135" s="447">
        <f>K101*Group_1_rates!M97</f>
        <v>8.5383044670637585</v>
      </c>
      <c r="L135" s="447">
        <f>L101*Group_1_rates!N97</f>
        <v>8.559223969597106</v>
      </c>
      <c r="M135" s="447">
        <f>M101*Group_1_rates!O97</f>
        <v>8.5680598214774228</v>
      </c>
      <c r="N135" s="447">
        <f>N101*Group_1_rates!P97</f>
        <v>8.5469703570921052</v>
      </c>
    </row>
    <row r="136" spans="1:14">
      <c r="B136" s="331" t="str">
        <f t="shared" si="52"/>
        <v>65 plus</v>
      </c>
      <c r="C136" s="447">
        <f>C102*Group_1_rates!E98</f>
        <v>1.7207238075083386</v>
      </c>
      <c r="D136" s="447">
        <f>D102*Group_1_rates!F98</f>
        <v>2.664681002500715</v>
      </c>
      <c r="E136" s="447">
        <f>E102*Group_1_rates!G98</f>
        <v>3.4107067736943653</v>
      </c>
      <c r="F136" s="447">
        <f>F102*Group_1_rates!H98</f>
        <v>3.9621293982906733</v>
      </c>
      <c r="G136" s="447">
        <f>G102*Group_1_rates!I98</f>
        <v>4.2993778049930915</v>
      </c>
      <c r="H136" s="447">
        <f>H102*Group_1_rates!J98</f>
        <v>4.5289640653221834</v>
      </c>
      <c r="I136" s="447">
        <f>I102*Group_1_rates!K98</f>
        <v>4.6914159974620677</v>
      </c>
      <c r="J136" s="447">
        <f>J102*Group_1_rates!L98</f>
        <v>4.8063565105103185</v>
      </c>
      <c r="K136" s="447">
        <f>K102*Group_1_rates!M98</f>
        <v>4.8783809069064556</v>
      </c>
      <c r="L136" s="447">
        <f>L102*Group_1_rates!N98</f>
        <v>4.9247224665961706</v>
      </c>
      <c r="M136" s="447">
        <f>M102*Group_1_rates!O98</f>
        <v>4.9500664542144035</v>
      </c>
      <c r="N136" s="447">
        <f>N102*Group_1_rates!P98</f>
        <v>4.9504242452284846</v>
      </c>
    </row>
    <row r="137" spans="1:14">
      <c r="B137" s="331" t="str">
        <f t="shared" si="52"/>
        <v>Total</v>
      </c>
      <c r="C137" s="447">
        <f>SUM(C127:C136)</f>
        <v>594.26976044710716</v>
      </c>
      <c r="D137" s="447">
        <f t="shared" ref="D137:N137" si="54">SUM(D127:D136)</f>
        <v>621.52249390653196</v>
      </c>
      <c r="E137" s="447">
        <f t="shared" si="54"/>
        <v>642.33556804717193</v>
      </c>
      <c r="F137" s="447">
        <f t="shared" si="54"/>
        <v>660.43760100421741</v>
      </c>
      <c r="G137" s="447">
        <f t="shared" si="54"/>
        <v>667.85252365897941</v>
      </c>
      <c r="H137" s="447">
        <f t="shared" si="54"/>
        <v>675.99644183138139</v>
      </c>
      <c r="I137" s="447">
        <f t="shared" si="54"/>
        <v>685.17897192141004</v>
      </c>
      <c r="J137" s="447">
        <f t="shared" si="54"/>
        <v>693.84974938212815</v>
      </c>
      <c r="K137" s="447">
        <f t="shared" si="54"/>
        <v>699.52023166295078</v>
      </c>
      <c r="L137" s="447">
        <f t="shared" si="54"/>
        <v>703.62016918287077</v>
      </c>
      <c r="M137" s="447">
        <f t="shared" si="54"/>
        <v>705.67420428527555</v>
      </c>
      <c r="N137" s="447">
        <f t="shared" si="54"/>
        <v>704.11064821711079</v>
      </c>
    </row>
    <row r="138" spans="1:14">
      <c r="A138" s="302">
        <f>SUM(C138:N138)</f>
        <v>0</v>
      </c>
      <c r="C138" s="302">
        <f t="shared" ref="C138:N138" si="55">SUM(C127:C136)-C137</f>
        <v>0</v>
      </c>
      <c r="D138" s="302">
        <f t="shared" si="55"/>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6">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c r="P145" s="320"/>
    </row>
    <row r="146" spans="1:16">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c r="P146" s="320"/>
    </row>
    <row r="147" spans="1:16">
      <c r="B147" s="331" t="str">
        <f t="shared" si="56"/>
        <v>30-34</v>
      </c>
      <c r="C147" s="447">
        <f>C79*Calc_SEC_retirement_rates!$G126</f>
        <v>8.6097476240620918E-2</v>
      </c>
      <c r="D147" s="447">
        <f>D79*Calc_SEC_retirement_rates!$G126</f>
        <v>9.05063675114261E-2</v>
      </c>
      <c r="E147" s="447">
        <f>E79*Calc_SEC_retirement_rates!$G126</f>
        <v>9.2886057497483687E-2</v>
      </c>
      <c r="F147" s="447">
        <f>F79*Calc_SEC_retirement_rates!$G126</f>
        <v>9.4718586369333488E-2</v>
      </c>
      <c r="G147" s="447">
        <f>G79*Calc_SEC_retirement_rates!$G126</f>
        <v>9.6525985515177451E-2</v>
      </c>
      <c r="H147" s="447">
        <f>H79*Calc_SEC_retirement_rates!$G126</f>
        <v>9.8461112723434441E-2</v>
      </c>
      <c r="I147" s="447">
        <f>I79*Calc_SEC_retirement_rates!$G126</f>
        <v>0.10058460665203472</v>
      </c>
      <c r="J147" s="447">
        <f>J79*Calc_SEC_retirement_rates!$G126</f>
        <v>0.10268047696226472</v>
      </c>
      <c r="K147" s="447">
        <f>K79*Calc_SEC_retirement_rates!$G126</f>
        <v>0.1043613666879137</v>
      </c>
      <c r="L147" s="447">
        <f>L79*Calc_SEC_retirement_rates!$G126</f>
        <v>0.10572146938869695</v>
      </c>
      <c r="M147" s="447">
        <f>M79*Calc_SEC_retirement_rates!$G126</f>
        <v>0.10666482217188578</v>
      </c>
      <c r="N147" s="447">
        <f>N79*Calc_SEC_retirement_rates!$G126</f>
        <v>0.10695561038732068</v>
      </c>
      <c r="O147" s="320"/>
      <c r="P147" s="320"/>
    </row>
    <row r="148" spans="1:16">
      <c r="B148" s="331" t="str">
        <f t="shared" si="56"/>
        <v>35-39</v>
      </c>
      <c r="C148" s="447">
        <f>C80*Calc_SEC_retirement_rates!$G127</f>
        <v>0.19160742138780848</v>
      </c>
      <c r="D148" s="447">
        <f>D80*Calc_SEC_retirement_rates!$G127</f>
        <v>0.19266848687262669</v>
      </c>
      <c r="E148" s="447">
        <f>E80*Calc_SEC_retirement_rates!$G127</f>
        <v>0.1938825730053261</v>
      </c>
      <c r="F148" s="447">
        <f>F80*Calc_SEC_retirement_rates!$G127</f>
        <v>0.19545948902746396</v>
      </c>
      <c r="G148" s="447">
        <f>G80*Calc_SEC_retirement_rates!$G127</f>
        <v>0.19766677797315191</v>
      </c>
      <c r="H148" s="447">
        <f>H80*Calc_SEC_retirement_rates!$G127</f>
        <v>0.20035063313213589</v>
      </c>
      <c r="I148" s="447">
        <f>I80*Calc_SEC_retirement_rates!$G127</f>
        <v>0.20350082113579393</v>
      </c>
      <c r="J148" s="447">
        <f>J80*Calc_SEC_retirement_rates!$G127</f>
        <v>0.20678963545691045</v>
      </c>
      <c r="K148" s="447">
        <f>K80*Calc_SEC_retirement_rates!$G127</f>
        <v>0.20967217262636115</v>
      </c>
      <c r="L148" s="447">
        <f>L80*Calc_SEC_retirement_rates!$G127</f>
        <v>0.21227899449219378</v>
      </c>
      <c r="M148" s="447">
        <f>M80*Calc_SEC_retirement_rates!$G127</f>
        <v>0.21442266663898371</v>
      </c>
      <c r="N148" s="447">
        <f>N80*Calc_SEC_retirement_rates!$G127</f>
        <v>0.21570817418035287</v>
      </c>
      <c r="O148" s="320"/>
      <c r="P148" s="320"/>
    </row>
    <row r="149" spans="1:16">
      <c r="B149" s="331" t="str">
        <f t="shared" si="56"/>
        <v>40-44</v>
      </c>
      <c r="C149" s="447">
        <f>C81*Calc_SEC_retirement_rates!$G128</f>
        <v>0.39333574739375504</v>
      </c>
      <c r="D149" s="447">
        <f>D81*Calc_SEC_retirement_rates!$G128</f>
        <v>0.39119160064325015</v>
      </c>
      <c r="E149" s="447">
        <f>E81*Calc_SEC_retirement_rates!$G128</f>
        <v>0.38799333497224969</v>
      </c>
      <c r="F149" s="447">
        <f>F81*Calc_SEC_retirement_rates!$G128</f>
        <v>0.38559069284879316</v>
      </c>
      <c r="G149" s="447">
        <f>G81*Calc_SEC_retirement_rates!$G128</f>
        <v>0.38500999957496718</v>
      </c>
      <c r="H149" s="447">
        <f>H81*Calc_SEC_retirement_rates!$G128</f>
        <v>0.38599735015520509</v>
      </c>
      <c r="I149" s="447">
        <f>I81*Calc_SEC_retirement_rates!$G128</f>
        <v>0.38842634112444568</v>
      </c>
      <c r="J149" s="447">
        <f>J81*Calc_SEC_retirement_rates!$G128</f>
        <v>0.39163064180240775</v>
      </c>
      <c r="K149" s="447">
        <f>K81*Calc_SEC_retirement_rates!$G128</f>
        <v>0.39463356246162712</v>
      </c>
      <c r="L149" s="447">
        <f>L81*Calc_SEC_retirement_rates!$G128</f>
        <v>0.39764268253864771</v>
      </c>
      <c r="M149" s="447">
        <f>M81*Calc_SEC_retirement_rates!$G128</f>
        <v>0.40032931221412837</v>
      </c>
      <c r="N149" s="447">
        <f>N81*Calc_SEC_retirement_rates!$G128</f>
        <v>0.40201751580729628</v>
      </c>
      <c r="O149" s="320"/>
      <c r="P149" s="320"/>
    </row>
    <row r="150" spans="1:16">
      <c r="B150" s="331" t="str">
        <f t="shared" si="56"/>
        <v>45-49</v>
      </c>
      <c r="C150" s="447">
        <f>C82*Calc_SEC_retirement_rates!$G129</f>
        <v>0.76566264456186117</v>
      </c>
      <c r="D150" s="447">
        <f>D82*Calc_SEC_retirement_rates!$G129</f>
        <v>0.76524592573909278</v>
      </c>
      <c r="E150" s="447">
        <f>E82*Calc_SEC_retirement_rates!$G129</f>
        <v>0.76116091395695795</v>
      </c>
      <c r="F150" s="447">
        <f>F82*Calc_SEC_retirement_rates!$G129</f>
        <v>0.75541716839946726</v>
      </c>
      <c r="G150" s="447">
        <f>G82*Calc_SEC_retirement_rates!$G129</f>
        <v>0.7517571098051915</v>
      </c>
      <c r="H150" s="447">
        <f>H82*Calc_SEC_retirement_rates!$G129</f>
        <v>0.74998620455838683</v>
      </c>
      <c r="I150" s="447">
        <f>I82*Calc_SEC_retirement_rates!$G129</f>
        <v>0.75040681024225186</v>
      </c>
      <c r="J150" s="447">
        <f>J82*Calc_SEC_retirement_rates!$G129</f>
        <v>0.75217040846190741</v>
      </c>
      <c r="K150" s="447">
        <f>K82*Calc_SEC_retirement_rates!$G129</f>
        <v>0.75374493703851642</v>
      </c>
      <c r="L150" s="447">
        <f>L82*Calc_SEC_retirement_rates!$G129</f>
        <v>0.75564080975078018</v>
      </c>
      <c r="M150" s="447">
        <f>M82*Calc_SEC_retirement_rates!$G129</f>
        <v>0.7573656611782239</v>
      </c>
      <c r="N150" s="447">
        <f>N82*Calc_SEC_retirement_rates!$G129</f>
        <v>0.7577813218140399</v>
      </c>
      <c r="O150" s="320"/>
      <c r="P150" s="320"/>
    </row>
    <row r="151" spans="1:16">
      <c r="B151" s="331" t="str">
        <f t="shared" si="56"/>
        <v>50-54</v>
      </c>
      <c r="C151" s="447">
        <f>C83*Calc_SEC_retirement_rates!$G130</f>
        <v>14.338590174721277</v>
      </c>
      <c r="D151" s="447">
        <f>D83*Calc_SEC_retirement_rates!$G130</f>
        <v>13.996593863229062</v>
      </c>
      <c r="E151" s="447">
        <f>E83*Calc_SEC_retirement_rates!$G130</f>
        <v>13.716429841278055</v>
      </c>
      <c r="F151" s="447">
        <f>F83*Calc_SEC_retirement_rates!$G130</f>
        <v>13.471704124957681</v>
      </c>
      <c r="G151" s="447">
        <f>G83*Calc_SEC_retirement_rates!$G130</f>
        <v>13.306635367713552</v>
      </c>
      <c r="H151" s="447">
        <f>H83*Calc_SEC_retirement_rates!$G130</f>
        <v>13.195654644639623</v>
      </c>
      <c r="I151" s="447">
        <f>I83*Calc_SEC_retirement_rates!$G130</f>
        <v>13.133304742783213</v>
      </c>
      <c r="J151" s="447">
        <f>J83*Calc_SEC_retirement_rates!$G130</f>
        <v>13.099875034914803</v>
      </c>
      <c r="K151" s="447">
        <f>K83*Calc_SEC_retirement_rates!$G130</f>
        <v>13.067210914310204</v>
      </c>
      <c r="L151" s="447">
        <f>L83*Calc_SEC_retirement_rates!$G130</f>
        <v>13.043397874294383</v>
      </c>
      <c r="M151" s="447">
        <f>M83*Calc_SEC_retirement_rates!$G130</f>
        <v>13.020200881572618</v>
      </c>
      <c r="N151" s="447">
        <f>N83*Calc_SEC_retirement_rates!$G130</f>
        <v>12.978913188480762</v>
      </c>
      <c r="O151" s="320"/>
      <c r="P151" s="320"/>
    </row>
    <row r="152" spans="1:16">
      <c r="B152" s="331" t="str">
        <f t="shared" si="56"/>
        <v>55-59</v>
      </c>
      <c r="C152" s="447">
        <f>C84*Calc_SEC_retirement_rates!$G131</f>
        <v>69.535319988524449</v>
      </c>
      <c r="D152" s="447">
        <f>D84*Calc_SEC_retirement_rates!$G131</f>
        <v>62.126192010005141</v>
      </c>
      <c r="E152" s="447">
        <f>E84*Calc_SEC_retirement_rates!$G131</f>
        <v>57.160893024133593</v>
      </c>
      <c r="F152" s="447">
        <f>F84*Calc_SEC_retirement_rates!$G131</f>
        <v>53.819364425820233</v>
      </c>
      <c r="G152" s="447">
        <f>G84*Calc_SEC_retirement_rates!$G131</f>
        <v>51.675582470055538</v>
      </c>
      <c r="H152" s="447">
        <f>H84*Calc_SEC_retirement_rates!$G131</f>
        <v>50.31034563133489</v>
      </c>
      <c r="I152" s="447">
        <f>I84*Calc_SEC_retirement_rates!$G131</f>
        <v>49.480577931029394</v>
      </c>
      <c r="J152" s="447">
        <f>J84*Calc_SEC_retirement_rates!$G131</f>
        <v>48.958983035844589</v>
      </c>
      <c r="K152" s="447">
        <f>K84*Calc_SEC_retirement_rates!$G131</f>
        <v>48.538467130761774</v>
      </c>
      <c r="L152" s="447">
        <f>L84*Calc_SEC_retirement_rates!$G131</f>
        <v>48.219653793492888</v>
      </c>
      <c r="M152" s="447">
        <f>M84*Calc_SEC_retirement_rates!$G131</f>
        <v>47.93949906192276</v>
      </c>
      <c r="N152" s="447">
        <f>N84*Calc_SEC_retirement_rates!$G131</f>
        <v>47.600802282913051</v>
      </c>
      <c r="O152" s="320"/>
      <c r="P152" s="320"/>
    </row>
    <row r="153" spans="1:16">
      <c r="B153" s="331" t="str">
        <f t="shared" si="56"/>
        <v>60-64</v>
      </c>
      <c r="C153" s="447">
        <f>C85*Calc_SEC_retirement_rates!$G132</f>
        <v>43.839473254154427</v>
      </c>
      <c r="D153" s="447">
        <f>D85*Calc_SEC_retirement_rates!$G132</f>
        <v>41.231970329707998</v>
      </c>
      <c r="E153" s="447">
        <f>E85*Calc_SEC_retirement_rates!$G132</f>
        <v>38.037353768597072</v>
      </c>
      <c r="F153" s="447">
        <f>F85*Calc_SEC_retirement_rates!$G132</f>
        <v>35.271968999843494</v>
      </c>
      <c r="G153" s="447">
        <f>G85*Calc_SEC_retirement_rates!$G132</f>
        <v>33.218769140728199</v>
      </c>
      <c r="H153" s="447">
        <f>H85*Calc_SEC_retirement_rates!$G132</f>
        <v>31.790670490512063</v>
      </c>
      <c r="I153" s="447">
        <f>I85*Calc_SEC_retirement_rates!$G132</f>
        <v>30.861554657530487</v>
      </c>
      <c r="J153" s="447">
        <f>J85*Calc_SEC_retirement_rates!$G132</f>
        <v>30.246779992481734</v>
      </c>
      <c r="K153" s="447">
        <f>K85*Calc_SEC_retirement_rates!$G132</f>
        <v>29.760258220646431</v>
      </c>
      <c r="L153" s="447">
        <f>L85*Calc_SEC_retirement_rates!$G132</f>
        <v>29.395560447211142</v>
      </c>
      <c r="M153" s="447">
        <f>M85*Calc_SEC_retirement_rates!$G132</f>
        <v>29.087335004425693</v>
      </c>
      <c r="N153" s="447">
        <f>N85*Calc_SEC_retirement_rates!$G132</f>
        <v>28.745865575527485</v>
      </c>
      <c r="O153" s="320"/>
      <c r="P153" s="320"/>
    </row>
    <row r="154" spans="1:16">
      <c r="B154" s="331" t="str">
        <f t="shared" si="56"/>
        <v>65 plus</v>
      </c>
      <c r="C154" s="447">
        <f>C86*Calc_SEC_retirement_rates!$G133</f>
        <v>13.73405204114543</v>
      </c>
      <c r="D154" s="447">
        <f>D86*Calc_SEC_retirement_rates!$G133</f>
        <v>14.883925142785655</v>
      </c>
      <c r="E154" s="447">
        <f>E86*Calc_SEC_retirement_rates!$G133</f>
        <v>15.152358516684282</v>
      </c>
      <c r="F154" s="447">
        <f>F86*Calc_SEC_retirement_rates!$G133</f>
        <v>14.857809849350621</v>
      </c>
      <c r="G154" s="447">
        <f>G86*Calc_SEC_retirement_rates!$G133</f>
        <v>14.393656761753842</v>
      </c>
      <c r="H154" s="447">
        <f>H86*Calc_SEC_retirement_rates!$G133</f>
        <v>13.904054174527714</v>
      </c>
      <c r="I154" s="447">
        <f>I86*Calc_SEC_retirement_rates!$G133</f>
        <v>13.482620860637441</v>
      </c>
      <c r="J154" s="447">
        <f>J86*Calc_SEC_retirement_rates!$G133</f>
        <v>13.139377402968741</v>
      </c>
      <c r="K154" s="447">
        <f>K86*Calc_SEC_retirement_rates!$G133</f>
        <v>12.839098434195883</v>
      </c>
      <c r="L154" s="447">
        <f>L86*Calc_SEC_retirement_rates!$G133</f>
        <v>12.594289300422334</v>
      </c>
      <c r="M154" s="447">
        <f>M86*Calc_SEC_retirement_rates!$G133</f>
        <v>12.385137523384209</v>
      </c>
      <c r="N154" s="447">
        <f>N86*Calc_SEC_retirement_rates!$G133</f>
        <v>12.174055218410539</v>
      </c>
      <c r="O154" s="320"/>
      <c r="P154" s="320"/>
    </row>
    <row r="155" spans="1:16">
      <c r="B155" s="331" t="str">
        <f t="shared" si="56"/>
        <v>Total</v>
      </c>
      <c r="C155" s="447">
        <f>SUM(C145:C154)</f>
        <v>142.88413874812963</v>
      </c>
      <c r="D155" s="447">
        <f t="shared" ref="D155:N155" si="58">SUM(D145:D154)</f>
        <v>133.67829372649425</v>
      </c>
      <c r="E155" s="447">
        <f t="shared" si="58"/>
        <v>125.50295803012503</v>
      </c>
      <c r="F155" s="447">
        <f t="shared" si="58"/>
        <v>118.85203333661708</v>
      </c>
      <c r="G155" s="447">
        <f t="shared" si="58"/>
        <v>114.02560361311963</v>
      </c>
      <c r="H155" s="447">
        <f t="shared" si="58"/>
        <v>110.63552024158346</v>
      </c>
      <c r="I155" s="447">
        <f t="shared" si="58"/>
        <v>108.40097677113506</v>
      </c>
      <c r="J155" s="447">
        <f t="shared" si="58"/>
        <v>106.89828662889335</v>
      </c>
      <c r="K155" s="447">
        <f t="shared" si="58"/>
        <v>105.6674467387287</v>
      </c>
      <c r="L155" s="447">
        <f t="shared" si="58"/>
        <v>104.72418537159106</v>
      </c>
      <c r="M155" s="447">
        <f t="shared" si="58"/>
        <v>103.91095493350849</v>
      </c>
      <c r="N155" s="447">
        <f t="shared" si="58"/>
        <v>102.98209888752085</v>
      </c>
      <c r="O155" s="320"/>
      <c r="P155" s="320"/>
    </row>
    <row r="156" spans="1:16">
      <c r="A156" s="302">
        <f>SUM(C156:N156)</f>
        <v>0</v>
      </c>
      <c r="C156" s="302">
        <f t="shared" ref="C156:N156" si="59">SUM(C145:C154)-C155</f>
        <v>0</v>
      </c>
      <c r="D156" s="302">
        <f t="shared" si="59"/>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6">
      <c r="B158" s="334" t="s">
        <v>47</v>
      </c>
      <c r="C158" s="322"/>
      <c r="D158" s="322"/>
      <c r="E158" s="322"/>
      <c r="F158" s="322"/>
      <c r="G158" s="322"/>
      <c r="H158" s="332"/>
      <c r="I158" s="322"/>
      <c r="J158" s="322"/>
      <c r="K158" s="322"/>
      <c r="L158" s="322"/>
    </row>
    <row r="159" spans="1:16">
      <c r="C159" s="322"/>
      <c r="D159" s="322"/>
      <c r="E159" s="322"/>
      <c r="F159" s="322"/>
      <c r="G159" s="322"/>
      <c r="H159" s="332"/>
      <c r="I159" s="322"/>
      <c r="J159" s="322"/>
      <c r="K159" s="322"/>
      <c r="L159" s="322"/>
    </row>
    <row r="160" spans="1:16">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5">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row>
    <row r="162" spans="1:15">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row>
    <row r="163" spans="1:15">
      <c r="B163" s="331" t="str">
        <f t="shared" si="60"/>
        <v>30-34</v>
      </c>
      <c r="C163" s="447">
        <f>C95*Calc_SEC_retirement_rates!$G142</f>
        <v>9.0208924618986053E-2</v>
      </c>
      <c r="D163" s="447">
        <f>D95*Calc_SEC_retirement_rates!$G142</f>
        <v>9.2954429536770147E-2</v>
      </c>
      <c r="E163" s="447">
        <f>E95*Calc_SEC_retirement_rates!$G142</f>
        <v>9.3587348139384519E-2</v>
      </c>
      <c r="F163" s="447">
        <f>F95*Calc_SEC_retirement_rates!$G142</f>
        <v>9.3962026020196071E-2</v>
      </c>
      <c r="G163" s="447">
        <f>G95*Calc_SEC_retirement_rates!$G142</f>
        <v>9.4169927473236673E-2</v>
      </c>
      <c r="H163" s="447">
        <f>H95*Calc_SEC_retirement_rates!$G142</f>
        <v>9.4662955716962538E-2</v>
      </c>
      <c r="I163" s="447">
        <f>I95*Calc_SEC_retirement_rates!$G142</f>
        <v>9.5503742942340125E-2</v>
      </c>
      <c r="J163" s="447">
        <f>J95*Calc_SEC_retirement_rates!$G142</f>
        <v>9.6495885395549971E-2</v>
      </c>
      <c r="K163" s="447">
        <f>K95*Calc_SEC_retirement_rates!$G142</f>
        <v>9.7282739945968644E-2</v>
      </c>
      <c r="L163" s="447">
        <f>L95*Calc_SEC_retirement_rates!$G142</f>
        <v>9.792827748550903E-2</v>
      </c>
      <c r="M163" s="447">
        <f>M95*Calc_SEC_retirement_rates!$G142</f>
        <v>9.8325694999914615E-2</v>
      </c>
      <c r="N163" s="447">
        <f>N95*Calc_SEC_retirement_rates!$G142</f>
        <v>9.8244986989093966E-2</v>
      </c>
      <c r="O163" s="320"/>
    </row>
    <row r="164" spans="1:15">
      <c r="B164" s="331" t="str">
        <f t="shared" si="60"/>
        <v>35-39</v>
      </c>
      <c r="C164" s="447">
        <f>C96*Calc_SEC_retirement_rates!$G143</f>
        <v>0.31076767316114579</v>
      </c>
      <c r="D164" s="447">
        <f>D96*Calc_SEC_retirement_rates!$G143</f>
        <v>0.31827196772383715</v>
      </c>
      <c r="E164" s="447">
        <f>E96*Calc_SEC_retirement_rates!$G143</f>
        <v>0.32254506014536882</v>
      </c>
      <c r="F164" s="447">
        <f>F96*Calc_SEC_retirement_rates!$G143</f>
        <v>0.32622856406329009</v>
      </c>
      <c r="G164" s="447">
        <f>G96*Calc_SEC_retirement_rates!$G143</f>
        <v>0.3287980127928653</v>
      </c>
      <c r="H164" s="447">
        <f>H96*Calc_SEC_retirement_rates!$G143</f>
        <v>0.33137539391220111</v>
      </c>
      <c r="I164" s="447">
        <f>I96*Calc_SEC_retirement_rates!$G143</f>
        <v>0.33425672026850539</v>
      </c>
      <c r="J164" s="447">
        <f>J96*Calc_SEC_retirement_rates!$G143</f>
        <v>0.33717321632929481</v>
      </c>
      <c r="K164" s="447">
        <f>K96*Calc_SEC_retirement_rates!$G143</f>
        <v>0.33945737907021106</v>
      </c>
      <c r="L164" s="447">
        <f>L96*Calc_SEC_retirement_rates!$G143</f>
        <v>0.34142196837084465</v>
      </c>
      <c r="M164" s="447">
        <f>M96*Calc_SEC_retirement_rates!$G143</f>
        <v>0.34284900513776001</v>
      </c>
      <c r="N164" s="447">
        <f>N96*Calc_SEC_retirement_rates!$G143</f>
        <v>0.34316959058901025</v>
      </c>
      <c r="O164" s="320"/>
    </row>
    <row r="165" spans="1:15">
      <c r="B165" s="331" t="str">
        <f t="shared" si="60"/>
        <v>40-44</v>
      </c>
      <c r="C165" s="447">
        <f>C97*Calc_SEC_retirement_rates!$G144</f>
        <v>0.68013476118801075</v>
      </c>
      <c r="D165" s="447">
        <f>D97*Calc_SEC_retirement_rates!$G144</f>
        <v>0.688531347666265</v>
      </c>
      <c r="E165" s="447">
        <f>E97*Calc_SEC_retirement_rates!$G144</f>
        <v>0.69190093886759396</v>
      </c>
      <c r="F165" s="447">
        <f>F97*Calc_SEC_retirement_rates!$G144</f>
        <v>0.69637569399264809</v>
      </c>
      <c r="G165" s="447">
        <f>G97*Calc_SEC_retirement_rates!$G144</f>
        <v>0.70043640244214855</v>
      </c>
      <c r="H165" s="447">
        <f>H97*Calc_SEC_retirement_rates!$G144</f>
        <v>0.70558743705535354</v>
      </c>
      <c r="I165" s="447">
        <f>I97*Calc_SEC_retirement_rates!$G144</f>
        <v>0.71174220145273082</v>
      </c>
      <c r="J165" s="447">
        <f>J97*Calc_SEC_retirement_rates!$G144</f>
        <v>0.71794166785572711</v>
      </c>
      <c r="K165" s="447">
        <f>K97*Calc_SEC_retirement_rates!$G144</f>
        <v>0.72271375875932165</v>
      </c>
      <c r="L165" s="447">
        <f>L97*Calc_SEC_retirement_rates!$G144</f>
        <v>0.72671869460654726</v>
      </c>
      <c r="M165" s="447">
        <f>M97*Calc_SEC_retirement_rates!$G144</f>
        <v>0.72962174345524522</v>
      </c>
      <c r="N165" s="447">
        <f>N97*Calc_SEC_retirement_rates!$G144</f>
        <v>0.73042969914252742</v>
      </c>
      <c r="O165" s="320"/>
    </row>
    <row r="166" spans="1:15">
      <c r="B166" s="331" t="str">
        <f t="shared" si="60"/>
        <v>45-49</v>
      </c>
      <c r="C166" s="447">
        <f>C98*Calc_SEC_retirement_rates!$G145</f>
        <v>0.88733826931642401</v>
      </c>
      <c r="D166" s="447">
        <f>D98*Calc_SEC_retirement_rates!$G145</f>
        <v>0.90529288790975093</v>
      </c>
      <c r="E166" s="447">
        <f>E98*Calc_SEC_retirement_rates!$G145</f>
        <v>0.91312283238726899</v>
      </c>
      <c r="F166" s="447">
        <f>F98*Calc_SEC_retirement_rates!$G145</f>
        <v>0.91977808493663094</v>
      </c>
      <c r="G166" s="447">
        <f>G98*Calc_SEC_retirement_rates!$G145</f>
        <v>0.92471943569043435</v>
      </c>
      <c r="H166" s="447">
        <f>H98*Calc_SEC_retirement_rates!$G145</f>
        <v>0.9307846307761195</v>
      </c>
      <c r="I166" s="447">
        <f>I98*Calc_SEC_retirement_rates!$G145</f>
        <v>0.9382205399874084</v>
      </c>
      <c r="J166" s="447">
        <f>J98*Calc_SEC_retirement_rates!$G145</f>
        <v>0.94590555129824894</v>
      </c>
      <c r="K166" s="447">
        <f>K98*Calc_SEC_retirement_rates!$G145</f>
        <v>0.95194150114364395</v>
      </c>
      <c r="L166" s="447">
        <f>L98*Calc_SEC_retirement_rates!$G145</f>
        <v>0.95706762306983417</v>
      </c>
      <c r="M166" s="447">
        <f>M98*Calc_SEC_retirement_rates!$G145</f>
        <v>0.96081622667008282</v>
      </c>
      <c r="N166" s="447">
        <f>N98*Calc_SEC_retirement_rates!$G145</f>
        <v>0.96193731701435747</v>
      </c>
      <c r="O166" s="320"/>
    </row>
    <row r="167" spans="1:15">
      <c r="B167" s="331" t="str">
        <f t="shared" si="60"/>
        <v>50-54</v>
      </c>
      <c r="C167" s="447">
        <f>C99*Calc_SEC_retirement_rates!$G146</f>
        <v>15.657060511539717</v>
      </c>
      <c r="D167" s="447">
        <f>D99*Calc_SEC_retirement_rates!$G146</f>
        <v>15.962341335689235</v>
      </c>
      <c r="E167" s="447">
        <f>E99*Calc_SEC_retirement_rates!$G146</f>
        <v>16.120738367708757</v>
      </c>
      <c r="F167" s="447">
        <f>F99*Calc_SEC_retirement_rates!$G146</f>
        <v>16.263498553969043</v>
      </c>
      <c r="G167" s="447">
        <f>G99*Calc_SEC_retirement_rates!$G146</f>
        <v>16.370394726568431</v>
      </c>
      <c r="H167" s="447">
        <f>H99*Calc_SEC_retirement_rates!$G146</f>
        <v>16.489504303632323</v>
      </c>
      <c r="I167" s="447">
        <f>I99*Calc_SEC_retirement_rates!$G146</f>
        <v>16.626275227272128</v>
      </c>
      <c r="J167" s="447">
        <f>J99*Calc_SEC_retirement_rates!$G146</f>
        <v>16.763422879957488</v>
      </c>
      <c r="K167" s="447">
        <f>K99*Calc_SEC_retirement_rates!$G146</f>
        <v>16.869935981009515</v>
      </c>
      <c r="L167" s="447">
        <f>L99*Calc_SEC_retirement_rates!$G146</f>
        <v>16.959900171313038</v>
      </c>
      <c r="M167" s="447">
        <f>M99*Calc_SEC_retirement_rates!$G146</f>
        <v>17.02569955344778</v>
      </c>
      <c r="N167" s="447">
        <f>N99*Calc_SEC_retirement_rates!$G146</f>
        <v>17.045851751818496</v>
      </c>
      <c r="O167" s="320"/>
    </row>
    <row r="168" spans="1:15">
      <c r="B168" s="331" t="str">
        <f t="shared" si="60"/>
        <v>55-59</v>
      </c>
      <c r="C168" s="447">
        <f>C100*Calc_SEC_retirement_rates!$G147</f>
        <v>68.678388997967801</v>
      </c>
      <c r="D168" s="447">
        <f>D100*Calc_SEC_retirement_rates!$G147</f>
        <v>66.958925774446001</v>
      </c>
      <c r="E168" s="447">
        <f>E100*Calc_SEC_retirement_rates!$G147</f>
        <v>65.690560511660351</v>
      </c>
      <c r="F168" s="447">
        <f>F100*Calc_SEC_retirement_rates!$G147</f>
        <v>65.153835703763889</v>
      </c>
      <c r="G168" s="447">
        <f>G100*Calc_SEC_retirement_rates!$G147</f>
        <v>64.938009635468916</v>
      </c>
      <c r="H168" s="447">
        <f>H100*Calc_SEC_retirement_rates!$G147</f>
        <v>65.054157113359736</v>
      </c>
      <c r="I168" s="447">
        <f>I100*Calc_SEC_retirement_rates!$G147</f>
        <v>65.406218472961228</v>
      </c>
      <c r="J168" s="447">
        <f>J100*Calc_SEC_retirement_rates!$G147</f>
        <v>65.837996002407777</v>
      </c>
      <c r="K168" s="447">
        <f>K100*Calc_SEC_retirement_rates!$G147</f>
        <v>66.166291737630871</v>
      </c>
      <c r="L168" s="447">
        <f>L100*Calc_SEC_retirement_rates!$G147</f>
        <v>66.450149858052541</v>
      </c>
      <c r="M168" s="447">
        <f>M100*Calc_SEC_retirement_rates!$G147</f>
        <v>66.644849257797034</v>
      </c>
      <c r="N168" s="447">
        <f>N100*Calc_SEC_retirement_rates!$G147</f>
        <v>66.64644846226625</v>
      </c>
      <c r="O168" s="320"/>
    </row>
    <row r="169" spans="1:15">
      <c r="B169" s="331" t="str">
        <f t="shared" si="60"/>
        <v>60-64</v>
      </c>
      <c r="C169" s="447">
        <f>C101*Calc_SEC_retirement_rates!$G148</f>
        <v>37.523397998833666</v>
      </c>
      <c r="D169" s="447">
        <f>D101*Calc_SEC_retirement_rates!$G148</f>
        <v>42.464182201979085</v>
      </c>
      <c r="E169" s="447">
        <f>E101*Calc_SEC_retirement_rates!$G148</f>
        <v>43.95602197559348</v>
      </c>
      <c r="F169" s="447">
        <f>F101*Calc_SEC_retirement_rates!$G148</f>
        <v>44.442199820407886</v>
      </c>
      <c r="G169" s="447">
        <f>G101*Calc_SEC_retirement_rates!$G148</f>
        <v>44.506736215870511</v>
      </c>
      <c r="H169" s="447">
        <f>H101*Calc_SEC_retirement_rates!$G148</f>
        <v>44.590275761195223</v>
      </c>
      <c r="I169" s="447">
        <f>I101*Calc_SEC_retirement_rates!$G148</f>
        <v>44.78893958375636</v>
      </c>
      <c r="J169" s="447">
        <f>J101*Calc_SEC_retirement_rates!$G148</f>
        <v>45.027535620465081</v>
      </c>
      <c r="K169" s="447">
        <f>K101*Calc_SEC_retirement_rates!$G148</f>
        <v>45.163991768221045</v>
      </c>
      <c r="L169" s="447">
        <f>L101*Calc_SEC_retirement_rates!$G148</f>
        <v>45.27464702112939</v>
      </c>
      <c r="M169" s="447">
        <f>M101*Calc_SEC_retirement_rates!$G148</f>
        <v>45.321384911904687</v>
      </c>
      <c r="N169" s="447">
        <f>N101*Calc_SEC_retirement_rates!$G148</f>
        <v>45.209830633233913</v>
      </c>
      <c r="O169" s="320"/>
    </row>
    <row r="170" spans="1:15">
      <c r="B170" s="331" t="str">
        <f t="shared" si="60"/>
        <v>65 plus</v>
      </c>
      <c r="C170" s="447">
        <f>C102*Calc_SEC_retirement_rates!$G149</f>
        <v>7.2287635827570638</v>
      </c>
      <c r="D170" s="447">
        <f>D102*Calc_SEC_retirement_rates!$G149</f>
        <v>11.139277593299401</v>
      </c>
      <c r="E170" s="447">
        <f>E102*Calc_SEC_retirement_rates!$G149</f>
        <v>14.024460256947524</v>
      </c>
      <c r="F170" s="447">
        <f>F102*Calc_SEC_retirement_rates!$G149</f>
        <v>16.085070030752785</v>
      </c>
      <c r="G170" s="447">
        <f>G102*Calc_SEC_retirement_rates!$G149</f>
        <v>17.454198520576586</v>
      </c>
      <c r="H170" s="447">
        <f>H102*Calc_SEC_retirement_rates!$G149</f>
        <v>18.386250633030375</v>
      </c>
      <c r="I170" s="447">
        <f>I102*Calc_SEC_retirement_rates!$G149</f>
        <v>19.045757287767206</v>
      </c>
      <c r="J170" s="447">
        <f>J102*Calc_SEC_retirement_rates!$G149</f>
        <v>19.512381674782276</v>
      </c>
      <c r="K170" s="447">
        <f>K102*Calc_SEC_retirement_rates!$G149</f>
        <v>19.804779358829233</v>
      </c>
      <c r="L170" s="447">
        <f>L102*Calc_SEC_retirement_rates!$G149</f>
        <v>19.992912344406371</v>
      </c>
      <c r="M170" s="447">
        <f>M102*Calc_SEC_retirement_rates!$G149</f>
        <v>20.095801416094357</v>
      </c>
      <c r="N170" s="447">
        <f>N102*Calc_SEC_retirement_rates!$G149</f>
        <v>20.097253941476382</v>
      </c>
      <c r="O170" s="320"/>
    </row>
    <row r="171" spans="1:15">
      <c r="B171" s="331" t="str">
        <f t="shared" si="60"/>
        <v>Total</v>
      </c>
      <c r="C171" s="447">
        <f>SUM(C161:C170)</f>
        <v>131.05606071938283</v>
      </c>
      <c r="D171" s="447">
        <f t="shared" ref="D171:N171" si="62">SUM(D161:D170)</f>
        <v>138.52977753825036</v>
      </c>
      <c r="E171" s="447">
        <f t="shared" si="62"/>
        <v>141.81293729144971</v>
      </c>
      <c r="F171" s="447">
        <f t="shared" si="62"/>
        <v>143.98094847790637</v>
      </c>
      <c r="G171" s="447">
        <f t="shared" si="62"/>
        <v>145.31746287688316</v>
      </c>
      <c r="H171" s="447">
        <f t="shared" si="62"/>
        <v>146.58259822867831</v>
      </c>
      <c r="I171" s="447">
        <f t="shared" si="62"/>
        <v>147.94691377640791</v>
      </c>
      <c r="J171" s="447">
        <f t="shared" si="62"/>
        <v>149.23885249849144</v>
      </c>
      <c r="K171" s="447">
        <f t="shared" si="62"/>
        <v>150.11639422460979</v>
      </c>
      <c r="L171" s="447">
        <f t="shared" si="62"/>
        <v>150.80074595843408</v>
      </c>
      <c r="M171" s="447">
        <f t="shared" si="62"/>
        <v>151.21934780950687</v>
      </c>
      <c r="N171" s="447">
        <f t="shared" si="62"/>
        <v>151.13316638253002</v>
      </c>
      <c r="O171" s="320"/>
    </row>
    <row r="172" spans="1:15">
      <c r="A172" s="302">
        <f>SUM(C172:N172)</f>
        <v>0</v>
      </c>
      <c r="C172" s="302">
        <f t="shared" ref="C172:N172" si="63">SUM(C161:C170)-C171</f>
        <v>0</v>
      </c>
      <c r="D172" s="302">
        <f t="shared" si="63"/>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5" ht="15.75">
      <c r="B174" s="333" t="s">
        <v>527</v>
      </c>
      <c r="H174" s="318"/>
    </row>
    <row r="175" spans="1:15">
      <c r="H175" s="318"/>
    </row>
    <row r="176" spans="1:15">
      <c r="B176" s="334" t="s">
        <v>46</v>
      </c>
      <c r="H176" s="318"/>
    </row>
    <row r="177" spans="1:17">
      <c r="H177" s="318"/>
    </row>
    <row r="178" spans="1:17">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7">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c r="P179" s="320"/>
      <c r="Q179" s="320"/>
    </row>
    <row r="180" spans="1:17">
      <c r="B180" s="331" t="str">
        <f t="shared" si="64"/>
        <v>25-29</v>
      </c>
      <c r="C180" s="447">
        <f>C78*Calc_SEC_death_rates!$G125</f>
        <v>5.4263364119202379E-2</v>
      </c>
      <c r="D180" s="447">
        <f>D78*Calc_SEC_death_rates!$G125</f>
        <v>5.5034122845486234E-2</v>
      </c>
      <c r="E180" s="447">
        <f>E78*Calc_SEC_death_rates!$G125</f>
        <v>5.5605843860993709E-2</v>
      </c>
      <c r="F180" s="447">
        <f>F78*Calc_SEC_death_rates!$G125</f>
        <v>5.6741992865532449E-2</v>
      </c>
      <c r="G180" s="447">
        <f>G78*Calc_SEC_death_rates!$G125</f>
        <v>5.8124775949933948E-2</v>
      </c>
      <c r="H180" s="447">
        <f>H78*Calc_SEC_death_rates!$G125</f>
        <v>5.9686396175751978E-2</v>
      </c>
      <c r="I180" s="447">
        <f>I78*Calc_SEC_death_rates!$G125</f>
        <v>6.1355873277916237E-2</v>
      </c>
      <c r="J180" s="447">
        <f>J78*Calc_SEC_death_rates!$G125</f>
        <v>6.2848129601463687E-2</v>
      </c>
      <c r="K180" s="447">
        <f>K78*Calc_SEC_death_rates!$G125</f>
        <v>6.3778636052449905E-2</v>
      </c>
      <c r="L180" s="447">
        <f>L78*Calc_SEC_death_rates!$G125</f>
        <v>6.437513102369477E-2</v>
      </c>
      <c r="M180" s="447">
        <f>M78*Calc_SEC_death_rates!$G125</f>
        <v>6.4595679690821389E-2</v>
      </c>
      <c r="N180" s="447">
        <f>N78*Calc_SEC_death_rates!$G125</f>
        <v>6.4238663570092377E-2</v>
      </c>
      <c r="O180" s="320"/>
      <c r="P180" s="320"/>
      <c r="Q180" s="320"/>
    </row>
    <row r="181" spans="1:17">
      <c r="B181" s="331" t="str">
        <f t="shared" si="64"/>
        <v>30-34</v>
      </c>
      <c r="C181" s="447">
        <f>C79*Calc_SEC_death_rates!$G126</f>
        <v>0.1729534129984282</v>
      </c>
      <c r="D181" s="447">
        <f>D79*Calc_SEC_death_rates!$G126</f>
        <v>0.18181003488933756</v>
      </c>
      <c r="E181" s="447">
        <f>E79*Calc_SEC_death_rates!$G126</f>
        <v>0.1865903783202715</v>
      </c>
      <c r="F181" s="447">
        <f>F79*Calc_SEC_death_rates!$G126</f>
        <v>0.19027157940355074</v>
      </c>
      <c r="G181" s="447">
        <f>G79*Calc_SEC_death_rates!$G126</f>
        <v>0.19390229965893349</v>
      </c>
      <c r="H181" s="447">
        <f>H79*Calc_SEC_death_rates!$G126</f>
        <v>0.19778960123695882</v>
      </c>
      <c r="I181" s="447">
        <f>I79*Calc_SEC_death_rates!$G126</f>
        <v>0.20205529563903915</v>
      </c>
      <c r="J181" s="447">
        <f>J79*Calc_SEC_death_rates!$G126</f>
        <v>0.20626549945898959</v>
      </c>
      <c r="K181" s="447">
        <f>K79*Calc_SEC_death_rates!$G126</f>
        <v>0.20964208641157928</v>
      </c>
      <c r="L181" s="447">
        <f>L79*Calc_SEC_death_rates!$G126</f>
        <v>0.21237427339777409</v>
      </c>
      <c r="M181" s="447">
        <f>M79*Calc_SEC_death_rates!$G126</f>
        <v>0.21426928926395461</v>
      </c>
      <c r="N181" s="447">
        <f>N79*Calc_SEC_death_rates!$G126</f>
        <v>0.21485342734227217</v>
      </c>
      <c r="O181" s="320"/>
      <c r="P181" s="320"/>
      <c r="Q181" s="320"/>
    </row>
    <row r="182" spans="1:17">
      <c r="B182" s="331" t="str">
        <f t="shared" si="64"/>
        <v>35-39</v>
      </c>
      <c r="C182" s="447">
        <f>C80*Calc_SEC_death_rates!$G127</f>
        <v>0.35174071923952793</v>
      </c>
      <c r="D182" s="447">
        <f>D80*Calc_SEC_death_rates!$G127</f>
        <v>0.35368855577992381</v>
      </c>
      <c r="E182" s="447">
        <f>E80*Calc_SEC_death_rates!$G127</f>
        <v>0.35591729789461524</v>
      </c>
      <c r="F182" s="447">
        <f>F80*Calc_SEC_death_rates!$G127</f>
        <v>0.35881210004679526</v>
      </c>
      <c r="G182" s="447">
        <f>G80*Calc_SEC_death_rates!$G127</f>
        <v>0.36286410072454739</v>
      </c>
      <c r="H182" s="447">
        <f>H80*Calc_SEC_death_rates!$G127</f>
        <v>0.36779095135026024</v>
      </c>
      <c r="I182" s="447">
        <f>I80*Calc_SEC_death_rates!$G127</f>
        <v>0.37357386615659099</v>
      </c>
      <c r="J182" s="447">
        <f>J80*Calc_SEC_death_rates!$G127</f>
        <v>0.37961126234080989</v>
      </c>
      <c r="K182" s="447">
        <f>K80*Calc_SEC_death_rates!$G127</f>
        <v>0.384902840766497</v>
      </c>
      <c r="L182" s="447">
        <f>L80*Calc_SEC_death_rates!$G127</f>
        <v>0.38968827857144228</v>
      </c>
      <c r="M182" s="447">
        <f>M80*Calc_SEC_death_rates!$G127</f>
        <v>0.39362349557537823</v>
      </c>
      <c r="N182" s="447">
        <f>N80*Calc_SEC_death_rates!$G127</f>
        <v>0.39598334857018402</v>
      </c>
      <c r="O182" s="320"/>
      <c r="P182" s="320"/>
      <c r="Q182" s="320"/>
    </row>
    <row r="183" spans="1:17">
      <c r="B183" s="331" t="str">
        <f t="shared" si="64"/>
        <v>40-44</v>
      </c>
      <c r="C183" s="447">
        <f>C81*Calc_SEC_death_rates!$G128</f>
        <v>0.54092244033161185</v>
      </c>
      <c r="D183" s="447">
        <f>D81*Calc_SEC_death_rates!$G128</f>
        <v>0.53797377090505405</v>
      </c>
      <c r="E183" s="447">
        <f>E81*Calc_SEC_death_rates!$G128</f>
        <v>0.53357545805642681</v>
      </c>
      <c r="F183" s="447">
        <f>F81*Calc_SEC_death_rates!$G128</f>
        <v>0.53027130111347132</v>
      </c>
      <c r="G183" s="447">
        <f>G81*Calc_SEC_death_rates!$G128</f>
        <v>0.52947272121107647</v>
      </c>
      <c r="H183" s="447">
        <f>H81*Calc_SEC_death_rates!$G128</f>
        <v>0.53083054360292348</v>
      </c>
      <c r="I183" s="447">
        <f>I81*Calc_SEC_death_rates!$G128</f>
        <v>0.53417093595559162</v>
      </c>
      <c r="J183" s="447">
        <f>J81*Calc_SEC_death_rates!$G128</f>
        <v>0.53857754825504367</v>
      </c>
      <c r="K183" s="447">
        <f>K81*Calc_SEC_death_rates!$G128</f>
        <v>0.54270721910715936</v>
      </c>
      <c r="L183" s="447">
        <f>L81*Calc_SEC_death_rates!$G128</f>
        <v>0.54684541551086274</v>
      </c>
      <c r="M183" s="447">
        <f>M81*Calc_SEC_death_rates!$G128</f>
        <v>0.55054011727635854</v>
      </c>
      <c r="N183" s="447">
        <f>N81*Calc_SEC_death_rates!$G128</f>
        <v>0.55286176541905541</v>
      </c>
      <c r="O183" s="320"/>
      <c r="P183" s="320"/>
      <c r="Q183" s="320"/>
    </row>
    <row r="184" spans="1:17">
      <c r="B184" s="331" t="str">
        <f t="shared" si="64"/>
        <v>45-49</v>
      </c>
      <c r="C184" s="447">
        <f>C82*Calc_SEC_death_rates!$G129</f>
        <v>0.73412754468101271</v>
      </c>
      <c r="D184" s="447">
        <f>D82*Calc_SEC_death_rates!$G129</f>
        <v>0.73372798912171489</v>
      </c>
      <c r="E184" s="447">
        <f>E82*Calc_SEC_death_rates!$G129</f>
        <v>0.72981122539958287</v>
      </c>
      <c r="F184" s="447">
        <f>F82*Calc_SEC_death_rates!$G129</f>
        <v>0.72430404563400086</v>
      </c>
      <c r="G184" s="447">
        <f>G82*Calc_SEC_death_rates!$G129</f>
        <v>0.72079473269012351</v>
      </c>
      <c r="H184" s="447">
        <f>H82*Calc_SEC_death_rates!$G129</f>
        <v>0.71909676514536569</v>
      </c>
      <c r="I184" s="447">
        <f>I82*Calc_SEC_death_rates!$G129</f>
        <v>0.71950004747886831</v>
      </c>
      <c r="J184" s="447">
        <f>J82*Calc_SEC_death_rates!$G129</f>
        <v>0.72119100894864252</v>
      </c>
      <c r="K184" s="447">
        <f>K82*Calc_SEC_death_rates!$G129</f>
        <v>0.72270068792565145</v>
      </c>
      <c r="L184" s="447">
        <f>L82*Calc_SEC_death_rates!$G129</f>
        <v>0.72451847594125762</v>
      </c>
      <c r="M184" s="447">
        <f>M82*Calc_SEC_death_rates!$G129</f>
        <v>0.72617228647042797</v>
      </c>
      <c r="N184" s="447">
        <f>N82*Calc_SEC_death_rates!$G129</f>
        <v>0.72657082742597734</v>
      </c>
      <c r="O184" s="320"/>
      <c r="P184" s="320"/>
      <c r="Q184" s="320"/>
    </row>
    <row r="185" spans="1:17">
      <c r="B185" s="331" t="str">
        <f t="shared" si="64"/>
        <v>50-54</v>
      </c>
      <c r="C185" s="447">
        <f>C83*Calc_SEC_death_rates!$G130</f>
        <v>0.71269383868582503</v>
      </c>
      <c r="D185" s="447">
        <f>D83*Calc_SEC_death_rates!$G130</f>
        <v>0.69569505002642895</v>
      </c>
      <c r="E185" s="447">
        <f>E83*Calc_SEC_death_rates!$G130</f>
        <v>0.68176961036793726</v>
      </c>
      <c r="F185" s="447">
        <f>F83*Calc_SEC_death_rates!$G130</f>
        <v>0.66960561739065028</v>
      </c>
      <c r="G185" s="447">
        <f>G83*Calc_SEC_death_rates!$G130</f>
        <v>0.66140094142084527</v>
      </c>
      <c r="H185" s="447">
        <f>H83*Calc_SEC_death_rates!$G130</f>
        <v>0.6558846893637128</v>
      </c>
      <c r="I185" s="447">
        <f>I83*Calc_SEC_death_rates!$G130</f>
        <v>0.65278561265154977</v>
      </c>
      <c r="J185" s="447">
        <f>J83*Calc_SEC_death_rates!$G130</f>
        <v>0.65112400251160119</v>
      </c>
      <c r="K185" s="447">
        <f>K83*Calc_SEC_death_rates!$G130</f>
        <v>0.64950044557766839</v>
      </c>
      <c r="L185" s="447">
        <f>L83*Calc_SEC_death_rates!$G130</f>
        <v>0.64831682803278767</v>
      </c>
      <c r="M185" s="447">
        <f>M83*Calc_SEC_death_rates!$G130</f>
        <v>0.6471638308700689</v>
      </c>
      <c r="N185" s="447">
        <f>N83*Calc_SEC_death_rates!$G130</f>
        <v>0.64511164274546551</v>
      </c>
      <c r="O185" s="320"/>
      <c r="P185" s="320"/>
      <c r="Q185" s="320"/>
    </row>
    <row r="186" spans="1:17">
      <c r="B186" s="331" t="str">
        <f t="shared" si="64"/>
        <v>55-59</v>
      </c>
      <c r="C186" s="447">
        <f>C84*Calc_SEC_death_rates!$G131</f>
        <v>0.70563923325320232</v>
      </c>
      <c r="D186" s="447">
        <f>D84*Calc_SEC_death_rates!$G131</f>
        <v>0.63045195595728953</v>
      </c>
      <c r="E186" s="447">
        <f>E84*Calc_SEC_death_rates!$G131</f>
        <v>0.58006447273521577</v>
      </c>
      <c r="F186" s="447">
        <f>F84*Calc_SEC_death_rates!$G131</f>
        <v>0.54615489011739493</v>
      </c>
      <c r="G186" s="447">
        <f>G84*Calc_SEC_death_rates!$G131</f>
        <v>0.52439995096161762</v>
      </c>
      <c r="H186" s="447">
        <f>H84*Calc_SEC_death_rates!$G131</f>
        <v>0.51054562949962035</v>
      </c>
      <c r="I186" s="447">
        <f>I84*Calc_SEC_death_rates!$G131</f>
        <v>0.50212520885701062</v>
      </c>
      <c r="J186" s="447">
        <f>J84*Calc_SEC_death_rates!$G131</f>
        <v>0.49683210282157814</v>
      </c>
      <c r="K186" s="447">
        <f>K84*Calc_SEC_death_rates!$G131</f>
        <v>0.49256473882753327</v>
      </c>
      <c r="L186" s="447">
        <f>L84*Calc_SEC_death_rates!$G131</f>
        <v>0.48932944489491836</v>
      </c>
      <c r="M186" s="447">
        <f>M84*Calc_SEC_death_rates!$G131</f>
        <v>0.48648645560530229</v>
      </c>
      <c r="N186" s="447">
        <f>N84*Calc_SEC_death_rates!$G131</f>
        <v>0.48304938599110936</v>
      </c>
      <c r="O186" s="320"/>
      <c r="P186" s="320"/>
      <c r="Q186" s="320"/>
    </row>
    <row r="187" spans="1:17">
      <c r="B187" s="331" t="str">
        <f t="shared" si="64"/>
        <v>60-64</v>
      </c>
      <c r="C187" s="447">
        <f>C85*Calc_SEC_death_rates!$G132</f>
        <v>0.47229098840270861</v>
      </c>
      <c r="D187" s="447">
        <f>D85*Calc_SEC_death_rates!$G132</f>
        <v>0.44419986316700444</v>
      </c>
      <c r="E187" s="447">
        <f>E85*Calc_SEC_death_rates!$G132</f>
        <v>0.40978365099064656</v>
      </c>
      <c r="F187" s="447">
        <f>F85*Calc_SEC_death_rates!$G132</f>
        <v>0.3799916345999238</v>
      </c>
      <c r="G187" s="447">
        <f>G85*Calc_SEC_death_rates!$G132</f>
        <v>0.35787212177575978</v>
      </c>
      <c r="H187" s="447">
        <f>H85*Calc_SEC_death_rates!$G132</f>
        <v>0.34248694323730106</v>
      </c>
      <c r="I187" s="447">
        <f>I85*Calc_SEC_death_rates!$G132</f>
        <v>0.33247740154971034</v>
      </c>
      <c r="J187" s="447">
        <f>J85*Calc_SEC_death_rates!$G132</f>
        <v>0.32585431708613727</v>
      </c>
      <c r="K187" s="447">
        <f>K85*Calc_SEC_death_rates!$G132</f>
        <v>0.32061292544880143</v>
      </c>
      <c r="L187" s="447">
        <f>L85*Calc_SEC_death_rates!$G132</f>
        <v>0.31668396693040279</v>
      </c>
      <c r="M187" s="447">
        <f>M85*Calc_SEC_death_rates!$G132</f>
        <v>0.31336339557727394</v>
      </c>
      <c r="N187" s="447">
        <f>N85*Calc_SEC_death_rates!$G132</f>
        <v>0.3096846804351307</v>
      </c>
      <c r="O187" s="320"/>
      <c r="P187" s="320"/>
      <c r="Q187" s="320"/>
    </row>
    <row r="188" spans="1:17">
      <c r="B188" s="331" t="str">
        <f t="shared" si="64"/>
        <v>65 plus</v>
      </c>
      <c r="C188" s="447">
        <f>C86*Calc_SEC_death_rates!$G133</f>
        <v>0.15362711801766071</v>
      </c>
      <c r="D188" s="447">
        <f>D86*Calc_SEC_death_rates!$G133</f>
        <v>0.16648943207922032</v>
      </c>
      <c r="E188" s="447">
        <f>E86*Calc_SEC_death_rates!$G133</f>
        <v>0.1694920889417586</v>
      </c>
      <c r="F188" s="447">
        <f>F86*Calc_SEC_death_rates!$G133</f>
        <v>0.16619731018725498</v>
      </c>
      <c r="G188" s="447">
        <f>G86*Calc_SEC_death_rates!$G133</f>
        <v>0.16100536093929327</v>
      </c>
      <c r="H188" s="447">
        <f>H86*Calc_SEC_death_rates!$G133</f>
        <v>0.15552873727249761</v>
      </c>
      <c r="I188" s="447">
        <f>I86*Calc_SEC_death_rates!$G133</f>
        <v>0.15081464522918575</v>
      </c>
      <c r="J188" s="447">
        <f>J86*Calc_SEC_death_rates!$G133</f>
        <v>0.14697517359895726</v>
      </c>
      <c r="K188" s="447">
        <f>K86*Calc_SEC_death_rates!$G133</f>
        <v>0.14361629652206204</v>
      </c>
      <c r="L188" s="447">
        <f>L86*Calc_SEC_death_rates!$G133</f>
        <v>0.14087789698976397</v>
      </c>
      <c r="M188" s="447">
        <f>M86*Calc_SEC_death_rates!$G133</f>
        <v>0.13853835548821891</v>
      </c>
      <c r="N188" s="447">
        <f>N86*Calc_SEC_death_rates!$G133</f>
        <v>0.13617721938064628</v>
      </c>
      <c r="O188" s="320"/>
      <c r="P188" s="320"/>
      <c r="Q188" s="320"/>
    </row>
    <row r="189" spans="1:17">
      <c r="B189" s="331" t="str">
        <f t="shared" si="64"/>
        <v>Total</v>
      </c>
      <c r="C189" s="447">
        <f>SUM(C179:C188)</f>
        <v>3.8982586597291795</v>
      </c>
      <c r="D189" s="447">
        <f t="shared" ref="D189:N189" si="66">SUM(D179:D188)</f>
        <v>3.7990707747714598</v>
      </c>
      <c r="E189" s="447">
        <f t="shared" si="66"/>
        <v>3.7026100265674478</v>
      </c>
      <c r="F189" s="447">
        <f t="shared" si="66"/>
        <v>3.6223504713585744</v>
      </c>
      <c r="G189" s="447">
        <f t="shared" si="66"/>
        <v>3.5698370053321309</v>
      </c>
      <c r="H189" s="447">
        <f t="shared" si="66"/>
        <v>3.5396402568843923</v>
      </c>
      <c r="I189" s="447">
        <f t="shared" si="66"/>
        <v>3.5288588867954629</v>
      </c>
      <c r="J189" s="447">
        <f t="shared" si="66"/>
        <v>3.5292790446232236</v>
      </c>
      <c r="K189" s="447">
        <f t="shared" si="66"/>
        <v>3.5300258766394021</v>
      </c>
      <c r="L189" s="447">
        <f t="shared" si="66"/>
        <v>3.533009711292904</v>
      </c>
      <c r="M189" s="447">
        <f t="shared" si="66"/>
        <v>3.5347529058178049</v>
      </c>
      <c r="N189" s="447">
        <f t="shared" si="66"/>
        <v>3.5285309608799333</v>
      </c>
      <c r="O189" s="320"/>
      <c r="P189" s="320"/>
      <c r="Q189" s="320"/>
    </row>
    <row r="190" spans="1:17">
      <c r="A190" s="302">
        <f>SUM(C190:N190)</f>
        <v>0</v>
      </c>
      <c r="C190" s="302">
        <f t="shared" ref="C190:N190" si="67">SUM(C179:C188)-C189</f>
        <v>0</v>
      </c>
      <c r="D190" s="302">
        <f t="shared" si="67"/>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7">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0.12091136919550698</v>
      </c>
      <c r="D196" s="447">
        <f>D94*Calc_SEC_death_rates!$G141</f>
        <v>0.11988292945899708</v>
      </c>
      <c r="E196" s="447">
        <f>E94*Calc_SEC_death_rates!$G141</f>
        <v>0.11841532548409714</v>
      </c>
      <c r="F196" s="447">
        <f>F94*Calc_SEC_death_rates!$G141</f>
        <v>0.11880703431915618</v>
      </c>
      <c r="G196" s="447">
        <f>G94*Calc_SEC_death_rates!$G141</f>
        <v>0.11970809505592538</v>
      </c>
      <c r="H196" s="447">
        <f>H94*Calc_SEC_death_rates!$G141</f>
        <v>0.1213957576095836</v>
      </c>
      <c r="I196" s="447">
        <f>I94*Calc_SEC_death_rates!$G141</f>
        <v>0.12364435958199062</v>
      </c>
      <c r="J196" s="447">
        <f>J94*Calc_SEC_death_rates!$G141</f>
        <v>0.12583945167852756</v>
      </c>
      <c r="K196" s="447">
        <f>K94*Calc_SEC_death_rates!$G141</f>
        <v>0.12718936607922388</v>
      </c>
      <c r="L196" s="447">
        <f>L94*Calc_SEC_death_rates!$G141</f>
        <v>0.12805312746221068</v>
      </c>
      <c r="M196" s="447">
        <f>M94*Calc_SEC_death_rates!$G141</f>
        <v>0.12830542013718452</v>
      </c>
      <c r="N196" s="447">
        <f>N94*Calc_SEC_death_rates!$G141</f>
        <v>0.12753332546960064</v>
      </c>
    </row>
    <row r="197" spans="1:14">
      <c r="B197" s="331" t="str">
        <f t="shared" si="68"/>
        <v>30-34</v>
      </c>
      <c r="C197" s="447">
        <f>C95*Calc_SEC_death_rates!$G142</f>
        <v>9.8618516739866463E-2</v>
      </c>
      <c r="D197" s="447">
        <f>D95*Calc_SEC_death_rates!$G142</f>
        <v>0.1016199672486434</v>
      </c>
      <c r="E197" s="447">
        <f>E95*Calc_SEC_death_rates!$G142</f>
        <v>0.10231188874167227</v>
      </c>
      <c r="F197" s="447">
        <f>F95*Calc_SEC_death_rates!$G142</f>
        <v>0.10272149540771931</v>
      </c>
      <c r="G197" s="447">
        <f>G95*Calc_SEC_death_rates!$G142</f>
        <v>0.10294877816287382</v>
      </c>
      <c r="H197" s="447">
        <f>H95*Calc_SEC_death_rates!$G142</f>
        <v>0.10348776822746519</v>
      </c>
      <c r="I197" s="447">
        <f>I95*Calc_SEC_death_rates!$G142</f>
        <v>0.10440693658481766</v>
      </c>
      <c r="J197" s="447">
        <f>J95*Calc_SEC_death_rates!$G142</f>
        <v>0.10549157003481685</v>
      </c>
      <c r="K197" s="447">
        <f>K95*Calc_SEC_death_rates!$G142</f>
        <v>0.10635177792422529</v>
      </c>
      <c r="L197" s="447">
        <f>L95*Calc_SEC_death_rates!$G142</f>
        <v>0.10705749473570779</v>
      </c>
      <c r="M197" s="447">
        <f>M95*Calc_SEC_death_rates!$G142</f>
        <v>0.10749196090369129</v>
      </c>
      <c r="N197" s="447">
        <f>N95*Calc_SEC_death_rates!$G142</f>
        <v>0.10740372900923323</v>
      </c>
    </row>
    <row r="198" spans="1:14">
      <c r="B198" s="331" t="str">
        <f t="shared" si="68"/>
        <v>35-39</v>
      </c>
      <c r="C198" s="447">
        <f>C96*Calc_SEC_death_rates!$G143</f>
        <v>0.44651877197784851</v>
      </c>
      <c r="D198" s="447">
        <f>D96*Calc_SEC_death_rates!$G143</f>
        <v>0.45730113025407582</v>
      </c>
      <c r="E198" s="447">
        <f>E96*Calc_SEC_death_rates!$G143</f>
        <v>0.46344081640998042</v>
      </c>
      <c r="F198" s="447">
        <f>F96*Calc_SEC_death_rates!$G143</f>
        <v>0.4687333670452356</v>
      </c>
      <c r="G198" s="447">
        <f>G96*Calc_SEC_death_rates!$G143</f>
        <v>0.47242521529868969</v>
      </c>
      <c r="H198" s="447">
        <f>H96*Calc_SEC_death_rates!$G143</f>
        <v>0.47612846100831657</v>
      </c>
      <c r="I198" s="447">
        <f>I96*Calc_SEC_death_rates!$G143</f>
        <v>0.4802684228428194</v>
      </c>
      <c r="J198" s="447">
        <f>J96*Calc_SEC_death_rates!$G143</f>
        <v>0.48445891738909946</v>
      </c>
      <c r="K198" s="447">
        <f>K96*Calc_SEC_death_rates!$G143</f>
        <v>0.4877408595927295</v>
      </c>
      <c r="L198" s="447">
        <f>L96*Calc_SEC_death_rates!$G143</f>
        <v>0.49056363067775438</v>
      </c>
      <c r="M198" s="447">
        <f>M96*Calc_SEC_death_rates!$G143</f>
        <v>0.49261403282624255</v>
      </c>
      <c r="N198" s="447">
        <f>N96*Calc_SEC_death_rates!$G143</f>
        <v>0.49307465802753875</v>
      </c>
    </row>
    <row r="199" spans="1:14">
      <c r="B199" s="331" t="str">
        <f t="shared" si="68"/>
        <v>40-44</v>
      </c>
      <c r="C199" s="447">
        <f>C97*Calc_SEC_death_rates!$G144</f>
        <v>0.36674911392920401</v>
      </c>
      <c r="D199" s="447">
        <f>D97*Calc_SEC_death_rates!$G144</f>
        <v>0.37127680583183625</v>
      </c>
      <c r="E199" s="447">
        <f>E97*Calc_SEC_death_rates!$G144</f>
        <v>0.3730937907264657</v>
      </c>
      <c r="F199" s="447">
        <f>F97*Calc_SEC_death_rates!$G144</f>
        <v>0.37550671323949414</v>
      </c>
      <c r="G199" s="447">
        <f>G97*Calc_SEC_death_rates!$G144</f>
        <v>0.37769636933526224</v>
      </c>
      <c r="H199" s="447">
        <f>H97*Calc_SEC_death_rates!$G144</f>
        <v>0.38047396208307566</v>
      </c>
      <c r="I199" s="447">
        <f>I97*Calc_SEC_death_rates!$G144</f>
        <v>0.38379279611125894</v>
      </c>
      <c r="J199" s="447">
        <f>J97*Calc_SEC_death_rates!$G144</f>
        <v>0.38713573480499863</v>
      </c>
      <c r="K199" s="447">
        <f>K97*Calc_SEC_death_rates!$G144</f>
        <v>0.38970898971028511</v>
      </c>
      <c r="L199" s="447">
        <f>L97*Calc_SEC_death_rates!$G144</f>
        <v>0.3918685715419028</v>
      </c>
      <c r="M199" s="447">
        <f>M97*Calc_SEC_death_rates!$G144</f>
        <v>0.3934339827717207</v>
      </c>
      <c r="N199" s="447">
        <f>N97*Calc_SEC_death_rates!$G144</f>
        <v>0.39386965677239549</v>
      </c>
    </row>
    <row r="200" spans="1:14">
      <c r="B200" s="331" t="str">
        <f t="shared" si="68"/>
        <v>45-49</v>
      </c>
      <c r="C200" s="447">
        <f>C98*Calc_SEC_death_rates!$G145</f>
        <v>0.61069937039342692</v>
      </c>
      <c r="D200" s="447">
        <f>D98*Calc_SEC_death_rates!$G145</f>
        <v>0.62305641014901625</v>
      </c>
      <c r="E200" s="447">
        <f>E98*Calc_SEC_death_rates!$G145</f>
        <v>0.6284452706636422</v>
      </c>
      <c r="F200" s="447">
        <f>F98*Calc_SEC_death_rates!$G145</f>
        <v>0.63302566427704476</v>
      </c>
      <c r="G200" s="447">
        <f>G98*Calc_SEC_death_rates!$G145</f>
        <v>0.63642648659992895</v>
      </c>
      <c r="H200" s="447">
        <f>H98*Calc_SEC_death_rates!$G145</f>
        <v>0.64060078060732562</v>
      </c>
      <c r="I200" s="447">
        <f>I98*Calc_SEC_death_rates!$G145</f>
        <v>0.64571845132058714</v>
      </c>
      <c r="J200" s="447">
        <f>J98*Calc_SEC_death_rates!$G145</f>
        <v>0.65100756341152877</v>
      </c>
      <c r="K200" s="447">
        <f>K98*Calc_SEC_death_rates!$G145</f>
        <v>0.65516172975121423</v>
      </c>
      <c r="L200" s="447">
        <f>L98*Calc_SEC_death_rates!$G145</f>
        <v>0.65868971850266966</v>
      </c>
      <c r="M200" s="447">
        <f>M98*Calc_SEC_death_rates!$G145</f>
        <v>0.66126964764321028</v>
      </c>
      <c r="N200" s="447">
        <f>N98*Calc_SEC_death_rates!$G145</f>
        <v>0.66204122393049258</v>
      </c>
    </row>
    <row r="201" spans="1:14">
      <c r="B201" s="331" t="str">
        <f t="shared" si="68"/>
        <v>50-54</v>
      </c>
      <c r="C201" s="447">
        <f>C99*Calc_SEC_death_rates!$G146</f>
        <v>0.78063664872965444</v>
      </c>
      <c r="D201" s="447">
        <f>D99*Calc_SEC_death_rates!$G146</f>
        <v>0.79585747509804339</v>
      </c>
      <c r="E201" s="447">
        <f>E99*Calc_SEC_death_rates!$G146</f>
        <v>0.80375490438582764</v>
      </c>
      <c r="F201" s="447">
        <f>F99*Calc_SEC_death_rates!$G146</f>
        <v>0.81087270490094443</v>
      </c>
      <c r="G201" s="447">
        <f>G99*Calc_SEC_death_rates!$G146</f>
        <v>0.81620238155886549</v>
      </c>
      <c r="H201" s="447">
        <f>H99*Calc_SEC_death_rates!$G146</f>
        <v>0.82214099953905617</v>
      </c>
      <c r="I201" s="447">
        <f>I99*Calc_SEC_death_rates!$G146</f>
        <v>0.82896018474915012</v>
      </c>
      <c r="J201" s="447">
        <f>J99*Calc_SEC_death_rates!$G146</f>
        <v>0.83579815308263972</v>
      </c>
      <c r="K201" s="447">
        <f>K99*Calc_SEC_death_rates!$G146</f>
        <v>0.84110873038990464</v>
      </c>
      <c r="L201" s="447">
        <f>L99*Calc_SEC_death_rates!$G146</f>
        <v>0.84559420478482439</v>
      </c>
      <c r="M201" s="447">
        <f>M99*Calc_SEC_death_rates!$G146</f>
        <v>0.84887485948500185</v>
      </c>
      <c r="N201" s="447">
        <f>N99*Calc_SEC_death_rates!$G146</f>
        <v>0.84987961670549395</v>
      </c>
    </row>
    <row r="202" spans="1:14">
      <c r="B202" s="331" t="str">
        <f t="shared" si="68"/>
        <v>55-59</v>
      </c>
      <c r="C202" s="447">
        <f>C100*Calc_SEC_death_rates!$G147</f>
        <v>0.69425548599752884</v>
      </c>
      <c r="D202" s="447">
        <f>D100*Calc_SEC_death_rates!$G147</f>
        <v>0.67687379150355453</v>
      </c>
      <c r="E202" s="447">
        <f>E100*Calc_SEC_death_rates!$G147</f>
        <v>0.66405215205065926</v>
      </c>
      <c r="F202" s="447">
        <f>F100*Calc_SEC_death_rates!$G147</f>
        <v>0.65862651310091458</v>
      </c>
      <c r="G202" s="447">
        <f>G100*Calc_SEC_death_rates!$G147</f>
        <v>0.6564447724671979</v>
      </c>
      <c r="H202" s="447">
        <f>H100*Calc_SEC_death_rates!$G147</f>
        <v>0.65761888305550642</v>
      </c>
      <c r="I202" s="447">
        <f>I100*Calc_SEC_death_rates!$G147</f>
        <v>0.66117779778657737</v>
      </c>
      <c r="J202" s="447">
        <f>J100*Calc_SEC_death_rates!$G147</f>
        <v>0.66554254662420065</v>
      </c>
      <c r="K202" s="447">
        <f>K100*Calc_SEC_death_rates!$G147</f>
        <v>0.66886121962357714</v>
      </c>
      <c r="L202" s="447">
        <f>L100*Calc_SEC_death_rates!$G147</f>
        <v>0.67173068205889308</v>
      </c>
      <c r="M202" s="447">
        <f>M100*Calc_SEC_death_rates!$G147</f>
        <v>0.67369885761404535</v>
      </c>
      <c r="N202" s="447">
        <f>N100*Calc_SEC_death_rates!$G147</f>
        <v>0.67371502363791669</v>
      </c>
    </row>
    <row r="203" spans="1:14">
      <c r="B203" s="331" t="str">
        <f t="shared" si="68"/>
        <v>60-64</v>
      </c>
      <c r="C203" s="447">
        <f>C101*Calc_SEC_death_rates!$G148</f>
        <v>0.21783017818796549</v>
      </c>
      <c r="D203" s="447">
        <f>D101*Calc_SEC_death_rates!$G148</f>
        <v>0.24651233281034016</v>
      </c>
      <c r="E203" s="447">
        <f>E101*Calc_SEC_death_rates!$G148</f>
        <v>0.25517273514715466</v>
      </c>
      <c r="F203" s="447">
        <f>F101*Calc_SEC_death_rates!$G148</f>
        <v>0.25799508632575141</v>
      </c>
      <c r="G203" s="447">
        <f>G101*Calc_SEC_death_rates!$G148</f>
        <v>0.25836973188753309</v>
      </c>
      <c r="H203" s="447">
        <f>H101*Calc_SEC_death_rates!$G148</f>
        <v>0.2588546942047622</v>
      </c>
      <c r="I203" s="447">
        <f>I101*Calc_SEC_death_rates!$G148</f>
        <v>0.26000797397620878</v>
      </c>
      <c r="J203" s="447">
        <f>J101*Calc_SEC_death_rates!$G148</f>
        <v>0.26139306754350294</v>
      </c>
      <c r="K203" s="447">
        <f>K101*Calc_SEC_death_rates!$G148</f>
        <v>0.26218522040187275</v>
      </c>
      <c r="L203" s="447">
        <f>L101*Calc_SEC_death_rates!$G148</f>
        <v>0.26282759435369901</v>
      </c>
      <c r="M203" s="447">
        <f>M101*Calc_SEC_death_rates!$G148</f>
        <v>0.26309891634527421</v>
      </c>
      <c r="N203" s="447">
        <f>N101*Calc_SEC_death_rates!$G148</f>
        <v>0.26245132338471028</v>
      </c>
    </row>
    <row r="204" spans="1:14">
      <c r="B204" s="331" t="str">
        <f t="shared" si="68"/>
        <v>65 plus</v>
      </c>
      <c r="C204" s="447">
        <f>C102*Calc_SEC_death_rates!$G149</f>
        <v>0.17762513949101749</v>
      </c>
      <c r="D204" s="447">
        <f>D102*Calc_SEC_death_rates!$G149</f>
        <v>0.27371426851731728</v>
      </c>
      <c r="E204" s="447">
        <f>E102*Calc_SEC_death_rates!$G149</f>
        <v>0.34460896125702672</v>
      </c>
      <c r="F204" s="447">
        <f>F102*Calc_SEC_death_rates!$G149</f>
        <v>0.39524225342635155</v>
      </c>
      <c r="G204" s="447">
        <f>G102*Calc_SEC_death_rates!$G149</f>
        <v>0.42888447124160411</v>
      </c>
      <c r="H204" s="447">
        <f>H102*Calc_SEC_death_rates!$G149</f>
        <v>0.45178685068618935</v>
      </c>
      <c r="I204" s="447">
        <f>I102*Calc_SEC_death_rates!$G149</f>
        <v>0.46799224462413919</v>
      </c>
      <c r="J204" s="447">
        <f>J102*Calc_SEC_death_rates!$G149</f>
        <v>0.4794581365273089</v>
      </c>
      <c r="K204" s="447">
        <f>K102*Calc_SEC_death_rates!$G149</f>
        <v>0.48664293083149368</v>
      </c>
      <c r="L204" s="447">
        <f>L102*Calc_SEC_death_rates!$G149</f>
        <v>0.49126573353121283</v>
      </c>
      <c r="M204" s="447">
        <f>M102*Calc_SEC_death_rates!$G149</f>
        <v>0.49379392324186727</v>
      </c>
      <c r="N204" s="447">
        <f>N102*Calc_SEC_death_rates!$G149</f>
        <v>0.49382961468766462</v>
      </c>
    </row>
    <row r="205" spans="1:14">
      <c r="B205" s="331" t="str">
        <f t="shared" si="68"/>
        <v>Total</v>
      </c>
      <c r="C205" s="447">
        <f>SUM(C195:C204)</f>
        <v>3.5138445946420189</v>
      </c>
      <c r="D205" s="447">
        <f t="shared" ref="D205:N205" si="70">SUM(D195:D204)</f>
        <v>3.6660951108718245</v>
      </c>
      <c r="E205" s="447">
        <f t="shared" si="70"/>
        <v>3.7532958448665266</v>
      </c>
      <c r="F205" s="447">
        <f t="shared" si="70"/>
        <v>3.8215308320426118</v>
      </c>
      <c r="G205" s="447">
        <f t="shared" si="70"/>
        <v>3.8691063016078804</v>
      </c>
      <c r="H205" s="447">
        <f t="shared" si="70"/>
        <v>3.9124881570212802</v>
      </c>
      <c r="I205" s="447">
        <f t="shared" si="70"/>
        <v>3.9559691675775497</v>
      </c>
      <c r="J205" s="447">
        <f t="shared" si="70"/>
        <v>3.996125141096623</v>
      </c>
      <c r="K205" s="447">
        <f t="shared" si="70"/>
        <v>4.0249508243045264</v>
      </c>
      <c r="L205" s="447">
        <f t="shared" si="70"/>
        <v>4.0476507576488743</v>
      </c>
      <c r="M205" s="447">
        <f t="shared" si="70"/>
        <v>4.0625816009682385</v>
      </c>
      <c r="N205" s="447">
        <f t="shared" si="70"/>
        <v>4.063798171625046</v>
      </c>
    </row>
    <row r="206" spans="1:14">
      <c r="A206" s="302">
        <f>SUM(C206:N206)</f>
        <v>0</v>
      </c>
      <c r="C206" s="302">
        <f t="shared" ref="C206:N206" si="71">SUM(C195:C204)-C205</f>
        <v>0</v>
      </c>
      <c r="D206" s="302">
        <f t="shared" si="71"/>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24.832896548378343</v>
      </c>
      <c r="D213" s="447">
        <f t="shared" ref="D213:N213" si="75">D111+D145+D179</f>
        <v>39.343640260037468</v>
      </c>
      <c r="E213" s="447">
        <f t="shared" si="75"/>
        <v>49.094333454490432</v>
      </c>
      <c r="F213" s="447">
        <f t="shared" si="75"/>
        <v>53.74805648759164</v>
      </c>
      <c r="G213" s="447">
        <f t="shared" si="75"/>
        <v>57.545767805934901</v>
      </c>
      <c r="H213" s="447">
        <f t="shared" si="75"/>
        <v>60.485499331968519</v>
      </c>
      <c r="I213" s="447">
        <f t="shared" si="75"/>
        <v>62.947563297731669</v>
      </c>
      <c r="J213" s="447">
        <f t="shared" si="75"/>
        <v>64.762149270654376</v>
      </c>
      <c r="K213" s="447">
        <f t="shared" si="75"/>
        <v>65.547674378533316</v>
      </c>
      <c r="L213" s="447">
        <f t="shared" si="75"/>
        <v>65.880934497122624</v>
      </c>
      <c r="M213" s="447">
        <f t="shared" si="75"/>
        <v>65.75087786675185</v>
      </c>
      <c r="N213" s="447">
        <f t="shared" si="75"/>
        <v>64.880985776653034</v>
      </c>
    </row>
    <row r="214" spans="1:14">
      <c r="B214" s="331" t="str">
        <f t="shared" si="72"/>
        <v>25-29</v>
      </c>
      <c r="C214" s="447">
        <f t="shared" si="74"/>
        <v>79.29514543097865</v>
      </c>
      <c r="D214" s="447">
        <f t="shared" ref="D214:N214" si="76">D112+D146+D180</f>
        <v>77.531920576357493</v>
      </c>
      <c r="E214" s="447">
        <f t="shared" si="76"/>
        <v>81.27504722459183</v>
      </c>
      <c r="F214" s="447">
        <f t="shared" si="76"/>
        <v>81.379408586097981</v>
      </c>
      <c r="G214" s="447">
        <f t="shared" si="76"/>
        <v>83.362597119467424</v>
      </c>
      <c r="H214" s="447">
        <f t="shared" si="76"/>
        <v>85.6022740147489</v>
      </c>
      <c r="I214" s="447">
        <f t="shared" si="76"/>
        <v>87.996639322716234</v>
      </c>
      <c r="J214" s="447">
        <f t="shared" si="76"/>
        <v>90.136834457507192</v>
      </c>
      <c r="K214" s="447">
        <f t="shared" si="76"/>
        <v>91.471367505126054</v>
      </c>
      <c r="L214" s="447">
        <f t="shared" si="76"/>
        <v>92.326861038804466</v>
      </c>
      <c r="M214" s="447">
        <f t="shared" si="76"/>
        <v>92.643172102072029</v>
      </c>
      <c r="N214" s="447">
        <f t="shared" si="76"/>
        <v>92.131139314829568</v>
      </c>
    </row>
    <row r="215" spans="1:14">
      <c r="B215" s="331" t="str">
        <f t="shared" si="72"/>
        <v>30-34</v>
      </c>
      <c r="C215" s="447">
        <f t="shared" si="74"/>
        <v>59.242832111753692</v>
      </c>
      <c r="D215" s="447">
        <f t="shared" ref="D215:N215" si="77">D113+D147+D181</f>
        <v>60.04721496087565</v>
      </c>
      <c r="E215" s="447">
        <f t="shared" si="77"/>
        <v>63.928199406931192</v>
      </c>
      <c r="F215" s="447">
        <f t="shared" si="77"/>
        <v>63.970676897555705</v>
      </c>
      <c r="G215" s="447">
        <f t="shared" si="77"/>
        <v>65.191351225747908</v>
      </c>
      <c r="H215" s="447">
        <f t="shared" si="77"/>
        <v>66.498290044623232</v>
      </c>
      <c r="I215" s="447">
        <f t="shared" si="77"/>
        <v>67.932447259245592</v>
      </c>
      <c r="J215" s="447">
        <f t="shared" si="77"/>
        <v>69.347948140055948</v>
      </c>
      <c r="K215" s="447">
        <f t="shared" si="77"/>
        <v>70.483181019489251</v>
      </c>
      <c r="L215" s="447">
        <f t="shared" si="77"/>
        <v>71.401761983947864</v>
      </c>
      <c r="M215" s="447">
        <f t="shared" si="77"/>
        <v>72.038879981660301</v>
      </c>
      <c r="N215" s="447">
        <f t="shared" si="77"/>
        <v>72.235271415361282</v>
      </c>
    </row>
    <row r="216" spans="1:14">
      <c r="B216" s="331" t="str">
        <f t="shared" si="72"/>
        <v>35-39</v>
      </c>
      <c r="C216" s="447">
        <f t="shared" si="74"/>
        <v>59.5087821250114</v>
      </c>
      <c r="D216" s="447">
        <f t="shared" ref="D216:N216" si="78">D114+D148+D182</f>
        <v>57.706510209905623</v>
      </c>
      <c r="E216" s="447">
        <f t="shared" si="78"/>
        <v>60.228715512792782</v>
      </c>
      <c r="F216" s="447">
        <f t="shared" si="78"/>
        <v>59.588837172319906</v>
      </c>
      <c r="G216" s="447">
        <f t="shared" si="78"/>
        <v>60.261763220736931</v>
      </c>
      <c r="H216" s="447">
        <f t="shared" si="78"/>
        <v>61.079977822946987</v>
      </c>
      <c r="I216" s="447">
        <f t="shared" si="78"/>
        <v>62.040361178834083</v>
      </c>
      <c r="J216" s="447">
        <f t="shared" si="78"/>
        <v>63.043006903767235</v>
      </c>
      <c r="K216" s="447">
        <f t="shared" si="78"/>
        <v>63.921792778467974</v>
      </c>
      <c r="L216" s="447">
        <f t="shared" si="78"/>
        <v>64.716522594212648</v>
      </c>
      <c r="M216" s="447">
        <f t="shared" si="78"/>
        <v>65.370054081179504</v>
      </c>
      <c r="N216" s="447">
        <f t="shared" si="78"/>
        <v>65.761960864255528</v>
      </c>
    </row>
    <row r="217" spans="1:14">
      <c r="B217" s="331" t="str">
        <f t="shared" si="72"/>
        <v>40-44</v>
      </c>
      <c r="C217" s="447">
        <f t="shared" si="74"/>
        <v>54.808768228257698</v>
      </c>
      <c r="D217" s="447">
        <f t="shared" ref="D217:N217" si="79">D115+D149+D183</f>
        <v>52.583522526689315</v>
      </c>
      <c r="E217" s="447">
        <f t="shared" si="79"/>
        <v>54.076205787893457</v>
      </c>
      <c r="F217" s="447">
        <f t="shared" si="79"/>
        <v>52.749405277499115</v>
      </c>
      <c r="G217" s="447">
        <f t="shared" si="79"/>
        <v>52.669965536314862</v>
      </c>
      <c r="H217" s="447">
        <f t="shared" si="79"/>
        <v>52.805036628210658</v>
      </c>
      <c r="I217" s="447">
        <f t="shared" si="79"/>
        <v>53.137326362968608</v>
      </c>
      <c r="J217" s="447">
        <f t="shared" si="79"/>
        <v>53.575679669279005</v>
      </c>
      <c r="K217" s="447">
        <f t="shared" si="79"/>
        <v>53.986483876452787</v>
      </c>
      <c r="L217" s="447">
        <f t="shared" si="79"/>
        <v>54.398136173604222</v>
      </c>
      <c r="M217" s="447">
        <f t="shared" si="79"/>
        <v>54.765671283270507</v>
      </c>
      <c r="N217" s="447">
        <f t="shared" si="79"/>
        <v>54.996620155166305</v>
      </c>
    </row>
    <row r="218" spans="1:14">
      <c r="B218" s="331" t="str">
        <f t="shared" si="72"/>
        <v>45-49</v>
      </c>
      <c r="C218" s="447">
        <f t="shared" si="74"/>
        <v>61.776528653919463</v>
      </c>
      <c r="D218" s="447">
        <f t="shared" ref="D218:N218" si="80">D116+D150+D184</f>
        <v>59.576864744359909</v>
      </c>
      <c r="E218" s="447">
        <f t="shared" si="80"/>
        <v>61.426694038459509</v>
      </c>
      <c r="F218" s="447">
        <f t="shared" si="80"/>
        <v>59.846211140217115</v>
      </c>
      <c r="G218" s="447">
        <f t="shared" si="80"/>
        <v>59.556251302684316</v>
      </c>
      <c r="H218" s="447">
        <f t="shared" si="80"/>
        <v>59.415955352654301</v>
      </c>
      <c r="I218" s="447">
        <f t="shared" si="80"/>
        <v>59.44927688361274</v>
      </c>
      <c r="J218" s="447">
        <f t="shared" si="80"/>
        <v>59.588993950996368</v>
      </c>
      <c r="K218" s="447">
        <f t="shared" si="80"/>
        <v>59.713732404904817</v>
      </c>
      <c r="L218" s="447">
        <f t="shared" si="80"/>
        <v>59.863928618837186</v>
      </c>
      <c r="M218" s="447">
        <f t="shared" si="80"/>
        <v>60.000576059523524</v>
      </c>
      <c r="N218" s="447">
        <f t="shared" si="80"/>
        <v>60.033505830270492</v>
      </c>
    </row>
    <row r="219" spans="1:14">
      <c r="B219" s="331" t="str">
        <f t="shared" si="72"/>
        <v>50-54</v>
      </c>
      <c r="C219" s="447">
        <f t="shared" si="74"/>
        <v>66.84089597432741</v>
      </c>
      <c r="D219" s="447">
        <f t="shared" ref="D219:N219" si="81">D117+D151+D185</f>
        <v>63.428985638104251</v>
      </c>
      <c r="E219" s="447">
        <f t="shared" si="81"/>
        <v>63.951691803224001</v>
      </c>
      <c r="F219" s="447">
        <f t="shared" si="81"/>
        <v>61.896786016894566</v>
      </c>
      <c r="G219" s="447">
        <f t="shared" si="81"/>
        <v>61.13836485128374</v>
      </c>
      <c r="H219" s="447">
        <f t="shared" si="81"/>
        <v>60.628455339881903</v>
      </c>
      <c r="I219" s="447">
        <f t="shared" si="81"/>
        <v>60.341983895914332</v>
      </c>
      <c r="J219" s="447">
        <f t="shared" si="81"/>
        <v>60.188388518867342</v>
      </c>
      <c r="K219" s="447">
        <f t="shared" si="81"/>
        <v>60.038310691686789</v>
      </c>
      <c r="L219" s="447">
        <f t="shared" si="81"/>
        <v>59.928899838494118</v>
      </c>
      <c r="M219" s="447">
        <f t="shared" si="81"/>
        <v>59.822319462216811</v>
      </c>
      <c r="N219" s="447">
        <f t="shared" si="81"/>
        <v>59.632619964608075</v>
      </c>
    </row>
    <row r="220" spans="1:14">
      <c r="B220" s="331" t="str">
        <f t="shared" si="72"/>
        <v>55-59</v>
      </c>
      <c r="C220" s="447">
        <f t="shared" si="74"/>
        <v>96.396355874957152</v>
      </c>
      <c r="D220" s="447">
        <f t="shared" ref="D220:N220" si="82">D118+D152+D186</f>
        <v>85.284927938983685</v>
      </c>
      <c r="E220" s="447">
        <f t="shared" si="82"/>
        <v>79.246570883028397</v>
      </c>
      <c r="F220" s="447">
        <f t="shared" si="82"/>
        <v>74.233734609878212</v>
      </c>
      <c r="G220" s="447">
        <f t="shared" si="82"/>
        <v>71.276788862497128</v>
      </c>
      <c r="H220" s="447">
        <f t="shared" si="82"/>
        <v>69.393700307913676</v>
      </c>
      <c r="I220" s="447">
        <f t="shared" si="82"/>
        <v>68.249191153829813</v>
      </c>
      <c r="J220" s="447">
        <f t="shared" si="82"/>
        <v>67.529748673672231</v>
      </c>
      <c r="K220" s="447">
        <f t="shared" si="82"/>
        <v>66.949725731554892</v>
      </c>
      <c r="L220" s="447">
        <f t="shared" si="82"/>
        <v>66.509982436155553</v>
      </c>
      <c r="M220" s="447">
        <f t="shared" si="82"/>
        <v>66.123561447818844</v>
      </c>
      <c r="N220" s="447">
        <f t="shared" si="82"/>
        <v>65.656392668059624</v>
      </c>
    </row>
    <row r="221" spans="1:14">
      <c r="B221" s="331" t="str">
        <f t="shared" si="72"/>
        <v>60-64</v>
      </c>
      <c r="C221" s="447">
        <f t="shared" si="74"/>
        <v>55.617796367056648</v>
      </c>
      <c r="D221" s="447">
        <f t="shared" ref="D221:N221" si="83">D119+D153+D187</f>
        <v>51.927412539961509</v>
      </c>
      <c r="E221" s="447">
        <f t="shared" si="83"/>
        <v>48.259015867610302</v>
      </c>
      <c r="F221" s="447">
        <f t="shared" si="83"/>
        <v>44.579649193371758</v>
      </c>
      <c r="G221" s="447">
        <f t="shared" si="83"/>
        <v>41.984644376837522</v>
      </c>
      <c r="H221" s="447">
        <f t="shared" si="83"/>
        <v>40.179694479074641</v>
      </c>
      <c r="I221" s="447">
        <f t="shared" si="83"/>
        <v>39.005400583133934</v>
      </c>
      <c r="J221" s="447">
        <f t="shared" si="83"/>
        <v>38.228397209691195</v>
      </c>
      <c r="K221" s="447">
        <f t="shared" si="83"/>
        <v>37.613490513854288</v>
      </c>
      <c r="L221" s="447">
        <f t="shared" si="83"/>
        <v>37.15255512344779</v>
      </c>
      <c r="M221" s="447">
        <f t="shared" si="83"/>
        <v>36.762994163244294</v>
      </c>
      <c r="N221" s="447">
        <f t="shared" si="83"/>
        <v>36.331416687356551</v>
      </c>
    </row>
    <row r="222" spans="1:14">
      <c r="B222" s="331" t="str">
        <f t="shared" si="72"/>
        <v>65 plus</v>
      </c>
      <c r="C222" s="447">
        <f t="shared" si="74"/>
        <v>19.340019714940418</v>
      </c>
      <c r="D222" s="447">
        <f t="shared" ref="D222:N222" si="84">D120+D154+D188</f>
        <v>20.746798954575151</v>
      </c>
      <c r="E222" s="447">
        <f t="shared" si="84"/>
        <v>21.338594126188909</v>
      </c>
      <c r="F222" s="447">
        <f t="shared" si="84"/>
        <v>20.813006780533584</v>
      </c>
      <c r="G222" s="447">
        <f t="shared" si="84"/>
        <v>20.162815301620586</v>
      </c>
      <c r="H222" s="447">
        <f t="shared" si="84"/>
        <v>19.476973843759318</v>
      </c>
      <c r="I222" s="447">
        <f t="shared" si="84"/>
        <v>18.886624760787015</v>
      </c>
      <c r="J222" s="447">
        <f t="shared" si="84"/>
        <v>18.405805011155834</v>
      </c>
      <c r="K222" s="447">
        <f t="shared" si="84"/>
        <v>17.985170457578324</v>
      </c>
      <c r="L222" s="447">
        <f t="shared" si="84"/>
        <v>17.642238746052342</v>
      </c>
      <c r="M222" s="447">
        <f t="shared" si="84"/>
        <v>17.34925630800846</v>
      </c>
      <c r="N222" s="447">
        <f t="shared" si="84"/>
        <v>17.05356956216821</v>
      </c>
    </row>
    <row r="223" spans="1:14">
      <c r="B223" s="331" t="str">
        <f t="shared" si="72"/>
        <v>Total</v>
      </c>
      <c r="C223" s="447">
        <f>SUM(C213:C222)</f>
        <v>577.66002102958089</v>
      </c>
      <c r="D223" s="447">
        <f t="shared" ref="D223:N223" si="85">SUM(D213:D222)</f>
        <v>568.17779834985004</v>
      </c>
      <c r="E223" s="447">
        <f t="shared" si="85"/>
        <v>582.82506810521079</v>
      </c>
      <c r="F223" s="447">
        <f t="shared" si="85"/>
        <v>572.80577216195957</v>
      </c>
      <c r="G223" s="447">
        <f t="shared" si="85"/>
        <v>573.15030960312538</v>
      </c>
      <c r="H223" s="447">
        <f t="shared" si="85"/>
        <v>575.56585716578218</v>
      </c>
      <c r="I223" s="447">
        <f t="shared" si="85"/>
        <v>579.98681469877397</v>
      </c>
      <c r="J223" s="447">
        <f t="shared" si="85"/>
        <v>584.80695180564669</v>
      </c>
      <c r="K223" s="447">
        <f t="shared" si="85"/>
        <v>587.71092935764841</v>
      </c>
      <c r="L223" s="447">
        <f t="shared" si="85"/>
        <v>589.82182105067886</v>
      </c>
      <c r="M223" s="447">
        <f t="shared" si="85"/>
        <v>590.62736275574605</v>
      </c>
      <c r="N223" s="447">
        <f t="shared" si="85"/>
        <v>588.7134822387286</v>
      </c>
    </row>
    <row r="224" spans="1:14">
      <c r="A224" s="302">
        <f>SUM(C224:N224)</f>
        <v>0</v>
      </c>
      <c r="C224" s="302">
        <f t="shared" ref="C224:N224" si="86">SUM(C213:C222)-C223</f>
        <v>0</v>
      </c>
      <c r="D224" s="302">
        <f t="shared" si="86"/>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40.850027693792171</v>
      </c>
      <c r="D229" s="447">
        <f t="shared" ref="D229:N229" si="90">D195+D161+D127</f>
        <v>56.331742095203559</v>
      </c>
      <c r="E229" s="447">
        <f t="shared" si="90"/>
        <v>65.08959873236121</v>
      </c>
      <c r="F229" s="447">
        <f t="shared" si="90"/>
        <v>71.80158642039153</v>
      </c>
      <c r="G229" s="447">
        <f t="shared" si="90"/>
        <v>75.707034829287494</v>
      </c>
      <c r="H229" s="447">
        <f t="shared" si="90"/>
        <v>78.905190242887244</v>
      </c>
      <c r="I229" s="447">
        <f t="shared" si="90"/>
        <v>81.72450641997203</v>
      </c>
      <c r="J229" s="447">
        <f t="shared" si="90"/>
        <v>83.883247597298919</v>
      </c>
      <c r="K229" s="447">
        <f t="shared" si="90"/>
        <v>84.864166732975335</v>
      </c>
      <c r="L229" s="447">
        <f t="shared" si="90"/>
        <v>85.312162555521112</v>
      </c>
      <c r="M229" s="447">
        <f t="shared" si="90"/>
        <v>85.196739222233873</v>
      </c>
      <c r="N229" s="447">
        <f t="shared" si="90"/>
        <v>84.172654094409097</v>
      </c>
    </row>
    <row r="230" spans="1:14">
      <c r="B230" s="331" t="str">
        <f t="shared" si="87"/>
        <v>25-29</v>
      </c>
      <c r="C230" s="447">
        <f t="shared" si="89"/>
        <v>119.94407516351809</v>
      </c>
      <c r="D230" s="447">
        <f t="shared" ref="D230:N230" si="91">D196+D162+D128</f>
        <v>119.51100747868908</v>
      </c>
      <c r="E230" s="447">
        <f t="shared" si="91"/>
        <v>120.01108693512668</v>
      </c>
      <c r="F230" s="447">
        <f t="shared" si="91"/>
        <v>121.95444763455234</v>
      </c>
      <c r="G230" s="447">
        <f t="shared" si="91"/>
        <v>122.87937910066968</v>
      </c>
      <c r="H230" s="447">
        <f t="shared" si="91"/>
        <v>124.611750889128</v>
      </c>
      <c r="I230" s="447">
        <f t="shared" si="91"/>
        <v>126.91992239653383</v>
      </c>
      <c r="J230" s="447">
        <f t="shared" si="91"/>
        <v>129.17316645463393</v>
      </c>
      <c r="K230" s="447">
        <f t="shared" si="91"/>
        <v>130.55884253041748</v>
      </c>
      <c r="L230" s="447">
        <f t="shared" si="91"/>
        <v>131.44548651537912</v>
      </c>
      <c r="M230" s="447">
        <f t="shared" si="91"/>
        <v>131.70446287982591</v>
      </c>
      <c r="N230" s="447">
        <f t="shared" si="91"/>
        <v>130.91191402742521</v>
      </c>
    </row>
    <row r="231" spans="1:14">
      <c r="B231" s="331" t="str">
        <f t="shared" si="87"/>
        <v>30-34</v>
      </c>
      <c r="C231" s="447">
        <f t="shared" si="89"/>
        <v>101.15169097285143</v>
      </c>
      <c r="D231" s="447">
        <f t="shared" ref="D231:N231" si="92">D197+D163+D129</f>
        <v>104.7443961315978</v>
      </c>
      <c r="E231" s="447">
        <f t="shared" si="92"/>
        <v>107.20984486619192</v>
      </c>
      <c r="F231" s="447">
        <f t="shared" si="92"/>
        <v>109.0202811410215</v>
      </c>
      <c r="G231" s="447">
        <f t="shared" si="92"/>
        <v>109.26150066150356</v>
      </c>
      <c r="H231" s="447">
        <f t="shared" si="92"/>
        <v>109.83354109121825</v>
      </c>
      <c r="I231" s="447">
        <f t="shared" si="92"/>
        <v>110.80907198995327</v>
      </c>
      <c r="J231" s="447">
        <f t="shared" si="92"/>
        <v>111.96021414558997</v>
      </c>
      <c r="K231" s="447">
        <f t="shared" si="92"/>
        <v>112.87316917579864</v>
      </c>
      <c r="L231" s="447">
        <f t="shared" si="92"/>
        <v>113.62215988011411</v>
      </c>
      <c r="M231" s="447">
        <f t="shared" si="92"/>
        <v>114.08326710593691</v>
      </c>
      <c r="N231" s="447">
        <f t="shared" si="92"/>
        <v>113.9896249144828</v>
      </c>
    </row>
    <row r="232" spans="1:14">
      <c r="B232" s="331" t="str">
        <f t="shared" si="87"/>
        <v>35-39</v>
      </c>
      <c r="C232" s="447">
        <f t="shared" si="89"/>
        <v>87.021555870078402</v>
      </c>
      <c r="D232" s="447">
        <f t="shared" ref="D232:N232" si="93">D198+D164+D130</f>
        <v>89.559541809914577</v>
      </c>
      <c r="E232" s="447">
        <f t="shared" si="93"/>
        <v>92.25975808744758</v>
      </c>
      <c r="F232" s="447">
        <f t="shared" si="93"/>
        <v>94.502742037438964</v>
      </c>
      <c r="G232" s="447">
        <f t="shared" si="93"/>
        <v>95.247066652810048</v>
      </c>
      <c r="H232" s="447">
        <f t="shared" si="93"/>
        <v>95.993689143554008</v>
      </c>
      <c r="I232" s="447">
        <f t="shared" si="93"/>
        <v>96.828359283973327</v>
      </c>
      <c r="J232" s="447">
        <f t="shared" si="93"/>
        <v>97.673217476196243</v>
      </c>
      <c r="K232" s="447">
        <f t="shared" si="93"/>
        <v>98.334899701651096</v>
      </c>
      <c r="L232" s="447">
        <f t="shared" si="93"/>
        <v>98.90400705869807</v>
      </c>
      <c r="M232" s="447">
        <f t="shared" si="93"/>
        <v>99.317394794529747</v>
      </c>
      <c r="N232" s="447">
        <f t="shared" si="93"/>
        <v>99.410262824916501</v>
      </c>
    </row>
    <row r="233" spans="1:14">
      <c r="B233" s="331" t="str">
        <f t="shared" si="87"/>
        <v>40-44</v>
      </c>
      <c r="C233" s="447">
        <f t="shared" si="89"/>
        <v>81.02176031042184</v>
      </c>
      <c r="D233" s="447">
        <f t="shared" ref="D233:N233" si="94">D199+D165+D131</f>
        <v>82.42213799936701</v>
      </c>
      <c r="E233" s="447">
        <f t="shared" si="94"/>
        <v>84.186539783949328</v>
      </c>
      <c r="F233" s="447">
        <f t="shared" si="94"/>
        <v>85.806478347540988</v>
      </c>
      <c r="G233" s="447">
        <f t="shared" si="94"/>
        <v>86.306833392459325</v>
      </c>
      <c r="H233" s="447">
        <f t="shared" si="94"/>
        <v>86.941536963848023</v>
      </c>
      <c r="I233" s="447">
        <f t="shared" si="94"/>
        <v>87.699918772049585</v>
      </c>
      <c r="J233" s="447">
        <f t="shared" si="94"/>
        <v>88.463808701385105</v>
      </c>
      <c r="K233" s="447">
        <f t="shared" si="94"/>
        <v>89.051819337488823</v>
      </c>
      <c r="L233" s="447">
        <f t="shared" si="94"/>
        <v>89.545302157212106</v>
      </c>
      <c r="M233" s="447">
        <f t="shared" si="94"/>
        <v>89.903011939914961</v>
      </c>
      <c r="N233" s="447">
        <f t="shared" si="94"/>
        <v>90.002567155274448</v>
      </c>
    </row>
    <row r="234" spans="1:14">
      <c r="B234" s="331" t="str">
        <f t="shared" si="87"/>
        <v>45-49</v>
      </c>
      <c r="C234" s="447">
        <f t="shared" si="89"/>
        <v>76.369329030311846</v>
      </c>
      <c r="D234" s="447">
        <f t="shared" ref="D234:N234" si="95">D200+D166+D132</f>
        <v>78.292115299988865</v>
      </c>
      <c r="E234" s="447">
        <f t="shared" si="95"/>
        <v>80.258180447751968</v>
      </c>
      <c r="F234" s="447">
        <f t="shared" si="95"/>
        <v>81.862451689508447</v>
      </c>
      <c r="G234" s="447">
        <f t="shared" si="95"/>
        <v>82.302243737165256</v>
      </c>
      <c r="H234" s="447">
        <f t="shared" si="95"/>
        <v>82.842060621064533</v>
      </c>
      <c r="I234" s="447">
        <f t="shared" si="95"/>
        <v>83.503874343902538</v>
      </c>
      <c r="J234" s="447">
        <f t="shared" si="95"/>
        <v>84.187858750000174</v>
      </c>
      <c r="K234" s="447">
        <f t="shared" si="95"/>
        <v>84.72507273749477</v>
      </c>
      <c r="L234" s="447">
        <f t="shared" si="95"/>
        <v>85.181309861872634</v>
      </c>
      <c r="M234" s="447">
        <f t="shared" si="95"/>
        <v>85.514944557191143</v>
      </c>
      <c r="N234" s="447">
        <f t="shared" si="95"/>
        <v>85.614724281942983</v>
      </c>
    </row>
    <row r="235" spans="1:14">
      <c r="B235" s="331" t="str">
        <f t="shared" si="87"/>
        <v>50-54</v>
      </c>
      <c r="C235" s="447">
        <f t="shared" si="89"/>
        <v>74.723754548449989</v>
      </c>
      <c r="D235" s="447">
        <f t="shared" ref="D235:N235" si="96">D201+D167+D133</f>
        <v>76.474389429699784</v>
      </c>
      <c r="E235" s="447">
        <f t="shared" si="96"/>
        <v>78.237195988236351</v>
      </c>
      <c r="F235" s="447">
        <f t="shared" si="96"/>
        <v>79.725222713679173</v>
      </c>
      <c r="G235" s="447">
        <f t="shared" si="96"/>
        <v>80.249237957966571</v>
      </c>
      <c r="H235" s="447">
        <f t="shared" si="96"/>
        <v>80.833124477047264</v>
      </c>
      <c r="I235" s="447">
        <f t="shared" si="96"/>
        <v>81.503588603308586</v>
      </c>
      <c r="J235" s="447">
        <f t="shared" si="96"/>
        <v>82.17589949132045</v>
      </c>
      <c r="K235" s="447">
        <f t="shared" si="96"/>
        <v>82.698036882307903</v>
      </c>
      <c r="L235" s="447">
        <f t="shared" si="96"/>
        <v>83.139049932753551</v>
      </c>
      <c r="M235" s="447">
        <f t="shared" si="96"/>
        <v>83.461604786354485</v>
      </c>
      <c r="N235" s="447">
        <f t="shared" si="96"/>
        <v>83.560392786854152</v>
      </c>
    </row>
    <row r="236" spans="1:14">
      <c r="B236" s="331" t="str">
        <f t="shared" si="87"/>
        <v>55-59</v>
      </c>
      <c r="C236" s="447">
        <f t="shared" si="89"/>
        <v>94.033887347608669</v>
      </c>
      <c r="D236" s="447">
        <f t="shared" ref="D236:N236" si="97">D202+D168+D134</f>
        <v>91.798440001136527</v>
      </c>
      <c r="E236" s="447">
        <f t="shared" si="97"/>
        <v>90.454161365530823</v>
      </c>
      <c r="F236" s="447">
        <f t="shared" si="97"/>
        <v>90.022384869718138</v>
      </c>
      <c r="G236" s="447">
        <f t="shared" si="97"/>
        <v>89.724180210313179</v>
      </c>
      <c r="H236" s="447">
        <f t="shared" si="97"/>
        <v>89.884659986267962</v>
      </c>
      <c r="I236" s="447">
        <f t="shared" si="97"/>
        <v>90.371099546878071</v>
      </c>
      <c r="J236" s="447">
        <f t="shared" si="97"/>
        <v>90.967682119708655</v>
      </c>
      <c r="K236" s="447">
        <f t="shared" si="97"/>
        <v>91.421284961477085</v>
      </c>
      <c r="L236" s="447">
        <f t="shared" si="97"/>
        <v>91.813488807789042</v>
      </c>
      <c r="M236" s="447">
        <f t="shared" si="97"/>
        <v>92.082502966485606</v>
      </c>
      <c r="N236" s="447">
        <f t="shared" si="97"/>
        <v>92.084712570857448</v>
      </c>
    </row>
    <row r="237" spans="1:14">
      <c r="B237" s="331" t="str">
        <f t="shared" si="87"/>
        <v>60-64</v>
      </c>
      <c r="C237" s="447">
        <f t="shared" si="89"/>
        <v>44.59647229434313</v>
      </c>
      <c r="D237" s="447">
        <f t="shared" ref="D237:N237" si="98">D203+D169+D135</f>
        <v>50.506923445739439</v>
      </c>
      <c r="E237" s="447">
        <f t="shared" si="98"/>
        <v>52.415658984993485</v>
      </c>
      <c r="F237" s="447">
        <f t="shared" si="98"/>
        <v>53.102043777845395</v>
      </c>
      <c r="G237" s="447">
        <f t="shared" si="98"/>
        <v>53.1791554984841</v>
      </c>
      <c r="H237" s="447">
        <f t="shared" si="98"/>
        <v>53.278973253026869</v>
      </c>
      <c r="I237" s="447">
        <f t="shared" si="98"/>
        <v>53.516347978970813</v>
      </c>
      <c r="J237" s="447">
        <f t="shared" si="98"/>
        <v>53.801435963762891</v>
      </c>
      <c r="K237" s="447">
        <f t="shared" si="98"/>
        <v>53.964481455686681</v>
      </c>
      <c r="L237" s="447">
        <f t="shared" si="98"/>
        <v>54.096698585080198</v>
      </c>
      <c r="M237" s="447">
        <f t="shared" si="98"/>
        <v>54.152543649727377</v>
      </c>
      <c r="N237" s="447">
        <f t="shared" si="98"/>
        <v>54.01925231371073</v>
      </c>
    </row>
    <row r="238" spans="1:14">
      <c r="B238" s="331" t="str">
        <f t="shared" si="87"/>
        <v>65 plus</v>
      </c>
      <c r="C238" s="447">
        <f t="shared" si="89"/>
        <v>9.1271125297564204</v>
      </c>
      <c r="D238" s="447">
        <f t="shared" ref="D238:N238" si="99">D204+D170+D136</f>
        <v>14.077672864317432</v>
      </c>
      <c r="E238" s="447">
        <f t="shared" si="99"/>
        <v>17.779775991898916</v>
      </c>
      <c r="F238" s="447">
        <f t="shared" si="99"/>
        <v>20.442441682469809</v>
      </c>
      <c r="G238" s="447">
        <f t="shared" si="99"/>
        <v>22.182460796811284</v>
      </c>
      <c r="H238" s="447">
        <f t="shared" si="99"/>
        <v>23.367001549038747</v>
      </c>
      <c r="I238" s="447">
        <f t="shared" si="99"/>
        <v>24.20516552985341</v>
      </c>
      <c r="J238" s="447">
        <f t="shared" si="99"/>
        <v>24.798196321819905</v>
      </c>
      <c r="K238" s="447">
        <f t="shared" si="99"/>
        <v>25.16980319656718</v>
      </c>
      <c r="L238" s="447">
        <f t="shared" si="99"/>
        <v>25.408900544533751</v>
      </c>
      <c r="M238" s="447">
        <f t="shared" si="99"/>
        <v>25.539661793550628</v>
      </c>
      <c r="N238" s="447">
        <f t="shared" si="99"/>
        <v>25.541507801392534</v>
      </c>
    </row>
    <row r="239" spans="1:14">
      <c r="B239" s="331" t="str">
        <f t="shared" si="87"/>
        <v>Total</v>
      </c>
      <c r="C239" s="447">
        <f>SUM(C229:C238)</f>
        <v>728.8396657611321</v>
      </c>
      <c r="D239" s="447">
        <f t="shared" ref="D239:N239" si="100">SUM(D229:D238)</f>
        <v>763.71836655565403</v>
      </c>
      <c r="E239" s="447">
        <f t="shared" si="100"/>
        <v>787.90180118348826</v>
      </c>
      <c r="F239" s="447">
        <f t="shared" si="100"/>
        <v>808.24008031416633</v>
      </c>
      <c r="G239" s="447">
        <f t="shared" si="100"/>
        <v>817.03909283747043</v>
      </c>
      <c r="H239" s="447">
        <f t="shared" si="100"/>
        <v>826.49152821708071</v>
      </c>
      <c r="I239" s="447">
        <f t="shared" si="100"/>
        <v>837.08185486539548</v>
      </c>
      <c r="J239" s="447">
        <f t="shared" si="100"/>
        <v>847.08472702171628</v>
      </c>
      <c r="K239" s="447">
        <f t="shared" si="100"/>
        <v>853.661576711865</v>
      </c>
      <c r="L239" s="447">
        <f t="shared" si="100"/>
        <v>858.46856589895367</v>
      </c>
      <c r="M239" s="447">
        <f t="shared" si="100"/>
        <v>860.95613369575085</v>
      </c>
      <c r="N239" s="447">
        <f t="shared" si="100"/>
        <v>859.30761277126589</v>
      </c>
    </row>
    <row r="240" spans="1:14">
      <c r="A240" s="302">
        <f>SUM(C240:N240)</f>
        <v>0</v>
      </c>
      <c r="C240" s="302">
        <f t="shared" ref="C240:N240" si="101">SUM(C229:C238)-C239</f>
        <v>0</v>
      </c>
      <c r="D240" s="302">
        <f t="shared" si="101"/>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5" ht="15.75">
      <c r="B242" s="333" t="s">
        <v>167</v>
      </c>
      <c r="C242" s="322"/>
      <c r="D242" s="322"/>
      <c r="E242" s="322"/>
      <c r="F242" s="322"/>
      <c r="G242" s="322"/>
      <c r="H242" s="332"/>
      <c r="I242" s="322"/>
      <c r="J242" s="322"/>
      <c r="K242" s="322"/>
      <c r="L242" s="322"/>
    </row>
    <row r="243" spans="2:15">
      <c r="C243" s="322"/>
      <c r="D243" s="322"/>
      <c r="E243" s="322"/>
      <c r="F243" s="322"/>
      <c r="G243" s="322"/>
      <c r="H243" s="332"/>
      <c r="I243" s="322"/>
      <c r="J243" s="322"/>
      <c r="K243" s="322"/>
      <c r="L243" s="322"/>
    </row>
    <row r="244" spans="2:15">
      <c r="B244" s="334" t="s">
        <v>46</v>
      </c>
      <c r="C244" s="322"/>
      <c r="D244" s="322"/>
      <c r="E244" s="322"/>
      <c r="F244" s="322"/>
      <c r="G244" s="322"/>
      <c r="H244" s="332"/>
      <c r="I244" s="322"/>
      <c r="J244" s="322"/>
      <c r="K244" s="322"/>
      <c r="L244" s="322"/>
    </row>
    <row r="245" spans="2:15">
      <c r="C245" s="322"/>
      <c r="D245" s="322"/>
      <c r="E245" s="322"/>
      <c r="F245" s="322"/>
      <c r="G245" s="322"/>
      <c r="H245" s="332"/>
      <c r="I245" s="322"/>
      <c r="J245" s="322"/>
      <c r="K245" s="322"/>
      <c r="L245" s="322"/>
    </row>
    <row r="246" spans="2:15">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5">
      <c r="B247" s="331" t="str">
        <f t="shared" si="102"/>
        <v>20-24</v>
      </c>
      <c r="C247" s="447">
        <f t="shared" ref="C247:C256" si="104">C77-C213</f>
        <v>109.87763989898038</v>
      </c>
      <c r="D247" s="447">
        <f t="shared" ref="D247:N247" si="105">D77-D213</f>
        <v>182.04289448177724</v>
      </c>
      <c r="E247" s="447">
        <f t="shared" si="105"/>
        <v>217.16729173179095</v>
      </c>
      <c r="F247" s="447">
        <f t="shared" si="105"/>
        <v>243.33132535569902</v>
      </c>
      <c r="G247" s="447">
        <f t="shared" si="105"/>
        <v>260.52454477237029</v>
      </c>
      <c r="H247" s="447">
        <f t="shared" si="105"/>
        <v>273.83346820451027</v>
      </c>
      <c r="I247" s="447">
        <f t="shared" si="105"/>
        <v>284.97986729408416</v>
      </c>
      <c r="J247" s="447">
        <f t="shared" si="105"/>
        <v>293.19496638078471</v>
      </c>
      <c r="K247" s="447">
        <f t="shared" si="105"/>
        <v>296.75124130664153</v>
      </c>
      <c r="L247" s="447">
        <f t="shared" si="105"/>
        <v>298.25999588576303</v>
      </c>
      <c r="M247" s="447">
        <f t="shared" si="105"/>
        <v>297.67119594940215</v>
      </c>
      <c r="N247" s="447">
        <f t="shared" si="105"/>
        <v>293.73296991793529</v>
      </c>
      <c r="O247" s="320"/>
    </row>
    <row r="248" spans="2:15">
      <c r="B248" s="331" t="str">
        <f t="shared" si="102"/>
        <v>25-29</v>
      </c>
      <c r="C248" s="447">
        <f t="shared" si="104"/>
        <v>519.05450438787454</v>
      </c>
      <c r="D248" s="447">
        <f t="shared" ref="D248:N248" si="106">D78-D214</f>
        <v>529.31670864513046</v>
      </c>
      <c r="E248" s="447">
        <f t="shared" si="106"/>
        <v>531.87781828920367</v>
      </c>
      <c r="F248" s="447">
        <f t="shared" si="106"/>
        <v>544.30151098484043</v>
      </c>
      <c r="G248" s="447">
        <f t="shared" si="106"/>
        <v>557.56595384619095</v>
      </c>
      <c r="H248" s="447">
        <f t="shared" si="106"/>
        <v>572.54590441845153</v>
      </c>
      <c r="I248" s="447">
        <f t="shared" si="106"/>
        <v>588.56047957473913</v>
      </c>
      <c r="J248" s="447">
        <f t="shared" si="106"/>
        <v>602.87505209263429</v>
      </c>
      <c r="K248" s="447">
        <f t="shared" si="106"/>
        <v>611.80099990791791</v>
      </c>
      <c r="L248" s="447">
        <f t="shared" si="106"/>
        <v>617.52291938495944</v>
      </c>
      <c r="M248" s="447">
        <f t="shared" si="106"/>
        <v>619.63854780582221</v>
      </c>
      <c r="N248" s="447">
        <f t="shared" si="106"/>
        <v>616.21384584973725</v>
      </c>
      <c r="O248" s="320"/>
    </row>
    <row r="249" spans="2:15">
      <c r="B249" s="331" t="str">
        <f t="shared" si="102"/>
        <v>30-34</v>
      </c>
      <c r="C249" s="447">
        <f t="shared" si="104"/>
        <v>570.33200046686522</v>
      </c>
      <c r="D249" s="447">
        <f t="shared" ref="D249:N249" si="107">D79-D215</f>
        <v>601.76697125358089</v>
      </c>
      <c r="E249" s="447">
        <f t="shared" si="107"/>
        <v>615.28711155564395</v>
      </c>
      <c r="F249" s="447">
        <f t="shared" si="107"/>
        <v>628.64472554349652</v>
      </c>
      <c r="G249" s="447">
        <f t="shared" si="107"/>
        <v>640.64038535577697</v>
      </c>
      <c r="H249" s="447">
        <f t="shared" si="107"/>
        <v>653.48377290363339</v>
      </c>
      <c r="I249" s="447">
        <f t="shared" si="107"/>
        <v>667.57734533864607</v>
      </c>
      <c r="J249" s="447">
        <f t="shared" si="107"/>
        <v>681.48758055702012</v>
      </c>
      <c r="K249" s="447">
        <f t="shared" si="107"/>
        <v>692.64360072954662</v>
      </c>
      <c r="L249" s="447">
        <f t="shared" si="107"/>
        <v>701.67056599390241</v>
      </c>
      <c r="M249" s="447">
        <f t="shared" si="107"/>
        <v>707.93157319650186</v>
      </c>
      <c r="N249" s="447">
        <f t="shared" si="107"/>
        <v>709.86152680846317</v>
      </c>
      <c r="O249" s="320"/>
    </row>
    <row r="250" spans="2:15">
      <c r="B250" s="331" t="str">
        <f t="shared" si="102"/>
        <v>35-39</v>
      </c>
      <c r="C250" s="447">
        <f t="shared" si="104"/>
        <v>591.54753701486254</v>
      </c>
      <c r="D250" s="447">
        <f t="shared" ref="D250:N250" si="108">D80-D216</f>
        <v>596.95516713534766</v>
      </c>
      <c r="E250" s="447">
        <f t="shared" si="108"/>
        <v>598.55826367593261</v>
      </c>
      <c r="F250" s="447">
        <f t="shared" si="108"/>
        <v>604.55629116078444</v>
      </c>
      <c r="G250" s="447">
        <f t="shared" si="108"/>
        <v>611.38343690420652</v>
      </c>
      <c r="H250" s="447">
        <f t="shared" si="108"/>
        <v>619.68460216868812</v>
      </c>
      <c r="I250" s="447">
        <f t="shared" si="108"/>
        <v>629.42813514028558</v>
      </c>
      <c r="J250" s="447">
        <f t="shared" si="108"/>
        <v>639.60043937674709</v>
      </c>
      <c r="K250" s="447">
        <f t="shared" si="108"/>
        <v>648.51612819271122</v>
      </c>
      <c r="L250" s="447">
        <f t="shared" si="108"/>
        <v>656.57902944537534</v>
      </c>
      <c r="M250" s="447">
        <f t="shared" si="108"/>
        <v>663.20940839999275</v>
      </c>
      <c r="N250" s="447">
        <f t="shared" si="108"/>
        <v>667.18548382787935</v>
      </c>
      <c r="O250" s="320"/>
    </row>
    <row r="251" spans="2:15">
      <c r="B251" s="331" t="str">
        <f t="shared" si="102"/>
        <v>40-44</v>
      </c>
      <c r="C251" s="447">
        <f t="shared" si="104"/>
        <v>615.52038887324579</v>
      </c>
      <c r="D251" s="447">
        <f t="shared" ref="D251:N251" si="109">D81-D217</f>
        <v>614.09154492369214</v>
      </c>
      <c r="E251" s="447">
        <f t="shared" si="109"/>
        <v>607.14832545866261</v>
      </c>
      <c r="F251" s="447">
        <f t="shared" si="109"/>
        <v>604.38050431286422</v>
      </c>
      <c r="G251" s="447">
        <f t="shared" si="109"/>
        <v>603.47031716313529</v>
      </c>
      <c r="H251" s="447">
        <f t="shared" si="109"/>
        <v>605.01790493608962</v>
      </c>
      <c r="I251" s="447">
        <f t="shared" si="109"/>
        <v>608.82514098765262</v>
      </c>
      <c r="J251" s="447">
        <f t="shared" si="109"/>
        <v>613.84760884186551</v>
      </c>
      <c r="K251" s="447">
        <f t="shared" si="109"/>
        <v>618.55443070268836</v>
      </c>
      <c r="L251" s="447">
        <f t="shared" si="109"/>
        <v>623.27096962184953</v>
      </c>
      <c r="M251" s="447">
        <f t="shared" si="109"/>
        <v>627.48203235827725</v>
      </c>
      <c r="N251" s="447">
        <f t="shared" si="109"/>
        <v>630.12814741744376</v>
      </c>
      <c r="O251" s="320"/>
    </row>
    <row r="252" spans="2:15">
      <c r="B252" s="331" t="str">
        <f t="shared" si="102"/>
        <v>45-49</v>
      </c>
      <c r="C252" s="447">
        <f t="shared" si="104"/>
        <v>537.11241205202589</v>
      </c>
      <c r="D252" s="447">
        <f t="shared" ref="D252:N252" si="110">D82-D218</f>
        <v>538.98612523627253</v>
      </c>
      <c r="E252" s="447">
        <f t="shared" si="110"/>
        <v>533.94106577605464</v>
      </c>
      <c r="F252" s="447">
        <f t="shared" si="110"/>
        <v>531.02888376888234</v>
      </c>
      <c r="G252" s="447">
        <f t="shared" si="110"/>
        <v>528.4560049528435</v>
      </c>
      <c r="H252" s="447">
        <f t="shared" si="110"/>
        <v>527.21112745229152</v>
      </c>
      <c r="I252" s="447">
        <f t="shared" si="110"/>
        <v>527.50679688654998</v>
      </c>
      <c r="J252" s="447">
        <f t="shared" si="110"/>
        <v>528.74653783125825</v>
      </c>
      <c r="K252" s="447">
        <f t="shared" si="110"/>
        <v>529.85337017168604</v>
      </c>
      <c r="L252" s="447">
        <f t="shared" si="110"/>
        <v>531.18609493923975</v>
      </c>
      <c r="M252" s="447">
        <f t="shared" si="110"/>
        <v>532.39859839626774</v>
      </c>
      <c r="N252" s="447">
        <f t="shared" si="110"/>
        <v>532.69079165410915</v>
      </c>
      <c r="O252" s="320"/>
    </row>
    <row r="253" spans="2:15">
      <c r="B253" s="331" t="str">
        <f t="shared" si="102"/>
        <v>50-54</v>
      </c>
      <c r="C253" s="447">
        <f t="shared" si="104"/>
        <v>435.97112948962587</v>
      </c>
      <c r="D253" s="447">
        <f t="shared" ref="D253:N253" si="111">D83-D219</f>
        <v>427.39023886095606</v>
      </c>
      <c r="E253" s="447">
        <f t="shared" si="111"/>
        <v>417.04300757706528</v>
      </c>
      <c r="F253" s="447">
        <f t="shared" si="111"/>
        <v>410.51610499822493</v>
      </c>
      <c r="G253" s="447">
        <f t="shared" si="111"/>
        <v>405.48605218143098</v>
      </c>
      <c r="H253" s="447">
        <f t="shared" si="111"/>
        <v>402.10419538413151</v>
      </c>
      <c r="I253" s="447">
        <f t="shared" si="111"/>
        <v>400.20423984623517</v>
      </c>
      <c r="J253" s="447">
        <f t="shared" si="111"/>
        <v>399.18555406319865</v>
      </c>
      <c r="K253" s="447">
        <f t="shared" si="111"/>
        <v>398.19019761538664</v>
      </c>
      <c r="L253" s="447">
        <f t="shared" si="111"/>
        <v>397.46455545870128</v>
      </c>
      <c r="M253" s="447">
        <f t="shared" si="111"/>
        <v>396.75768578494046</v>
      </c>
      <c r="N253" s="447">
        <f t="shared" si="111"/>
        <v>395.49954777988802</v>
      </c>
      <c r="O253" s="320"/>
    </row>
    <row r="254" spans="2:15">
      <c r="B254" s="331" t="str">
        <f t="shared" si="102"/>
        <v>55-59</v>
      </c>
      <c r="C254" s="447">
        <f t="shared" si="104"/>
        <v>260.22196340203379</v>
      </c>
      <c r="D254" s="447">
        <f t="shared" ref="D254:N254" si="112">D84-D220</f>
        <v>233.33499329448438</v>
      </c>
      <c r="E254" s="447">
        <f t="shared" si="112"/>
        <v>213.90835530415981</v>
      </c>
      <c r="F254" s="447">
        <f t="shared" si="112"/>
        <v>201.78385313199661</v>
      </c>
      <c r="G254" s="447">
        <f t="shared" si="112"/>
        <v>193.74621485952537</v>
      </c>
      <c r="H254" s="447">
        <f t="shared" si="112"/>
        <v>188.62756002787091</v>
      </c>
      <c r="I254" s="447">
        <f t="shared" si="112"/>
        <v>185.51652879295369</v>
      </c>
      <c r="J254" s="447">
        <f t="shared" si="112"/>
        <v>183.56092361538913</v>
      </c>
      <c r="K254" s="447">
        <f t="shared" si="112"/>
        <v>181.98429184843735</v>
      </c>
      <c r="L254" s="447">
        <f t="shared" si="112"/>
        <v>180.78897145938569</v>
      </c>
      <c r="M254" s="447">
        <f t="shared" si="112"/>
        <v>179.73859299779502</v>
      </c>
      <c r="N254" s="447">
        <f t="shared" si="112"/>
        <v>178.46872402328913</v>
      </c>
      <c r="O254" s="320"/>
    </row>
    <row r="255" spans="2:15">
      <c r="B255" s="331" t="str">
        <f t="shared" si="102"/>
        <v>60-64</v>
      </c>
      <c r="C255" s="447">
        <f t="shared" si="104"/>
        <v>88.842846868852632</v>
      </c>
      <c r="D255" s="447">
        <f t="shared" ref="D255:N255" si="113">D85-D221</f>
        <v>83.940938824161904</v>
      </c>
      <c r="E255" s="447">
        <f t="shared" si="113"/>
        <v>77.082375908410853</v>
      </c>
      <c r="F255" s="447">
        <f t="shared" si="113"/>
        <v>71.64919553690973</v>
      </c>
      <c r="G255" s="447">
        <f t="shared" si="113"/>
        <v>67.478458196367171</v>
      </c>
      <c r="H255" s="447">
        <f t="shared" si="113"/>
        <v>64.577511004114115</v>
      </c>
      <c r="I255" s="447">
        <f t="shared" si="113"/>
        <v>62.690165219873052</v>
      </c>
      <c r="J255" s="447">
        <f t="shared" si="113"/>
        <v>61.441351744577375</v>
      </c>
      <c r="K255" s="447">
        <f t="shared" si="113"/>
        <v>60.453062897891613</v>
      </c>
      <c r="L255" s="447">
        <f t="shared" si="113"/>
        <v>59.712239438876416</v>
      </c>
      <c r="M255" s="447">
        <f t="shared" si="113"/>
        <v>59.08613021827454</v>
      </c>
      <c r="N255" s="447">
        <f t="shared" si="113"/>
        <v>58.392491315351009</v>
      </c>
      <c r="O255" s="320"/>
    </row>
    <row r="256" spans="2:15">
      <c r="B256" s="331" t="str">
        <f t="shared" si="102"/>
        <v>65 plus</v>
      </c>
      <c r="C256" s="447">
        <f t="shared" si="104"/>
        <v>25.897911547918355</v>
      </c>
      <c r="D256" s="447">
        <f t="shared" ref="D256:N256" si="114">D86-D222</f>
        <v>28.278643829076746</v>
      </c>
      <c r="E256" s="447">
        <f t="shared" si="114"/>
        <v>28.571028394127993</v>
      </c>
      <c r="F256" s="447">
        <f t="shared" si="114"/>
        <v>28.126416098301867</v>
      </c>
      <c r="G256" s="447">
        <f t="shared" si="114"/>
        <v>27.247756120322062</v>
      </c>
      <c r="H256" s="447">
        <f t="shared" si="114"/>
        <v>26.320919242561835</v>
      </c>
      <c r="I256" s="447">
        <f t="shared" si="114"/>
        <v>25.523129469752078</v>
      </c>
      <c r="J256" s="447">
        <f t="shared" si="114"/>
        <v>24.873356157850949</v>
      </c>
      <c r="K256" s="447">
        <f t="shared" si="114"/>
        <v>24.304916306559978</v>
      </c>
      <c r="L256" s="447">
        <f t="shared" si="114"/>
        <v>23.841483025948932</v>
      </c>
      <c r="M256" s="447">
        <f t="shared" si="114"/>
        <v>23.445550518512068</v>
      </c>
      <c r="N256" s="447">
        <f t="shared" si="114"/>
        <v>23.045963446064942</v>
      </c>
      <c r="O256" s="320"/>
    </row>
    <row r="257" spans="1:15">
      <c r="B257" s="331" t="str">
        <f t="shared" si="102"/>
        <v>Total</v>
      </c>
      <c r="C257" s="447">
        <f>SUM(C247:C256)</f>
        <v>3754.3783340022851</v>
      </c>
      <c r="D257" s="447">
        <f t="shared" ref="D257:N257" si="115">SUM(D247:D256)</f>
        <v>3836.1042264844805</v>
      </c>
      <c r="E257" s="447">
        <f t="shared" si="115"/>
        <v>3840.5846436710526</v>
      </c>
      <c r="F257" s="447">
        <f t="shared" si="115"/>
        <v>3868.3188108919999</v>
      </c>
      <c r="G257" s="447">
        <f t="shared" si="115"/>
        <v>3895.9991243521699</v>
      </c>
      <c r="H257" s="447">
        <f t="shared" si="115"/>
        <v>3933.4069657423429</v>
      </c>
      <c r="I257" s="447">
        <f t="shared" si="115"/>
        <v>3980.8118285507708</v>
      </c>
      <c r="J257" s="447">
        <f t="shared" si="115"/>
        <v>4028.8133706613262</v>
      </c>
      <c r="K257" s="447">
        <f t="shared" si="115"/>
        <v>4063.0522396794672</v>
      </c>
      <c r="L257" s="447">
        <f t="shared" si="115"/>
        <v>4090.2968246540022</v>
      </c>
      <c r="M257" s="447">
        <f t="shared" si="115"/>
        <v>4107.3593156257857</v>
      </c>
      <c r="N257" s="447">
        <f t="shared" si="115"/>
        <v>4105.2194920401607</v>
      </c>
      <c r="O257" s="320"/>
    </row>
    <row r="258" spans="1:15">
      <c r="A258" s="302">
        <f>SUM(C258:N258)</f>
        <v>0</v>
      </c>
      <c r="C258" s="302">
        <f t="shared" ref="C258:N258" si="116">SUM(C247:C256)-C257</f>
        <v>0</v>
      </c>
      <c r="D258" s="302">
        <f t="shared" si="116"/>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5">
      <c r="B263" s="331" t="str">
        <f t="shared" si="117"/>
        <v>20-24</v>
      </c>
      <c r="C263" s="447">
        <f t="shared" ref="C263:C272" si="119">C93-C229</f>
        <v>240.15418007896091</v>
      </c>
      <c r="D263" s="447">
        <f t="shared" ref="D263:N263" si="120">D93-D229</f>
        <v>329.2643265441248</v>
      </c>
      <c r="E263" s="447">
        <f t="shared" si="120"/>
        <v>373.15944844194451</v>
      </c>
      <c r="F263" s="447">
        <f t="shared" si="120"/>
        <v>405.50338186050777</v>
      </c>
      <c r="G263" s="447">
        <f t="shared" si="120"/>
        <v>427.55961510606312</v>
      </c>
      <c r="H263" s="447">
        <f t="shared" si="120"/>
        <v>445.62137252096443</v>
      </c>
      <c r="I263" s="447">
        <f t="shared" si="120"/>
        <v>461.54361465149816</v>
      </c>
      <c r="J263" s="447">
        <f t="shared" si="120"/>
        <v>473.73522338340479</v>
      </c>
      <c r="K263" s="447">
        <f t="shared" si="120"/>
        <v>479.27501779016887</v>
      </c>
      <c r="L263" s="447">
        <f t="shared" si="120"/>
        <v>481.80509867219928</v>
      </c>
      <c r="M263" s="447">
        <f t="shared" si="120"/>
        <v>481.1532390918336</v>
      </c>
      <c r="N263" s="447">
        <f t="shared" si="120"/>
        <v>475.36966238623512</v>
      </c>
    </row>
    <row r="264" spans="1:15">
      <c r="B264" s="331" t="str">
        <f t="shared" si="117"/>
        <v>25-29</v>
      </c>
      <c r="C264" s="447">
        <f t="shared" si="119"/>
        <v>913.70086515898322</v>
      </c>
      <c r="D264" s="447">
        <f t="shared" ref="D264:N264" si="121">D94-D230</f>
        <v>905.34202570436707</v>
      </c>
      <c r="E264" s="447">
        <f t="shared" si="121"/>
        <v>892.29571975867657</v>
      </c>
      <c r="F264" s="447">
        <f t="shared" si="121"/>
        <v>893.70099250978853</v>
      </c>
      <c r="G264" s="447">
        <f t="shared" si="121"/>
        <v>900.47903287900601</v>
      </c>
      <c r="H264" s="447">
        <f t="shared" si="121"/>
        <v>913.17412040365753</v>
      </c>
      <c r="I264" s="447">
        <f t="shared" si="121"/>
        <v>930.0887570328423</v>
      </c>
      <c r="J264" s="447">
        <f t="shared" si="121"/>
        <v>946.60087684601353</v>
      </c>
      <c r="K264" s="447">
        <f t="shared" si="121"/>
        <v>956.75532474229476</v>
      </c>
      <c r="L264" s="447">
        <f t="shared" si="121"/>
        <v>963.25278854728481</v>
      </c>
      <c r="M264" s="447">
        <f t="shared" si="121"/>
        <v>965.15060726920808</v>
      </c>
      <c r="N264" s="447">
        <f t="shared" si="121"/>
        <v>959.34268710113452</v>
      </c>
    </row>
    <row r="265" spans="1:15">
      <c r="B265" s="331" t="str">
        <f t="shared" si="117"/>
        <v>30-34</v>
      </c>
      <c r="C265" s="447">
        <f t="shared" si="119"/>
        <v>980.61875076352931</v>
      </c>
      <c r="D265" s="447">
        <f t="shared" ref="D265:N265" si="122">D95-D231</f>
        <v>1009.9496845933315</v>
      </c>
      <c r="E265" s="447">
        <f t="shared" si="122"/>
        <v>1015.074090623387</v>
      </c>
      <c r="F265" s="447">
        <f t="shared" si="122"/>
        <v>1017.756729267101</v>
      </c>
      <c r="G265" s="447">
        <f t="shared" si="122"/>
        <v>1020.0086294422954</v>
      </c>
      <c r="H265" s="447">
        <f t="shared" si="122"/>
        <v>1025.3489018270445</v>
      </c>
      <c r="I265" s="447">
        <f t="shared" si="122"/>
        <v>1034.4559516934014</v>
      </c>
      <c r="J265" s="447">
        <f t="shared" si="122"/>
        <v>1045.2024170572799</v>
      </c>
      <c r="K265" s="447">
        <f t="shared" si="122"/>
        <v>1053.7252911114315</v>
      </c>
      <c r="L265" s="447">
        <f t="shared" si="122"/>
        <v>1060.7174793675738</v>
      </c>
      <c r="M265" s="447">
        <f t="shared" si="122"/>
        <v>1065.022136969656</v>
      </c>
      <c r="N265" s="447">
        <f t="shared" si="122"/>
        <v>1064.14794209969</v>
      </c>
    </row>
    <row r="266" spans="1:15">
      <c r="B266" s="331" t="str">
        <f t="shared" si="117"/>
        <v>35-39</v>
      </c>
      <c r="C266" s="447">
        <f t="shared" si="119"/>
        <v>912.91910632573092</v>
      </c>
      <c r="D266" s="447">
        <f t="shared" ref="D266:N266" si="123">D96-D232</f>
        <v>934.52729105416427</v>
      </c>
      <c r="E266" s="447">
        <f t="shared" si="123"/>
        <v>945.57637766308244</v>
      </c>
      <c r="F266" s="447">
        <f t="shared" si="123"/>
        <v>955.18560893683184</v>
      </c>
      <c r="G266" s="447">
        <f t="shared" si="123"/>
        <v>962.70886324302171</v>
      </c>
      <c r="H266" s="447">
        <f t="shared" si="123"/>
        <v>970.25534330372386</v>
      </c>
      <c r="I266" s="447">
        <f t="shared" si="123"/>
        <v>978.69176418579684</v>
      </c>
      <c r="J266" s="447">
        <f t="shared" si="123"/>
        <v>987.2311607091699</v>
      </c>
      <c r="K266" s="447">
        <f t="shared" si="123"/>
        <v>993.91910780803153</v>
      </c>
      <c r="L266" s="447">
        <f t="shared" si="123"/>
        <v>999.67135526320055</v>
      </c>
      <c r="M266" s="447">
        <f t="shared" si="123"/>
        <v>1003.849668057775</v>
      </c>
      <c r="N266" s="447">
        <f t="shared" si="123"/>
        <v>1004.7883308335132</v>
      </c>
    </row>
    <row r="267" spans="1:15">
      <c r="B267" s="331" t="str">
        <f t="shared" si="117"/>
        <v>40-44</v>
      </c>
      <c r="C267" s="447">
        <f t="shared" si="119"/>
        <v>855.46828398871935</v>
      </c>
      <c r="D267" s="447">
        <f t="shared" ref="D267:N267" si="124">D97-D233</f>
        <v>865.62932043665319</v>
      </c>
      <c r="E267" s="447">
        <f t="shared" si="124"/>
        <v>868.50457066440231</v>
      </c>
      <c r="F267" s="447">
        <f t="shared" si="124"/>
        <v>873.04600461758957</v>
      </c>
      <c r="G267" s="447">
        <f t="shared" si="124"/>
        <v>878.136913617338</v>
      </c>
      <c r="H267" s="447">
        <f t="shared" si="124"/>
        <v>884.59476421077511</v>
      </c>
      <c r="I267" s="447">
        <f t="shared" si="124"/>
        <v>892.31099054211722</v>
      </c>
      <c r="J267" s="447">
        <f t="shared" si="124"/>
        <v>900.08325976487686</v>
      </c>
      <c r="K267" s="447">
        <f t="shared" si="124"/>
        <v>906.06602874000873</v>
      </c>
      <c r="L267" s="447">
        <f t="shared" si="124"/>
        <v>911.08701564453872</v>
      </c>
      <c r="M267" s="447">
        <f t="shared" si="124"/>
        <v>914.72656714013169</v>
      </c>
      <c r="N267" s="447">
        <f t="shared" si="124"/>
        <v>915.7395009498191</v>
      </c>
    </row>
    <row r="268" spans="1:15">
      <c r="B268" s="331" t="str">
        <f t="shared" si="117"/>
        <v>45-49</v>
      </c>
      <c r="C268" s="447">
        <f t="shared" si="119"/>
        <v>724.30495303243345</v>
      </c>
      <c r="D268" s="447">
        <f t="shared" ref="D268:N268" si="125">D98-D234</f>
        <v>738.58320513676586</v>
      </c>
      <c r="E268" s="447">
        <f t="shared" si="125"/>
        <v>743.68235445107871</v>
      </c>
      <c r="F268" s="447">
        <f t="shared" si="125"/>
        <v>748.08333480408521</v>
      </c>
      <c r="G268" s="447">
        <f t="shared" si="125"/>
        <v>752.10228482135665</v>
      </c>
      <c r="H268" s="447">
        <f t="shared" si="125"/>
        <v>757.03529142397565</v>
      </c>
      <c r="I268" s="447">
        <f t="shared" si="125"/>
        <v>763.08314128165591</v>
      </c>
      <c r="J268" s="447">
        <f t="shared" si="125"/>
        <v>769.33359341089624</v>
      </c>
      <c r="K268" s="447">
        <f t="shared" si="125"/>
        <v>774.2428139750765</v>
      </c>
      <c r="L268" s="447">
        <f t="shared" si="125"/>
        <v>778.41204397518129</v>
      </c>
      <c r="M268" s="447">
        <f t="shared" si="125"/>
        <v>781.4608966582997</v>
      </c>
      <c r="N268" s="447">
        <f t="shared" si="125"/>
        <v>782.37271334223328</v>
      </c>
    </row>
    <row r="269" spans="1:15">
      <c r="B269" s="331" t="str">
        <f t="shared" si="117"/>
        <v>50-54</v>
      </c>
      <c r="C269" s="447">
        <f t="shared" si="119"/>
        <v>541.50102427243314</v>
      </c>
      <c r="D269" s="447">
        <f t="shared" ref="D269:N269" si="126">D99-D235</f>
        <v>551.76551880842885</v>
      </c>
      <c r="E269" s="447">
        <f t="shared" si="126"/>
        <v>556.23684387058665</v>
      </c>
      <c r="F269" s="447">
        <f t="shared" si="126"/>
        <v>560.36751959173876</v>
      </c>
      <c r="G269" s="447">
        <f t="shared" si="126"/>
        <v>564.05068424998194</v>
      </c>
      <c r="H269" s="447">
        <f t="shared" si="126"/>
        <v>568.15466827515502</v>
      </c>
      <c r="I269" s="447">
        <f t="shared" si="126"/>
        <v>572.86718341929691</v>
      </c>
      <c r="J269" s="447">
        <f t="shared" si="126"/>
        <v>577.59267896369613</v>
      </c>
      <c r="K269" s="447">
        <f t="shared" si="126"/>
        <v>581.26264468739851</v>
      </c>
      <c r="L269" s="447">
        <f t="shared" si="126"/>
        <v>584.36240886207304</v>
      </c>
      <c r="M269" s="447">
        <f t="shared" si="126"/>
        <v>586.62956167886455</v>
      </c>
      <c r="N269" s="447">
        <f t="shared" si="126"/>
        <v>587.32391642534435</v>
      </c>
    </row>
    <row r="270" spans="1:15">
      <c r="B270" s="331" t="str">
        <f t="shared" si="117"/>
        <v>55-59</v>
      </c>
      <c r="C270" s="447">
        <f t="shared" si="119"/>
        <v>287.58272812024495</v>
      </c>
      <c r="D270" s="447">
        <f t="shared" ref="D270:N270" si="127">D100-D236</f>
        <v>280.26384920258113</v>
      </c>
      <c r="E270" s="447">
        <f t="shared" si="127"/>
        <v>274.56036119975306</v>
      </c>
      <c r="F270" s="447">
        <f t="shared" si="127"/>
        <v>272.00978607643935</v>
      </c>
      <c r="G270" s="447">
        <f t="shared" si="127"/>
        <v>271.10873701259663</v>
      </c>
      <c r="H270" s="447">
        <f t="shared" si="127"/>
        <v>271.59363940204378</v>
      </c>
      <c r="I270" s="447">
        <f t="shared" si="127"/>
        <v>273.06345517077909</v>
      </c>
      <c r="J270" s="447">
        <f t="shared" si="127"/>
        <v>274.86607679924884</v>
      </c>
      <c r="K270" s="447">
        <f t="shared" si="127"/>
        <v>276.23667381388759</v>
      </c>
      <c r="L270" s="447">
        <f t="shared" si="127"/>
        <v>277.42174888702709</v>
      </c>
      <c r="M270" s="447">
        <f t="shared" si="127"/>
        <v>278.23459653447037</v>
      </c>
      <c r="N270" s="447">
        <f t="shared" si="127"/>
        <v>278.24127302958175</v>
      </c>
    </row>
    <row r="271" spans="1:15">
      <c r="B271" s="331" t="str">
        <f t="shared" si="117"/>
        <v>60-64</v>
      </c>
      <c r="C271" s="447">
        <f t="shared" si="119"/>
        <v>76.96574365059233</v>
      </c>
      <c r="D271" s="447">
        <f t="shared" ref="D271:N271" si="128">D101-D237</f>
        <v>87.061643423458207</v>
      </c>
      <c r="E271" s="447">
        <f t="shared" si="128"/>
        <v>89.985928303117021</v>
      </c>
      <c r="F271" s="447">
        <f t="shared" si="128"/>
        <v>90.874583600206037</v>
      </c>
      <c r="G271" s="447">
        <f t="shared" si="128"/>
        <v>91.006546421318006</v>
      </c>
      <c r="H271" s="447">
        <f t="shared" si="128"/>
        <v>91.177366529823274</v>
      </c>
      <c r="I271" s="447">
        <f t="shared" si="128"/>
        <v>91.583590619193799</v>
      </c>
      <c r="J271" s="447">
        <f t="shared" si="128"/>
        <v>92.071467357343209</v>
      </c>
      <c r="K271" s="447">
        <f t="shared" si="128"/>
        <v>92.350490350289576</v>
      </c>
      <c r="L271" s="447">
        <f t="shared" si="128"/>
        <v>92.576756153329427</v>
      </c>
      <c r="M271" s="447">
        <f t="shared" si="128"/>
        <v>92.672324923096014</v>
      </c>
      <c r="N271" s="447">
        <f t="shared" si="128"/>
        <v>92.444220808898393</v>
      </c>
    </row>
    <row r="272" spans="1:15">
      <c r="B272" s="331" t="str">
        <f t="shared" si="117"/>
        <v>65 plus</v>
      </c>
      <c r="C272" s="447">
        <f t="shared" si="119"/>
        <v>16.814141389762607</v>
      </c>
      <c r="D272" s="447">
        <f t="shared" ref="D272:N272" si="129">D102-D238</f>
        <v>25.896912722776296</v>
      </c>
      <c r="E272" s="447">
        <f t="shared" si="129"/>
        <v>32.548621173764118</v>
      </c>
      <c r="F272" s="447">
        <f t="shared" si="129"/>
        <v>37.280691907943918</v>
      </c>
      <c r="G272" s="447">
        <f t="shared" si="129"/>
        <v>40.453948680461728</v>
      </c>
      <c r="H272" s="447">
        <f t="shared" si="129"/>
        <v>42.614184699335425</v>
      </c>
      <c r="I272" s="447">
        <f t="shared" si="129"/>
        <v>44.142736602403012</v>
      </c>
      <c r="J272" s="447">
        <f t="shared" si="129"/>
        <v>45.224241375200563</v>
      </c>
      <c r="K272" s="447">
        <f t="shared" si="129"/>
        <v>45.901937397207924</v>
      </c>
      <c r="L272" s="447">
        <f t="shared" si="129"/>
        <v>46.33797702026294</v>
      </c>
      <c r="M272" s="447">
        <f t="shared" si="129"/>
        <v>46.576445101220038</v>
      </c>
      <c r="N272" s="447">
        <f t="shared" si="129"/>
        <v>46.579811648655145</v>
      </c>
    </row>
    <row r="273" spans="1:14">
      <c r="B273" s="331" t="str">
        <f t="shared" si="117"/>
        <v>Total</v>
      </c>
      <c r="C273" s="447">
        <f>SUM(C263:C272)</f>
        <v>5550.02977678139</v>
      </c>
      <c r="D273" s="447">
        <f t="shared" ref="D273:N273" si="130">SUM(D263:D272)</f>
        <v>5728.2837776266515</v>
      </c>
      <c r="E273" s="447">
        <f t="shared" si="130"/>
        <v>5791.6243161497932</v>
      </c>
      <c r="F273" s="447">
        <f t="shared" si="130"/>
        <v>5853.8086331722316</v>
      </c>
      <c r="G273" s="447">
        <f t="shared" si="130"/>
        <v>5907.615255473439</v>
      </c>
      <c r="H273" s="447">
        <f t="shared" si="130"/>
        <v>5969.5696525964977</v>
      </c>
      <c r="I273" s="447">
        <f t="shared" si="130"/>
        <v>6041.8311851989838</v>
      </c>
      <c r="J273" s="447">
        <f t="shared" si="130"/>
        <v>6111.9409956671298</v>
      </c>
      <c r="K273" s="447">
        <f t="shared" si="130"/>
        <v>6159.7353304157959</v>
      </c>
      <c r="L273" s="447">
        <f t="shared" si="130"/>
        <v>6195.6446723926701</v>
      </c>
      <c r="M273" s="447">
        <f t="shared" si="130"/>
        <v>6215.4760434245554</v>
      </c>
      <c r="N273" s="447">
        <f t="shared" si="130"/>
        <v>6206.3500586251057</v>
      </c>
    </row>
    <row r="274" spans="1:14">
      <c r="A274" s="302">
        <f>SUM(C274:N274)</f>
        <v>0</v>
      </c>
      <c r="C274" s="302">
        <f t="shared" ref="C274:N274" si="131">SUM(C263:C272)-C273</f>
        <v>0</v>
      </c>
      <c r="D274" s="302">
        <f t="shared" si="131"/>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197</v>
      </c>
      <c r="C279" s="447">
        <f>C223+C239</f>
        <v>1306.499686790713</v>
      </c>
      <c r="D279" s="447">
        <f t="shared" ref="D279:N279" si="133">D223+D239</f>
        <v>1331.8961649055041</v>
      </c>
      <c r="E279" s="447">
        <f t="shared" si="133"/>
        <v>1370.7268692886992</v>
      </c>
      <c r="F279" s="447">
        <f t="shared" si="133"/>
        <v>1381.0458524761259</v>
      </c>
      <c r="G279" s="447">
        <f t="shared" si="133"/>
        <v>1390.1894024405958</v>
      </c>
      <c r="H279" s="447">
        <f t="shared" si="133"/>
        <v>1402.0573853828628</v>
      </c>
      <c r="I279" s="447">
        <f t="shared" si="133"/>
        <v>1417.0686695641693</v>
      </c>
      <c r="J279" s="447">
        <f t="shared" si="133"/>
        <v>1431.891678827363</v>
      </c>
      <c r="K279" s="447">
        <f t="shared" si="133"/>
        <v>1441.3725060695133</v>
      </c>
      <c r="L279" s="447">
        <f t="shared" si="133"/>
        <v>1448.2903869496326</v>
      </c>
      <c r="M279" s="447">
        <f t="shared" si="133"/>
        <v>1451.583496451497</v>
      </c>
      <c r="N279" s="447">
        <f t="shared" si="133"/>
        <v>1448.0210950099945</v>
      </c>
    </row>
    <row r="280" spans="1:14">
      <c r="B280" s="319" t="s">
        <v>198</v>
      </c>
      <c r="C280" s="447">
        <f>C155+C171</f>
        <v>273.94019946751246</v>
      </c>
      <c r="D280" s="447">
        <f t="shared" ref="D280:N280" si="134">D155+D171</f>
        <v>272.2080712647446</v>
      </c>
      <c r="E280" s="447">
        <f t="shared" si="134"/>
        <v>267.31589532157477</v>
      </c>
      <c r="F280" s="447">
        <f t="shared" si="134"/>
        <v>262.83298181452346</v>
      </c>
      <c r="G280" s="447">
        <f t="shared" si="134"/>
        <v>259.3430664900028</v>
      </c>
      <c r="H280" s="447">
        <f t="shared" si="134"/>
        <v>257.21811847026174</v>
      </c>
      <c r="I280" s="447">
        <f t="shared" si="134"/>
        <v>256.34789054754299</v>
      </c>
      <c r="J280" s="447">
        <f t="shared" si="134"/>
        <v>256.13713912738478</v>
      </c>
      <c r="K280" s="447">
        <f t="shared" si="134"/>
        <v>255.78384096333849</v>
      </c>
      <c r="L280" s="447">
        <f t="shared" si="134"/>
        <v>255.52493133002514</v>
      </c>
      <c r="M280" s="447">
        <f t="shared" si="134"/>
        <v>255.13030274301536</v>
      </c>
      <c r="N280" s="447">
        <f t="shared" si="134"/>
        <v>254.11526527005088</v>
      </c>
    </row>
    <row r="281" spans="1:14">
      <c r="B281" s="319" t="s">
        <v>531</v>
      </c>
      <c r="C281" s="447">
        <f>C189+C205</f>
        <v>7.412103254371198</v>
      </c>
      <c r="D281" s="447">
        <f t="shared" ref="D281:N281" si="135">D189+D205</f>
        <v>7.4651658856432839</v>
      </c>
      <c r="E281" s="447">
        <f t="shared" si="135"/>
        <v>7.4559058714339743</v>
      </c>
      <c r="F281" s="447">
        <f t="shared" si="135"/>
        <v>7.4438813034011861</v>
      </c>
      <c r="G281" s="447">
        <f t="shared" si="135"/>
        <v>7.4389433069400113</v>
      </c>
      <c r="H281" s="447">
        <f t="shared" si="135"/>
        <v>7.4521284139056725</v>
      </c>
      <c r="I281" s="447">
        <f t="shared" si="135"/>
        <v>7.484828054373013</v>
      </c>
      <c r="J281" s="447">
        <f t="shared" si="135"/>
        <v>7.5254041857198466</v>
      </c>
      <c r="K281" s="447">
        <f t="shared" si="135"/>
        <v>7.5549767009439286</v>
      </c>
      <c r="L281" s="447">
        <f t="shared" si="135"/>
        <v>7.5806604689417778</v>
      </c>
      <c r="M281" s="447">
        <f t="shared" si="135"/>
        <v>7.5973345067860434</v>
      </c>
      <c r="N281" s="447">
        <f t="shared" si="135"/>
        <v>7.5923291325049789</v>
      </c>
    </row>
    <row r="282" spans="1:14">
      <c r="B282" s="319" t="s">
        <v>199</v>
      </c>
      <c r="C282" s="447">
        <f>C121+C137</f>
        <v>1025.1473840688291</v>
      </c>
      <c r="D282" s="447">
        <f t="shared" ref="D282:N282" si="136">D121+D137</f>
        <v>1052.2229277551162</v>
      </c>
      <c r="E282" s="447">
        <f t="shared" si="136"/>
        <v>1095.9550680956904</v>
      </c>
      <c r="F282" s="447">
        <f t="shared" si="136"/>
        <v>1110.7689893582015</v>
      </c>
      <c r="G282" s="447">
        <f t="shared" si="136"/>
        <v>1123.4073926436529</v>
      </c>
      <c r="H282" s="447">
        <f t="shared" si="136"/>
        <v>1137.3871384986955</v>
      </c>
      <c r="I282" s="447">
        <f t="shared" si="136"/>
        <v>1153.2359509622536</v>
      </c>
      <c r="J282" s="447">
        <f t="shared" si="136"/>
        <v>1168.2291355142584</v>
      </c>
      <c r="K282" s="447">
        <f t="shared" si="136"/>
        <v>1178.0336884052313</v>
      </c>
      <c r="L282" s="447">
        <f t="shared" si="136"/>
        <v>1185.1847951506656</v>
      </c>
      <c r="M282" s="447">
        <f t="shared" si="136"/>
        <v>1188.8558592016952</v>
      </c>
      <c r="N282" s="447">
        <f t="shared" si="136"/>
        <v>1186.3135006074388</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6"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6"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6" ht="15.75">
      <c r="B291" s="333"/>
      <c r="H291" s="320"/>
    </row>
    <row r="292" spans="2:16" ht="15.75">
      <c r="B292" s="333" t="s">
        <v>264</v>
      </c>
      <c r="H292" s="320"/>
    </row>
    <row r="293" spans="2:16"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6">
      <c r="B294" s="356" t="s">
        <v>268</v>
      </c>
      <c r="C294" s="447">
        <f>C36-C15+C279-C290</f>
        <v>1591.8760582329605</v>
      </c>
      <c r="D294" s="447">
        <f t="shared" ref="D294:N294" si="141">D36-D15+D279-D290</f>
        <v>1438.5478249984121</v>
      </c>
      <c r="E294" s="447">
        <f t="shared" si="141"/>
        <v>1470.9643367195131</v>
      </c>
      <c r="F294" s="447">
        <f t="shared" si="141"/>
        <v>1471.6763382019715</v>
      </c>
      <c r="G294" s="447">
        <f t="shared" si="141"/>
        <v>1501.419623896096</v>
      </c>
      <c r="H294" s="447">
        <f t="shared" si="141"/>
        <v>1536.7350649750842</v>
      </c>
      <c r="I294" s="447">
        <f t="shared" si="141"/>
        <v>1550.0030314060627</v>
      </c>
      <c r="J294" s="447">
        <f t="shared" si="141"/>
        <v>1523.4057098363203</v>
      </c>
      <c r="K294" s="447">
        <f t="shared" si="141"/>
        <v>1511.4443139010427</v>
      </c>
      <c r="L294" s="447">
        <f t="shared" si="141"/>
        <v>1488.4773584551654</v>
      </c>
      <c r="M294" s="447">
        <f t="shared" si="141"/>
        <v>1436.7552866249198</v>
      </c>
      <c r="N294" s="447">
        <f t="shared" si="141"/>
        <v>1386.4881934041705</v>
      </c>
    </row>
    <row r="295" spans="2:16" ht="12.75" customHeight="1">
      <c r="B295" s="1327" t="s">
        <v>265</v>
      </c>
      <c r="C295" s="1327"/>
      <c r="D295" s="1327"/>
      <c r="E295" s="1327"/>
      <c r="F295" s="1327"/>
      <c r="G295" s="1327"/>
      <c r="H295" s="1327"/>
      <c r="I295" s="1327"/>
      <c r="J295" s="1327"/>
      <c r="K295" s="1327"/>
      <c r="L295" s="1327"/>
      <c r="M295" s="1327"/>
      <c r="N295" s="1327"/>
    </row>
    <row r="296" spans="2:16">
      <c r="B296" s="526" t="s">
        <v>3</v>
      </c>
      <c r="C296" s="527">
        <f>IF(C294&lt;0,0,C294)</f>
        <v>1591.8760582329605</v>
      </c>
      <c r="D296" s="527">
        <f t="shared" ref="D296:N296" si="142">IF(D294&lt;0,0,D294)</f>
        <v>1438.5478249984121</v>
      </c>
      <c r="E296" s="527">
        <f t="shared" si="142"/>
        <v>1470.9643367195131</v>
      </c>
      <c r="F296" s="527">
        <f t="shared" si="142"/>
        <v>1471.6763382019715</v>
      </c>
      <c r="G296" s="527">
        <f t="shared" si="142"/>
        <v>1501.419623896096</v>
      </c>
      <c r="H296" s="527">
        <f t="shared" si="142"/>
        <v>1536.7350649750842</v>
      </c>
      <c r="I296" s="527">
        <f t="shared" si="142"/>
        <v>1550.0030314060627</v>
      </c>
      <c r="J296" s="527">
        <f t="shared" si="142"/>
        <v>1523.4057098363203</v>
      </c>
      <c r="K296" s="527">
        <f t="shared" si="142"/>
        <v>1511.4443139010427</v>
      </c>
      <c r="L296" s="527">
        <f t="shared" si="142"/>
        <v>1488.4773584551654</v>
      </c>
      <c r="M296" s="527">
        <f t="shared" si="142"/>
        <v>1436.7552866249198</v>
      </c>
      <c r="N296" s="527">
        <f t="shared" si="142"/>
        <v>1386.4881934041705</v>
      </c>
    </row>
    <row r="297" spans="2:16" ht="15.75">
      <c r="B297" s="333"/>
      <c r="H297" s="320"/>
    </row>
    <row r="298" spans="2:16" ht="15.75">
      <c r="B298" s="333" t="s">
        <v>175</v>
      </c>
      <c r="H298" s="320"/>
    </row>
    <row r="299" spans="2:16" ht="15.75">
      <c r="B299" s="333"/>
      <c r="H299" s="320"/>
    </row>
    <row r="300" spans="2:16">
      <c r="B300" s="334" t="s">
        <v>46</v>
      </c>
      <c r="H300" s="318"/>
    </row>
    <row r="301" spans="2:16">
      <c r="H301" s="318"/>
    </row>
    <row r="302" spans="2:16">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6">
      <c r="B303" s="331" t="str">
        <f t="shared" si="143"/>
        <v>20-24</v>
      </c>
      <c r="C303" s="447">
        <f>C$296*Entrant_age_breakdowns!$K76*$G$31</f>
        <v>166.85552852828798</v>
      </c>
      <c r="D303" s="447">
        <f>D$296*Entrant_age_breakdowns!$K76*$G$31</f>
        <v>150.7841370010745</v>
      </c>
      <c r="E303" s="447">
        <f>E$296*Entrant_age_breakdowns!$K76*$G$31</f>
        <v>154.18193557232243</v>
      </c>
      <c r="F303" s="447">
        <f>F$296*Entrant_age_breakdowns!$K76*$G$31</f>
        <v>154.25656536718247</v>
      </c>
      <c r="G303" s="447">
        <f>G$296*Entrant_age_breakdowns!$K76*$G$31</f>
        <v>157.3741646482282</v>
      </c>
      <c r="H303" s="447">
        <f>H$296*Entrant_age_breakdowns!$K76*$G$31</f>
        <v>161.07582003525951</v>
      </c>
      <c r="I303" s="447">
        <f>I$296*Entrant_age_breakdowns!$K76*$G$31</f>
        <v>162.4665272702147</v>
      </c>
      <c r="J303" s="447">
        <f>J$296*Entrant_age_breakdowns!$K76*$G$31</f>
        <v>159.67867822568391</v>
      </c>
      <c r="K303" s="447">
        <f>K$296*Entrant_age_breakdowns!$K76*$G$31</f>
        <v>158.42492167196556</v>
      </c>
      <c r="L303" s="447">
        <f>L$296*Entrant_age_breakdowns!$K76*$G$31</f>
        <v>156.01759638442945</v>
      </c>
      <c r="M303" s="447">
        <f>M$296*Entrant_age_breakdowns!$K76*$G$31</f>
        <v>150.59624866883317</v>
      </c>
      <c r="N303" s="447">
        <f>N$296*Entrant_age_breakdowns!$K76*$G$31</f>
        <v>145.3274073142876</v>
      </c>
      <c r="O303" s="320"/>
      <c r="P303" s="320"/>
    </row>
    <row r="304" spans="2:16">
      <c r="B304" s="331" t="str">
        <f t="shared" si="143"/>
        <v>25-29</v>
      </c>
      <c r="C304" s="447">
        <f>C$296*Entrant_age_breakdowns!$K77*$G$31</f>
        <v>170.32299003216843</v>
      </c>
      <c r="D304" s="447">
        <f>D$296*Entrant_age_breakdowns!$K77*$G$31</f>
        <v>153.91761537640102</v>
      </c>
      <c r="E304" s="447">
        <f>E$296*Entrant_age_breakdowns!$K77*$G$31</f>
        <v>157.38602434844094</v>
      </c>
      <c r="F304" s="447">
        <f>F$296*Entrant_age_breakdowns!$K77*$G$31</f>
        <v>157.46220504151214</v>
      </c>
      <c r="G304" s="447">
        <f>G$296*Entrant_age_breakdowns!$K77*$G$31</f>
        <v>160.6445918401601</v>
      </c>
      <c r="H304" s="447">
        <f>H$296*Entrant_age_breakdowns!$K77*$G$31</f>
        <v>164.42317214342509</v>
      </c>
      <c r="I304" s="447">
        <f>I$296*Entrant_age_breakdowns!$K77*$G$31</f>
        <v>165.84277997186317</v>
      </c>
      <c r="J304" s="447">
        <f>J$296*Entrant_age_breakdowns!$K77*$G$31</f>
        <v>162.99699602205351</v>
      </c>
      <c r="K304" s="447">
        <f>K$296*Entrant_age_breakdowns!$K77*$G$31</f>
        <v>161.71718487713525</v>
      </c>
      <c r="L304" s="447">
        <f>L$296*Entrant_age_breakdowns!$K77*$G$31</f>
        <v>159.25983243236033</v>
      </c>
      <c r="M304" s="447">
        <f>M$296*Entrant_age_breakdowns!$K77*$G$31</f>
        <v>153.72582249532738</v>
      </c>
      <c r="N304" s="447">
        <f>N$296*Entrant_age_breakdowns!$K77*$G$31</f>
        <v>148.34748818763796</v>
      </c>
      <c r="O304" s="320"/>
      <c r="P304" s="320"/>
    </row>
    <row r="305" spans="1:16">
      <c r="B305" s="331" t="str">
        <f t="shared" si="143"/>
        <v>30-34</v>
      </c>
      <c r="C305" s="447">
        <f>C$296*Entrant_age_breakdowns!$K78*$G$31</f>
        <v>84.591358696194717</v>
      </c>
      <c r="D305" s="447">
        <f>D$296*Entrant_age_breakdowns!$K78*$G$31</f>
        <v>76.443586444255132</v>
      </c>
      <c r="E305" s="447">
        <f>E$296*Entrant_age_breakdowns!$K78*$G$31</f>
        <v>78.166180836260082</v>
      </c>
      <c r="F305" s="447">
        <f>F$296*Entrant_age_breakdowns!$K78*$G$31</f>
        <v>78.20401617682154</v>
      </c>
      <c r="G305" s="447">
        <f>G$296*Entrant_age_breakdowns!$K78*$G$31</f>
        <v>79.784556907956073</v>
      </c>
      <c r="H305" s="447">
        <f>H$296*Entrant_age_breakdowns!$K78*$G$31</f>
        <v>81.66119870326213</v>
      </c>
      <c r="I305" s="447">
        <f>I$296*Entrant_age_breakdowns!$K78*$G$31</f>
        <v>82.366250646048314</v>
      </c>
      <c r="J305" s="447">
        <f>J$296*Entrant_age_breakdowns!$K78*$G$31</f>
        <v>80.9528846006028</v>
      </c>
      <c r="K305" s="447">
        <f>K$296*Entrant_age_breakdowns!$K78*$G$31</f>
        <v>80.317263046503001</v>
      </c>
      <c r="L305" s="447">
        <f>L$296*Entrant_age_breakdowns!$K78*$G$31</f>
        <v>79.096812524470337</v>
      </c>
      <c r="M305" s="447">
        <f>M$296*Entrant_age_breakdowns!$K78*$G$31</f>
        <v>76.348332007991345</v>
      </c>
      <c r="N305" s="447">
        <f>N$296*Entrant_age_breakdowns!$K78*$G$31</f>
        <v>73.677168200193705</v>
      </c>
      <c r="O305" s="320"/>
      <c r="P305" s="320"/>
    </row>
    <row r="306" spans="1:16">
      <c r="B306" s="331" t="str">
        <f t="shared" si="143"/>
        <v>35-39</v>
      </c>
      <c r="C306" s="447">
        <f>C$296*Entrant_age_breakdowns!$K79*$G$31</f>
        <v>63.048719875939277</v>
      </c>
      <c r="D306" s="447">
        <f>D$296*Entrant_age_breakdowns!$K79*$G$31</f>
        <v>56.975917426099933</v>
      </c>
      <c r="E306" s="447">
        <f>E$296*Entrant_age_breakdowns!$K79*$G$31</f>
        <v>58.259823642471765</v>
      </c>
      <c r="F306" s="447">
        <f>F$296*Entrant_age_breakdowns!$K79*$G$31</f>
        <v>58.288023565315378</v>
      </c>
      <c r="G306" s="447">
        <f>G$296*Entrant_age_breakdowns!$K79*$G$31</f>
        <v>59.466052519404002</v>
      </c>
      <c r="H306" s="447">
        <f>H$296*Entrant_age_breakdowns!$K79*$G$31</f>
        <v>60.864775328487504</v>
      </c>
      <c r="I306" s="447">
        <f>I$296*Entrant_age_breakdowns!$K79*$G$31</f>
        <v>61.390273714183877</v>
      </c>
      <c r="J306" s="447">
        <f>J$296*Entrant_age_breakdowns!$K79*$G$31</f>
        <v>60.336845547821206</v>
      </c>
      <c r="K306" s="447">
        <f>K$296*Entrant_age_breakdowns!$K79*$G$31</f>
        <v>59.863095912761274</v>
      </c>
      <c r="L306" s="447">
        <f>L$296*Entrant_age_breakdowns!$K79*$G$31</f>
        <v>58.953454026496793</v>
      </c>
      <c r="M306" s="447">
        <f>M$296*Entrant_age_breakdowns!$K79*$G$31</f>
        <v>56.904921164052588</v>
      </c>
      <c r="N306" s="447">
        <f>N$296*Entrant_age_breakdowns!$K79*$G$31</f>
        <v>54.91401498573444</v>
      </c>
      <c r="O306" s="320"/>
      <c r="P306" s="320"/>
    </row>
    <row r="307" spans="1:16">
      <c r="B307" s="331" t="str">
        <f t="shared" si="143"/>
        <v>40-44</v>
      </c>
      <c r="C307" s="447">
        <f>C$296*Entrant_age_breakdowns!$K80*$G$31</f>
        <v>54.174381217030628</v>
      </c>
      <c r="D307" s="447">
        <f>D$296*Entrant_age_breakdowns!$K80*$G$31</f>
        <v>48.956347994140977</v>
      </c>
      <c r="E307" s="447">
        <f>E$296*Entrant_age_breakdowns!$K80*$G$31</f>
        <v>50.059539699690369</v>
      </c>
      <c r="F307" s="447">
        <f>F$296*Entrant_age_breakdowns!$K80*$G$31</f>
        <v>50.083770379923479</v>
      </c>
      <c r="G307" s="447">
        <f>G$296*Entrant_age_breakdowns!$K80*$G$31</f>
        <v>51.095987436337531</v>
      </c>
      <c r="H307" s="447">
        <f>H$296*Entrant_age_breakdowns!$K80*$G$31</f>
        <v>52.297834877892996</v>
      </c>
      <c r="I307" s="447">
        <f>I$296*Entrant_age_breakdowns!$K80*$G$31</f>
        <v>52.749367437660531</v>
      </c>
      <c r="J307" s="447">
        <f>J$296*Entrant_age_breakdowns!$K80*$G$31</f>
        <v>51.844213150918755</v>
      </c>
      <c r="K307" s="447">
        <f>K$296*Entrant_age_breakdowns!$K80*$G$31</f>
        <v>51.437145515260688</v>
      </c>
      <c r="L307" s="447">
        <f>L$296*Entrant_age_breakdowns!$K80*$G$31</f>
        <v>50.655539062117192</v>
      </c>
      <c r="M307" s="447">
        <f>M$296*Entrant_age_breakdowns!$K80*$G$31</f>
        <v>48.895344716474042</v>
      </c>
      <c r="N307" s="447">
        <f>N$296*Entrant_age_breakdowns!$K80*$G$31</f>
        <v>47.184665887724186</v>
      </c>
      <c r="O307" s="320"/>
      <c r="P307" s="320"/>
    </row>
    <row r="308" spans="1:16">
      <c r="B308" s="331" t="str">
        <f t="shared" si="143"/>
        <v>45-49</v>
      </c>
      <c r="C308" s="447">
        <f>C$296*Entrant_age_breakdowns!$K81*$G$31</f>
        <v>43.667632901195532</v>
      </c>
      <c r="D308" s="447">
        <f>D$296*Entrant_age_breakdowns!$K81*$G$31</f>
        <v>39.461601302411786</v>
      </c>
      <c r="E308" s="447">
        <f>E$296*Entrant_age_breakdowns!$K81*$G$31</f>
        <v>40.350836570731389</v>
      </c>
      <c r="F308" s="447">
        <f>F$296*Entrant_age_breakdowns!$K81*$G$31</f>
        <v>40.37036787733048</v>
      </c>
      <c r="G308" s="447">
        <f>G$296*Entrant_age_breakdowns!$K81*$G$31</f>
        <v>41.186272403470625</v>
      </c>
      <c r="H308" s="447">
        <f>H$296*Entrant_age_breakdowns!$K81*$G$31</f>
        <v>42.155029806916275</v>
      </c>
      <c r="I308" s="447">
        <f>I$296*Entrant_age_breakdowns!$K81*$G$31</f>
        <v>42.51899073494009</v>
      </c>
      <c r="J308" s="447">
        <f>J$296*Entrant_age_breakdowns!$K81*$G$31</f>
        <v>41.789384891284264</v>
      </c>
      <c r="K308" s="447">
        <f>K$296*Entrant_age_breakdowns!$K81*$G$31</f>
        <v>41.461265221422941</v>
      </c>
      <c r="L308" s="447">
        <f>L$296*Entrant_age_breakdowns!$K81*$G$31</f>
        <v>40.831245959507562</v>
      </c>
      <c r="M308" s="447">
        <f>M$296*Entrant_age_breakdowns!$K81*$G$31</f>
        <v>39.412429190518942</v>
      </c>
      <c r="N308" s="447">
        <f>N$296*Entrant_age_breakdowns!$K81*$G$31</f>
        <v>38.033524744773061</v>
      </c>
      <c r="O308" s="320"/>
      <c r="P308" s="320"/>
    </row>
    <row r="309" spans="1:16">
      <c r="B309" s="331" t="str">
        <f t="shared" si="143"/>
        <v>50-54</v>
      </c>
      <c r="C309" s="447">
        <f>C$296*Entrant_age_breakdowns!$K82*$G$31</f>
        <v>32.357889895894203</v>
      </c>
      <c r="D309" s="447">
        <f>D$296*Entrant_age_breakdowns!$K82*$G$31</f>
        <v>29.241203729734497</v>
      </c>
      <c r="E309" s="447">
        <f>E$296*Entrant_age_breakdowns!$K82*$G$31</f>
        <v>29.900130605137537</v>
      </c>
      <c r="F309" s="447">
        <f>F$296*Entrant_age_breakdowns!$K82*$G$31</f>
        <v>29.914603381115256</v>
      </c>
      <c r="G309" s="447">
        <f>G$296*Entrant_age_breakdowns!$K82*$G$31</f>
        <v>30.519191884507251</v>
      </c>
      <c r="H309" s="447">
        <f>H$296*Entrant_age_breakdowns!$K82*$G$31</f>
        <v>31.237044978753364</v>
      </c>
      <c r="I309" s="447">
        <f>I$296*Entrant_age_breakdowns!$K82*$G$31</f>
        <v>31.506741475974753</v>
      </c>
      <c r="J309" s="447">
        <f>J$296*Entrant_age_breakdowns!$K82*$G$31</f>
        <v>30.966100640007443</v>
      </c>
      <c r="K309" s="447">
        <f>K$296*Entrant_age_breakdowns!$K82*$G$31</f>
        <v>30.722962657830276</v>
      </c>
      <c r="L309" s="447">
        <f>L$296*Entrant_age_breakdowns!$K82*$G$31</f>
        <v>30.25611587555845</v>
      </c>
      <c r="M309" s="447">
        <f>M$296*Entrant_age_breakdowns!$K82*$G$31</f>
        <v>29.204766998982976</v>
      </c>
      <c r="N309" s="447">
        <f>N$296*Entrant_age_breakdowns!$K82*$G$31</f>
        <v>28.182993312890122</v>
      </c>
      <c r="O309" s="320"/>
      <c r="P309" s="320"/>
    </row>
    <row r="310" spans="1:16">
      <c r="B310" s="331" t="str">
        <f t="shared" si="143"/>
        <v>55-59</v>
      </c>
      <c r="C310" s="447">
        <f>C$296*Entrant_age_breakdowns!$K83*$G$31</f>
        <v>20.970683293421317</v>
      </c>
      <c r="D310" s="447">
        <f>D$296*Entrant_age_breakdowns!$K83*$G$31</f>
        <v>18.950803791828232</v>
      </c>
      <c r="E310" s="447">
        <f>E$296*Entrant_age_breakdowns!$K83*$G$31</f>
        <v>19.377844827633048</v>
      </c>
      <c r="F310" s="447">
        <f>F$296*Entrant_age_breakdowns!$K83*$G$31</f>
        <v>19.387224425696512</v>
      </c>
      <c r="G310" s="447">
        <f>G$296*Entrant_age_breakdowns!$K83*$G$31</f>
        <v>19.779049543720845</v>
      </c>
      <c r="H310" s="447">
        <f>H$296*Entrant_age_breakdowns!$K83*$G$31</f>
        <v>20.244279814887197</v>
      </c>
      <c r="I310" s="447">
        <f>I$296*Entrant_age_breakdowns!$K83*$G$31</f>
        <v>20.419066237820555</v>
      </c>
      <c r="J310" s="447">
        <f>J$296*Entrant_age_breakdowns!$K83*$G$31</f>
        <v>20.068684683799638</v>
      </c>
      <c r="K310" s="447">
        <f>K$296*Entrant_age_breakdowns!$K83*$G$31</f>
        <v>19.911110452684962</v>
      </c>
      <c r="L310" s="447">
        <f>L$296*Entrant_age_breakdowns!$K83*$G$31</f>
        <v>19.60855376406673</v>
      </c>
      <c r="M310" s="447">
        <f>M$296*Entrant_age_breakdowns!$K83*$G$31</f>
        <v>18.927189670410051</v>
      </c>
      <c r="N310" s="447">
        <f>N$296*Entrant_age_breakdowns!$K83*$G$31</f>
        <v>18.264992832558647</v>
      </c>
      <c r="O310" s="320"/>
      <c r="P310" s="320"/>
    </row>
    <row r="311" spans="1:16">
      <c r="B311" s="331" t="str">
        <f t="shared" si="143"/>
        <v>60-64</v>
      </c>
      <c r="C311" s="447">
        <f>C$296*Entrant_age_breakdowns!$K84*$G$31</f>
        <v>10.694430662437858</v>
      </c>
      <c r="D311" s="447">
        <f>D$296*Entrant_age_breakdowns!$K84*$G$31</f>
        <v>9.6643516242863772</v>
      </c>
      <c r="E311" s="447">
        <f>E$296*Entrant_age_breakdowns!$K84*$G$31</f>
        <v>9.8821299714927822</v>
      </c>
      <c r="F311" s="447">
        <f>F$296*Entrant_age_breakdowns!$K84*$G$31</f>
        <v>9.8869132901728527</v>
      </c>
      <c r="G311" s="447">
        <f>G$296*Entrant_age_breakdowns!$K84*$G$31</f>
        <v>10.086732556807206</v>
      </c>
      <c r="H311" s="447">
        <f>H$296*Entrant_age_breakdowns!$K84*$G$31</f>
        <v>10.3239862889551</v>
      </c>
      <c r="I311" s="447">
        <f>I$296*Entrant_age_breakdowns!$K84*$G$31</f>
        <v>10.413122215269087</v>
      </c>
      <c r="J311" s="447">
        <f>J$296*Entrant_age_breakdowns!$K84*$G$31</f>
        <v>10.234437945307821</v>
      </c>
      <c r="K311" s="447">
        <f>K$296*Entrant_age_breakdowns!$K84*$G$31</f>
        <v>10.154079729733056</v>
      </c>
      <c r="L311" s="447">
        <f>L$296*Entrant_age_breakdowns!$K84*$G$31</f>
        <v>9.9997847321590125</v>
      </c>
      <c r="M311" s="447">
        <f>M$296*Entrant_age_breakdowns!$K84*$G$31</f>
        <v>9.6523091180586302</v>
      </c>
      <c r="N311" s="447">
        <f>N$296*Entrant_age_breakdowns!$K84*$G$31</f>
        <v>9.3146082397325038</v>
      </c>
      <c r="O311" s="320"/>
      <c r="P311" s="320"/>
    </row>
    <row r="312" spans="1:16">
      <c r="B312" s="331" t="str">
        <f t="shared" si="143"/>
        <v>65 plus</v>
      </c>
      <c r="C312" s="447">
        <f>C$296*Entrant_age_breakdowns!$K85*$G$31</f>
        <v>3.2200757294754476</v>
      </c>
      <c r="D312" s="447">
        <f>D$296*Entrant_age_breakdowns!$K85*$G$31</f>
        <v>2.9099206015504908</v>
      </c>
      <c r="E312" s="447">
        <f>E$296*Entrant_age_breakdowns!$K85*$G$31</f>
        <v>2.9754933087267288</v>
      </c>
      <c r="F312" s="447">
        <f>F$296*Entrant_age_breakdowns!$K85*$G$31</f>
        <v>2.976933558224268</v>
      </c>
      <c r="G312" s="447">
        <f>G$296*Entrant_age_breakdowns!$K85*$G$31</f>
        <v>3.0370988153642111</v>
      </c>
      <c r="H312" s="447">
        <f>H$296*Entrant_age_breakdowns!$K85*$G$31</f>
        <v>3.108535529363416</v>
      </c>
      <c r="I312" s="447">
        <f>I$296*Entrant_age_breakdowns!$K85*$G$31</f>
        <v>3.1353742122262727</v>
      </c>
      <c r="J312" s="447">
        <f>J$296*Entrant_age_breakdowns!$K85*$G$31</f>
        <v>3.0815726683103155</v>
      </c>
      <c r="K312" s="447">
        <f>K$296*Entrant_age_breakdowns!$K85*$G$31</f>
        <v>3.0573769399163675</v>
      </c>
      <c r="L312" s="447">
        <f>L$296*Entrant_age_breakdowns!$K85*$G$31</f>
        <v>3.0109189663645153</v>
      </c>
      <c r="M312" s="447">
        <f>M$296*Entrant_age_breakdowns!$K85*$G$31</f>
        <v>2.9062946224544528</v>
      </c>
      <c r="N312" s="447">
        <f>N$296*Entrant_age_breakdowns!$K85*$G$31</f>
        <v>2.8046134356344883</v>
      </c>
      <c r="O312" s="320"/>
      <c r="P312" s="320"/>
    </row>
    <row r="313" spans="1:16">
      <c r="B313" s="331" t="str">
        <f t="shared" si="143"/>
        <v>Total</v>
      </c>
      <c r="C313" s="447">
        <f t="shared" ref="C313:N313" si="145">SUM(C303:C312)</f>
        <v>649.90369083204541</v>
      </c>
      <c r="D313" s="447">
        <f t="shared" si="145"/>
        <v>587.30548529178293</v>
      </c>
      <c r="E313" s="447">
        <f t="shared" si="145"/>
        <v>600.53993938290705</v>
      </c>
      <c r="F313" s="447">
        <f t="shared" si="145"/>
        <v>600.83062306329441</v>
      </c>
      <c r="G313" s="447">
        <f t="shared" si="145"/>
        <v>612.97369855595593</v>
      </c>
      <c r="H313" s="447">
        <f t="shared" si="145"/>
        <v>627.39167750720253</v>
      </c>
      <c r="I313" s="447">
        <f t="shared" si="145"/>
        <v>632.80849391620131</v>
      </c>
      <c r="J313" s="447">
        <f t="shared" si="145"/>
        <v>621.94979837578978</v>
      </c>
      <c r="K313" s="447">
        <f t="shared" si="145"/>
        <v>617.0664060252135</v>
      </c>
      <c r="L313" s="447">
        <f t="shared" si="145"/>
        <v>607.68985372753048</v>
      </c>
      <c r="M313" s="447">
        <f t="shared" si="145"/>
        <v>586.57365865310362</v>
      </c>
      <c r="N313" s="447">
        <f t="shared" si="145"/>
        <v>566.05147714116663</v>
      </c>
      <c r="O313" s="320"/>
      <c r="P313" s="320"/>
    </row>
    <row r="314" spans="1:16">
      <c r="A314" s="302">
        <f>SUM(C314:N314)</f>
        <v>0</v>
      </c>
      <c r="C314" s="302">
        <f t="shared" ref="C314:N314" si="146">SUM(C303:C312)-C313</f>
        <v>0</v>
      </c>
      <c r="D314" s="302">
        <f t="shared" si="146"/>
        <v>0</v>
      </c>
      <c r="E314" s="302">
        <f t="shared" si="146"/>
        <v>0</v>
      </c>
      <c r="F314" s="302">
        <f t="shared" si="146"/>
        <v>0</v>
      </c>
      <c r="G314" s="302">
        <f t="shared" si="146"/>
        <v>0</v>
      </c>
      <c r="H314" s="302">
        <f t="shared" si="146"/>
        <v>0</v>
      </c>
      <c r="I314" s="302">
        <f t="shared" si="146"/>
        <v>0</v>
      </c>
      <c r="J314" s="302">
        <f t="shared" si="146"/>
        <v>0</v>
      </c>
      <c r="K314" s="302">
        <f t="shared" si="146"/>
        <v>0</v>
      </c>
      <c r="L314" s="302">
        <f t="shared" si="146"/>
        <v>0</v>
      </c>
      <c r="M314" s="302">
        <f t="shared" si="146"/>
        <v>0</v>
      </c>
      <c r="N314" s="302">
        <f t="shared" si="146"/>
        <v>0</v>
      </c>
    </row>
    <row r="316" spans="1:16">
      <c r="B316" s="334" t="s">
        <v>47</v>
      </c>
      <c r="H316" s="318"/>
    </row>
    <row r="317" spans="1:16">
      <c r="H317" s="318"/>
    </row>
    <row r="318" spans="1:16">
      <c r="B318" s="331" t="str">
        <f t="shared" ref="B318:B329" si="147">B302</f>
        <v>Age group</v>
      </c>
      <c r="C318" s="331" t="str">
        <f>C293</f>
        <v>2017/18</v>
      </c>
      <c r="D318" s="331" t="str">
        <f t="shared" ref="D318:N318" si="148">D302</f>
        <v>2018/19</v>
      </c>
      <c r="E318" s="331" t="str">
        <f t="shared" si="148"/>
        <v>2019/20</v>
      </c>
      <c r="F318" s="331" t="str">
        <f t="shared" si="148"/>
        <v>2020/21</v>
      </c>
      <c r="G318" s="331" t="str">
        <f t="shared" si="148"/>
        <v>2021/22</v>
      </c>
      <c r="H318" s="331" t="str">
        <f t="shared" si="148"/>
        <v>2022/23</v>
      </c>
      <c r="I318" s="331" t="str">
        <f t="shared" si="148"/>
        <v>2023/24</v>
      </c>
      <c r="J318" s="331" t="str">
        <f t="shared" si="148"/>
        <v>2024/25</v>
      </c>
      <c r="K318" s="331" t="str">
        <f t="shared" si="148"/>
        <v>2025/26</v>
      </c>
      <c r="L318" s="331" t="str">
        <f t="shared" si="148"/>
        <v>2026/27</v>
      </c>
      <c r="M318" s="331" t="str">
        <f t="shared" si="148"/>
        <v>2027/28</v>
      </c>
      <c r="N318" s="331" t="str">
        <f t="shared" si="148"/>
        <v>2028/29</v>
      </c>
    </row>
    <row r="319" spans="1:16">
      <c r="B319" s="331" t="str">
        <f t="shared" si="147"/>
        <v>20-24</v>
      </c>
      <c r="C319" s="447">
        <f>C$296*Entrant_age_breakdowns!$K76*$H$31</f>
        <v>241.84090572019946</v>
      </c>
      <c r="D319" s="447">
        <f>D$296*Entrant_age_breakdowns!$K76*$H$31</f>
        <v>218.54698242375736</v>
      </c>
      <c r="E319" s="447">
        <f>E$296*Entrant_age_breakdowns!$K76*$H$31</f>
        <v>223.47176190917961</v>
      </c>
      <c r="F319" s="447">
        <f>F$296*Entrant_age_breakdowns!$K76*$H$31</f>
        <v>223.57993055868047</v>
      </c>
      <c r="G319" s="447">
        <f>G$296*Entrant_age_breakdowns!$K76*$H$31</f>
        <v>228.09858834875138</v>
      </c>
      <c r="H319" s="447">
        <f>H$296*Entrant_age_breakdowns!$K76*$H$31</f>
        <v>233.46377881837336</v>
      </c>
      <c r="I319" s="447">
        <f>I$296*Entrant_age_breakdowns!$K76*$H$31</f>
        <v>235.47947407438144</v>
      </c>
      <c r="J319" s="447">
        <f>J$296*Entrant_age_breakdowns!$K76*$H$31</f>
        <v>231.43875727052549</v>
      </c>
      <c r="K319" s="447">
        <f>K$296*Entrant_age_breakdowns!$K76*$H$31</f>
        <v>229.62155874448163</v>
      </c>
      <c r="L319" s="447">
        <f>L$296*Entrant_age_breakdowns!$K76*$H$31</f>
        <v>226.13237422038497</v>
      </c>
      <c r="M319" s="447">
        <f>M$296*Entrant_age_breakdowns!$K76*$H$31</f>
        <v>218.27465650897173</v>
      </c>
      <c r="N319" s="447">
        <f>N$296*Entrant_age_breakdowns!$K76*$H$31</f>
        <v>210.6379819767082</v>
      </c>
      <c r="O319" s="320"/>
    </row>
    <row r="320" spans="1:16">
      <c r="B320" s="331" t="str">
        <f t="shared" si="147"/>
        <v>25-29</v>
      </c>
      <c r="C320" s="447">
        <f>C$296*Entrant_age_breakdowns!$K77*$H$31</f>
        <v>246.86665487004683</v>
      </c>
      <c r="D320" s="447">
        <f>D$296*Entrant_age_breakdowns!$K77*$H$31</f>
        <v>223.08865542091635</v>
      </c>
      <c r="E320" s="447">
        <f>E$296*Entrant_age_breakdowns!$K77*$H$31</f>
        <v>228.11577783396839</v>
      </c>
      <c r="F320" s="447">
        <f>F$296*Entrant_age_breakdowns!$K77*$H$31</f>
        <v>228.22619436000886</v>
      </c>
      <c r="G320" s="447">
        <f>G$296*Entrant_age_breakdowns!$K77*$H$31</f>
        <v>232.83875537327219</v>
      </c>
      <c r="H320" s="447">
        <f>H$296*Entrant_age_breakdowns!$K77*$H$31</f>
        <v>238.31544104822828</v>
      </c>
      <c r="I320" s="447">
        <f>I$296*Entrant_age_breakdowns!$K77*$H$31</f>
        <v>240.37302491149686</v>
      </c>
      <c r="J320" s="447">
        <f>J$296*Entrant_age_breakdowns!$K77*$H$31</f>
        <v>236.2483370813942</v>
      </c>
      <c r="K320" s="447">
        <f>K$296*Entrant_age_breakdowns!$K77*$H$31</f>
        <v>234.39337495237271</v>
      </c>
      <c r="L320" s="447">
        <f>L$296*Entrant_age_breakdowns!$K77*$H$31</f>
        <v>230.83168091586163</v>
      </c>
      <c r="M320" s="447">
        <f>M$296*Entrant_age_breakdowns!$K77*$H$31</f>
        <v>222.81067024129035</v>
      </c>
      <c r="N320" s="447">
        <f>N$296*Entrant_age_breakdowns!$K77*$H$31</f>
        <v>215.01529629288012</v>
      </c>
      <c r="O320" s="320"/>
    </row>
    <row r="321" spans="1:15">
      <c r="B321" s="331" t="str">
        <f t="shared" si="147"/>
        <v>30-34</v>
      </c>
      <c r="C321" s="447">
        <f>C$296*Entrant_age_breakdowns!$K78*$H$31</f>
        <v>122.60697013537491</v>
      </c>
      <c r="D321" s="447">
        <f>D$296*Entrant_age_breakdowns!$K78*$H$31</f>
        <v>110.79756448732103</v>
      </c>
      <c r="E321" s="447">
        <f>E$296*Entrant_age_breakdowns!$K78*$H$31</f>
        <v>113.29429798860497</v>
      </c>
      <c r="F321" s="447">
        <f>F$296*Entrant_age_breakdowns!$K78*$H$31</f>
        <v>113.349136645198</v>
      </c>
      <c r="G321" s="447">
        <f>G$296*Entrant_age_breakdowns!$K78*$H$31</f>
        <v>115.63997714246352</v>
      </c>
      <c r="H321" s="447">
        <f>H$296*Entrant_age_breakdowns!$K78*$H$31</f>
        <v>118.35998741417743</v>
      </c>
      <c r="I321" s="447">
        <f>I$296*Entrant_age_breakdowns!$K78*$H$31</f>
        <v>119.38189182410107</v>
      </c>
      <c r="J321" s="447">
        <f>J$296*Entrant_age_breakdowns!$K78*$H$31</f>
        <v>117.33335481990602</v>
      </c>
      <c r="K321" s="447">
        <f>K$296*Entrant_age_breakdowns!$K78*$H$31</f>
        <v>116.41208302451142</v>
      </c>
      <c r="L321" s="447">
        <f>L$296*Entrant_age_breakdowns!$K78*$H$31</f>
        <v>114.64315836113094</v>
      </c>
      <c r="M321" s="447">
        <f>M$296*Entrant_age_breakdowns!$K78*$H$31</f>
        <v>110.65950242043546</v>
      </c>
      <c r="N321" s="447">
        <f>N$296*Entrant_age_breakdowns!$K78*$H$31</f>
        <v>106.78790955022811</v>
      </c>
      <c r="O321" s="320"/>
    </row>
    <row r="322" spans="1:15">
      <c r="B322" s="331" t="str">
        <f t="shared" si="147"/>
        <v>35-39</v>
      </c>
      <c r="C322" s="447">
        <f>C$296*Entrant_age_breakdowns!$K79*$H$31</f>
        <v>91.383004529641667</v>
      </c>
      <c r="D322" s="447">
        <f>D$296*Entrant_age_breakdowns!$K79*$H$31</f>
        <v>82.581066363834935</v>
      </c>
      <c r="E322" s="447">
        <f>E$296*Entrant_age_breakdowns!$K79*$H$31</f>
        <v>84.441963901758086</v>
      </c>
      <c r="F322" s="447">
        <f>F$296*Entrant_age_breakdowns!$K79*$H$31</f>
        <v>84.482836954883112</v>
      </c>
      <c r="G322" s="447">
        <f>G$296*Entrant_age_breakdowns!$K79*$H$31</f>
        <v>86.190275669885665</v>
      </c>
      <c r="H322" s="447">
        <f>H$296*Entrant_age_breakdowns!$K79*$H$31</f>
        <v>88.217588723183184</v>
      </c>
      <c r="I322" s="447">
        <f>I$296*Entrant_age_breakdowns!$K79*$H$31</f>
        <v>88.979247666535286</v>
      </c>
      <c r="J322" s="447">
        <f>J$296*Entrant_age_breakdowns!$K79*$H$31</f>
        <v>87.452405708636817</v>
      </c>
      <c r="K322" s="447">
        <f>K$296*Entrant_age_breakdowns!$K79*$H$31</f>
        <v>86.765751560356165</v>
      </c>
      <c r="L322" s="447">
        <f>L$296*Entrant_age_breakdowns!$K79*$H$31</f>
        <v>85.447313870004564</v>
      </c>
      <c r="M322" s="447">
        <f>M$296*Entrant_age_breakdowns!$K79*$H$31</f>
        <v>82.47816416773918</v>
      </c>
      <c r="N322" s="447">
        <f>N$296*Entrant_age_breakdowns!$K79*$H$31</f>
        <v>79.592538755053056</v>
      </c>
      <c r="O322" s="320"/>
    </row>
    <row r="323" spans="1:15">
      <c r="B323" s="331" t="str">
        <f t="shared" si="147"/>
        <v>40-44</v>
      </c>
      <c r="C323" s="447">
        <f>C$296*Entrant_age_breakdowns!$K80*$H$31</f>
        <v>78.520511342462726</v>
      </c>
      <c r="D323" s="447">
        <f>D$296*Entrant_age_breakdowns!$K80*$H$31</f>
        <v>70.957478269286597</v>
      </c>
      <c r="E323" s="447">
        <f>E$296*Entrant_age_breakdowns!$K80*$H$31</f>
        <v>72.556447650800635</v>
      </c>
      <c r="F323" s="447">
        <f>F$296*Entrant_age_breakdowns!$K80*$H$31</f>
        <v>72.5915676717282</v>
      </c>
      <c r="G323" s="447">
        <f>G$296*Entrant_age_breakdowns!$K80*$H$31</f>
        <v>74.058678122713985</v>
      </c>
      <c r="H323" s="447">
        <f>H$296*Entrant_age_breakdowns!$K80*$H$31</f>
        <v>75.800639425206896</v>
      </c>
      <c r="I323" s="447">
        <f>I$296*Entrant_age_breakdowns!$K80*$H$31</f>
        <v>76.455092077627256</v>
      </c>
      <c r="J323" s="447">
        <f>J$296*Entrant_age_breakdowns!$K80*$H$31</f>
        <v>75.143158727543266</v>
      </c>
      <c r="K323" s="447">
        <f>K$296*Entrant_age_breakdowns!$K80*$H$31</f>
        <v>74.553153670082807</v>
      </c>
      <c r="L323" s="447">
        <f>L$296*Entrant_age_breakdowns!$K80*$H$31</f>
        <v>73.420290922218101</v>
      </c>
      <c r="M323" s="447">
        <f>M$296*Entrant_age_breakdowns!$K80*$H$31</f>
        <v>70.869059934856807</v>
      </c>
      <c r="N323" s="447">
        <f>N$296*Entrant_age_breakdowns!$K80*$H$31</f>
        <v>68.389596886851805</v>
      </c>
      <c r="O323" s="320"/>
    </row>
    <row r="324" spans="1:15">
      <c r="B324" s="331" t="str">
        <f t="shared" si="147"/>
        <v>45-49</v>
      </c>
      <c r="C324" s="447">
        <f>C$296*Entrant_age_breakdowns!$K81*$H$31</f>
        <v>63.291998680714414</v>
      </c>
      <c r="D324" s="447">
        <f>D$296*Entrant_age_breakdowns!$K81*$H$31</f>
        <v>57.195763810287623</v>
      </c>
      <c r="E324" s="447">
        <f>E$296*Entrant_age_breakdowns!$K81*$H$31</f>
        <v>58.484624087112664</v>
      </c>
      <c r="F324" s="447">
        <f>F$296*Entrant_age_breakdowns!$K81*$H$31</f>
        <v>58.512932821737678</v>
      </c>
      <c r="G324" s="447">
        <f>G$296*Entrant_age_breakdowns!$K81*$H$31</f>
        <v>59.695507299930597</v>
      </c>
      <c r="H324" s="447">
        <f>H$296*Entrant_age_breakdowns!$K81*$H$31</f>
        <v>61.099627198976819</v>
      </c>
      <c r="I324" s="447">
        <f>I$296*Entrant_age_breakdowns!$K81*$H$31</f>
        <v>61.627153264528317</v>
      </c>
      <c r="J324" s="447">
        <f>J$296*Entrant_age_breakdowns!$K81*$H$31</f>
        <v>60.569660356712795</v>
      </c>
      <c r="K324" s="447">
        <f>K$296*Entrant_age_breakdowns!$K81*$H$31</f>
        <v>60.094082718717878</v>
      </c>
      <c r="L324" s="447">
        <f>L$296*Entrant_age_breakdowns!$K81*$H$31</f>
        <v>59.180930902492896</v>
      </c>
      <c r="M324" s="447">
        <f>M$296*Entrant_age_breakdowns!$K81*$H$31</f>
        <v>57.124493603173555</v>
      </c>
      <c r="N324" s="447">
        <f>N$296*Entrant_age_breakdowns!$K81*$H$31</f>
        <v>55.125905345402657</v>
      </c>
      <c r="O324" s="320"/>
    </row>
    <row r="325" spans="1:15">
      <c r="B325" s="331" t="str">
        <f t="shared" si="147"/>
        <v>50-54</v>
      </c>
      <c r="C325" s="447">
        <f>C$296*Entrant_age_breakdowns!$K82*$H$31</f>
        <v>46.899623096940701</v>
      </c>
      <c r="D325" s="447">
        <f>D$296*Entrant_age_breakdowns!$K82*$H$31</f>
        <v>42.382288778336495</v>
      </c>
      <c r="E325" s="447">
        <f>E$296*Entrant_age_breakdowns!$K82*$H$31</f>
        <v>43.337339376637985</v>
      </c>
      <c r="F325" s="447">
        <f>F$296*Entrant_age_breakdowns!$K82*$H$31</f>
        <v>43.358316261740981</v>
      </c>
      <c r="G325" s="447">
        <f>G$296*Entrant_age_breakdowns!$K82*$H$31</f>
        <v>44.234608659949117</v>
      </c>
      <c r="H325" s="447">
        <f>H$296*Entrant_age_breakdowns!$K82*$H$31</f>
        <v>45.275067097363703</v>
      </c>
      <c r="I325" s="447">
        <f>I$296*Entrant_age_breakdowns!$K82*$H$31</f>
        <v>45.665966012927825</v>
      </c>
      <c r="J325" s="447">
        <f>J$296*Entrant_age_breakdowns!$K82*$H$31</f>
        <v>44.882359556534659</v>
      </c>
      <c r="K325" s="447">
        <f>K$296*Entrant_age_breakdowns!$K82*$H$31</f>
        <v>44.529954632686191</v>
      </c>
      <c r="L325" s="447">
        <f>L$296*Entrant_age_breakdowns!$K82*$H$31</f>
        <v>43.853305500032263</v>
      </c>
      <c r="M325" s="447">
        <f>M$296*Entrant_age_breakdowns!$K82*$H$31</f>
        <v>42.329477271015435</v>
      </c>
      <c r="N325" s="447">
        <f>N$296*Entrant_age_breakdowns!$K82*$H$31</f>
        <v>40.848515412182756</v>
      </c>
      <c r="O325" s="320"/>
    </row>
    <row r="326" spans="1:15">
      <c r="B326" s="331" t="str">
        <f t="shared" si="147"/>
        <v>55-59</v>
      </c>
      <c r="C326" s="447">
        <f>C$296*Entrant_age_breakdowns!$K83*$H$31</f>
        <v>30.394971542058634</v>
      </c>
      <c r="D326" s="447">
        <f>D$296*Entrant_age_breakdowns!$K83*$H$31</f>
        <v>27.467352107332385</v>
      </c>
      <c r="E326" s="447">
        <f>E$296*Entrant_age_breakdowns!$K83*$H$31</f>
        <v>28.086306671137685</v>
      </c>
      <c r="F326" s="447">
        <f>F$296*Entrant_age_breakdowns!$K83*$H$31</f>
        <v>28.099901488827978</v>
      </c>
      <c r="G326" s="447">
        <f>G$296*Entrant_age_breakdowns!$K83*$H$31</f>
        <v>28.667813995310276</v>
      </c>
      <c r="H326" s="447">
        <f>H$296*Entrant_age_breakdowns!$K83*$H$31</f>
        <v>29.342120151898005</v>
      </c>
      <c r="I326" s="447">
        <f>I$296*Entrant_age_breakdowns!$K83*$H$31</f>
        <v>29.595456119861641</v>
      </c>
      <c r="J326" s="447">
        <f>J$296*Entrant_age_breakdowns!$K83*$H$31</f>
        <v>29.087612039899355</v>
      </c>
      <c r="K326" s="447">
        <f>K$296*Entrant_age_breakdowns!$K83*$H$31</f>
        <v>28.859223474611408</v>
      </c>
      <c r="L326" s="447">
        <f>L$296*Entrant_age_breakdowns!$K83*$H$31</f>
        <v>28.420696898641626</v>
      </c>
      <c r="M326" s="447">
        <f>M$296*Entrant_age_breakdowns!$K83*$H$31</f>
        <v>27.433125728608637</v>
      </c>
      <c r="N326" s="447">
        <f>N$296*Entrant_age_breakdowns!$K83*$H$31</f>
        <v>26.473335636883363</v>
      </c>
      <c r="O326" s="320"/>
    </row>
    <row r="327" spans="1:15">
      <c r="B327" s="331" t="str">
        <f t="shared" si="147"/>
        <v>60-64</v>
      </c>
      <c r="C327" s="447">
        <f>C$296*Entrant_age_breakdowns!$K84*$H$31</f>
        <v>15.500540020328815</v>
      </c>
      <c r="D327" s="447">
        <f>D$296*Entrant_age_breakdowns!$K84*$H$31</f>
        <v>14.007540359201544</v>
      </c>
      <c r="E327" s="447">
        <f>E$296*Entrant_age_breakdowns!$K84*$H$31</f>
        <v>14.323188951724598</v>
      </c>
      <c r="F327" s="447">
        <f>F$296*Entrant_age_breakdowns!$K84*$H$31</f>
        <v>14.330121908229788</v>
      </c>
      <c r="G327" s="447">
        <f>G$296*Entrant_age_breakdowns!$K84*$H$31</f>
        <v>14.619740555267935</v>
      </c>
      <c r="H327" s="447">
        <f>H$296*Entrant_age_breakdowns!$K84*$H$31</f>
        <v>14.963616829397006</v>
      </c>
      <c r="I327" s="447">
        <f>I$296*Entrant_age_breakdowns!$K84*$H$31</f>
        <v>15.092810709528635</v>
      </c>
      <c r="J327" s="447">
        <f>J$296*Entrant_age_breakdowns!$K84*$H$31</f>
        <v>14.833825190340047</v>
      </c>
      <c r="K327" s="447">
        <f>K$296*Entrant_age_breakdowns!$K84*$H$31</f>
        <v>14.717353750597699</v>
      </c>
      <c r="L327" s="447">
        <f>L$296*Entrant_age_breakdowns!$K84*$H$31</f>
        <v>14.49371811628261</v>
      </c>
      <c r="M327" s="447">
        <f>M$296*Entrant_age_breakdowns!$K84*$H$31</f>
        <v>13.990085914395623</v>
      </c>
      <c r="N327" s="447">
        <f>N$296*Entrant_age_breakdowns!$K84*$H$31</f>
        <v>13.500621243987347</v>
      </c>
      <c r="O327" s="320"/>
    </row>
    <row r="328" spans="1:15">
      <c r="B328" s="331" t="str">
        <f t="shared" si="147"/>
        <v>65 plus</v>
      </c>
      <c r="C328" s="447">
        <f>C$296*Entrant_age_breakdowns!$K85*$H$31</f>
        <v>4.6671874631468917</v>
      </c>
      <c r="D328" s="447">
        <f>D$296*Entrant_age_breakdowns!$K85*$H$31</f>
        <v>4.2176476863547832</v>
      </c>
      <c r="E328" s="447">
        <f>E$296*Entrant_age_breakdowns!$K85*$H$31</f>
        <v>4.3126889656812768</v>
      </c>
      <c r="F328" s="447">
        <f>F$296*Entrant_age_breakdowns!$K85*$H$31</f>
        <v>4.3147764676419262</v>
      </c>
      <c r="G328" s="447">
        <f>G$296*Entrant_age_breakdowns!$K85*$H$31</f>
        <v>4.4019801725952545</v>
      </c>
      <c r="H328" s="447">
        <f>H$296*Entrant_age_breakdowns!$K85*$H$31</f>
        <v>4.5055207610769461</v>
      </c>
      <c r="I328" s="447">
        <f>I$296*Entrant_age_breakdowns!$K85*$H$31</f>
        <v>4.5444208288729619</v>
      </c>
      <c r="J328" s="447">
        <f>J$296*Entrant_age_breakdowns!$K85*$H$31</f>
        <v>4.4664407090378901</v>
      </c>
      <c r="K328" s="447">
        <f>K$296*Entrant_age_breakdowns!$K85*$H$31</f>
        <v>4.4313713474113117</v>
      </c>
      <c r="L328" s="447">
        <f>L$296*Entrant_age_breakdowns!$K85*$H$31</f>
        <v>4.3640350205853169</v>
      </c>
      <c r="M328" s="447">
        <f>M$296*Entrant_age_breakdowns!$K85*$H$31</f>
        <v>4.2123921813293101</v>
      </c>
      <c r="N328" s="447">
        <f>N$296*Entrant_age_breakdowns!$K85*$H$31</f>
        <v>4.0650151628262883</v>
      </c>
      <c r="O328" s="320"/>
    </row>
    <row r="329" spans="1:15">
      <c r="B329" s="331" t="str">
        <f t="shared" si="147"/>
        <v>Total</v>
      </c>
      <c r="C329" s="447">
        <f t="shared" ref="C329:N329" si="149">SUM(C319:C328)</f>
        <v>941.972367400915</v>
      </c>
      <c r="D329" s="447">
        <f t="shared" si="149"/>
        <v>851.2423397066292</v>
      </c>
      <c r="E329" s="447">
        <f t="shared" si="149"/>
        <v>870.42439733660592</v>
      </c>
      <c r="F329" s="447">
        <f t="shared" si="149"/>
        <v>870.84571513867695</v>
      </c>
      <c r="G329" s="447">
        <f t="shared" si="149"/>
        <v>888.44592534013998</v>
      </c>
      <c r="H329" s="447">
        <f t="shared" si="149"/>
        <v>909.3433874678816</v>
      </c>
      <c r="I329" s="447">
        <f t="shared" si="149"/>
        <v>917.19453748986132</v>
      </c>
      <c r="J329" s="447">
        <f t="shared" si="149"/>
        <v>901.45591146053039</v>
      </c>
      <c r="K329" s="447">
        <f t="shared" si="149"/>
        <v>894.37790787582924</v>
      </c>
      <c r="L329" s="447">
        <f t="shared" si="149"/>
        <v>880.78750472763488</v>
      </c>
      <c r="M329" s="447">
        <f t="shared" si="149"/>
        <v>850.18162797181594</v>
      </c>
      <c r="N329" s="447">
        <f t="shared" si="149"/>
        <v>820.43671626300363</v>
      </c>
      <c r="O329" s="320"/>
    </row>
    <row r="330" spans="1:15">
      <c r="A330" s="302">
        <f>SUM(C330:N330)</f>
        <v>0</v>
      </c>
      <c r="C330" s="302">
        <f t="shared" ref="C330:N330" si="150">SUM(C319:C328)-C329</f>
        <v>0</v>
      </c>
      <c r="D330" s="302">
        <f t="shared" si="150"/>
        <v>0</v>
      </c>
      <c r="E330" s="302">
        <f t="shared" si="150"/>
        <v>0</v>
      </c>
      <c r="F330" s="302">
        <f t="shared" si="150"/>
        <v>0</v>
      </c>
      <c r="G330" s="302">
        <f t="shared" si="150"/>
        <v>0</v>
      </c>
      <c r="H330" s="302">
        <f t="shared" si="150"/>
        <v>0</v>
      </c>
      <c r="I330" s="302">
        <f t="shared" si="150"/>
        <v>0</v>
      </c>
      <c r="J330" s="302">
        <f t="shared" si="150"/>
        <v>0</v>
      </c>
      <c r="K330" s="302">
        <f t="shared" si="150"/>
        <v>0</v>
      </c>
      <c r="L330" s="302">
        <f t="shared" si="150"/>
        <v>0</v>
      </c>
      <c r="M330" s="302">
        <f t="shared" si="150"/>
        <v>0</v>
      </c>
      <c r="N330" s="302">
        <f t="shared" si="150"/>
        <v>0</v>
      </c>
    </row>
    <row r="331" spans="1:15">
      <c r="C331" s="322">
        <f>C294</f>
        <v>1591.8760582329605</v>
      </c>
      <c r="D331" s="322">
        <f t="shared" ref="D331:N331" si="151">D294</f>
        <v>1438.5478249984121</v>
      </c>
      <c r="E331" s="322">
        <f t="shared" si="151"/>
        <v>1470.9643367195131</v>
      </c>
      <c r="F331" s="322">
        <f t="shared" si="151"/>
        <v>1471.6763382019715</v>
      </c>
      <c r="G331" s="322">
        <f t="shared" si="151"/>
        <v>1501.419623896096</v>
      </c>
      <c r="H331" s="322">
        <f t="shared" si="151"/>
        <v>1536.7350649750842</v>
      </c>
      <c r="I331" s="322">
        <f t="shared" si="151"/>
        <v>1550.0030314060627</v>
      </c>
      <c r="J331" s="322">
        <f t="shared" si="151"/>
        <v>1523.4057098363203</v>
      </c>
      <c r="K331" s="322">
        <f t="shared" si="151"/>
        <v>1511.4443139010427</v>
      </c>
      <c r="L331" s="322">
        <f t="shared" si="151"/>
        <v>1488.4773584551654</v>
      </c>
      <c r="M331" s="322">
        <f t="shared" si="151"/>
        <v>1436.7552866249198</v>
      </c>
      <c r="N331" s="322">
        <f t="shared" si="151"/>
        <v>1386.4881934041705</v>
      </c>
    </row>
    <row r="332" spans="1:15">
      <c r="C332" s="322">
        <f>C313+C329</f>
        <v>1591.8760582329605</v>
      </c>
      <c r="D332" s="322">
        <f t="shared" ref="D332:N332" si="152">D313+D329</f>
        <v>1438.5478249984121</v>
      </c>
      <c r="E332" s="322">
        <f t="shared" si="152"/>
        <v>1470.9643367195131</v>
      </c>
      <c r="F332" s="322">
        <f t="shared" si="152"/>
        <v>1471.6763382019712</v>
      </c>
      <c r="G332" s="322">
        <f t="shared" si="152"/>
        <v>1501.4196238960958</v>
      </c>
      <c r="H332" s="322">
        <f t="shared" si="152"/>
        <v>1536.7350649750842</v>
      </c>
      <c r="I332" s="322">
        <f t="shared" si="152"/>
        <v>1550.0030314060627</v>
      </c>
      <c r="J332" s="322">
        <f t="shared" si="152"/>
        <v>1523.4057098363201</v>
      </c>
      <c r="K332" s="322">
        <f t="shared" si="152"/>
        <v>1511.4443139010427</v>
      </c>
      <c r="L332" s="322">
        <f t="shared" si="152"/>
        <v>1488.4773584551654</v>
      </c>
      <c r="M332" s="322">
        <f t="shared" si="152"/>
        <v>1436.7552866249196</v>
      </c>
      <c r="N332" s="322">
        <f t="shared" si="152"/>
        <v>1386.4881934041703</v>
      </c>
    </row>
    <row r="333" spans="1:15">
      <c r="A333" s="302">
        <f>SUM(C333:L333)</f>
        <v>0</v>
      </c>
      <c r="C333" s="322">
        <f>C331-C332</f>
        <v>0</v>
      </c>
      <c r="D333" s="322">
        <f t="shared" ref="D333:K333" si="153">D331-D332</f>
        <v>0</v>
      </c>
      <c r="E333" s="322">
        <f t="shared" si="153"/>
        <v>0</v>
      </c>
      <c r="F333" s="322">
        <f t="shared" si="153"/>
        <v>0</v>
      </c>
      <c r="G333" s="322">
        <f t="shared" si="153"/>
        <v>0</v>
      </c>
      <c r="H333" s="322">
        <f t="shared" si="153"/>
        <v>0</v>
      </c>
      <c r="I333" s="322">
        <f t="shared" si="153"/>
        <v>0</v>
      </c>
      <c r="J333" s="322">
        <f t="shared" si="153"/>
        <v>0</v>
      </c>
      <c r="K333" s="322">
        <f t="shared" si="153"/>
        <v>0</v>
      </c>
      <c r="L333" s="322">
        <f>L331-L332</f>
        <v>0</v>
      </c>
      <c r="M333" s="322">
        <f>M331-M332</f>
        <v>0</v>
      </c>
      <c r="N333" s="322">
        <f>N331-N332</f>
        <v>0</v>
      </c>
    </row>
    <row r="334" spans="1:15">
      <c r="C334" s="322"/>
      <c r="D334" s="322"/>
      <c r="E334" s="322"/>
      <c r="F334" s="322"/>
      <c r="G334" s="322"/>
      <c r="H334" s="335"/>
      <c r="I334" s="322"/>
      <c r="J334" s="322"/>
      <c r="K334" s="322"/>
      <c r="L334" s="322"/>
    </row>
    <row r="335" spans="1:15" ht="15.75">
      <c r="B335" s="333" t="s">
        <v>176</v>
      </c>
      <c r="C335" s="322"/>
      <c r="D335" s="322"/>
      <c r="E335" s="322"/>
      <c r="F335" s="322"/>
      <c r="G335" s="322"/>
      <c r="H335" s="335"/>
      <c r="I335" s="322"/>
      <c r="J335" s="322"/>
      <c r="K335" s="322"/>
      <c r="L335" s="322"/>
    </row>
    <row r="336" spans="1:15" ht="15.75">
      <c r="B336" s="333"/>
      <c r="C336" s="322"/>
      <c r="D336" s="322"/>
      <c r="E336" s="322"/>
      <c r="F336" s="322"/>
      <c r="G336" s="322"/>
      <c r="H336" s="335"/>
      <c r="I336" s="322"/>
      <c r="J336" s="322"/>
      <c r="K336" s="322"/>
      <c r="L336" s="322"/>
    </row>
    <row r="337" spans="1:15">
      <c r="B337" s="334" t="s">
        <v>46</v>
      </c>
      <c r="C337" s="322"/>
      <c r="D337" s="322"/>
      <c r="E337" s="322"/>
      <c r="F337" s="322"/>
      <c r="G337" s="322"/>
      <c r="H337" s="332"/>
      <c r="I337" s="322"/>
      <c r="J337" s="322"/>
      <c r="K337" s="322"/>
      <c r="L337" s="322"/>
    </row>
    <row r="338" spans="1:15">
      <c r="C338" s="322"/>
      <c r="D338" s="322"/>
      <c r="E338" s="322"/>
      <c r="F338" s="322"/>
      <c r="G338" s="322"/>
      <c r="H338" s="332"/>
      <c r="I338" s="322"/>
      <c r="J338" s="322"/>
      <c r="K338" s="322"/>
      <c r="L338" s="322"/>
    </row>
    <row r="339" spans="1:15">
      <c r="B339" s="331" t="str">
        <f>B318</f>
        <v>Age group</v>
      </c>
      <c r="C339" s="331" t="str">
        <f t="shared" ref="C339:N339" si="154">C318</f>
        <v>2017/18</v>
      </c>
      <c r="D339" s="331" t="str">
        <f t="shared" si="154"/>
        <v>2018/19</v>
      </c>
      <c r="E339" s="331" t="str">
        <f t="shared" si="154"/>
        <v>2019/20</v>
      </c>
      <c r="F339" s="331" t="str">
        <f t="shared" si="154"/>
        <v>2020/21</v>
      </c>
      <c r="G339" s="331" t="str">
        <f t="shared" si="154"/>
        <v>2021/22</v>
      </c>
      <c r="H339" s="331" t="str">
        <f t="shared" si="154"/>
        <v>2022/23</v>
      </c>
      <c r="I339" s="331" t="str">
        <f t="shared" si="154"/>
        <v>2023/24</v>
      </c>
      <c r="J339" s="331" t="str">
        <f t="shared" si="154"/>
        <v>2024/25</v>
      </c>
      <c r="K339" s="331" t="str">
        <f t="shared" si="154"/>
        <v>2025/26</v>
      </c>
      <c r="L339" s="331" t="str">
        <f t="shared" si="154"/>
        <v>2026/27</v>
      </c>
      <c r="M339" s="331" t="str">
        <f t="shared" si="154"/>
        <v>2027/28</v>
      </c>
      <c r="N339" s="331" t="str">
        <f t="shared" si="154"/>
        <v>2028/29</v>
      </c>
    </row>
    <row r="340" spans="1:15">
      <c r="B340" s="331" t="str">
        <f t="shared" ref="B340:B350" si="155">B319</f>
        <v>20-24</v>
      </c>
      <c r="C340" s="447">
        <f t="shared" ref="C340:N340" si="156">C303+C247</f>
        <v>276.73316842726837</v>
      </c>
      <c r="D340" s="447">
        <f t="shared" si="156"/>
        <v>332.82703148285174</v>
      </c>
      <c r="E340" s="447">
        <f t="shared" si="156"/>
        <v>371.34922730411336</v>
      </c>
      <c r="F340" s="447">
        <f t="shared" si="156"/>
        <v>397.58789072288153</v>
      </c>
      <c r="G340" s="447">
        <f t="shared" si="156"/>
        <v>417.89870942059849</v>
      </c>
      <c r="H340" s="447">
        <f t="shared" si="156"/>
        <v>434.90928823976981</v>
      </c>
      <c r="I340" s="447">
        <f t="shared" si="156"/>
        <v>447.44639456429888</v>
      </c>
      <c r="J340" s="447">
        <f t="shared" si="156"/>
        <v>452.87364460646859</v>
      </c>
      <c r="K340" s="447">
        <f t="shared" si="156"/>
        <v>455.17616297860707</v>
      </c>
      <c r="L340" s="447">
        <f t="shared" si="156"/>
        <v>454.27759227019249</v>
      </c>
      <c r="M340" s="447">
        <f t="shared" si="156"/>
        <v>448.26744461823534</v>
      </c>
      <c r="N340" s="447">
        <f t="shared" si="156"/>
        <v>439.06037723222289</v>
      </c>
      <c r="O340" s="320"/>
    </row>
    <row r="341" spans="1:15">
      <c r="B341" s="331" t="str">
        <f t="shared" si="155"/>
        <v>25-29</v>
      </c>
      <c r="C341" s="447">
        <f t="shared" ref="C341:N341" si="157">C304+C248</f>
        <v>689.37749442004292</v>
      </c>
      <c r="D341" s="447">
        <f t="shared" si="157"/>
        <v>683.23432402153151</v>
      </c>
      <c r="E341" s="447">
        <f t="shared" si="157"/>
        <v>689.26384263764464</v>
      </c>
      <c r="F341" s="447">
        <f t="shared" si="157"/>
        <v>701.76371602635254</v>
      </c>
      <c r="G341" s="447">
        <f t="shared" si="157"/>
        <v>718.210545686351</v>
      </c>
      <c r="H341" s="447">
        <f t="shared" si="157"/>
        <v>736.96907656187659</v>
      </c>
      <c r="I341" s="447">
        <f t="shared" si="157"/>
        <v>754.40325954660227</v>
      </c>
      <c r="J341" s="447">
        <f t="shared" si="157"/>
        <v>765.8720481146878</v>
      </c>
      <c r="K341" s="447">
        <f t="shared" si="157"/>
        <v>773.51818478505311</v>
      </c>
      <c r="L341" s="447">
        <f t="shared" si="157"/>
        <v>776.78275181731976</v>
      </c>
      <c r="M341" s="447">
        <f t="shared" si="157"/>
        <v>773.36437030114962</v>
      </c>
      <c r="N341" s="447">
        <f t="shared" si="157"/>
        <v>764.56133403737522</v>
      </c>
      <c r="O341" s="320"/>
    </row>
    <row r="342" spans="1:15">
      <c r="B342" s="331" t="str">
        <f t="shared" si="155"/>
        <v>30-34</v>
      </c>
      <c r="C342" s="447">
        <f t="shared" ref="C342:N342" si="158">C305+C249</f>
        <v>654.9233591630599</v>
      </c>
      <c r="D342" s="447">
        <f t="shared" si="158"/>
        <v>678.21055769783607</v>
      </c>
      <c r="E342" s="447">
        <f t="shared" si="158"/>
        <v>693.45329239190403</v>
      </c>
      <c r="F342" s="447">
        <f t="shared" si="158"/>
        <v>706.848741720318</v>
      </c>
      <c r="G342" s="447">
        <f t="shared" si="158"/>
        <v>720.4249422637331</v>
      </c>
      <c r="H342" s="447">
        <f t="shared" si="158"/>
        <v>735.14497160689552</v>
      </c>
      <c r="I342" s="447">
        <f t="shared" si="158"/>
        <v>749.94359598469441</v>
      </c>
      <c r="J342" s="447">
        <f t="shared" si="158"/>
        <v>762.44046515762295</v>
      </c>
      <c r="K342" s="447">
        <f t="shared" si="158"/>
        <v>772.96086377604956</v>
      </c>
      <c r="L342" s="447">
        <f t="shared" si="158"/>
        <v>780.76737851837277</v>
      </c>
      <c r="M342" s="447">
        <f t="shared" si="158"/>
        <v>784.27990520449316</v>
      </c>
      <c r="N342" s="447">
        <f t="shared" si="158"/>
        <v>783.53869500865687</v>
      </c>
      <c r="O342" s="320"/>
    </row>
    <row r="343" spans="1:15">
      <c r="B343" s="331" t="str">
        <f t="shared" si="155"/>
        <v>35-39</v>
      </c>
      <c r="C343" s="447">
        <f t="shared" ref="C343:N343" si="159">C306+C250</f>
        <v>654.59625689080178</v>
      </c>
      <c r="D343" s="447">
        <f t="shared" si="159"/>
        <v>653.93108456144762</v>
      </c>
      <c r="E343" s="447">
        <f t="shared" si="159"/>
        <v>656.81808731840442</v>
      </c>
      <c r="F343" s="447">
        <f t="shared" si="159"/>
        <v>662.84431472609981</v>
      </c>
      <c r="G343" s="447">
        <f t="shared" si="159"/>
        <v>670.84948942361052</v>
      </c>
      <c r="H343" s="447">
        <f t="shared" si="159"/>
        <v>680.54937749717567</v>
      </c>
      <c r="I343" s="447">
        <f t="shared" si="159"/>
        <v>690.81840885446945</v>
      </c>
      <c r="J343" s="447">
        <f t="shared" si="159"/>
        <v>699.9372849245683</v>
      </c>
      <c r="K343" s="447">
        <f t="shared" si="159"/>
        <v>708.37922410547253</v>
      </c>
      <c r="L343" s="447">
        <f t="shared" si="159"/>
        <v>715.53248347187218</v>
      </c>
      <c r="M343" s="447">
        <f t="shared" si="159"/>
        <v>720.11432956404531</v>
      </c>
      <c r="N343" s="447">
        <f t="shared" si="159"/>
        <v>722.09949881361376</v>
      </c>
      <c r="O343" s="320"/>
    </row>
    <row r="344" spans="1:15">
      <c r="B344" s="331" t="str">
        <f t="shared" si="155"/>
        <v>40-44</v>
      </c>
      <c r="C344" s="447">
        <f t="shared" ref="C344:N344" si="160">C307+C251</f>
        <v>669.69477009027639</v>
      </c>
      <c r="D344" s="447">
        <f t="shared" si="160"/>
        <v>663.04789291783311</v>
      </c>
      <c r="E344" s="447">
        <f t="shared" si="160"/>
        <v>657.207865158353</v>
      </c>
      <c r="F344" s="447">
        <f t="shared" si="160"/>
        <v>654.46427469278774</v>
      </c>
      <c r="G344" s="447">
        <f t="shared" si="160"/>
        <v>654.5663045994728</v>
      </c>
      <c r="H344" s="447">
        <f t="shared" si="160"/>
        <v>657.31573981398265</v>
      </c>
      <c r="I344" s="447">
        <f t="shared" si="160"/>
        <v>661.57450842531318</v>
      </c>
      <c r="J344" s="447">
        <f t="shared" si="160"/>
        <v>665.6918219927843</v>
      </c>
      <c r="K344" s="447">
        <f t="shared" si="160"/>
        <v>669.99157621794905</v>
      </c>
      <c r="L344" s="447">
        <f t="shared" si="160"/>
        <v>673.92650868396674</v>
      </c>
      <c r="M344" s="447">
        <f t="shared" si="160"/>
        <v>676.37737707475128</v>
      </c>
      <c r="N344" s="447">
        <f t="shared" si="160"/>
        <v>677.31281330516799</v>
      </c>
      <c r="O344" s="320"/>
    </row>
    <row r="345" spans="1:15">
      <c r="B345" s="331" t="str">
        <f t="shared" si="155"/>
        <v>45-49</v>
      </c>
      <c r="C345" s="447">
        <f t="shared" ref="C345:N345" si="161">C308+C252</f>
        <v>580.78004495322148</v>
      </c>
      <c r="D345" s="447">
        <f t="shared" si="161"/>
        <v>578.44772653868426</v>
      </c>
      <c r="E345" s="447">
        <f t="shared" si="161"/>
        <v>574.29190234678606</v>
      </c>
      <c r="F345" s="447">
        <f t="shared" si="161"/>
        <v>571.39925164621286</v>
      </c>
      <c r="G345" s="447">
        <f t="shared" si="161"/>
        <v>569.64227735631414</v>
      </c>
      <c r="H345" s="447">
        <f t="shared" si="161"/>
        <v>569.36615725920774</v>
      </c>
      <c r="I345" s="447">
        <f t="shared" si="161"/>
        <v>570.02578762149005</v>
      </c>
      <c r="J345" s="447">
        <f t="shared" si="161"/>
        <v>570.53592272254252</v>
      </c>
      <c r="K345" s="447">
        <f t="shared" si="161"/>
        <v>571.31463539310903</v>
      </c>
      <c r="L345" s="447">
        <f t="shared" si="161"/>
        <v>572.01734089874731</v>
      </c>
      <c r="M345" s="447">
        <f t="shared" si="161"/>
        <v>571.81102758678674</v>
      </c>
      <c r="N345" s="447">
        <f t="shared" si="161"/>
        <v>570.72431639888225</v>
      </c>
      <c r="O345" s="320"/>
    </row>
    <row r="346" spans="1:15">
      <c r="B346" s="331" t="str">
        <f t="shared" si="155"/>
        <v>50-54</v>
      </c>
      <c r="C346" s="447">
        <f t="shared" ref="C346:N346" si="162">C309+C253</f>
        <v>468.32901938552004</v>
      </c>
      <c r="D346" s="447">
        <f t="shared" si="162"/>
        <v>456.63144259069054</v>
      </c>
      <c r="E346" s="447">
        <f t="shared" si="162"/>
        <v>446.9431381822028</v>
      </c>
      <c r="F346" s="447">
        <f t="shared" si="162"/>
        <v>440.43070837934022</v>
      </c>
      <c r="G346" s="447">
        <f t="shared" si="162"/>
        <v>436.0052440659382</v>
      </c>
      <c r="H346" s="447">
        <f t="shared" si="162"/>
        <v>433.34124036288489</v>
      </c>
      <c r="I346" s="447">
        <f t="shared" si="162"/>
        <v>431.71098132220993</v>
      </c>
      <c r="J346" s="447">
        <f t="shared" si="162"/>
        <v>430.15165470320608</v>
      </c>
      <c r="K346" s="447">
        <f t="shared" si="162"/>
        <v>428.91316027321693</v>
      </c>
      <c r="L346" s="447">
        <f t="shared" si="162"/>
        <v>427.72067133425975</v>
      </c>
      <c r="M346" s="447">
        <f t="shared" si="162"/>
        <v>425.96245278392342</v>
      </c>
      <c r="N346" s="447">
        <f t="shared" si="162"/>
        <v>423.68254109277814</v>
      </c>
      <c r="O346" s="320"/>
    </row>
    <row r="347" spans="1:15">
      <c r="B347" s="331" t="str">
        <f t="shared" si="155"/>
        <v>55-59</v>
      </c>
      <c r="C347" s="447">
        <f t="shared" ref="C347:N347" si="163">C310+C254</f>
        <v>281.1926466954551</v>
      </c>
      <c r="D347" s="447">
        <f t="shared" si="163"/>
        <v>252.28579708631261</v>
      </c>
      <c r="E347" s="447">
        <f t="shared" si="163"/>
        <v>233.28620013179287</v>
      </c>
      <c r="F347" s="447">
        <f t="shared" si="163"/>
        <v>221.17107755769311</v>
      </c>
      <c r="G347" s="447">
        <f t="shared" si="163"/>
        <v>213.52526440324621</v>
      </c>
      <c r="H347" s="447">
        <f t="shared" si="163"/>
        <v>208.87183984275811</v>
      </c>
      <c r="I347" s="447">
        <f t="shared" si="163"/>
        <v>205.93559503077424</v>
      </c>
      <c r="J347" s="447">
        <f t="shared" si="163"/>
        <v>203.62960829918876</v>
      </c>
      <c r="K347" s="447">
        <f t="shared" si="163"/>
        <v>201.89540230112232</v>
      </c>
      <c r="L347" s="447">
        <f t="shared" si="163"/>
        <v>200.39752522345242</v>
      </c>
      <c r="M347" s="447">
        <f t="shared" si="163"/>
        <v>198.66578266820508</v>
      </c>
      <c r="N347" s="447">
        <f t="shared" si="163"/>
        <v>196.73371685584777</v>
      </c>
      <c r="O347" s="320"/>
    </row>
    <row r="348" spans="1:15">
      <c r="B348" s="331" t="str">
        <f t="shared" si="155"/>
        <v>60-64</v>
      </c>
      <c r="C348" s="447">
        <f t="shared" ref="C348:N348" si="164">C311+C255</f>
        <v>99.537277531290485</v>
      </c>
      <c r="D348" s="447">
        <f t="shared" si="164"/>
        <v>93.605290448448287</v>
      </c>
      <c r="E348" s="447">
        <f t="shared" si="164"/>
        <v>86.964505879903641</v>
      </c>
      <c r="F348" s="447">
        <f t="shared" si="164"/>
        <v>81.536108827082586</v>
      </c>
      <c r="G348" s="447">
        <f t="shared" si="164"/>
        <v>77.565190753174377</v>
      </c>
      <c r="H348" s="447">
        <f t="shared" si="164"/>
        <v>74.901497293069212</v>
      </c>
      <c r="I348" s="447">
        <f t="shared" si="164"/>
        <v>73.103287435142136</v>
      </c>
      <c r="J348" s="447">
        <f t="shared" si="164"/>
        <v>71.675789689885193</v>
      </c>
      <c r="K348" s="447">
        <f t="shared" si="164"/>
        <v>70.607142627624668</v>
      </c>
      <c r="L348" s="447">
        <f t="shared" si="164"/>
        <v>69.712024171035424</v>
      </c>
      <c r="M348" s="447">
        <f t="shared" si="164"/>
        <v>68.738439336333172</v>
      </c>
      <c r="N348" s="447">
        <f t="shared" si="164"/>
        <v>67.707099555083516</v>
      </c>
      <c r="O348" s="320"/>
    </row>
    <row r="349" spans="1:15">
      <c r="B349" s="331" t="str">
        <f t="shared" si="155"/>
        <v>65 plus</v>
      </c>
      <c r="C349" s="447">
        <f t="shared" ref="C349:N349" si="165">C312+C256</f>
        <v>29.117987277393802</v>
      </c>
      <c r="D349" s="447">
        <f t="shared" si="165"/>
        <v>31.188564430627238</v>
      </c>
      <c r="E349" s="447">
        <f t="shared" si="165"/>
        <v>31.546521702854722</v>
      </c>
      <c r="F349" s="447">
        <f t="shared" si="165"/>
        <v>31.103349656526134</v>
      </c>
      <c r="G349" s="447">
        <f t="shared" si="165"/>
        <v>30.284854935686273</v>
      </c>
      <c r="H349" s="447">
        <f t="shared" si="165"/>
        <v>29.429454771925251</v>
      </c>
      <c r="I349" s="447">
        <f t="shared" si="165"/>
        <v>28.658503681978353</v>
      </c>
      <c r="J349" s="447">
        <f t="shared" si="165"/>
        <v>27.954928826161265</v>
      </c>
      <c r="K349" s="447">
        <f t="shared" si="165"/>
        <v>27.362293246476344</v>
      </c>
      <c r="L349" s="447">
        <f t="shared" si="165"/>
        <v>26.852401992313446</v>
      </c>
      <c r="M349" s="447">
        <f t="shared" si="165"/>
        <v>26.351845140966521</v>
      </c>
      <c r="N349" s="447">
        <f t="shared" si="165"/>
        <v>25.850576881699432</v>
      </c>
      <c r="O349" s="320"/>
    </row>
    <row r="350" spans="1:15">
      <c r="B350" s="331" t="str">
        <f t="shared" si="155"/>
        <v>Total</v>
      </c>
      <c r="C350" s="447">
        <f t="shared" ref="C350:N350" si="166">SUM(C340:C349)</f>
        <v>4404.2820248343305</v>
      </c>
      <c r="D350" s="447">
        <f t="shared" si="166"/>
        <v>4423.4097117762631</v>
      </c>
      <c r="E350" s="447">
        <f t="shared" si="166"/>
        <v>4441.1245830539601</v>
      </c>
      <c r="F350" s="447">
        <f t="shared" si="166"/>
        <v>4469.1494339552946</v>
      </c>
      <c r="G350" s="447">
        <f t="shared" si="166"/>
        <v>4508.9728229081247</v>
      </c>
      <c r="H350" s="447">
        <f t="shared" si="166"/>
        <v>4560.7986432495454</v>
      </c>
      <c r="I350" s="447">
        <f t="shared" si="166"/>
        <v>4613.6203224669734</v>
      </c>
      <c r="J350" s="447">
        <f t="shared" si="166"/>
        <v>4650.7631690371154</v>
      </c>
      <c r="K350" s="447">
        <f t="shared" si="166"/>
        <v>4680.1186457046797</v>
      </c>
      <c r="L350" s="447">
        <f t="shared" si="166"/>
        <v>4697.9866783815314</v>
      </c>
      <c r="M350" s="447">
        <f t="shared" si="166"/>
        <v>4693.9329742788896</v>
      </c>
      <c r="N350" s="447">
        <f t="shared" si="166"/>
        <v>4671.2709691813288</v>
      </c>
      <c r="O350" s="320"/>
    </row>
    <row r="351" spans="1:15">
      <c r="A351" s="302">
        <f>SUM(C351:N351)</f>
        <v>0</v>
      </c>
      <c r="C351" s="302">
        <f t="shared" ref="C351:N351" si="167">SUM(C340:C349)-C350</f>
        <v>0</v>
      </c>
      <c r="D351" s="302">
        <f t="shared" si="167"/>
        <v>0</v>
      </c>
      <c r="E351" s="302">
        <f t="shared" si="167"/>
        <v>0</v>
      </c>
      <c r="F351" s="302">
        <f t="shared" si="167"/>
        <v>0</v>
      </c>
      <c r="G351" s="302">
        <f t="shared" si="167"/>
        <v>0</v>
      </c>
      <c r="H351" s="302">
        <f t="shared" si="167"/>
        <v>0</v>
      </c>
      <c r="I351" s="302">
        <f t="shared" si="167"/>
        <v>0</v>
      </c>
      <c r="J351" s="302">
        <f t="shared" si="167"/>
        <v>0</v>
      </c>
      <c r="K351" s="302">
        <f t="shared" si="167"/>
        <v>0</v>
      </c>
      <c r="L351" s="302">
        <f t="shared" si="167"/>
        <v>0</v>
      </c>
      <c r="M351" s="302">
        <f t="shared" si="167"/>
        <v>0</v>
      </c>
      <c r="N351" s="302">
        <f t="shared" si="167"/>
        <v>0</v>
      </c>
    </row>
    <row r="353" spans="1:16">
      <c r="B353" s="334" t="s">
        <v>47</v>
      </c>
      <c r="C353" s="322"/>
      <c r="D353" s="322"/>
      <c r="E353" s="322"/>
      <c r="F353" s="322"/>
      <c r="G353" s="322"/>
      <c r="H353" s="332"/>
      <c r="I353" s="322"/>
      <c r="J353" s="322"/>
      <c r="K353" s="322"/>
      <c r="L353" s="322"/>
    </row>
    <row r="354" spans="1:16">
      <c r="C354" s="322"/>
      <c r="D354" s="322"/>
      <c r="E354" s="322"/>
      <c r="F354" s="322"/>
      <c r="G354" s="322"/>
      <c r="H354" s="332"/>
      <c r="I354" s="322"/>
      <c r="J354" s="322"/>
      <c r="K354" s="322"/>
      <c r="L354" s="322"/>
    </row>
    <row r="355" spans="1:16">
      <c r="B355" s="331" t="str">
        <f t="shared" ref="B355:B366" si="168">B339</f>
        <v>Age group</v>
      </c>
      <c r="C355" s="331" t="str">
        <f t="shared" ref="C355:N355" si="169">C339</f>
        <v>2017/18</v>
      </c>
      <c r="D355" s="331" t="str">
        <f t="shared" si="169"/>
        <v>2018/19</v>
      </c>
      <c r="E355" s="331" t="str">
        <f t="shared" si="169"/>
        <v>2019/20</v>
      </c>
      <c r="F355" s="331" t="str">
        <f t="shared" si="169"/>
        <v>2020/21</v>
      </c>
      <c r="G355" s="331" t="str">
        <f t="shared" si="169"/>
        <v>2021/22</v>
      </c>
      <c r="H355" s="331" t="str">
        <f t="shared" si="169"/>
        <v>2022/23</v>
      </c>
      <c r="I355" s="331" t="str">
        <f t="shared" si="169"/>
        <v>2023/24</v>
      </c>
      <c r="J355" s="331" t="str">
        <f t="shared" si="169"/>
        <v>2024/25</v>
      </c>
      <c r="K355" s="331" t="str">
        <f t="shared" si="169"/>
        <v>2025/26</v>
      </c>
      <c r="L355" s="331" t="str">
        <f t="shared" si="169"/>
        <v>2026/27</v>
      </c>
      <c r="M355" s="331" t="str">
        <f t="shared" si="169"/>
        <v>2027/28</v>
      </c>
      <c r="N355" s="331" t="str">
        <f t="shared" si="169"/>
        <v>2028/29</v>
      </c>
    </row>
    <row r="356" spans="1:16">
      <c r="B356" s="331" t="str">
        <f t="shared" si="168"/>
        <v>20-24</v>
      </c>
      <c r="C356" s="447">
        <f t="shared" ref="C356:N356" si="170">C319+C263</f>
        <v>481.99508579916039</v>
      </c>
      <c r="D356" s="447">
        <f t="shared" si="170"/>
        <v>547.81130896788216</v>
      </c>
      <c r="E356" s="447">
        <f t="shared" si="170"/>
        <v>596.63121035112408</v>
      </c>
      <c r="F356" s="447">
        <f t="shared" si="170"/>
        <v>629.08331241918825</v>
      </c>
      <c r="G356" s="447">
        <f t="shared" si="170"/>
        <v>655.6582034548145</v>
      </c>
      <c r="H356" s="447">
        <f t="shared" si="170"/>
        <v>679.08515133933781</v>
      </c>
      <c r="I356" s="447">
        <f t="shared" si="170"/>
        <v>697.02308872587957</v>
      </c>
      <c r="J356" s="447">
        <f t="shared" si="170"/>
        <v>705.17398065393024</v>
      </c>
      <c r="K356" s="447">
        <f t="shared" si="170"/>
        <v>708.89657653465053</v>
      </c>
      <c r="L356" s="447">
        <f t="shared" si="170"/>
        <v>707.93747289258431</v>
      </c>
      <c r="M356" s="447">
        <f t="shared" si="170"/>
        <v>699.4278956008053</v>
      </c>
      <c r="N356" s="447">
        <f t="shared" si="170"/>
        <v>686.00764436294332</v>
      </c>
      <c r="O356" s="320"/>
      <c r="P356" s="320"/>
    </row>
    <row r="357" spans="1:16">
      <c r="B357" s="331" t="str">
        <f t="shared" si="168"/>
        <v>25-29</v>
      </c>
      <c r="C357" s="447">
        <f t="shared" ref="C357:N357" si="171">C320+C264</f>
        <v>1160.56752002903</v>
      </c>
      <c r="D357" s="447">
        <f t="shared" si="171"/>
        <v>1128.4306811252834</v>
      </c>
      <c r="E357" s="447">
        <f t="shared" si="171"/>
        <v>1120.411497592645</v>
      </c>
      <c r="F357" s="447">
        <f t="shared" si="171"/>
        <v>1121.9271868697974</v>
      </c>
      <c r="G357" s="447">
        <f t="shared" si="171"/>
        <v>1133.3177882522782</v>
      </c>
      <c r="H357" s="447">
        <f t="shared" si="171"/>
        <v>1151.4895614518857</v>
      </c>
      <c r="I357" s="447">
        <f t="shared" si="171"/>
        <v>1170.4617819443392</v>
      </c>
      <c r="J357" s="447">
        <f t="shared" si="171"/>
        <v>1182.8492139274076</v>
      </c>
      <c r="K357" s="447">
        <f t="shared" si="171"/>
        <v>1191.1486996946674</v>
      </c>
      <c r="L357" s="447">
        <f t="shared" si="171"/>
        <v>1194.0844694631464</v>
      </c>
      <c r="M357" s="447">
        <f t="shared" si="171"/>
        <v>1187.9612775104983</v>
      </c>
      <c r="N357" s="447">
        <f t="shared" si="171"/>
        <v>1174.3579833940146</v>
      </c>
      <c r="O357" s="320"/>
      <c r="P357" s="320"/>
    </row>
    <row r="358" spans="1:16">
      <c r="B358" s="331" t="str">
        <f t="shared" si="168"/>
        <v>30-34</v>
      </c>
      <c r="C358" s="447">
        <f t="shared" ref="C358:N358" si="172">C321+C265</f>
        <v>1103.2257208989042</v>
      </c>
      <c r="D358" s="447">
        <f t="shared" si="172"/>
        <v>1120.7472490806526</v>
      </c>
      <c r="E358" s="447">
        <f t="shared" si="172"/>
        <v>1128.368388611992</v>
      </c>
      <c r="F358" s="447">
        <f t="shared" si="172"/>
        <v>1131.1058659122991</v>
      </c>
      <c r="G358" s="447">
        <f t="shared" si="172"/>
        <v>1135.6486065847589</v>
      </c>
      <c r="H358" s="447">
        <f t="shared" si="172"/>
        <v>1143.7088892412219</v>
      </c>
      <c r="I358" s="447">
        <f t="shared" si="172"/>
        <v>1153.8378435175025</v>
      </c>
      <c r="J358" s="447">
        <f t="shared" si="172"/>
        <v>1162.5357718771859</v>
      </c>
      <c r="K358" s="447">
        <f t="shared" si="172"/>
        <v>1170.137374135943</v>
      </c>
      <c r="L358" s="447">
        <f t="shared" si="172"/>
        <v>1175.3606377287047</v>
      </c>
      <c r="M358" s="447">
        <f t="shared" si="172"/>
        <v>1175.6816393900915</v>
      </c>
      <c r="N358" s="447">
        <f t="shared" si="172"/>
        <v>1170.935851649918</v>
      </c>
      <c r="O358" s="320"/>
      <c r="P358" s="320"/>
    </row>
    <row r="359" spans="1:16">
      <c r="B359" s="331" t="str">
        <f t="shared" si="168"/>
        <v>35-39</v>
      </c>
      <c r="C359" s="447">
        <f t="shared" ref="C359:N359" si="173">C322+C266</f>
        <v>1004.3021108553726</v>
      </c>
      <c r="D359" s="447">
        <f t="shared" si="173"/>
        <v>1017.1083574179992</v>
      </c>
      <c r="E359" s="447">
        <f t="shared" si="173"/>
        <v>1030.0183415648405</v>
      </c>
      <c r="F359" s="447">
        <f t="shared" si="173"/>
        <v>1039.668445891715</v>
      </c>
      <c r="G359" s="447">
        <f t="shared" si="173"/>
        <v>1048.8991389129073</v>
      </c>
      <c r="H359" s="447">
        <f t="shared" si="173"/>
        <v>1058.4729320269071</v>
      </c>
      <c r="I359" s="447">
        <f t="shared" si="173"/>
        <v>1067.6710118523322</v>
      </c>
      <c r="J359" s="447">
        <f t="shared" si="173"/>
        <v>1074.6835664178068</v>
      </c>
      <c r="K359" s="447">
        <f t="shared" si="173"/>
        <v>1080.6848593683876</v>
      </c>
      <c r="L359" s="447">
        <f t="shared" si="173"/>
        <v>1085.118669133205</v>
      </c>
      <c r="M359" s="447">
        <f t="shared" si="173"/>
        <v>1086.3278322255142</v>
      </c>
      <c r="N359" s="447">
        <f t="shared" si="173"/>
        <v>1084.3808695885664</v>
      </c>
      <c r="O359" s="320"/>
      <c r="P359" s="320"/>
    </row>
    <row r="360" spans="1:16">
      <c r="B360" s="331" t="str">
        <f t="shared" si="168"/>
        <v>40-44</v>
      </c>
      <c r="C360" s="447">
        <f t="shared" ref="C360:N360" si="174">C323+C267</f>
        <v>933.98879533118202</v>
      </c>
      <c r="D360" s="447">
        <f t="shared" si="174"/>
        <v>936.58679870593983</v>
      </c>
      <c r="E360" s="447">
        <f t="shared" si="174"/>
        <v>941.061018315203</v>
      </c>
      <c r="F360" s="447">
        <f t="shared" si="174"/>
        <v>945.63757228931775</v>
      </c>
      <c r="G360" s="447">
        <f t="shared" si="174"/>
        <v>952.19559174005201</v>
      </c>
      <c r="H360" s="447">
        <f t="shared" si="174"/>
        <v>960.39540363598201</v>
      </c>
      <c r="I360" s="447">
        <f t="shared" si="174"/>
        <v>968.76608261974445</v>
      </c>
      <c r="J360" s="447">
        <f t="shared" si="174"/>
        <v>975.22641849242018</v>
      </c>
      <c r="K360" s="447">
        <f t="shared" si="174"/>
        <v>980.61918241009153</v>
      </c>
      <c r="L360" s="447">
        <f t="shared" si="174"/>
        <v>984.50730656675682</v>
      </c>
      <c r="M360" s="447">
        <f t="shared" si="174"/>
        <v>985.59562707498844</v>
      </c>
      <c r="N360" s="447">
        <f t="shared" si="174"/>
        <v>984.12909783667089</v>
      </c>
      <c r="O360" s="320"/>
      <c r="P360" s="320"/>
    </row>
    <row r="361" spans="1:16">
      <c r="B361" s="331" t="str">
        <f t="shared" si="168"/>
        <v>45-49</v>
      </c>
      <c r="C361" s="447">
        <f t="shared" ref="C361:N361" si="175">C324+C268</f>
        <v>787.59695171314786</v>
      </c>
      <c r="D361" s="447">
        <f t="shared" si="175"/>
        <v>795.7789689470535</v>
      </c>
      <c r="E361" s="447">
        <f t="shared" si="175"/>
        <v>802.16697853819142</v>
      </c>
      <c r="F361" s="447">
        <f t="shared" si="175"/>
        <v>806.59626762582286</v>
      </c>
      <c r="G361" s="447">
        <f t="shared" si="175"/>
        <v>811.79779212128722</v>
      </c>
      <c r="H361" s="447">
        <f t="shared" si="175"/>
        <v>818.13491862295245</v>
      </c>
      <c r="I361" s="447">
        <f t="shared" si="175"/>
        <v>824.71029454618429</v>
      </c>
      <c r="J361" s="447">
        <f t="shared" si="175"/>
        <v>829.90325376760904</v>
      </c>
      <c r="K361" s="447">
        <f t="shared" si="175"/>
        <v>834.33689669379442</v>
      </c>
      <c r="L361" s="447">
        <f t="shared" si="175"/>
        <v>837.59297487767424</v>
      </c>
      <c r="M361" s="447">
        <f t="shared" si="175"/>
        <v>838.58539026147321</v>
      </c>
      <c r="N361" s="447">
        <f t="shared" si="175"/>
        <v>837.49861868763594</v>
      </c>
      <c r="O361" s="320"/>
      <c r="P361" s="320"/>
    </row>
    <row r="362" spans="1:16">
      <c r="B362" s="331" t="str">
        <f t="shared" si="168"/>
        <v>50-54</v>
      </c>
      <c r="C362" s="447">
        <f t="shared" ref="C362:N362" si="176">C325+C269</f>
        <v>588.40064736937381</v>
      </c>
      <c r="D362" s="447">
        <f t="shared" si="176"/>
        <v>594.14780758676534</v>
      </c>
      <c r="E362" s="447">
        <f t="shared" si="176"/>
        <v>599.5741832472246</v>
      </c>
      <c r="F362" s="447">
        <f t="shared" si="176"/>
        <v>603.72583585347979</v>
      </c>
      <c r="G362" s="447">
        <f t="shared" si="176"/>
        <v>608.28529290993106</v>
      </c>
      <c r="H362" s="447">
        <f t="shared" si="176"/>
        <v>613.42973537251873</v>
      </c>
      <c r="I362" s="447">
        <f t="shared" si="176"/>
        <v>618.53314943222472</v>
      </c>
      <c r="J362" s="447">
        <f t="shared" si="176"/>
        <v>622.47503852023078</v>
      </c>
      <c r="K362" s="447">
        <f t="shared" si="176"/>
        <v>625.79259932008472</v>
      </c>
      <c r="L362" s="447">
        <f t="shared" si="176"/>
        <v>628.21571436210525</v>
      </c>
      <c r="M362" s="447">
        <f t="shared" si="176"/>
        <v>628.95903894987998</v>
      </c>
      <c r="N362" s="447">
        <f t="shared" si="176"/>
        <v>628.17243183752714</v>
      </c>
      <c r="O362" s="320"/>
      <c r="P362" s="320"/>
    </row>
    <row r="363" spans="1:16">
      <c r="B363" s="331" t="str">
        <f t="shared" si="168"/>
        <v>55-59</v>
      </c>
      <c r="C363" s="447">
        <f t="shared" ref="C363:N363" si="177">C326+C270</f>
        <v>317.97769966230356</v>
      </c>
      <c r="D363" s="447">
        <f t="shared" si="177"/>
        <v>307.7312013099135</v>
      </c>
      <c r="E363" s="447">
        <f t="shared" si="177"/>
        <v>302.64666787089072</v>
      </c>
      <c r="F363" s="447">
        <f t="shared" si="177"/>
        <v>300.10968756526734</v>
      </c>
      <c r="G363" s="447">
        <f t="shared" si="177"/>
        <v>299.7765510079069</v>
      </c>
      <c r="H363" s="447">
        <f t="shared" si="177"/>
        <v>300.93575955394181</v>
      </c>
      <c r="I363" s="447">
        <f t="shared" si="177"/>
        <v>302.65891129064073</v>
      </c>
      <c r="J363" s="447">
        <f t="shared" si="177"/>
        <v>303.95368883914819</v>
      </c>
      <c r="K363" s="447">
        <f t="shared" si="177"/>
        <v>305.09589728849897</v>
      </c>
      <c r="L363" s="447">
        <f t="shared" si="177"/>
        <v>305.8424457856687</v>
      </c>
      <c r="M363" s="447">
        <f t="shared" si="177"/>
        <v>305.66772226307899</v>
      </c>
      <c r="N363" s="447">
        <f t="shared" si="177"/>
        <v>304.7146086664651</v>
      </c>
      <c r="O363" s="320"/>
      <c r="P363" s="320"/>
    </row>
    <row r="364" spans="1:16">
      <c r="B364" s="331" t="str">
        <f t="shared" si="168"/>
        <v>60-64</v>
      </c>
      <c r="C364" s="447">
        <f t="shared" ref="C364:N364" si="178">C327+C271</f>
        <v>92.466283670921143</v>
      </c>
      <c r="D364" s="447">
        <f t="shared" si="178"/>
        <v>101.06918378265975</v>
      </c>
      <c r="E364" s="447">
        <f t="shared" si="178"/>
        <v>104.30911725484162</v>
      </c>
      <c r="F364" s="447">
        <f t="shared" si="178"/>
        <v>105.20470550843582</v>
      </c>
      <c r="G364" s="447">
        <f t="shared" si="178"/>
        <v>105.62628697658594</v>
      </c>
      <c r="H364" s="447">
        <f t="shared" si="178"/>
        <v>106.14098335922029</v>
      </c>
      <c r="I364" s="447">
        <f t="shared" si="178"/>
        <v>106.67640132872243</v>
      </c>
      <c r="J364" s="447">
        <f t="shared" si="178"/>
        <v>106.90529254768326</v>
      </c>
      <c r="K364" s="447">
        <f t="shared" si="178"/>
        <v>107.06784410088727</v>
      </c>
      <c r="L364" s="447">
        <f t="shared" si="178"/>
        <v>107.07047426961203</v>
      </c>
      <c r="M364" s="447">
        <f t="shared" si="178"/>
        <v>106.66241083749163</v>
      </c>
      <c r="N364" s="447">
        <f t="shared" si="178"/>
        <v>105.94484205288575</v>
      </c>
      <c r="O364" s="320"/>
      <c r="P364" s="320"/>
    </row>
    <row r="365" spans="1:16">
      <c r="B365" s="331" t="str">
        <f t="shared" si="168"/>
        <v>65 plus</v>
      </c>
      <c r="C365" s="447">
        <f t="shared" ref="C365:N365" si="179">C328+C272</f>
        <v>21.481328852909499</v>
      </c>
      <c r="D365" s="447">
        <f t="shared" si="179"/>
        <v>30.11456040913108</v>
      </c>
      <c r="E365" s="447">
        <f t="shared" si="179"/>
        <v>36.861310139445393</v>
      </c>
      <c r="F365" s="447">
        <f t="shared" si="179"/>
        <v>41.595468375585845</v>
      </c>
      <c r="G365" s="447">
        <f t="shared" si="179"/>
        <v>44.85592885305698</v>
      </c>
      <c r="H365" s="447">
        <f t="shared" si="179"/>
        <v>47.119705460412369</v>
      </c>
      <c r="I365" s="447">
        <f t="shared" si="179"/>
        <v>48.687157431275978</v>
      </c>
      <c r="J365" s="447">
        <f t="shared" si="179"/>
        <v>49.690682084238453</v>
      </c>
      <c r="K365" s="447">
        <f t="shared" si="179"/>
        <v>50.333308744619238</v>
      </c>
      <c r="L365" s="447">
        <f t="shared" si="179"/>
        <v>50.70201204084826</v>
      </c>
      <c r="M365" s="447">
        <f t="shared" si="179"/>
        <v>50.788837282549352</v>
      </c>
      <c r="N365" s="447">
        <f t="shared" si="179"/>
        <v>50.644826811481437</v>
      </c>
      <c r="O365" s="320"/>
      <c r="P365" s="320"/>
    </row>
    <row r="366" spans="1:16">
      <c r="B366" s="331" t="str">
        <f t="shared" si="168"/>
        <v>Total</v>
      </c>
      <c r="C366" s="447">
        <f t="shared" ref="C366:K366" si="180">SUM(C356:C365)</f>
        <v>6492.0021441823046</v>
      </c>
      <c r="D366" s="447">
        <f t="shared" si="180"/>
        <v>6579.5261173332801</v>
      </c>
      <c r="E366" s="447">
        <f t="shared" si="180"/>
        <v>6662.0487134864006</v>
      </c>
      <c r="F366" s="447">
        <f t="shared" si="180"/>
        <v>6724.6543483109108</v>
      </c>
      <c r="G366" s="447">
        <f t="shared" si="180"/>
        <v>6796.0611808135791</v>
      </c>
      <c r="H366" s="447">
        <f t="shared" si="180"/>
        <v>6878.9130400643808</v>
      </c>
      <c r="I366" s="447">
        <f t="shared" si="180"/>
        <v>6959.0257226888452</v>
      </c>
      <c r="J366" s="447">
        <f t="shared" si="180"/>
        <v>7013.3969071276624</v>
      </c>
      <c r="K366" s="447">
        <f t="shared" si="180"/>
        <v>7054.1132382916248</v>
      </c>
      <c r="L366" s="447">
        <f>L329+L273</f>
        <v>7076.4321771203049</v>
      </c>
      <c r="M366" s="447">
        <f>M329+M273</f>
        <v>7065.6576713963714</v>
      </c>
      <c r="N366" s="447">
        <f>N329+N273</f>
        <v>7026.786774888109</v>
      </c>
      <c r="O366" s="320"/>
      <c r="P366" s="320"/>
    </row>
    <row r="367" spans="1:16">
      <c r="A367" s="302">
        <f>SUM(C367:N367)</f>
        <v>0</v>
      </c>
      <c r="C367" s="302">
        <f t="shared" ref="C367:N367" si="181">SUM(C356:C365)-C366</f>
        <v>0</v>
      </c>
      <c r="D367" s="302">
        <f t="shared" si="181"/>
        <v>0</v>
      </c>
      <c r="E367" s="302">
        <f t="shared" si="181"/>
        <v>0</v>
      </c>
      <c r="F367" s="302">
        <f t="shared" si="181"/>
        <v>0</v>
      </c>
      <c r="G367" s="302">
        <f t="shared" si="181"/>
        <v>0</v>
      </c>
      <c r="H367" s="302">
        <f t="shared" si="181"/>
        <v>0</v>
      </c>
      <c r="I367" s="302">
        <f t="shared" si="181"/>
        <v>0</v>
      </c>
      <c r="J367" s="302">
        <f t="shared" si="181"/>
        <v>0</v>
      </c>
      <c r="K367" s="302">
        <f t="shared" si="181"/>
        <v>0</v>
      </c>
      <c r="L367" s="302">
        <f t="shared" si="181"/>
        <v>0</v>
      </c>
      <c r="M367" s="302">
        <f t="shared" si="181"/>
        <v>0</v>
      </c>
      <c r="N367" s="302">
        <f t="shared" si="181"/>
        <v>0</v>
      </c>
    </row>
    <row r="368" spans="1:16">
      <c r="C368" s="322">
        <f>C350+C366</f>
        <v>10896.284169016635</v>
      </c>
      <c r="D368" s="322">
        <f t="shared" ref="D368:N368" si="182">D350+D366</f>
        <v>11002.935829109543</v>
      </c>
      <c r="E368" s="322">
        <f t="shared" si="182"/>
        <v>11103.173296540361</v>
      </c>
      <c r="F368" s="322">
        <f t="shared" si="182"/>
        <v>11193.803782266205</v>
      </c>
      <c r="G368" s="322">
        <f t="shared" si="182"/>
        <v>11305.034003721703</v>
      </c>
      <c r="H368" s="322">
        <f t="shared" si="182"/>
        <v>11439.711683313926</v>
      </c>
      <c r="I368" s="322">
        <f t="shared" si="182"/>
        <v>11572.64604515582</v>
      </c>
      <c r="J368" s="322">
        <f t="shared" si="182"/>
        <v>11664.160076164779</v>
      </c>
      <c r="K368" s="322">
        <f t="shared" si="182"/>
        <v>11734.231883996305</v>
      </c>
      <c r="L368" s="322">
        <f t="shared" si="182"/>
        <v>11774.418855501837</v>
      </c>
      <c r="M368" s="322">
        <f t="shared" si="182"/>
        <v>11759.59064567526</v>
      </c>
      <c r="N368" s="322">
        <f t="shared" si="182"/>
        <v>11698.057744069438</v>
      </c>
    </row>
    <row r="369" spans="1:14">
      <c r="C369" s="322">
        <f>C36</f>
        <v>10896.284169016637</v>
      </c>
      <c r="D369" s="322">
        <f t="shared" ref="D369:N369" si="183">D36</f>
        <v>11002.935829109545</v>
      </c>
      <c r="E369" s="322">
        <f t="shared" si="183"/>
        <v>11103.173296540359</v>
      </c>
      <c r="F369" s="322">
        <f t="shared" si="183"/>
        <v>11193.803782266205</v>
      </c>
      <c r="G369" s="322">
        <f t="shared" si="183"/>
        <v>11305.034003721705</v>
      </c>
      <c r="H369" s="322">
        <f t="shared" si="183"/>
        <v>11439.711683313926</v>
      </c>
      <c r="I369" s="322">
        <f t="shared" si="183"/>
        <v>11572.64604515582</v>
      </c>
      <c r="J369" s="322">
        <f t="shared" si="183"/>
        <v>11664.160076164777</v>
      </c>
      <c r="K369" s="322">
        <f t="shared" si="183"/>
        <v>11734.231883996306</v>
      </c>
      <c r="L369" s="322">
        <f t="shared" si="183"/>
        <v>11774.418855501839</v>
      </c>
      <c r="M369" s="322">
        <f t="shared" si="183"/>
        <v>11759.590645675262</v>
      </c>
      <c r="N369" s="322">
        <f t="shared" si="183"/>
        <v>11698.057744069438</v>
      </c>
    </row>
    <row r="370" spans="1:14">
      <c r="A370" s="302">
        <f>SUM(C370:L370)</f>
        <v>0</v>
      </c>
      <c r="C370" s="322">
        <f>C368-C369</f>
        <v>0</v>
      </c>
      <c r="D370" s="322">
        <f t="shared" ref="D370:N370" si="184">D368-D369</f>
        <v>0</v>
      </c>
      <c r="E370" s="322">
        <f t="shared" si="184"/>
        <v>0</v>
      </c>
      <c r="F370" s="322">
        <f t="shared" si="184"/>
        <v>0</v>
      </c>
      <c r="G370" s="322">
        <f t="shared" si="184"/>
        <v>0</v>
      </c>
      <c r="H370" s="322">
        <f t="shared" si="184"/>
        <v>0</v>
      </c>
      <c r="I370" s="322">
        <f t="shared" si="184"/>
        <v>0</v>
      </c>
      <c r="J370" s="322">
        <f t="shared" si="184"/>
        <v>0</v>
      </c>
      <c r="K370" s="322">
        <f t="shared" si="184"/>
        <v>0</v>
      </c>
      <c r="L370" s="322">
        <f t="shared" si="184"/>
        <v>0</v>
      </c>
      <c r="M370" s="322">
        <f t="shared" si="184"/>
        <v>0</v>
      </c>
      <c r="N370" s="322">
        <f t="shared" si="184"/>
        <v>0</v>
      </c>
    </row>
    <row r="371" spans="1:14">
      <c r="A371" s="302">
        <f>SUM(C371:L371)</f>
        <v>0</v>
      </c>
      <c r="C371" s="322">
        <f>IF(C294&gt;0,0,C294)</f>
        <v>0</v>
      </c>
      <c r="D371" s="322">
        <f t="shared" ref="D371:N371" si="185">IF(D294&gt;0,0,D294)</f>
        <v>0</v>
      </c>
      <c r="E371" s="322">
        <f t="shared" si="185"/>
        <v>0</v>
      </c>
      <c r="F371" s="322">
        <f t="shared" si="185"/>
        <v>0</v>
      </c>
      <c r="G371" s="322">
        <f t="shared" si="185"/>
        <v>0</v>
      </c>
      <c r="H371" s="322">
        <f t="shared" si="185"/>
        <v>0</v>
      </c>
      <c r="I371" s="322">
        <f t="shared" si="185"/>
        <v>0</v>
      </c>
      <c r="J371" s="322">
        <f t="shared" si="185"/>
        <v>0</v>
      </c>
      <c r="K371" s="322">
        <f t="shared" si="185"/>
        <v>0</v>
      </c>
      <c r="L371" s="322">
        <f t="shared" si="185"/>
        <v>0</v>
      </c>
      <c r="M371" s="322">
        <f t="shared" si="185"/>
        <v>0</v>
      </c>
      <c r="N371" s="322">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2060"/>
  </sheetPr>
  <dimension ref="A1:Q37"/>
  <sheetViews>
    <sheetView showGridLines="0" workbookViewId="0"/>
  </sheetViews>
  <sheetFormatPr defaultRowHeight="12.75"/>
  <cols>
    <col min="1" max="1" width="11.7109375" customWidth="1"/>
    <col min="2" max="2" width="25.7109375" customWidth="1"/>
    <col min="3" max="3" width="115.5703125" customWidth="1"/>
  </cols>
  <sheetData>
    <row r="1" spans="1:17" s="98" customFormat="1" ht="15.75">
      <c r="A1" s="1129" t="str">
        <f>ModelBanner</f>
        <v>TSM_201819 Publication</v>
      </c>
      <c r="C1" s="97"/>
    </row>
    <row r="2" spans="1:17" s="99" customFormat="1" ht="15">
      <c r="A2" s="940" t="s">
        <v>13</v>
      </c>
      <c r="B2" s="940" t="s">
        <v>30</v>
      </c>
      <c r="C2" s="66"/>
    </row>
    <row r="3" spans="1:17" s="99" customFormat="1" ht="15">
      <c r="A3" s="66"/>
      <c r="C3" s="66"/>
    </row>
    <row r="4" spans="1:17" s="100" customFormat="1">
      <c r="A4" s="100" t="s">
        <v>26</v>
      </c>
      <c r="C4" s="101"/>
      <c r="D4" s="101"/>
    </row>
    <row r="5" spans="1:17" s="105" customFormat="1" ht="15">
      <c r="A5" s="102"/>
      <c r="B5" s="225" t="s">
        <v>394</v>
      </c>
      <c r="C5" s="103"/>
      <c r="D5" s="104"/>
      <c r="E5" s="63"/>
      <c r="F5" s="63"/>
      <c r="G5" s="63"/>
      <c r="H5" s="63"/>
      <c r="I5" s="63"/>
      <c r="J5" s="63"/>
      <c r="K5" s="63"/>
      <c r="L5" s="63"/>
      <c r="M5" s="63"/>
      <c r="N5" s="63"/>
      <c r="O5" s="63"/>
      <c r="P5" s="63"/>
      <c r="Q5" s="63"/>
    </row>
    <row r="7" spans="1:17">
      <c r="B7" s="12" t="s">
        <v>1440</v>
      </c>
    </row>
    <row r="8" spans="1:17">
      <c r="B8" s="12"/>
    </row>
    <row r="9" spans="1:17">
      <c r="B9" s="12" t="s">
        <v>632</v>
      </c>
    </row>
    <row r="10" spans="1:17">
      <c r="B10" s="12"/>
    </row>
    <row r="11" spans="1:17">
      <c r="B11" s="147" t="s">
        <v>1286</v>
      </c>
    </row>
    <row r="12" spans="1:17">
      <c r="B12" s="12"/>
    </row>
    <row r="13" spans="1:17" ht="15" customHeight="1">
      <c r="B13" s="1161" t="s">
        <v>1752</v>
      </c>
      <c r="C13" s="1161"/>
      <c r="D13" s="1161"/>
      <c r="E13" s="1161"/>
      <c r="F13" s="1161"/>
    </row>
    <row r="14" spans="1:17">
      <c r="B14" s="1161"/>
      <c r="C14" s="1161"/>
      <c r="D14" s="1161"/>
      <c r="E14" s="1161"/>
      <c r="F14" s="1161"/>
    </row>
    <row r="15" spans="1:17">
      <c r="B15" s="1161"/>
      <c r="C15" s="1161"/>
      <c r="D15" s="1161"/>
      <c r="E15" s="1161"/>
      <c r="F15" s="1161"/>
    </row>
    <row r="16" spans="1:17">
      <c r="B16" s="12"/>
    </row>
    <row r="17" spans="1:12">
      <c r="B17" s="75" t="s">
        <v>36</v>
      </c>
      <c r="C17" s="75" t="s">
        <v>37</v>
      </c>
    </row>
    <row r="18" spans="1:12">
      <c r="D18" s="3"/>
      <c r="E18" s="3"/>
      <c r="F18" s="3"/>
      <c r="G18" s="3"/>
      <c r="H18" s="3"/>
      <c r="I18" s="3"/>
      <c r="J18" s="3"/>
      <c r="K18" s="3"/>
      <c r="L18" s="3"/>
    </row>
    <row r="19" spans="1:12">
      <c r="B19" s="384" t="s">
        <v>571</v>
      </c>
      <c r="C19" s="385" t="s">
        <v>641</v>
      </c>
      <c r="D19" s="3"/>
      <c r="E19" s="3"/>
      <c r="I19" s="3"/>
      <c r="J19" s="3"/>
      <c r="K19" s="3"/>
      <c r="L19" s="3"/>
    </row>
    <row r="20" spans="1:12">
      <c r="B20" s="384" t="s">
        <v>7</v>
      </c>
      <c r="C20" s="386" t="s">
        <v>423</v>
      </c>
      <c r="D20" s="3"/>
      <c r="E20" s="3"/>
      <c r="I20" s="3"/>
      <c r="J20" s="3"/>
      <c r="K20" s="3"/>
      <c r="L20" s="3"/>
    </row>
    <row r="21" spans="1:12" ht="25.5">
      <c r="B21" s="384" t="s">
        <v>429</v>
      </c>
      <c r="C21" s="387" t="s">
        <v>639</v>
      </c>
      <c r="D21" s="3"/>
      <c r="E21" s="3"/>
      <c r="I21" s="3"/>
      <c r="J21" s="3"/>
      <c r="K21" s="3"/>
      <c r="L21" s="3"/>
    </row>
    <row r="22" spans="1:12">
      <c r="B22" s="384" t="s">
        <v>3</v>
      </c>
      <c r="C22" s="385" t="s">
        <v>407</v>
      </c>
      <c r="D22" s="3"/>
      <c r="E22" s="3"/>
      <c r="I22" s="3"/>
      <c r="J22" s="3"/>
      <c r="K22" s="3"/>
      <c r="L22" s="3"/>
    </row>
    <row r="23" spans="1:12">
      <c r="B23" s="384" t="s">
        <v>80</v>
      </c>
      <c r="C23" s="387" t="s">
        <v>642</v>
      </c>
      <c r="D23" s="3"/>
      <c r="E23" s="3"/>
      <c r="I23" s="3"/>
      <c r="J23" s="3"/>
      <c r="K23" s="3"/>
      <c r="L23" s="3"/>
    </row>
    <row r="24" spans="1:12">
      <c r="B24" s="384" t="s">
        <v>108</v>
      </c>
      <c r="C24" s="385" t="s">
        <v>640</v>
      </c>
      <c r="D24" s="3"/>
      <c r="E24" s="3"/>
      <c r="I24" s="3"/>
      <c r="J24" s="3"/>
      <c r="K24" s="3"/>
      <c r="L24" s="3"/>
    </row>
    <row r="25" spans="1:12" ht="25.5">
      <c r="A25" s="12"/>
      <c r="B25" s="384" t="s">
        <v>572</v>
      </c>
      <c r="C25" s="388" t="s">
        <v>492</v>
      </c>
      <c r="D25" s="12"/>
    </row>
    <row r="26" spans="1:12" ht="15">
      <c r="A26" s="12"/>
      <c r="B26" s="384" t="s">
        <v>6</v>
      </c>
      <c r="C26" s="386" t="s">
        <v>408</v>
      </c>
      <c r="H26" s="130"/>
    </row>
    <row r="27" spans="1:12" ht="15">
      <c r="B27" s="384" t="s">
        <v>1</v>
      </c>
      <c r="C27" s="386" t="s">
        <v>409</v>
      </c>
      <c r="H27" s="130"/>
    </row>
    <row r="28" spans="1:12" ht="15">
      <c r="B28" s="384" t="s">
        <v>397</v>
      </c>
      <c r="C28" s="386" t="s">
        <v>410</v>
      </c>
      <c r="H28" s="130"/>
    </row>
    <row r="29" spans="1:12" ht="15">
      <c r="B29" s="384" t="s">
        <v>4</v>
      </c>
      <c r="C29" s="386" t="s">
        <v>411</v>
      </c>
      <c r="H29" s="130"/>
    </row>
    <row r="30" spans="1:12" ht="15">
      <c r="B30" s="384" t="s">
        <v>0</v>
      </c>
      <c r="C30" s="386" t="s">
        <v>412</v>
      </c>
      <c r="H30" s="130"/>
    </row>
    <row r="31" spans="1:12" ht="15">
      <c r="B31" s="384" t="s">
        <v>573</v>
      </c>
      <c r="C31" s="386" t="s">
        <v>413</v>
      </c>
      <c r="H31" s="130"/>
    </row>
    <row r="32" spans="1:12">
      <c r="B32" s="384" t="s">
        <v>583</v>
      </c>
      <c r="C32" s="386" t="s">
        <v>586</v>
      </c>
    </row>
    <row r="33" spans="2:8" ht="15">
      <c r="B33" s="384" t="s">
        <v>5</v>
      </c>
      <c r="C33" s="386" t="s">
        <v>414</v>
      </c>
      <c r="H33" s="130"/>
    </row>
    <row r="34" spans="2:8" ht="25.5">
      <c r="B34" s="294" t="s">
        <v>41</v>
      </c>
      <c r="C34" s="389" t="s">
        <v>644</v>
      </c>
      <c r="H34" s="130"/>
    </row>
    <row r="35" spans="2:8" ht="15">
      <c r="B35" s="384" t="s">
        <v>575</v>
      </c>
      <c r="C35" s="386" t="s">
        <v>417</v>
      </c>
      <c r="H35" s="130"/>
    </row>
    <row r="36" spans="2:8">
      <c r="B36" s="384" t="s">
        <v>2</v>
      </c>
      <c r="C36" s="385" t="s">
        <v>416</v>
      </c>
    </row>
    <row r="37" spans="2:8">
      <c r="B37" s="384" t="s">
        <v>576</v>
      </c>
      <c r="C37" s="386" t="s">
        <v>415</v>
      </c>
    </row>
  </sheetData>
  <mergeCells count="1">
    <mergeCell ref="B13:F15"/>
  </mergeCells>
  <phoneticPr fontId="5" type="noConversion"/>
  <hyperlinks>
    <hyperlink ref="B2" location="Map_of_sheets!A1" display="Map of sheets"/>
    <hyperlink ref="A2" location="'Title_&amp;_Contents'!A1" display="Contents"/>
  </hyperlinks>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Q371"/>
  <sheetViews>
    <sheetView showGridLines="0" workbookViewId="0"/>
  </sheetViews>
  <sheetFormatPr defaultColWidth="9.140625" defaultRowHeight="12.75"/>
  <cols>
    <col min="1" max="1" width="9.140625" style="302"/>
    <col min="2" max="2" width="28.7109375" style="302" customWidth="1"/>
    <col min="3" max="15" width="10.7109375" style="302" customWidth="1"/>
    <col min="16"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271</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Forecast_stock_figures!B20</f>
        <v>Classics</v>
      </c>
      <c r="C15" s="300">
        <f>Forecast_stock_figures!C44</f>
        <v>306.05662545528151</v>
      </c>
      <c r="D15" s="300">
        <f>Forecast_stock_figures!D44</f>
        <v>299.02120443268882</v>
      </c>
      <c r="E15" s="300">
        <f>Forecast_stock_figures!E44</f>
        <v>296.23168899349145</v>
      </c>
      <c r="F15" s="300">
        <f>Forecast_stock_figures!F44</f>
        <v>295.6987372940045</v>
      </c>
      <c r="G15" s="300">
        <f>Forecast_stock_figures!G44</f>
        <v>297.1058104636557</v>
      </c>
      <c r="H15" s="300">
        <f>Forecast_stock_figures!H44</f>
        <v>299.34681810002053</v>
      </c>
      <c r="I15" s="300">
        <f>Forecast_stock_figures!I44</f>
        <v>302.47448555318738</v>
      </c>
      <c r="J15" s="300">
        <f>Forecast_stock_figures!J44</f>
        <v>306.60569837949043</v>
      </c>
      <c r="K15" s="300">
        <f>Forecast_stock_figures!K44</f>
        <v>310.30065175411943</v>
      </c>
      <c r="L15" s="300">
        <f>Forecast_stock_figures!L44</f>
        <v>312.32041372516829</v>
      </c>
      <c r="M15" s="300">
        <f>Forecast_stock_figures!M44</f>
        <v>313.35029281296602</v>
      </c>
      <c r="N15" s="300">
        <f>Forecast_stock_figures!N44</f>
        <v>314.31083600030951</v>
      </c>
    </row>
    <row r="17" spans="1:9" ht="15.75">
      <c r="B17" s="333" t="s">
        <v>162</v>
      </c>
    </row>
    <row r="19" spans="1:9">
      <c r="B19" s="1327" t="str">
        <f>Stock_ages_breakdowns!B73</f>
        <v>Age group</v>
      </c>
      <c r="C19" s="1328" t="str">
        <f>Stock_ages_breakdowns!K73</f>
        <v>Classics</v>
      </c>
      <c r="D19" s="1329"/>
      <c r="H19" s="318" t="s">
        <v>133</v>
      </c>
    </row>
    <row r="20" spans="1:9">
      <c r="B20" s="1327"/>
      <c r="C20" s="356" t="str">
        <f>Stock_ages_breakdowns!K74</f>
        <v>Male</v>
      </c>
      <c r="D20" s="356" t="str">
        <f>Stock_ages_breakdowns!L74</f>
        <v>Female</v>
      </c>
    </row>
    <row r="21" spans="1:9">
      <c r="B21" s="356" t="str">
        <f>Stock_ages_breakdowns!B75</f>
        <v>20-24</v>
      </c>
      <c r="C21" s="324">
        <f>Stock_ages_breakdowns!K20</f>
        <v>5.0307057490736229</v>
      </c>
      <c r="D21" s="324">
        <f>Stock_ages_breakdowns!L20</f>
        <v>5.2405039152705442</v>
      </c>
    </row>
    <row r="22" spans="1:9">
      <c r="B22" s="356" t="str">
        <f>Stock_ages_breakdowns!B76</f>
        <v>25-29</v>
      </c>
      <c r="C22" s="324">
        <f>Stock_ages_breakdowns!K21</f>
        <v>19.125398048080552</v>
      </c>
      <c r="D22" s="324">
        <f>Stock_ages_breakdowns!L21</f>
        <v>31.264074578835508</v>
      </c>
    </row>
    <row r="23" spans="1:9">
      <c r="B23" s="356" t="str">
        <f>Stock_ages_breakdowns!B77</f>
        <v>30-34</v>
      </c>
      <c r="C23" s="324">
        <f>Stock_ages_breakdowns!K22</f>
        <v>17.538992882393444</v>
      </c>
      <c r="D23" s="324">
        <f>Stock_ages_breakdowns!L22</f>
        <v>23.497291878008181</v>
      </c>
    </row>
    <row r="24" spans="1:9">
      <c r="B24" s="356" t="str">
        <f>Stock_ages_breakdowns!B78</f>
        <v>35-39</v>
      </c>
      <c r="C24" s="324">
        <f>Stock_ages_breakdowns!K23</f>
        <v>11.326766379247475</v>
      </c>
      <c r="D24" s="324">
        <f>Stock_ages_breakdowns!L23</f>
        <v>31.822915038323536</v>
      </c>
    </row>
    <row r="25" spans="1:9">
      <c r="B25" s="356" t="str">
        <f>Stock_ages_breakdowns!B79</f>
        <v>40-44</v>
      </c>
      <c r="C25" s="324">
        <f>Stock_ages_breakdowns!K24</f>
        <v>18.679667237090829</v>
      </c>
      <c r="D25" s="324">
        <f>Stock_ages_breakdowns!L24</f>
        <v>20.044277661422058</v>
      </c>
    </row>
    <row r="26" spans="1:9">
      <c r="B26" s="356" t="str">
        <f>Stock_ages_breakdowns!B80</f>
        <v>45-49</v>
      </c>
      <c r="C26" s="324">
        <f>Stock_ages_breakdowns!K25</f>
        <v>15.251645885419197</v>
      </c>
      <c r="D26" s="324">
        <f>Stock_ages_breakdowns!L25</f>
        <v>16.732223202953662</v>
      </c>
    </row>
    <row r="27" spans="1:9">
      <c r="B27" s="356" t="str">
        <f>Stock_ages_breakdowns!B81</f>
        <v>50-54</v>
      </c>
      <c r="C27" s="324">
        <f>Stock_ages_breakdowns!K26</f>
        <v>18.586693779608918</v>
      </c>
      <c r="D27" s="324">
        <f>Stock_ages_breakdowns!L26</f>
        <v>16.303345641020993</v>
      </c>
    </row>
    <row r="28" spans="1:9">
      <c r="B28" s="356" t="str">
        <f>Stock_ages_breakdowns!B82</f>
        <v>55-59</v>
      </c>
      <c r="C28" s="324">
        <f>Stock_ages_breakdowns!K27</f>
        <v>11.539134781478248</v>
      </c>
      <c r="D28" s="324">
        <f>Stock_ages_breakdowns!L27</f>
        <v>20.263215158072999</v>
      </c>
    </row>
    <row r="29" spans="1:9">
      <c r="B29" s="356" t="str">
        <f>Stock_ages_breakdowns!B83</f>
        <v>60-64</v>
      </c>
      <c r="C29" s="324">
        <f>Stock_ages_breakdowns!K28</f>
        <v>5.9738655214041234</v>
      </c>
      <c r="D29" s="324">
        <f>Stock_ages_breakdowns!L28</f>
        <v>5.8521873492924872</v>
      </c>
      <c r="F29" s="318"/>
    </row>
    <row r="30" spans="1:9">
      <c r="B30" s="356" t="str">
        <f>Stock_ages_breakdowns!B84</f>
        <v>65 plus</v>
      </c>
      <c r="C30" s="324">
        <f>Stock_ages_breakdowns!K29</f>
        <v>6.232220795077561</v>
      </c>
      <c r="D30" s="324">
        <f>Stock_ages_breakdowns!L29</f>
        <v>5.7514999732075527</v>
      </c>
      <c r="G30" s="319" t="s">
        <v>46</v>
      </c>
      <c r="H30" s="319" t="s">
        <v>47</v>
      </c>
    </row>
    <row r="31" spans="1:9">
      <c r="A31" s="302">
        <f>I31</f>
        <v>0</v>
      </c>
      <c r="B31" s="356" t="str">
        <f>Stock_ages_breakdowns!B85</f>
        <v>Total</v>
      </c>
      <c r="C31" s="324">
        <f>Stock_ages_breakdowns!K30</f>
        <v>129.28509105887397</v>
      </c>
      <c r="D31" s="324">
        <f>Stock_ages_breakdowns!L30</f>
        <v>176.77153439640753</v>
      </c>
      <c r="E31" s="320">
        <f>SUM(C31:D31)</f>
        <v>306.05662545528151</v>
      </c>
      <c r="G31" s="359">
        <f>C31/$E$31</f>
        <v>0.422422128148845</v>
      </c>
      <c r="H31" s="359">
        <f>D31/$E$31</f>
        <v>0.57757787185115506</v>
      </c>
      <c r="I31" s="302">
        <f>(G31+H31)-1</f>
        <v>0</v>
      </c>
    </row>
    <row r="33" spans="2:15" ht="15.75">
      <c r="B33" s="333" t="s">
        <v>263</v>
      </c>
      <c r="H33" s="318"/>
    </row>
    <row r="34" spans="2:15">
      <c r="H34" s="318"/>
    </row>
    <row r="35" spans="2:15">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5">
      <c r="B36" s="319" t="str">
        <f>B15</f>
        <v>Classics</v>
      </c>
      <c r="C36" s="300">
        <f>Teacher_need_by_subject!C627</f>
        <v>299.02120443268882</v>
      </c>
      <c r="D36" s="300">
        <f>Teacher_need_by_subject!D627</f>
        <v>296.23168899349145</v>
      </c>
      <c r="E36" s="300">
        <f>Teacher_need_by_subject!E627</f>
        <v>295.6987372940045</v>
      </c>
      <c r="F36" s="300">
        <f>Teacher_need_by_subject!F627</f>
        <v>297.1058104636557</v>
      </c>
      <c r="G36" s="300">
        <f>Teacher_need_by_subject!G627</f>
        <v>299.34681810002053</v>
      </c>
      <c r="H36" s="300">
        <f>Teacher_need_by_subject!H627</f>
        <v>302.47448555318738</v>
      </c>
      <c r="I36" s="300">
        <f>Teacher_need_by_subject!I627</f>
        <v>306.60569837949043</v>
      </c>
      <c r="J36" s="300">
        <f>Teacher_need_by_subject!J627</f>
        <v>310.30065175411943</v>
      </c>
      <c r="K36" s="300">
        <f>Teacher_need_by_subject!K627</f>
        <v>312.32041372516829</v>
      </c>
      <c r="L36" s="300">
        <f>Teacher_need_by_subject!L627</f>
        <v>313.35029281296602</v>
      </c>
      <c r="M36" s="300">
        <f>Teacher_need_by_subject!M627</f>
        <v>314.31083600030951</v>
      </c>
      <c r="N36" s="300">
        <f>Teacher_need_by_subject!N627</f>
        <v>314.97140769012987</v>
      </c>
    </row>
    <row r="37" spans="2:15">
      <c r="H37" s="318"/>
    </row>
    <row r="38" spans="2:15" ht="15.75">
      <c r="B38" s="333" t="s">
        <v>170</v>
      </c>
      <c r="H38" s="318"/>
    </row>
    <row r="39" spans="2:15">
      <c r="H39" s="318"/>
    </row>
    <row r="40" spans="2:15">
      <c r="B40" s="334" t="s">
        <v>46</v>
      </c>
      <c r="H40" s="318"/>
    </row>
    <row r="41" spans="2:15">
      <c r="H41" s="318"/>
    </row>
    <row r="42" spans="2:15">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5">
      <c r="B43" s="356" t="str">
        <f>B21</f>
        <v>20-24</v>
      </c>
      <c r="C43" s="300">
        <f>C21</f>
        <v>5.0307057490736229</v>
      </c>
      <c r="D43" s="300">
        <f>C340</f>
        <v>7.2947556654100651</v>
      </c>
      <c r="E43" s="300">
        <f t="shared" ref="E43:L43" si="2">D340</f>
        <v>8.9867745731177013</v>
      </c>
      <c r="F43" s="300">
        <f t="shared" si="2"/>
        <v>10.231994295772143</v>
      </c>
      <c r="G43" s="300">
        <f t="shared" si="2"/>
        <v>11.190521493027171</v>
      </c>
      <c r="H43" s="300">
        <f t="shared" si="2"/>
        <v>11.871754091433614</v>
      </c>
      <c r="I43" s="300">
        <f t="shared" si="2"/>
        <v>12.402276998000115</v>
      </c>
      <c r="J43" s="300">
        <f t="shared" si="2"/>
        <v>12.870363559391819</v>
      </c>
      <c r="K43" s="300">
        <f t="shared" si="2"/>
        <v>13.16460725850939</v>
      </c>
      <c r="L43" s="300">
        <f t="shared" si="2"/>
        <v>13.207584974276291</v>
      </c>
      <c r="M43" s="300">
        <f>L340</f>
        <v>13.136222018412349</v>
      </c>
      <c r="N43" s="300">
        <f>M340</f>
        <v>13.078058842029735</v>
      </c>
      <c r="O43" s="320"/>
    </row>
    <row r="44" spans="2:15">
      <c r="B44" s="356" t="str">
        <f t="shared" ref="B44:C53" si="3">B22</f>
        <v>25-29</v>
      </c>
      <c r="C44" s="300">
        <f t="shared" si="3"/>
        <v>19.125398048080552</v>
      </c>
      <c r="D44" s="300">
        <f t="shared" ref="D44:L53" si="4">C341</f>
        <v>18.09373413863937</v>
      </c>
      <c r="E44" s="300">
        <f t="shared" si="4"/>
        <v>17.949908622689406</v>
      </c>
      <c r="F44" s="300">
        <f t="shared" si="4"/>
        <v>18.180784249070495</v>
      </c>
      <c r="G44" s="300">
        <f t="shared" si="4"/>
        <v>18.679815323027469</v>
      </c>
      <c r="H44" s="300">
        <f t="shared" si="4"/>
        <v>19.214757819236926</v>
      </c>
      <c r="I44" s="300">
        <f t="shared" si="4"/>
        <v>19.768073679782272</v>
      </c>
      <c r="J44" s="300">
        <f t="shared" si="4"/>
        <v>20.350455941837335</v>
      </c>
      <c r="K44" s="300">
        <f t="shared" si="4"/>
        <v>20.80879938608118</v>
      </c>
      <c r="L44" s="300">
        <f t="shared" ref="L44:L52" si="5">K341</f>
        <v>21.016355544611351</v>
      </c>
      <c r="M44" s="300">
        <f t="shared" ref="M44:M53" si="6">L341</f>
        <v>21.065536318207862</v>
      </c>
      <c r="N44" s="300">
        <f t="shared" ref="N44:N53" si="7">M341</f>
        <v>21.078354324042618</v>
      </c>
      <c r="O44" s="320"/>
    </row>
    <row r="45" spans="2:15">
      <c r="B45" s="356" t="str">
        <f t="shared" si="3"/>
        <v>30-34</v>
      </c>
      <c r="C45" s="300">
        <f t="shared" si="3"/>
        <v>17.538992882393444</v>
      </c>
      <c r="D45" s="300">
        <f t="shared" si="4"/>
        <v>18.283408315665337</v>
      </c>
      <c r="E45" s="300">
        <f t="shared" si="4"/>
        <v>18.747463909030234</v>
      </c>
      <c r="F45" s="300">
        <f t="shared" si="4"/>
        <v>19.060588174751853</v>
      </c>
      <c r="G45" s="300">
        <f t="shared" si="4"/>
        <v>19.402371918107281</v>
      </c>
      <c r="H45" s="300">
        <f t="shared" si="4"/>
        <v>19.754215315442362</v>
      </c>
      <c r="I45" s="300">
        <f t="shared" si="4"/>
        <v>20.140725541314943</v>
      </c>
      <c r="J45" s="300">
        <f t="shared" si="4"/>
        <v>20.57715510207111</v>
      </c>
      <c r="K45" s="300">
        <f t="shared" si="4"/>
        <v>20.989256532193512</v>
      </c>
      <c r="L45" s="300">
        <f t="shared" si="5"/>
        <v>21.294269233352551</v>
      </c>
      <c r="M45" s="300">
        <f t="shared" si="6"/>
        <v>21.504789365028579</v>
      </c>
      <c r="N45" s="300">
        <f t="shared" si="7"/>
        <v>21.663705922533811</v>
      </c>
      <c r="O45" s="320"/>
    </row>
    <row r="46" spans="2:15">
      <c r="B46" s="356" t="str">
        <f t="shared" si="3"/>
        <v>35-39</v>
      </c>
      <c r="C46" s="300">
        <f t="shared" si="3"/>
        <v>11.326766379247475</v>
      </c>
      <c r="D46" s="300">
        <f t="shared" si="4"/>
        <v>13.082623695896562</v>
      </c>
      <c r="E46" s="300">
        <f t="shared" si="4"/>
        <v>14.597198857091819</v>
      </c>
      <c r="F46" s="300">
        <f t="shared" si="4"/>
        <v>15.80850616476552</v>
      </c>
      <c r="G46" s="300">
        <f t="shared" si="4"/>
        <v>16.816287956533529</v>
      </c>
      <c r="H46" s="300">
        <f t="shared" si="4"/>
        <v>17.634303557709096</v>
      </c>
      <c r="I46" s="300">
        <f t="shared" si="4"/>
        <v>18.328875227401088</v>
      </c>
      <c r="J46" s="300">
        <f t="shared" si="4"/>
        <v>18.954067724054603</v>
      </c>
      <c r="K46" s="300">
        <f t="shared" si="4"/>
        <v>19.487668749428664</v>
      </c>
      <c r="L46" s="300">
        <f t="shared" si="5"/>
        <v>19.899261964203689</v>
      </c>
      <c r="M46" s="300">
        <f t="shared" si="6"/>
        <v>20.22289220724911</v>
      </c>
      <c r="N46" s="300">
        <f t="shared" si="7"/>
        <v>20.498597077088696</v>
      </c>
      <c r="O46" s="320"/>
    </row>
    <row r="47" spans="2:15">
      <c r="B47" s="356" t="str">
        <f t="shared" si="3"/>
        <v>40-44</v>
      </c>
      <c r="C47" s="300">
        <f t="shared" si="3"/>
        <v>18.679667237090829</v>
      </c>
      <c r="D47" s="300">
        <f t="shared" si="4"/>
        <v>17.155750433139602</v>
      </c>
      <c r="E47" s="300">
        <f t="shared" si="4"/>
        <v>16.430274130711691</v>
      </c>
      <c r="F47" s="300">
        <f t="shared" si="4"/>
        <v>16.165486077337302</v>
      </c>
      <c r="G47" s="300">
        <f t="shared" si="4"/>
        <v>16.241816096614855</v>
      </c>
      <c r="H47" s="300">
        <f t="shared" si="4"/>
        <v>16.491207694020133</v>
      </c>
      <c r="I47" s="300">
        <f t="shared" si="4"/>
        <v>16.846919807629561</v>
      </c>
      <c r="J47" s="300">
        <f t="shared" si="4"/>
        <v>17.272062806015562</v>
      </c>
      <c r="K47" s="300">
        <f t="shared" si="4"/>
        <v>17.693352033610605</v>
      </c>
      <c r="L47" s="300">
        <f t="shared" si="5"/>
        <v>18.05223245979759</v>
      </c>
      <c r="M47" s="300">
        <f t="shared" si="6"/>
        <v>18.361513961962785</v>
      </c>
      <c r="N47" s="300">
        <f t="shared" si="7"/>
        <v>18.647691248273837</v>
      </c>
      <c r="O47" s="320"/>
    </row>
    <row r="48" spans="2:15">
      <c r="B48" s="356" t="str">
        <f t="shared" si="3"/>
        <v>45-49</v>
      </c>
      <c r="C48" s="300">
        <f t="shared" si="3"/>
        <v>15.251645885419197</v>
      </c>
      <c r="D48" s="300">
        <f t="shared" si="4"/>
        <v>15.485310185734701</v>
      </c>
      <c r="E48" s="300">
        <f t="shared" si="4"/>
        <v>15.455788728271886</v>
      </c>
      <c r="F48" s="300">
        <f t="shared" si="4"/>
        <v>15.280291844707699</v>
      </c>
      <c r="G48" s="300">
        <f t="shared" si="4"/>
        <v>15.151173446258291</v>
      </c>
      <c r="H48" s="300">
        <f t="shared" si="4"/>
        <v>15.076031345583898</v>
      </c>
      <c r="I48" s="300">
        <f t="shared" si="4"/>
        <v>15.082400178064516</v>
      </c>
      <c r="J48" s="300">
        <f t="shared" si="4"/>
        <v>15.178399194055793</v>
      </c>
      <c r="K48" s="300">
        <f t="shared" si="4"/>
        <v>15.318110457569833</v>
      </c>
      <c r="L48" s="300">
        <f t="shared" si="5"/>
        <v>15.454625693978375</v>
      </c>
      <c r="M48" s="300">
        <f t="shared" si="6"/>
        <v>15.592950629897253</v>
      </c>
      <c r="N48" s="300">
        <f t="shared" si="7"/>
        <v>15.747688093254325</v>
      </c>
      <c r="O48" s="320"/>
    </row>
    <row r="49" spans="1:15">
      <c r="B49" s="356" t="str">
        <f t="shared" si="3"/>
        <v>50-54</v>
      </c>
      <c r="C49" s="300">
        <f t="shared" si="3"/>
        <v>18.586693779608918</v>
      </c>
      <c r="D49" s="300">
        <f t="shared" si="4"/>
        <v>16.930981014398604</v>
      </c>
      <c r="E49" s="300">
        <f t="shared" si="4"/>
        <v>15.836595582083593</v>
      </c>
      <c r="F49" s="300">
        <f t="shared" si="4"/>
        <v>15.021408313310898</v>
      </c>
      <c r="G49" s="300">
        <f t="shared" si="4"/>
        <v>14.434883911109212</v>
      </c>
      <c r="H49" s="300">
        <f t="shared" si="4"/>
        <v>13.990764720949413</v>
      </c>
      <c r="I49" s="300">
        <f t="shared" si="4"/>
        <v>13.667388559892949</v>
      </c>
      <c r="J49" s="300">
        <f t="shared" si="4"/>
        <v>13.454221481116084</v>
      </c>
      <c r="K49" s="300">
        <f t="shared" si="4"/>
        <v>13.311679097236649</v>
      </c>
      <c r="L49" s="300">
        <f t="shared" si="5"/>
        <v>13.202716595075621</v>
      </c>
      <c r="M49" s="300">
        <f t="shared" si="6"/>
        <v>13.12896346734737</v>
      </c>
      <c r="N49" s="300">
        <f t="shared" si="7"/>
        <v>13.098895524867013</v>
      </c>
      <c r="O49" s="320"/>
    </row>
    <row r="50" spans="1:15">
      <c r="B50" s="356" t="str">
        <f t="shared" si="3"/>
        <v>55-59</v>
      </c>
      <c r="C50" s="300">
        <f t="shared" si="3"/>
        <v>11.539134781478248</v>
      </c>
      <c r="D50" s="300">
        <f t="shared" si="4"/>
        <v>10.13971965199155</v>
      </c>
      <c r="E50" s="300">
        <f t="shared" si="4"/>
        <v>9.0943013740406631</v>
      </c>
      <c r="F50" s="300">
        <f t="shared" si="4"/>
        <v>8.2972059592116487</v>
      </c>
      <c r="G50" s="300">
        <f t="shared" si="4"/>
        <v>7.7203144245992901</v>
      </c>
      <c r="H50" s="300">
        <f t="shared" si="4"/>
        <v>7.2903626574347422</v>
      </c>
      <c r="I50" s="300">
        <f t="shared" si="4"/>
        <v>6.9746240298463746</v>
      </c>
      <c r="J50" s="300">
        <f t="shared" si="4"/>
        <v>6.7504105215744268</v>
      </c>
      <c r="K50" s="300">
        <f t="shared" si="4"/>
        <v>6.5809253533382694</v>
      </c>
      <c r="L50" s="300">
        <f t="shared" si="5"/>
        <v>6.4382079304753361</v>
      </c>
      <c r="M50" s="300">
        <f t="shared" si="6"/>
        <v>6.3239465368177568</v>
      </c>
      <c r="N50" s="300">
        <f t="shared" si="7"/>
        <v>6.243535321952784</v>
      </c>
      <c r="O50" s="320"/>
    </row>
    <row r="51" spans="1:15">
      <c r="B51" s="356" t="str">
        <f t="shared" si="3"/>
        <v>60-64</v>
      </c>
      <c r="C51" s="300">
        <f t="shared" si="3"/>
        <v>5.9738655214041234</v>
      </c>
      <c r="D51" s="300">
        <f t="shared" si="4"/>
        <v>4.8829543217021349</v>
      </c>
      <c r="E51" s="300">
        <f t="shared" si="4"/>
        <v>4.1436532322841657</v>
      </c>
      <c r="F51" s="300">
        <f t="shared" si="4"/>
        <v>3.6184773202900749</v>
      </c>
      <c r="G51" s="300">
        <f t="shared" si="4"/>
        <v>3.2476618780628717</v>
      </c>
      <c r="H51" s="300">
        <f t="shared" si="4"/>
        <v>2.9789679564942695</v>
      </c>
      <c r="I51" s="300">
        <f t="shared" si="4"/>
        <v>2.7856626849332322</v>
      </c>
      <c r="J51" s="300">
        <f t="shared" si="4"/>
        <v>2.6495015296853675</v>
      </c>
      <c r="K51" s="300">
        <f t="shared" si="4"/>
        <v>2.5469016828095734</v>
      </c>
      <c r="L51" s="300">
        <f t="shared" si="5"/>
        <v>2.4606531030136223</v>
      </c>
      <c r="M51" s="300">
        <f t="shared" si="6"/>
        <v>2.3902770826261954</v>
      </c>
      <c r="N51" s="300">
        <f t="shared" si="7"/>
        <v>2.3378561646657396</v>
      </c>
      <c r="O51" s="320"/>
    </row>
    <row r="52" spans="1:15">
      <c r="B52" s="356" t="str">
        <f t="shared" si="3"/>
        <v>65 plus</v>
      </c>
      <c r="C52" s="300">
        <f t="shared" si="3"/>
        <v>6.232220795077561</v>
      </c>
      <c r="D52" s="300">
        <f t="shared" si="4"/>
        <v>4.2942111812772552</v>
      </c>
      <c r="E52" s="300">
        <f t="shared" si="4"/>
        <v>3.0946254023375053</v>
      </c>
      <c r="F52" s="300">
        <f t="shared" si="4"/>
        <v>2.3073110546939564</v>
      </c>
      <c r="G52" s="300">
        <f t="shared" si="4"/>
        <v>1.8089078803295224</v>
      </c>
      <c r="H52" s="300">
        <f t="shared" si="4"/>
        <v>1.4825970329619669</v>
      </c>
      <c r="I52" s="300">
        <f t="shared" si="4"/>
        <v>1.266915303420761</v>
      </c>
      <c r="J52" s="300">
        <f t="shared" si="4"/>
        <v>1.1237601982503831</v>
      </c>
      <c r="K52" s="300">
        <f t="shared" si="4"/>
        <v>1.0259835582589281</v>
      </c>
      <c r="L52" s="300">
        <f t="shared" si="5"/>
        <v>0.95539588057881619</v>
      </c>
      <c r="M52" s="300">
        <f t="shared" si="6"/>
        <v>0.90332983811670353</v>
      </c>
      <c r="N52" s="300">
        <f t="shared" si="7"/>
        <v>0.86542162222200558</v>
      </c>
      <c r="O52" s="320"/>
    </row>
    <row r="53" spans="1:15">
      <c r="B53" s="356" t="str">
        <f t="shared" si="3"/>
        <v>Total</v>
      </c>
      <c r="C53" s="300">
        <f t="shared" si="3"/>
        <v>129.28509105887397</v>
      </c>
      <c r="D53" s="300">
        <f t="shared" si="4"/>
        <v>125.64344860385518</v>
      </c>
      <c r="E53" s="300">
        <f t="shared" si="4"/>
        <v>124.33658441165865</v>
      </c>
      <c r="F53" s="300">
        <f t="shared" si="4"/>
        <v>123.9720534539116</v>
      </c>
      <c r="G53" s="300">
        <f t="shared" si="4"/>
        <v>124.6937543276695</v>
      </c>
      <c r="H53" s="300">
        <f t="shared" si="4"/>
        <v>125.78496219126643</v>
      </c>
      <c r="I53" s="300">
        <f t="shared" si="4"/>
        <v>127.26386201028581</v>
      </c>
      <c r="J53" s="300">
        <f t="shared" si="4"/>
        <v>129.18039805805248</v>
      </c>
      <c r="K53" s="300">
        <f t="shared" si="4"/>
        <v>130.92728410903661</v>
      </c>
      <c r="L53" s="300">
        <f t="shared" si="4"/>
        <v>131.98130337936323</v>
      </c>
      <c r="M53" s="300">
        <f t="shared" si="6"/>
        <v>132.63042142566596</v>
      </c>
      <c r="N53" s="300">
        <f t="shared" si="7"/>
        <v>133.25980414093058</v>
      </c>
      <c r="O53" s="320"/>
    </row>
    <row r="54" spans="1:15">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5">
      <c r="B56" s="334" t="s">
        <v>47</v>
      </c>
      <c r="H56" s="318"/>
    </row>
    <row r="57" spans="1:15">
      <c r="H57" s="318"/>
    </row>
    <row r="58" spans="1:15">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5">
      <c r="B59" s="331" t="str">
        <f t="shared" si="9"/>
        <v>20-24</v>
      </c>
      <c r="C59" s="300">
        <f t="shared" ref="C59:C69" si="11">D21</f>
        <v>5.2405039152705442</v>
      </c>
      <c r="D59" s="300">
        <f>C356</f>
        <v>8.9265798433665076</v>
      </c>
      <c r="E59" s="300">
        <f t="shared" ref="E59:L59" si="12">D356</f>
        <v>11.659248154556478</v>
      </c>
      <c r="F59" s="300">
        <f t="shared" si="12"/>
        <v>13.712746261434422</v>
      </c>
      <c r="G59" s="300">
        <f t="shared" si="12"/>
        <v>15.245843578727293</v>
      </c>
      <c r="H59" s="300">
        <f t="shared" si="12"/>
        <v>16.34627755135255</v>
      </c>
      <c r="I59" s="300">
        <f t="shared" si="12"/>
        <v>17.199363342079145</v>
      </c>
      <c r="J59" s="300">
        <f t="shared" si="12"/>
        <v>17.936096682432797</v>
      </c>
      <c r="K59" s="300">
        <f t="shared" si="12"/>
        <v>18.41257208639238</v>
      </c>
      <c r="L59" s="300">
        <f t="shared" si="12"/>
        <v>18.527311102450064</v>
      </c>
      <c r="M59" s="300">
        <f>L356</f>
        <v>18.46954721076898</v>
      </c>
      <c r="N59" s="300">
        <f>M356</f>
        <v>18.416945268029764</v>
      </c>
      <c r="O59" s="320"/>
    </row>
    <row r="60" spans="1:15">
      <c r="B60" s="331" t="str">
        <f t="shared" si="9"/>
        <v>25-29</v>
      </c>
      <c r="C60" s="300">
        <f t="shared" si="11"/>
        <v>31.264074578835508</v>
      </c>
      <c r="D60" s="300">
        <f t="shared" ref="D60:L69" si="13">C357</f>
        <v>28.529229062307682</v>
      </c>
      <c r="E60" s="300">
        <f t="shared" si="13"/>
        <v>27.369767968863407</v>
      </c>
      <c r="F60" s="300">
        <f t="shared" si="13"/>
        <v>27.138877886383423</v>
      </c>
      <c r="G60" s="300">
        <f t="shared" si="13"/>
        <v>27.415038826028017</v>
      </c>
      <c r="H60" s="300">
        <f t="shared" si="13"/>
        <v>27.909005006072078</v>
      </c>
      <c r="I60" s="300">
        <f t="shared" si="13"/>
        <v>28.537667769111643</v>
      </c>
      <c r="J60" s="300">
        <f t="shared" si="13"/>
        <v>29.276122977638785</v>
      </c>
      <c r="K60" s="300">
        <f t="shared" si="13"/>
        <v>29.889330975939028</v>
      </c>
      <c r="L60" s="300">
        <f t="shared" ref="L60:L68" si="14">K357</f>
        <v>30.184587081847859</v>
      </c>
      <c r="M60" s="300">
        <f t="shared" ref="M60:M69" si="15">L357</f>
        <v>30.273108327321307</v>
      </c>
      <c r="N60" s="300">
        <f t="shared" ref="N60:N69" si="16">M357</f>
        <v>30.31322923076705</v>
      </c>
      <c r="O60" s="320"/>
    </row>
    <row r="61" spans="1:15">
      <c r="B61" s="331" t="str">
        <f t="shared" si="9"/>
        <v>30-34</v>
      </c>
      <c r="C61" s="300">
        <f t="shared" si="11"/>
        <v>23.497291878008181</v>
      </c>
      <c r="D61" s="300">
        <f t="shared" si="13"/>
        <v>25.369796798913079</v>
      </c>
      <c r="E61" s="300">
        <f t="shared" si="13"/>
        <v>26.291972118925276</v>
      </c>
      <c r="F61" s="300">
        <f t="shared" si="13"/>
        <v>26.784924501992908</v>
      </c>
      <c r="G61" s="300">
        <f t="shared" si="13"/>
        <v>27.122270610228888</v>
      </c>
      <c r="H61" s="300">
        <f t="shared" si="13"/>
        <v>27.429253161312197</v>
      </c>
      <c r="I61" s="300">
        <f t="shared" si="13"/>
        <v>27.781956366738854</v>
      </c>
      <c r="J61" s="300">
        <f t="shared" si="13"/>
        <v>28.220933010758323</v>
      </c>
      <c r="K61" s="300">
        <f t="shared" si="13"/>
        <v>28.651500935708775</v>
      </c>
      <c r="L61" s="300">
        <f t="shared" si="14"/>
        <v>28.962427105595154</v>
      </c>
      <c r="M61" s="300">
        <f t="shared" si="15"/>
        <v>29.170475946179451</v>
      </c>
      <c r="N61" s="300">
        <f t="shared" si="16"/>
        <v>29.330706381303862</v>
      </c>
      <c r="O61" s="320"/>
    </row>
    <row r="62" spans="1:15">
      <c r="B62" s="331" t="str">
        <f t="shared" si="9"/>
        <v>35-39</v>
      </c>
      <c r="C62" s="300">
        <f t="shared" si="11"/>
        <v>31.822915038323536</v>
      </c>
      <c r="D62" s="300">
        <f t="shared" si="13"/>
        <v>29.554381663078402</v>
      </c>
      <c r="E62" s="300">
        <f t="shared" si="13"/>
        <v>28.278834076139347</v>
      </c>
      <c r="F62" s="300">
        <f t="shared" si="13"/>
        <v>27.531655681642036</v>
      </c>
      <c r="G62" s="300">
        <f t="shared" si="13"/>
        <v>27.086749589806129</v>
      </c>
      <c r="H62" s="300">
        <f t="shared" si="13"/>
        <v>26.833713005313442</v>
      </c>
      <c r="I62" s="300">
        <f t="shared" si="13"/>
        <v>26.736141152642176</v>
      </c>
      <c r="J62" s="300">
        <f t="shared" si="13"/>
        <v>26.781788220735205</v>
      </c>
      <c r="K62" s="300">
        <f t="shared" si="13"/>
        <v>26.880054626068763</v>
      </c>
      <c r="L62" s="300">
        <f t="shared" si="14"/>
        <v>26.947381041183842</v>
      </c>
      <c r="M62" s="300">
        <f t="shared" si="15"/>
        <v>27.00093992534984</v>
      </c>
      <c r="N62" s="300">
        <f t="shared" si="16"/>
        <v>27.073334665984962</v>
      </c>
      <c r="O62" s="320"/>
    </row>
    <row r="63" spans="1:15">
      <c r="B63" s="331" t="str">
        <f t="shared" si="9"/>
        <v>40-44</v>
      </c>
      <c r="C63" s="300">
        <f t="shared" si="11"/>
        <v>20.044277661422058</v>
      </c>
      <c r="D63" s="300">
        <f t="shared" si="13"/>
        <v>22.258963539402263</v>
      </c>
      <c r="E63" s="300">
        <f t="shared" si="13"/>
        <v>23.505123186679555</v>
      </c>
      <c r="F63" s="300">
        <f t="shared" si="13"/>
        <v>24.201014072344876</v>
      </c>
      <c r="G63" s="300">
        <f t="shared" si="13"/>
        <v>24.582937986819491</v>
      </c>
      <c r="H63" s="300">
        <f t="shared" si="13"/>
        <v>24.789562798308072</v>
      </c>
      <c r="I63" s="300">
        <f t="shared" si="13"/>
        <v>24.921113419093736</v>
      </c>
      <c r="J63" s="300">
        <f t="shared" si="13"/>
        <v>25.044659571378048</v>
      </c>
      <c r="K63" s="300">
        <f t="shared" si="13"/>
        <v>25.130527168550493</v>
      </c>
      <c r="L63" s="300">
        <f t="shared" si="14"/>
        <v>25.140209320081635</v>
      </c>
      <c r="M63" s="300">
        <f t="shared" si="15"/>
        <v>25.114756976334224</v>
      </c>
      <c r="N63" s="300">
        <f t="shared" si="16"/>
        <v>25.101990993315042</v>
      </c>
      <c r="O63" s="320"/>
    </row>
    <row r="64" spans="1:15">
      <c r="B64" s="331" t="str">
        <f t="shared" si="9"/>
        <v>45-49</v>
      </c>
      <c r="C64" s="300">
        <f t="shared" si="11"/>
        <v>16.732223202953662</v>
      </c>
      <c r="D64" s="300">
        <f t="shared" si="13"/>
        <v>17.235910749171481</v>
      </c>
      <c r="E64" s="300">
        <f t="shared" si="13"/>
        <v>18.036727815973197</v>
      </c>
      <c r="F64" s="300">
        <f t="shared" si="13"/>
        <v>18.859579969927527</v>
      </c>
      <c r="G64" s="300">
        <f t="shared" si="13"/>
        <v>19.591397005767934</v>
      </c>
      <c r="H64" s="300">
        <f t="shared" si="13"/>
        <v>20.19990301428723</v>
      </c>
      <c r="I64" s="300">
        <f t="shared" si="13"/>
        <v>20.701469732076674</v>
      </c>
      <c r="J64" s="300">
        <f t="shared" si="13"/>
        <v>21.1265239299588</v>
      </c>
      <c r="K64" s="300">
        <f t="shared" si="13"/>
        <v>21.447703601012861</v>
      </c>
      <c r="L64" s="300">
        <f t="shared" si="14"/>
        <v>21.639547185841796</v>
      </c>
      <c r="M64" s="300">
        <f t="shared" si="15"/>
        <v>21.744670495465609</v>
      </c>
      <c r="N64" s="300">
        <f t="shared" si="16"/>
        <v>21.813323145523331</v>
      </c>
      <c r="O64" s="320"/>
    </row>
    <row r="65" spans="1:15">
      <c r="B65" s="331" t="str">
        <f t="shared" si="9"/>
        <v>50-54</v>
      </c>
      <c r="C65" s="300">
        <f t="shared" si="11"/>
        <v>16.303345641020993</v>
      </c>
      <c r="D65" s="300">
        <f t="shared" si="13"/>
        <v>15.589249005770551</v>
      </c>
      <c r="E65" s="300">
        <f t="shared" si="13"/>
        <v>15.191671156674676</v>
      </c>
      <c r="F65" s="300">
        <f t="shared" si="13"/>
        <v>15.058140687559623</v>
      </c>
      <c r="G65" s="300">
        <f t="shared" si="13"/>
        <v>15.113011857525462</v>
      </c>
      <c r="H65" s="300">
        <f t="shared" si="13"/>
        <v>15.28670478364676</v>
      </c>
      <c r="I65" s="300">
        <f t="shared" si="13"/>
        <v>15.533618160156244</v>
      </c>
      <c r="J65" s="300">
        <f t="shared" si="13"/>
        <v>15.824541150490864</v>
      </c>
      <c r="K65" s="300">
        <f t="shared" si="13"/>
        <v>16.09844664295478</v>
      </c>
      <c r="L65" s="300">
        <f t="shared" si="14"/>
        <v>16.307090173200045</v>
      </c>
      <c r="M65" s="300">
        <f t="shared" si="15"/>
        <v>16.462239038786382</v>
      </c>
      <c r="N65" s="300">
        <f t="shared" si="16"/>
        <v>16.588529138611865</v>
      </c>
      <c r="O65" s="320"/>
    </row>
    <row r="66" spans="1:15">
      <c r="B66" s="331" t="str">
        <f t="shared" si="9"/>
        <v>55-59</v>
      </c>
      <c r="C66" s="300">
        <f t="shared" si="11"/>
        <v>20.263215158072999</v>
      </c>
      <c r="D66" s="300">
        <f t="shared" si="13"/>
        <v>15.5741870461217</v>
      </c>
      <c r="E66" s="300">
        <f t="shared" si="13"/>
        <v>12.604920128115863</v>
      </c>
      <c r="F66" s="300">
        <f t="shared" si="13"/>
        <v>10.7322798173452</v>
      </c>
      <c r="G66" s="300">
        <f t="shared" si="13"/>
        <v>9.5716393007647369</v>
      </c>
      <c r="H66" s="300">
        <f t="shared" si="13"/>
        <v>8.873703877292602</v>
      </c>
      <c r="I66" s="300">
        <f t="shared" si="13"/>
        <v>8.4838417637396972</v>
      </c>
      <c r="J66" s="300">
        <f t="shared" si="13"/>
        <v>8.3006852844301289</v>
      </c>
      <c r="K66" s="300">
        <f t="shared" si="13"/>
        <v>8.2281711251999248</v>
      </c>
      <c r="L66" s="300">
        <f t="shared" si="14"/>
        <v>8.1981592001067423</v>
      </c>
      <c r="M66" s="300">
        <f t="shared" si="15"/>
        <v>8.1943357769148228</v>
      </c>
      <c r="N66" s="300">
        <f t="shared" si="16"/>
        <v>8.2141885580481429</v>
      </c>
      <c r="O66" s="320"/>
    </row>
    <row r="67" spans="1:15">
      <c r="B67" s="331" t="str">
        <f t="shared" si="9"/>
        <v>60-64</v>
      </c>
      <c r="C67" s="300">
        <f t="shared" si="11"/>
        <v>5.8521873492924872</v>
      </c>
      <c r="D67" s="300">
        <f t="shared" si="13"/>
        <v>5.8941641313896547</v>
      </c>
      <c r="E67" s="300">
        <f t="shared" si="13"/>
        <v>5.3257391472879387</v>
      </c>
      <c r="F67" s="300">
        <f t="shared" si="13"/>
        <v>4.6622470895369545</v>
      </c>
      <c r="G67" s="300">
        <f t="shared" si="13"/>
        <v>4.0900202696365433</v>
      </c>
      <c r="H67" s="300">
        <f t="shared" si="13"/>
        <v>3.6539157259202408</v>
      </c>
      <c r="I67" s="300">
        <f t="shared" si="13"/>
        <v>3.3492121700083191</v>
      </c>
      <c r="J67" s="300">
        <f t="shared" si="13"/>
        <v>3.1539615745311673</v>
      </c>
      <c r="K67" s="300">
        <f t="shared" si="13"/>
        <v>3.0290508815937609</v>
      </c>
      <c r="L67" s="300">
        <f t="shared" si="14"/>
        <v>2.9423927999892068</v>
      </c>
      <c r="M67" s="300">
        <f t="shared" si="15"/>
        <v>2.8857375935810343</v>
      </c>
      <c r="N67" s="300">
        <f t="shared" si="16"/>
        <v>2.8557150882918827</v>
      </c>
      <c r="O67" s="320"/>
    </row>
    <row r="68" spans="1:15">
      <c r="B68" s="331" t="str">
        <f t="shared" si="9"/>
        <v>65 plus</v>
      </c>
      <c r="C68" s="300">
        <f t="shared" si="11"/>
        <v>5.7514999732075527</v>
      </c>
      <c r="D68" s="300">
        <f t="shared" si="13"/>
        <v>4.4452939893123045</v>
      </c>
      <c r="E68" s="300">
        <f t="shared" si="13"/>
        <v>3.6311008286170514</v>
      </c>
      <c r="F68" s="300">
        <f t="shared" si="13"/>
        <v>3.0452178719259604</v>
      </c>
      <c r="G68" s="300">
        <f t="shared" si="13"/>
        <v>2.5931471106817319</v>
      </c>
      <c r="H68" s="300">
        <f t="shared" si="13"/>
        <v>2.2398169852489671</v>
      </c>
      <c r="I68" s="300">
        <f t="shared" si="13"/>
        <v>1.9662396672551086</v>
      </c>
      <c r="J68" s="300">
        <f t="shared" si="13"/>
        <v>1.7599879190838557</v>
      </c>
      <c r="K68" s="300">
        <f t="shared" si="13"/>
        <v>1.6060096016620757</v>
      </c>
      <c r="L68" s="300">
        <f t="shared" si="14"/>
        <v>1.4900053355087279</v>
      </c>
      <c r="M68" s="300">
        <f t="shared" si="15"/>
        <v>1.4040600965984349</v>
      </c>
      <c r="N68" s="300">
        <f t="shared" si="16"/>
        <v>1.3430693895030643</v>
      </c>
      <c r="O68" s="320"/>
    </row>
    <row r="69" spans="1:15">
      <c r="B69" s="331" t="str">
        <f t="shared" si="9"/>
        <v>Total</v>
      </c>
      <c r="C69" s="300">
        <f t="shared" si="11"/>
        <v>176.77153439640753</v>
      </c>
      <c r="D69" s="300">
        <f t="shared" si="13"/>
        <v>173.37775582883364</v>
      </c>
      <c r="E69" s="300">
        <f t="shared" si="13"/>
        <v>171.89510458183281</v>
      </c>
      <c r="F69" s="300">
        <f t="shared" si="13"/>
        <v>171.7266838400929</v>
      </c>
      <c r="G69" s="300">
        <f t="shared" si="13"/>
        <v>172.41205613598623</v>
      </c>
      <c r="H69" s="300">
        <f t="shared" si="13"/>
        <v>173.56185590875413</v>
      </c>
      <c r="I69" s="300">
        <f t="shared" si="13"/>
        <v>175.21062354290157</v>
      </c>
      <c r="J69" s="300">
        <f t="shared" si="13"/>
        <v>177.42530032143799</v>
      </c>
      <c r="K69" s="300">
        <f t="shared" si="13"/>
        <v>179.37336764508282</v>
      </c>
      <c r="L69" s="300">
        <f t="shared" si="13"/>
        <v>180.33911034580504</v>
      </c>
      <c r="M69" s="300">
        <f t="shared" si="15"/>
        <v>180.71987138730009</v>
      </c>
      <c r="N69" s="300">
        <f t="shared" si="16"/>
        <v>181.05103185937895</v>
      </c>
      <c r="O69" s="320"/>
    </row>
    <row r="70" spans="1:15">
      <c r="A70" s="302">
        <f>SUM(C70:N70)</f>
        <v>0</v>
      </c>
      <c r="C70" s="302">
        <f t="shared" ref="C70:N70" si="17">SUM(C59:C68)-C69</f>
        <v>0</v>
      </c>
      <c r="D70" s="302">
        <f t="shared" si="17"/>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5" ht="15.75">
      <c r="B72" s="333" t="s">
        <v>163</v>
      </c>
      <c r="H72" s="318"/>
    </row>
    <row r="73" spans="1:15">
      <c r="H73" s="318"/>
    </row>
    <row r="74" spans="1:15">
      <c r="B74" s="334" t="s">
        <v>46</v>
      </c>
      <c r="C74" s="256" t="s">
        <v>456</v>
      </c>
      <c r="H74" s="318"/>
    </row>
    <row r="75" spans="1:15">
      <c r="H75" s="318"/>
    </row>
    <row r="76" spans="1:15">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5">
      <c r="B77" s="331" t="str">
        <f t="shared" si="18"/>
        <v>20-24</v>
      </c>
      <c r="C77" s="447">
        <f>C43-(0.2*C43)</f>
        <v>4.0245645992588983</v>
      </c>
      <c r="D77" s="447">
        <f>D43-(0.2*D43)</f>
        <v>5.8358045323280523</v>
      </c>
      <c r="E77" s="447">
        <f t="shared" ref="E77:N77" si="20">E43-(0.2*E43)</f>
        <v>7.1894196584941614</v>
      </c>
      <c r="F77" s="447">
        <f t="shared" si="20"/>
        <v>8.1855954366177137</v>
      </c>
      <c r="G77" s="447">
        <f t="shared" si="20"/>
        <v>8.9524171944217379</v>
      </c>
      <c r="H77" s="447">
        <f t="shared" si="20"/>
        <v>9.4974032731468903</v>
      </c>
      <c r="I77" s="447">
        <f t="shared" si="20"/>
        <v>9.9218215984000917</v>
      </c>
      <c r="J77" s="447">
        <f t="shared" si="20"/>
        <v>10.296290847513456</v>
      </c>
      <c r="K77" s="447">
        <f t="shared" si="20"/>
        <v>10.531685806807513</v>
      </c>
      <c r="L77" s="447">
        <f t="shared" si="20"/>
        <v>10.566067979421032</v>
      </c>
      <c r="M77" s="447">
        <f t="shared" si="20"/>
        <v>10.508977614729879</v>
      </c>
      <c r="N77" s="447">
        <f t="shared" si="20"/>
        <v>10.462447073623789</v>
      </c>
    </row>
    <row r="78" spans="1:15">
      <c r="B78" s="331" t="str">
        <f t="shared" si="18"/>
        <v>25-29</v>
      </c>
      <c r="C78" s="447">
        <f t="shared" ref="C78:C85" si="21">C44+(0.2*C43)-(0.2*C44)</f>
        <v>16.306459588279164</v>
      </c>
      <c r="D78" s="447">
        <f t="shared" ref="D78:N78" si="22">D44+(0.2*D43)-(0.2*D44)</f>
        <v>15.93393844399351</v>
      </c>
      <c r="E78" s="447">
        <f t="shared" si="22"/>
        <v>16.157281812775064</v>
      </c>
      <c r="F78" s="447">
        <f t="shared" si="22"/>
        <v>16.591026258410825</v>
      </c>
      <c r="G78" s="447">
        <f t="shared" si="22"/>
        <v>17.181956557027412</v>
      </c>
      <c r="H78" s="447">
        <f t="shared" si="22"/>
        <v>17.746157073676262</v>
      </c>
      <c r="I78" s="447">
        <f t="shared" si="22"/>
        <v>18.294914343425837</v>
      </c>
      <c r="J78" s="447">
        <f t="shared" si="22"/>
        <v>18.854437465348234</v>
      </c>
      <c r="K78" s="447">
        <f t="shared" si="22"/>
        <v>19.279960960566822</v>
      </c>
      <c r="L78" s="447">
        <f t="shared" si="22"/>
        <v>19.45460143054434</v>
      </c>
      <c r="M78" s="447">
        <f t="shared" si="22"/>
        <v>19.479673458248758</v>
      </c>
      <c r="N78" s="447">
        <f t="shared" si="22"/>
        <v>19.478295227640043</v>
      </c>
    </row>
    <row r="79" spans="1:15">
      <c r="B79" s="331" t="str">
        <f t="shared" si="18"/>
        <v>30-34</v>
      </c>
      <c r="C79" s="447">
        <f t="shared" si="21"/>
        <v>17.856273915530867</v>
      </c>
      <c r="D79" s="447">
        <f t="shared" ref="D79:N79" si="23">D45+(0.2*D44)-(0.2*D45)</f>
        <v>18.245473480260145</v>
      </c>
      <c r="E79" s="447">
        <f t="shared" si="23"/>
        <v>18.587952851762068</v>
      </c>
      <c r="F79" s="447">
        <f t="shared" si="23"/>
        <v>18.884627389615581</v>
      </c>
      <c r="G79" s="447">
        <f t="shared" si="23"/>
        <v>19.25786059909132</v>
      </c>
      <c r="H79" s="447">
        <f t="shared" si="23"/>
        <v>19.646323816201274</v>
      </c>
      <c r="I79" s="447">
        <f t="shared" si="23"/>
        <v>20.066195169008409</v>
      </c>
      <c r="J79" s="447">
        <f t="shared" si="23"/>
        <v>20.531815270024353</v>
      </c>
      <c r="K79" s="447">
        <f t="shared" si="23"/>
        <v>20.953165102971045</v>
      </c>
      <c r="L79" s="447">
        <f t="shared" si="23"/>
        <v>21.238686495604309</v>
      </c>
      <c r="M79" s="447">
        <f t="shared" si="23"/>
        <v>21.416938755664432</v>
      </c>
      <c r="N79" s="447">
        <f t="shared" si="23"/>
        <v>21.546635602835572</v>
      </c>
    </row>
    <row r="80" spans="1:15">
      <c r="B80" s="331" t="str">
        <f t="shared" si="18"/>
        <v>35-39</v>
      </c>
      <c r="C80" s="447">
        <f t="shared" si="21"/>
        <v>12.56921167987667</v>
      </c>
      <c r="D80" s="447">
        <f t="shared" ref="D80:N80" si="24">D46+(0.2*D45)-(0.2*D46)</f>
        <v>14.122780619850317</v>
      </c>
      <c r="E80" s="447">
        <f t="shared" si="24"/>
        <v>15.427251867479502</v>
      </c>
      <c r="F80" s="447">
        <f t="shared" si="24"/>
        <v>16.458922566762787</v>
      </c>
      <c r="G80" s="447">
        <f t="shared" si="24"/>
        <v>17.333504748848281</v>
      </c>
      <c r="H80" s="447">
        <f t="shared" si="24"/>
        <v>18.058285909255751</v>
      </c>
      <c r="I80" s="447">
        <f t="shared" si="24"/>
        <v>18.691245290183861</v>
      </c>
      <c r="J80" s="447">
        <f t="shared" si="24"/>
        <v>19.278685199657904</v>
      </c>
      <c r="K80" s="447">
        <f t="shared" si="24"/>
        <v>19.787986305981633</v>
      </c>
      <c r="L80" s="447">
        <f t="shared" si="24"/>
        <v>20.178263418033463</v>
      </c>
      <c r="M80" s="447">
        <f t="shared" si="24"/>
        <v>20.479271638805002</v>
      </c>
      <c r="N80" s="447">
        <f t="shared" si="24"/>
        <v>20.731618846177717</v>
      </c>
    </row>
    <row r="81" spans="1:14">
      <c r="B81" s="331" t="str">
        <f t="shared" si="18"/>
        <v>40-44</v>
      </c>
      <c r="C81" s="447">
        <f t="shared" si="21"/>
        <v>17.209087065522159</v>
      </c>
      <c r="D81" s="447">
        <f t="shared" ref="D81:N81" si="25">D47+(0.2*D46)-(0.2*D47)</f>
        <v>16.341125085690994</v>
      </c>
      <c r="E81" s="447">
        <f t="shared" si="25"/>
        <v>16.063659075987715</v>
      </c>
      <c r="F81" s="447">
        <f t="shared" si="25"/>
        <v>16.094090094822946</v>
      </c>
      <c r="G81" s="447">
        <f t="shared" si="25"/>
        <v>16.356710468598589</v>
      </c>
      <c r="H81" s="447">
        <f t="shared" si="25"/>
        <v>16.719826866757924</v>
      </c>
      <c r="I81" s="447">
        <f t="shared" si="25"/>
        <v>17.143310891583866</v>
      </c>
      <c r="J81" s="447">
        <f t="shared" si="25"/>
        <v>17.608463789623368</v>
      </c>
      <c r="K81" s="447">
        <f t="shared" si="25"/>
        <v>18.052215376774218</v>
      </c>
      <c r="L81" s="447">
        <f t="shared" si="25"/>
        <v>18.421638360678809</v>
      </c>
      <c r="M81" s="447">
        <f t="shared" si="25"/>
        <v>18.73378961102005</v>
      </c>
      <c r="N81" s="447">
        <f t="shared" si="25"/>
        <v>19.017872414036809</v>
      </c>
    </row>
    <row r="82" spans="1:14">
      <c r="B82" s="331" t="str">
        <f t="shared" si="18"/>
        <v>45-49</v>
      </c>
      <c r="C82" s="447">
        <f t="shared" si="21"/>
        <v>15.937250155753524</v>
      </c>
      <c r="D82" s="447">
        <f t="shared" ref="D82:N82" si="26">D48+(0.2*D47)-(0.2*D48)</f>
        <v>15.819398235215679</v>
      </c>
      <c r="E82" s="447">
        <f t="shared" si="26"/>
        <v>15.650685808759846</v>
      </c>
      <c r="F82" s="447">
        <f t="shared" si="26"/>
        <v>15.45733069123362</v>
      </c>
      <c r="G82" s="447">
        <f t="shared" si="26"/>
        <v>15.369301976329604</v>
      </c>
      <c r="H82" s="447">
        <f t="shared" si="26"/>
        <v>15.359066615271145</v>
      </c>
      <c r="I82" s="447">
        <f t="shared" si="26"/>
        <v>15.435304103977526</v>
      </c>
      <c r="J82" s="447">
        <f t="shared" si="26"/>
        <v>15.597131916447747</v>
      </c>
      <c r="K82" s="447">
        <f t="shared" si="26"/>
        <v>15.793158772777989</v>
      </c>
      <c r="L82" s="447">
        <f t="shared" si="26"/>
        <v>15.974147047142218</v>
      </c>
      <c r="M82" s="447">
        <f t="shared" si="26"/>
        <v>16.146663296310358</v>
      </c>
      <c r="N82" s="447">
        <f t="shared" si="26"/>
        <v>16.327688724258227</v>
      </c>
    </row>
    <row r="83" spans="1:14">
      <c r="B83" s="331" t="str">
        <f t="shared" si="18"/>
        <v>50-54</v>
      </c>
      <c r="C83" s="447">
        <f t="shared" si="21"/>
        <v>17.919684200770973</v>
      </c>
      <c r="D83" s="447">
        <f t="shared" ref="D83:N83" si="27">D49+(0.2*D48)-(0.2*D49)</f>
        <v>16.641846848665825</v>
      </c>
      <c r="E83" s="447">
        <f t="shared" si="27"/>
        <v>15.760434211321252</v>
      </c>
      <c r="F83" s="447">
        <f t="shared" si="27"/>
        <v>15.073185019590259</v>
      </c>
      <c r="G83" s="447">
        <f t="shared" si="27"/>
        <v>14.578141818139027</v>
      </c>
      <c r="H83" s="447">
        <f t="shared" si="27"/>
        <v>14.207818045876309</v>
      </c>
      <c r="I83" s="447">
        <f t="shared" si="27"/>
        <v>13.950390883527263</v>
      </c>
      <c r="J83" s="447">
        <f t="shared" si="27"/>
        <v>13.799057023704025</v>
      </c>
      <c r="K83" s="447">
        <f t="shared" si="27"/>
        <v>13.712965369303285</v>
      </c>
      <c r="L83" s="447">
        <f t="shared" si="27"/>
        <v>13.653098414856172</v>
      </c>
      <c r="M83" s="447">
        <f t="shared" si="27"/>
        <v>13.621760899857346</v>
      </c>
      <c r="N83" s="447">
        <f t="shared" si="27"/>
        <v>13.628654038544475</v>
      </c>
    </row>
    <row r="84" spans="1:14">
      <c r="B84" s="331" t="str">
        <f t="shared" si="18"/>
        <v>55-59</v>
      </c>
      <c r="C84" s="447">
        <f t="shared" si="21"/>
        <v>12.948646581104382</v>
      </c>
      <c r="D84" s="447">
        <f t="shared" ref="D84:N84" si="28">D50+(0.2*D49)-(0.2*D50)</f>
        <v>11.497971924472962</v>
      </c>
      <c r="E84" s="447">
        <f t="shared" si="28"/>
        <v>10.442760215649249</v>
      </c>
      <c r="F84" s="447">
        <f t="shared" si="28"/>
        <v>9.642046430031499</v>
      </c>
      <c r="G84" s="447">
        <f t="shared" si="28"/>
        <v>9.0632283219012741</v>
      </c>
      <c r="H84" s="447">
        <f t="shared" si="28"/>
        <v>8.6304430701376766</v>
      </c>
      <c r="I84" s="447">
        <f t="shared" si="28"/>
        <v>8.3131769358556902</v>
      </c>
      <c r="J84" s="447">
        <f t="shared" si="28"/>
        <v>8.0911727134827576</v>
      </c>
      <c r="K84" s="447">
        <f t="shared" si="28"/>
        <v>7.9270761021179457</v>
      </c>
      <c r="L84" s="447">
        <f t="shared" si="28"/>
        <v>7.7911096633953933</v>
      </c>
      <c r="M84" s="447">
        <f t="shared" si="28"/>
        <v>7.6849499229236802</v>
      </c>
      <c r="N84" s="447">
        <f t="shared" si="28"/>
        <v>7.6146073625356312</v>
      </c>
    </row>
    <row r="85" spans="1:14">
      <c r="B85" s="331" t="str">
        <f t="shared" si="18"/>
        <v>60-64</v>
      </c>
      <c r="C85" s="447">
        <f t="shared" si="21"/>
        <v>7.0869193734189482</v>
      </c>
      <c r="D85" s="447">
        <f t="shared" ref="D85:N85" si="29">D51+(0.2*D50)-(0.2*D51)</f>
        <v>5.9343073877600183</v>
      </c>
      <c r="E85" s="447">
        <f t="shared" si="29"/>
        <v>5.1337828606354652</v>
      </c>
      <c r="F85" s="447">
        <f t="shared" si="29"/>
        <v>4.5542230480743893</v>
      </c>
      <c r="G85" s="447">
        <f t="shared" si="29"/>
        <v>4.1421923873701552</v>
      </c>
      <c r="H85" s="447">
        <f t="shared" si="29"/>
        <v>3.8412468966823639</v>
      </c>
      <c r="I85" s="447">
        <f t="shared" si="29"/>
        <v>3.6234549539158607</v>
      </c>
      <c r="J85" s="447">
        <f t="shared" si="29"/>
        <v>3.4696833280631791</v>
      </c>
      <c r="K85" s="447">
        <f t="shared" si="29"/>
        <v>3.3537064169153128</v>
      </c>
      <c r="L85" s="447">
        <f t="shared" si="29"/>
        <v>3.2561640685059654</v>
      </c>
      <c r="M85" s="447">
        <f t="shared" si="29"/>
        <v>3.1770109734645078</v>
      </c>
      <c r="N85" s="447">
        <f t="shared" si="29"/>
        <v>3.1189919961231487</v>
      </c>
    </row>
    <row r="86" spans="1:14">
      <c r="B86" s="331" t="str">
        <f t="shared" si="18"/>
        <v>65 plus</v>
      </c>
      <c r="C86" s="447">
        <f>C52+(0.2*C51)</f>
        <v>7.4269938993583855</v>
      </c>
      <c r="D86" s="447">
        <f t="shared" ref="D86:N86" si="30">D52+(0.2*D51)</f>
        <v>5.2708020456176818</v>
      </c>
      <c r="E86" s="447">
        <f t="shared" si="30"/>
        <v>3.9233560487943384</v>
      </c>
      <c r="F86" s="447">
        <f t="shared" si="30"/>
        <v>3.0310065187519712</v>
      </c>
      <c r="G86" s="447">
        <f t="shared" si="30"/>
        <v>2.4584402559420968</v>
      </c>
      <c r="H86" s="447">
        <f t="shared" si="30"/>
        <v>2.0783906242608206</v>
      </c>
      <c r="I86" s="447">
        <f t="shared" si="30"/>
        <v>1.8240478404074074</v>
      </c>
      <c r="J86" s="447">
        <f t="shared" si="30"/>
        <v>1.6536605041874566</v>
      </c>
      <c r="K86" s="447">
        <f t="shared" si="30"/>
        <v>1.5353638948208428</v>
      </c>
      <c r="L86" s="447">
        <f t="shared" si="30"/>
        <v>1.4475265011815406</v>
      </c>
      <c r="M86" s="447">
        <f t="shared" si="30"/>
        <v>1.3813852546419425</v>
      </c>
      <c r="N86" s="447">
        <f t="shared" si="30"/>
        <v>1.3329928551551535</v>
      </c>
    </row>
    <row r="87" spans="1:14">
      <c r="B87" s="331" t="str">
        <f t="shared" si="18"/>
        <v>Total</v>
      </c>
      <c r="C87" s="447">
        <f>SUM(C77:C86)</f>
        <v>129.28509105887397</v>
      </c>
      <c r="D87" s="447">
        <f t="shared" ref="D87:N87" si="31">SUM(D77:D86)</f>
        <v>125.64344860385519</v>
      </c>
      <c r="E87" s="447">
        <f t="shared" si="31"/>
        <v>124.33658441165865</v>
      </c>
      <c r="F87" s="447">
        <f t="shared" si="31"/>
        <v>123.97205345391158</v>
      </c>
      <c r="G87" s="447">
        <f t="shared" si="31"/>
        <v>124.69375432766951</v>
      </c>
      <c r="H87" s="447">
        <f t="shared" si="31"/>
        <v>125.78496219126642</v>
      </c>
      <c r="I87" s="447">
        <f t="shared" si="31"/>
        <v>127.26386201028582</v>
      </c>
      <c r="J87" s="447">
        <f t="shared" si="31"/>
        <v>129.1803980580525</v>
      </c>
      <c r="K87" s="447">
        <f t="shared" si="31"/>
        <v>130.92728410903661</v>
      </c>
      <c r="L87" s="447">
        <f t="shared" si="31"/>
        <v>131.98130337936323</v>
      </c>
      <c r="M87" s="447">
        <f t="shared" si="31"/>
        <v>132.63042142566599</v>
      </c>
      <c r="N87" s="447">
        <f t="shared" si="31"/>
        <v>133.25980414093056</v>
      </c>
    </row>
    <row r="88" spans="1:14">
      <c r="A88" s="302">
        <f>SUM(C88:N88)</f>
        <v>0</v>
      </c>
      <c r="C88" s="302">
        <f t="shared" ref="C88:N88" si="32">SUM(C77:C86)-C87</f>
        <v>0</v>
      </c>
      <c r="D88" s="302">
        <f t="shared" si="32"/>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4.1924031322164357</v>
      </c>
      <c r="D93" s="447">
        <f t="shared" ref="D93:N93" si="35">D59-(0.2*D59)</f>
        <v>7.1412638746932062</v>
      </c>
      <c r="E93" s="447">
        <f t="shared" si="35"/>
        <v>9.3273985236451828</v>
      </c>
      <c r="F93" s="447">
        <f t="shared" si="35"/>
        <v>10.970197009147537</v>
      </c>
      <c r="G93" s="447">
        <f t="shared" si="35"/>
        <v>12.196674862981833</v>
      </c>
      <c r="H93" s="447">
        <f t="shared" si="35"/>
        <v>13.07702204108204</v>
      </c>
      <c r="I93" s="447">
        <f t="shared" si="35"/>
        <v>13.759490673663317</v>
      </c>
      <c r="J93" s="447">
        <f t="shared" si="35"/>
        <v>14.348877345946239</v>
      </c>
      <c r="K93" s="447">
        <f t="shared" si="35"/>
        <v>14.730057669113904</v>
      </c>
      <c r="L93" s="447">
        <f t="shared" si="35"/>
        <v>14.821848881960051</v>
      </c>
      <c r="M93" s="447">
        <f t="shared" si="35"/>
        <v>14.775637768615184</v>
      </c>
      <c r="N93" s="447">
        <f t="shared" si="35"/>
        <v>14.73355621442381</v>
      </c>
    </row>
    <row r="94" spans="1:14">
      <c r="B94" s="331" t="str">
        <f t="shared" si="33"/>
        <v>25-29</v>
      </c>
      <c r="C94" s="447">
        <f t="shared" ref="C94:C101" si="36">C60+(0.2*C59)-(0.2*C60)</f>
        <v>26.059360446122511</v>
      </c>
      <c r="D94" s="447">
        <f t="shared" ref="D94:N94" si="37">D60+(0.2*D59)-(0.2*D60)</f>
        <v>24.608699218519448</v>
      </c>
      <c r="E94" s="447">
        <f t="shared" si="37"/>
        <v>24.227664006002023</v>
      </c>
      <c r="F94" s="447">
        <f t="shared" si="37"/>
        <v>24.453651561393624</v>
      </c>
      <c r="G94" s="447">
        <f t="shared" si="37"/>
        <v>24.981199776567873</v>
      </c>
      <c r="H94" s="447">
        <f t="shared" si="37"/>
        <v>25.596459515128174</v>
      </c>
      <c r="I94" s="447">
        <f t="shared" si="37"/>
        <v>26.270006883705143</v>
      </c>
      <c r="J94" s="447">
        <f t="shared" si="37"/>
        <v>27.008117718597589</v>
      </c>
      <c r="K94" s="447">
        <f t="shared" si="37"/>
        <v>27.593979198029693</v>
      </c>
      <c r="L94" s="447">
        <f t="shared" si="37"/>
        <v>27.853131885968299</v>
      </c>
      <c r="M94" s="447">
        <f t="shared" si="37"/>
        <v>27.912396104010845</v>
      </c>
      <c r="N94" s="447">
        <f t="shared" si="37"/>
        <v>27.933972438219591</v>
      </c>
    </row>
    <row r="95" spans="1:14">
      <c r="B95" s="331" t="str">
        <f t="shared" si="33"/>
        <v>30-34</v>
      </c>
      <c r="C95" s="447">
        <f t="shared" si="36"/>
        <v>25.050648418173644</v>
      </c>
      <c r="D95" s="447">
        <f t="shared" ref="D95:N95" si="38">D61+(0.2*D60)-(0.2*D61)</f>
        <v>26.001683251591999</v>
      </c>
      <c r="E95" s="447">
        <f t="shared" si="38"/>
        <v>26.507531288912901</v>
      </c>
      <c r="F95" s="447">
        <f t="shared" si="38"/>
        <v>26.855715178871012</v>
      </c>
      <c r="G95" s="447">
        <f t="shared" si="38"/>
        <v>27.180824253388717</v>
      </c>
      <c r="H95" s="447">
        <f t="shared" si="38"/>
        <v>27.525203530264172</v>
      </c>
      <c r="I95" s="447">
        <f t="shared" si="38"/>
        <v>27.933098647213413</v>
      </c>
      <c r="J95" s="447">
        <f t="shared" si="38"/>
        <v>28.431971004134418</v>
      </c>
      <c r="K95" s="447">
        <f t="shared" si="38"/>
        <v>28.899066943754828</v>
      </c>
      <c r="L95" s="447">
        <f t="shared" si="38"/>
        <v>29.206859100845698</v>
      </c>
      <c r="M95" s="447">
        <f t="shared" si="38"/>
        <v>29.391002422407823</v>
      </c>
      <c r="N95" s="447">
        <f t="shared" si="38"/>
        <v>29.527210951196498</v>
      </c>
    </row>
    <row r="96" spans="1:14">
      <c r="B96" s="331" t="str">
        <f t="shared" si="33"/>
        <v>35-39</v>
      </c>
      <c r="C96" s="447">
        <f t="shared" si="36"/>
        <v>30.157790406260467</v>
      </c>
      <c r="D96" s="447">
        <f t="shared" ref="D96:N96" si="39">D62+(0.2*D61)-(0.2*D62)</f>
        <v>28.717464690245343</v>
      </c>
      <c r="E96" s="447">
        <f t="shared" si="39"/>
        <v>27.881461684696532</v>
      </c>
      <c r="F96" s="447">
        <f t="shared" si="39"/>
        <v>27.38230944571221</v>
      </c>
      <c r="G96" s="447">
        <f t="shared" si="39"/>
        <v>27.09385379389068</v>
      </c>
      <c r="H96" s="447">
        <f t="shared" si="39"/>
        <v>26.952821036513193</v>
      </c>
      <c r="I96" s="447">
        <f t="shared" si="39"/>
        <v>26.94530419546151</v>
      </c>
      <c r="J96" s="447">
        <f t="shared" si="39"/>
        <v>27.069617178739829</v>
      </c>
      <c r="K96" s="447">
        <f t="shared" si="39"/>
        <v>27.234343887996769</v>
      </c>
      <c r="L96" s="447">
        <f t="shared" si="39"/>
        <v>27.350390254066102</v>
      </c>
      <c r="M96" s="447">
        <f t="shared" si="39"/>
        <v>27.434847129515759</v>
      </c>
      <c r="N96" s="447">
        <f t="shared" si="39"/>
        <v>27.524809009048742</v>
      </c>
    </row>
    <row r="97" spans="1:14">
      <c r="B97" s="331" t="str">
        <f t="shared" si="33"/>
        <v>40-44</v>
      </c>
      <c r="C97" s="447">
        <f t="shared" si="36"/>
        <v>22.400005136802353</v>
      </c>
      <c r="D97" s="447">
        <f t="shared" ref="D97:N97" si="40">D63+(0.2*D62)-(0.2*D63)</f>
        <v>23.718047164137491</v>
      </c>
      <c r="E97" s="447">
        <f t="shared" si="40"/>
        <v>24.459865364571513</v>
      </c>
      <c r="F97" s="447">
        <f t="shared" si="40"/>
        <v>24.867142394204308</v>
      </c>
      <c r="G97" s="447">
        <f t="shared" si="40"/>
        <v>25.083700307416819</v>
      </c>
      <c r="H97" s="447">
        <f t="shared" si="40"/>
        <v>25.198392839709147</v>
      </c>
      <c r="I97" s="447">
        <f t="shared" si="40"/>
        <v>25.284118965803426</v>
      </c>
      <c r="J97" s="447">
        <f t="shared" si="40"/>
        <v>25.39208530124948</v>
      </c>
      <c r="K97" s="447">
        <f t="shared" si="40"/>
        <v>25.480432660054145</v>
      </c>
      <c r="L97" s="447">
        <f t="shared" si="40"/>
        <v>25.501643664302076</v>
      </c>
      <c r="M97" s="447">
        <f t="shared" si="40"/>
        <v>25.491993566137349</v>
      </c>
      <c r="N97" s="447">
        <f t="shared" si="40"/>
        <v>25.496259727849026</v>
      </c>
    </row>
    <row r="98" spans="1:14">
      <c r="B98" s="331" t="str">
        <f t="shared" si="33"/>
        <v>45-49</v>
      </c>
      <c r="C98" s="447">
        <f t="shared" si="36"/>
        <v>17.394634094647341</v>
      </c>
      <c r="D98" s="447">
        <f t="shared" ref="D98:N98" si="41">D64+(0.2*D63)-(0.2*D64)</f>
        <v>18.240521307217637</v>
      </c>
      <c r="E98" s="447">
        <f t="shared" si="41"/>
        <v>19.130406890114472</v>
      </c>
      <c r="F98" s="447">
        <f t="shared" si="41"/>
        <v>19.927866790410999</v>
      </c>
      <c r="G98" s="447">
        <f t="shared" si="41"/>
        <v>20.589705201978244</v>
      </c>
      <c r="H98" s="447">
        <f t="shared" si="41"/>
        <v>21.117834971091398</v>
      </c>
      <c r="I98" s="447">
        <f t="shared" si="41"/>
        <v>21.545398469480084</v>
      </c>
      <c r="J98" s="447">
        <f t="shared" si="41"/>
        <v>21.910151058242651</v>
      </c>
      <c r="K98" s="447">
        <f t="shared" si="41"/>
        <v>22.184268314520388</v>
      </c>
      <c r="L98" s="447">
        <f t="shared" si="41"/>
        <v>22.339679612689764</v>
      </c>
      <c r="M98" s="447">
        <f t="shared" si="41"/>
        <v>22.418687791639332</v>
      </c>
      <c r="N98" s="447">
        <f t="shared" si="41"/>
        <v>22.471056715081673</v>
      </c>
    </row>
    <row r="99" spans="1:14">
      <c r="B99" s="331" t="str">
        <f t="shared" si="33"/>
        <v>50-54</v>
      </c>
      <c r="C99" s="447">
        <f t="shared" si="36"/>
        <v>16.389121153407526</v>
      </c>
      <c r="D99" s="447">
        <f t="shared" ref="D99:N99" si="42">D65+(0.2*D64)-(0.2*D65)</f>
        <v>15.918581354450739</v>
      </c>
      <c r="E99" s="447">
        <f t="shared" si="42"/>
        <v>15.760682488534378</v>
      </c>
      <c r="F99" s="447">
        <f t="shared" si="42"/>
        <v>15.818428544033205</v>
      </c>
      <c r="G99" s="447">
        <f t="shared" si="42"/>
        <v>16.008688887173953</v>
      </c>
      <c r="H99" s="447">
        <f t="shared" si="42"/>
        <v>16.269344429774854</v>
      </c>
      <c r="I99" s="447">
        <f t="shared" si="42"/>
        <v>16.56718847454033</v>
      </c>
      <c r="J99" s="447">
        <f t="shared" si="42"/>
        <v>16.884937706384452</v>
      </c>
      <c r="K99" s="447">
        <f t="shared" si="42"/>
        <v>17.168298034566398</v>
      </c>
      <c r="L99" s="447">
        <f t="shared" si="42"/>
        <v>17.373581575728394</v>
      </c>
      <c r="M99" s="447">
        <f t="shared" si="42"/>
        <v>17.518725330122226</v>
      </c>
      <c r="N99" s="447">
        <f t="shared" si="42"/>
        <v>17.633487939994158</v>
      </c>
    </row>
    <row r="100" spans="1:14">
      <c r="B100" s="331" t="str">
        <f t="shared" si="33"/>
        <v>55-59</v>
      </c>
      <c r="C100" s="447">
        <f t="shared" si="36"/>
        <v>19.471241254662598</v>
      </c>
      <c r="D100" s="447">
        <f t="shared" ref="D100:N100" si="43">D66+(0.2*D65)-(0.2*D66)</f>
        <v>15.577199438051473</v>
      </c>
      <c r="E100" s="447">
        <f t="shared" si="43"/>
        <v>13.122270333827625</v>
      </c>
      <c r="F100" s="447">
        <f t="shared" si="43"/>
        <v>11.597451991388084</v>
      </c>
      <c r="G100" s="447">
        <f t="shared" si="43"/>
        <v>10.679913812116881</v>
      </c>
      <c r="H100" s="447">
        <f t="shared" si="43"/>
        <v>10.156304058563434</v>
      </c>
      <c r="I100" s="447">
        <f t="shared" si="43"/>
        <v>9.8937970430230067</v>
      </c>
      <c r="J100" s="447">
        <f t="shared" si="43"/>
        <v>9.8054564576422756</v>
      </c>
      <c r="K100" s="447">
        <f t="shared" si="43"/>
        <v>9.8022262287508966</v>
      </c>
      <c r="L100" s="447">
        <f t="shared" si="43"/>
        <v>9.8199453947254032</v>
      </c>
      <c r="M100" s="447">
        <f t="shared" si="43"/>
        <v>9.8479164292891355</v>
      </c>
      <c r="N100" s="447">
        <f t="shared" si="43"/>
        <v>9.8890566741608872</v>
      </c>
    </row>
    <row r="101" spans="1:14">
      <c r="B101" s="331" t="str">
        <f t="shared" si="33"/>
        <v>60-64</v>
      </c>
      <c r="C101" s="447">
        <f t="shared" si="36"/>
        <v>8.7343929110485892</v>
      </c>
      <c r="D101" s="447">
        <f t="shared" ref="D101:N101" si="44">D67+(0.2*D66)-(0.2*D67)</f>
        <v>7.8301687143360628</v>
      </c>
      <c r="E101" s="447">
        <f t="shared" si="44"/>
        <v>6.7815753434535244</v>
      </c>
      <c r="F101" s="447">
        <f t="shared" si="44"/>
        <v>5.8762536350986032</v>
      </c>
      <c r="G101" s="447">
        <f t="shared" si="44"/>
        <v>5.1863440758621815</v>
      </c>
      <c r="H101" s="447">
        <f t="shared" si="44"/>
        <v>4.6978733561947124</v>
      </c>
      <c r="I101" s="447">
        <f t="shared" si="44"/>
        <v>4.3761380887545949</v>
      </c>
      <c r="J101" s="447">
        <f t="shared" si="44"/>
        <v>4.1833063165109596</v>
      </c>
      <c r="K101" s="447">
        <f t="shared" si="44"/>
        <v>4.0688749303149931</v>
      </c>
      <c r="L101" s="447">
        <f t="shared" si="44"/>
        <v>3.9935460800127141</v>
      </c>
      <c r="M101" s="447">
        <f t="shared" si="44"/>
        <v>3.9474572302477915</v>
      </c>
      <c r="N101" s="447">
        <f t="shared" si="44"/>
        <v>3.9274097822431346</v>
      </c>
    </row>
    <row r="102" spans="1:14">
      <c r="B102" s="331" t="str">
        <f t="shared" si="33"/>
        <v>65 plus</v>
      </c>
      <c r="C102" s="447">
        <f>C68+(0.2*C67)</f>
        <v>6.9219374430660503</v>
      </c>
      <c r="D102" s="447">
        <f t="shared" ref="D102:N102" si="45">D68+(0.2*D67)</f>
        <v>5.6241268155902358</v>
      </c>
      <c r="E102" s="447">
        <f t="shared" si="45"/>
        <v>4.696248658074639</v>
      </c>
      <c r="F102" s="447">
        <f t="shared" si="45"/>
        <v>3.9776672898333514</v>
      </c>
      <c r="G102" s="447">
        <f t="shared" si="45"/>
        <v>3.4111511646090404</v>
      </c>
      <c r="H102" s="447">
        <f t="shared" si="45"/>
        <v>2.9706001304330152</v>
      </c>
      <c r="I102" s="447">
        <f t="shared" si="45"/>
        <v>2.6360821012567723</v>
      </c>
      <c r="J102" s="447">
        <f t="shared" si="45"/>
        <v>2.390780233990089</v>
      </c>
      <c r="K102" s="447">
        <f t="shared" si="45"/>
        <v>2.211819777980828</v>
      </c>
      <c r="L102" s="447">
        <f t="shared" si="45"/>
        <v>2.0784838955065692</v>
      </c>
      <c r="M102" s="447">
        <f t="shared" si="45"/>
        <v>1.9812076153146418</v>
      </c>
      <c r="N102" s="447">
        <f t="shared" si="45"/>
        <v>1.914212407161441</v>
      </c>
    </row>
    <row r="103" spans="1:14">
      <c r="B103" s="331" t="str">
        <f t="shared" si="33"/>
        <v>Total</v>
      </c>
      <c r="C103" s="447">
        <f>SUM(C93:C102)</f>
        <v>176.7715343964075</v>
      </c>
      <c r="D103" s="447">
        <f t="shared" ref="D103:N103" si="46">SUM(D93:D102)</f>
        <v>173.37775582883364</v>
      </c>
      <c r="E103" s="447">
        <f t="shared" si="46"/>
        <v>171.89510458183275</v>
      </c>
      <c r="F103" s="447">
        <f t="shared" si="46"/>
        <v>171.72668384009293</v>
      </c>
      <c r="G103" s="447">
        <f t="shared" si="46"/>
        <v>172.41205613598623</v>
      </c>
      <c r="H103" s="447">
        <f t="shared" si="46"/>
        <v>173.56185590875413</v>
      </c>
      <c r="I103" s="447">
        <f t="shared" si="46"/>
        <v>175.2106235429016</v>
      </c>
      <c r="J103" s="447">
        <f t="shared" si="46"/>
        <v>177.42530032143796</v>
      </c>
      <c r="K103" s="447">
        <f t="shared" si="46"/>
        <v>179.37336764508282</v>
      </c>
      <c r="L103" s="447">
        <f t="shared" si="46"/>
        <v>180.3391103458051</v>
      </c>
      <c r="M103" s="447">
        <f t="shared" si="46"/>
        <v>180.71987138730012</v>
      </c>
      <c r="N103" s="447">
        <f t="shared" si="46"/>
        <v>181.05103185937895</v>
      </c>
    </row>
    <row r="104" spans="1:14">
      <c r="A104" s="302">
        <f>SUM(C104:N104)</f>
        <v>0</v>
      </c>
      <c r="C104" s="302">
        <f t="shared" ref="C104:N104" si="47">SUM(C93:C102)-C103</f>
        <v>0</v>
      </c>
      <c r="D104" s="302">
        <f t="shared" si="47"/>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4" ht="15.75">
      <c r="B106" s="333" t="s">
        <v>164</v>
      </c>
      <c r="H106" s="318"/>
    </row>
    <row r="107" spans="1:14">
      <c r="H107" s="318"/>
    </row>
    <row r="108" spans="1:14">
      <c r="B108" s="334" t="s">
        <v>46</v>
      </c>
      <c r="H108" s="318"/>
    </row>
    <row r="109" spans="1:14">
      <c r="H109" s="318"/>
    </row>
    <row r="110" spans="1:14">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4">
      <c r="B111" s="331" t="str">
        <f t="shared" si="48"/>
        <v>20-24</v>
      </c>
      <c r="C111" s="447">
        <f>C77*Group_2_rates!E74</f>
        <v>0.55984161844735614</v>
      </c>
      <c r="D111" s="447">
        <f>D77*Group_2_rates!F74</f>
        <v>0.78260846134094075</v>
      </c>
      <c r="E111" s="447">
        <f>E77*Group_2_rates!G74</f>
        <v>1.0003157080048291</v>
      </c>
      <c r="F111" s="447">
        <f>F77*Group_2_rates!H74</f>
        <v>1.1175346403362263</v>
      </c>
      <c r="G111" s="447">
        <f>G77*Group_2_rates!I74</f>
        <v>1.2222246270262604</v>
      </c>
      <c r="H111" s="447">
        <f>H77*Group_2_rates!J74</f>
        <v>1.2966285999800007</v>
      </c>
      <c r="I111" s="447">
        <f>I77*Group_2_rates!K74</f>
        <v>1.3545721160182085</v>
      </c>
      <c r="J111" s="447">
        <f>J77*Group_2_rates!L74</f>
        <v>1.4056963574817956</v>
      </c>
      <c r="K111" s="447">
        <f>K77*Group_2_rates!M74</f>
        <v>1.4378335456935236</v>
      </c>
      <c r="L111" s="447">
        <f>L77*Group_2_rates!N74</f>
        <v>1.4425275559464299</v>
      </c>
      <c r="M111" s="447">
        <f>M77*Group_2_rates!O74</f>
        <v>1.4347333202471693</v>
      </c>
      <c r="N111" s="447">
        <f>N77*Group_2_rates!P74</f>
        <v>1.428380759590796</v>
      </c>
    </row>
    <row r="112" spans="1:14">
      <c r="B112" s="331" t="str">
        <f t="shared" si="48"/>
        <v>25-29</v>
      </c>
      <c r="C112" s="447">
        <f>C78*Group_2_rates!E75</f>
        <v>2.1208720808753081</v>
      </c>
      <c r="D112" s="447">
        <f>D78*Group_2_rates!F75</f>
        <v>1.997907861862861</v>
      </c>
      <c r="E112" s="447">
        <f>E78*Group_2_rates!G75</f>
        <v>2.1019388262645706</v>
      </c>
      <c r="F112" s="447">
        <f>F78*Group_2_rates!H75</f>
        <v>2.1178367828289986</v>
      </c>
      <c r="G112" s="447">
        <f>G78*Group_2_rates!I75</f>
        <v>2.1932687605141576</v>
      </c>
      <c r="H112" s="447">
        <f>H78*Group_2_rates!J75</f>
        <v>2.2652886939672983</v>
      </c>
      <c r="I112" s="447">
        <f>I78*Group_2_rates!K75</f>
        <v>2.3353373041387937</v>
      </c>
      <c r="J112" s="447">
        <f>J78*Group_2_rates!L75</f>
        <v>2.406760170331284</v>
      </c>
      <c r="K112" s="447">
        <f>K78*Group_2_rates!M75</f>
        <v>2.4610780465190225</v>
      </c>
      <c r="L112" s="447">
        <f>L78*Group_2_rates!N75</f>
        <v>2.4833708212593093</v>
      </c>
      <c r="M112" s="447">
        <f>M78*Group_2_rates!O75</f>
        <v>2.4865712539308933</v>
      </c>
      <c r="N112" s="447">
        <f>N78*Group_2_rates!P75</f>
        <v>2.4863953234349192</v>
      </c>
    </row>
    <row r="113" spans="1:15">
      <c r="B113" s="331" t="str">
        <f t="shared" si="48"/>
        <v>30-34</v>
      </c>
      <c r="C113" s="447">
        <f>C79*Group_2_rates!E76</f>
        <v>1.5072439906722932</v>
      </c>
      <c r="D113" s="447">
        <f>D79*Group_2_rates!F76</f>
        <v>1.4847228207875609</v>
      </c>
      <c r="E113" s="447">
        <f>E79*Group_2_rates!G76</f>
        <v>1.56935523239357</v>
      </c>
      <c r="F113" s="447">
        <f>F79*Group_2_rates!H76</f>
        <v>1.5644640269911989</v>
      </c>
      <c r="G113" s="447">
        <f>G79*Group_2_rates!I76</f>
        <v>1.5953838814239292</v>
      </c>
      <c r="H113" s="447">
        <f>H79*Group_2_rates!J76</f>
        <v>1.6275654392825705</v>
      </c>
      <c r="I113" s="447">
        <f>I79*Group_2_rates!K76</f>
        <v>1.6623489493767172</v>
      </c>
      <c r="J113" s="447">
        <f>J79*Group_2_rates!L76</f>
        <v>1.7009224347441867</v>
      </c>
      <c r="K113" s="447">
        <f>K79*Group_2_rates!M76</f>
        <v>1.7358284269474711</v>
      </c>
      <c r="L113" s="447">
        <f>L79*Group_2_rates!N76</f>
        <v>1.7594819488568734</v>
      </c>
      <c r="M113" s="447">
        <f>M79*Group_2_rates!O76</f>
        <v>1.774248946523308</v>
      </c>
      <c r="N113" s="447">
        <f>N79*Group_2_rates!P76</f>
        <v>1.7849934556749685</v>
      </c>
    </row>
    <row r="114" spans="1:15">
      <c r="B114" s="331" t="str">
        <f t="shared" si="48"/>
        <v>35-39</v>
      </c>
      <c r="C114" s="447">
        <f>C80*Group_2_rates!E77</f>
        <v>0.92333015841189514</v>
      </c>
      <c r="D114" s="447">
        <f>D80*Group_2_rates!F77</f>
        <v>1.0001536352659597</v>
      </c>
      <c r="E114" s="447">
        <f>E80*Group_2_rates!G77</f>
        <v>1.133533935534488</v>
      </c>
      <c r="F114" s="447">
        <f>F80*Group_2_rates!H77</f>
        <v>1.186628629852738</v>
      </c>
      <c r="G114" s="447">
        <f>G80*Group_2_rates!I77</f>
        <v>1.2496828335657728</v>
      </c>
      <c r="H114" s="447">
        <f>H80*Group_2_rates!J77</f>
        <v>1.301936926859472</v>
      </c>
      <c r="I114" s="447">
        <f>I80*Group_2_rates!K77</f>
        <v>1.3475710028384131</v>
      </c>
      <c r="J114" s="447">
        <f>J80*Group_2_rates!L77</f>
        <v>1.3899232899989149</v>
      </c>
      <c r="K114" s="447">
        <f>K80*Group_2_rates!M77</f>
        <v>1.4266420528175601</v>
      </c>
      <c r="L114" s="447">
        <f>L80*Group_2_rates!N77</f>
        <v>1.4547796172819656</v>
      </c>
      <c r="M114" s="447">
        <f>M80*Group_2_rates!O77</f>
        <v>1.476481218412883</v>
      </c>
      <c r="N114" s="447">
        <f>N80*Group_2_rates!P77</f>
        <v>1.4946745369437415</v>
      </c>
    </row>
    <row r="115" spans="1:15">
      <c r="B115" s="331" t="str">
        <f t="shared" si="48"/>
        <v>40-44</v>
      </c>
      <c r="C115" s="447">
        <f>C81*Group_2_rates!E78</f>
        <v>1.2728805763737361</v>
      </c>
      <c r="D115" s="447">
        <f>D81*Group_2_rates!F78</f>
        <v>1.1652236914239014</v>
      </c>
      <c r="E115" s="447">
        <f>E81*Group_2_rates!G78</f>
        <v>1.1884236391141361</v>
      </c>
      <c r="F115" s="447">
        <f>F81*Group_2_rates!H78</f>
        <v>1.1683169981362898</v>
      </c>
      <c r="G115" s="447">
        <f>G81*Group_2_rates!I78</f>
        <v>1.1873813779757991</v>
      </c>
      <c r="H115" s="447">
        <f>H81*Group_2_rates!J78</f>
        <v>1.213741057695005</v>
      </c>
      <c r="I115" s="447">
        <f>I81*Group_2_rates!K78</f>
        <v>1.2444829997202003</v>
      </c>
      <c r="J115" s="447">
        <f>J81*Group_2_rates!L78</f>
        <v>1.2782498069339066</v>
      </c>
      <c r="K115" s="447">
        <f>K81*Group_2_rates!M78</f>
        <v>1.3104630304938434</v>
      </c>
      <c r="L115" s="447">
        <f>L81*Group_2_rates!N78</f>
        <v>1.3372805236888641</v>
      </c>
      <c r="M115" s="447">
        <f>M81*Group_2_rates!O78</f>
        <v>1.3599404944989242</v>
      </c>
      <c r="N115" s="447">
        <f>N81*Group_2_rates!P78</f>
        <v>1.3805628947518871</v>
      </c>
    </row>
    <row r="116" spans="1:15">
      <c r="B116" s="331" t="str">
        <f t="shared" si="48"/>
        <v>45-49</v>
      </c>
      <c r="C116" s="447">
        <f>C82*Group_2_rates!E79</f>
        <v>1.414383438895418</v>
      </c>
      <c r="D116" s="447">
        <f>D82*Group_2_rates!F79</f>
        <v>1.3534470077338274</v>
      </c>
      <c r="E116" s="447">
        <f>E82*Group_2_rates!G79</f>
        <v>1.3892618882534917</v>
      </c>
      <c r="F116" s="447">
        <f>F82*Group_2_rates!H79</f>
        <v>1.346333681906476</v>
      </c>
      <c r="G116" s="447">
        <f>G82*Group_2_rates!I79</f>
        <v>1.3386663798206484</v>
      </c>
      <c r="H116" s="447">
        <f>H82*Group_2_rates!J79</f>
        <v>1.3377748797541271</v>
      </c>
      <c r="I116" s="447">
        <f>I82*Group_2_rates!K79</f>
        <v>1.3444151659018237</v>
      </c>
      <c r="J116" s="447">
        <f>J82*Group_2_rates!L79</f>
        <v>1.3585103702388486</v>
      </c>
      <c r="K116" s="447">
        <f>K82*Group_2_rates!M79</f>
        <v>1.3755843116914517</v>
      </c>
      <c r="L116" s="447">
        <f>L82*Group_2_rates!N79</f>
        <v>1.391348392480956</v>
      </c>
      <c r="M116" s="447">
        <f>M82*Group_2_rates!O79</f>
        <v>1.4063745597779371</v>
      </c>
      <c r="N116" s="447">
        <f>N82*Group_2_rates!P79</f>
        <v>1.422141876645006</v>
      </c>
    </row>
    <row r="117" spans="1:15">
      <c r="B117" s="331" t="str">
        <f t="shared" si="48"/>
        <v>50-54</v>
      </c>
      <c r="C117" s="447">
        <f>C83*Group_2_rates!E80</f>
        <v>1.1950404741415517</v>
      </c>
      <c r="D117" s="447">
        <f>D83*Group_2_rates!F80</f>
        <v>1.0699200047191371</v>
      </c>
      <c r="E117" s="447">
        <f>E83*Group_2_rates!G80</f>
        <v>1.0512776147203478</v>
      </c>
      <c r="F117" s="447">
        <f>F83*Group_2_rates!H80</f>
        <v>0.98655597745871648</v>
      </c>
      <c r="G117" s="447">
        <f>G83*Group_2_rates!I80</f>
        <v>0.95415487385272568</v>
      </c>
      <c r="H117" s="447">
        <f>H83*Group_2_rates!J80</f>
        <v>0.9299167894235878</v>
      </c>
      <c r="I117" s="447">
        <f>I83*Group_2_rates!K80</f>
        <v>0.91306790808592664</v>
      </c>
      <c r="J117" s="447">
        <f>J83*Group_2_rates!L80</f>
        <v>0.90316294614148862</v>
      </c>
      <c r="K117" s="447">
        <f>K83*Group_2_rates!M80</f>
        <v>0.89752815587334212</v>
      </c>
      <c r="L117" s="447">
        <f>L83*Group_2_rates!N80</f>
        <v>0.89360980008554503</v>
      </c>
      <c r="M117" s="447">
        <f>M83*Group_2_rates!O80</f>
        <v>0.89155872642721645</v>
      </c>
      <c r="N117" s="447">
        <f>N83*Group_2_rates!P80</f>
        <v>0.89200988967946881</v>
      </c>
    </row>
    <row r="118" spans="1:15">
      <c r="B118" s="331" t="str">
        <f t="shared" si="48"/>
        <v>55-59</v>
      </c>
      <c r="C118" s="447">
        <f>C84*Group_2_rates!E81</f>
        <v>0.73987506414701876</v>
      </c>
      <c r="D118" s="447">
        <f>D84*Group_2_rates!F81</f>
        <v>0.63336313449322645</v>
      </c>
      <c r="E118" s="447">
        <f>E84*Group_2_rates!G81</f>
        <v>0.59682402192515893</v>
      </c>
      <c r="F118" s="447">
        <f>F84*Group_2_rates!H81</f>
        <v>0.54071407087912482</v>
      </c>
      <c r="G118" s="447">
        <f>G84*Group_2_rates!I81</f>
        <v>0.50825466531446761</v>
      </c>
      <c r="H118" s="447">
        <f>H84*Group_2_rates!J81</f>
        <v>0.4839846022116106</v>
      </c>
      <c r="I118" s="447">
        <f>I84*Group_2_rates!K81</f>
        <v>0.46619270873084717</v>
      </c>
      <c r="J118" s="447">
        <f>J84*Group_2_rates!L81</f>
        <v>0.45374298576978161</v>
      </c>
      <c r="K118" s="447">
        <f>K84*Group_2_rates!M81</f>
        <v>0.44454065020829986</v>
      </c>
      <c r="L118" s="447">
        <f>L84*Group_2_rates!N81</f>
        <v>0.4369158200316246</v>
      </c>
      <c r="M118" s="447">
        <f>M84*Group_2_rates!O81</f>
        <v>0.43096251272798575</v>
      </c>
      <c r="N118" s="447">
        <f>N84*Group_2_rates!P81</f>
        <v>0.42701778870497997</v>
      </c>
    </row>
    <row r="119" spans="1:15">
      <c r="B119" s="331" t="str">
        <f t="shared" si="48"/>
        <v>60-64</v>
      </c>
      <c r="C119" s="447">
        <f>C85*Group_2_rates!E82</f>
        <v>0.27560992905669363</v>
      </c>
      <c r="D119" s="447">
        <f>D85*Group_2_rates!F82</f>
        <v>0.22248714849910273</v>
      </c>
      <c r="E119" s="447">
        <f>E85*Group_2_rates!G82</f>
        <v>0.19969713719993665</v>
      </c>
      <c r="F119" s="447">
        <f>F85*Group_2_rates!H82</f>
        <v>0.17382654729596161</v>
      </c>
      <c r="G119" s="447">
        <f>G85*Group_2_rates!I82</f>
        <v>0.15810007400419476</v>
      </c>
      <c r="H119" s="447">
        <f>H85*Group_2_rates!J82</f>
        <v>0.14661352294634389</v>
      </c>
      <c r="I119" s="447">
        <f>I85*Group_2_rates!K82</f>
        <v>0.1383007940702323</v>
      </c>
      <c r="J119" s="447">
        <f>J85*Group_2_rates!L82</f>
        <v>0.13243160617321881</v>
      </c>
      <c r="K119" s="447">
        <f>K85*Group_2_rates!M82</f>
        <v>0.12800497493050703</v>
      </c>
      <c r="L119" s="447">
        <f>L85*Group_2_rates!N82</f>
        <v>0.12428195797236624</v>
      </c>
      <c r="M119" s="447">
        <f>M85*Group_2_rates!O82</f>
        <v>0.12126082592116748</v>
      </c>
      <c r="N119" s="447">
        <f>N85*Group_2_rates!P82</f>
        <v>0.11904634533854531</v>
      </c>
    </row>
    <row r="120" spans="1:15">
      <c r="B120" s="331" t="str">
        <f t="shared" si="48"/>
        <v>65 plus</v>
      </c>
      <c r="C120" s="447">
        <f>C86*Group_2_rates!E83</f>
        <v>0.92666985084705833</v>
      </c>
      <c r="D120" s="447">
        <f>D86*Group_2_rates!F83</f>
        <v>0.63399553065802816</v>
      </c>
      <c r="E120" s="447">
        <f>E86*Group_2_rates!G83</f>
        <v>0.48962847268552234</v>
      </c>
      <c r="F120" s="447">
        <f>F86*Group_2_rates!H83</f>
        <v>0.37116180353757755</v>
      </c>
      <c r="G120" s="447">
        <f>G86*Group_2_rates!I83</f>
        <v>0.30104822066188403</v>
      </c>
      <c r="H120" s="447">
        <f>H86*Group_2_rates!J83</f>
        <v>0.25450925551749481</v>
      </c>
      <c r="I120" s="447">
        <f>I86*Group_2_rates!K83</f>
        <v>0.22336371828827378</v>
      </c>
      <c r="J120" s="447">
        <f>J86*Group_2_rates!L83</f>
        <v>0.20249894263698276</v>
      </c>
      <c r="K120" s="447">
        <f>K86*Group_2_rates!M83</f>
        <v>0.18801293522879953</v>
      </c>
      <c r="L120" s="447">
        <f>L86*Group_2_rates!N83</f>
        <v>0.17725681008043545</v>
      </c>
      <c r="M120" s="447">
        <f>M86*Group_2_rates!O83</f>
        <v>0.16915748591139046</v>
      </c>
      <c r="N120" s="447">
        <f>N86*Group_2_rates!P83</f>
        <v>0.16323159622428307</v>
      </c>
    </row>
    <row r="121" spans="1:15">
      <c r="B121" s="331" t="str">
        <f t="shared" si="48"/>
        <v>Total</v>
      </c>
      <c r="C121" s="447">
        <f>SUM(C111:C120)</f>
        <v>10.935747181868329</v>
      </c>
      <c r="D121" s="447">
        <f t="shared" ref="D121:N121" si="50">SUM(D111:D120)</f>
        <v>10.343829296784545</v>
      </c>
      <c r="E121" s="447">
        <f t="shared" si="50"/>
        <v>10.720256476096052</v>
      </c>
      <c r="F121" s="447">
        <f t="shared" si="50"/>
        <v>10.573373159223307</v>
      </c>
      <c r="G121" s="447">
        <f t="shared" si="50"/>
        <v>10.708165694159838</v>
      </c>
      <c r="H121" s="447">
        <f t="shared" si="50"/>
        <v>10.85795976763751</v>
      </c>
      <c r="I121" s="447">
        <f t="shared" si="50"/>
        <v>11.029652667169438</v>
      </c>
      <c r="J121" s="447">
        <f t="shared" si="50"/>
        <v>11.231898910450408</v>
      </c>
      <c r="K121" s="447">
        <f t="shared" si="50"/>
        <v>11.405516130403822</v>
      </c>
      <c r="L121" s="447">
        <f t="shared" si="50"/>
        <v>11.50085324768437</v>
      </c>
      <c r="M121" s="447">
        <f t="shared" si="50"/>
        <v>11.551289344378876</v>
      </c>
      <c r="N121" s="447">
        <f t="shared" si="50"/>
        <v>11.598454466988597</v>
      </c>
    </row>
    <row r="122" spans="1:15">
      <c r="A122" s="302">
        <f>SUM(C122:N122)</f>
        <v>0</v>
      </c>
      <c r="C122" s="302">
        <f t="shared" ref="C122:N122" si="51">SUM(C111:C120)-C121</f>
        <v>0</v>
      </c>
      <c r="D122" s="302">
        <f t="shared" si="51"/>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5">
      <c r="B124" s="334" t="s">
        <v>47</v>
      </c>
      <c r="C124" s="322"/>
      <c r="D124" s="322"/>
      <c r="E124" s="322"/>
      <c r="F124" s="322"/>
      <c r="G124" s="322"/>
      <c r="H124" s="332"/>
      <c r="I124" s="322"/>
      <c r="J124" s="322"/>
      <c r="K124" s="322"/>
      <c r="L124" s="322"/>
    </row>
    <row r="125" spans="1:15">
      <c r="C125" s="322"/>
      <c r="D125" s="322"/>
      <c r="E125" s="322"/>
      <c r="F125" s="322"/>
      <c r="G125" s="322"/>
      <c r="H125" s="332"/>
      <c r="I125" s="322"/>
      <c r="J125" s="322"/>
      <c r="K125" s="322"/>
      <c r="L125" s="322"/>
    </row>
    <row r="126" spans="1:15">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5">
      <c r="B127" s="331" t="str">
        <f t="shared" si="52"/>
        <v>20-24</v>
      </c>
      <c r="C127" s="447">
        <f>C93*Group_2_rates!E89</f>
        <v>0.50262784921923942</v>
      </c>
      <c r="D127" s="447">
        <f>D93*Group_2_rates!F89</f>
        <v>0.86039850035769028</v>
      </c>
      <c r="E127" s="447">
        <f>E93*Group_2_rates!G89</f>
        <v>1.1424971504246524</v>
      </c>
      <c r="F127" s="447">
        <f>F93*Group_2_rates!H89</f>
        <v>1.3609948782788082</v>
      </c>
      <c r="G127" s="447">
        <f>G93*Group_2_rates!I89</f>
        <v>1.5131553249871919</v>
      </c>
      <c r="H127" s="447">
        <f>H93*Group_2_rates!J89</f>
        <v>1.6223737829148392</v>
      </c>
      <c r="I127" s="447">
        <f>I93*Group_2_rates!K89</f>
        <v>1.7070428469940482</v>
      </c>
      <c r="J127" s="447">
        <f>J93*Group_2_rates!L89</f>
        <v>1.7801638895454235</v>
      </c>
      <c r="K127" s="447">
        <f>K93*Group_2_rates!M89</f>
        <v>1.8274542405846312</v>
      </c>
      <c r="L127" s="447">
        <f>L93*Group_2_rates!N89</f>
        <v>1.8388421281905178</v>
      </c>
      <c r="M127" s="447">
        <f>M93*Group_2_rates!O89</f>
        <v>1.8331090416716993</v>
      </c>
      <c r="N127" s="447">
        <f>N93*Group_2_rates!P89</f>
        <v>1.8278882803967</v>
      </c>
      <c r="O127" s="320"/>
    </row>
    <row r="128" spans="1:15">
      <c r="B128" s="331" t="str">
        <f t="shared" si="52"/>
        <v>25-29</v>
      </c>
      <c r="C128" s="447">
        <f>C94*Group_2_rates!E90</f>
        <v>2.872714820994561</v>
      </c>
      <c r="D128" s="447">
        <f>D94*Group_2_rates!F90</f>
        <v>2.7262047670229155</v>
      </c>
      <c r="E128" s="447">
        <f>E94*Group_2_rates!G90</f>
        <v>2.7286723218489204</v>
      </c>
      <c r="F128" s="447">
        <f>F94*Group_2_rates!H90</f>
        <v>2.7895299874604209</v>
      </c>
      <c r="G128" s="447">
        <f>G94*Group_2_rates!I90</f>
        <v>2.8497096118557859</v>
      </c>
      <c r="H128" s="447">
        <f>H94*Group_2_rates!J90</f>
        <v>2.9198948554167359</v>
      </c>
      <c r="I128" s="447">
        <f>I94*Group_2_rates!K90</f>
        <v>2.9967292119504982</v>
      </c>
      <c r="J128" s="447">
        <f>J94*Group_2_rates!L90</f>
        <v>3.0809285922693279</v>
      </c>
      <c r="K128" s="447">
        <f>K94*Group_2_rates!M90</f>
        <v>3.1477602538422733</v>
      </c>
      <c r="L128" s="447">
        <f>L94*Group_2_rates!N90</f>
        <v>3.177322881432707</v>
      </c>
      <c r="M128" s="447">
        <f>M94*Group_2_rates!O90</f>
        <v>3.1840833978732896</v>
      </c>
      <c r="N128" s="447">
        <f>N94*Group_2_rates!P90</f>
        <v>3.1865447002740233</v>
      </c>
      <c r="O128" s="320"/>
    </row>
    <row r="129" spans="1:15">
      <c r="B129" s="331" t="str">
        <f t="shared" si="52"/>
        <v>30-34</v>
      </c>
      <c r="C129" s="447">
        <f>C95*Group_2_rates!E91</f>
        <v>2.3314009233026729</v>
      </c>
      <c r="D129" s="447">
        <f>D95*Group_2_rates!F91</f>
        <v>2.4318708585953028</v>
      </c>
      <c r="E129" s="447">
        <f>E95*Group_2_rates!G91</f>
        <v>2.5204515675649124</v>
      </c>
      <c r="F129" s="447">
        <f>F95*Group_2_rates!H91</f>
        <v>2.5863855628688244</v>
      </c>
      <c r="G129" s="447">
        <f>G95*Group_2_rates!I91</f>
        <v>2.6176957480971734</v>
      </c>
      <c r="H129" s="447">
        <f>H95*Group_2_rates!J91</f>
        <v>2.65086178310795</v>
      </c>
      <c r="I129" s="447">
        <f>I95*Group_2_rates!K91</f>
        <v>2.6901448196838005</v>
      </c>
      <c r="J129" s="447">
        <f>J95*Group_2_rates!L91</f>
        <v>2.7381895748899461</v>
      </c>
      <c r="K129" s="447">
        <f>K95*Group_2_rates!M91</f>
        <v>2.7831740479029512</v>
      </c>
      <c r="L129" s="447">
        <f>L95*Group_2_rates!N91</f>
        <v>2.8128164977934831</v>
      </c>
      <c r="M129" s="447">
        <f>M95*Group_2_rates!O91</f>
        <v>2.8305507351881998</v>
      </c>
      <c r="N129" s="447">
        <f>N95*Group_2_rates!P91</f>
        <v>2.8436685304154814</v>
      </c>
      <c r="O129" s="320"/>
    </row>
    <row r="130" spans="1:15">
      <c r="B130" s="331" t="str">
        <f t="shared" si="52"/>
        <v>35-39</v>
      </c>
      <c r="C130" s="447">
        <f>C96*Group_2_rates!E92</f>
        <v>2.559369924863959</v>
      </c>
      <c r="D130" s="447">
        <f>D96*Group_2_rates!F92</f>
        <v>2.4491799311651605</v>
      </c>
      <c r="E130" s="447">
        <f>E96*Group_2_rates!G92</f>
        <v>2.4174648215056167</v>
      </c>
      <c r="F130" s="447">
        <f>F96*Group_2_rates!H92</f>
        <v>2.4047070158609944</v>
      </c>
      <c r="G130" s="447">
        <f>G96*Group_2_rates!I92</f>
        <v>2.3793749184688728</v>
      </c>
      <c r="H130" s="447">
        <f>H96*Group_2_rates!J92</f>
        <v>2.3669894598279848</v>
      </c>
      <c r="I130" s="447">
        <f>I96*Group_2_rates!K92</f>
        <v>2.3663293328781405</v>
      </c>
      <c r="J130" s="447">
        <f>J96*Group_2_rates!L92</f>
        <v>2.3772464654759098</v>
      </c>
      <c r="K130" s="447">
        <f>K96*Group_2_rates!M92</f>
        <v>2.3917127205679134</v>
      </c>
      <c r="L130" s="447">
        <f>L96*Group_2_rates!N92</f>
        <v>2.4019038810763194</v>
      </c>
      <c r="M130" s="447">
        <f>M96*Group_2_rates!O92</f>
        <v>2.4093208610550954</v>
      </c>
      <c r="N130" s="447">
        <f>N96*Group_2_rates!P92</f>
        <v>2.4172212890048232</v>
      </c>
      <c r="O130" s="320"/>
    </row>
    <row r="131" spans="1:15">
      <c r="B131" s="331" t="str">
        <f t="shared" si="52"/>
        <v>40-44</v>
      </c>
      <c r="C131" s="447">
        <f>C97*Group_2_rates!E93</f>
        <v>1.8162782450637387</v>
      </c>
      <c r="D131" s="447">
        <f>D97*Group_2_rates!F93</f>
        <v>1.9326545975683429</v>
      </c>
      <c r="E131" s="447">
        <f>E97*Group_2_rates!G93</f>
        <v>2.0262797620718382</v>
      </c>
      <c r="F131" s="447">
        <f>F97*Group_2_rates!H93</f>
        <v>2.0865014799872168</v>
      </c>
      <c r="G131" s="447">
        <f>G97*Group_2_rates!I93</f>
        <v>2.1046719798081437</v>
      </c>
      <c r="H131" s="447">
        <f>H97*Group_2_rates!J93</f>
        <v>2.1142953669500129</v>
      </c>
      <c r="I131" s="447">
        <f>I97*Group_2_rates!K93</f>
        <v>2.1214882999430285</v>
      </c>
      <c r="J131" s="447">
        <f>J97*Group_2_rates!L93</f>
        <v>2.1305473190746151</v>
      </c>
      <c r="K131" s="447">
        <f>K97*Group_2_rates!M93</f>
        <v>2.1379601891172082</v>
      </c>
      <c r="L131" s="447">
        <f>L97*Group_2_rates!N93</f>
        <v>2.1397399188124724</v>
      </c>
      <c r="M131" s="447">
        <f>M97*Group_2_rates!O93</f>
        <v>2.1389302180521863</v>
      </c>
      <c r="N131" s="447">
        <f>N97*Group_2_rates!P93</f>
        <v>2.1392881744503995</v>
      </c>
      <c r="O131" s="320"/>
    </row>
    <row r="132" spans="1:15">
      <c r="B132" s="331" t="str">
        <f t="shared" si="52"/>
        <v>45-49</v>
      </c>
      <c r="C132" s="447">
        <f>C98*Group_2_rates!E94</f>
        <v>1.4966986260415693</v>
      </c>
      <c r="D132" s="447">
        <f>D98*Group_2_rates!F94</f>
        <v>1.577238469887565</v>
      </c>
      <c r="E132" s="447">
        <f>E98*Group_2_rates!G94</f>
        <v>1.6817225636147854</v>
      </c>
      <c r="F132" s="447">
        <f>F98*Group_2_rates!H94</f>
        <v>1.7743464689524062</v>
      </c>
      <c r="G132" s="447">
        <f>G98*Group_2_rates!I94</f>
        <v>1.8332755385278052</v>
      </c>
      <c r="H132" s="447">
        <f>H98*Group_2_rates!J94</f>
        <v>1.8802993971690867</v>
      </c>
      <c r="I132" s="447">
        <f>I98*Group_2_rates!K94</f>
        <v>1.918368990447578</v>
      </c>
      <c r="J132" s="447">
        <f>J98*Group_2_rates!L94</f>
        <v>1.9508459973805796</v>
      </c>
      <c r="K132" s="447">
        <f>K98*Group_2_rates!M94</f>
        <v>1.9752529743475955</v>
      </c>
      <c r="L132" s="447">
        <f>L98*Group_2_rates!N94</f>
        <v>1.9890905562143526</v>
      </c>
      <c r="M132" s="447">
        <f>M98*Group_2_rates!O94</f>
        <v>1.9961253223943927</v>
      </c>
      <c r="N132" s="447">
        <f>N98*Group_2_rates!P94</f>
        <v>2.0007881704237396</v>
      </c>
      <c r="O132" s="320"/>
    </row>
    <row r="133" spans="1:15">
      <c r="B133" s="331" t="str">
        <f t="shared" si="52"/>
        <v>50-54</v>
      </c>
      <c r="C133" s="447">
        <f>C99*Group_2_rates!E95</f>
        <v>1.3782558368766105</v>
      </c>
      <c r="D133" s="447">
        <f>D99*Group_2_rates!F95</f>
        <v>1.3453013831373724</v>
      </c>
      <c r="E133" s="447">
        <f>E99*Group_2_rates!G95</f>
        <v>1.3541297390997631</v>
      </c>
      <c r="F133" s="447">
        <f>F99*Group_2_rates!H95</f>
        <v>1.376562912063739</v>
      </c>
      <c r="G133" s="447">
        <f>G99*Group_2_rates!I95</f>
        <v>1.3931198874469144</v>
      </c>
      <c r="H133" s="447">
        <f>H99*Group_2_rates!J95</f>
        <v>1.4158028456035636</v>
      </c>
      <c r="I133" s="447">
        <f>I99*Group_2_rates!K95</f>
        <v>1.4417220489215101</v>
      </c>
      <c r="J133" s="447">
        <f>J99*Group_2_rates!L95</f>
        <v>1.46937345605565</v>
      </c>
      <c r="K133" s="447">
        <f>K99*Group_2_rates!M95</f>
        <v>1.4940322467464995</v>
      </c>
      <c r="L133" s="447">
        <f>L99*Group_2_rates!N95</f>
        <v>1.5118965819068533</v>
      </c>
      <c r="M133" s="447">
        <f>M99*Group_2_rates!O95</f>
        <v>1.5245273883526429</v>
      </c>
      <c r="N133" s="447">
        <f>N99*Group_2_rates!P95</f>
        <v>1.5345143445159295</v>
      </c>
      <c r="O133" s="320"/>
    </row>
    <row r="134" spans="1:15">
      <c r="B134" s="331" t="str">
        <f t="shared" si="52"/>
        <v>55-59</v>
      </c>
      <c r="C134" s="447">
        <f>C100*Group_2_rates!E96</f>
        <v>1.0156211358870064</v>
      </c>
      <c r="D134" s="447">
        <f>D100*Group_2_rates!F96</f>
        <v>0.81652319348814806</v>
      </c>
      <c r="E134" s="447">
        <f>E100*Group_2_rates!G96</f>
        <v>0.69929134710586149</v>
      </c>
      <c r="F134" s="447">
        <f>F100*Group_2_rates!H96</f>
        <v>0.62597822826297644</v>
      </c>
      <c r="G134" s="447">
        <f>G100*Group_2_rates!I96</f>
        <v>0.57645364956669676</v>
      </c>
      <c r="H134" s="447">
        <f>H100*Group_2_rates!J96</f>
        <v>0.54819155319639135</v>
      </c>
      <c r="I134" s="447">
        <f>I100*Group_2_rates!K96</f>
        <v>0.5340226067229229</v>
      </c>
      <c r="J134" s="447">
        <f>J100*Group_2_rates!L96</f>
        <v>0.52925437977433043</v>
      </c>
      <c r="K134" s="447">
        <f>K100*Group_2_rates!M96</f>
        <v>0.52908002656641795</v>
      </c>
      <c r="L134" s="447">
        <f>L100*Group_2_rates!N96</f>
        <v>0.53003642734576628</v>
      </c>
      <c r="M134" s="447">
        <f>M100*Group_2_rates!O96</f>
        <v>0.53154617782129232</v>
      </c>
      <c r="N134" s="447">
        <f>N100*Group_2_rates!P96</f>
        <v>0.53376674296044935</v>
      </c>
      <c r="O134" s="320"/>
    </row>
    <row r="135" spans="1:15">
      <c r="B135" s="331" t="str">
        <f t="shared" si="52"/>
        <v>60-64</v>
      </c>
      <c r="C135" s="447">
        <f>C101*Group_2_rates!E97</f>
        <v>0.46412319387820972</v>
      </c>
      <c r="D135" s="447">
        <f>D101*Group_2_rates!F97</f>
        <v>0.41813133995001911</v>
      </c>
      <c r="E135" s="447">
        <f>E101*Group_2_rates!G97</f>
        <v>0.3681647633552918</v>
      </c>
      <c r="F135" s="447">
        <f>F101*Group_2_rates!H97</f>
        <v>0.32311687004098444</v>
      </c>
      <c r="G135" s="447">
        <f>G101*Group_2_rates!I97</f>
        <v>0.28518089395235413</v>
      </c>
      <c r="H135" s="447">
        <f>H101*Group_2_rates!J97</f>
        <v>0.2583214117300604</v>
      </c>
      <c r="I135" s="447">
        <f>I101*Group_2_rates!K97</f>
        <v>0.2406301922809691</v>
      </c>
      <c r="J135" s="447">
        <f>J101*Group_2_rates!L97</f>
        <v>0.23002697421705481</v>
      </c>
      <c r="K135" s="447">
        <f>K101*Group_2_rates!M97</f>
        <v>0.22373474899361595</v>
      </c>
      <c r="L135" s="447">
        <f>L101*Group_2_rates!N97</f>
        <v>0.21959265032924305</v>
      </c>
      <c r="M135" s="447">
        <f>M101*Group_2_rates!O97</f>
        <v>0.21705836814801091</v>
      </c>
      <c r="N135" s="447">
        <f>N101*Group_2_rates!P97</f>
        <v>0.21595602147378243</v>
      </c>
      <c r="O135" s="320"/>
    </row>
    <row r="136" spans="1:15">
      <c r="B136" s="331" t="str">
        <f t="shared" si="52"/>
        <v>65 plus</v>
      </c>
      <c r="C136" s="447">
        <f>C102*Group_2_rates!E98</f>
        <v>0.60145034844322054</v>
      </c>
      <c r="D136" s="447">
        <f>D102*Group_2_rates!F98</f>
        <v>0.49109811627214667</v>
      </c>
      <c r="E136" s="447">
        <f>E102*Group_2_rates!G98</f>
        <v>0.41690228572740251</v>
      </c>
      <c r="F136" s="447">
        <f>F102*Group_2_rates!H98</f>
        <v>0.35765073132699238</v>
      </c>
      <c r="G136" s="447">
        <f>G102*Group_2_rates!I98</f>
        <v>0.30671260811772377</v>
      </c>
      <c r="H136" s="447">
        <f>H102*Group_2_rates!J98</f>
        <v>0.26710059733878316</v>
      </c>
      <c r="I136" s="447">
        <f>I102*Group_2_rates!K98</f>
        <v>0.23702251160176316</v>
      </c>
      <c r="J136" s="447">
        <f>J102*Group_2_rates!L98</f>
        <v>0.21496626963098694</v>
      </c>
      <c r="K136" s="447">
        <f>K102*Group_2_rates!M98</f>
        <v>0.19887509525501096</v>
      </c>
      <c r="L136" s="447">
        <f>L102*Group_2_rates!N98</f>
        <v>0.18688624037996018</v>
      </c>
      <c r="M136" s="447">
        <f>M102*Group_2_rates!O98</f>
        <v>0.17813967355665258</v>
      </c>
      <c r="N136" s="447">
        <f>N102*Group_2_rates!P98</f>
        <v>0.17211582001499545</v>
      </c>
      <c r="O136" s="320"/>
    </row>
    <row r="137" spans="1:15">
      <c r="B137" s="331" t="str">
        <f t="shared" si="52"/>
        <v>Total</v>
      </c>
      <c r="C137" s="447">
        <f>SUM(C127:C136)</f>
        <v>15.038540904570787</v>
      </c>
      <c r="D137" s="447">
        <f t="shared" ref="D137:N137" si="54">SUM(D127:D136)</f>
        <v>15.048601157444661</v>
      </c>
      <c r="E137" s="447">
        <f t="shared" si="54"/>
        <v>15.355576322319044</v>
      </c>
      <c r="F137" s="447">
        <f t="shared" si="54"/>
        <v>15.685774135103363</v>
      </c>
      <c r="G137" s="447">
        <f t="shared" si="54"/>
        <v>15.859350160828663</v>
      </c>
      <c r="H137" s="447">
        <f t="shared" si="54"/>
        <v>16.044131053255409</v>
      </c>
      <c r="I137" s="447">
        <f t="shared" si="54"/>
        <v>16.253500861424257</v>
      </c>
      <c r="J137" s="447">
        <f t="shared" si="54"/>
        <v>16.501542918313824</v>
      </c>
      <c r="K137" s="447">
        <f t="shared" si="54"/>
        <v>16.709036543924121</v>
      </c>
      <c r="L137" s="447">
        <f t="shared" si="54"/>
        <v>16.808127763481675</v>
      </c>
      <c r="M137" s="447">
        <f t="shared" si="54"/>
        <v>16.843391184113461</v>
      </c>
      <c r="N137" s="447">
        <f t="shared" si="54"/>
        <v>16.871752073930324</v>
      </c>
      <c r="O137" s="320"/>
    </row>
    <row r="138" spans="1:15">
      <c r="A138" s="302">
        <f>SUM(C138:N138)</f>
        <v>0</v>
      </c>
      <c r="C138" s="302">
        <f t="shared" ref="C138:N138" si="55">SUM(C127:C136)-C137</f>
        <v>0</v>
      </c>
      <c r="D138" s="302">
        <f t="shared" si="55"/>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5" ht="15.75">
      <c r="B140" s="333" t="s">
        <v>165</v>
      </c>
      <c r="H140" s="318"/>
    </row>
    <row r="141" spans="1:15">
      <c r="H141" s="318"/>
    </row>
    <row r="142" spans="1:15">
      <c r="B142" s="334" t="s">
        <v>46</v>
      </c>
      <c r="H142" s="318"/>
    </row>
    <row r="143" spans="1:15">
      <c r="H143" s="318"/>
    </row>
    <row r="144" spans="1:15">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2.4419338887668382E-3</v>
      </c>
      <c r="D147" s="447">
        <f>D79*Calc_SEC_retirement_rates!$G126</f>
        <v>2.4951588567025673E-3</v>
      </c>
      <c r="E147" s="447">
        <f>E79*Calc_SEC_retirement_rates!$G126</f>
        <v>2.5419946068389221E-3</v>
      </c>
      <c r="F147" s="447">
        <f>F79*Calc_SEC_retirement_rates!$G126</f>
        <v>2.5825663191315195E-3</v>
      </c>
      <c r="G147" s="447">
        <f>G79*Calc_SEC_retirement_rates!$G126</f>
        <v>2.6336078089150795E-3</v>
      </c>
      <c r="H147" s="447">
        <f>H79*Calc_SEC_retirement_rates!$G126</f>
        <v>2.6867320776672028E-3</v>
      </c>
      <c r="I147" s="447">
        <f>I79*Calc_SEC_retirement_rates!$G126</f>
        <v>2.7441515645205234E-3</v>
      </c>
      <c r="J147" s="447">
        <f>J79*Calc_SEC_retirement_rates!$G126</f>
        <v>2.8078274192559803E-3</v>
      </c>
      <c r="K147" s="447">
        <f>K79*Calc_SEC_retirement_rates!$G126</f>
        <v>2.8654490955903615E-3</v>
      </c>
      <c r="L147" s="447">
        <f>L79*Calc_SEC_retirement_rates!$G126</f>
        <v>2.904495560039624E-3</v>
      </c>
      <c r="M147" s="447">
        <f>M79*Calc_SEC_retirement_rates!$G126</f>
        <v>2.9288724393734195E-3</v>
      </c>
      <c r="N147" s="447">
        <f>N79*Calc_SEC_retirement_rates!$G126</f>
        <v>2.9466091255304322E-3</v>
      </c>
    </row>
    <row r="148" spans="1:14">
      <c r="B148" s="331" t="str">
        <f t="shared" si="56"/>
        <v>35-39</v>
      </c>
      <c r="C148" s="447">
        <f>C80*Calc_SEC_retirement_rates!$G127</f>
        <v>3.6991488571072122E-3</v>
      </c>
      <c r="D148" s="447">
        <f>D80*Calc_SEC_retirement_rates!$G127</f>
        <v>4.1563678868369409E-3</v>
      </c>
      <c r="E148" s="447">
        <f>E80*Calc_SEC_retirement_rates!$G127</f>
        <v>4.5402768739472655E-3</v>
      </c>
      <c r="F148" s="447">
        <f>F80*Calc_SEC_retirement_rates!$G127</f>
        <v>4.8439000116078934E-3</v>
      </c>
      <c r="G148" s="447">
        <f>G80*Calc_SEC_retirement_rates!$G127</f>
        <v>5.1012916254739764E-3</v>
      </c>
      <c r="H148" s="447">
        <f>H80*Calc_SEC_retirement_rates!$G127</f>
        <v>5.3145964427893325E-3</v>
      </c>
      <c r="I148" s="447">
        <f>I80*Calc_SEC_retirement_rates!$G127</f>
        <v>5.5008778922699007E-3</v>
      </c>
      <c r="J148" s="447">
        <f>J80*Calc_SEC_retirement_rates!$G127</f>
        <v>5.6737628531643922E-3</v>
      </c>
      <c r="K148" s="447">
        <f>K80*Calc_SEC_retirement_rates!$G127</f>
        <v>5.8236513786633403E-3</v>
      </c>
      <c r="L148" s="447">
        <f>L80*Calc_SEC_retirement_rates!$G127</f>
        <v>5.9385108598918237E-3</v>
      </c>
      <c r="M148" s="447">
        <f>M80*Calc_SEC_retirement_rates!$G127</f>
        <v>6.027098294347207E-3</v>
      </c>
      <c r="N148" s="447">
        <f>N80*Calc_SEC_retirement_rates!$G127</f>
        <v>6.1013646769590502E-3</v>
      </c>
    </row>
    <row r="149" spans="1:14">
      <c r="B149" s="331" t="str">
        <f t="shared" si="56"/>
        <v>40-44</v>
      </c>
      <c r="C149" s="447">
        <f>C81*Calc_SEC_retirement_rates!$G128</f>
        <v>1.0097948226137483E-2</v>
      </c>
      <c r="D149" s="447">
        <f>D81*Calc_SEC_retirement_rates!$G128</f>
        <v>9.5886454896692268E-3</v>
      </c>
      <c r="E149" s="447">
        <f>E81*Calc_SEC_retirement_rates!$G128</f>
        <v>9.425833982595732E-3</v>
      </c>
      <c r="F149" s="447">
        <f>F81*Calc_SEC_retirement_rates!$G128</f>
        <v>9.4436902960362296E-3</v>
      </c>
      <c r="G149" s="447">
        <f>G81*Calc_SEC_retirement_rates!$G128</f>
        <v>9.5977906807584584E-3</v>
      </c>
      <c r="H149" s="447">
        <f>H81*Calc_SEC_retirement_rates!$G128</f>
        <v>9.8108601233566472E-3</v>
      </c>
      <c r="I149" s="447">
        <f>I81*Calc_SEC_retirement_rates!$G128</f>
        <v>1.0059352082343603E-2</v>
      </c>
      <c r="J149" s="447">
        <f>J81*Calc_SEC_retirement_rates!$G128</f>
        <v>1.0332294503040117E-2</v>
      </c>
      <c r="K149" s="447">
        <f>K81*Calc_SEC_retirement_rates!$G128</f>
        <v>1.0592679062386853E-2</v>
      </c>
      <c r="L149" s="447">
        <f>L81*Calc_SEC_retirement_rates!$G128</f>
        <v>1.0809449083411825E-2</v>
      </c>
      <c r="M149" s="447">
        <f>M81*Calc_SEC_retirement_rates!$G128</f>
        <v>1.0992613196224353E-2</v>
      </c>
      <c r="N149" s="447">
        <f>N81*Calc_SEC_retirement_rates!$G128</f>
        <v>1.1159307305323638E-2</v>
      </c>
    </row>
    <row r="150" spans="1:14">
      <c r="B150" s="331" t="str">
        <f t="shared" si="56"/>
        <v>45-49</v>
      </c>
      <c r="C150" s="447">
        <f>C82*Calc_SEC_retirement_rates!$G129</f>
        <v>2.0375325493428395E-2</v>
      </c>
      <c r="D150" s="447">
        <f>D82*Calc_SEC_retirement_rates!$G129</f>
        <v>2.0224655132009908E-2</v>
      </c>
      <c r="E150" s="447">
        <f>E82*Calc_SEC_retirement_rates!$G129</f>
        <v>2.0008961046127552E-2</v>
      </c>
      <c r="F150" s="447">
        <f>F82*Calc_SEC_retirement_rates!$G129</f>
        <v>1.9761761973708231E-2</v>
      </c>
      <c r="G150" s="447">
        <f>G82*Calc_SEC_retirement_rates!$G129</f>
        <v>1.96492197408005E-2</v>
      </c>
      <c r="H150" s="447">
        <f>H82*Calc_SEC_retirement_rates!$G129</f>
        <v>1.9636134119939266E-2</v>
      </c>
      <c r="I150" s="447">
        <f>I82*Calc_SEC_retirement_rates!$G129</f>
        <v>1.9733601602222168E-2</v>
      </c>
      <c r="J150" s="447">
        <f>J82*Calc_SEC_retirement_rates!$G129</f>
        <v>1.9940493903010951E-2</v>
      </c>
      <c r="K150" s="447">
        <f>K82*Calc_SEC_retirement_rates!$G129</f>
        <v>2.0191108718248717E-2</v>
      </c>
      <c r="L150" s="447">
        <f>L82*Calc_SEC_retirement_rates!$G129</f>
        <v>2.0422497129965009E-2</v>
      </c>
      <c r="M150" s="447">
        <f>M82*Calc_SEC_retirement_rates!$G129</f>
        <v>2.0643054296060396E-2</v>
      </c>
      <c r="N150" s="447">
        <f>N82*Calc_SEC_retirement_rates!$G129</f>
        <v>2.0874490207587044E-2</v>
      </c>
    </row>
    <row r="151" spans="1:14">
      <c r="B151" s="331" t="str">
        <f t="shared" si="56"/>
        <v>50-54</v>
      </c>
      <c r="C151" s="447">
        <f>C83*Calc_SEC_retirement_rates!$G130</f>
        <v>0.51101205779276471</v>
      </c>
      <c r="D151" s="447">
        <f>D83*Calc_SEC_retirement_rates!$G130</f>
        <v>0.47457222506426078</v>
      </c>
      <c r="E151" s="447">
        <f>E83*Calc_SEC_retirement_rates!$G130</f>
        <v>0.44943715680482016</v>
      </c>
      <c r="F151" s="447">
        <f>F83*Calc_SEC_retirement_rates!$G130</f>
        <v>0.4298390087711757</v>
      </c>
      <c r="G151" s="447">
        <f>G83*Calc_SEC_retirement_rates!$G130</f>
        <v>0.41572196060025823</v>
      </c>
      <c r="H151" s="447">
        <f>H83*Calc_SEC_retirement_rates!$G130</f>
        <v>0.40516151149896162</v>
      </c>
      <c r="I151" s="447">
        <f>I83*Calc_SEC_retirement_rates!$G130</f>
        <v>0.3978205124897225</v>
      </c>
      <c r="J151" s="447">
        <f>J83*Calc_SEC_retirement_rates!$G130</f>
        <v>0.39350495501362215</v>
      </c>
      <c r="K151" s="447">
        <f>K83*Calc_SEC_retirement_rates!$G130</f>
        <v>0.39104989648796951</v>
      </c>
      <c r="L151" s="447">
        <f>L83*Calc_SEC_retirement_rates!$G130</f>
        <v>0.38934268249674925</v>
      </c>
      <c r="M151" s="447">
        <f>M83*Calc_SEC_retirement_rates!$G130</f>
        <v>0.38844903683613136</v>
      </c>
      <c r="N151" s="447">
        <f>N83*Calc_SEC_retirement_rates!$G130</f>
        <v>0.38864560709628188</v>
      </c>
    </row>
    <row r="152" spans="1:14">
      <c r="B152" s="331" t="str">
        <f t="shared" si="56"/>
        <v>55-59</v>
      </c>
      <c r="C152" s="447">
        <f>C84*Calc_SEC_retirement_rates!$G131</f>
        <v>2.5247953757980137</v>
      </c>
      <c r="D152" s="447">
        <f>D84*Calc_SEC_retirement_rates!$G131</f>
        <v>2.2419351832744798</v>
      </c>
      <c r="E152" s="447">
        <f>E84*Calc_SEC_retirement_rates!$G131</f>
        <v>2.0361844411997199</v>
      </c>
      <c r="F152" s="447">
        <f>F84*Calc_SEC_retirement_rates!$G131</f>
        <v>1.8800570459076482</v>
      </c>
      <c r="G152" s="447">
        <f>G84*Calc_SEC_retirement_rates!$G131</f>
        <v>1.7671960396486679</v>
      </c>
      <c r="H152" s="447">
        <f>H84*Calc_SEC_retirement_rates!$G131</f>
        <v>1.6828092896109572</v>
      </c>
      <c r="I152" s="447">
        <f>I84*Calc_SEC_retirement_rates!$G131</f>
        <v>1.6209470661179324</v>
      </c>
      <c r="J152" s="447">
        <f>J84*Calc_SEC_retirement_rates!$G131</f>
        <v>1.5776595124308346</v>
      </c>
      <c r="K152" s="447">
        <f>K84*Calc_SEC_retirement_rates!$G131</f>
        <v>1.5456630900276938</v>
      </c>
      <c r="L152" s="447">
        <f>L84*Calc_SEC_retirement_rates!$G131</f>
        <v>1.5191516369889355</v>
      </c>
      <c r="M152" s="447">
        <f>M84*Calc_SEC_retirement_rates!$G131</f>
        <v>1.4984520511163835</v>
      </c>
      <c r="N152" s="447">
        <f>N84*Calc_SEC_retirement_rates!$G131</f>
        <v>1.4847362878451311</v>
      </c>
    </row>
    <row r="153" spans="1:14">
      <c r="B153" s="331" t="str">
        <f t="shared" si="56"/>
        <v>60-64</v>
      </c>
      <c r="C153" s="447">
        <f>C85*Calc_SEC_retirement_rates!$G132</f>
        <v>2.1506675130747297</v>
      </c>
      <c r="D153" s="447">
        <f>D85*Calc_SEC_retirement_rates!$G132</f>
        <v>1.8008843390153746</v>
      </c>
      <c r="E153" s="447">
        <f>E85*Calc_SEC_retirement_rates!$G132</f>
        <v>1.5579491505096665</v>
      </c>
      <c r="F153" s="447">
        <f>F85*Calc_SEC_retirement_rates!$G132</f>
        <v>1.3820701267643372</v>
      </c>
      <c r="G153" s="447">
        <f>G85*Calc_SEC_retirement_rates!$G132</f>
        <v>1.257031176879994</v>
      </c>
      <c r="H153" s="447">
        <f>H85*Calc_SEC_retirement_rates!$G132</f>
        <v>1.1657032449641662</v>
      </c>
      <c r="I153" s="447">
        <f>I85*Calc_SEC_retirement_rates!$G132</f>
        <v>1.0996099213016761</v>
      </c>
      <c r="J153" s="447">
        <f>J85*Calc_SEC_retirement_rates!$G132</f>
        <v>1.0529448440334839</v>
      </c>
      <c r="K153" s="447">
        <f>K85*Calc_SEC_retirement_rates!$G132</f>
        <v>1.0177493293211246</v>
      </c>
      <c r="L153" s="447">
        <f>L85*Calc_SEC_retirement_rates!$G132</f>
        <v>0.98814815159927405</v>
      </c>
      <c r="M153" s="447">
        <f>M85*Calc_SEC_retirement_rates!$G132</f>
        <v>0.96412756083264672</v>
      </c>
      <c r="N153" s="447">
        <f>N85*Calc_SEC_retirement_rates!$G132</f>
        <v>0.94652054103531513</v>
      </c>
    </row>
    <row r="154" spans="1:14">
      <c r="B154" s="331" t="str">
        <f t="shared" si="56"/>
        <v>65 plus</v>
      </c>
      <c r="C154" s="447">
        <f>C86*Calc_SEC_retirement_rates!$G133</f>
        <v>2.2548051574322083</v>
      </c>
      <c r="D154" s="447">
        <f>D86*Calc_SEC_retirement_rates!$G133</f>
        <v>1.6001940754643262</v>
      </c>
      <c r="E154" s="447">
        <f>E86*Calc_SEC_retirement_rates!$G133</f>
        <v>1.1911149481391876</v>
      </c>
      <c r="F154" s="447">
        <f>F86*Calc_SEC_retirement_rates!$G133</f>
        <v>0.92020125818105269</v>
      </c>
      <c r="G154" s="447">
        <f>G86*Calc_SEC_retirement_rates!$G133</f>
        <v>0.74637246824937908</v>
      </c>
      <c r="H154" s="447">
        <f>H86*Calc_SEC_retirement_rates!$G133</f>
        <v>0.63099094495646457</v>
      </c>
      <c r="I154" s="447">
        <f>I86*Calc_SEC_retirement_rates!$G133</f>
        <v>0.55377350967112193</v>
      </c>
      <c r="J154" s="447">
        <f>J86*Calc_SEC_retirement_rates!$G133</f>
        <v>0.50204460701198939</v>
      </c>
      <c r="K154" s="447">
        <f>K86*Calc_SEC_retirement_rates!$G133</f>
        <v>0.46613023727895009</v>
      </c>
      <c r="L154" s="447">
        <f>L86*Calc_SEC_retirement_rates!$G133</f>
        <v>0.43946316162531163</v>
      </c>
      <c r="M154" s="447">
        <f>M86*Calc_SEC_retirement_rates!$G133</f>
        <v>0.41938294803723197</v>
      </c>
      <c r="N154" s="447">
        <f>N86*Calc_SEC_retirement_rates!$G133</f>
        <v>0.4046912122660799</v>
      </c>
    </row>
    <row r="155" spans="1:14">
      <c r="B155" s="331" t="str">
        <f t="shared" si="56"/>
        <v>Total</v>
      </c>
      <c r="C155" s="447">
        <f>SUM(C145:C154)</f>
        <v>7.4778944605631565</v>
      </c>
      <c r="D155" s="447">
        <f t="shared" ref="D155:N155" si="58">SUM(D145:D154)</f>
        <v>6.1540506501836605</v>
      </c>
      <c r="E155" s="447">
        <f t="shared" si="58"/>
        <v>5.2712027631629033</v>
      </c>
      <c r="F155" s="447">
        <f t="shared" si="58"/>
        <v>4.6487993582246983</v>
      </c>
      <c r="G155" s="447">
        <f t="shared" si="58"/>
        <v>4.2233035552342466</v>
      </c>
      <c r="H155" s="447">
        <f t="shared" si="58"/>
        <v>3.9221133137943021</v>
      </c>
      <c r="I155" s="447">
        <f t="shared" si="58"/>
        <v>3.7101889927218092</v>
      </c>
      <c r="J155" s="447">
        <f t="shared" si="58"/>
        <v>3.5649082971684014</v>
      </c>
      <c r="K155" s="447">
        <f t="shared" si="58"/>
        <v>3.4600654413706273</v>
      </c>
      <c r="L155" s="447">
        <f t="shared" si="58"/>
        <v>3.3761805853435791</v>
      </c>
      <c r="M155" s="447">
        <f t="shared" si="58"/>
        <v>3.3110032350483989</v>
      </c>
      <c r="N155" s="447">
        <f t="shared" si="58"/>
        <v>3.2656754195582085</v>
      </c>
    </row>
    <row r="156" spans="1:14">
      <c r="A156" s="302">
        <f>SUM(C156:N156)</f>
        <v>0</v>
      </c>
      <c r="C156" s="302">
        <f t="shared" ref="C156:N156" si="59">SUM(C145:C154)-C155</f>
        <v>0</v>
      </c>
      <c r="D156" s="302">
        <f t="shared" si="59"/>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2.0889755974331224E-3</v>
      </c>
      <c r="D163" s="447">
        <f>D95*Calc_SEC_retirement_rates!$G142</f>
        <v>2.168282469101902E-3</v>
      </c>
      <c r="E163" s="447">
        <f>E95*Calc_SEC_retirement_rates!$G142</f>
        <v>2.2104651778419356E-3</v>
      </c>
      <c r="F163" s="447">
        <f>F95*Calc_SEC_retirement_rates!$G142</f>
        <v>2.2395002605831139E-3</v>
      </c>
      <c r="G163" s="447">
        <f>G95*Calc_SEC_retirement_rates!$G142</f>
        <v>2.2666111325986603E-3</v>
      </c>
      <c r="H163" s="447">
        <f>H95*Calc_SEC_retirement_rates!$G142</f>
        <v>2.2953289483471969E-3</v>
      </c>
      <c r="I163" s="447">
        <f>I95*Calc_SEC_retirement_rates!$G142</f>
        <v>2.329343355136002E-3</v>
      </c>
      <c r="J163" s="447">
        <f>J95*Calc_SEC_retirement_rates!$G142</f>
        <v>2.3709443613233665E-3</v>
      </c>
      <c r="K163" s="447">
        <f>K95*Calc_SEC_retirement_rates!$G142</f>
        <v>2.4098955295022806E-3</v>
      </c>
      <c r="L163" s="447">
        <f>L95*Calc_SEC_retirement_rates!$G142</f>
        <v>2.4355623423731867E-3</v>
      </c>
      <c r="M163" s="447">
        <f>M95*Calc_SEC_retirement_rates!$G142</f>
        <v>2.4509180688498913E-3</v>
      </c>
      <c r="N163" s="447">
        <f>N95*Calc_SEC_retirement_rates!$G142</f>
        <v>2.4622765090807392E-3</v>
      </c>
    </row>
    <row r="164" spans="1:14">
      <c r="B164" s="331" t="str">
        <f t="shared" si="60"/>
        <v>35-39</v>
      </c>
      <c r="C164" s="447">
        <f>C96*Calc_SEC_retirement_rates!$G143</f>
        <v>9.3726225030739303E-3</v>
      </c>
      <c r="D164" s="447">
        <f>D96*Calc_SEC_retirement_rates!$G143</f>
        <v>8.9249892701406246E-3</v>
      </c>
      <c r="E164" s="447">
        <f>E96*Calc_SEC_retirement_rates!$G143</f>
        <v>8.6651711443134199E-3</v>
      </c>
      <c r="F164" s="447">
        <f>F96*Calc_SEC_retirement_rates!$G143</f>
        <v>8.5100415594021525E-3</v>
      </c>
      <c r="G164" s="447">
        <f>G96*Calc_SEC_retirement_rates!$G143</f>
        <v>8.4203935481592575E-3</v>
      </c>
      <c r="H164" s="447">
        <f>H96*Calc_SEC_retirement_rates!$G143</f>
        <v>8.376562525472914E-3</v>
      </c>
      <c r="I164" s="447">
        <f>I96*Calc_SEC_retirement_rates!$G143</f>
        <v>8.3742263956489461E-3</v>
      </c>
      <c r="J164" s="447">
        <f>J96*Calc_SEC_retirement_rates!$G143</f>
        <v>8.4128611447072434E-3</v>
      </c>
      <c r="K164" s="447">
        <f>K96*Calc_SEC_retirement_rates!$G143</f>
        <v>8.4640559186359866E-3</v>
      </c>
      <c r="L164" s="447">
        <f>L96*Calc_SEC_retirement_rates!$G143</f>
        <v>8.5001215178516238E-3</v>
      </c>
      <c r="M164" s="447">
        <f>M96*Calc_SEC_retirement_rates!$G143</f>
        <v>8.5263695420176935E-3</v>
      </c>
      <c r="N164" s="447">
        <f>N96*Calc_SEC_retirement_rates!$G143</f>
        <v>8.5543284450132727E-3</v>
      </c>
    </row>
    <row r="165" spans="1:14">
      <c r="B165" s="331" t="str">
        <f t="shared" si="60"/>
        <v>40-44</v>
      </c>
      <c r="C165" s="447">
        <f>C97*Calc_SEC_retirement_rates!$G144</f>
        <v>1.6268215809737738E-2</v>
      </c>
      <c r="D165" s="447">
        <f>D97*Calc_SEC_retirement_rates!$G144</f>
        <v>1.7225456311069746E-2</v>
      </c>
      <c r="E165" s="447">
        <f>E97*Calc_SEC_retirement_rates!$G144</f>
        <v>1.7764208802533446E-2</v>
      </c>
      <c r="F165" s="447">
        <f>F97*Calc_SEC_retirement_rates!$G144</f>
        <v>1.8059997601328388E-2</v>
      </c>
      <c r="G165" s="447">
        <f>G97*Calc_SEC_retirement_rates!$G144</f>
        <v>1.8217274836129525E-2</v>
      </c>
      <c r="H165" s="447">
        <f>H97*Calc_SEC_retirement_rates!$G144</f>
        <v>1.8300571373594664E-2</v>
      </c>
      <c r="I165" s="447">
        <f>I97*Calc_SEC_retirement_rates!$G144</f>
        <v>1.8362830784309853E-2</v>
      </c>
      <c r="J165" s="447">
        <f>J97*Calc_SEC_retirement_rates!$G144</f>
        <v>1.8441242357632986E-2</v>
      </c>
      <c r="K165" s="447">
        <f>K97*Calc_SEC_retirement_rates!$G144</f>
        <v>1.8505405463421443E-2</v>
      </c>
      <c r="L165" s="447">
        <f>L97*Calc_SEC_retirement_rates!$G144</f>
        <v>1.8520810156078395E-2</v>
      </c>
      <c r="M165" s="447">
        <f>M97*Calc_SEC_retirement_rates!$G144</f>
        <v>1.8513801680920906E-2</v>
      </c>
      <c r="N165" s="447">
        <f>N97*Calc_SEC_retirement_rates!$G144</f>
        <v>1.8516900021255247E-2</v>
      </c>
    </row>
    <row r="166" spans="1:14">
      <c r="B166" s="331" t="str">
        <f t="shared" si="60"/>
        <v>45-49</v>
      </c>
      <c r="C166" s="447">
        <f>C98*Calc_SEC_retirement_rates!$G145</f>
        <v>1.9277407628445927E-2</v>
      </c>
      <c r="D166" s="447">
        <f>D98*Calc_SEC_retirement_rates!$G145</f>
        <v>2.0214852619566803E-2</v>
      </c>
      <c r="E166" s="447">
        <f>E98*Calc_SEC_retirement_rates!$G145</f>
        <v>2.1201058309829542E-2</v>
      </c>
      <c r="F166" s="447">
        <f>F98*Calc_SEC_retirement_rates!$G145</f>
        <v>2.208483427670007E-2</v>
      </c>
      <c r="G166" s="447">
        <f>G98*Calc_SEC_retirement_rates!$G145</f>
        <v>2.2818309253783434E-2</v>
      </c>
      <c r="H166" s="447">
        <f>H98*Calc_SEC_retirement_rates!$G145</f>
        <v>2.3403603131453683E-2</v>
      </c>
      <c r="I166" s="447">
        <f>I98*Calc_SEC_retirement_rates!$G145</f>
        <v>2.3877445570486041E-2</v>
      </c>
      <c r="J166" s="447">
        <f>J98*Calc_SEC_retirement_rates!$G145</f>
        <v>2.4281678525249407E-2</v>
      </c>
      <c r="K166" s="447">
        <f>K98*Calc_SEC_retirement_rates!$G145</f>
        <v>2.4585465892003111E-2</v>
      </c>
      <c r="L166" s="447">
        <f>L98*Calc_SEC_retirement_rates!$G145</f>
        <v>2.4757698715560977E-2</v>
      </c>
      <c r="M166" s="447">
        <f>M98*Calc_SEC_retirement_rates!$G145</f>
        <v>2.4845258641415395E-2</v>
      </c>
      <c r="N166" s="447">
        <f>N98*Calc_SEC_retirement_rates!$G145</f>
        <v>2.4903295911918918E-2</v>
      </c>
    </row>
    <row r="167" spans="1:14">
      <c r="B167" s="331" t="str">
        <f t="shared" si="60"/>
        <v>50-54</v>
      </c>
      <c r="C167" s="447">
        <f>C99*Calc_SEC_retirement_rates!$G146</f>
        <v>0.41641535759217541</v>
      </c>
      <c r="D167" s="447">
        <f>D99*Calc_SEC_retirement_rates!$G146</f>
        <v>0.40445986609205903</v>
      </c>
      <c r="E167" s="447">
        <f>E99*Calc_SEC_retirement_rates!$G146</f>
        <v>0.40044796624102347</v>
      </c>
      <c r="F167" s="447">
        <f>F99*Calc_SEC_retirement_rates!$G146</f>
        <v>0.40191518001807713</v>
      </c>
      <c r="G167" s="447">
        <f>G99*Calc_SEC_retirement_rates!$G146</f>
        <v>0.40674932140265602</v>
      </c>
      <c r="H167" s="447">
        <f>H99*Calc_SEC_retirement_rates!$G146</f>
        <v>0.41337206645192121</v>
      </c>
      <c r="I167" s="447">
        <f>I99*Calc_SEC_retirement_rates!$G146</f>
        <v>0.4209396982515024</v>
      </c>
      <c r="J167" s="447">
        <f>J99*Calc_SEC_retirement_rates!$G146</f>
        <v>0.42901308173341646</v>
      </c>
      <c r="K167" s="447">
        <f>K99*Calc_SEC_retirement_rates!$G146</f>
        <v>0.43621271076067447</v>
      </c>
      <c r="L167" s="447">
        <f>L99*Calc_SEC_retirement_rates!$G146</f>
        <v>0.44142856208062081</v>
      </c>
      <c r="M167" s="447">
        <f>M99*Calc_SEC_retirement_rates!$G146</f>
        <v>0.44511637961656059</v>
      </c>
      <c r="N167" s="447">
        <f>N99*Calc_SEC_retirement_rates!$G146</f>
        <v>0.44803227198081319</v>
      </c>
    </row>
    <row r="168" spans="1:14">
      <c r="B168" s="331" t="str">
        <f t="shared" si="60"/>
        <v>55-59</v>
      </c>
      <c r="C168" s="447">
        <f>C100*Calc_SEC_retirement_rates!$G147</f>
        <v>3.5041804443487159</v>
      </c>
      <c r="D168" s="447">
        <f>D100*Calc_SEC_retirement_rates!$G147</f>
        <v>2.8033815068399264</v>
      </c>
      <c r="E168" s="447">
        <f>E100*Calc_SEC_retirement_rates!$G147</f>
        <v>2.3615753350210777</v>
      </c>
      <c r="F168" s="447">
        <f>F100*Calc_SEC_retirement_rates!$G147</f>
        <v>2.0871583861025611</v>
      </c>
      <c r="G168" s="447">
        <f>G100*Calc_SEC_retirement_rates!$G147</f>
        <v>1.9220318128813723</v>
      </c>
      <c r="H168" s="447">
        <f>H100*Calc_SEC_retirement_rates!$G147</f>
        <v>1.8277993479411687</v>
      </c>
      <c r="I168" s="447">
        <f>I100*Calc_SEC_retirement_rates!$G147</f>
        <v>1.7805567536797045</v>
      </c>
      <c r="J168" s="447">
        <f>J100*Calc_SEC_retirement_rates!$G147</f>
        <v>1.7646583655037915</v>
      </c>
      <c r="K168" s="447">
        <f>K100*Calc_SEC_retirement_rates!$G147</f>
        <v>1.7640770309723204</v>
      </c>
      <c r="L168" s="447">
        <f>L100*Calc_SEC_retirement_rates!$G147</f>
        <v>1.7672658957234655</v>
      </c>
      <c r="M168" s="447">
        <f>M100*Calc_SEC_retirement_rates!$G147</f>
        <v>1.7722997582823283</v>
      </c>
      <c r="N168" s="447">
        <f>N100*Calc_SEC_retirement_rates!$G147</f>
        <v>1.7797036438215097</v>
      </c>
    </row>
    <row r="169" spans="1:14">
      <c r="B169" s="331" t="str">
        <f t="shared" si="60"/>
        <v>60-64</v>
      </c>
      <c r="C169" s="447">
        <f>C101*Calc_SEC_retirement_rates!$G148</f>
        <v>2.6961017363152315</v>
      </c>
      <c r="D169" s="447">
        <f>D101*Calc_SEC_retirement_rates!$G148</f>
        <v>2.4169889861101099</v>
      </c>
      <c r="E169" s="447">
        <f>E101*Calc_SEC_retirement_rates!$G148</f>
        <v>2.0933128661191156</v>
      </c>
      <c r="F169" s="447">
        <f>F101*Calc_SEC_retirement_rates!$G148</f>
        <v>1.8138613398737107</v>
      </c>
      <c r="G169" s="447">
        <f>G101*Calc_SEC_retirement_rates!$G148</f>
        <v>1.6009024794811473</v>
      </c>
      <c r="H169" s="447">
        <f>H101*Calc_SEC_retirement_rates!$G148</f>
        <v>1.4501230528115827</v>
      </c>
      <c r="I169" s="447">
        <f>I101*Calc_SEC_retirement_rates!$G148</f>
        <v>1.3508109401080328</v>
      </c>
      <c r="J169" s="447">
        <f>J101*Calc_SEC_retirement_rates!$G148</f>
        <v>1.2912883057066002</v>
      </c>
      <c r="K169" s="447">
        <f>K101*Calc_SEC_retirement_rates!$G148</f>
        <v>1.2559660271975075</v>
      </c>
      <c r="L169" s="447">
        <f>L101*Calc_SEC_retirement_rates!$G148</f>
        <v>1.2327137821745362</v>
      </c>
      <c r="M169" s="447">
        <f>M101*Calc_SEC_retirement_rates!$G148</f>
        <v>1.2184872378524008</v>
      </c>
      <c r="N169" s="447">
        <f>N101*Calc_SEC_retirement_rates!$G148</f>
        <v>1.2122990619912399</v>
      </c>
    </row>
    <row r="170" spans="1:14">
      <c r="B170" s="331" t="str">
        <f t="shared" si="60"/>
        <v>65 plus</v>
      </c>
      <c r="C170" s="447">
        <f>C102*Calc_SEC_retirement_rates!$G149</f>
        <v>1.9288600877118334</v>
      </c>
      <c r="D170" s="447">
        <f>D102*Calc_SEC_retirement_rates!$G149</f>
        <v>1.5672134907386133</v>
      </c>
      <c r="E170" s="447">
        <f>E102*Calc_SEC_retirement_rates!$G149</f>
        <v>1.3086519017308591</v>
      </c>
      <c r="F170" s="447">
        <f>F102*Calc_SEC_retirement_rates!$G149</f>
        <v>1.1084127443599086</v>
      </c>
      <c r="G170" s="447">
        <f>G102*Calc_SEC_retirement_rates!$G149</f>
        <v>0.95054793382410119</v>
      </c>
      <c r="H170" s="447">
        <f>H102*Calc_SEC_retirement_rates!$G149</f>
        <v>0.82778442817099207</v>
      </c>
      <c r="I170" s="447">
        <f>I102*Calc_SEC_retirement_rates!$G149</f>
        <v>0.73456797245967442</v>
      </c>
      <c r="J170" s="447">
        <f>J102*Calc_SEC_retirement_rates!$G149</f>
        <v>0.6662124022015431</v>
      </c>
      <c r="K170" s="447">
        <f>K102*Calc_SEC_retirement_rates!$G149</f>
        <v>0.61634346251316707</v>
      </c>
      <c r="L170" s="447">
        <f>L102*Calc_SEC_retirement_rates!$G149</f>
        <v>0.57918822034580741</v>
      </c>
      <c r="M170" s="447">
        <f>M102*Calc_SEC_retirement_rates!$G149</f>
        <v>0.55208131048327458</v>
      </c>
      <c r="N170" s="447">
        <f>N102*Calc_SEC_retirement_rates!$G149</f>
        <v>0.53341249353172815</v>
      </c>
    </row>
    <row r="171" spans="1:14">
      <c r="B171" s="331" t="str">
        <f t="shared" si="60"/>
        <v>Total</v>
      </c>
      <c r="C171" s="447">
        <f>SUM(C161:C170)</f>
        <v>8.5925648475066474</v>
      </c>
      <c r="D171" s="447">
        <f t="shared" ref="D171:N171" si="62">SUM(D161:D170)</f>
        <v>7.2405774304505872</v>
      </c>
      <c r="E171" s="447">
        <f t="shared" si="62"/>
        <v>6.2138289725465947</v>
      </c>
      <c r="F171" s="447">
        <f t="shared" si="62"/>
        <v>5.4622420240522711</v>
      </c>
      <c r="G171" s="447">
        <f t="shared" si="62"/>
        <v>4.9319541363599475</v>
      </c>
      <c r="H171" s="447">
        <f t="shared" si="62"/>
        <v>4.571454961354533</v>
      </c>
      <c r="I171" s="447">
        <f t="shared" si="62"/>
        <v>4.339819210604495</v>
      </c>
      <c r="J171" s="447">
        <f t="shared" si="62"/>
        <v>4.2046788815342646</v>
      </c>
      <c r="K171" s="447">
        <f t="shared" si="62"/>
        <v>4.1265640542472317</v>
      </c>
      <c r="L171" s="447">
        <f t="shared" si="62"/>
        <v>4.0748106530562938</v>
      </c>
      <c r="M171" s="447">
        <f t="shared" si="62"/>
        <v>4.0423210341677684</v>
      </c>
      <c r="N171" s="447">
        <f t="shared" si="62"/>
        <v>4.0278842722125594</v>
      </c>
    </row>
    <row r="172" spans="1:14">
      <c r="A172" s="302">
        <f>SUM(C172:N172)</f>
        <v>0</v>
      </c>
      <c r="C172" s="302">
        <f t="shared" ref="C172:N172" si="63">SUM(C161:C170)-C171</f>
        <v>0</v>
      </c>
      <c r="D172" s="302">
        <f t="shared" si="63"/>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5">
      <c r="H177" s="318"/>
    </row>
    <row r="178" spans="1:15">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5">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row>
    <row r="180" spans="1:15">
      <c r="B180" s="331" t="str">
        <f t="shared" si="64"/>
        <v>25-29</v>
      </c>
      <c r="C180" s="447">
        <f>C78*Calc_SEC_death_rates!$G125</f>
        <v>1.4788065045274652E-3</v>
      </c>
      <c r="D180" s="447">
        <f>D78*Calc_SEC_death_rates!$G125</f>
        <v>1.4450231631306847E-3</v>
      </c>
      <c r="E180" s="447">
        <f>E78*Calc_SEC_death_rates!$G125</f>
        <v>1.4652778128116395E-3</v>
      </c>
      <c r="F180" s="447">
        <f>F78*Calc_SEC_death_rates!$G125</f>
        <v>1.5046133966050625E-3</v>
      </c>
      <c r="G180" s="447">
        <f>G78*Calc_SEC_death_rates!$G125</f>
        <v>1.5582039117371573E-3</v>
      </c>
      <c r="H180" s="447">
        <f>H78*Calc_SEC_death_rates!$G125</f>
        <v>1.6093703460793973E-3</v>
      </c>
      <c r="I180" s="447">
        <f>I78*Calc_SEC_death_rates!$G125</f>
        <v>1.6591362572828141E-3</v>
      </c>
      <c r="J180" s="447">
        <f>J78*Calc_SEC_death_rates!$G125</f>
        <v>1.7098785062457402E-3</v>
      </c>
      <c r="K180" s="447">
        <f>K78*Calc_SEC_death_rates!$G125</f>
        <v>1.7484685453128849E-3</v>
      </c>
      <c r="L180" s="447">
        <f>L78*Calc_SEC_death_rates!$G125</f>
        <v>1.7643064076985446E-3</v>
      </c>
      <c r="M180" s="447">
        <f>M78*Calc_SEC_death_rates!$G125</f>
        <v>1.7665801494295599E-3</v>
      </c>
      <c r="N180" s="447">
        <f>N78*Calc_SEC_death_rates!$G125</f>
        <v>1.7664551599198585E-3</v>
      </c>
      <c r="O180" s="320"/>
    </row>
    <row r="181" spans="1:15">
      <c r="B181" s="331" t="str">
        <f t="shared" si="64"/>
        <v>30-34</v>
      </c>
      <c r="C181" s="447">
        <f>C79*Calc_SEC_death_rates!$G126</f>
        <v>4.9053795630247254E-3</v>
      </c>
      <c r="D181" s="447">
        <f>D79*Calc_SEC_death_rates!$G126</f>
        <v>5.0122983748548122E-3</v>
      </c>
      <c r="E181" s="447">
        <f>E79*Calc_SEC_death_rates!$G126</f>
        <v>5.1063824663999061E-3</v>
      </c>
      <c r="F181" s="447">
        <f>F79*Calc_SEC_death_rates!$G126</f>
        <v>5.1878833003219625E-3</v>
      </c>
      <c r="G181" s="447">
        <f>G79*Calc_SEC_death_rates!$G126</f>
        <v>5.290415920882403E-3</v>
      </c>
      <c r="H181" s="447">
        <f>H79*Calc_SEC_death_rates!$G126</f>
        <v>5.3971324472535968E-3</v>
      </c>
      <c r="I181" s="447">
        <f>I79*Calc_SEC_death_rates!$G126</f>
        <v>5.5124772477927655E-3</v>
      </c>
      <c r="J181" s="447">
        <f>J79*Calc_SEC_death_rates!$G126</f>
        <v>5.6403898984645562E-3</v>
      </c>
      <c r="K181" s="447">
        <f>K79*Calc_SEC_death_rates!$G126</f>
        <v>5.7561408591183839E-3</v>
      </c>
      <c r="L181" s="447">
        <f>L79*Calc_SEC_death_rates!$G126</f>
        <v>5.8345777609521638E-3</v>
      </c>
      <c r="M181" s="447">
        <f>M79*Calc_SEC_death_rates!$G126</f>
        <v>5.883546263434721E-3</v>
      </c>
      <c r="N181" s="447">
        <f>N79*Calc_SEC_death_rates!$G126</f>
        <v>5.9191758839541898E-3</v>
      </c>
      <c r="O181" s="320"/>
    </row>
    <row r="182" spans="1:15">
      <c r="B182" s="331" t="str">
        <f t="shared" si="64"/>
        <v>35-39</v>
      </c>
      <c r="C182" s="447">
        <f>C80*Calc_SEC_death_rates!$G127</f>
        <v>6.7906622308720093E-3</v>
      </c>
      <c r="D182" s="447">
        <f>D80*Calc_SEC_death_rates!$G127</f>
        <v>7.6299958495925132E-3</v>
      </c>
      <c r="E182" s="447">
        <f>E80*Calc_SEC_death_rates!$G127</f>
        <v>8.334751554098312E-3</v>
      </c>
      <c r="F182" s="447">
        <f>F80*Calc_SEC_death_rates!$G127</f>
        <v>8.892123601824781E-3</v>
      </c>
      <c r="G182" s="447">
        <f>G80*Calc_SEC_death_rates!$G127</f>
        <v>9.3646267581834197E-3</v>
      </c>
      <c r="H182" s="447">
        <f>H80*Calc_SEC_death_rates!$G127</f>
        <v>9.7561981770581865E-3</v>
      </c>
      <c r="I182" s="447">
        <f>I80*Calc_SEC_death_rates!$G127</f>
        <v>1.0098161815766419E-2</v>
      </c>
      <c r="J182" s="447">
        <f>J80*Calc_SEC_death_rates!$G127</f>
        <v>1.041553303265497E-2</v>
      </c>
      <c r="K182" s="447">
        <f>K80*Calc_SEC_death_rates!$G127</f>
        <v>1.0690688855863113E-2</v>
      </c>
      <c r="L182" s="447">
        <f>L80*Calc_SEC_death_rates!$G127</f>
        <v>1.0901540587211326E-2</v>
      </c>
      <c r="M182" s="447">
        <f>M80*Calc_SEC_death_rates!$G127</f>
        <v>1.1064163765819082E-2</v>
      </c>
      <c r="N182" s="447">
        <f>N80*Calc_SEC_death_rates!$G127</f>
        <v>1.1200497268175113E-2</v>
      </c>
      <c r="O182" s="320"/>
    </row>
    <row r="183" spans="1:15">
      <c r="B183" s="331" t="str">
        <f t="shared" si="64"/>
        <v>40-44</v>
      </c>
      <c r="C183" s="447">
        <f>C81*Calc_SEC_death_rates!$G128</f>
        <v>1.3886881202680336E-2</v>
      </c>
      <c r="D183" s="447">
        <f>D81*Calc_SEC_death_rates!$G128</f>
        <v>1.318647885963525E-2</v>
      </c>
      <c r="E183" s="447">
        <f>E81*Calc_SEC_death_rates!$G128</f>
        <v>1.2962577527748168E-2</v>
      </c>
      <c r="F183" s="447">
        <f>F81*Calc_SEC_death_rates!$G128</f>
        <v>1.2987133853242506E-2</v>
      </c>
      <c r="G183" s="447">
        <f>G81*Calc_SEC_death_rates!$G128</f>
        <v>1.3199055491975595E-2</v>
      </c>
      <c r="H183" s="447">
        <f>H81*Calc_SEC_death_rates!$G128</f>
        <v>1.3492072446610361E-2</v>
      </c>
      <c r="I183" s="447">
        <f>I81*Calc_SEC_death_rates!$G128</f>
        <v>1.3833803087033055E-2</v>
      </c>
      <c r="J183" s="447">
        <f>J81*Calc_SEC_death_rates!$G128</f>
        <v>1.4209158445022876E-2</v>
      </c>
      <c r="K183" s="447">
        <f>K81*Calc_SEC_death_rates!$G128</f>
        <v>1.4567244004750835E-2</v>
      </c>
      <c r="L183" s="447">
        <f>L81*Calc_SEC_death_rates!$G128</f>
        <v>1.4865350061829296E-2</v>
      </c>
      <c r="M183" s="447">
        <f>M81*Calc_SEC_death_rates!$G128</f>
        <v>1.511724066556978E-2</v>
      </c>
      <c r="N183" s="447">
        <f>N81*Calc_SEC_death_rates!$G128</f>
        <v>1.5346481422049064E-2</v>
      </c>
      <c r="O183" s="320"/>
    </row>
    <row r="184" spans="1:15">
      <c r="B184" s="331" t="str">
        <f t="shared" si="64"/>
        <v>45-49</v>
      </c>
      <c r="C184" s="447">
        <f>C82*Calc_SEC_death_rates!$G129</f>
        <v>1.9536133547597288E-2</v>
      </c>
      <c r="D184" s="447">
        <f>D82*Calc_SEC_death_rates!$G129</f>
        <v>1.9391668797658166E-2</v>
      </c>
      <c r="E184" s="447">
        <f>E82*Calc_SEC_death_rates!$G129</f>
        <v>1.9184858434379122E-2</v>
      </c>
      <c r="F184" s="447">
        <f>F82*Calc_SEC_death_rates!$G129</f>
        <v>1.8947840670261264E-2</v>
      </c>
      <c r="G184" s="447">
        <f>G82*Calc_SEC_death_rates!$G129</f>
        <v>1.8839933677926867E-2</v>
      </c>
      <c r="H184" s="447">
        <f>H82*Calc_SEC_death_rates!$G129</f>
        <v>1.8827387010302794E-2</v>
      </c>
      <c r="I184" s="447">
        <f>I82*Calc_SEC_death_rates!$G129</f>
        <v>1.8920840130894217E-2</v>
      </c>
      <c r="J184" s="447">
        <f>J82*Calc_SEC_death_rates!$G129</f>
        <v>1.9119211225357615E-2</v>
      </c>
      <c r="K184" s="447">
        <f>K82*Calc_SEC_death_rates!$G129</f>
        <v>1.9359504049198416E-2</v>
      </c>
      <c r="L184" s="447">
        <f>L82*Calc_SEC_death_rates!$G129</f>
        <v>1.9581362341185651E-2</v>
      </c>
      <c r="M184" s="447">
        <f>M82*Calc_SEC_death_rates!$G129</f>
        <v>1.9792835490564726E-2</v>
      </c>
      <c r="N184" s="447">
        <f>N82*Calc_SEC_death_rates!$G129</f>
        <v>2.0014739326002975E-2</v>
      </c>
      <c r="O184" s="320"/>
    </row>
    <row r="185" spans="1:15">
      <c r="B185" s="331" t="str">
        <f t="shared" si="64"/>
        <v>50-54</v>
      </c>
      <c r="C185" s="447">
        <f>C83*Calc_SEC_death_rates!$G130</f>
        <v>2.5399648127550141E-2</v>
      </c>
      <c r="D185" s="447">
        <f>D83*Calc_SEC_death_rates!$G130</f>
        <v>2.3588420946084813E-2</v>
      </c>
      <c r="E185" s="447">
        <f>E83*Calc_SEC_death_rates!$G130</f>
        <v>2.2339092520823563E-2</v>
      </c>
      <c r="F185" s="447">
        <f>F83*Calc_SEC_death_rates!$G130</f>
        <v>2.1364974481111711E-2</v>
      </c>
      <c r="G185" s="447">
        <f>G83*Calc_SEC_death_rates!$G130</f>
        <v>2.0663292298327696E-2</v>
      </c>
      <c r="H185" s="447">
        <f>H83*Calc_SEC_death_rates!$G130</f>
        <v>2.013838943713021E-2</v>
      </c>
      <c r="I185" s="447">
        <f>I83*Calc_SEC_death_rates!$G130</f>
        <v>1.9773508043636784E-2</v>
      </c>
      <c r="J185" s="447">
        <f>J83*Calc_SEC_death_rates!$G130</f>
        <v>1.9559005000713243E-2</v>
      </c>
      <c r="K185" s="447">
        <f>K83*Calc_SEC_death_rates!$G130</f>
        <v>1.9436977307367879E-2</v>
      </c>
      <c r="L185" s="447">
        <f>L83*Calc_SEC_death_rates!$G130</f>
        <v>1.9352120924834123E-2</v>
      </c>
      <c r="M185" s="447">
        <f>M83*Calc_SEC_death_rates!$G130</f>
        <v>1.930770262787955E-2</v>
      </c>
      <c r="N185" s="447">
        <f>N83*Calc_SEC_death_rates!$G130</f>
        <v>1.9317473073339742E-2</v>
      </c>
      <c r="O185" s="320"/>
    </row>
    <row r="186" spans="1:15">
      <c r="B186" s="331" t="str">
        <f t="shared" si="64"/>
        <v>55-59</v>
      </c>
      <c r="C186" s="447">
        <f>C84*Calc_SEC_death_rates!$G131</f>
        <v>2.5621434882206067E-2</v>
      </c>
      <c r="D186" s="447">
        <f>D84*Calc_SEC_death_rates!$G131</f>
        <v>2.2750990776921162E-2</v>
      </c>
      <c r="E186" s="447">
        <f>E84*Calc_SEC_death_rates!$G131</f>
        <v>2.0663047615044994E-2</v>
      </c>
      <c r="F186" s="447">
        <f>F84*Calc_SEC_death_rates!$G131</f>
        <v>1.9078678469668247E-2</v>
      </c>
      <c r="G186" s="447">
        <f>G84*Calc_SEC_death_rates!$G131</f>
        <v>1.7933373408385508E-2</v>
      </c>
      <c r="H186" s="447">
        <f>H84*Calc_SEC_death_rates!$G131</f>
        <v>1.7077022972331331E-2</v>
      </c>
      <c r="I186" s="447">
        <f>I84*Calc_SEC_death_rates!$G131</f>
        <v>1.644924974916704E-2</v>
      </c>
      <c r="J186" s="447">
        <f>J84*Calc_SEC_death_rates!$G131</f>
        <v>1.6009970887745081E-2</v>
      </c>
      <c r="K186" s="447">
        <f>K84*Calc_SEC_death_rates!$G131</f>
        <v>1.5685273583193611E-2</v>
      </c>
      <c r="L186" s="447">
        <f>L84*Calc_SEC_death_rates!$G131</f>
        <v>1.5416237338048195E-2</v>
      </c>
      <c r="M186" s="447">
        <f>M84*Calc_SEC_death_rates!$G131</f>
        <v>1.5206179486783874E-2</v>
      </c>
      <c r="N186" s="447">
        <f>N84*Calc_SEC_death_rates!$G131</f>
        <v>1.5066992945615929E-2</v>
      </c>
      <c r="O186" s="320"/>
    </row>
    <row r="187" spans="1:15">
      <c r="B187" s="331" t="str">
        <f t="shared" si="64"/>
        <v>60-64</v>
      </c>
      <c r="C187" s="447">
        <f>C85*Calc_SEC_death_rates!$G132</f>
        <v>2.3169550409217182E-2</v>
      </c>
      <c r="D187" s="447">
        <f>D85*Calc_SEC_death_rates!$G132</f>
        <v>1.9401269708274351E-2</v>
      </c>
      <c r="E187" s="447">
        <f>E85*Calc_SEC_death_rates!$G132</f>
        <v>1.6784082689808376E-2</v>
      </c>
      <c r="F187" s="447">
        <f>F85*Calc_SEC_death_rates!$G132</f>
        <v>1.4889304495681391E-2</v>
      </c>
      <c r="G187" s="447">
        <f>G85*Calc_SEC_death_rates!$G132</f>
        <v>1.3542236092570116E-2</v>
      </c>
      <c r="H187" s="447">
        <f>H85*Calc_SEC_death_rates!$G132</f>
        <v>1.2558342901535617E-2</v>
      </c>
      <c r="I187" s="447">
        <f>I85*Calc_SEC_death_rates!$G132</f>
        <v>1.184630694758128E-2</v>
      </c>
      <c r="J187" s="447">
        <f>J85*Calc_SEC_death_rates!$G132</f>
        <v>1.134357518939815E-2</v>
      </c>
      <c r="K187" s="447">
        <f>K85*Calc_SEC_death_rates!$G132</f>
        <v>1.0964407211387214E-2</v>
      </c>
      <c r="L187" s="447">
        <f>L85*Calc_SEC_death_rates!$G132</f>
        <v>1.0645508090426354E-2</v>
      </c>
      <c r="M187" s="447">
        <f>M85*Calc_SEC_death_rates!$G132</f>
        <v>1.0386729694768684E-2</v>
      </c>
      <c r="N187" s="447">
        <f>N85*Calc_SEC_death_rates!$G132</f>
        <v>1.0197045919721964E-2</v>
      </c>
      <c r="O187" s="320"/>
    </row>
    <row r="188" spans="1:15">
      <c r="B188" s="331" t="str">
        <f t="shared" si="64"/>
        <v>65 plus</v>
      </c>
      <c r="C188" s="447">
        <f>C86*Calc_SEC_death_rates!$G133</f>
        <v>2.5221924089838962E-2</v>
      </c>
      <c r="D188" s="447">
        <f>D86*Calc_SEC_death_rates!$G133</f>
        <v>1.7899539287169967E-2</v>
      </c>
      <c r="E188" s="447">
        <f>E86*Calc_SEC_death_rates!$G133</f>
        <v>1.3323639386407732E-2</v>
      </c>
      <c r="F188" s="447">
        <f>F86*Calc_SEC_death_rates!$G133</f>
        <v>1.0293238067473513E-2</v>
      </c>
      <c r="G188" s="447">
        <f>G86*Calc_SEC_death_rates!$G133</f>
        <v>8.3488143864144763E-3</v>
      </c>
      <c r="H188" s="447">
        <f>H86*Calc_SEC_death_rates!$G133</f>
        <v>7.0581733692642538E-3</v>
      </c>
      <c r="I188" s="447">
        <f>I86*Calc_SEC_death_rates!$G133</f>
        <v>6.1944303160077676E-3</v>
      </c>
      <c r="J188" s="447">
        <f>J86*Calc_SEC_death_rates!$G133</f>
        <v>5.6157982990377893E-3</v>
      </c>
      <c r="K188" s="447">
        <f>K86*Calc_SEC_death_rates!$G133</f>
        <v>5.2140653580981409E-3</v>
      </c>
      <c r="L188" s="447">
        <f>L86*Calc_SEC_death_rates!$G133</f>
        <v>4.9157713101104115E-3</v>
      </c>
      <c r="M188" s="447">
        <f>M86*Calc_SEC_death_rates!$G133</f>
        <v>4.6911569476867157E-3</v>
      </c>
      <c r="N188" s="447">
        <f>N86*Calc_SEC_death_rates!$G133</f>
        <v>4.5268173180976305E-3</v>
      </c>
      <c r="O188" s="320"/>
    </row>
    <row r="189" spans="1:15">
      <c r="B189" s="331" t="str">
        <f t="shared" si="64"/>
        <v>Total</v>
      </c>
      <c r="C189" s="447">
        <f>SUM(C179:C188)</f>
        <v>0.14601042055751418</v>
      </c>
      <c r="D189" s="447">
        <f t="shared" ref="D189:N189" si="66">SUM(D179:D188)</f>
        <v>0.13030568576332174</v>
      </c>
      <c r="E189" s="447">
        <f t="shared" si="66"/>
        <v>0.1201637100075218</v>
      </c>
      <c r="F189" s="447">
        <f t="shared" si="66"/>
        <v>0.11314579033619043</v>
      </c>
      <c r="G189" s="447">
        <f t="shared" si="66"/>
        <v>0.10873995194640325</v>
      </c>
      <c r="H189" s="447">
        <f t="shared" si="66"/>
        <v>0.10591408910756575</v>
      </c>
      <c r="I189" s="447">
        <f t="shared" si="66"/>
        <v>0.10428791359516212</v>
      </c>
      <c r="J189" s="447">
        <f t="shared" si="66"/>
        <v>0.10362252048464002</v>
      </c>
      <c r="K189" s="447">
        <f t="shared" si="66"/>
        <v>0.10342276977429046</v>
      </c>
      <c r="L189" s="447">
        <f t="shared" si="66"/>
        <v>0.10327677482229608</v>
      </c>
      <c r="M189" s="447">
        <f t="shared" si="66"/>
        <v>0.10321613509193669</v>
      </c>
      <c r="N189" s="447">
        <f t="shared" si="66"/>
        <v>0.10335567831687648</v>
      </c>
      <c r="O189" s="320"/>
    </row>
    <row r="190" spans="1:15">
      <c r="A190" s="302">
        <f>SUM(C190:N190)</f>
        <v>0</v>
      </c>
      <c r="C190" s="302">
        <f t="shared" ref="C190:N190" si="67">SUM(C179:C188)-C189</f>
        <v>0</v>
      </c>
      <c r="D190" s="302">
        <f t="shared" si="67"/>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5">
      <c r="B192" s="334" t="s">
        <v>47</v>
      </c>
      <c r="C192" s="322"/>
      <c r="D192" s="322"/>
      <c r="E192" s="322"/>
      <c r="F192" s="322"/>
      <c r="G192" s="322"/>
      <c r="H192" s="332"/>
      <c r="I192" s="322"/>
      <c r="J192" s="322"/>
      <c r="K192" s="322"/>
      <c r="L192" s="322"/>
    </row>
    <row r="193" spans="1:17">
      <c r="C193" s="322"/>
      <c r="D193" s="322"/>
      <c r="E193" s="322"/>
      <c r="F193" s="322"/>
      <c r="G193" s="322"/>
      <c r="H193" s="332"/>
      <c r="I193" s="322"/>
      <c r="J193" s="322"/>
      <c r="K193" s="322"/>
      <c r="L193" s="322"/>
    </row>
    <row r="194" spans="1:17">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7">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c r="P195" s="320"/>
      <c r="Q195" s="320"/>
    </row>
    <row r="196" spans="1:17">
      <c r="B196" s="331" t="str">
        <f t="shared" si="68"/>
        <v>25-29</v>
      </c>
      <c r="C196" s="447">
        <f>C94*Calc_SEC_death_rates!$G141</f>
        <v>3.0483126545531444E-3</v>
      </c>
      <c r="D196" s="447">
        <f>D94*Calc_SEC_death_rates!$G141</f>
        <v>2.8786205016426919E-3</v>
      </c>
      <c r="E196" s="447">
        <f>E94*Calc_SEC_death_rates!$G141</f>
        <v>2.8340486303356951E-3</v>
      </c>
      <c r="F196" s="447">
        <f>F94*Calc_SEC_death_rates!$G141</f>
        <v>2.8604836891045395E-3</v>
      </c>
      <c r="G196" s="447">
        <f>G94*Calc_SEC_death_rates!$G141</f>
        <v>2.9221940255315364E-3</v>
      </c>
      <c r="H196" s="447">
        <f>H94*Calc_SEC_death_rates!$G141</f>
        <v>2.9941644812442928E-3</v>
      </c>
      <c r="I196" s="447">
        <f>I94*Calc_SEC_death_rates!$G141</f>
        <v>3.0729531749008041E-3</v>
      </c>
      <c r="J196" s="447">
        <f>J94*Calc_SEC_death_rates!$G141</f>
        <v>3.1592942270197641E-3</v>
      </c>
      <c r="K196" s="447">
        <f>K94*Calc_SEC_death_rates!$G141</f>
        <v>3.2278257999745347E-3</v>
      </c>
      <c r="L196" s="447">
        <f>L94*Calc_SEC_death_rates!$G141</f>
        <v>3.2581403742611135E-3</v>
      </c>
      <c r="M196" s="447">
        <f>M94*Calc_SEC_death_rates!$G141</f>
        <v>3.2650728492999693E-3</v>
      </c>
      <c r="N196" s="447">
        <f>N94*Calc_SEC_death_rates!$G141</f>
        <v>3.2675967566975959E-3</v>
      </c>
      <c r="O196" s="320"/>
      <c r="P196" s="320"/>
      <c r="Q196" s="320"/>
    </row>
    <row r="197" spans="1:17">
      <c r="B197" s="331" t="str">
        <f t="shared" si="68"/>
        <v>30-34</v>
      </c>
      <c r="C197" s="447">
        <f>C95*Calc_SEC_death_rates!$G142</f>
        <v>2.283717224152256E-3</v>
      </c>
      <c r="D197" s="447">
        <f>D95*Calc_SEC_death_rates!$G142</f>
        <v>2.3704173603559405E-3</v>
      </c>
      <c r="E197" s="447">
        <f>E95*Calc_SEC_death_rates!$G142</f>
        <v>2.4165324890483889E-3</v>
      </c>
      <c r="F197" s="447">
        <f>F95*Calc_SEC_death_rates!$G142</f>
        <v>2.4482743239660353E-3</v>
      </c>
      <c r="G197" s="447">
        <f>G95*Calc_SEC_death_rates!$G142</f>
        <v>2.4779125664901548E-3</v>
      </c>
      <c r="H197" s="447">
        <f>H95*Calc_SEC_death_rates!$G142</f>
        <v>2.5093075576741362E-3</v>
      </c>
      <c r="I197" s="447">
        <f>I95*Calc_SEC_death_rates!$G142</f>
        <v>2.5464929066788661E-3</v>
      </c>
      <c r="J197" s="447">
        <f>J95*Calc_SEC_death_rates!$G142</f>
        <v>2.5919721044679106E-3</v>
      </c>
      <c r="K197" s="447">
        <f>K95*Calc_SEC_death_rates!$G142</f>
        <v>2.6345544370620978E-3</v>
      </c>
      <c r="L197" s="447">
        <f>L95*Calc_SEC_death_rates!$G142</f>
        <v>2.6626140001869167E-3</v>
      </c>
      <c r="M197" s="447">
        <f>M95*Calc_SEC_death_rates!$G142</f>
        <v>2.6794012413051526E-3</v>
      </c>
      <c r="N197" s="447">
        <f>N95*Calc_SEC_death_rates!$G142</f>
        <v>2.6918185551438423E-3</v>
      </c>
      <c r="O197" s="320"/>
      <c r="P197" s="320"/>
      <c r="Q197" s="320"/>
    </row>
    <row r="198" spans="1:17">
      <c r="B198" s="331" t="str">
        <f t="shared" si="68"/>
        <v>35-39</v>
      </c>
      <c r="C198" s="447">
        <f>C96*Calc_SEC_death_rates!$G143</f>
        <v>1.3466818629215655E-2</v>
      </c>
      <c r="D198" s="447">
        <f>D96*Calc_SEC_death_rates!$G143</f>
        <v>1.2823647994919309E-2</v>
      </c>
      <c r="E198" s="447">
        <f>E96*Calc_SEC_death_rates!$G143</f>
        <v>1.2450334807927071E-2</v>
      </c>
      <c r="F198" s="447">
        <f>F96*Calc_SEC_death_rates!$G143</f>
        <v>1.2227440737101069E-2</v>
      </c>
      <c r="G198" s="447">
        <f>G96*Calc_SEC_death_rates!$G143</f>
        <v>1.2098632230465704E-2</v>
      </c>
      <c r="H198" s="447">
        <f>H96*Calc_SEC_death_rates!$G143</f>
        <v>1.2035654719885668E-2</v>
      </c>
      <c r="I198" s="447">
        <f>I96*Calc_SEC_death_rates!$G143</f>
        <v>1.2032298110076263E-2</v>
      </c>
      <c r="J198" s="447">
        <f>J96*Calc_SEC_death_rates!$G143</f>
        <v>1.2087809484633673E-2</v>
      </c>
      <c r="K198" s="447">
        <f>K96*Calc_SEC_death_rates!$G143</f>
        <v>1.2161367417329242E-2</v>
      </c>
      <c r="L198" s="447">
        <f>L96*Calc_SEC_death_rates!$G143</f>
        <v>1.2213187373081399E-2</v>
      </c>
      <c r="M198" s="447">
        <f>M96*Calc_SEC_death_rates!$G143</f>
        <v>1.2250901191247424E-2</v>
      </c>
      <c r="N198" s="447">
        <f>N96*Calc_SEC_death_rates!$G143</f>
        <v>1.2291073242942648E-2</v>
      </c>
      <c r="O198" s="320"/>
      <c r="P198" s="320"/>
      <c r="Q198" s="320"/>
    </row>
    <row r="199" spans="1:17">
      <c r="B199" s="331" t="str">
        <f t="shared" si="68"/>
        <v>40-44</v>
      </c>
      <c r="C199" s="447">
        <f>C97*Calc_SEC_death_rates!$G144</f>
        <v>8.7723111270019243E-3</v>
      </c>
      <c r="D199" s="447">
        <f>D97*Calc_SEC_death_rates!$G144</f>
        <v>9.2884839881970244E-3</v>
      </c>
      <c r="E199" s="447">
        <f>E97*Calc_SEC_death_rates!$G144</f>
        <v>9.5789955311246806E-3</v>
      </c>
      <c r="F199" s="447">
        <f>F97*Calc_SEC_death_rates!$G144</f>
        <v>9.7384937453884879E-3</v>
      </c>
      <c r="G199" s="447">
        <f>G97*Calc_SEC_death_rates!$G144</f>
        <v>9.8233023594987267E-3</v>
      </c>
      <c r="H199" s="447">
        <f>H97*Calc_SEC_death_rates!$G144</f>
        <v>9.8682183571097704E-3</v>
      </c>
      <c r="I199" s="447">
        <f>I97*Calc_SEC_death_rates!$G144</f>
        <v>9.9017905034204014E-3</v>
      </c>
      <c r="J199" s="447">
        <f>J97*Calc_SEC_death_rates!$G144</f>
        <v>9.9440723814820716E-3</v>
      </c>
      <c r="K199" s="447">
        <f>K97*Calc_SEC_death_rates!$G144</f>
        <v>9.978671057417645E-3</v>
      </c>
      <c r="L199" s="447">
        <f>L97*Calc_SEC_death_rates!$G144</f>
        <v>9.9869777308957373E-3</v>
      </c>
      <c r="M199" s="447">
        <f>M97*Calc_SEC_death_rates!$G144</f>
        <v>9.9831985503558169E-3</v>
      </c>
      <c r="N199" s="447">
        <f>N97*Calc_SEC_death_rates!$G144</f>
        <v>9.9848692686268347E-3</v>
      </c>
      <c r="O199" s="320"/>
      <c r="P199" s="320"/>
      <c r="Q199" s="320"/>
    </row>
    <row r="200" spans="1:17">
      <c r="B200" s="331" t="str">
        <f t="shared" si="68"/>
        <v>45-49</v>
      </c>
      <c r="C200" s="447">
        <f>C98*Calc_SEC_death_rates!$G145</f>
        <v>1.3267432622486431E-2</v>
      </c>
      <c r="D200" s="447">
        <f>D98*Calc_SEC_death_rates!$G145</f>
        <v>1.3912617312082903E-2</v>
      </c>
      <c r="E200" s="447">
        <f>E98*Calc_SEC_death_rates!$G145</f>
        <v>1.459136093776451E-2</v>
      </c>
      <c r="F200" s="447">
        <f>F98*Calc_SEC_death_rates!$G145</f>
        <v>1.5199608598436755E-2</v>
      </c>
      <c r="G200" s="447">
        <f>G98*Calc_SEC_death_rates!$G145</f>
        <v>1.5704413498882686E-2</v>
      </c>
      <c r="H200" s="447">
        <f>H98*Calc_SEC_death_rates!$G145</f>
        <v>1.6107234626910567E-2</v>
      </c>
      <c r="I200" s="447">
        <f>I98*Calc_SEC_death_rates!$G145</f>
        <v>1.6433350708217047E-2</v>
      </c>
      <c r="J200" s="447">
        <f>J98*Calc_SEC_death_rates!$G145</f>
        <v>1.6711558940074825E-2</v>
      </c>
      <c r="K200" s="447">
        <f>K98*Calc_SEC_death_rates!$G145</f>
        <v>1.6920636763071106E-2</v>
      </c>
      <c r="L200" s="447">
        <f>L98*Calc_SEC_death_rates!$G145</f>
        <v>1.703917383122765E-2</v>
      </c>
      <c r="M200" s="447">
        <f>M98*Calc_SEC_death_rates!$G145</f>
        <v>1.7099435845658945E-2</v>
      </c>
      <c r="N200" s="447">
        <f>N98*Calc_SEC_death_rates!$G145</f>
        <v>1.7139379264963017E-2</v>
      </c>
      <c r="O200" s="320"/>
      <c r="P200" s="320"/>
      <c r="Q200" s="320"/>
    </row>
    <row r="201" spans="1:17">
      <c r="B201" s="331" t="str">
        <f t="shared" si="68"/>
        <v>50-54</v>
      </c>
      <c r="C201" s="447">
        <f>C99*Calc_SEC_death_rates!$G146</f>
        <v>2.0761821096030825E-2</v>
      </c>
      <c r="D201" s="447">
        <f>D99*Calc_SEC_death_rates!$G146</f>
        <v>2.0165738912425027E-2</v>
      </c>
      <c r="E201" s="447">
        <f>E99*Calc_SEC_death_rates!$G146</f>
        <v>1.9965711835028016E-2</v>
      </c>
      <c r="F201" s="447">
        <f>F99*Calc_SEC_death_rates!$G146</f>
        <v>2.0038864828531809E-2</v>
      </c>
      <c r="G201" s="447">
        <f>G99*Calc_SEC_death_rates!$G146</f>
        <v>2.0279887588018602E-2</v>
      </c>
      <c r="H201" s="447">
        <f>H99*Calc_SEC_death_rates!$G146</f>
        <v>2.0610087340190399E-2</v>
      </c>
      <c r="I201" s="447">
        <f>I99*Calc_SEC_death_rates!$G146</f>
        <v>2.098739767392073E-2</v>
      </c>
      <c r="J201" s="447">
        <f>J99*Calc_SEC_death_rates!$G146</f>
        <v>2.1389923998743052E-2</v>
      </c>
      <c r="K201" s="447">
        <f>K99*Calc_SEC_death_rates!$G146</f>
        <v>2.174888628746852E-2</v>
      </c>
      <c r="L201" s="447">
        <f>L99*Calc_SEC_death_rates!$G146</f>
        <v>2.2008940509758462E-2</v>
      </c>
      <c r="M201" s="447">
        <f>M99*Calc_SEC_death_rates!$G146</f>
        <v>2.2192809347734831E-2</v>
      </c>
      <c r="N201" s="447">
        <f>N99*Calc_SEC_death_rates!$G146</f>
        <v>2.2338191199047782E-2</v>
      </c>
      <c r="O201" s="320"/>
      <c r="P201" s="320"/>
      <c r="Q201" s="320"/>
    </row>
    <row r="202" spans="1:17">
      <c r="B202" s="331" t="str">
        <f t="shared" si="68"/>
        <v>55-59</v>
      </c>
      <c r="C202" s="447">
        <f>C100*Calc_SEC_death_rates!$G147</f>
        <v>3.5423028013751766E-2</v>
      </c>
      <c r="D202" s="447">
        <f>D100*Calc_SEC_death_rates!$G147</f>
        <v>2.8338797966347581E-2</v>
      </c>
      <c r="E202" s="447">
        <f>E100*Calc_SEC_death_rates!$G147</f>
        <v>2.3872671678180302E-2</v>
      </c>
      <c r="F202" s="447">
        <f>F100*Calc_SEC_death_rates!$G147</f>
        <v>2.1098648073127172E-2</v>
      </c>
      <c r="G202" s="447">
        <f>G100*Calc_SEC_death_rates!$G147</f>
        <v>1.9429418042903615E-2</v>
      </c>
      <c r="H202" s="447">
        <f>H100*Calc_SEC_death_rates!$G147</f>
        <v>1.8476841741998505E-2</v>
      </c>
      <c r="I202" s="447">
        <f>I100*Calc_SEC_death_rates!$G147</f>
        <v>1.799927622659675E-2</v>
      </c>
      <c r="J202" s="447">
        <f>J100*Calc_SEC_death_rates!$G147</f>
        <v>1.7838562742039439E-2</v>
      </c>
      <c r="K202" s="447">
        <f>K100*Calc_SEC_death_rates!$G147</f>
        <v>1.7832686152714002E-2</v>
      </c>
      <c r="L202" s="447">
        <f>L100*Calc_SEC_death_rates!$G147</f>
        <v>1.7864921720261343E-2</v>
      </c>
      <c r="M202" s="447">
        <f>M100*Calc_SEC_death_rates!$G147</f>
        <v>1.7915807985187441E-2</v>
      </c>
      <c r="N202" s="447">
        <f>N100*Calc_SEC_death_rates!$G147</f>
        <v>1.7990652317273138E-2</v>
      </c>
      <c r="O202" s="320"/>
      <c r="P202" s="320"/>
      <c r="Q202" s="320"/>
    </row>
    <row r="203" spans="1:17">
      <c r="B203" s="331" t="str">
        <f t="shared" si="68"/>
        <v>60-64</v>
      </c>
      <c r="C203" s="447">
        <f>C101*Calc_SEC_death_rates!$G148</f>
        <v>1.5651362961656212E-2</v>
      </c>
      <c r="D203" s="447">
        <f>D101*Calc_SEC_death_rates!$G148</f>
        <v>1.4031062473048955E-2</v>
      </c>
      <c r="E203" s="447">
        <f>E101*Calc_SEC_death_rates!$G148</f>
        <v>1.2152063484337455E-2</v>
      </c>
      <c r="F203" s="447">
        <f>F101*Calc_SEC_death_rates!$G148</f>
        <v>1.0529796338946528E-2</v>
      </c>
      <c r="G203" s="447">
        <f>G101*Calc_SEC_death_rates!$G148</f>
        <v>9.2935312622213322E-3</v>
      </c>
      <c r="H203" s="447">
        <f>H101*Calc_SEC_death_rates!$G148</f>
        <v>8.418229153933289E-3</v>
      </c>
      <c r="I203" s="447">
        <f>I101*Calc_SEC_death_rates!$G148</f>
        <v>7.8417042025653427E-3</v>
      </c>
      <c r="J203" s="447">
        <f>J101*Calc_SEC_death_rates!$G148</f>
        <v>7.4961644393945299E-3</v>
      </c>
      <c r="K203" s="447">
        <f>K101*Calc_SEC_death_rates!$G148</f>
        <v>7.2911121618294819E-3</v>
      </c>
      <c r="L203" s="447">
        <f>L101*Calc_SEC_death_rates!$G148</f>
        <v>7.1561286329715279E-3</v>
      </c>
      <c r="M203" s="447">
        <f>M101*Calc_SEC_death_rates!$G148</f>
        <v>7.0735409450231679E-3</v>
      </c>
      <c r="N203" s="447">
        <f>N101*Calc_SEC_death_rates!$G148</f>
        <v>7.0376174540179815E-3</v>
      </c>
      <c r="O203" s="320"/>
      <c r="P203" s="320"/>
      <c r="Q203" s="320"/>
    </row>
    <row r="204" spans="1:17">
      <c r="B204" s="331" t="str">
        <f t="shared" si="68"/>
        <v>65 plus</v>
      </c>
      <c r="C204" s="447">
        <f>C102*Calc_SEC_death_rates!$G149</f>
        <v>4.7395939598262112E-2</v>
      </c>
      <c r="D204" s="447">
        <f>D102*Calc_SEC_death_rates!$G149</f>
        <v>3.8509561381792665E-2</v>
      </c>
      <c r="E204" s="447">
        <f>E102*Calc_SEC_death_rates!$G149</f>
        <v>3.2156187421123618E-2</v>
      </c>
      <c r="F204" s="447">
        <f>F102*Calc_SEC_death_rates!$G149</f>
        <v>2.7235911933844031E-2</v>
      </c>
      <c r="G204" s="447">
        <f>G102*Calc_SEC_death_rates!$G149</f>
        <v>2.3356858666832771E-2</v>
      </c>
      <c r="H204" s="447">
        <f>H102*Calc_SEC_death_rates!$G149</f>
        <v>2.0340314472739342E-2</v>
      </c>
      <c r="I204" s="447">
        <f>I102*Calc_SEC_death_rates!$G149</f>
        <v>1.8049800229324849E-2</v>
      </c>
      <c r="J204" s="447">
        <f>J102*Calc_SEC_death_rates!$G149</f>
        <v>1.6370167528229129E-2</v>
      </c>
      <c r="K204" s="447">
        <f>K102*Calc_SEC_death_rates!$G149</f>
        <v>1.5144788213079567E-2</v>
      </c>
      <c r="L204" s="447">
        <f>L102*Calc_SEC_death_rates!$G149</f>
        <v>1.4231809804359407E-2</v>
      </c>
      <c r="M204" s="447">
        <f>M102*Calc_SEC_death_rates!$G149</f>
        <v>1.3565738962453906E-2</v>
      </c>
      <c r="N204" s="447">
        <f>N102*Calc_SEC_death_rates!$G149</f>
        <v>1.3107008893723956E-2</v>
      </c>
      <c r="O204" s="320"/>
      <c r="P204" s="320"/>
      <c r="Q204" s="320"/>
    </row>
    <row r="205" spans="1:17">
      <c r="B205" s="331" t="str">
        <f t="shared" si="68"/>
        <v>Total</v>
      </c>
      <c r="C205" s="447">
        <f>SUM(C195:C204)</f>
        <v>0.16007074392711035</v>
      </c>
      <c r="D205" s="447">
        <f t="shared" ref="D205:N205" si="70">SUM(D195:D204)</f>
        <v>0.14231894789081212</v>
      </c>
      <c r="E205" s="447">
        <f t="shared" si="70"/>
        <v>0.13001790681486972</v>
      </c>
      <c r="F205" s="447">
        <f t="shared" si="70"/>
        <v>0.12137752226844643</v>
      </c>
      <c r="G205" s="447">
        <f t="shared" si="70"/>
        <v>0.11538615024084511</v>
      </c>
      <c r="H205" s="447">
        <f t="shared" si="70"/>
        <v>0.11136005245168598</v>
      </c>
      <c r="I205" s="447">
        <f t="shared" si="70"/>
        <v>0.10886506373570107</v>
      </c>
      <c r="J205" s="447">
        <f t="shared" si="70"/>
        <v>0.10758952584608439</v>
      </c>
      <c r="K205" s="447">
        <f t="shared" si="70"/>
        <v>0.10694052828994621</v>
      </c>
      <c r="L205" s="447">
        <f t="shared" si="70"/>
        <v>0.10642189397700356</v>
      </c>
      <c r="M205" s="447">
        <f t="shared" si="70"/>
        <v>0.10602590691826666</v>
      </c>
      <c r="N205" s="447">
        <f t="shared" si="70"/>
        <v>0.1058482069524368</v>
      </c>
      <c r="O205" s="320"/>
      <c r="P205" s="320"/>
      <c r="Q205" s="320"/>
    </row>
    <row r="206" spans="1:17">
      <c r="A206" s="302">
        <f>SUM(C206:N206)</f>
        <v>0</v>
      </c>
      <c r="C206" s="302">
        <f t="shared" ref="C206:N206" si="71">SUM(C195:C204)-C205</f>
        <v>0</v>
      </c>
      <c r="D206" s="302">
        <f t="shared" si="71"/>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7"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0.55984161844735614</v>
      </c>
      <c r="D213" s="447">
        <f t="shared" ref="D213:N213" si="75">D111+D145+D179</f>
        <v>0.78260846134094075</v>
      </c>
      <c r="E213" s="447">
        <f t="shared" si="75"/>
        <v>1.0003157080048291</v>
      </c>
      <c r="F213" s="447">
        <f t="shared" si="75"/>
        <v>1.1175346403362263</v>
      </c>
      <c r="G213" s="447">
        <f t="shared" si="75"/>
        <v>1.2222246270262604</v>
      </c>
      <c r="H213" s="447">
        <f t="shared" si="75"/>
        <v>1.2966285999800007</v>
      </c>
      <c r="I213" s="447">
        <f t="shared" si="75"/>
        <v>1.3545721160182085</v>
      </c>
      <c r="J213" s="447">
        <f t="shared" si="75"/>
        <v>1.4056963574817956</v>
      </c>
      <c r="K213" s="447">
        <f t="shared" si="75"/>
        <v>1.4378335456935236</v>
      </c>
      <c r="L213" s="447">
        <f t="shared" si="75"/>
        <v>1.4425275559464299</v>
      </c>
      <c r="M213" s="447">
        <f t="shared" si="75"/>
        <v>1.4347333202471693</v>
      </c>
      <c r="N213" s="447">
        <f t="shared" si="75"/>
        <v>1.428380759590796</v>
      </c>
    </row>
    <row r="214" spans="1:14">
      <c r="B214" s="331" t="str">
        <f t="shared" si="72"/>
        <v>25-29</v>
      </c>
      <c r="C214" s="447">
        <f t="shared" si="74"/>
        <v>2.1223508873798353</v>
      </c>
      <c r="D214" s="447">
        <f t="shared" ref="D214:N214" si="76">D112+D146+D180</f>
        <v>1.9993528850259916</v>
      </c>
      <c r="E214" s="447">
        <f t="shared" si="76"/>
        <v>2.1034041040773821</v>
      </c>
      <c r="F214" s="447">
        <f t="shared" si="76"/>
        <v>2.1193413962256038</v>
      </c>
      <c r="G214" s="447">
        <f t="shared" si="76"/>
        <v>2.1948269644258946</v>
      </c>
      <c r="H214" s="447">
        <f t="shared" si="76"/>
        <v>2.2668980643133776</v>
      </c>
      <c r="I214" s="447">
        <f t="shared" si="76"/>
        <v>2.3369964403960766</v>
      </c>
      <c r="J214" s="447">
        <f t="shared" si="76"/>
        <v>2.4084700488375299</v>
      </c>
      <c r="K214" s="447">
        <f t="shared" si="76"/>
        <v>2.4628265150643354</v>
      </c>
      <c r="L214" s="447">
        <f t="shared" si="76"/>
        <v>2.4851351276670077</v>
      </c>
      <c r="M214" s="447">
        <f t="shared" si="76"/>
        <v>2.4883378340803231</v>
      </c>
      <c r="N214" s="447">
        <f t="shared" si="76"/>
        <v>2.4881617785948391</v>
      </c>
    </row>
    <row r="215" spans="1:14">
      <c r="B215" s="331" t="str">
        <f t="shared" si="72"/>
        <v>30-34</v>
      </c>
      <c r="C215" s="447">
        <f t="shared" si="74"/>
        <v>1.5145913041240848</v>
      </c>
      <c r="D215" s="447">
        <f t="shared" ref="D215:N215" si="77">D113+D147+D181</f>
        <v>1.4922302780191183</v>
      </c>
      <c r="E215" s="447">
        <f t="shared" si="77"/>
        <v>1.577003609466809</v>
      </c>
      <c r="F215" s="447">
        <f t="shared" si="77"/>
        <v>1.5722344766106524</v>
      </c>
      <c r="G215" s="447">
        <f t="shared" si="77"/>
        <v>1.6033079051537267</v>
      </c>
      <c r="H215" s="447">
        <f t="shared" si="77"/>
        <v>1.6356493038074913</v>
      </c>
      <c r="I215" s="447">
        <f t="shared" si="77"/>
        <v>1.6706055781890305</v>
      </c>
      <c r="J215" s="447">
        <f t="shared" si="77"/>
        <v>1.7093706520619072</v>
      </c>
      <c r="K215" s="447">
        <f t="shared" si="77"/>
        <v>1.7444500169021799</v>
      </c>
      <c r="L215" s="447">
        <f t="shared" si="77"/>
        <v>1.7682210221778651</v>
      </c>
      <c r="M215" s="447">
        <f t="shared" si="77"/>
        <v>1.7830613652261162</v>
      </c>
      <c r="N215" s="447">
        <f t="shared" si="77"/>
        <v>1.7938592406844531</v>
      </c>
    </row>
    <row r="216" spans="1:14">
      <c r="B216" s="331" t="str">
        <f t="shared" si="72"/>
        <v>35-39</v>
      </c>
      <c r="C216" s="447">
        <f t="shared" si="74"/>
        <v>0.93381996949987434</v>
      </c>
      <c r="D216" s="447">
        <f t="shared" ref="D216:N216" si="78">D114+D148+D182</f>
        <v>1.0119399990023892</v>
      </c>
      <c r="E216" s="447">
        <f t="shared" si="78"/>
        <v>1.1464089639625337</v>
      </c>
      <c r="F216" s="447">
        <f t="shared" si="78"/>
        <v>1.2003646534661705</v>
      </c>
      <c r="G216" s="447">
        <f t="shared" si="78"/>
        <v>1.2641487519494303</v>
      </c>
      <c r="H216" s="447">
        <f t="shared" si="78"/>
        <v>1.3170077214793197</v>
      </c>
      <c r="I216" s="447">
        <f t="shared" si="78"/>
        <v>1.3631700425464495</v>
      </c>
      <c r="J216" s="447">
        <f t="shared" si="78"/>
        <v>1.4060125858847343</v>
      </c>
      <c r="K216" s="447">
        <f t="shared" si="78"/>
        <v>1.4431563930520865</v>
      </c>
      <c r="L216" s="447">
        <f t="shared" si="78"/>
        <v>1.4716196687290686</v>
      </c>
      <c r="M216" s="447">
        <f t="shared" si="78"/>
        <v>1.4935724804730492</v>
      </c>
      <c r="N216" s="447">
        <f t="shared" si="78"/>
        <v>1.5119763988888757</v>
      </c>
    </row>
    <row r="217" spans="1:14">
      <c r="B217" s="331" t="str">
        <f t="shared" si="72"/>
        <v>40-44</v>
      </c>
      <c r="C217" s="447">
        <f t="shared" si="74"/>
        <v>1.2968654058025539</v>
      </c>
      <c r="D217" s="447">
        <f t="shared" ref="D217:N217" si="79">D115+D149+D183</f>
        <v>1.1879988157732058</v>
      </c>
      <c r="E217" s="447">
        <f t="shared" si="79"/>
        <v>1.2108120506244799</v>
      </c>
      <c r="F217" s="447">
        <f t="shared" si="79"/>
        <v>1.1907478222855685</v>
      </c>
      <c r="G217" s="447">
        <f t="shared" si="79"/>
        <v>1.2101782241485333</v>
      </c>
      <c r="H217" s="447">
        <f t="shared" si="79"/>
        <v>1.2370439902649719</v>
      </c>
      <c r="I217" s="447">
        <f t="shared" si="79"/>
        <v>1.2683761548895769</v>
      </c>
      <c r="J217" s="447">
        <f t="shared" si="79"/>
        <v>1.3027912598819695</v>
      </c>
      <c r="K217" s="447">
        <f t="shared" si="79"/>
        <v>1.3356229535609812</v>
      </c>
      <c r="L217" s="447">
        <f t="shared" si="79"/>
        <v>1.3629553228341051</v>
      </c>
      <c r="M217" s="447">
        <f t="shared" si="79"/>
        <v>1.3860503483607183</v>
      </c>
      <c r="N217" s="447">
        <f t="shared" si="79"/>
        <v>1.4070686834792596</v>
      </c>
    </row>
    <row r="218" spans="1:14">
      <c r="B218" s="331" t="str">
        <f t="shared" si="72"/>
        <v>45-49</v>
      </c>
      <c r="C218" s="447">
        <f t="shared" si="74"/>
        <v>1.4542948979364436</v>
      </c>
      <c r="D218" s="447">
        <f t="shared" ref="D218:N218" si="80">D116+D150+D184</f>
        <v>1.3930633316634955</v>
      </c>
      <c r="E218" s="447">
        <f t="shared" si="80"/>
        <v>1.4284557077339985</v>
      </c>
      <c r="F218" s="447">
        <f t="shared" si="80"/>
        <v>1.3850432845504455</v>
      </c>
      <c r="G218" s="447">
        <f t="shared" si="80"/>
        <v>1.3771555332393757</v>
      </c>
      <c r="H218" s="447">
        <f t="shared" si="80"/>
        <v>1.3762384008843693</v>
      </c>
      <c r="I218" s="447">
        <f t="shared" si="80"/>
        <v>1.3830696076349402</v>
      </c>
      <c r="J218" s="447">
        <f t="shared" si="80"/>
        <v>1.3975700753672171</v>
      </c>
      <c r="K218" s="447">
        <f t="shared" si="80"/>
        <v>1.4151349244588989</v>
      </c>
      <c r="L218" s="447">
        <f t="shared" si="80"/>
        <v>1.4313522519521065</v>
      </c>
      <c r="M218" s="447">
        <f t="shared" si="80"/>
        <v>1.4468104495645624</v>
      </c>
      <c r="N218" s="447">
        <f t="shared" si="80"/>
        <v>1.4630311061785961</v>
      </c>
    </row>
    <row r="219" spans="1:14">
      <c r="B219" s="331" t="str">
        <f t="shared" si="72"/>
        <v>50-54</v>
      </c>
      <c r="C219" s="447">
        <f t="shared" si="74"/>
        <v>1.7314521800618665</v>
      </c>
      <c r="D219" s="447">
        <f t="shared" ref="D219:N219" si="81">D117+D151+D185</f>
        <v>1.5680806507294827</v>
      </c>
      <c r="E219" s="447">
        <f t="shared" si="81"/>
        <v>1.5230538640459914</v>
      </c>
      <c r="F219" s="447">
        <f t="shared" si="81"/>
        <v>1.4377599607110039</v>
      </c>
      <c r="G219" s="447">
        <f t="shared" si="81"/>
        <v>1.3905401267513116</v>
      </c>
      <c r="H219" s="447">
        <f t="shared" si="81"/>
        <v>1.3552166903596796</v>
      </c>
      <c r="I219" s="447">
        <f t="shared" si="81"/>
        <v>1.330661928619286</v>
      </c>
      <c r="J219" s="447">
        <f t="shared" si="81"/>
        <v>1.3162269061558241</v>
      </c>
      <c r="K219" s="447">
        <f t="shared" si="81"/>
        <v>1.3080150296686794</v>
      </c>
      <c r="L219" s="447">
        <f t="shared" si="81"/>
        <v>1.3023046035071284</v>
      </c>
      <c r="M219" s="447">
        <f t="shared" si="81"/>
        <v>1.2993154658912274</v>
      </c>
      <c r="N219" s="447">
        <f t="shared" si="81"/>
        <v>1.2999729698490903</v>
      </c>
    </row>
    <row r="220" spans="1:14">
      <c r="B220" s="331" t="str">
        <f t="shared" si="72"/>
        <v>55-59</v>
      </c>
      <c r="C220" s="447">
        <f t="shared" si="74"/>
        <v>3.2902918748272385</v>
      </c>
      <c r="D220" s="447">
        <f t="shared" ref="D220:N220" si="82">D118+D152+D186</f>
        <v>2.8980493085446275</v>
      </c>
      <c r="E220" s="447">
        <f t="shared" si="82"/>
        <v>2.6536715107399238</v>
      </c>
      <c r="F220" s="447">
        <f t="shared" si="82"/>
        <v>2.4398497952564413</v>
      </c>
      <c r="G220" s="447">
        <f t="shared" si="82"/>
        <v>2.2933840783715209</v>
      </c>
      <c r="H220" s="447">
        <f t="shared" si="82"/>
        <v>2.1838709147948991</v>
      </c>
      <c r="I220" s="447">
        <f t="shared" si="82"/>
        <v>2.1035890245979463</v>
      </c>
      <c r="J220" s="447">
        <f t="shared" si="82"/>
        <v>2.0474124690883615</v>
      </c>
      <c r="K220" s="447">
        <f t="shared" si="82"/>
        <v>2.0058890138191874</v>
      </c>
      <c r="L220" s="447">
        <f t="shared" si="82"/>
        <v>1.9714836943586083</v>
      </c>
      <c r="M220" s="447">
        <f t="shared" si="82"/>
        <v>1.9446207433311531</v>
      </c>
      <c r="N220" s="447">
        <f t="shared" si="82"/>
        <v>1.9268210694957271</v>
      </c>
    </row>
    <row r="221" spans="1:14">
      <c r="B221" s="331" t="str">
        <f t="shared" si="72"/>
        <v>60-64</v>
      </c>
      <c r="C221" s="447">
        <f t="shared" si="74"/>
        <v>2.4494469925406404</v>
      </c>
      <c r="D221" s="447">
        <f t="shared" ref="D221:N221" si="83">D119+D153+D187</f>
        <v>2.0427727572227514</v>
      </c>
      <c r="E221" s="447">
        <f t="shared" si="83"/>
        <v>1.7744303703994115</v>
      </c>
      <c r="F221" s="447">
        <f t="shared" si="83"/>
        <v>1.5707859785559803</v>
      </c>
      <c r="G221" s="447">
        <f t="shared" si="83"/>
        <v>1.4286734869767588</v>
      </c>
      <c r="H221" s="447">
        <f t="shared" si="83"/>
        <v>1.3248751108120458</v>
      </c>
      <c r="I221" s="447">
        <f t="shared" si="83"/>
        <v>1.2497570223194898</v>
      </c>
      <c r="J221" s="447">
        <f t="shared" si="83"/>
        <v>1.196720025396101</v>
      </c>
      <c r="K221" s="447">
        <f t="shared" si="83"/>
        <v>1.1567187114630189</v>
      </c>
      <c r="L221" s="447">
        <f t="shared" si="83"/>
        <v>1.1230756176620666</v>
      </c>
      <c r="M221" s="447">
        <f t="shared" si="83"/>
        <v>1.0957751164485827</v>
      </c>
      <c r="N221" s="447">
        <f t="shared" si="83"/>
        <v>1.0757639322935826</v>
      </c>
    </row>
    <row r="222" spans="1:14">
      <c r="B222" s="331" t="str">
        <f t="shared" si="72"/>
        <v>65 plus</v>
      </c>
      <c r="C222" s="447">
        <f t="shared" si="74"/>
        <v>3.2066969323691059</v>
      </c>
      <c r="D222" s="447">
        <f t="shared" ref="D222:N222" si="84">D120+D154+D188</f>
        <v>2.2520891454095242</v>
      </c>
      <c r="E222" s="447">
        <f t="shared" si="84"/>
        <v>1.6940670602111176</v>
      </c>
      <c r="F222" s="447">
        <f t="shared" si="84"/>
        <v>1.3016562997861039</v>
      </c>
      <c r="G222" s="447">
        <f t="shared" si="84"/>
        <v>1.0557695032976777</v>
      </c>
      <c r="H222" s="447">
        <f t="shared" si="84"/>
        <v>0.89255837384322367</v>
      </c>
      <c r="I222" s="447">
        <f t="shared" si="84"/>
        <v>0.78333165827540352</v>
      </c>
      <c r="J222" s="447">
        <f t="shared" si="84"/>
        <v>0.71015934794800994</v>
      </c>
      <c r="K222" s="447">
        <f t="shared" si="84"/>
        <v>0.65935723786584766</v>
      </c>
      <c r="L222" s="447">
        <f t="shared" si="84"/>
        <v>0.62163574301585756</v>
      </c>
      <c r="M222" s="447">
        <f t="shared" si="84"/>
        <v>0.59323159089630917</v>
      </c>
      <c r="N222" s="447">
        <f t="shared" si="84"/>
        <v>0.57244962580846059</v>
      </c>
    </row>
    <row r="223" spans="1:14">
      <c r="B223" s="331" t="str">
        <f t="shared" si="72"/>
        <v>Total</v>
      </c>
      <c r="C223" s="447">
        <f>SUM(C213:C222)</f>
        <v>18.559652062988999</v>
      </c>
      <c r="D223" s="447">
        <f t="shared" ref="D223:N223" si="85">SUM(D213:D222)</f>
        <v>16.62818563273153</v>
      </c>
      <c r="E223" s="447">
        <f t="shared" si="85"/>
        <v>16.111622949266476</v>
      </c>
      <c r="F223" s="447">
        <f t="shared" si="85"/>
        <v>15.335318307784195</v>
      </c>
      <c r="G223" s="447">
        <f t="shared" si="85"/>
        <v>15.04020920134049</v>
      </c>
      <c r="H223" s="447">
        <f t="shared" si="85"/>
        <v>14.88598717053938</v>
      </c>
      <c r="I223" s="447">
        <f t="shared" si="85"/>
        <v>14.844129573486406</v>
      </c>
      <c r="J223" s="447">
        <f t="shared" si="85"/>
        <v>14.90042972810345</v>
      </c>
      <c r="K223" s="447">
        <f t="shared" si="85"/>
        <v>14.969004341548739</v>
      </c>
      <c r="L223" s="447">
        <f t="shared" si="85"/>
        <v>14.980310607850246</v>
      </c>
      <c r="M223" s="447">
        <f t="shared" si="85"/>
        <v>14.965508714519212</v>
      </c>
      <c r="N223" s="447">
        <f t="shared" si="85"/>
        <v>14.967485564863679</v>
      </c>
    </row>
    <row r="224" spans="1:14">
      <c r="A224" s="302">
        <f>SUM(C224:N224)</f>
        <v>0</v>
      </c>
      <c r="C224" s="302">
        <f t="shared" ref="C224:N224" si="86">SUM(C213:C222)-C223</f>
        <v>0</v>
      </c>
      <c r="D224" s="302">
        <f t="shared" si="86"/>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0.50262784921923942</v>
      </c>
      <c r="D229" s="447">
        <f t="shared" ref="D229:N229" si="90">D195+D161+D127</f>
        <v>0.86039850035769028</v>
      </c>
      <c r="E229" s="447">
        <f t="shared" si="90"/>
        <v>1.1424971504246524</v>
      </c>
      <c r="F229" s="447">
        <f t="shared" si="90"/>
        <v>1.3609948782788082</v>
      </c>
      <c r="G229" s="447">
        <f t="shared" si="90"/>
        <v>1.5131553249871919</v>
      </c>
      <c r="H229" s="447">
        <f t="shared" si="90"/>
        <v>1.6223737829148392</v>
      </c>
      <c r="I229" s="447">
        <f t="shared" si="90"/>
        <v>1.7070428469940482</v>
      </c>
      <c r="J229" s="447">
        <f t="shared" si="90"/>
        <v>1.7801638895454235</v>
      </c>
      <c r="K229" s="447">
        <f t="shared" si="90"/>
        <v>1.8274542405846312</v>
      </c>
      <c r="L229" s="447">
        <f t="shared" si="90"/>
        <v>1.8388421281905178</v>
      </c>
      <c r="M229" s="447">
        <f t="shared" si="90"/>
        <v>1.8331090416716993</v>
      </c>
      <c r="N229" s="447">
        <f t="shared" si="90"/>
        <v>1.8278882803967</v>
      </c>
    </row>
    <row r="230" spans="1:14">
      <c r="B230" s="331" t="str">
        <f t="shared" si="87"/>
        <v>25-29</v>
      </c>
      <c r="C230" s="447">
        <f t="shared" si="89"/>
        <v>2.8757631336491141</v>
      </c>
      <c r="D230" s="447">
        <f t="shared" ref="D230:N230" si="91">D196+D162+D128</f>
        <v>2.7290833875245584</v>
      </c>
      <c r="E230" s="447">
        <f t="shared" si="91"/>
        <v>2.7315063704792562</v>
      </c>
      <c r="F230" s="447">
        <f t="shared" si="91"/>
        <v>2.7923904711495253</v>
      </c>
      <c r="G230" s="447">
        <f t="shared" si="91"/>
        <v>2.8526318058813174</v>
      </c>
      <c r="H230" s="447">
        <f t="shared" si="91"/>
        <v>2.9228890198979802</v>
      </c>
      <c r="I230" s="447">
        <f t="shared" si="91"/>
        <v>2.999802165125399</v>
      </c>
      <c r="J230" s="447">
        <f t="shared" si="91"/>
        <v>3.0840878864963477</v>
      </c>
      <c r="K230" s="447">
        <f t="shared" si="91"/>
        <v>3.1509880796422478</v>
      </c>
      <c r="L230" s="447">
        <f t="shared" si="91"/>
        <v>3.1805810218069683</v>
      </c>
      <c r="M230" s="447">
        <f t="shared" si="91"/>
        <v>3.1873484707225894</v>
      </c>
      <c r="N230" s="447">
        <f t="shared" si="91"/>
        <v>3.1898122970307208</v>
      </c>
    </row>
    <row r="231" spans="1:14">
      <c r="B231" s="331" t="str">
        <f t="shared" si="87"/>
        <v>30-34</v>
      </c>
      <c r="C231" s="447">
        <f t="shared" si="89"/>
        <v>2.3357736161242584</v>
      </c>
      <c r="D231" s="447">
        <f t="shared" ref="D231:N231" si="92">D197+D163+D129</f>
        <v>2.4364095584247605</v>
      </c>
      <c r="E231" s="447">
        <f t="shared" si="92"/>
        <v>2.5250785652318029</v>
      </c>
      <c r="F231" s="447">
        <f t="shared" si="92"/>
        <v>2.5910733374533734</v>
      </c>
      <c r="G231" s="447">
        <f t="shared" si="92"/>
        <v>2.622440271796262</v>
      </c>
      <c r="H231" s="447">
        <f t="shared" si="92"/>
        <v>2.6556664196139712</v>
      </c>
      <c r="I231" s="447">
        <f t="shared" si="92"/>
        <v>2.6950206559456151</v>
      </c>
      <c r="J231" s="447">
        <f t="shared" si="92"/>
        <v>2.7431524913557372</v>
      </c>
      <c r="K231" s="447">
        <f t="shared" si="92"/>
        <v>2.7882184978695155</v>
      </c>
      <c r="L231" s="447">
        <f t="shared" si="92"/>
        <v>2.817914674136043</v>
      </c>
      <c r="M231" s="447">
        <f t="shared" si="92"/>
        <v>2.8356810544983548</v>
      </c>
      <c r="N231" s="447">
        <f t="shared" si="92"/>
        <v>2.848822625479706</v>
      </c>
    </row>
    <row r="232" spans="1:14">
      <c r="B232" s="331" t="str">
        <f t="shared" si="87"/>
        <v>35-39</v>
      </c>
      <c r="C232" s="447">
        <f t="shared" si="89"/>
        <v>2.5822093659962486</v>
      </c>
      <c r="D232" s="447">
        <f t="shared" ref="D232:N232" si="93">D198+D164+D130</f>
        <v>2.4709285684302205</v>
      </c>
      <c r="E232" s="447">
        <f t="shared" si="93"/>
        <v>2.4385803274578572</v>
      </c>
      <c r="F232" s="447">
        <f t="shared" si="93"/>
        <v>2.4254444981574976</v>
      </c>
      <c r="G232" s="447">
        <f t="shared" si="93"/>
        <v>2.3998939442474976</v>
      </c>
      <c r="H232" s="447">
        <f t="shared" si="93"/>
        <v>2.3874016770733433</v>
      </c>
      <c r="I232" s="447">
        <f t="shared" si="93"/>
        <v>2.3867358573838655</v>
      </c>
      <c r="J232" s="447">
        <f t="shared" si="93"/>
        <v>2.3977471361052509</v>
      </c>
      <c r="K232" s="447">
        <f t="shared" si="93"/>
        <v>2.4123381439038787</v>
      </c>
      <c r="L232" s="447">
        <f t="shared" si="93"/>
        <v>2.4226171899672524</v>
      </c>
      <c r="M232" s="447">
        <f t="shared" si="93"/>
        <v>2.4300981317883603</v>
      </c>
      <c r="N232" s="447">
        <f t="shared" si="93"/>
        <v>2.438066690692779</v>
      </c>
    </row>
    <row r="233" spans="1:14">
      <c r="B233" s="331" t="str">
        <f t="shared" si="87"/>
        <v>40-44</v>
      </c>
      <c r="C233" s="447">
        <f t="shared" si="89"/>
        <v>1.8413187720004784</v>
      </c>
      <c r="D233" s="447">
        <f t="shared" ref="D233:N233" si="94">D199+D165+D131</f>
        <v>1.9591685378676096</v>
      </c>
      <c r="E233" s="447">
        <f t="shared" si="94"/>
        <v>2.0536229664054964</v>
      </c>
      <c r="F233" s="447">
        <f t="shared" si="94"/>
        <v>2.1142999713339337</v>
      </c>
      <c r="G233" s="447">
        <f t="shared" si="94"/>
        <v>2.1327125570037722</v>
      </c>
      <c r="H233" s="447">
        <f t="shared" si="94"/>
        <v>2.1424641566807172</v>
      </c>
      <c r="I233" s="447">
        <f t="shared" si="94"/>
        <v>2.1497529212307587</v>
      </c>
      <c r="J233" s="447">
        <f t="shared" si="94"/>
        <v>2.15893263381373</v>
      </c>
      <c r="K233" s="447">
        <f t="shared" si="94"/>
        <v>2.1664442656380474</v>
      </c>
      <c r="L233" s="447">
        <f t="shared" si="94"/>
        <v>2.1682477066994466</v>
      </c>
      <c r="M233" s="447">
        <f t="shared" si="94"/>
        <v>2.1674272182834629</v>
      </c>
      <c r="N233" s="447">
        <f t="shared" si="94"/>
        <v>2.1677899437402814</v>
      </c>
    </row>
    <row r="234" spans="1:14">
      <c r="B234" s="331" t="str">
        <f t="shared" si="87"/>
        <v>45-49</v>
      </c>
      <c r="C234" s="447">
        <f t="shared" si="89"/>
        <v>1.5292434662925016</v>
      </c>
      <c r="D234" s="447">
        <f t="shared" ref="D234:N234" si="95">D200+D166+D132</f>
        <v>1.6113659398192146</v>
      </c>
      <c r="E234" s="447">
        <f t="shared" si="95"/>
        <v>1.7175149828623795</v>
      </c>
      <c r="F234" s="447">
        <f t="shared" si="95"/>
        <v>1.8116309118275431</v>
      </c>
      <c r="G234" s="447">
        <f t="shared" si="95"/>
        <v>1.8717982612804713</v>
      </c>
      <c r="H234" s="447">
        <f t="shared" si="95"/>
        <v>1.9198102349274508</v>
      </c>
      <c r="I234" s="447">
        <f t="shared" si="95"/>
        <v>1.9586797867262811</v>
      </c>
      <c r="J234" s="447">
        <f t="shared" si="95"/>
        <v>1.9918392348459037</v>
      </c>
      <c r="K234" s="447">
        <f t="shared" si="95"/>
        <v>2.0167590770026695</v>
      </c>
      <c r="L234" s="447">
        <f t="shared" si="95"/>
        <v>2.0308874287611411</v>
      </c>
      <c r="M234" s="447">
        <f t="shared" si="95"/>
        <v>2.0380700168814672</v>
      </c>
      <c r="N234" s="447">
        <f t="shared" si="95"/>
        <v>2.0428308456006214</v>
      </c>
    </row>
    <row r="235" spans="1:14">
      <c r="B235" s="331" t="str">
        <f t="shared" si="87"/>
        <v>50-54</v>
      </c>
      <c r="C235" s="447">
        <f t="shared" si="89"/>
        <v>1.8154330155648166</v>
      </c>
      <c r="D235" s="447">
        <f t="shared" ref="D235:N235" si="96">D201+D167+D133</f>
        <v>1.7699269881418564</v>
      </c>
      <c r="E235" s="447">
        <f t="shared" si="96"/>
        <v>1.7745434171758145</v>
      </c>
      <c r="F235" s="447">
        <f t="shared" si="96"/>
        <v>1.7985169569103481</v>
      </c>
      <c r="G235" s="447">
        <f t="shared" si="96"/>
        <v>1.820149096437589</v>
      </c>
      <c r="H235" s="447">
        <f t="shared" si="96"/>
        <v>1.8497849993956752</v>
      </c>
      <c r="I235" s="447">
        <f t="shared" si="96"/>
        <v>1.8836491448469332</v>
      </c>
      <c r="J235" s="447">
        <f t="shared" si="96"/>
        <v>1.9197764617878095</v>
      </c>
      <c r="K235" s="447">
        <f t="shared" si="96"/>
        <v>1.9519938437946425</v>
      </c>
      <c r="L235" s="447">
        <f t="shared" si="96"/>
        <v>1.9753340844972325</v>
      </c>
      <c r="M235" s="447">
        <f t="shared" si="96"/>
        <v>1.9918365773169384</v>
      </c>
      <c r="N235" s="447">
        <f t="shared" si="96"/>
        <v>2.0048848076957904</v>
      </c>
    </row>
    <row r="236" spans="1:14">
      <c r="B236" s="331" t="str">
        <f t="shared" si="87"/>
        <v>55-59</v>
      </c>
      <c r="C236" s="447">
        <f t="shared" si="89"/>
        <v>4.5552246082494747</v>
      </c>
      <c r="D236" s="447">
        <f t="shared" ref="D236:N236" si="97">D202+D168+D134</f>
        <v>3.6482434982944216</v>
      </c>
      <c r="E236" s="447">
        <f t="shared" si="97"/>
        <v>3.0847393538051198</v>
      </c>
      <c r="F236" s="447">
        <f t="shared" si="97"/>
        <v>2.7342352624386645</v>
      </c>
      <c r="G236" s="447">
        <f t="shared" si="97"/>
        <v>2.5179148804909728</v>
      </c>
      <c r="H236" s="447">
        <f t="shared" si="97"/>
        <v>2.3944677428795584</v>
      </c>
      <c r="I236" s="447">
        <f t="shared" si="97"/>
        <v>2.3325786366292243</v>
      </c>
      <c r="J236" s="447">
        <f t="shared" si="97"/>
        <v>2.3117513080201615</v>
      </c>
      <c r="K236" s="447">
        <f t="shared" si="97"/>
        <v>2.3109897436914526</v>
      </c>
      <c r="L236" s="447">
        <f t="shared" si="97"/>
        <v>2.3151672447894933</v>
      </c>
      <c r="M236" s="447">
        <f t="shared" si="97"/>
        <v>2.3217617440888083</v>
      </c>
      <c r="N236" s="447">
        <f t="shared" si="97"/>
        <v>2.3314610390992323</v>
      </c>
    </row>
    <row r="237" spans="1:14">
      <c r="B237" s="331" t="str">
        <f t="shared" si="87"/>
        <v>60-64</v>
      </c>
      <c r="C237" s="447">
        <f t="shared" si="89"/>
        <v>3.1758762931550977</v>
      </c>
      <c r="D237" s="447">
        <f t="shared" ref="D237:N237" si="98">D203+D169+D135</f>
        <v>2.8491513885331781</v>
      </c>
      <c r="E237" s="447">
        <f t="shared" si="98"/>
        <v>2.4736296929587445</v>
      </c>
      <c r="F237" s="447">
        <f t="shared" si="98"/>
        <v>2.1475080062536418</v>
      </c>
      <c r="G237" s="447">
        <f t="shared" si="98"/>
        <v>1.8953769046957227</v>
      </c>
      <c r="H237" s="447">
        <f t="shared" si="98"/>
        <v>1.7168626936955764</v>
      </c>
      <c r="I237" s="447">
        <f t="shared" si="98"/>
        <v>1.5992828365915672</v>
      </c>
      <c r="J237" s="447">
        <f t="shared" si="98"/>
        <v>1.5288114443630496</v>
      </c>
      <c r="K237" s="447">
        <f t="shared" si="98"/>
        <v>1.4869918883529529</v>
      </c>
      <c r="L237" s="447">
        <f t="shared" si="98"/>
        <v>1.4594625611367509</v>
      </c>
      <c r="M237" s="447">
        <f t="shared" si="98"/>
        <v>1.4426191469454348</v>
      </c>
      <c r="N237" s="447">
        <f t="shared" si="98"/>
        <v>1.4352927009190402</v>
      </c>
    </row>
    <row r="238" spans="1:14">
      <c r="B238" s="331" t="str">
        <f t="shared" si="87"/>
        <v>65 plus</v>
      </c>
      <c r="C238" s="447">
        <f t="shared" si="89"/>
        <v>2.5777063757533161</v>
      </c>
      <c r="D238" s="447">
        <f t="shared" ref="D238:N238" si="99">D204+D170+D136</f>
        <v>2.0968211683925526</v>
      </c>
      <c r="E238" s="447">
        <f t="shared" si="99"/>
        <v>1.7577103748793852</v>
      </c>
      <c r="F238" s="447">
        <f t="shared" si="99"/>
        <v>1.493299387620745</v>
      </c>
      <c r="G238" s="447">
        <f t="shared" si="99"/>
        <v>1.2806174006086577</v>
      </c>
      <c r="H238" s="447">
        <f t="shared" si="99"/>
        <v>1.1152253399825145</v>
      </c>
      <c r="I238" s="447">
        <f t="shared" si="99"/>
        <v>0.98964028429076245</v>
      </c>
      <c r="J238" s="447">
        <f t="shared" si="99"/>
        <v>0.89754883936075924</v>
      </c>
      <c r="K238" s="447">
        <f t="shared" si="99"/>
        <v>0.83036334598125761</v>
      </c>
      <c r="L238" s="447">
        <f t="shared" si="99"/>
        <v>0.78030627053012702</v>
      </c>
      <c r="M238" s="447">
        <f t="shared" si="99"/>
        <v>0.74378672300238113</v>
      </c>
      <c r="N238" s="447">
        <f t="shared" si="99"/>
        <v>0.71863532244044759</v>
      </c>
    </row>
    <row r="239" spans="1:14">
      <c r="B239" s="331" t="str">
        <f t="shared" si="87"/>
        <v>Total</v>
      </c>
      <c r="C239" s="447">
        <f>SUM(C229:C238)</f>
        <v>23.79117649600455</v>
      </c>
      <c r="D239" s="447">
        <f t="shared" ref="D239:N239" si="100">SUM(D229:D238)</f>
        <v>22.431497535786065</v>
      </c>
      <c r="E239" s="447">
        <f t="shared" si="100"/>
        <v>21.69942320168051</v>
      </c>
      <c r="F239" s="447">
        <f t="shared" si="100"/>
        <v>21.269393681424081</v>
      </c>
      <c r="G239" s="447">
        <f t="shared" si="100"/>
        <v>20.906690447429455</v>
      </c>
      <c r="H239" s="447">
        <f t="shared" si="100"/>
        <v>20.726946067061625</v>
      </c>
      <c r="I239" s="447">
        <f t="shared" si="100"/>
        <v>20.702185135764452</v>
      </c>
      <c r="J239" s="447">
        <f t="shared" si="100"/>
        <v>20.813811325694175</v>
      </c>
      <c r="K239" s="447">
        <f t="shared" si="100"/>
        <v>20.942541126461297</v>
      </c>
      <c r="L239" s="447">
        <f t="shared" si="100"/>
        <v>20.989360310514972</v>
      </c>
      <c r="M239" s="447">
        <f t="shared" si="100"/>
        <v>20.991738125199497</v>
      </c>
      <c r="N239" s="447">
        <f t="shared" si="100"/>
        <v>21.005484553095318</v>
      </c>
    </row>
    <row r="240" spans="1:14">
      <c r="A240" s="302">
        <f>SUM(C240:N240)</f>
        <v>0</v>
      </c>
      <c r="C240" s="302">
        <f t="shared" ref="C240:N240" si="101">SUM(C229:C238)-C239</f>
        <v>0</v>
      </c>
      <c r="D240" s="302">
        <f t="shared" si="101"/>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6" ht="15.75">
      <c r="B242" s="333" t="s">
        <v>167</v>
      </c>
      <c r="C242" s="322"/>
      <c r="D242" s="322"/>
      <c r="E242" s="322"/>
      <c r="F242" s="322"/>
      <c r="G242" s="322"/>
      <c r="H242" s="332"/>
      <c r="I242" s="322"/>
      <c r="J242" s="322"/>
      <c r="K242" s="322"/>
      <c r="L242" s="322"/>
    </row>
    <row r="243" spans="2:16">
      <c r="C243" s="322"/>
      <c r="D243" s="322"/>
      <c r="E243" s="322"/>
      <c r="F243" s="322"/>
      <c r="G243" s="322"/>
      <c r="H243" s="332"/>
      <c r="I243" s="322"/>
      <c r="J243" s="322"/>
      <c r="K243" s="322"/>
      <c r="L243" s="322"/>
    </row>
    <row r="244" spans="2:16">
      <c r="B244" s="334" t="s">
        <v>46</v>
      </c>
      <c r="C244" s="322"/>
      <c r="D244" s="322"/>
      <c r="E244" s="322"/>
      <c r="F244" s="322"/>
      <c r="G244" s="322"/>
      <c r="H244" s="332"/>
      <c r="I244" s="322"/>
      <c r="J244" s="322"/>
      <c r="K244" s="322"/>
      <c r="L244" s="322"/>
    </row>
    <row r="245" spans="2:16">
      <c r="C245" s="322"/>
      <c r="D245" s="322"/>
      <c r="E245" s="322"/>
      <c r="F245" s="322"/>
      <c r="G245" s="322"/>
      <c r="H245" s="332"/>
      <c r="I245" s="322"/>
      <c r="J245" s="322"/>
      <c r="K245" s="322"/>
      <c r="L245" s="322"/>
    </row>
    <row r="246" spans="2:16">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6">
      <c r="B247" s="331" t="str">
        <f t="shared" si="102"/>
        <v>20-24</v>
      </c>
      <c r="C247" s="447">
        <f t="shared" ref="C247:C256" si="104">C77-C213</f>
        <v>3.4647229808115423</v>
      </c>
      <c r="D247" s="447">
        <f t="shared" ref="D247:N247" si="105">D77-D213</f>
        <v>5.0531960709871111</v>
      </c>
      <c r="E247" s="447">
        <f t="shared" si="105"/>
        <v>6.1891039504893328</v>
      </c>
      <c r="F247" s="447">
        <f t="shared" si="105"/>
        <v>7.0680607962814879</v>
      </c>
      <c r="G247" s="447">
        <f t="shared" si="105"/>
        <v>7.730192567395477</v>
      </c>
      <c r="H247" s="447">
        <f t="shared" si="105"/>
        <v>8.2007746731668902</v>
      </c>
      <c r="I247" s="447">
        <f t="shared" si="105"/>
        <v>8.5672494823818823</v>
      </c>
      <c r="J247" s="447">
        <f t="shared" si="105"/>
        <v>8.8905944900316598</v>
      </c>
      <c r="K247" s="447">
        <f t="shared" si="105"/>
        <v>9.0938522611139891</v>
      </c>
      <c r="L247" s="447">
        <f t="shared" si="105"/>
        <v>9.1235404234746014</v>
      </c>
      <c r="M247" s="447">
        <f t="shared" si="105"/>
        <v>9.0742442944827104</v>
      </c>
      <c r="N247" s="447">
        <f t="shared" si="105"/>
        <v>9.0340663140329927</v>
      </c>
      <c r="O247" s="320"/>
      <c r="P247" s="320"/>
    </row>
    <row r="248" spans="2:16">
      <c r="B248" s="331" t="str">
        <f t="shared" si="102"/>
        <v>25-29</v>
      </c>
      <c r="C248" s="447">
        <f t="shared" si="104"/>
        <v>14.18410870089933</v>
      </c>
      <c r="D248" s="447">
        <f t="shared" ref="D248:N248" si="106">D78-D214</f>
        <v>13.934585558967518</v>
      </c>
      <c r="E248" s="447">
        <f t="shared" si="106"/>
        <v>14.053877708697682</v>
      </c>
      <c r="F248" s="447">
        <f t="shared" si="106"/>
        <v>14.471684862185221</v>
      </c>
      <c r="G248" s="447">
        <f t="shared" si="106"/>
        <v>14.987129592601518</v>
      </c>
      <c r="H248" s="447">
        <f t="shared" si="106"/>
        <v>15.479259009362885</v>
      </c>
      <c r="I248" s="447">
        <f t="shared" si="106"/>
        <v>15.957917903029761</v>
      </c>
      <c r="J248" s="447">
        <f t="shared" si="106"/>
        <v>16.445967416510705</v>
      </c>
      <c r="K248" s="447">
        <f t="shared" si="106"/>
        <v>16.817134445502486</v>
      </c>
      <c r="L248" s="447">
        <f t="shared" si="106"/>
        <v>16.969466302877333</v>
      </c>
      <c r="M248" s="447">
        <f t="shared" si="106"/>
        <v>16.991335624168435</v>
      </c>
      <c r="N248" s="447">
        <f t="shared" si="106"/>
        <v>16.990133449045203</v>
      </c>
      <c r="O248" s="320"/>
      <c r="P248" s="320"/>
    </row>
    <row r="249" spans="2:16">
      <c r="B249" s="331" t="str">
        <f t="shared" si="102"/>
        <v>30-34</v>
      </c>
      <c r="C249" s="447">
        <f t="shared" si="104"/>
        <v>16.341682611406782</v>
      </c>
      <c r="D249" s="447">
        <f t="shared" ref="D249:N249" si="107">D79-D215</f>
        <v>16.753243202241027</v>
      </c>
      <c r="E249" s="447">
        <f t="shared" si="107"/>
        <v>17.010949242295261</v>
      </c>
      <c r="F249" s="447">
        <f t="shared" si="107"/>
        <v>17.312392913004928</v>
      </c>
      <c r="G249" s="447">
        <f t="shared" si="107"/>
        <v>17.654552693937593</v>
      </c>
      <c r="H249" s="447">
        <f t="shared" si="107"/>
        <v>18.010674512393784</v>
      </c>
      <c r="I249" s="447">
        <f t="shared" si="107"/>
        <v>18.39558959081938</v>
      </c>
      <c r="J249" s="447">
        <f t="shared" si="107"/>
        <v>18.822444617962447</v>
      </c>
      <c r="K249" s="447">
        <f t="shared" si="107"/>
        <v>19.208715086068864</v>
      </c>
      <c r="L249" s="447">
        <f t="shared" si="107"/>
        <v>19.470465473426444</v>
      </c>
      <c r="M249" s="447">
        <f t="shared" si="107"/>
        <v>19.633877390438315</v>
      </c>
      <c r="N249" s="447">
        <f t="shared" si="107"/>
        <v>19.752776362151117</v>
      </c>
      <c r="O249" s="320"/>
      <c r="P249" s="320"/>
    </row>
    <row r="250" spans="2:16">
      <c r="B250" s="331" t="str">
        <f t="shared" si="102"/>
        <v>35-39</v>
      </c>
      <c r="C250" s="447">
        <f t="shared" si="104"/>
        <v>11.635391710376796</v>
      </c>
      <c r="D250" s="447">
        <f t="shared" ref="D250:N250" si="108">D80-D216</f>
        <v>13.110840620847927</v>
      </c>
      <c r="E250" s="447">
        <f t="shared" si="108"/>
        <v>14.280842903516968</v>
      </c>
      <c r="F250" s="447">
        <f t="shared" si="108"/>
        <v>15.258557913296617</v>
      </c>
      <c r="G250" s="447">
        <f t="shared" si="108"/>
        <v>16.06935599689885</v>
      </c>
      <c r="H250" s="447">
        <f t="shared" si="108"/>
        <v>16.74127818777643</v>
      </c>
      <c r="I250" s="447">
        <f t="shared" si="108"/>
        <v>17.328075247637411</v>
      </c>
      <c r="J250" s="447">
        <f t="shared" si="108"/>
        <v>17.872672613773169</v>
      </c>
      <c r="K250" s="447">
        <f t="shared" si="108"/>
        <v>18.344829912929548</v>
      </c>
      <c r="L250" s="447">
        <f t="shared" si="108"/>
        <v>18.706643749304394</v>
      </c>
      <c r="M250" s="447">
        <f t="shared" si="108"/>
        <v>18.985699158331954</v>
      </c>
      <c r="N250" s="447">
        <f t="shared" si="108"/>
        <v>19.219642447288841</v>
      </c>
      <c r="O250" s="320"/>
      <c r="P250" s="320"/>
    </row>
    <row r="251" spans="2:16">
      <c r="B251" s="331" t="str">
        <f t="shared" si="102"/>
        <v>40-44</v>
      </c>
      <c r="C251" s="447">
        <f t="shared" si="104"/>
        <v>15.912221659719604</v>
      </c>
      <c r="D251" s="447">
        <f t="shared" ref="D251:N251" si="109">D81-D217</f>
        <v>15.153126269917788</v>
      </c>
      <c r="E251" s="447">
        <f t="shared" si="109"/>
        <v>14.852847025363236</v>
      </c>
      <c r="F251" s="447">
        <f t="shared" si="109"/>
        <v>14.903342272537376</v>
      </c>
      <c r="G251" s="447">
        <f t="shared" si="109"/>
        <v>15.146532244450055</v>
      </c>
      <c r="H251" s="447">
        <f t="shared" si="109"/>
        <v>15.482782876492951</v>
      </c>
      <c r="I251" s="447">
        <f t="shared" si="109"/>
        <v>15.874934736694289</v>
      </c>
      <c r="J251" s="447">
        <f t="shared" si="109"/>
        <v>16.305672529741397</v>
      </c>
      <c r="K251" s="447">
        <f t="shared" si="109"/>
        <v>16.716592423213235</v>
      </c>
      <c r="L251" s="447">
        <f t="shared" si="109"/>
        <v>17.058683037844705</v>
      </c>
      <c r="M251" s="447">
        <f t="shared" si="109"/>
        <v>17.347739262659331</v>
      </c>
      <c r="N251" s="447">
        <f t="shared" si="109"/>
        <v>17.610803730557549</v>
      </c>
      <c r="O251" s="320"/>
      <c r="P251" s="320"/>
    </row>
    <row r="252" spans="2:16">
      <c r="B252" s="331" t="str">
        <f t="shared" si="102"/>
        <v>45-49</v>
      </c>
      <c r="C252" s="447">
        <f t="shared" si="104"/>
        <v>14.48295525781708</v>
      </c>
      <c r="D252" s="447">
        <f t="shared" ref="D252:N252" si="110">D82-D218</f>
        <v>14.426334903552185</v>
      </c>
      <c r="E252" s="447">
        <f t="shared" si="110"/>
        <v>14.222230101025847</v>
      </c>
      <c r="F252" s="447">
        <f t="shared" si="110"/>
        <v>14.072287406683175</v>
      </c>
      <c r="G252" s="447">
        <f t="shared" si="110"/>
        <v>13.992146443090228</v>
      </c>
      <c r="H252" s="447">
        <f t="shared" si="110"/>
        <v>13.982828214386775</v>
      </c>
      <c r="I252" s="447">
        <f t="shared" si="110"/>
        <v>14.052234496342585</v>
      </c>
      <c r="J252" s="447">
        <f t="shared" si="110"/>
        <v>14.199561841080531</v>
      </c>
      <c r="K252" s="447">
        <f t="shared" si="110"/>
        <v>14.37802384831909</v>
      </c>
      <c r="L252" s="447">
        <f t="shared" si="110"/>
        <v>14.542794795190112</v>
      </c>
      <c r="M252" s="447">
        <f t="shared" si="110"/>
        <v>14.699852846745795</v>
      </c>
      <c r="N252" s="447">
        <f t="shared" si="110"/>
        <v>14.864657618079631</v>
      </c>
      <c r="O252" s="320"/>
      <c r="P252" s="320"/>
    </row>
    <row r="253" spans="2:16">
      <c r="B253" s="331" t="str">
        <f t="shared" si="102"/>
        <v>50-54</v>
      </c>
      <c r="C253" s="447">
        <f t="shared" si="104"/>
        <v>16.188232020709108</v>
      </c>
      <c r="D253" s="447">
        <f t="shared" ref="D253:N253" si="111">D83-D219</f>
        <v>15.073766197936342</v>
      </c>
      <c r="E253" s="447">
        <f t="shared" si="111"/>
        <v>14.237380347275261</v>
      </c>
      <c r="F253" s="447">
        <f t="shared" si="111"/>
        <v>13.635425058879255</v>
      </c>
      <c r="G253" s="447">
        <f t="shared" si="111"/>
        <v>13.187601691387716</v>
      </c>
      <c r="H253" s="447">
        <f t="shared" si="111"/>
        <v>12.852601355516629</v>
      </c>
      <c r="I253" s="447">
        <f t="shared" si="111"/>
        <v>12.619728954907977</v>
      </c>
      <c r="J253" s="447">
        <f t="shared" si="111"/>
        <v>12.4828301175482</v>
      </c>
      <c r="K253" s="447">
        <f t="shared" si="111"/>
        <v>12.404950339634606</v>
      </c>
      <c r="L253" s="447">
        <f t="shared" si="111"/>
        <v>12.350793811349044</v>
      </c>
      <c r="M253" s="447">
        <f t="shared" si="111"/>
        <v>12.322445433966118</v>
      </c>
      <c r="N253" s="447">
        <f t="shared" si="111"/>
        <v>12.328681068695385</v>
      </c>
      <c r="O253" s="320"/>
      <c r="P253" s="320"/>
    </row>
    <row r="254" spans="2:16">
      <c r="B254" s="331" t="str">
        <f t="shared" si="102"/>
        <v>55-59</v>
      </c>
      <c r="C254" s="447">
        <f t="shared" si="104"/>
        <v>9.6583547062771444</v>
      </c>
      <c r="D254" s="447">
        <f t="shared" ref="D254:N254" si="112">D84-D220</f>
        <v>8.5999226159283353</v>
      </c>
      <c r="E254" s="447">
        <f t="shared" si="112"/>
        <v>7.7890887049093251</v>
      </c>
      <c r="F254" s="447">
        <f t="shared" si="112"/>
        <v>7.2021966347750581</v>
      </c>
      <c r="G254" s="447">
        <f t="shared" si="112"/>
        <v>6.7698442435297537</v>
      </c>
      <c r="H254" s="447">
        <f t="shared" si="112"/>
        <v>6.4465721553427775</v>
      </c>
      <c r="I254" s="447">
        <f t="shared" si="112"/>
        <v>6.2095879112577439</v>
      </c>
      <c r="J254" s="447">
        <f t="shared" si="112"/>
        <v>6.0437602443943961</v>
      </c>
      <c r="K254" s="447">
        <f t="shared" si="112"/>
        <v>5.9211870882987583</v>
      </c>
      <c r="L254" s="447">
        <f t="shared" si="112"/>
        <v>5.8196259690367853</v>
      </c>
      <c r="M254" s="447">
        <f t="shared" si="112"/>
        <v>5.7403291795925266</v>
      </c>
      <c r="N254" s="447">
        <f t="shared" si="112"/>
        <v>5.6877862930399044</v>
      </c>
      <c r="O254" s="320"/>
      <c r="P254" s="320"/>
    </row>
    <row r="255" spans="2:16">
      <c r="B255" s="331" t="str">
        <f t="shared" si="102"/>
        <v>60-64</v>
      </c>
      <c r="C255" s="447">
        <f t="shared" si="104"/>
        <v>4.6374723808783074</v>
      </c>
      <c r="D255" s="447">
        <f t="shared" ref="D255:N255" si="113">D85-D221</f>
        <v>3.8915346305372669</v>
      </c>
      <c r="E255" s="447">
        <f t="shared" si="113"/>
        <v>3.3593524902360539</v>
      </c>
      <c r="F255" s="447">
        <f t="shared" si="113"/>
        <v>2.9834370695184091</v>
      </c>
      <c r="G255" s="447">
        <f t="shared" si="113"/>
        <v>2.7135189003933964</v>
      </c>
      <c r="H255" s="447">
        <f t="shared" si="113"/>
        <v>2.5163717858703181</v>
      </c>
      <c r="I255" s="447">
        <f t="shared" si="113"/>
        <v>2.3736979315963707</v>
      </c>
      <c r="J255" s="447">
        <f t="shared" si="113"/>
        <v>2.2729633026670779</v>
      </c>
      <c r="K255" s="447">
        <f t="shared" si="113"/>
        <v>2.1969877054522939</v>
      </c>
      <c r="L255" s="447">
        <f t="shared" si="113"/>
        <v>2.133088450843899</v>
      </c>
      <c r="M255" s="447">
        <f t="shared" si="113"/>
        <v>2.0812358570159253</v>
      </c>
      <c r="N255" s="447">
        <f t="shared" si="113"/>
        <v>2.0432280638295661</v>
      </c>
      <c r="O255" s="320"/>
      <c r="P255" s="320"/>
    </row>
    <row r="256" spans="2:16">
      <c r="B256" s="331" t="str">
        <f t="shared" si="102"/>
        <v>65 plus</v>
      </c>
      <c r="C256" s="447">
        <f t="shared" si="104"/>
        <v>4.2202969669892791</v>
      </c>
      <c r="D256" s="447">
        <f t="shared" ref="D256:N256" si="114">D86-D222</f>
        <v>3.0187129002081576</v>
      </c>
      <c r="E256" s="447">
        <f t="shared" si="114"/>
        <v>2.229288988583221</v>
      </c>
      <c r="F256" s="447">
        <f t="shared" si="114"/>
        <v>1.7293502189658674</v>
      </c>
      <c r="G256" s="447">
        <f t="shared" si="114"/>
        <v>1.4026707526444191</v>
      </c>
      <c r="H256" s="447">
        <f t="shared" si="114"/>
        <v>1.1858322504175969</v>
      </c>
      <c r="I256" s="447">
        <f t="shared" si="114"/>
        <v>1.0407161821320039</v>
      </c>
      <c r="J256" s="447">
        <f t="shared" si="114"/>
        <v>0.94350115623944664</v>
      </c>
      <c r="K256" s="447">
        <f t="shared" si="114"/>
        <v>0.87600665695499513</v>
      </c>
      <c r="L256" s="447">
        <f t="shared" si="114"/>
        <v>0.82589075816568303</v>
      </c>
      <c r="M256" s="447">
        <f t="shared" si="114"/>
        <v>0.78815366374563334</v>
      </c>
      <c r="N256" s="447">
        <f t="shared" si="114"/>
        <v>0.76054322934669294</v>
      </c>
      <c r="O256" s="320"/>
      <c r="P256" s="320"/>
    </row>
    <row r="257" spans="1:16">
      <c r="B257" s="331" t="str">
        <f t="shared" si="102"/>
        <v>Total</v>
      </c>
      <c r="C257" s="447">
        <f>SUM(C247:C256)</f>
        <v>110.72543899588499</v>
      </c>
      <c r="D257" s="447">
        <f t="shared" ref="D257:N257" si="115">SUM(D247:D256)</f>
        <v>109.01526297112366</v>
      </c>
      <c r="E257" s="447">
        <f t="shared" si="115"/>
        <v>108.22496146239219</v>
      </c>
      <c r="F257" s="447">
        <f t="shared" si="115"/>
        <v>108.63673514612739</v>
      </c>
      <c r="G257" s="447">
        <f t="shared" si="115"/>
        <v>109.65354512632902</v>
      </c>
      <c r="H257" s="447">
        <f t="shared" si="115"/>
        <v>110.89897502072702</v>
      </c>
      <c r="I257" s="447">
        <f t="shared" si="115"/>
        <v>112.41973243679939</v>
      </c>
      <c r="J257" s="447">
        <f t="shared" si="115"/>
        <v>114.27996832994904</v>
      </c>
      <c r="K257" s="447">
        <f t="shared" si="115"/>
        <v>115.95827976748787</v>
      </c>
      <c r="L257" s="447">
        <f t="shared" si="115"/>
        <v>117.00099277151298</v>
      </c>
      <c r="M257" s="447">
        <f t="shared" si="115"/>
        <v>117.66491271114675</v>
      </c>
      <c r="N257" s="447">
        <f t="shared" si="115"/>
        <v>118.29231857606688</v>
      </c>
      <c r="O257" s="320"/>
      <c r="P257" s="320"/>
    </row>
    <row r="258" spans="1:16">
      <c r="A258" s="302">
        <f>SUM(C258:N258)</f>
        <v>0</v>
      </c>
      <c r="C258" s="302">
        <f t="shared" ref="C258:N258" si="116">SUM(C247:C256)-C257</f>
        <v>0</v>
      </c>
      <c r="D258" s="302">
        <f t="shared" si="116"/>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6">
      <c r="B260" s="334" t="s">
        <v>47</v>
      </c>
      <c r="C260" s="322"/>
      <c r="D260" s="322"/>
      <c r="E260" s="322"/>
      <c r="F260" s="322"/>
      <c r="G260" s="322"/>
      <c r="H260" s="332"/>
      <c r="I260" s="322"/>
      <c r="J260" s="322"/>
      <c r="K260" s="322"/>
      <c r="L260" s="322"/>
    </row>
    <row r="261" spans="1:16">
      <c r="C261" s="322"/>
      <c r="D261" s="322"/>
      <c r="E261" s="322"/>
      <c r="F261" s="322"/>
      <c r="G261" s="322"/>
      <c r="H261" s="332"/>
      <c r="I261" s="322"/>
      <c r="J261" s="322"/>
      <c r="K261" s="322"/>
      <c r="L261" s="322"/>
    </row>
    <row r="262" spans="1:16">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6">
      <c r="B263" s="331" t="str">
        <f t="shared" si="117"/>
        <v>20-24</v>
      </c>
      <c r="C263" s="447">
        <f t="shared" ref="C263:C272" si="119">C93-C229</f>
        <v>3.6897752829971964</v>
      </c>
      <c r="D263" s="447">
        <f t="shared" ref="D263:N263" si="120">D93-D229</f>
        <v>6.2808653743355158</v>
      </c>
      <c r="E263" s="447">
        <f t="shared" si="120"/>
        <v>8.18490137322053</v>
      </c>
      <c r="F263" s="447">
        <f t="shared" si="120"/>
        <v>9.609202130868729</v>
      </c>
      <c r="G263" s="447">
        <f t="shared" si="120"/>
        <v>10.683519537994641</v>
      </c>
      <c r="H263" s="447">
        <f t="shared" si="120"/>
        <v>11.4546482581672</v>
      </c>
      <c r="I263" s="447">
        <f t="shared" si="120"/>
        <v>12.052447826669269</v>
      </c>
      <c r="J263" s="447">
        <f t="shared" si="120"/>
        <v>12.568713456400815</v>
      </c>
      <c r="K263" s="447">
        <f t="shared" si="120"/>
        <v>12.902603428529273</v>
      </c>
      <c r="L263" s="447">
        <f t="shared" si="120"/>
        <v>12.983006753769534</v>
      </c>
      <c r="M263" s="447">
        <f t="shared" si="120"/>
        <v>12.942528726943484</v>
      </c>
      <c r="N263" s="447">
        <f t="shared" si="120"/>
        <v>12.905667934027111</v>
      </c>
    </row>
    <row r="264" spans="1:16">
      <c r="B264" s="331" t="str">
        <f t="shared" si="117"/>
        <v>25-29</v>
      </c>
      <c r="C264" s="447">
        <f t="shared" si="119"/>
        <v>23.183597312473395</v>
      </c>
      <c r="D264" s="447">
        <f t="shared" ref="D264:N264" si="121">D94-D230</f>
        <v>21.87961583099489</v>
      </c>
      <c r="E264" s="447">
        <f t="shared" si="121"/>
        <v>21.496157635522767</v>
      </c>
      <c r="F264" s="447">
        <f t="shared" si="121"/>
        <v>21.6612610902441</v>
      </c>
      <c r="G264" s="447">
        <f t="shared" si="121"/>
        <v>22.128567970686557</v>
      </c>
      <c r="H264" s="447">
        <f t="shared" si="121"/>
        <v>22.673570495230194</v>
      </c>
      <c r="I264" s="447">
        <f t="shared" si="121"/>
        <v>23.270204718579745</v>
      </c>
      <c r="J264" s="447">
        <f t="shared" si="121"/>
        <v>23.92402983210124</v>
      </c>
      <c r="K264" s="447">
        <f t="shared" si="121"/>
        <v>24.442991118387447</v>
      </c>
      <c r="L264" s="447">
        <f t="shared" si="121"/>
        <v>24.67255086416133</v>
      </c>
      <c r="M264" s="447">
        <f t="shared" si="121"/>
        <v>24.725047633288256</v>
      </c>
      <c r="N264" s="447">
        <f t="shared" si="121"/>
        <v>24.744160141188871</v>
      </c>
    </row>
    <row r="265" spans="1:16">
      <c r="B265" s="331" t="str">
        <f t="shared" si="117"/>
        <v>30-34</v>
      </c>
      <c r="C265" s="447">
        <f t="shared" si="119"/>
        <v>22.714874802049387</v>
      </c>
      <c r="D265" s="447">
        <f t="shared" ref="D265:N265" si="122">D95-D231</f>
        <v>23.565273693167239</v>
      </c>
      <c r="E265" s="447">
        <f t="shared" si="122"/>
        <v>23.982452723681099</v>
      </c>
      <c r="F265" s="447">
        <f t="shared" si="122"/>
        <v>24.264641841417639</v>
      </c>
      <c r="G265" s="447">
        <f t="shared" si="122"/>
        <v>24.558383981592456</v>
      </c>
      <c r="H265" s="447">
        <f t="shared" si="122"/>
        <v>24.869537110650199</v>
      </c>
      <c r="I265" s="447">
        <f t="shared" si="122"/>
        <v>25.238077991267797</v>
      </c>
      <c r="J265" s="447">
        <f t="shared" si="122"/>
        <v>25.688818512778681</v>
      </c>
      <c r="K265" s="447">
        <f t="shared" si="122"/>
        <v>26.110848445885313</v>
      </c>
      <c r="L265" s="447">
        <f t="shared" si="122"/>
        <v>26.388944426709656</v>
      </c>
      <c r="M265" s="447">
        <f t="shared" si="122"/>
        <v>26.555321367909468</v>
      </c>
      <c r="N265" s="447">
        <f t="shared" si="122"/>
        <v>26.678388325716792</v>
      </c>
    </row>
    <row r="266" spans="1:16">
      <c r="B266" s="331" t="str">
        <f t="shared" si="117"/>
        <v>35-39</v>
      </c>
      <c r="C266" s="447">
        <f t="shared" si="119"/>
        <v>27.575581040264218</v>
      </c>
      <c r="D266" s="447">
        <f t="shared" ref="D266:N266" si="123">D96-D232</f>
        <v>26.246536121815122</v>
      </c>
      <c r="E266" s="447">
        <f t="shared" si="123"/>
        <v>25.442881357238676</v>
      </c>
      <c r="F266" s="447">
        <f t="shared" si="123"/>
        <v>24.956864947554713</v>
      </c>
      <c r="G266" s="447">
        <f t="shared" si="123"/>
        <v>24.693959849643182</v>
      </c>
      <c r="H266" s="447">
        <f t="shared" si="123"/>
        <v>24.565419359439851</v>
      </c>
      <c r="I266" s="447">
        <f t="shared" si="123"/>
        <v>24.558568338077645</v>
      </c>
      <c r="J266" s="447">
        <f t="shared" si="123"/>
        <v>24.671870042634577</v>
      </c>
      <c r="K266" s="447">
        <f t="shared" si="123"/>
        <v>24.822005744092891</v>
      </c>
      <c r="L266" s="447">
        <f t="shared" si="123"/>
        <v>24.927773064098851</v>
      </c>
      <c r="M266" s="447">
        <f t="shared" si="123"/>
        <v>25.0047489977274</v>
      </c>
      <c r="N266" s="447">
        <f t="shared" si="123"/>
        <v>25.086742318355963</v>
      </c>
    </row>
    <row r="267" spans="1:16">
      <c r="B267" s="331" t="str">
        <f t="shared" si="117"/>
        <v>40-44</v>
      </c>
      <c r="C267" s="447">
        <f t="shared" si="119"/>
        <v>20.558686364801876</v>
      </c>
      <c r="D267" s="447">
        <f t="shared" ref="D267:N267" si="124">D97-D233</f>
        <v>21.758878626269883</v>
      </c>
      <c r="E267" s="447">
        <f t="shared" si="124"/>
        <v>22.406242398166018</v>
      </c>
      <c r="F267" s="447">
        <f t="shared" si="124"/>
        <v>22.752842422870373</v>
      </c>
      <c r="G267" s="447">
        <f t="shared" si="124"/>
        <v>22.950987750413049</v>
      </c>
      <c r="H267" s="447">
        <f t="shared" si="124"/>
        <v>23.05592868302843</v>
      </c>
      <c r="I267" s="447">
        <f t="shared" si="124"/>
        <v>23.134366044572666</v>
      </c>
      <c r="J267" s="447">
        <f t="shared" si="124"/>
        <v>23.23315266743575</v>
      </c>
      <c r="K267" s="447">
        <f t="shared" si="124"/>
        <v>23.313988394416096</v>
      </c>
      <c r="L267" s="447">
        <f t="shared" si="124"/>
        <v>23.33339595760263</v>
      </c>
      <c r="M267" s="447">
        <f t="shared" si="124"/>
        <v>23.324566347853885</v>
      </c>
      <c r="N267" s="447">
        <f t="shared" si="124"/>
        <v>23.328469784108744</v>
      </c>
    </row>
    <row r="268" spans="1:16">
      <c r="B268" s="331" t="str">
        <f t="shared" si="117"/>
        <v>45-49</v>
      </c>
      <c r="C268" s="447">
        <f t="shared" si="119"/>
        <v>15.865390628354838</v>
      </c>
      <c r="D268" s="447">
        <f t="shared" ref="D268:N268" si="125">D98-D234</f>
        <v>16.629155367398422</v>
      </c>
      <c r="E268" s="447">
        <f t="shared" si="125"/>
        <v>17.412891907252092</v>
      </c>
      <c r="F268" s="447">
        <f t="shared" si="125"/>
        <v>18.116235878583456</v>
      </c>
      <c r="G268" s="447">
        <f t="shared" si="125"/>
        <v>18.717906940697773</v>
      </c>
      <c r="H268" s="447">
        <f t="shared" si="125"/>
        <v>19.198024736163948</v>
      </c>
      <c r="I268" s="447">
        <f t="shared" si="125"/>
        <v>19.586718682753801</v>
      </c>
      <c r="J268" s="447">
        <f t="shared" si="125"/>
        <v>19.918311823396746</v>
      </c>
      <c r="K268" s="447">
        <f t="shared" si="125"/>
        <v>20.16750923751772</v>
      </c>
      <c r="L268" s="447">
        <f t="shared" si="125"/>
        <v>20.308792183928624</v>
      </c>
      <c r="M268" s="447">
        <f t="shared" si="125"/>
        <v>20.380617774757866</v>
      </c>
      <c r="N268" s="447">
        <f t="shared" si="125"/>
        <v>20.42822586948105</v>
      </c>
    </row>
    <row r="269" spans="1:16">
      <c r="B269" s="331" t="str">
        <f t="shared" si="117"/>
        <v>50-54</v>
      </c>
      <c r="C269" s="447">
        <f t="shared" si="119"/>
        <v>14.573688137842709</v>
      </c>
      <c r="D269" s="447">
        <f t="shared" ref="D269:N269" si="126">D99-D235</f>
        <v>14.148654366308882</v>
      </c>
      <c r="E269" s="447">
        <f t="shared" si="126"/>
        <v>13.986139071358563</v>
      </c>
      <c r="F269" s="447">
        <f t="shared" si="126"/>
        <v>14.019911587122857</v>
      </c>
      <c r="G269" s="447">
        <f t="shared" si="126"/>
        <v>14.188539790736364</v>
      </c>
      <c r="H269" s="447">
        <f t="shared" si="126"/>
        <v>14.419559430379179</v>
      </c>
      <c r="I269" s="447">
        <f t="shared" si="126"/>
        <v>14.683539329693398</v>
      </c>
      <c r="J269" s="447">
        <f t="shared" si="126"/>
        <v>14.965161244596644</v>
      </c>
      <c r="K269" s="447">
        <f t="shared" si="126"/>
        <v>15.216304190771755</v>
      </c>
      <c r="L269" s="447">
        <f t="shared" si="126"/>
        <v>15.398247491231162</v>
      </c>
      <c r="M269" s="447">
        <f t="shared" si="126"/>
        <v>15.526888752805288</v>
      </c>
      <c r="N269" s="447">
        <f t="shared" si="126"/>
        <v>15.628603132298368</v>
      </c>
    </row>
    <row r="270" spans="1:16">
      <c r="B270" s="331" t="str">
        <f t="shared" si="117"/>
        <v>55-59</v>
      </c>
      <c r="C270" s="447">
        <f t="shared" si="119"/>
        <v>14.916016646413123</v>
      </c>
      <c r="D270" s="447">
        <f t="shared" ref="D270:N270" si="127">D100-D236</f>
        <v>11.928955939757051</v>
      </c>
      <c r="E270" s="447">
        <f t="shared" si="127"/>
        <v>10.037530980022506</v>
      </c>
      <c r="F270" s="447">
        <f t="shared" si="127"/>
        <v>8.8632167289494195</v>
      </c>
      <c r="G270" s="447">
        <f t="shared" si="127"/>
        <v>8.1619989316259094</v>
      </c>
      <c r="H270" s="447">
        <f t="shared" si="127"/>
        <v>7.7618363156838752</v>
      </c>
      <c r="I270" s="447">
        <f t="shared" si="127"/>
        <v>7.5612184063937828</v>
      </c>
      <c r="J270" s="447">
        <f t="shared" si="127"/>
        <v>7.4937051496221141</v>
      </c>
      <c r="K270" s="447">
        <f t="shared" si="127"/>
        <v>7.491236485059444</v>
      </c>
      <c r="L270" s="447">
        <f t="shared" si="127"/>
        <v>7.5047781499359099</v>
      </c>
      <c r="M270" s="447">
        <f t="shared" si="127"/>
        <v>7.5261546852003267</v>
      </c>
      <c r="N270" s="447">
        <f t="shared" si="127"/>
        <v>7.5575956350616549</v>
      </c>
    </row>
    <row r="271" spans="1:16">
      <c r="B271" s="331" t="str">
        <f t="shared" si="117"/>
        <v>60-64</v>
      </c>
      <c r="C271" s="447">
        <f t="shared" si="119"/>
        <v>5.5585166178934919</v>
      </c>
      <c r="D271" s="447">
        <f t="shared" ref="D271:N271" si="128">D101-D237</f>
        <v>4.9810173258028847</v>
      </c>
      <c r="E271" s="447">
        <f t="shared" si="128"/>
        <v>4.30794565049478</v>
      </c>
      <c r="F271" s="447">
        <f t="shared" si="128"/>
        <v>3.7287456288449614</v>
      </c>
      <c r="G271" s="447">
        <f t="shared" si="128"/>
        <v>3.290967171166459</v>
      </c>
      <c r="H271" s="447">
        <f t="shared" si="128"/>
        <v>2.9810106624991359</v>
      </c>
      <c r="I271" s="447">
        <f t="shared" si="128"/>
        <v>2.7768552521630276</v>
      </c>
      <c r="J271" s="447">
        <f t="shared" si="128"/>
        <v>2.65449487214791</v>
      </c>
      <c r="K271" s="447">
        <f t="shared" si="128"/>
        <v>2.5818830419620404</v>
      </c>
      <c r="L271" s="447">
        <f t="shared" si="128"/>
        <v>2.5340835188759634</v>
      </c>
      <c r="M271" s="447">
        <f t="shared" si="128"/>
        <v>2.5048380833023565</v>
      </c>
      <c r="N271" s="447">
        <f t="shared" si="128"/>
        <v>2.4921170813240945</v>
      </c>
    </row>
    <row r="272" spans="1:16">
      <c r="B272" s="331" t="str">
        <f t="shared" si="117"/>
        <v>65 plus</v>
      </c>
      <c r="C272" s="447">
        <f t="shared" si="119"/>
        <v>4.3442310673127338</v>
      </c>
      <c r="D272" s="447">
        <f t="shared" ref="D272:N272" si="129">D102-D238</f>
        <v>3.5273056471976831</v>
      </c>
      <c r="E272" s="447">
        <f t="shared" si="129"/>
        <v>2.9385382831952538</v>
      </c>
      <c r="F272" s="447">
        <f t="shared" si="129"/>
        <v>2.4843679022126066</v>
      </c>
      <c r="G272" s="447">
        <f t="shared" si="129"/>
        <v>2.1305337640003827</v>
      </c>
      <c r="H272" s="447">
        <f t="shared" si="129"/>
        <v>1.8553747904505007</v>
      </c>
      <c r="I272" s="447">
        <f t="shared" si="129"/>
        <v>1.6464418169660098</v>
      </c>
      <c r="J272" s="447">
        <f t="shared" si="129"/>
        <v>1.4932313946293299</v>
      </c>
      <c r="K272" s="447">
        <f t="shared" si="129"/>
        <v>1.3814564319995704</v>
      </c>
      <c r="L272" s="447">
        <f t="shared" si="129"/>
        <v>1.2981776249764421</v>
      </c>
      <c r="M272" s="447">
        <f t="shared" si="129"/>
        <v>1.2374208923122607</v>
      </c>
      <c r="N272" s="447">
        <f t="shared" si="129"/>
        <v>1.1955770847209934</v>
      </c>
    </row>
    <row r="273" spans="1:14">
      <c r="B273" s="331" t="str">
        <f t="shared" si="117"/>
        <v>Total</v>
      </c>
      <c r="C273" s="447">
        <f>SUM(C263:C272)</f>
        <v>152.98035790040296</v>
      </c>
      <c r="D273" s="447">
        <f t="shared" ref="D273:N273" si="130">SUM(D263:D272)</f>
        <v>150.94625829304761</v>
      </c>
      <c r="E273" s="447">
        <f t="shared" si="130"/>
        <v>150.19568138015225</v>
      </c>
      <c r="F273" s="447">
        <f t="shared" si="130"/>
        <v>150.45729015866883</v>
      </c>
      <c r="G273" s="447">
        <f t="shared" si="130"/>
        <v>151.50536568855676</v>
      </c>
      <c r="H273" s="447">
        <f t="shared" si="130"/>
        <v>152.83490984169248</v>
      </c>
      <c r="I273" s="447">
        <f t="shared" si="130"/>
        <v>154.50843840713713</v>
      </c>
      <c r="J273" s="447">
        <f t="shared" si="130"/>
        <v>156.6114889957438</v>
      </c>
      <c r="K273" s="447">
        <f t="shared" si="130"/>
        <v>158.43082651862156</v>
      </c>
      <c r="L273" s="447">
        <f t="shared" si="130"/>
        <v>159.3497500352901</v>
      </c>
      <c r="M273" s="447">
        <f t="shared" si="130"/>
        <v>159.72813326210061</v>
      </c>
      <c r="N273" s="447">
        <f t="shared" si="130"/>
        <v>160.04554730628362</v>
      </c>
    </row>
    <row r="274" spans="1:14">
      <c r="A274" s="302">
        <f>SUM(C274:N274)</f>
        <v>0</v>
      </c>
      <c r="C274" s="302">
        <f t="shared" ref="C274:N274" si="131">SUM(C263:C272)-C273</f>
        <v>0</v>
      </c>
      <c r="D274" s="302">
        <f t="shared" si="131"/>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200</v>
      </c>
      <c r="C279" s="447">
        <f>C223+C239</f>
        <v>42.350828558993548</v>
      </c>
      <c r="D279" s="447">
        <f t="shared" ref="D279:N279" si="133">D223+D239</f>
        <v>39.059683168517594</v>
      </c>
      <c r="E279" s="447">
        <f t="shared" si="133"/>
        <v>37.811046150946986</v>
      </c>
      <c r="F279" s="447">
        <f t="shared" si="133"/>
        <v>36.604711989208276</v>
      </c>
      <c r="G279" s="447">
        <f t="shared" si="133"/>
        <v>35.946899648769943</v>
      </c>
      <c r="H279" s="447">
        <f t="shared" si="133"/>
        <v>35.612933237601005</v>
      </c>
      <c r="I279" s="447">
        <f t="shared" si="133"/>
        <v>35.546314709250858</v>
      </c>
      <c r="J279" s="447">
        <f t="shared" si="133"/>
        <v>35.714241053797622</v>
      </c>
      <c r="K279" s="447">
        <f t="shared" si="133"/>
        <v>35.911545468010033</v>
      </c>
      <c r="L279" s="447">
        <f t="shared" si="133"/>
        <v>35.969670918365217</v>
      </c>
      <c r="M279" s="447">
        <f t="shared" si="133"/>
        <v>35.957246839718707</v>
      </c>
      <c r="N279" s="447">
        <f t="shared" si="133"/>
        <v>35.972970117958994</v>
      </c>
    </row>
    <row r="280" spans="1:14">
      <c r="B280" s="319" t="s">
        <v>201</v>
      </c>
      <c r="C280" s="447">
        <f>C155+C171</f>
        <v>16.070459308069804</v>
      </c>
      <c r="D280" s="447">
        <f t="shared" ref="D280:N280" si="134">D155+D171</f>
        <v>13.394628080634249</v>
      </c>
      <c r="E280" s="447">
        <f t="shared" si="134"/>
        <v>11.485031735709498</v>
      </c>
      <c r="F280" s="447">
        <f t="shared" si="134"/>
        <v>10.111041382276969</v>
      </c>
      <c r="G280" s="447">
        <f t="shared" si="134"/>
        <v>9.1552576915941941</v>
      </c>
      <c r="H280" s="447">
        <f t="shared" si="134"/>
        <v>8.4935682751488351</v>
      </c>
      <c r="I280" s="447">
        <f t="shared" si="134"/>
        <v>8.0500082033263034</v>
      </c>
      <c r="J280" s="447">
        <f t="shared" si="134"/>
        <v>7.7695871787026665</v>
      </c>
      <c r="K280" s="447">
        <f t="shared" si="134"/>
        <v>7.586629495617859</v>
      </c>
      <c r="L280" s="447">
        <f t="shared" si="134"/>
        <v>7.4509912383998724</v>
      </c>
      <c r="M280" s="447">
        <f t="shared" si="134"/>
        <v>7.3533242692161673</v>
      </c>
      <c r="N280" s="447">
        <f t="shared" si="134"/>
        <v>7.2935596917707679</v>
      </c>
    </row>
    <row r="281" spans="1:14">
      <c r="B281" s="319" t="s">
        <v>532</v>
      </c>
      <c r="C281" s="447">
        <f>C189+C205</f>
        <v>0.30608116448462452</v>
      </c>
      <c r="D281" s="447">
        <f t="shared" ref="D281:N281" si="135">D189+D205</f>
        <v>0.27262463365413386</v>
      </c>
      <c r="E281" s="447">
        <f t="shared" si="135"/>
        <v>0.25018161682239148</v>
      </c>
      <c r="F281" s="447">
        <f t="shared" si="135"/>
        <v>0.23452331260463688</v>
      </c>
      <c r="G281" s="447">
        <f t="shared" si="135"/>
        <v>0.22412610218724838</v>
      </c>
      <c r="H281" s="447">
        <f t="shared" si="135"/>
        <v>0.21727414155925173</v>
      </c>
      <c r="I281" s="447">
        <f t="shared" si="135"/>
        <v>0.21315297733086319</v>
      </c>
      <c r="J281" s="447">
        <f t="shared" si="135"/>
        <v>0.21121204633072441</v>
      </c>
      <c r="K281" s="447">
        <f t="shared" si="135"/>
        <v>0.21036329806423668</v>
      </c>
      <c r="L281" s="447">
        <f t="shared" si="135"/>
        <v>0.20969866879929966</v>
      </c>
      <c r="M281" s="447">
        <f t="shared" si="135"/>
        <v>0.20924204201020336</v>
      </c>
      <c r="N281" s="447">
        <f t="shared" si="135"/>
        <v>0.20920388526931327</v>
      </c>
    </row>
    <row r="282" spans="1:14">
      <c r="B282" s="319" t="s">
        <v>202</v>
      </c>
      <c r="C282" s="447">
        <f>C121+C137</f>
        <v>25.974288086439117</v>
      </c>
      <c r="D282" s="447">
        <f t="shared" ref="D282:N282" si="136">D121+D137</f>
        <v>25.392430454229206</v>
      </c>
      <c r="E282" s="447">
        <f t="shared" si="136"/>
        <v>26.075832798415096</v>
      </c>
      <c r="F282" s="447">
        <f t="shared" si="136"/>
        <v>26.25914729432667</v>
      </c>
      <c r="G282" s="447">
        <f t="shared" si="136"/>
        <v>26.5675158549885</v>
      </c>
      <c r="H282" s="447">
        <f t="shared" si="136"/>
        <v>26.902090820892919</v>
      </c>
      <c r="I282" s="447">
        <f t="shared" si="136"/>
        <v>27.283153528593694</v>
      </c>
      <c r="J282" s="447">
        <f t="shared" si="136"/>
        <v>27.733441828764231</v>
      </c>
      <c r="K282" s="447">
        <f t="shared" si="136"/>
        <v>28.114552674327943</v>
      </c>
      <c r="L282" s="447">
        <f t="shared" si="136"/>
        <v>28.308981011166047</v>
      </c>
      <c r="M282" s="447">
        <f t="shared" si="136"/>
        <v>28.394680528492337</v>
      </c>
      <c r="N282" s="447">
        <f t="shared" si="136"/>
        <v>28.470206540918923</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4" ht="15.75">
      <c r="B291" s="333"/>
      <c r="C291" s="320"/>
      <c r="D291" s="320"/>
      <c r="E291" s="320"/>
      <c r="F291" s="320"/>
      <c r="G291" s="320"/>
      <c r="H291" s="320"/>
      <c r="I291" s="320"/>
      <c r="J291" s="320"/>
      <c r="K291" s="320"/>
      <c r="L291" s="320"/>
      <c r="M291" s="320"/>
      <c r="N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35.315407536400862</v>
      </c>
      <c r="D294" s="447">
        <f t="shared" ref="D294:N294" si="141">D36-D15+D279-D290</f>
        <v>36.270167729320221</v>
      </c>
      <c r="E294" s="447">
        <f t="shared" si="141"/>
        <v>37.278094451460042</v>
      </c>
      <c r="F294" s="447">
        <f t="shared" si="141"/>
        <v>38.011785158859475</v>
      </c>
      <c r="G294" s="447">
        <f t="shared" si="141"/>
        <v>38.18790728513477</v>
      </c>
      <c r="H294" s="447">
        <f t="shared" si="141"/>
        <v>38.740600690767856</v>
      </c>
      <c r="I294" s="447">
        <f t="shared" si="141"/>
        <v>39.677527535553914</v>
      </c>
      <c r="J294" s="447">
        <f t="shared" si="141"/>
        <v>39.409194428426616</v>
      </c>
      <c r="K294" s="447">
        <f t="shared" si="141"/>
        <v>37.931307439058898</v>
      </c>
      <c r="L294" s="447">
        <f t="shared" si="141"/>
        <v>36.999550006162941</v>
      </c>
      <c r="M294" s="447">
        <f t="shared" si="141"/>
        <v>36.917790027062196</v>
      </c>
      <c r="N294" s="447">
        <f t="shared" si="141"/>
        <v>36.633541807779352</v>
      </c>
    </row>
    <row r="295" spans="2:14" ht="12.75" customHeight="1">
      <c r="B295" s="1327" t="s">
        <v>265</v>
      </c>
      <c r="C295" s="1327"/>
      <c r="D295" s="1327"/>
      <c r="E295" s="1327"/>
      <c r="F295" s="1327"/>
      <c r="G295" s="1327"/>
      <c r="H295" s="1327"/>
      <c r="I295" s="1327"/>
      <c r="J295" s="1327"/>
      <c r="K295" s="1327"/>
      <c r="L295" s="1327"/>
      <c r="M295" s="1327"/>
      <c r="N295" s="1327"/>
    </row>
    <row r="296" spans="2:14">
      <c r="B296" s="526" t="s">
        <v>80</v>
      </c>
      <c r="C296" s="527">
        <f>IF(C294&lt;0,0,C294)</f>
        <v>35.315407536400862</v>
      </c>
      <c r="D296" s="527">
        <f t="shared" ref="D296:N296" si="142">IF(D294&lt;0,0,D294)</f>
        <v>36.270167729320221</v>
      </c>
      <c r="E296" s="527">
        <f t="shared" si="142"/>
        <v>37.278094451460042</v>
      </c>
      <c r="F296" s="527">
        <f t="shared" si="142"/>
        <v>38.011785158859475</v>
      </c>
      <c r="G296" s="527">
        <f t="shared" si="142"/>
        <v>38.18790728513477</v>
      </c>
      <c r="H296" s="527">
        <f t="shared" si="142"/>
        <v>38.740600690767856</v>
      </c>
      <c r="I296" s="527">
        <f t="shared" si="142"/>
        <v>39.677527535553914</v>
      </c>
      <c r="J296" s="527">
        <f t="shared" si="142"/>
        <v>39.409194428426616</v>
      </c>
      <c r="K296" s="527">
        <f t="shared" si="142"/>
        <v>37.931307439058898</v>
      </c>
      <c r="L296" s="527">
        <f t="shared" si="142"/>
        <v>36.999550006162941</v>
      </c>
      <c r="M296" s="527">
        <f t="shared" si="142"/>
        <v>36.917790027062196</v>
      </c>
      <c r="N296" s="527">
        <f t="shared" si="142"/>
        <v>36.633541807779352</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3.8300326845985233</v>
      </c>
      <c r="D303" s="447">
        <f>D$296*Entrant_age_breakdowns!$K76*$G$31</f>
        <v>3.9335785021305902</v>
      </c>
      <c r="E303" s="447">
        <f>E$296*Entrant_age_breakdowns!$K76*$G$31</f>
        <v>4.0428903452828102</v>
      </c>
      <c r="F303" s="447">
        <f>F$296*Entrant_age_breakdowns!$K76*$G$31</f>
        <v>4.1224606967456836</v>
      </c>
      <c r="G303" s="447">
        <f>G$296*Entrant_age_breakdowns!$K76*$G$31</f>
        <v>4.1415615240381367</v>
      </c>
      <c r="H303" s="447">
        <f>H$296*Entrant_age_breakdowns!$K76*$G$31</f>
        <v>4.2015023248332248</v>
      </c>
      <c r="I303" s="447">
        <f>I$296*Entrant_age_breakdowns!$K76*$G$31</f>
        <v>4.3031140770099379</v>
      </c>
      <c r="J303" s="447">
        <f>J$296*Entrant_age_breakdowns!$K76*$G$31</f>
        <v>4.2740127684777303</v>
      </c>
      <c r="K303" s="447">
        <f>K$296*Entrant_age_breakdowns!$K76*$G$31</f>
        <v>4.1137327131623005</v>
      </c>
      <c r="L303" s="447">
        <f>L$296*Entrant_age_breakdowns!$K76*$G$31</f>
        <v>4.0126815949377477</v>
      </c>
      <c r="M303" s="447">
        <f>M$296*Entrant_age_breakdowns!$K76*$G$31</f>
        <v>4.0038145475470248</v>
      </c>
      <c r="N303" s="447">
        <f>N$296*Entrant_age_breakdowns!$K76*$G$31</f>
        <v>3.9729872105194097</v>
      </c>
    </row>
    <row r="304" spans="2:14">
      <c r="B304" s="331" t="str">
        <f t="shared" si="143"/>
        <v>25-29</v>
      </c>
      <c r="C304" s="447">
        <f>C$296*Entrant_age_breakdowns!$K77*$G$31</f>
        <v>3.9096254377400408</v>
      </c>
      <c r="D304" s="447">
        <f>D$296*Entrant_age_breakdowns!$K77*$G$31</f>
        <v>4.0153230637218904</v>
      </c>
      <c r="E304" s="447">
        <f>E$296*Entrant_age_breakdowns!$K77*$G$31</f>
        <v>4.1269065403728131</v>
      </c>
      <c r="F304" s="447">
        <f>F$296*Entrant_age_breakdowns!$K77*$G$31</f>
        <v>4.2081304608422476</v>
      </c>
      <c r="G304" s="447">
        <f>G$296*Entrant_age_breakdowns!$K77*$G$31</f>
        <v>4.2276282266354084</v>
      </c>
      <c r="H304" s="447">
        <f>H$296*Entrant_age_breakdowns!$K77*$G$31</f>
        <v>4.288814670419387</v>
      </c>
      <c r="I304" s="447">
        <f>I$296*Entrant_age_breakdowns!$K77*$G$31</f>
        <v>4.392538038807575</v>
      </c>
      <c r="J304" s="447">
        <f>J$296*Entrant_age_breakdowns!$K77*$G$31</f>
        <v>4.3628319695704754</v>
      </c>
      <c r="K304" s="447">
        <f>K$296*Entrant_age_breakdowns!$K77*$G$31</f>
        <v>4.1992210991088639</v>
      </c>
      <c r="L304" s="447">
        <f>L$296*Entrant_age_breakdowns!$K77*$G$31</f>
        <v>4.0960700153305272</v>
      </c>
      <c r="M304" s="447">
        <f>M$296*Entrant_age_breakdowns!$K77*$G$31</f>
        <v>4.0870186998741822</v>
      </c>
      <c r="N304" s="447">
        <f>N$296*Entrant_age_breakdowns!$K77*$G$31</f>
        <v>4.0555507331631917</v>
      </c>
    </row>
    <row r="305" spans="1:14">
      <c r="B305" s="331" t="str">
        <f t="shared" si="143"/>
        <v>30-34</v>
      </c>
      <c r="C305" s="447">
        <f>C$296*Entrant_age_breakdowns!$K78*$G$31</f>
        <v>1.9417257042585545</v>
      </c>
      <c r="D305" s="447">
        <f>D$296*Entrant_age_breakdowns!$K78*$G$31</f>
        <v>1.9942207067892066</v>
      </c>
      <c r="E305" s="447">
        <f>E$296*Entrant_age_breakdowns!$K78*$G$31</f>
        <v>2.0496389324565927</v>
      </c>
      <c r="F305" s="447">
        <f>F$296*Entrant_age_breakdowns!$K78*$G$31</f>
        <v>2.089979005102355</v>
      </c>
      <c r="G305" s="447">
        <f>G$296*Entrant_age_breakdowns!$K78*$G$31</f>
        <v>2.0996626215047685</v>
      </c>
      <c r="H305" s="447">
        <f>H$296*Entrant_age_breakdowns!$K78*$G$31</f>
        <v>2.1300510289211574</v>
      </c>
      <c r="I305" s="447">
        <f>I$296*Entrant_age_breakdowns!$K78*$G$31</f>
        <v>2.1815655112517316</v>
      </c>
      <c r="J305" s="447">
        <f>J$296*Entrant_age_breakdowns!$K78*$G$31</f>
        <v>2.166811914231066</v>
      </c>
      <c r="K305" s="447">
        <f>K$296*Entrant_age_breakdowns!$K78*$G$31</f>
        <v>2.0855541472836872</v>
      </c>
      <c r="L305" s="447">
        <f>L$296*Entrant_age_breakdowns!$K78*$G$31</f>
        <v>2.0343238916021344</v>
      </c>
      <c r="M305" s="447">
        <f>M$296*Entrant_age_breakdowns!$K78*$G$31</f>
        <v>2.0298285320954963</v>
      </c>
      <c r="N305" s="447">
        <f>N$296*Entrant_age_breakdowns!$K78*$G$31</f>
        <v>2.0141998840839355</v>
      </c>
    </row>
    <row r="306" spans="1:14">
      <c r="B306" s="331" t="str">
        <f t="shared" si="143"/>
        <v>35-39</v>
      </c>
      <c r="C306" s="447">
        <f>C$296*Entrant_age_breakdowns!$K79*$G$31</f>
        <v>1.4472319855197648</v>
      </c>
      <c r="D306" s="447">
        <f>D$296*Entrant_age_breakdowns!$K79*$G$31</f>
        <v>1.4863582362438912</v>
      </c>
      <c r="E306" s="447">
        <f>E$296*Entrant_age_breakdowns!$K79*$G$31</f>
        <v>1.5276632612485523</v>
      </c>
      <c r="F306" s="447">
        <f>F$296*Entrant_age_breakdowns!$K79*$G$31</f>
        <v>1.5577300432369132</v>
      </c>
      <c r="G306" s="447">
        <f>G$296*Entrant_age_breakdowns!$K79*$G$31</f>
        <v>1.5649475608102454</v>
      </c>
      <c r="H306" s="447">
        <f>H$296*Entrant_age_breakdowns!$K79*$G$31</f>
        <v>1.5875970396246577</v>
      </c>
      <c r="I306" s="447">
        <f>I$296*Entrant_age_breakdowns!$K79*$G$31</f>
        <v>1.6259924764171927</v>
      </c>
      <c r="J306" s="447">
        <f>J$296*Entrant_age_breakdowns!$K79*$G$31</f>
        <v>1.614996135655494</v>
      </c>
      <c r="K306" s="447">
        <f>K$296*Entrant_age_breakdowns!$K79*$G$31</f>
        <v>1.5544320512741405</v>
      </c>
      <c r="L306" s="447">
        <f>L$296*Entrant_age_breakdowns!$K79*$G$31</f>
        <v>1.5162484579447164</v>
      </c>
      <c r="M306" s="447">
        <f>M$296*Entrant_age_breakdowns!$K79*$G$31</f>
        <v>1.5128979187567411</v>
      </c>
      <c r="N306" s="447">
        <f>N$296*Entrant_age_breakdowns!$K79*$G$31</f>
        <v>1.5012493737314812</v>
      </c>
    </row>
    <row r="307" spans="1:14">
      <c r="B307" s="331" t="str">
        <f t="shared" si="143"/>
        <v>40-44</v>
      </c>
      <c r="C307" s="447">
        <f>C$296*Entrant_age_breakdowns!$K80*$G$31</f>
        <v>1.2435287734199993</v>
      </c>
      <c r="D307" s="447">
        <f>D$296*Entrant_age_breakdowns!$K80*$G$31</f>
        <v>1.2771478607939022</v>
      </c>
      <c r="E307" s="447">
        <f>E$296*Entrant_age_breakdowns!$K80*$G$31</f>
        <v>1.3126390519740652</v>
      </c>
      <c r="F307" s="447">
        <f>F$296*Entrant_age_breakdowns!$K80*$G$31</f>
        <v>1.3384738240774781</v>
      </c>
      <c r="G307" s="447">
        <f>G$296*Entrant_age_breakdowns!$K80*$G$31</f>
        <v>1.3446754495700766</v>
      </c>
      <c r="H307" s="447">
        <f>H$296*Entrant_age_breakdowns!$K80*$G$31</f>
        <v>1.3641369311366085</v>
      </c>
      <c r="I307" s="447">
        <f>I$296*Entrant_age_breakdowns!$K80*$G$31</f>
        <v>1.3971280693212711</v>
      </c>
      <c r="J307" s="447">
        <f>J$296*Entrant_age_breakdowns!$K80*$G$31</f>
        <v>1.3876795038692076</v>
      </c>
      <c r="K307" s="447">
        <f>K$296*Entrant_age_breakdowns!$K80*$G$31</f>
        <v>1.3356400365843535</v>
      </c>
      <c r="L307" s="447">
        <f>L$296*Entrant_age_breakdowns!$K80*$G$31</f>
        <v>1.3028309241180795</v>
      </c>
      <c r="M307" s="447">
        <f>M$296*Entrant_age_breakdowns!$K80*$G$31</f>
        <v>1.2999519856145043</v>
      </c>
      <c r="N307" s="447">
        <f>N$296*Entrant_age_breakdowns!$K80*$G$31</f>
        <v>1.2899430160420231</v>
      </c>
    </row>
    <row r="308" spans="1:14">
      <c r="B308" s="331" t="str">
        <f t="shared" si="143"/>
        <v>45-49</v>
      </c>
      <c r="C308" s="447">
        <f>C$296*Entrant_age_breakdowns!$K81*$G$31</f>
        <v>1.0023549279176214</v>
      </c>
      <c r="D308" s="447">
        <f>D$296*Entrant_age_breakdowns!$K81*$G$31</f>
        <v>1.0294538247197007</v>
      </c>
      <c r="E308" s="447">
        <f>E$296*Entrant_age_breakdowns!$K81*$G$31</f>
        <v>1.058061743681852</v>
      </c>
      <c r="F308" s="447">
        <f>F$296*Entrant_age_breakdowns!$K81*$G$31</f>
        <v>1.0788860395751152</v>
      </c>
      <c r="G308" s="447">
        <f>G$296*Entrant_age_breakdowns!$K81*$G$31</f>
        <v>1.0838849024936703</v>
      </c>
      <c r="H308" s="447">
        <f>H$296*Entrant_age_breakdowns!$K81*$G$31</f>
        <v>1.0995719636777406</v>
      </c>
      <c r="I308" s="447">
        <f>I$296*Entrant_age_breakdowns!$K81*$G$31</f>
        <v>1.1261646977132069</v>
      </c>
      <c r="J308" s="447">
        <f>J$296*Entrant_age_breakdowns!$K81*$G$31</f>
        <v>1.118548616489303</v>
      </c>
      <c r="K308" s="447">
        <f>K$296*Entrant_age_breakdowns!$K81*$G$31</f>
        <v>1.0766018456592858</v>
      </c>
      <c r="L308" s="447">
        <f>L$296*Entrant_age_breakdowns!$K81*$G$31</f>
        <v>1.0501558347071405</v>
      </c>
      <c r="M308" s="447">
        <f>M$296*Entrant_age_breakdowns!$K81*$G$31</f>
        <v>1.0478352465085303</v>
      </c>
      <c r="N308" s="447">
        <f>N$296*Entrant_age_breakdowns!$K81*$G$31</f>
        <v>1.0397674476856995</v>
      </c>
    </row>
    <row r="309" spans="1:14">
      <c r="B309" s="331" t="str">
        <f t="shared" si="143"/>
        <v>50-54</v>
      </c>
      <c r="C309" s="447">
        <f>C$296*Entrant_age_breakdowns!$K82*$G$31</f>
        <v>0.74274899368949732</v>
      </c>
      <c r="D309" s="447">
        <f>D$296*Entrant_age_breakdowns!$K82*$G$31</f>
        <v>0.76282938414725143</v>
      </c>
      <c r="E309" s="447">
        <f>E$296*Entrant_age_breakdowns!$K82*$G$31</f>
        <v>0.78402796603563718</v>
      </c>
      <c r="F309" s="447">
        <f>F$296*Entrant_age_breakdowns!$K82*$G$31</f>
        <v>0.79945885222995805</v>
      </c>
      <c r="G309" s="447">
        <f>G$296*Entrant_age_breakdowns!$K82*$G$31</f>
        <v>0.80316302956169616</v>
      </c>
      <c r="H309" s="447">
        <f>H$296*Entrant_age_breakdowns!$K82*$G$31</f>
        <v>0.81478720437631968</v>
      </c>
      <c r="I309" s="447">
        <f>I$296*Entrant_age_breakdowns!$K82*$G$31</f>
        <v>0.83449252620810743</v>
      </c>
      <c r="J309" s="447">
        <f>J$296*Entrant_age_breakdowns!$K82*$G$31</f>
        <v>0.82884897968844884</v>
      </c>
      <c r="K309" s="447">
        <f>K$296*Entrant_age_breakdowns!$K82*$G$31</f>
        <v>0.79776625544101565</v>
      </c>
      <c r="L309" s="447">
        <f>L$296*Entrant_age_breakdowns!$K82*$G$31</f>
        <v>0.77816965599832622</v>
      </c>
      <c r="M309" s="447">
        <f>M$296*Entrant_age_breakdowns!$K82*$G$31</f>
        <v>0.77645009090089512</v>
      </c>
      <c r="N309" s="447">
        <f>N$296*Entrant_age_breakdowns!$K82*$G$31</f>
        <v>0.77047181984136537</v>
      </c>
    </row>
    <row r="310" spans="1:14">
      <c r="B310" s="331" t="str">
        <f t="shared" si="143"/>
        <v>55-59</v>
      </c>
      <c r="C310" s="447">
        <f>C$296*Entrant_age_breakdowns!$K83*$G$31</f>
        <v>0.48136494571440591</v>
      </c>
      <c r="D310" s="447">
        <f>D$296*Entrant_age_breakdowns!$K83*$G$31</f>
        <v>0.4943787581123284</v>
      </c>
      <c r="E310" s="447">
        <f>E$296*Entrant_age_breakdowns!$K83*$G$31</f>
        <v>0.50811725430232269</v>
      </c>
      <c r="F310" s="447">
        <f>F$296*Entrant_age_breakdowns!$K83*$G$31</f>
        <v>0.51811778982423218</v>
      </c>
      <c r="G310" s="447">
        <f>G$296*Entrant_age_breakdowns!$K83*$G$31</f>
        <v>0.52051841390498876</v>
      </c>
      <c r="H310" s="447">
        <f>H$296*Entrant_age_breakdowns!$K83*$G$31</f>
        <v>0.52805187450359725</v>
      </c>
      <c r="I310" s="447">
        <f>I$296*Entrant_age_breakdowns!$K83*$G$31</f>
        <v>0.54082261031668244</v>
      </c>
      <c r="J310" s="447">
        <f>J$296*Entrant_age_breakdowns!$K83*$G$31</f>
        <v>0.53716510894387304</v>
      </c>
      <c r="K310" s="447">
        <f>K$296*Entrant_age_breakdowns!$K83*$G$31</f>
        <v>0.51702084217657751</v>
      </c>
      <c r="L310" s="447">
        <f>L$296*Entrant_age_breakdowns!$K83*$G$31</f>
        <v>0.50432056778097112</v>
      </c>
      <c r="M310" s="447">
        <f>M$296*Entrant_age_breakdowns!$K83*$G$31</f>
        <v>0.50320614236025707</v>
      </c>
      <c r="N310" s="447">
        <f>N$296*Entrant_age_breakdowns!$K83*$G$31</f>
        <v>0.49933171082485794</v>
      </c>
    </row>
    <row r="311" spans="1:14">
      <c r="B311" s="331" t="str">
        <f t="shared" si="143"/>
        <v>60-64</v>
      </c>
      <c r="C311" s="447">
        <f>C$296*Entrant_age_breakdowns!$K84*$G$31</f>
        <v>0.2454819408238274</v>
      </c>
      <c r="D311" s="447">
        <f>D$296*Entrant_age_breakdowns!$K84*$G$31</f>
        <v>0.25211860174689893</v>
      </c>
      <c r="E311" s="447">
        <f>E$296*Entrant_age_breakdowns!$K84*$G$31</f>
        <v>0.25912483005402093</v>
      </c>
      <c r="F311" s="447">
        <f>F$296*Entrant_age_breakdowns!$K84*$G$31</f>
        <v>0.2642248085444624</v>
      </c>
      <c r="G311" s="447">
        <f>G$296*Entrant_age_breakdowns!$K84*$G$31</f>
        <v>0.26544905610087288</v>
      </c>
      <c r="H311" s="447">
        <f>H$296*Entrant_age_breakdowns!$K84*$G$31</f>
        <v>0.26929089906291415</v>
      </c>
      <c r="I311" s="447">
        <f>I$296*Entrant_age_breakdowns!$K84*$G$31</f>
        <v>0.27580359808899668</v>
      </c>
      <c r="J311" s="447">
        <f>J$296*Entrant_age_breakdowns!$K84*$G$31</f>
        <v>0.27393838014249555</v>
      </c>
      <c r="K311" s="447">
        <f>K$296*Entrant_age_breakdowns!$K84*$G$31</f>
        <v>0.26366539756132823</v>
      </c>
      <c r="L311" s="447">
        <f>L$296*Entrant_age_breakdowns!$K84*$G$31</f>
        <v>0.25718863178229634</v>
      </c>
      <c r="M311" s="447">
        <f>M$296*Entrant_age_breakdowns!$K84*$G$31</f>
        <v>0.25662030764981453</v>
      </c>
      <c r="N311" s="447">
        <f>N$296*Entrant_age_breakdowns!$K84*$G$31</f>
        <v>0.25464446171137117</v>
      </c>
    </row>
    <row r="312" spans="1:14">
      <c r="B312" s="331" t="str">
        <f t="shared" si="143"/>
        <v>65 plus</v>
      </c>
      <c r="C312" s="447">
        <f>C$296*Entrant_age_breakdowns!$K85*$G$31</f>
        <v>7.3914214287976163E-2</v>
      </c>
      <c r="D312" s="447">
        <f>D$296*Entrant_age_breakdowns!$K85*$G$31</f>
        <v>7.5912502129347706E-2</v>
      </c>
      <c r="E312" s="447">
        <f>E$296*Entrant_age_breakdowns!$K85*$G$31</f>
        <v>7.8022066110735436E-2</v>
      </c>
      <c r="F312" s="447">
        <f>F$296*Entrant_age_breakdowns!$K85*$G$31</f>
        <v>7.9557661363655052E-2</v>
      </c>
      <c r="G312" s="447">
        <f>G$296*Entrant_age_breakdowns!$K85*$G$31</f>
        <v>7.9926280317547851E-2</v>
      </c>
      <c r="H312" s="447">
        <f>H$296*Entrant_age_breakdowns!$K85*$G$31</f>
        <v>8.1083053003164124E-2</v>
      </c>
      <c r="I312" s="447">
        <f>I$296*Entrant_age_breakdowns!$K85*$G$31</f>
        <v>8.3044016118379291E-2</v>
      </c>
      <c r="J312" s="447">
        <f>J$296*Entrant_age_breakdowns!$K85*$G$31</f>
        <v>8.2482402019481468E-2</v>
      </c>
      <c r="K312" s="447">
        <f>K$296*Entrant_age_breakdowns!$K85*$G$31</f>
        <v>7.9389223623821059E-2</v>
      </c>
      <c r="L312" s="447">
        <f>L$296*Entrant_age_breakdowns!$K85*$G$31</f>
        <v>7.7439079951020479E-2</v>
      </c>
      <c r="M312" s="447">
        <f>M$296*Entrant_age_breakdowns!$K85*$G$31</f>
        <v>7.7267958476372217E-2</v>
      </c>
      <c r="N312" s="447">
        <f>N$296*Entrant_age_breakdowns!$K85*$G$31</f>
        <v>7.6673034468504209E-2</v>
      </c>
    </row>
    <row r="313" spans="1:14">
      <c r="B313" s="331" t="str">
        <f t="shared" si="143"/>
        <v>Total</v>
      </c>
      <c r="C313" s="447">
        <f t="shared" ref="C313:N313" si="145">SUM(C303:C312)</f>
        <v>14.918009607970212</v>
      </c>
      <c r="D313" s="447">
        <f t="shared" si="145"/>
        <v>15.321321440535009</v>
      </c>
      <c r="E313" s="447">
        <f t="shared" si="145"/>
        <v>15.747091991519403</v>
      </c>
      <c r="F313" s="447">
        <f t="shared" si="145"/>
        <v>16.057019181542103</v>
      </c>
      <c r="G313" s="447">
        <f t="shared" si="145"/>
        <v>16.131417064937409</v>
      </c>
      <c r="H313" s="447">
        <f t="shared" si="145"/>
        <v>16.364886989558773</v>
      </c>
      <c r="I313" s="447">
        <f t="shared" si="145"/>
        <v>16.760665621253079</v>
      </c>
      <c r="J313" s="447">
        <f t="shared" si="145"/>
        <v>16.647315779087577</v>
      </c>
      <c r="K313" s="447">
        <f t="shared" si="145"/>
        <v>16.023023611875374</v>
      </c>
      <c r="L313" s="447">
        <f t="shared" si="145"/>
        <v>15.62942865415296</v>
      </c>
      <c r="M313" s="447">
        <f t="shared" si="145"/>
        <v>15.594891429783818</v>
      </c>
      <c r="N313" s="447">
        <f t="shared" si="145"/>
        <v>15.474818692071839</v>
      </c>
    </row>
    <row r="314" spans="1:14">
      <c r="A314" s="302">
        <f>SUM(C314:N314)</f>
        <v>0</v>
      </c>
      <c r="C314" s="302">
        <f t="shared" ref="C314:N314" si="146">SUM(C303:C312)-C313</f>
        <v>0</v>
      </c>
      <c r="D314" s="302">
        <f t="shared" si="146"/>
        <v>0</v>
      </c>
      <c r="E314" s="302">
        <f t="shared" si="146"/>
        <v>0</v>
      </c>
      <c r="F314" s="302">
        <f t="shared" si="146"/>
        <v>0</v>
      </c>
      <c r="G314" s="302">
        <f t="shared" si="146"/>
        <v>0</v>
      </c>
      <c r="H314" s="302">
        <f t="shared" si="146"/>
        <v>0</v>
      </c>
      <c r="I314" s="302">
        <f t="shared" si="146"/>
        <v>0</v>
      </c>
      <c r="J314" s="302">
        <f t="shared" si="146"/>
        <v>0</v>
      </c>
      <c r="K314" s="302">
        <f t="shared" si="146"/>
        <v>0</v>
      </c>
      <c r="L314" s="302">
        <f t="shared" si="146"/>
        <v>0</v>
      </c>
      <c r="M314" s="302">
        <f t="shared" si="146"/>
        <v>0</v>
      </c>
      <c r="N314" s="302">
        <f t="shared" si="146"/>
        <v>0</v>
      </c>
    </row>
    <row r="316" spans="1:14">
      <c r="B316" s="334" t="s">
        <v>47</v>
      </c>
      <c r="H316" s="318"/>
    </row>
    <row r="317" spans="1:14">
      <c r="H317" s="318"/>
    </row>
    <row r="318" spans="1:14">
      <c r="B318" s="331" t="str">
        <f t="shared" ref="B318:B329" si="147">B302</f>
        <v>Age group</v>
      </c>
      <c r="C318" s="331" t="str">
        <f>C293</f>
        <v>2017/18</v>
      </c>
      <c r="D318" s="331" t="str">
        <f t="shared" ref="D318:N318" si="148">D302</f>
        <v>2018/19</v>
      </c>
      <c r="E318" s="331" t="str">
        <f t="shared" si="148"/>
        <v>2019/20</v>
      </c>
      <c r="F318" s="331" t="str">
        <f t="shared" si="148"/>
        <v>2020/21</v>
      </c>
      <c r="G318" s="331" t="str">
        <f t="shared" si="148"/>
        <v>2021/22</v>
      </c>
      <c r="H318" s="331" t="str">
        <f t="shared" si="148"/>
        <v>2022/23</v>
      </c>
      <c r="I318" s="331" t="str">
        <f t="shared" si="148"/>
        <v>2023/24</v>
      </c>
      <c r="J318" s="331" t="str">
        <f t="shared" si="148"/>
        <v>2024/25</v>
      </c>
      <c r="K318" s="331" t="str">
        <f t="shared" si="148"/>
        <v>2025/26</v>
      </c>
      <c r="L318" s="331" t="str">
        <f t="shared" si="148"/>
        <v>2026/27</v>
      </c>
      <c r="M318" s="331" t="str">
        <f t="shared" si="148"/>
        <v>2027/28</v>
      </c>
      <c r="N318" s="331" t="str">
        <f t="shared" si="148"/>
        <v>2028/29</v>
      </c>
    </row>
    <row r="319" spans="1:14">
      <c r="B319" s="331" t="str">
        <f t="shared" si="147"/>
        <v>20-24</v>
      </c>
      <c r="C319" s="447">
        <f>C$296*Entrant_age_breakdowns!$K76*$H$31</f>
        <v>5.2368045603693112</v>
      </c>
      <c r="D319" s="447">
        <f>D$296*Entrant_age_breakdowns!$K76*$H$31</f>
        <v>5.3783827802209618</v>
      </c>
      <c r="E319" s="447">
        <f>E$296*Entrant_age_breakdowns!$K76*$H$31</f>
        <v>5.5278448882138926</v>
      </c>
      <c r="F319" s="447">
        <f>F$296*Entrant_age_breakdowns!$K76*$H$31</f>
        <v>5.6366414478585645</v>
      </c>
      <c r="G319" s="447">
        <f>G$296*Entrant_age_breakdowns!$K76*$H$31</f>
        <v>5.6627580133579078</v>
      </c>
      <c r="H319" s="447">
        <f>H$296*Entrant_age_breakdowns!$K76*$H$31</f>
        <v>5.7447150839119452</v>
      </c>
      <c r="I319" s="447">
        <f>I$296*Entrant_age_breakdowns!$K76*$H$31</f>
        <v>5.8836488557635302</v>
      </c>
      <c r="J319" s="447">
        <f>J$296*Entrant_age_breakdowns!$K76*$H$31</f>
        <v>5.8438586299915656</v>
      </c>
      <c r="K319" s="447">
        <f>K$296*Entrant_age_breakdowns!$K76*$H$31</f>
        <v>5.6247076739207893</v>
      </c>
      <c r="L319" s="447">
        <f>L$296*Entrant_age_breakdowns!$K76*$H$31</f>
        <v>5.4865404569994469</v>
      </c>
      <c r="M319" s="447">
        <f>M$296*Entrant_age_breakdowns!$K76*$H$31</f>
        <v>5.4744165410862813</v>
      </c>
      <c r="N319" s="447">
        <f>N$296*Entrant_age_breakdowns!$K76*$H$31</f>
        <v>5.4322663161601517</v>
      </c>
    </row>
    <row r="320" spans="1:14">
      <c r="B320" s="331" t="str">
        <f t="shared" si="147"/>
        <v>25-29</v>
      </c>
      <c r="C320" s="447">
        <f>C$296*Entrant_age_breakdowns!$K77*$H$31</f>
        <v>5.3456317498342862</v>
      </c>
      <c r="D320" s="447">
        <f>D$296*Entrant_age_breakdowns!$K77*$H$31</f>
        <v>5.4901521378685159</v>
      </c>
      <c r="E320" s="447">
        <f>E$296*Entrant_age_breakdowns!$K77*$H$31</f>
        <v>5.6427202508606547</v>
      </c>
      <c r="F320" s="447">
        <f>F$296*Entrant_age_breakdowns!$K77*$H$31</f>
        <v>5.7537777357839186</v>
      </c>
      <c r="G320" s="447">
        <f>G$296*Entrant_age_breakdowns!$K77*$H$31</f>
        <v>5.7804370353855203</v>
      </c>
      <c r="H320" s="447">
        <f>H$296*Entrant_age_breakdowns!$K77*$H$31</f>
        <v>5.8640972738814501</v>
      </c>
      <c r="I320" s="447">
        <f>I$296*Entrant_age_breakdowns!$K77*$H$31</f>
        <v>6.0059182590590385</v>
      </c>
      <c r="J320" s="447">
        <f>J$296*Entrant_age_breakdowns!$K77*$H$31</f>
        <v>5.965301143837789</v>
      </c>
      <c r="K320" s="447">
        <f>K$296*Entrant_age_breakdowns!$K77*$H$31</f>
        <v>5.741595963460413</v>
      </c>
      <c r="L320" s="447">
        <f>L$296*Entrant_age_breakdowns!$K77*$H$31</f>
        <v>5.6005574631599773</v>
      </c>
      <c r="M320" s="447">
        <f>M$296*Entrant_age_breakdowns!$K77*$H$31</f>
        <v>5.5881815974787949</v>
      </c>
      <c r="N320" s="447">
        <f>N$296*Entrant_age_breakdowns!$K77*$H$31</f>
        <v>5.5451554394409452</v>
      </c>
    </row>
    <row r="321" spans="1:14">
      <c r="B321" s="331" t="str">
        <f t="shared" si="147"/>
        <v>30-34</v>
      </c>
      <c r="C321" s="447">
        <f>C$296*Entrant_age_breakdowns!$K78*$H$31</f>
        <v>2.6549219968636901</v>
      </c>
      <c r="D321" s="447">
        <f>D$296*Entrant_age_breakdowns!$K78*$H$31</f>
        <v>2.7266984257580389</v>
      </c>
      <c r="E321" s="447">
        <f>E$296*Entrant_age_breakdowns!$K78*$H$31</f>
        <v>2.802471778311808</v>
      </c>
      <c r="F321" s="447">
        <f>F$296*Entrant_age_breakdowns!$K78*$H$31</f>
        <v>2.8576287688112512</v>
      </c>
      <c r="G321" s="447">
        <f>G$296*Entrant_age_breakdowns!$K78*$H$31</f>
        <v>2.8708691797197399</v>
      </c>
      <c r="H321" s="447">
        <f>H$296*Entrant_age_breakdowns!$K78*$H$31</f>
        <v>2.9124192560886542</v>
      </c>
      <c r="I321" s="447">
        <f>I$296*Entrant_age_breakdowns!$K78*$H$31</f>
        <v>2.9828550194905255</v>
      </c>
      <c r="J321" s="447">
        <f>J$296*Entrant_age_breakdowns!$K78*$H$31</f>
        <v>2.9626824229300937</v>
      </c>
      <c r="K321" s="447">
        <f>K$296*Entrant_age_breakdowns!$K78*$H$31</f>
        <v>2.8515786597098414</v>
      </c>
      <c r="L321" s="447">
        <f>L$296*Entrant_age_breakdowns!$K78*$H$31</f>
        <v>2.7815315194697936</v>
      </c>
      <c r="M321" s="447">
        <f>M$296*Entrant_age_breakdowns!$K78*$H$31</f>
        <v>2.775385013394394</v>
      </c>
      <c r="N321" s="447">
        <f>N$296*Entrant_age_breakdowns!$K78*$H$31</f>
        <v>2.7540159594151783</v>
      </c>
    </row>
    <row r="322" spans="1:14">
      <c r="B322" s="331" t="str">
        <f t="shared" si="147"/>
        <v>35-39</v>
      </c>
      <c r="C322" s="447">
        <f>C$296*Entrant_age_breakdowns!$K79*$H$31</f>
        <v>1.9788006228141837</v>
      </c>
      <c r="D322" s="447">
        <f>D$296*Entrant_age_breakdowns!$K79*$H$31</f>
        <v>2.0322979543242243</v>
      </c>
      <c r="E322" s="447">
        <f>E$296*Entrant_age_breakdowns!$K79*$H$31</f>
        <v>2.0887743244033619</v>
      </c>
      <c r="F322" s="447">
        <f>F$296*Entrant_age_breakdowns!$K79*$H$31</f>
        <v>2.1298846422514148</v>
      </c>
      <c r="G322" s="447">
        <f>G$296*Entrant_age_breakdowns!$K79*$H$31</f>
        <v>2.1397531556702591</v>
      </c>
      <c r="H322" s="447">
        <f>H$296*Entrant_age_breakdowns!$K79*$H$31</f>
        <v>2.1707217932023264</v>
      </c>
      <c r="I322" s="447">
        <f>I$296*Entrant_age_breakdowns!$K79*$H$31</f>
        <v>2.2232198826575593</v>
      </c>
      <c r="J322" s="447">
        <f>J$296*Entrant_age_breakdowns!$K79*$H$31</f>
        <v>2.208184583434186</v>
      </c>
      <c r="K322" s="447">
        <f>K$296*Entrant_age_breakdowns!$K79*$H$31</f>
        <v>2.1253752970909519</v>
      </c>
      <c r="L322" s="447">
        <f>L$296*Entrant_age_breakdowns!$K79*$H$31</f>
        <v>2.073166861250991</v>
      </c>
      <c r="M322" s="447">
        <f>M$296*Entrant_age_breakdowns!$K79*$H$31</f>
        <v>2.0685856682575623</v>
      </c>
      <c r="N322" s="447">
        <f>N$296*Entrant_age_breakdowns!$K79*$H$31</f>
        <v>2.05265860999635</v>
      </c>
    </row>
    <row r="323" spans="1:14">
      <c r="B323" s="331" t="str">
        <f t="shared" si="147"/>
        <v>40-44</v>
      </c>
      <c r="C323" s="447">
        <f>C$296*Entrant_age_breakdowns!$K80*$H$31</f>
        <v>1.700277174600386</v>
      </c>
      <c r="D323" s="447">
        <f>D$296*Entrant_age_breakdowns!$K80*$H$31</f>
        <v>1.7462445604096704</v>
      </c>
      <c r="E323" s="447">
        <f>E$296*Entrant_age_breakdowns!$K80*$H$31</f>
        <v>1.7947716741788571</v>
      </c>
      <c r="F323" s="447">
        <f>F$296*Entrant_age_breakdowns!$K80*$H$31</f>
        <v>1.8300955639491181</v>
      </c>
      <c r="G323" s="447">
        <f>G$296*Entrant_age_breakdowns!$K80*$H$31</f>
        <v>1.8385750478950222</v>
      </c>
      <c r="H323" s="447">
        <f>H$296*Entrant_age_breakdowns!$K80*$H$31</f>
        <v>1.8651847360653051</v>
      </c>
      <c r="I323" s="447">
        <f>I$296*Entrant_age_breakdowns!$K80*$H$31</f>
        <v>1.9102935268053836</v>
      </c>
      <c r="J323" s="447">
        <f>J$296*Entrant_age_breakdowns!$K80*$H$31</f>
        <v>1.8973745011147447</v>
      </c>
      <c r="K323" s="447">
        <f>K$296*Entrant_age_breakdowns!$K80*$H$31</f>
        <v>1.8262209256655371</v>
      </c>
      <c r="L323" s="447">
        <f>L$296*Entrant_age_breakdowns!$K80*$H$31</f>
        <v>1.7813610187315929</v>
      </c>
      <c r="M323" s="447">
        <f>M$296*Entrant_age_breakdowns!$K80*$H$31</f>
        <v>1.7774246454611582</v>
      </c>
      <c r="N323" s="447">
        <f>N$296*Entrant_age_breakdowns!$K80*$H$31</f>
        <v>1.7637393790892704</v>
      </c>
    </row>
    <row r="324" spans="1:14">
      <c r="B324" s="331" t="str">
        <f t="shared" si="147"/>
        <v>45-49</v>
      </c>
      <c r="C324" s="447">
        <f>C$296*Entrant_age_breakdowns!$K81*$H$31</f>
        <v>1.3705201208166411</v>
      </c>
      <c r="D324" s="447">
        <f>D$296*Entrant_age_breakdowns!$K81*$H$31</f>
        <v>1.407572448574774</v>
      </c>
      <c r="E324" s="447">
        <f>E$296*Entrant_age_breakdowns!$K81*$H$31</f>
        <v>1.4466880626754337</v>
      </c>
      <c r="F324" s="447">
        <f>F$296*Entrant_age_breakdowns!$K81*$H$31</f>
        <v>1.4751611271844778</v>
      </c>
      <c r="G324" s="447">
        <f>G$296*Entrant_age_breakdowns!$K81*$H$31</f>
        <v>1.4819960735894571</v>
      </c>
      <c r="H324" s="447">
        <f>H$296*Entrant_age_breakdowns!$K81*$H$31</f>
        <v>1.5034449959127252</v>
      </c>
      <c r="I324" s="447">
        <f>I$296*Entrant_age_breakdowns!$K81*$H$31</f>
        <v>1.5398052472049975</v>
      </c>
      <c r="J324" s="447">
        <f>J$296*Entrant_age_breakdowns!$K81*$H$31</f>
        <v>1.5293917776161177</v>
      </c>
      <c r="K324" s="447">
        <f>K$296*Entrant_age_breakdowns!$K81*$H$31</f>
        <v>1.4720379483240766</v>
      </c>
      <c r="L324" s="447">
        <f>L$296*Entrant_age_breakdowns!$K81*$H$31</f>
        <v>1.4358783115369853</v>
      </c>
      <c r="M324" s="447">
        <f>M$296*Entrant_age_breakdowns!$K81*$H$31</f>
        <v>1.4327053707654642</v>
      </c>
      <c r="N324" s="447">
        <f>N$296*Entrant_age_breakdowns!$K81*$H$31</f>
        <v>1.4216742676008782</v>
      </c>
    </row>
    <row r="325" spans="1:14">
      <c r="B325" s="331" t="str">
        <f t="shared" si="147"/>
        <v>50-54</v>
      </c>
      <c r="C325" s="447">
        <f>C$296*Entrant_age_breakdowns!$K82*$H$31</f>
        <v>1.0155608679278414</v>
      </c>
      <c r="D325" s="447">
        <f>D$296*Entrant_age_breakdowns!$K82*$H$31</f>
        <v>1.0430167903657948</v>
      </c>
      <c r="E325" s="447">
        <f>E$296*Entrant_age_breakdowns!$K82*$H$31</f>
        <v>1.0720016162010597</v>
      </c>
      <c r="F325" s="447">
        <f>F$296*Entrant_age_breakdowns!$K82*$H$31</f>
        <v>1.0931002704026047</v>
      </c>
      <c r="G325" s="447">
        <f>G$296*Entrant_age_breakdowns!$K82*$H$31</f>
        <v>1.098164992910396</v>
      </c>
      <c r="H325" s="447">
        <f>H$296*Entrant_age_breakdowns!$K82*$H$31</f>
        <v>1.114058729777065</v>
      </c>
      <c r="I325" s="447">
        <f>I$296*Entrant_age_breakdowns!$K82*$H$31</f>
        <v>1.1410018207974666</v>
      </c>
      <c r="J325" s="447">
        <f>J$296*Entrant_age_breakdowns!$K82*$H$31</f>
        <v>1.1332853983581364</v>
      </c>
      <c r="K325" s="447">
        <f>K$296*Entrant_age_breakdowns!$K82*$H$31</f>
        <v>1.0907859824282897</v>
      </c>
      <c r="L325" s="447">
        <f>L$296*Entrant_age_breakdowns!$K82*$H$31</f>
        <v>1.0639915475552191</v>
      </c>
      <c r="M325" s="447">
        <f>M$296*Entrant_age_breakdowns!$K82*$H$31</f>
        <v>1.0616403858065764</v>
      </c>
      <c r="N325" s="447">
        <f>N$296*Entrant_age_breakdowns!$K82*$H$31</f>
        <v>1.0534662944277842</v>
      </c>
    </row>
    <row r="326" spans="1:14">
      <c r="B326" s="331" t="str">
        <f t="shared" si="147"/>
        <v>55-59</v>
      </c>
      <c r="C326" s="447">
        <f>C$296*Entrant_age_breakdowns!$K83*$H$31</f>
        <v>0.65817039970857771</v>
      </c>
      <c r="D326" s="447">
        <f>D$296*Entrant_age_breakdowns!$K83*$H$31</f>
        <v>0.67596418835881089</v>
      </c>
      <c r="E326" s="447">
        <f>E$296*Entrant_age_breakdowns!$K83*$H$31</f>
        <v>0.69474883732269299</v>
      </c>
      <c r="F326" s="447">
        <f>F$296*Entrant_age_breakdowns!$K83*$H$31</f>
        <v>0.70842257181531676</v>
      </c>
      <c r="G326" s="447">
        <f>G$296*Entrant_age_breakdowns!$K83*$H$31</f>
        <v>0.71170494566669185</v>
      </c>
      <c r="H326" s="447">
        <f>H$296*Entrant_age_breakdowns!$K83*$H$31</f>
        <v>0.72200544805582256</v>
      </c>
      <c r="I326" s="447">
        <f>I$296*Entrant_age_breakdowns!$K83*$H$31</f>
        <v>0.7394668780363467</v>
      </c>
      <c r="J326" s="447">
        <f>J$296*Entrant_age_breakdowns!$K83*$H$31</f>
        <v>0.73446597557780979</v>
      </c>
      <c r="K326" s="447">
        <f>K$296*Entrant_age_breakdowns!$K83*$H$31</f>
        <v>0.70692271504729898</v>
      </c>
      <c r="L326" s="447">
        <f>L$296*Entrant_age_breakdowns!$K83*$H$31</f>
        <v>0.68955762697891221</v>
      </c>
      <c r="M326" s="447">
        <f>M$296*Entrant_age_breakdowns!$K83*$H$31</f>
        <v>0.68803387284781692</v>
      </c>
      <c r="N326" s="447">
        <f>N$296*Entrant_age_breakdowns!$K83*$H$31</f>
        <v>0.68273636172865437</v>
      </c>
    </row>
    <row r="327" spans="1:14">
      <c r="B327" s="331" t="str">
        <f t="shared" si="147"/>
        <v>60-64</v>
      </c>
      <c r="C327" s="447">
        <f>C$296*Entrant_age_breakdowns!$K84*$H$31</f>
        <v>0.33564751349616317</v>
      </c>
      <c r="D327" s="447">
        <f>D$296*Entrant_age_breakdowns!$K84*$H$31</f>
        <v>0.34472182148505409</v>
      </c>
      <c r="E327" s="447">
        <f>E$296*Entrant_age_breakdowns!$K84*$H$31</f>
        <v>0.35430143904217448</v>
      </c>
      <c r="F327" s="447">
        <f>F$296*Entrant_age_breakdowns!$K84*$H$31</f>
        <v>0.36127464079158172</v>
      </c>
      <c r="G327" s="447">
        <f>G$296*Entrant_age_breakdowns!$K84*$H$31</f>
        <v>0.36294855475378163</v>
      </c>
      <c r="H327" s="447">
        <f>H$296*Entrant_age_breakdowns!$K84*$H$31</f>
        <v>0.36820150750918335</v>
      </c>
      <c r="I327" s="447">
        <f>I$296*Entrant_age_breakdowns!$K84*$H$31</f>
        <v>0.37710632236813979</v>
      </c>
      <c r="J327" s="447">
        <f>J$296*Entrant_age_breakdowns!$K84*$H$31</f>
        <v>0.37455600944585105</v>
      </c>
      <c r="K327" s="447">
        <f>K$296*Entrant_age_breakdowns!$K84*$H$31</f>
        <v>0.36050975802716617</v>
      </c>
      <c r="L327" s="447">
        <f>L$296*Entrant_age_breakdowns!$K84*$H$31</f>
        <v>0.3516540747050711</v>
      </c>
      <c r="M327" s="447">
        <f>M$296*Entrant_age_breakdowns!$K84*$H$31</f>
        <v>0.35087700498952618</v>
      </c>
      <c r="N327" s="447">
        <f>N$296*Entrant_age_breakdowns!$K84*$H$31</f>
        <v>0.34817543038870474</v>
      </c>
    </row>
    <row r="328" spans="1:14">
      <c r="B328" s="331" t="str">
        <f t="shared" si="147"/>
        <v>65 plus</v>
      </c>
      <c r="C328" s="447">
        <f>C$296*Entrant_age_breakdowns!$K85*$H$31</f>
        <v>0.10106292199957101</v>
      </c>
      <c r="D328" s="447">
        <f>D$296*Entrant_age_breakdowns!$K85*$H$31</f>
        <v>0.1037951814193681</v>
      </c>
      <c r="E328" s="447">
        <f>E$296*Entrant_age_breakdowns!$K85*$H$31</f>
        <v>0.10667958873070678</v>
      </c>
      <c r="F328" s="447">
        <f>F$296*Entrant_age_breakdowns!$K85*$H$31</f>
        <v>0.10877920846912524</v>
      </c>
      <c r="G328" s="447">
        <f>G$296*Entrant_age_breakdowns!$K85*$H$31</f>
        <v>0.10928322124858453</v>
      </c>
      <c r="H328" s="447">
        <f>H$296*Entrant_age_breakdowns!$K85*$H$31</f>
        <v>0.11086487680460778</v>
      </c>
      <c r="I328" s="447">
        <f>I$296*Entrant_age_breakdowns!$K85*$H$31</f>
        <v>0.11354610211784588</v>
      </c>
      <c r="J328" s="447">
        <f>J$296*Entrant_age_breakdowns!$K85*$H$31</f>
        <v>0.1127782070327458</v>
      </c>
      <c r="K328" s="447">
        <f>K$296*Entrant_age_breakdowns!$K85*$H$31</f>
        <v>0.10854890350915768</v>
      </c>
      <c r="L328" s="447">
        <f>L$296*Entrant_age_breakdowns!$K85*$H$31</f>
        <v>0.10588247162199273</v>
      </c>
      <c r="M328" s="447">
        <f>M$296*Entrant_age_breakdowns!$K85*$H$31</f>
        <v>0.10564849719080349</v>
      </c>
      <c r="N328" s="447">
        <f>N$296*Entrant_age_breakdowns!$K85*$H$31</f>
        <v>0.10483505745959583</v>
      </c>
    </row>
    <row r="329" spans="1:14">
      <c r="B329" s="331" t="str">
        <f t="shared" si="147"/>
        <v>Total</v>
      </c>
      <c r="C329" s="447">
        <f t="shared" ref="C329:N329" si="149">SUM(C319:C328)</f>
        <v>20.397397928430649</v>
      </c>
      <c r="D329" s="447">
        <f t="shared" si="149"/>
        <v>20.948846288785216</v>
      </c>
      <c r="E329" s="447">
        <f t="shared" si="149"/>
        <v>21.531002459940645</v>
      </c>
      <c r="F329" s="447">
        <f t="shared" si="149"/>
        <v>21.954765977317372</v>
      </c>
      <c r="G329" s="447">
        <f t="shared" si="149"/>
        <v>22.056490220197361</v>
      </c>
      <c r="H329" s="447">
        <f t="shared" si="149"/>
        <v>22.375713701209087</v>
      </c>
      <c r="I329" s="447">
        <f t="shared" si="149"/>
        <v>22.916861914300831</v>
      </c>
      <c r="J329" s="447">
        <f t="shared" si="149"/>
        <v>22.761878649339035</v>
      </c>
      <c r="K329" s="447">
        <f t="shared" si="149"/>
        <v>21.908283827183521</v>
      </c>
      <c r="L329" s="447">
        <f t="shared" si="149"/>
        <v>21.370121352009981</v>
      </c>
      <c r="M329" s="447">
        <f t="shared" si="149"/>
        <v>21.322898597278382</v>
      </c>
      <c r="N329" s="447">
        <f t="shared" si="149"/>
        <v>21.15872311570751</v>
      </c>
    </row>
    <row r="330" spans="1:14">
      <c r="A330" s="302">
        <f>SUM(C330:N330)</f>
        <v>0</v>
      </c>
      <c r="C330" s="302">
        <f t="shared" ref="C330:N330" si="150">SUM(C319:C328)-C329</f>
        <v>0</v>
      </c>
      <c r="D330" s="302">
        <f t="shared" si="150"/>
        <v>0</v>
      </c>
      <c r="E330" s="302">
        <f t="shared" si="150"/>
        <v>0</v>
      </c>
      <c r="F330" s="302">
        <f t="shared" si="150"/>
        <v>0</v>
      </c>
      <c r="G330" s="302">
        <f t="shared" si="150"/>
        <v>0</v>
      </c>
      <c r="H330" s="302">
        <f t="shared" si="150"/>
        <v>0</v>
      </c>
      <c r="I330" s="302">
        <f t="shared" si="150"/>
        <v>0</v>
      </c>
      <c r="J330" s="302">
        <f t="shared" si="150"/>
        <v>0</v>
      </c>
      <c r="K330" s="302">
        <f t="shared" si="150"/>
        <v>0</v>
      </c>
      <c r="L330" s="302">
        <f t="shared" si="150"/>
        <v>0</v>
      </c>
      <c r="M330" s="302">
        <f t="shared" si="150"/>
        <v>0</v>
      </c>
      <c r="N330" s="302">
        <f t="shared" si="150"/>
        <v>0</v>
      </c>
    </row>
    <row r="331" spans="1:14">
      <c r="C331" s="322">
        <f>C294</f>
        <v>35.315407536400862</v>
      </c>
      <c r="D331" s="322">
        <f t="shared" ref="D331:N331" si="151">D294</f>
        <v>36.270167729320221</v>
      </c>
      <c r="E331" s="322">
        <f t="shared" si="151"/>
        <v>37.278094451460042</v>
      </c>
      <c r="F331" s="322">
        <f t="shared" si="151"/>
        <v>38.011785158859475</v>
      </c>
      <c r="G331" s="322">
        <f t="shared" si="151"/>
        <v>38.18790728513477</v>
      </c>
      <c r="H331" s="322">
        <f t="shared" si="151"/>
        <v>38.740600690767856</v>
      </c>
      <c r="I331" s="322">
        <f t="shared" si="151"/>
        <v>39.677527535553914</v>
      </c>
      <c r="J331" s="322">
        <f t="shared" si="151"/>
        <v>39.409194428426616</v>
      </c>
      <c r="K331" s="322">
        <f t="shared" si="151"/>
        <v>37.931307439058898</v>
      </c>
      <c r="L331" s="322">
        <f t="shared" si="151"/>
        <v>36.999550006162941</v>
      </c>
      <c r="M331" s="322">
        <f t="shared" si="151"/>
        <v>36.917790027062196</v>
      </c>
      <c r="N331" s="322">
        <f t="shared" si="151"/>
        <v>36.633541807779352</v>
      </c>
    </row>
    <row r="332" spans="1:14">
      <c r="C332" s="322">
        <f>C313+C329</f>
        <v>35.315407536400862</v>
      </c>
      <c r="D332" s="322">
        <f t="shared" ref="D332:N332" si="152">D313+D329</f>
        <v>36.270167729320221</v>
      </c>
      <c r="E332" s="322">
        <f t="shared" si="152"/>
        <v>37.278094451460049</v>
      </c>
      <c r="F332" s="322">
        <f t="shared" si="152"/>
        <v>38.011785158859475</v>
      </c>
      <c r="G332" s="322">
        <f t="shared" si="152"/>
        <v>38.18790728513477</v>
      </c>
      <c r="H332" s="322">
        <f t="shared" si="152"/>
        <v>38.740600690767863</v>
      </c>
      <c r="I332" s="322">
        <f t="shared" si="152"/>
        <v>39.677527535553907</v>
      </c>
      <c r="J332" s="322">
        <f t="shared" si="152"/>
        <v>39.409194428426616</v>
      </c>
      <c r="K332" s="322">
        <f t="shared" si="152"/>
        <v>37.931307439058898</v>
      </c>
      <c r="L332" s="322">
        <f t="shared" si="152"/>
        <v>36.999550006162941</v>
      </c>
      <c r="M332" s="322">
        <f t="shared" si="152"/>
        <v>36.917790027062196</v>
      </c>
      <c r="N332" s="322">
        <f t="shared" si="152"/>
        <v>36.633541807779352</v>
      </c>
    </row>
    <row r="333" spans="1:14">
      <c r="A333" s="302">
        <f>SUM(C333:L333)</f>
        <v>0</v>
      </c>
      <c r="C333" s="322">
        <f>C331-C332</f>
        <v>0</v>
      </c>
      <c r="D333" s="322">
        <f t="shared" ref="D333:K333" si="153">D331-D332</f>
        <v>0</v>
      </c>
      <c r="E333" s="322">
        <f t="shared" si="153"/>
        <v>0</v>
      </c>
      <c r="F333" s="322">
        <f t="shared" si="153"/>
        <v>0</v>
      </c>
      <c r="G333" s="322">
        <f t="shared" si="153"/>
        <v>0</v>
      </c>
      <c r="H333" s="322">
        <f t="shared" si="153"/>
        <v>0</v>
      </c>
      <c r="I333" s="322">
        <f t="shared" si="153"/>
        <v>0</v>
      </c>
      <c r="J333" s="322">
        <f t="shared" si="153"/>
        <v>0</v>
      </c>
      <c r="K333" s="322">
        <f t="shared" si="153"/>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6">
      <c r="B337" s="334" t="s">
        <v>46</v>
      </c>
      <c r="C337" s="322"/>
      <c r="D337" s="322"/>
      <c r="E337" s="322"/>
      <c r="F337" s="322"/>
      <c r="G337" s="322"/>
      <c r="H337" s="332"/>
      <c r="I337" s="322"/>
      <c r="J337" s="322"/>
      <c r="K337" s="322"/>
      <c r="L337" s="322"/>
    </row>
    <row r="338" spans="1:16">
      <c r="C338" s="322"/>
      <c r="D338" s="322"/>
      <c r="E338" s="322"/>
      <c r="F338" s="322"/>
      <c r="G338" s="322"/>
      <c r="H338" s="332"/>
      <c r="I338" s="322"/>
      <c r="J338" s="322"/>
      <c r="K338" s="322"/>
      <c r="L338" s="322"/>
    </row>
    <row r="339" spans="1:16">
      <c r="B339" s="331" t="str">
        <f>B318</f>
        <v>Age group</v>
      </c>
      <c r="C339" s="331" t="str">
        <f t="shared" ref="C339:N339" si="154">C318</f>
        <v>2017/18</v>
      </c>
      <c r="D339" s="331" t="str">
        <f t="shared" si="154"/>
        <v>2018/19</v>
      </c>
      <c r="E339" s="331" t="str">
        <f t="shared" si="154"/>
        <v>2019/20</v>
      </c>
      <c r="F339" s="331" t="str">
        <f t="shared" si="154"/>
        <v>2020/21</v>
      </c>
      <c r="G339" s="331" t="str">
        <f t="shared" si="154"/>
        <v>2021/22</v>
      </c>
      <c r="H339" s="331" t="str">
        <f t="shared" si="154"/>
        <v>2022/23</v>
      </c>
      <c r="I339" s="331" t="str">
        <f t="shared" si="154"/>
        <v>2023/24</v>
      </c>
      <c r="J339" s="331" t="str">
        <f t="shared" si="154"/>
        <v>2024/25</v>
      </c>
      <c r="K339" s="331" t="str">
        <f t="shared" si="154"/>
        <v>2025/26</v>
      </c>
      <c r="L339" s="331" t="str">
        <f t="shared" si="154"/>
        <v>2026/27</v>
      </c>
      <c r="M339" s="331" t="str">
        <f t="shared" si="154"/>
        <v>2027/28</v>
      </c>
      <c r="N339" s="331" t="str">
        <f t="shared" si="154"/>
        <v>2028/29</v>
      </c>
    </row>
    <row r="340" spans="1:16">
      <c r="B340" s="331" t="str">
        <f t="shared" ref="B340:B350" si="155">B319</f>
        <v>20-24</v>
      </c>
      <c r="C340" s="447">
        <f t="shared" ref="C340:N340" si="156">C303+C247</f>
        <v>7.2947556654100651</v>
      </c>
      <c r="D340" s="447">
        <f t="shared" si="156"/>
        <v>8.9867745731177013</v>
      </c>
      <c r="E340" s="447">
        <f t="shared" si="156"/>
        <v>10.231994295772143</v>
      </c>
      <c r="F340" s="447">
        <f t="shared" si="156"/>
        <v>11.190521493027171</v>
      </c>
      <c r="G340" s="447">
        <f t="shared" si="156"/>
        <v>11.871754091433614</v>
      </c>
      <c r="H340" s="447">
        <f t="shared" si="156"/>
        <v>12.402276998000115</v>
      </c>
      <c r="I340" s="447">
        <f t="shared" si="156"/>
        <v>12.870363559391819</v>
      </c>
      <c r="J340" s="447">
        <f t="shared" si="156"/>
        <v>13.16460725850939</v>
      </c>
      <c r="K340" s="447">
        <f t="shared" si="156"/>
        <v>13.207584974276291</v>
      </c>
      <c r="L340" s="447">
        <f t="shared" si="156"/>
        <v>13.136222018412349</v>
      </c>
      <c r="M340" s="447">
        <f t="shared" si="156"/>
        <v>13.078058842029735</v>
      </c>
      <c r="N340" s="447">
        <f t="shared" si="156"/>
        <v>13.007053524552402</v>
      </c>
      <c r="O340" s="320"/>
      <c r="P340" s="320"/>
    </row>
    <row r="341" spans="1:16">
      <c r="B341" s="331" t="str">
        <f t="shared" si="155"/>
        <v>25-29</v>
      </c>
      <c r="C341" s="447">
        <f t="shared" ref="C341:N341" si="157">C304+C248</f>
        <v>18.09373413863937</v>
      </c>
      <c r="D341" s="447">
        <f t="shared" si="157"/>
        <v>17.949908622689406</v>
      </c>
      <c r="E341" s="447">
        <f t="shared" si="157"/>
        <v>18.180784249070495</v>
      </c>
      <c r="F341" s="447">
        <f t="shared" si="157"/>
        <v>18.679815323027469</v>
      </c>
      <c r="G341" s="447">
        <f t="shared" si="157"/>
        <v>19.214757819236926</v>
      </c>
      <c r="H341" s="447">
        <f t="shared" si="157"/>
        <v>19.768073679782272</v>
      </c>
      <c r="I341" s="447">
        <f t="shared" si="157"/>
        <v>20.350455941837335</v>
      </c>
      <c r="J341" s="447">
        <f t="shared" si="157"/>
        <v>20.80879938608118</v>
      </c>
      <c r="K341" s="447">
        <f t="shared" si="157"/>
        <v>21.016355544611351</v>
      </c>
      <c r="L341" s="447">
        <f t="shared" si="157"/>
        <v>21.065536318207862</v>
      </c>
      <c r="M341" s="447">
        <f t="shared" si="157"/>
        <v>21.078354324042618</v>
      </c>
      <c r="N341" s="447">
        <f t="shared" si="157"/>
        <v>21.045684182208394</v>
      </c>
      <c r="O341" s="320"/>
      <c r="P341" s="320"/>
    </row>
    <row r="342" spans="1:16">
      <c r="B342" s="331" t="str">
        <f t="shared" si="155"/>
        <v>30-34</v>
      </c>
      <c r="C342" s="447">
        <f t="shared" ref="C342:N342" si="158">C305+C249</f>
        <v>18.283408315665337</v>
      </c>
      <c r="D342" s="447">
        <f t="shared" si="158"/>
        <v>18.747463909030234</v>
      </c>
      <c r="E342" s="447">
        <f t="shared" si="158"/>
        <v>19.060588174751853</v>
      </c>
      <c r="F342" s="447">
        <f t="shared" si="158"/>
        <v>19.402371918107281</v>
      </c>
      <c r="G342" s="447">
        <f t="shared" si="158"/>
        <v>19.754215315442362</v>
      </c>
      <c r="H342" s="447">
        <f t="shared" si="158"/>
        <v>20.140725541314943</v>
      </c>
      <c r="I342" s="447">
        <f t="shared" si="158"/>
        <v>20.57715510207111</v>
      </c>
      <c r="J342" s="447">
        <f t="shared" si="158"/>
        <v>20.989256532193512</v>
      </c>
      <c r="K342" s="447">
        <f t="shared" si="158"/>
        <v>21.294269233352551</v>
      </c>
      <c r="L342" s="447">
        <f t="shared" si="158"/>
        <v>21.504789365028579</v>
      </c>
      <c r="M342" s="447">
        <f t="shared" si="158"/>
        <v>21.663705922533811</v>
      </c>
      <c r="N342" s="447">
        <f t="shared" si="158"/>
        <v>21.766976246235053</v>
      </c>
      <c r="O342" s="320"/>
      <c r="P342" s="320"/>
    </row>
    <row r="343" spans="1:16">
      <c r="B343" s="331" t="str">
        <f t="shared" si="155"/>
        <v>35-39</v>
      </c>
      <c r="C343" s="447">
        <f t="shared" ref="C343:N343" si="159">C306+C250</f>
        <v>13.082623695896562</v>
      </c>
      <c r="D343" s="447">
        <f t="shared" si="159"/>
        <v>14.597198857091819</v>
      </c>
      <c r="E343" s="447">
        <f t="shared" si="159"/>
        <v>15.80850616476552</v>
      </c>
      <c r="F343" s="447">
        <f t="shared" si="159"/>
        <v>16.816287956533529</v>
      </c>
      <c r="G343" s="447">
        <f t="shared" si="159"/>
        <v>17.634303557709096</v>
      </c>
      <c r="H343" s="447">
        <f t="shared" si="159"/>
        <v>18.328875227401088</v>
      </c>
      <c r="I343" s="447">
        <f t="shared" si="159"/>
        <v>18.954067724054603</v>
      </c>
      <c r="J343" s="447">
        <f t="shared" si="159"/>
        <v>19.487668749428664</v>
      </c>
      <c r="K343" s="447">
        <f t="shared" si="159"/>
        <v>19.899261964203689</v>
      </c>
      <c r="L343" s="447">
        <f t="shared" si="159"/>
        <v>20.22289220724911</v>
      </c>
      <c r="M343" s="447">
        <f t="shared" si="159"/>
        <v>20.498597077088696</v>
      </c>
      <c r="N343" s="447">
        <f t="shared" si="159"/>
        <v>20.720891821020324</v>
      </c>
      <c r="O343" s="320"/>
      <c r="P343" s="320"/>
    </row>
    <row r="344" spans="1:16">
      <c r="B344" s="331" t="str">
        <f t="shared" si="155"/>
        <v>40-44</v>
      </c>
      <c r="C344" s="447">
        <f t="shared" ref="C344:N344" si="160">C307+C251</f>
        <v>17.155750433139602</v>
      </c>
      <c r="D344" s="447">
        <f t="shared" si="160"/>
        <v>16.430274130711691</v>
      </c>
      <c r="E344" s="447">
        <f t="shared" si="160"/>
        <v>16.165486077337302</v>
      </c>
      <c r="F344" s="447">
        <f t="shared" si="160"/>
        <v>16.241816096614855</v>
      </c>
      <c r="G344" s="447">
        <f t="shared" si="160"/>
        <v>16.491207694020133</v>
      </c>
      <c r="H344" s="447">
        <f t="shared" si="160"/>
        <v>16.846919807629561</v>
      </c>
      <c r="I344" s="447">
        <f t="shared" si="160"/>
        <v>17.272062806015562</v>
      </c>
      <c r="J344" s="447">
        <f t="shared" si="160"/>
        <v>17.693352033610605</v>
      </c>
      <c r="K344" s="447">
        <f t="shared" si="160"/>
        <v>18.05223245979759</v>
      </c>
      <c r="L344" s="447">
        <f t="shared" si="160"/>
        <v>18.361513961962785</v>
      </c>
      <c r="M344" s="447">
        <f t="shared" si="160"/>
        <v>18.647691248273837</v>
      </c>
      <c r="N344" s="447">
        <f t="shared" si="160"/>
        <v>18.900746746599573</v>
      </c>
      <c r="O344" s="320"/>
      <c r="P344" s="320"/>
    </row>
    <row r="345" spans="1:16">
      <c r="B345" s="331" t="str">
        <f t="shared" si="155"/>
        <v>45-49</v>
      </c>
      <c r="C345" s="447">
        <f t="shared" ref="C345:N345" si="161">C308+C252</f>
        <v>15.485310185734701</v>
      </c>
      <c r="D345" s="447">
        <f t="shared" si="161"/>
        <v>15.455788728271886</v>
      </c>
      <c r="E345" s="447">
        <f t="shared" si="161"/>
        <v>15.280291844707699</v>
      </c>
      <c r="F345" s="447">
        <f t="shared" si="161"/>
        <v>15.151173446258291</v>
      </c>
      <c r="G345" s="447">
        <f t="shared" si="161"/>
        <v>15.076031345583898</v>
      </c>
      <c r="H345" s="447">
        <f t="shared" si="161"/>
        <v>15.082400178064516</v>
      </c>
      <c r="I345" s="447">
        <f t="shared" si="161"/>
        <v>15.178399194055793</v>
      </c>
      <c r="J345" s="447">
        <f t="shared" si="161"/>
        <v>15.318110457569833</v>
      </c>
      <c r="K345" s="447">
        <f t="shared" si="161"/>
        <v>15.454625693978375</v>
      </c>
      <c r="L345" s="447">
        <f t="shared" si="161"/>
        <v>15.592950629897253</v>
      </c>
      <c r="M345" s="447">
        <f t="shared" si="161"/>
        <v>15.747688093254325</v>
      </c>
      <c r="N345" s="447">
        <f t="shared" si="161"/>
        <v>15.904425065765331</v>
      </c>
      <c r="O345" s="320"/>
      <c r="P345" s="320"/>
    </row>
    <row r="346" spans="1:16">
      <c r="B346" s="331" t="str">
        <f t="shared" si="155"/>
        <v>50-54</v>
      </c>
      <c r="C346" s="447">
        <f t="shared" ref="C346:N346" si="162">C309+C253</f>
        <v>16.930981014398604</v>
      </c>
      <c r="D346" s="447">
        <f t="shared" si="162"/>
        <v>15.836595582083593</v>
      </c>
      <c r="E346" s="447">
        <f t="shared" si="162"/>
        <v>15.021408313310898</v>
      </c>
      <c r="F346" s="447">
        <f t="shared" si="162"/>
        <v>14.434883911109212</v>
      </c>
      <c r="G346" s="447">
        <f t="shared" si="162"/>
        <v>13.990764720949413</v>
      </c>
      <c r="H346" s="447">
        <f t="shared" si="162"/>
        <v>13.667388559892949</v>
      </c>
      <c r="I346" s="447">
        <f t="shared" si="162"/>
        <v>13.454221481116084</v>
      </c>
      <c r="J346" s="447">
        <f t="shared" si="162"/>
        <v>13.311679097236649</v>
      </c>
      <c r="K346" s="447">
        <f t="shared" si="162"/>
        <v>13.202716595075621</v>
      </c>
      <c r="L346" s="447">
        <f t="shared" si="162"/>
        <v>13.12896346734737</v>
      </c>
      <c r="M346" s="447">
        <f t="shared" si="162"/>
        <v>13.098895524867013</v>
      </c>
      <c r="N346" s="447">
        <f t="shared" si="162"/>
        <v>13.09915288853675</v>
      </c>
      <c r="O346" s="320"/>
      <c r="P346" s="320"/>
    </row>
    <row r="347" spans="1:16">
      <c r="B347" s="331" t="str">
        <f t="shared" si="155"/>
        <v>55-59</v>
      </c>
      <c r="C347" s="447">
        <f t="shared" ref="C347:N347" si="163">C310+C254</f>
        <v>10.13971965199155</v>
      </c>
      <c r="D347" s="447">
        <f t="shared" si="163"/>
        <v>9.0943013740406631</v>
      </c>
      <c r="E347" s="447">
        <f t="shared" si="163"/>
        <v>8.2972059592116487</v>
      </c>
      <c r="F347" s="447">
        <f t="shared" si="163"/>
        <v>7.7203144245992901</v>
      </c>
      <c r="G347" s="447">
        <f t="shared" si="163"/>
        <v>7.2903626574347422</v>
      </c>
      <c r="H347" s="447">
        <f t="shared" si="163"/>
        <v>6.9746240298463746</v>
      </c>
      <c r="I347" s="447">
        <f t="shared" si="163"/>
        <v>6.7504105215744268</v>
      </c>
      <c r="J347" s="447">
        <f t="shared" si="163"/>
        <v>6.5809253533382694</v>
      </c>
      <c r="K347" s="447">
        <f t="shared" si="163"/>
        <v>6.4382079304753361</v>
      </c>
      <c r="L347" s="447">
        <f t="shared" si="163"/>
        <v>6.3239465368177568</v>
      </c>
      <c r="M347" s="447">
        <f t="shared" si="163"/>
        <v>6.243535321952784</v>
      </c>
      <c r="N347" s="447">
        <f t="shared" si="163"/>
        <v>6.1871180038647626</v>
      </c>
      <c r="O347" s="320"/>
      <c r="P347" s="320"/>
    </row>
    <row r="348" spans="1:16">
      <c r="B348" s="331" t="str">
        <f t="shared" si="155"/>
        <v>60-64</v>
      </c>
      <c r="C348" s="447">
        <f t="shared" ref="C348:N348" si="164">C311+C255</f>
        <v>4.8829543217021349</v>
      </c>
      <c r="D348" s="447">
        <f t="shared" si="164"/>
        <v>4.1436532322841657</v>
      </c>
      <c r="E348" s="447">
        <f t="shared" si="164"/>
        <v>3.6184773202900749</v>
      </c>
      <c r="F348" s="447">
        <f t="shared" si="164"/>
        <v>3.2476618780628717</v>
      </c>
      <c r="G348" s="447">
        <f t="shared" si="164"/>
        <v>2.9789679564942695</v>
      </c>
      <c r="H348" s="447">
        <f t="shared" si="164"/>
        <v>2.7856626849332322</v>
      </c>
      <c r="I348" s="447">
        <f t="shared" si="164"/>
        <v>2.6495015296853675</v>
      </c>
      <c r="J348" s="447">
        <f t="shared" si="164"/>
        <v>2.5469016828095734</v>
      </c>
      <c r="K348" s="447">
        <f t="shared" si="164"/>
        <v>2.4606531030136223</v>
      </c>
      <c r="L348" s="447">
        <f t="shared" si="164"/>
        <v>2.3902770826261954</v>
      </c>
      <c r="M348" s="447">
        <f t="shared" si="164"/>
        <v>2.3378561646657396</v>
      </c>
      <c r="N348" s="447">
        <f t="shared" si="164"/>
        <v>2.2978725255409373</v>
      </c>
      <c r="O348" s="320"/>
      <c r="P348" s="320"/>
    </row>
    <row r="349" spans="1:16">
      <c r="B349" s="331" t="str">
        <f t="shared" si="155"/>
        <v>65 plus</v>
      </c>
      <c r="C349" s="447">
        <f t="shared" ref="C349:N349" si="165">C312+C256</f>
        <v>4.2942111812772552</v>
      </c>
      <c r="D349" s="447">
        <f t="shared" si="165"/>
        <v>3.0946254023375053</v>
      </c>
      <c r="E349" s="447">
        <f t="shared" si="165"/>
        <v>2.3073110546939564</v>
      </c>
      <c r="F349" s="447">
        <f t="shared" si="165"/>
        <v>1.8089078803295224</v>
      </c>
      <c r="G349" s="447">
        <f t="shared" si="165"/>
        <v>1.4825970329619669</v>
      </c>
      <c r="H349" s="447">
        <f t="shared" si="165"/>
        <v>1.266915303420761</v>
      </c>
      <c r="I349" s="447">
        <f t="shared" si="165"/>
        <v>1.1237601982503831</v>
      </c>
      <c r="J349" s="447">
        <f t="shared" si="165"/>
        <v>1.0259835582589281</v>
      </c>
      <c r="K349" s="447">
        <f t="shared" si="165"/>
        <v>0.95539588057881619</v>
      </c>
      <c r="L349" s="447">
        <f t="shared" si="165"/>
        <v>0.90332983811670353</v>
      </c>
      <c r="M349" s="447">
        <f t="shared" si="165"/>
        <v>0.86542162222200558</v>
      </c>
      <c r="N349" s="447">
        <f t="shared" si="165"/>
        <v>0.8372162638151972</v>
      </c>
      <c r="O349" s="320"/>
      <c r="P349" s="320"/>
    </row>
    <row r="350" spans="1:16">
      <c r="B350" s="331" t="str">
        <f t="shared" si="155"/>
        <v>Total</v>
      </c>
      <c r="C350" s="447">
        <f t="shared" ref="C350:N350" si="166">SUM(C340:C349)</f>
        <v>125.64344860385518</v>
      </c>
      <c r="D350" s="447">
        <f t="shared" si="166"/>
        <v>124.33658441165865</v>
      </c>
      <c r="E350" s="447">
        <f t="shared" si="166"/>
        <v>123.9720534539116</v>
      </c>
      <c r="F350" s="447">
        <f t="shared" si="166"/>
        <v>124.6937543276695</v>
      </c>
      <c r="G350" s="447">
        <f t="shared" si="166"/>
        <v>125.78496219126643</v>
      </c>
      <c r="H350" s="447">
        <f t="shared" si="166"/>
        <v>127.26386201028581</v>
      </c>
      <c r="I350" s="447">
        <f t="shared" si="166"/>
        <v>129.18039805805248</v>
      </c>
      <c r="J350" s="447">
        <f t="shared" si="166"/>
        <v>130.92728410903661</v>
      </c>
      <c r="K350" s="447">
        <f t="shared" si="166"/>
        <v>131.98130337936323</v>
      </c>
      <c r="L350" s="447">
        <f t="shared" si="166"/>
        <v>132.63042142566596</v>
      </c>
      <c r="M350" s="447">
        <f t="shared" si="166"/>
        <v>133.25980414093058</v>
      </c>
      <c r="N350" s="447">
        <f t="shared" si="166"/>
        <v>133.76713726813873</v>
      </c>
      <c r="O350" s="320"/>
      <c r="P350" s="320"/>
    </row>
    <row r="351" spans="1:16">
      <c r="A351" s="302">
        <f>SUM(C351:N351)</f>
        <v>0</v>
      </c>
      <c r="C351" s="302">
        <f t="shared" ref="C351:N351" si="167">SUM(C340:C349)-C350</f>
        <v>0</v>
      </c>
      <c r="D351" s="302">
        <f t="shared" si="167"/>
        <v>0</v>
      </c>
      <c r="E351" s="302">
        <f t="shared" si="167"/>
        <v>0</v>
      </c>
      <c r="F351" s="302">
        <f t="shared" si="167"/>
        <v>0</v>
      </c>
      <c r="G351" s="302">
        <f t="shared" si="167"/>
        <v>0</v>
      </c>
      <c r="H351" s="302">
        <f t="shared" si="167"/>
        <v>0</v>
      </c>
      <c r="I351" s="302">
        <f t="shared" si="167"/>
        <v>0</v>
      </c>
      <c r="J351" s="302">
        <f t="shared" si="167"/>
        <v>0</v>
      </c>
      <c r="K351" s="302">
        <f t="shared" si="167"/>
        <v>0</v>
      </c>
      <c r="L351" s="302">
        <f t="shared" si="167"/>
        <v>0</v>
      </c>
      <c r="M351" s="302">
        <f t="shared" si="167"/>
        <v>0</v>
      </c>
      <c r="N351" s="302">
        <f t="shared" si="167"/>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8">B339</f>
        <v>Age group</v>
      </c>
      <c r="C355" s="331" t="str">
        <f t="shared" ref="C355:N355" si="169">C339</f>
        <v>2017/18</v>
      </c>
      <c r="D355" s="331" t="str">
        <f t="shared" si="169"/>
        <v>2018/19</v>
      </c>
      <c r="E355" s="331" t="str">
        <f t="shared" si="169"/>
        <v>2019/20</v>
      </c>
      <c r="F355" s="331" t="str">
        <f t="shared" si="169"/>
        <v>2020/21</v>
      </c>
      <c r="G355" s="331" t="str">
        <f t="shared" si="169"/>
        <v>2021/22</v>
      </c>
      <c r="H355" s="331" t="str">
        <f t="shared" si="169"/>
        <v>2022/23</v>
      </c>
      <c r="I355" s="331" t="str">
        <f t="shared" si="169"/>
        <v>2023/24</v>
      </c>
      <c r="J355" s="331" t="str">
        <f t="shared" si="169"/>
        <v>2024/25</v>
      </c>
      <c r="K355" s="331" t="str">
        <f t="shared" si="169"/>
        <v>2025/26</v>
      </c>
      <c r="L355" s="331" t="str">
        <f t="shared" si="169"/>
        <v>2026/27</v>
      </c>
      <c r="M355" s="331" t="str">
        <f t="shared" si="169"/>
        <v>2027/28</v>
      </c>
      <c r="N355" s="331" t="str">
        <f t="shared" si="169"/>
        <v>2028/29</v>
      </c>
    </row>
    <row r="356" spans="1:14">
      <c r="B356" s="331" t="str">
        <f t="shared" si="168"/>
        <v>20-24</v>
      </c>
      <c r="C356" s="447">
        <f t="shared" ref="C356:N356" si="170">C319+C263</f>
        <v>8.9265798433665076</v>
      </c>
      <c r="D356" s="447">
        <f t="shared" si="170"/>
        <v>11.659248154556478</v>
      </c>
      <c r="E356" s="447">
        <f t="shared" si="170"/>
        <v>13.712746261434422</v>
      </c>
      <c r="F356" s="447">
        <f t="shared" si="170"/>
        <v>15.245843578727293</v>
      </c>
      <c r="G356" s="447">
        <f t="shared" si="170"/>
        <v>16.34627755135255</v>
      </c>
      <c r="H356" s="447">
        <f t="shared" si="170"/>
        <v>17.199363342079145</v>
      </c>
      <c r="I356" s="447">
        <f t="shared" si="170"/>
        <v>17.936096682432797</v>
      </c>
      <c r="J356" s="447">
        <f t="shared" si="170"/>
        <v>18.41257208639238</v>
      </c>
      <c r="K356" s="447">
        <f t="shared" si="170"/>
        <v>18.527311102450064</v>
      </c>
      <c r="L356" s="447">
        <f t="shared" si="170"/>
        <v>18.46954721076898</v>
      </c>
      <c r="M356" s="447">
        <f t="shared" si="170"/>
        <v>18.416945268029764</v>
      </c>
      <c r="N356" s="447">
        <f t="shared" si="170"/>
        <v>18.337934250187264</v>
      </c>
    </row>
    <row r="357" spans="1:14">
      <c r="B357" s="331" t="str">
        <f t="shared" si="168"/>
        <v>25-29</v>
      </c>
      <c r="C357" s="447">
        <f t="shared" ref="C357:N357" si="171">C320+C264</f>
        <v>28.529229062307682</v>
      </c>
      <c r="D357" s="447">
        <f t="shared" si="171"/>
        <v>27.369767968863407</v>
      </c>
      <c r="E357" s="447">
        <f t="shared" si="171"/>
        <v>27.138877886383423</v>
      </c>
      <c r="F357" s="447">
        <f t="shared" si="171"/>
        <v>27.415038826028017</v>
      </c>
      <c r="G357" s="447">
        <f t="shared" si="171"/>
        <v>27.909005006072078</v>
      </c>
      <c r="H357" s="447">
        <f t="shared" si="171"/>
        <v>28.537667769111643</v>
      </c>
      <c r="I357" s="447">
        <f t="shared" si="171"/>
        <v>29.276122977638785</v>
      </c>
      <c r="J357" s="447">
        <f t="shared" si="171"/>
        <v>29.889330975939028</v>
      </c>
      <c r="K357" s="447">
        <f t="shared" si="171"/>
        <v>30.184587081847859</v>
      </c>
      <c r="L357" s="447">
        <f t="shared" si="171"/>
        <v>30.273108327321307</v>
      </c>
      <c r="M357" s="447">
        <f t="shared" si="171"/>
        <v>30.31322923076705</v>
      </c>
      <c r="N357" s="447">
        <f t="shared" si="171"/>
        <v>30.289315580629818</v>
      </c>
    </row>
    <row r="358" spans="1:14">
      <c r="B358" s="331" t="str">
        <f t="shared" si="168"/>
        <v>30-34</v>
      </c>
      <c r="C358" s="447">
        <f t="shared" ref="C358:N358" si="172">C321+C265</f>
        <v>25.369796798913079</v>
      </c>
      <c r="D358" s="447">
        <f t="shared" si="172"/>
        <v>26.291972118925276</v>
      </c>
      <c r="E358" s="447">
        <f t="shared" si="172"/>
        <v>26.784924501992908</v>
      </c>
      <c r="F358" s="447">
        <f t="shared" si="172"/>
        <v>27.122270610228888</v>
      </c>
      <c r="G358" s="447">
        <f t="shared" si="172"/>
        <v>27.429253161312197</v>
      </c>
      <c r="H358" s="447">
        <f t="shared" si="172"/>
        <v>27.781956366738854</v>
      </c>
      <c r="I358" s="447">
        <f t="shared" si="172"/>
        <v>28.220933010758323</v>
      </c>
      <c r="J358" s="447">
        <f t="shared" si="172"/>
        <v>28.651500935708775</v>
      </c>
      <c r="K358" s="447">
        <f t="shared" si="172"/>
        <v>28.962427105595154</v>
      </c>
      <c r="L358" s="447">
        <f t="shared" si="172"/>
        <v>29.170475946179451</v>
      </c>
      <c r="M358" s="447">
        <f t="shared" si="172"/>
        <v>29.330706381303862</v>
      </c>
      <c r="N358" s="447">
        <f t="shared" si="172"/>
        <v>29.43240428513197</v>
      </c>
    </row>
    <row r="359" spans="1:14">
      <c r="B359" s="331" t="str">
        <f t="shared" si="168"/>
        <v>35-39</v>
      </c>
      <c r="C359" s="447">
        <f t="shared" ref="C359:N359" si="173">C322+C266</f>
        <v>29.554381663078402</v>
      </c>
      <c r="D359" s="447">
        <f t="shared" si="173"/>
        <v>28.278834076139347</v>
      </c>
      <c r="E359" s="447">
        <f t="shared" si="173"/>
        <v>27.531655681642036</v>
      </c>
      <c r="F359" s="447">
        <f t="shared" si="173"/>
        <v>27.086749589806129</v>
      </c>
      <c r="G359" s="447">
        <f t="shared" si="173"/>
        <v>26.833713005313442</v>
      </c>
      <c r="H359" s="447">
        <f t="shared" si="173"/>
        <v>26.736141152642176</v>
      </c>
      <c r="I359" s="447">
        <f t="shared" si="173"/>
        <v>26.781788220735205</v>
      </c>
      <c r="J359" s="447">
        <f t="shared" si="173"/>
        <v>26.880054626068763</v>
      </c>
      <c r="K359" s="447">
        <f t="shared" si="173"/>
        <v>26.947381041183842</v>
      </c>
      <c r="L359" s="447">
        <f t="shared" si="173"/>
        <v>27.00093992534984</v>
      </c>
      <c r="M359" s="447">
        <f t="shared" si="173"/>
        <v>27.073334665984962</v>
      </c>
      <c r="N359" s="447">
        <f t="shared" si="173"/>
        <v>27.139400928352313</v>
      </c>
    </row>
    <row r="360" spans="1:14">
      <c r="B360" s="331" t="str">
        <f t="shared" si="168"/>
        <v>40-44</v>
      </c>
      <c r="C360" s="447">
        <f t="shared" ref="C360:N360" si="174">C323+C267</f>
        <v>22.258963539402263</v>
      </c>
      <c r="D360" s="447">
        <f t="shared" si="174"/>
        <v>23.505123186679555</v>
      </c>
      <c r="E360" s="447">
        <f t="shared" si="174"/>
        <v>24.201014072344876</v>
      </c>
      <c r="F360" s="447">
        <f t="shared" si="174"/>
        <v>24.582937986819491</v>
      </c>
      <c r="G360" s="447">
        <f t="shared" si="174"/>
        <v>24.789562798308072</v>
      </c>
      <c r="H360" s="447">
        <f t="shared" si="174"/>
        <v>24.921113419093736</v>
      </c>
      <c r="I360" s="447">
        <f t="shared" si="174"/>
        <v>25.044659571378048</v>
      </c>
      <c r="J360" s="447">
        <f t="shared" si="174"/>
        <v>25.130527168550493</v>
      </c>
      <c r="K360" s="447">
        <f t="shared" si="174"/>
        <v>25.140209320081635</v>
      </c>
      <c r="L360" s="447">
        <f t="shared" si="174"/>
        <v>25.114756976334224</v>
      </c>
      <c r="M360" s="447">
        <f t="shared" si="174"/>
        <v>25.101990993315042</v>
      </c>
      <c r="N360" s="447">
        <f t="shared" si="174"/>
        <v>25.092209163198014</v>
      </c>
    </row>
    <row r="361" spans="1:14">
      <c r="B361" s="331" t="str">
        <f t="shared" si="168"/>
        <v>45-49</v>
      </c>
      <c r="C361" s="447">
        <f t="shared" ref="C361:N361" si="175">C324+C268</f>
        <v>17.235910749171481</v>
      </c>
      <c r="D361" s="447">
        <f t="shared" si="175"/>
        <v>18.036727815973197</v>
      </c>
      <c r="E361" s="447">
        <f t="shared" si="175"/>
        <v>18.859579969927527</v>
      </c>
      <c r="F361" s="447">
        <f t="shared" si="175"/>
        <v>19.591397005767934</v>
      </c>
      <c r="G361" s="447">
        <f t="shared" si="175"/>
        <v>20.19990301428723</v>
      </c>
      <c r="H361" s="447">
        <f t="shared" si="175"/>
        <v>20.701469732076674</v>
      </c>
      <c r="I361" s="447">
        <f t="shared" si="175"/>
        <v>21.1265239299588</v>
      </c>
      <c r="J361" s="447">
        <f t="shared" si="175"/>
        <v>21.447703601012861</v>
      </c>
      <c r="K361" s="447">
        <f t="shared" si="175"/>
        <v>21.639547185841796</v>
      </c>
      <c r="L361" s="447">
        <f t="shared" si="175"/>
        <v>21.744670495465609</v>
      </c>
      <c r="M361" s="447">
        <f t="shared" si="175"/>
        <v>21.813323145523331</v>
      </c>
      <c r="N361" s="447">
        <f t="shared" si="175"/>
        <v>21.849900137081928</v>
      </c>
    </row>
    <row r="362" spans="1:14">
      <c r="B362" s="331" t="str">
        <f t="shared" si="168"/>
        <v>50-54</v>
      </c>
      <c r="C362" s="447">
        <f t="shared" ref="C362:N362" si="176">C325+C269</f>
        <v>15.589249005770551</v>
      </c>
      <c r="D362" s="447">
        <f t="shared" si="176"/>
        <v>15.191671156674676</v>
      </c>
      <c r="E362" s="447">
        <f t="shared" si="176"/>
        <v>15.058140687559623</v>
      </c>
      <c r="F362" s="447">
        <f t="shared" si="176"/>
        <v>15.113011857525462</v>
      </c>
      <c r="G362" s="447">
        <f t="shared" si="176"/>
        <v>15.28670478364676</v>
      </c>
      <c r="H362" s="447">
        <f t="shared" si="176"/>
        <v>15.533618160156244</v>
      </c>
      <c r="I362" s="447">
        <f t="shared" si="176"/>
        <v>15.824541150490864</v>
      </c>
      <c r="J362" s="447">
        <f t="shared" si="176"/>
        <v>16.09844664295478</v>
      </c>
      <c r="K362" s="447">
        <f t="shared" si="176"/>
        <v>16.307090173200045</v>
      </c>
      <c r="L362" s="447">
        <f t="shared" si="176"/>
        <v>16.462239038786382</v>
      </c>
      <c r="M362" s="447">
        <f t="shared" si="176"/>
        <v>16.588529138611865</v>
      </c>
      <c r="N362" s="447">
        <f t="shared" si="176"/>
        <v>16.682069426726152</v>
      </c>
    </row>
    <row r="363" spans="1:14">
      <c r="B363" s="331" t="str">
        <f t="shared" si="168"/>
        <v>55-59</v>
      </c>
      <c r="C363" s="447">
        <f t="shared" ref="C363:N363" si="177">C326+C270</f>
        <v>15.5741870461217</v>
      </c>
      <c r="D363" s="447">
        <f t="shared" si="177"/>
        <v>12.604920128115863</v>
      </c>
      <c r="E363" s="447">
        <f t="shared" si="177"/>
        <v>10.7322798173452</v>
      </c>
      <c r="F363" s="447">
        <f t="shared" si="177"/>
        <v>9.5716393007647369</v>
      </c>
      <c r="G363" s="447">
        <f t="shared" si="177"/>
        <v>8.873703877292602</v>
      </c>
      <c r="H363" s="447">
        <f t="shared" si="177"/>
        <v>8.4838417637396972</v>
      </c>
      <c r="I363" s="447">
        <f t="shared" si="177"/>
        <v>8.3006852844301289</v>
      </c>
      <c r="J363" s="447">
        <f t="shared" si="177"/>
        <v>8.2281711251999248</v>
      </c>
      <c r="K363" s="447">
        <f t="shared" si="177"/>
        <v>8.1981592001067423</v>
      </c>
      <c r="L363" s="447">
        <f t="shared" si="177"/>
        <v>8.1943357769148228</v>
      </c>
      <c r="M363" s="447">
        <f t="shared" si="177"/>
        <v>8.2141885580481429</v>
      </c>
      <c r="N363" s="447">
        <f t="shared" si="177"/>
        <v>8.2403319967903101</v>
      </c>
    </row>
    <row r="364" spans="1:14">
      <c r="B364" s="331" t="str">
        <f t="shared" si="168"/>
        <v>60-64</v>
      </c>
      <c r="C364" s="447">
        <f t="shared" ref="C364:N364" si="178">C327+C271</f>
        <v>5.8941641313896547</v>
      </c>
      <c r="D364" s="447">
        <f t="shared" si="178"/>
        <v>5.3257391472879387</v>
      </c>
      <c r="E364" s="447">
        <f t="shared" si="178"/>
        <v>4.6622470895369545</v>
      </c>
      <c r="F364" s="447">
        <f t="shared" si="178"/>
        <v>4.0900202696365433</v>
      </c>
      <c r="G364" s="447">
        <f t="shared" si="178"/>
        <v>3.6539157259202408</v>
      </c>
      <c r="H364" s="447">
        <f t="shared" si="178"/>
        <v>3.3492121700083191</v>
      </c>
      <c r="I364" s="447">
        <f t="shared" si="178"/>
        <v>3.1539615745311673</v>
      </c>
      <c r="J364" s="447">
        <f t="shared" si="178"/>
        <v>3.0290508815937609</v>
      </c>
      <c r="K364" s="447">
        <f t="shared" si="178"/>
        <v>2.9423927999892068</v>
      </c>
      <c r="L364" s="447">
        <f t="shared" si="178"/>
        <v>2.8857375935810343</v>
      </c>
      <c r="M364" s="447">
        <f t="shared" si="178"/>
        <v>2.8557150882918827</v>
      </c>
      <c r="N364" s="447">
        <f t="shared" si="178"/>
        <v>2.8402925117127991</v>
      </c>
    </row>
    <row r="365" spans="1:14">
      <c r="B365" s="331" t="str">
        <f t="shared" si="168"/>
        <v>65 plus</v>
      </c>
      <c r="C365" s="447">
        <f t="shared" ref="C365:N365" si="179">C328+C272</f>
        <v>4.4452939893123045</v>
      </c>
      <c r="D365" s="447">
        <f t="shared" si="179"/>
        <v>3.6311008286170514</v>
      </c>
      <c r="E365" s="447">
        <f t="shared" si="179"/>
        <v>3.0452178719259604</v>
      </c>
      <c r="F365" s="447">
        <f t="shared" si="179"/>
        <v>2.5931471106817319</v>
      </c>
      <c r="G365" s="447">
        <f t="shared" si="179"/>
        <v>2.2398169852489671</v>
      </c>
      <c r="H365" s="447">
        <f t="shared" si="179"/>
        <v>1.9662396672551086</v>
      </c>
      <c r="I365" s="447">
        <f t="shared" si="179"/>
        <v>1.7599879190838557</v>
      </c>
      <c r="J365" s="447">
        <f t="shared" si="179"/>
        <v>1.6060096016620757</v>
      </c>
      <c r="K365" s="447">
        <f t="shared" si="179"/>
        <v>1.4900053355087279</v>
      </c>
      <c r="L365" s="447">
        <f t="shared" si="179"/>
        <v>1.4040600965984349</v>
      </c>
      <c r="M365" s="447">
        <f t="shared" si="179"/>
        <v>1.3430693895030643</v>
      </c>
      <c r="N365" s="447">
        <f t="shared" si="179"/>
        <v>1.3004121421805892</v>
      </c>
    </row>
    <row r="366" spans="1:14">
      <c r="B366" s="331" t="str">
        <f t="shared" si="168"/>
        <v>Total</v>
      </c>
      <c r="C366" s="447">
        <f t="shared" ref="C366:N366" si="180">SUM(C356:C365)</f>
        <v>173.37775582883364</v>
      </c>
      <c r="D366" s="447">
        <f t="shared" si="180"/>
        <v>171.89510458183281</v>
      </c>
      <c r="E366" s="447">
        <f t="shared" si="180"/>
        <v>171.7266838400929</v>
      </c>
      <c r="F366" s="447">
        <f t="shared" si="180"/>
        <v>172.41205613598623</v>
      </c>
      <c r="G366" s="447">
        <f t="shared" si="180"/>
        <v>173.56185590875413</v>
      </c>
      <c r="H366" s="447">
        <f t="shared" si="180"/>
        <v>175.21062354290157</v>
      </c>
      <c r="I366" s="447">
        <f t="shared" si="180"/>
        <v>177.42530032143799</v>
      </c>
      <c r="J366" s="447">
        <f t="shared" si="180"/>
        <v>179.37336764508282</v>
      </c>
      <c r="K366" s="447">
        <f t="shared" si="180"/>
        <v>180.33911034580504</v>
      </c>
      <c r="L366" s="447">
        <f t="shared" si="180"/>
        <v>180.71987138730009</v>
      </c>
      <c r="M366" s="447">
        <f t="shared" si="180"/>
        <v>181.05103185937895</v>
      </c>
      <c r="N366" s="447">
        <f t="shared" si="180"/>
        <v>181.20427042199114</v>
      </c>
    </row>
    <row r="367" spans="1:14">
      <c r="A367" s="302">
        <f>SUM(C367:N367)</f>
        <v>0</v>
      </c>
      <c r="C367" s="302">
        <f t="shared" ref="C367:N367" si="181">SUM(C356:C365)-C366</f>
        <v>0</v>
      </c>
      <c r="D367" s="302">
        <f t="shared" si="181"/>
        <v>0</v>
      </c>
      <c r="E367" s="302">
        <f t="shared" si="181"/>
        <v>0</v>
      </c>
      <c r="F367" s="302">
        <f t="shared" si="181"/>
        <v>0</v>
      </c>
      <c r="G367" s="302">
        <f t="shared" si="181"/>
        <v>0</v>
      </c>
      <c r="H367" s="302">
        <f t="shared" si="181"/>
        <v>0</v>
      </c>
      <c r="I367" s="302">
        <f t="shared" si="181"/>
        <v>0</v>
      </c>
      <c r="J367" s="302">
        <f t="shared" si="181"/>
        <v>0</v>
      </c>
      <c r="K367" s="302">
        <f t="shared" si="181"/>
        <v>0</v>
      </c>
      <c r="L367" s="302">
        <f t="shared" si="181"/>
        <v>0</v>
      </c>
      <c r="M367" s="302">
        <f t="shared" si="181"/>
        <v>0</v>
      </c>
      <c r="N367" s="302">
        <f t="shared" si="181"/>
        <v>0</v>
      </c>
    </row>
    <row r="368" spans="1:14">
      <c r="C368" s="322">
        <f>C350+C366</f>
        <v>299.02120443268882</v>
      </c>
      <c r="D368" s="322">
        <f t="shared" ref="D368:N368" si="182">D350+D366</f>
        <v>296.23168899349145</v>
      </c>
      <c r="E368" s="322">
        <f t="shared" si="182"/>
        <v>295.6987372940045</v>
      </c>
      <c r="F368" s="322">
        <f t="shared" si="182"/>
        <v>297.10581046365576</v>
      </c>
      <c r="G368" s="322">
        <f t="shared" si="182"/>
        <v>299.34681810002053</v>
      </c>
      <c r="H368" s="322">
        <f t="shared" si="182"/>
        <v>302.47448555318738</v>
      </c>
      <c r="I368" s="322">
        <f t="shared" si="182"/>
        <v>306.60569837949049</v>
      </c>
      <c r="J368" s="322">
        <f t="shared" si="182"/>
        <v>310.30065175411943</v>
      </c>
      <c r="K368" s="322">
        <f t="shared" si="182"/>
        <v>312.32041372516824</v>
      </c>
      <c r="L368" s="322">
        <f t="shared" si="182"/>
        <v>313.35029281296602</v>
      </c>
      <c r="M368" s="322">
        <f t="shared" si="182"/>
        <v>314.31083600030956</v>
      </c>
      <c r="N368" s="322">
        <f t="shared" si="182"/>
        <v>314.97140769012987</v>
      </c>
    </row>
    <row r="369" spans="1:14">
      <c r="C369" s="322">
        <f>C36</f>
        <v>299.02120443268882</v>
      </c>
      <c r="D369" s="322">
        <f t="shared" ref="D369:N369" si="183">D36</f>
        <v>296.23168899349145</v>
      </c>
      <c r="E369" s="322">
        <f t="shared" si="183"/>
        <v>295.6987372940045</v>
      </c>
      <c r="F369" s="322">
        <f t="shared" si="183"/>
        <v>297.1058104636557</v>
      </c>
      <c r="G369" s="322">
        <f t="shared" si="183"/>
        <v>299.34681810002053</v>
      </c>
      <c r="H369" s="322">
        <f t="shared" si="183"/>
        <v>302.47448555318738</v>
      </c>
      <c r="I369" s="322">
        <f t="shared" si="183"/>
        <v>306.60569837949043</v>
      </c>
      <c r="J369" s="322">
        <f t="shared" si="183"/>
        <v>310.30065175411943</v>
      </c>
      <c r="K369" s="322">
        <f t="shared" si="183"/>
        <v>312.32041372516829</v>
      </c>
      <c r="L369" s="322">
        <f t="shared" si="183"/>
        <v>313.35029281296602</v>
      </c>
      <c r="M369" s="322">
        <f t="shared" si="183"/>
        <v>314.31083600030951</v>
      </c>
      <c r="N369" s="322">
        <f t="shared" si="183"/>
        <v>314.97140769012987</v>
      </c>
    </row>
    <row r="370" spans="1:14">
      <c r="A370" s="302">
        <f>SUM(C370:L370)</f>
        <v>0</v>
      </c>
      <c r="C370" s="322">
        <f>C368-C369</f>
        <v>0</v>
      </c>
      <c r="D370" s="322">
        <f t="shared" ref="D370:N370" si="184">D368-D369</f>
        <v>0</v>
      </c>
      <c r="E370" s="322">
        <f t="shared" si="184"/>
        <v>0</v>
      </c>
      <c r="F370" s="322">
        <f t="shared" si="184"/>
        <v>0</v>
      </c>
      <c r="G370" s="322">
        <f t="shared" si="184"/>
        <v>0</v>
      </c>
      <c r="H370" s="322">
        <f t="shared" si="184"/>
        <v>0</v>
      </c>
      <c r="I370" s="322">
        <f t="shared" si="184"/>
        <v>0</v>
      </c>
      <c r="J370" s="322">
        <f t="shared" si="184"/>
        <v>0</v>
      </c>
      <c r="K370" s="322">
        <f t="shared" si="184"/>
        <v>0</v>
      </c>
      <c r="L370" s="322">
        <f t="shared" si="184"/>
        <v>0</v>
      </c>
      <c r="M370" s="322">
        <f t="shared" si="184"/>
        <v>0</v>
      </c>
      <c r="N370" s="322">
        <f t="shared" si="184"/>
        <v>0</v>
      </c>
    </row>
    <row r="371" spans="1:14">
      <c r="A371" s="302">
        <f>SUM(C371:L371)</f>
        <v>0</v>
      </c>
      <c r="C371" s="322">
        <f>IF(C294&gt;0,0,C294)</f>
        <v>0</v>
      </c>
      <c r="D371" s="322">
        <f t="shared" ref="D371:N371" si="185">IF(D294&gt;0,0,D294)</f>
        <v>0</v>
      </c>
      <c r="E371" s="322">
        <f t="shared" si="185"/>
        <v>0</v>
      </c>
      <c r="F371" s="322">
        <f t="shared" si="185"/>
        <v>0</v>
      </c>
      <c r="G371" s="322">
        <f t="shared" si="185"/>
        <v>0</v>
      </c>
      <c r="H371" s="322">
        <f t="shared" si="185"/>
        <v>0</v>
      </c>
      <c r="I371" s="322">
        <f t="shared" si="185"/>
        <v>0</v>
      </c>
      <c r="J371" s="322">
        <f t="shared" si="185"/>
        <v>0</v>
      </c>
      <c r="K371" s="322">
        <f t="shared" si="185"/>
        <v>0</v>
      </c>
      <c r="L371" s="322">
        <f t="shared" si="185"/>
        <v>0</v>
      </c>
      <c r="M371" s="322">
        <f t="shared" si="185"/>
        <v>0</v>
      </c>
      <c r="N371" s="322">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Q371"/>
  <sheetViews>
    <sheetView showGridLines="0" workbookViewId="0"/>
  </sheetViews>
  <sheetFormatPr defaultColWidth="9.140625" defaultRowHeight="12.75"/>
  <cols>
    <col min="1" max="1" width="9.140625" style="302"/>
    <col min="2" max="2" width="28.7109375" style="302" customWidth="1"/>
    <col min="3" max="3" width="9.5703125" style="302" customWidth="1"/>
    <col min="4" max="4" width="9.85546875" style="302" customWidth="1"/>
    <col min="5" max="5" width="9" style="302" customWidth="1"/>
    <col min="6" max="6" width="9.28515625" style="302" customWidth="1"/>
    <col min="7" max="7" width="8.7109375" style="302" customWidth="1"/>
    <col min="8" max="8" width="9.28515625" style="302" customWidth="1"/>
    <col min="9" max="9" width="8.5703125" style="302" customWidth="1"/>
    <col min="10" max="10" width="9.28515625" style="302" customWidth="1"/>
    <col min="11" max="11" width="9.140625" style="302" customWidth="1"/>
    <col min="12" max="13" width="9.140625" style="302"/>
    <col min="14" max="14" width="8.855468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272</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Forecast_stock_figures!B21</f>
        <v>Computing</v>
      </c>
      <c r="C15" s="300">
        <f>Forecast_stock_figures!C45</f>
        <v>7004.0673985680132</v>
      </c>
      <c r="D15" s="300">
        <f>Forecast_stock_figures!D45</f>
        <v>6886.2117410603414</v>
      </c>
      <c r="E15" s="300">
        <f>Forecast_stock_figures!E45</f>
        <v>6858.8559812158583</v>
      </c>
      <c r="F15" s="300">
        <f>Forecast_stock_figures!F45</f>
        <v>6873.8926369224801</v>
      </c>
      <c r="G15" s="300">
        <f>Forecast_stock_figures!G45</f>
        <v>6881.6845608980666</v>
      </c>
      <c r="H15" s="300">
        <f>Forecast_stock_figures!H45</f>
        <v>6879.4126362278994</v>
      </c>
      <c r="I15" s="300">
        <f>Forecast_stock_figures!I45</f>
        <v>6866.6071292678153</v>
      </c>
      <c r="J15" s="300">
        <f>Forecast_stock_figures!J45</f>
        <v>6890.5558365845072</v>
      </c>
      <c r="K15" s="300">
        <f>Forecast_stock_figures!K45</f>
        <v>6940.5384940871572</v>
      </c>
      <c r="L15" s="300">
        <f>Forecast_stock_figures!L45</f>
        <v>6958.6896565772204</v>
      </c>
      <c r="M15" s="300">
        <f>Forecast_stock_figures!M45</f>
        <v>6956.2019716804443</v>
      </c>
      <c r="N15" s="300">
        <f>Forecast_stock_figures!N45</f>
        <v>6955.3875819762616</v>
      </c>
    </row>
    <row r="17" spans="1:9" ht="15.75">
      <c r="B17" s="333" t="s">
        <v>162</v>
      </c>
    </row>
    <row r="19" spans="1:9">
      <c r="B19" s="1327" t="str">
        <f>Stock_ages_breakdowns!B73</f>
        <v>Age group</v>
      </c>
      <c r="C19" s="1328" t="str">
        <f>Stock_ages_breakdowns!M73</f>
        <v>Computing</v>
      </c>
      <c r="D19" s="1329"/>
      <c r="H19" s="318" t="s">
        <v>133</v>
      </c>
    </row>
    <row r="20" spans="1:9">
      <c r="B20" s="1327"/>
      <c r="C20" s="356" t="str">
        <f>Stock_ages_breakdowns!M74</f>
        <v>Male</v>
      </c>
      <c r="D20" s="356" t="str">
        <f>Stock_ages_breakdowns!N74</f>
        <v>Female</v>
      </c>
    </row>
    <row r="21" spans="1:9">
      <c r="B21" s="356" t="str">
        <f>Stock_ages_breakdowns!B75</f>
        <v>20-24</v>
      </c>
      <c r="C21" s="324">
        <f>Stock_ages_breakdowns!M20</f>
        <v>108.51949494053673</v>
      </c>
      <c r="D21" s="324">
        <f>Stock_ages_breakdowns!N20</f>
        <v>78.119662251245785</v>
      </c>
    </row>
    <row r="22" spans="1:9">
      <c r="B22" s="356" t="str">
        <f>Stock_ages_breakdowns!B76</f>
        <v>25-29</v>
      </c>
      <c r="C22" s="324">
        <f>Stock_ages_breakdowns!M21</f>
        <v>436.00987561629023</v>
      </c>
      <c r="D22" s="324">
        <f>Stock_ages_breakdowns!N21</f>
        <v>300.26165993771946</v>
      </c>
    </row>
    <row r="23" spans="1:9">
      <c r="B23" s="356" t="str">
        <f>Stock_ages_breakdowns!B77</f>
        <v>30-34</v>
      </c>
      <c r="C23" s="324">
        <f>Stock_ages_breakdowns!M22</f>
        <v>834.25969563369597</v>
      </c>
      <c r="D23" s="324">
        <f>Stock_ages_breakdowns!N22</f>
        <v>504.67926389915948</v>
      </c>
    </row>
    <row r="24" spans="1:9">
      <c r="B24" s="356" t="str">
        <f>Stock_ages_breakdowns!B78</f>
        <v>35-39</v>
      </c>
      <c r="C24" s="324">
        <f>Stock_ages_breakdowns!M23</f>
        <v>813.27410154969914</v>
      </c>
      <c r="D24" s="324">
        <f>Stock_ages_breakdowns!N23</f>
        <v>565.03649509767331</v>
      </c>
    </row>
    <row r="25" spans="1:9">
      <c r="B25" s="356" t="str">
        <f>Stock_ages_breakdowns!B79</f>
        <v>40-44</v>
      </c>
      <c r="C25" s="324">
        <f>Stock_ages_breakdowns!M24</f>
        <v>642.29931649340267</v>
      </c>
      <c r="D25" s="324">
        <f>Stock_ages_breakdowns!N24</f>
        <v>446.21689220939857</v>
      </c>
    </row>
    <row r="26" spans="1:9">
      <c r="B26" s="356" t="str">
        <f>Stock_ages_breakdowns!B80</f>
        <v>45-49</v>
      </c>
      <c r="C26" s="324">
        <f>Stock_ages_breakdowns!M25</f>
        <v>603.38612927587928</v>
      </c>
      <c r="D26" s="324">
        <f>Stock_ages_breakdowns!N25</f>
        <v>383.30515416126099</v>
      </c>
    </row>
    <row r="27" spans="1:9">
      <c r="B27" s="356" t="str">
        <f>Stock_ages_breakdowns!B81</f>
        <v>50-54</v>
      </c>
      <c r="C27" s="324">
        <f>Stock_ages_breakdowns!M26</f>
        <v>416.48971963098029</v>
      </c>
      <c r="D27" s="324">
        <f>Stock_ages_breakdowns!N26</f>
        <v>326.55646418253292</v>
      </c>
    </row>
    <row r="28" spans="1:9">
      <c r="B28" s="356" t="str">
        <f>Stock_ages_breakdowns!B82</f>
        <v>55-59</v>
      </c>
      <c r="C28" s="324">
        <f>Stock_ages_breakdowns!M27</f>
        <v>252.93321445813257</v>
      </c>
      <c r="D28" s="324">
        <f>Stock_ages_breakdowns!N27</f>
        <v>173.00577815891646</v>
      </c>
    </row>
    <row r="29" spans="1:9">
      <c r="B29" s="356" t="str">
        <f>Stock_ages_breakdowns!B83</f>
        <v>60-64</v>
      </c>
      <c r="C29" s="324">
        <f>Stock_ages_breakdowns!M28</f>
        <v>59.56745615762317</v>
      </c>
      <c r="D29" s="324">
        <f>Stock_ages_breakdowns!N28</f>
        <v>44.116237230323527</v>
      </c>
      <c r="F29" s="318"/>
    </row>
    <row r="30" spans="1:9">
      <c r="B30" s="356" t="str">
        <f>Stock_ages_breakdowns!B84</f>
        <v>65 plus</v>
      </c>
      <c r="C30" s="324">
        <f>Stock_ages_breakdowns!M29</f>
        <v>10.584386923166369</v>
      </c>
      <c r="D30" s="324">
        <f>Stock_ages_breakdowns!N29</f>
        <v>5.446400760376263</v>
      </c>
      <c r="G30" s="319" t="s">
        <v>46</v>
      </c>
      <c r="H30" s="319" t="s">
        <v>47</v>
      </c>
    </row>
    <row r="31" spans="1:9">
      <c r="A31" s="302">
        <f>I31</f>
        <v>0</v>
      </c>
      <c r="B31" s="356" t="str">
        <f>Stock_ages_breakdowns!B85</f>
        <v>Total</v>
      </c>
      <c r="C31" s="324">
        <f>Stock_ages_breakdowns!M30</f>
        <v>4177.3233906794067</v>
      </c>
      <c r="D31" s="324">
        <f>Stock_ages_breakdowns!N30</f>
        <v>2826.7440078886066</v>
      </c>
      <c r="E31" s="320">
        <f>SUM(C31:D31)</f>
        <v>7004.0673985680132</v>
      </c>
      <c r="G31" s="359">
        <f>C31/$E$31</f>
        <v>0.59641393392837194</v>
      </c>
      <c r="H31" s="359">
        <f>D31/$E$31</f>
        <v>0.40358606607162811</v>
      </c>
      <c r="I31" s="302">
        <f>(G31+H31)-1</f>
        <v>0</v>
      </c>
    </row>
    <row r="33" spans="2:15" ht="15.75">
      <c r="B33" s="333" t="s">
        <v>263</v>
      </c>
      <c r="H33" s="318"/>
    </row>
    <row r="34" spans="2:15">
      <c r="H34" s="318"/>
    </row>
    <row r="35" spans="2:15">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5">
      <c r="B36" s="319" t="str">
        <f>B15</f>
        <v>Computing</v>
      </c>
      <c r="C36" s="300">
        <f>Teacher_need_by_subject!C628</f>
        <v>6886.2117410603414</v>
      </c>
      <c r="D36" s="300">
        <f>Teacher_need_by_subject!D628</f>
        <v>6858.8559812158583</v>
      </c>
      <c r="E36" s="300">
        <f>Teacher_need_by_subject!E628</f>
        <v>6873.8926369224801</v>
      </c>
      <c r="F36" s="300">
        <f>Teacher_need_by_subject!F628</f>
        <v>6881.6845608980666</v>
      </c>
      <c r="G36" s="300">
        <f>Teacher_need_by_subject!G628</f>
        <v>6879.4126362278994</v>
      </c>
      <c r="H36" s="300">
        <f>Teacher_need_by_subject!H628</f>
        <v>6866.6071292678153</v>
      </c>
      <c r="I36" s="300">
        <f>Teacher_need_by_subject!I628</f>
        <v>6890.5558365845072</v>
      </c>
      <c r="J36" s="300">
        <f>Teacher_need_by_subject!J628</f>
        <v>6940.5384940871572</v>
      </c>
      <c r="K36" s="300">
        <f>Teacher_need_by_subject!K628</f>
        <v>6958.6896565772204</v>
      </c>
      <c r="L36" s="300">
        <f>Teacher_need_by_subject!L628</f>
        <v>6956.2019716804443</v>
      </c>
      <c r="M36" s="300">
        <f>Teacher_need_by_subject!M628</f>
        <v>6955.3875819762616</v>
      </c>
      <c r="N36" s="300">
        <f>Teacher_need_by_subject!N628</f>
        <v>6947.8634032138971</v>
      </c>
    </row>
    <row r="37" spans="2:15">
      <c r="H37" s="318"/>
    </row>
    <row r="38" spans="2:15" ht="15.75">
      <c r="B38" s="333" t="s">
        <v>170</v>
      </c>
      <c r="H38" s="318"/>
    </row>
    <row r="39" spans="2:15">
      <c r="H39" s="318"/>
    </row>
    <row r="40" spans="2:15">
      <c r="B40" s="334" t="s">
        <v>46</v>
      </c>
      <c r="H40" s="318"/>
    </row>
    <row r="41" spans="2:15">
      <c r="H41" s="318"/>
    </row>
    <row r="42" spans="2:15">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5">
      <c r="B43" s="356" t="str">
        <f>B21</f>
        <v>20-24</v>
      </c>
      <c r="C43" s="300">
        <f>C21</f>
        <v>108.51949494053673</v>
      </c>
      <c r="D43" s="300">
        <f>C340</f>
        <v>182.10730788549841</v>
      </c>
      <c r="E43" s="300">
        <f t="shared" ref="E43:L43" si="2">D340</f>
        <v>242.13768031042613</v>
      </c>
      <c r="F43" s="300">
        <f t="shared" si="2"/>
        <v>290.24175954446707</v>
      </c>
      <c r="G43" s="300">
        <f t="shared" si="2"/>
        <v>321.71377671404042</v>
      </c>
      <c r="H43" s="300">
        <f t="shared" si="2"/>
        <v>341.4292756407969</v>
      </c>
      <c r="I43" s="300">
        <f t="shared" si="2"/>
        <v>352.99829168951629</v>
      </c>
      <c r="J43" s="300">
        <f t="shared" si="2"/>
        <v>366.14792922718209</v>
      </c>
      <c r="K43" s="300">
        <f t="shared" si="2"/>
        <v>379.36640540676069</v>
      </c>
      <c r="L43" s="300">
        <f t="shared" si="2"/>
        <v>384.21965609336883</v>
      </c>
      <c r="M43" s="300">
        <f>L340</f>
        <v>384.57993597686618</v>
      </c>
      <c r="N43" s="300">
        <f>M340</f>
        <v>384.95092344851003</v>
      </c>
      <c r="O43" s="320"/>
    </row>
    <row r="44" spans="2:15">
      <c r="B44" s="356" t="str">
        <f t="shared" ref="B44:C53" si="3">B22</f>
        <v>25-29</v>
      </c>
      <c r="C44" s="300">
        <f t="shared" si="3"/>
        <v>436.00987561629023</v>
      </c>
      <c r="D44" s="300">
        <f t="shared" ref="D44:L53" si="4">C341</f>
        <v>435.01881573937806</v>
      </c>
      <c r="E44" s="300">
        <f t="shared" si="4"/>
        <v>460.2050827288399</v>
      </c>
      <c r="F44" s="300">
        <f t="shared" si="4"/>
        <v>496.36819262271626</v>
      </c>
      <c r="G44" s="300">
        <f t="shared" si="4"/>
        <v>530.20707622267423</v>
      </c>
      <c r="H44" s="300">
        <f t="shared" si="4"/>
        <v>558.30709995386201</v>
      </c>
      <c r="I44" s="300">
        <f t="shared" si="4"/>
        <v>579.9156191676193</v>
      </c>
      <c r="J44" s="300">
        <f t="shared" si="4"/>
        <v>602.6514967507278</v>
      </c>
      <c r="K44" s="300">
        <f t="shared" si="4"/>
        <v>625.45998749258126</v>
      </c>
      <c r="L44" s="300">
        <f t="shared" si="4"/>
        <v>639.74588034705357</v>
      </c>
      <c r="M44" s="300">
        <f t="shared" ref="M44:M53" si="5">L341</f>
        <v>647.65404201147169</v>
      </c>
      <c r="N44" s="300">
        <f t="shared" ref="N44:N53" si="6">M341</f>
        <v>653.35810613273247</v>
      </c>
      <c r="O44" s="320"/>
    </row>
    <row r="45" spans="2:15">
      <c r="B45" s="356" t="str">
        <f t="shared" si="3"/>
        <v>30-34</v>
      </c>
      <c r="C45" s="300">
        <f t="shared" si="3"/>
        <v>834.25969563369597</v>
      </c>
      <c r="D45" s="300">
        <f t="shared" si="4"/>
        <v>740.02504911116512</v>
      </c>
      <c r="E45" s="300">
        <f t="shared" si="4"/>
        <v>679.43948709480333</v>
      </c>
      <c r="F45" s="300">
        <f t="shared" si="4"/>
        <v>642.81677756990211</v>
      </c>
      <c r="G45" s="300">
        <f t="shared" si="4"/>
        <v>623.54288302881605</v>
      </c>
      <c r="H45" s="300">
        <f t="shared" si="4"/>
        <v>615.23079484183927</v>
      </c>
      <c r="I45" s="300">
        <f t="shared" si="4"/>
        <v>613.61190862394324</v>
      </c>
      <c r="J45" s="300">
        <f t="shared" si="4"/>
        <v>619.18224562016394</v>
      </c>
      <c r="K45" s="300">
        <f t="shared" si="4"/>
        <v>629.68722016035952</v>
      </c>
      <c r="L45" s="300">
        <f t="shared" si="4"/>
        <v>639.52465416505993</v>
      </c>
      <c r="M45" s="300">
        <f t="shared" si="5"/>
        <v>647.83140930318132</v>
      </c>
      <c r="N45" s="300">
        <f t="shared" si="6"/>
        <v>655.36698367919348</v>
      </c>
      <c r="O45" s="320"/>
    </row>
    <row r="46" spans="2:15">
      <c r="B46" s="356" t="str">
        <f t="shared" si="3"/>
        <v>35-39</v>
      </c>
      <c r="C46" s="300">
        <f t="shared" si="3"/>
        <v>813.27410154969914</v>
      </c>
      <c r="D46" s="300">
        <f t="shared" si="4"/>
        <v>784.80613364663361</v>
      </c>
      <c r="E46" s="300">
        <f t="shared" si="4"/>
        <v>753.68980406999549</v>
      </c>
      <c r="F46" s="300">
        <f t="shared" si="4"/>
        <v>721.2643230329079</v>
      </c>
      <c r="G46" s="300">
        <f t="shared" si="4"/>
        <v>691.96894768420009</v>
      </c>
      <c r="H46" s="300">
        <f t="shared" si="4"/>
        <v>666.78379446542579</v>
      </c>
      <c r="I46" s="300">
        <f t="shared" si="4"/>
        <v>646.42010569685942</v>
      </c>
      <c r="J46" s="300">
        <f t="shared" si="4"/>
        <v>633.40037883844445</v>
      </c>
      <c r="K46" s="300">
        <f t="shared" si="4"/>
        <v>626.67217269789535</v>
      </c>
      <c r="L46" s="300">
        <f t="shared" si="4"/>
        <v>622.24600441558789</v>
      </c>
      <c r="M46" s="300">
        <f t="shared" si="5"/>
        <v>619.74820095588973</v>
      </c>
      <c r="N46" s="300">
        <f t="shared" si="6"/>
        <v>619.49251347550478</v>
      </c>
      <c r="O46" s="320"/>
    </row>
    <row r="47" spans="2:15">
      <c r="B47" s="356" t="str">
        <f t="shared" si="3"/>
        <v>40-44</v>
      </c>
      <c r="C47" s="300">
        <f t="shared" si="3"/>
        <v>642.29931649340267</v>
      </c>
      <c r="D47" s="300">
        <f t="shared" si="4"/>
        <v>657.31667183172431</v>
      </c>
      <c r="E47" s="300">
        <f t="shared" si="4"/>
        <v>668.6799651078552</v>
      </c>
      <c r="F47" s="300">
        <f t="shared" si="4"/>
        <v>672.54382387985311</v>
      </c>
      <c r="G47" s="300">
        <f t="shared" si="4"/>
        <v>670.22369592496636</v>
      </c>
      <c r="H47" s="300">
        <f t="shared" si="4"/>
        <v>662.83336984242897</v>
      </c>
      <c r="I47" s="300">
        <f t="shared" si="4"/>
        <v>652.32474819053789</v>
      </c>
      <c r="J47" s="300">
        <f t="shared" si="4"/>
        <v>642.65498234445272</v>
      </c>
      <c r="K47" s="300">
        <f t="shared" si="4"/>
        <v>634.63939417540325</v>
      </c>
      <c r="L47" s="300">
        <f t="shared" si="4"/>
        <v>626.2675641235063</v>
      </c>
      <c r="M47" s="300">
        <f t="shared" si="5"/>
        <v>618.37799558517872</v>
      </c>
      <c r="N47" s="300">
        <f t="shared" si="6"/>
        <v>612.15733497516067</v>
      </c>
      <c r="O47" s="320"/>
    </row>
    <row r="48" spans="2:15">
      <c r="B48" s="356" t="str">
        <f t="shared" si="3"/>
        <v>45-49</v>
      </c>
      <c r="C48" s="300">
        <f t="shared" si="3"/>
        <v>603.38612927587928</v>
      </c>
      <c r="D48" s="300">
        <f t="shared" si="4"/>
        <v>577.25261848708976</v>
      </c>
      <c r="E48" s="300">
        <f t="shared" si="4"/>
        <v>566.23397021763105</v>
      </c>
      <c r="F48" s="300">
        <f t="shared" si="4"/>
        <v>560.79906331375491</v>
      </c>
      <c r="G48" s="300">
        <f t="shared" si="4"/>
        <v>558.50682892158511</v>
      </c>
      <c r="H48" s="300">
        <f t="shared" si="4"/>
        <v>556.20439238847268</v>
      </c>
      <c r="I48" s="300">
        <f t="shared" si="4"/>
        <v>552.86738294511804</v>
      </c>
      <c r="J48" s="300">
        <f t="shared" si="4"/>
        <v>550.03674124789177</v>
      </c>
      <c r="K48" s="300">
        <f t="shared" si="4"/>
        <v>547.46790038041433</v>
      </c>
      <c r="L48" s="300">
        <f t="shared" si="4"/>
        <v>543.1835525649019</v>
      </c>
      <c r="M48" s="300">
        <f t="shared" si="5"/>
        <v>537.86045641652277</v>
      </c>
      <c r="N48" s="300">
        <f t="shared" si="6"/>
        <v>532.65050601212056</v>
      </c>
      <c r="O48" s="320"/>
    </row>
    <row r="49" spans="1:15">
      <c r="B49" s="356" t="str">
        <f t="shared" si="3"/>
        <v>50-54</v>
      </c>
      <c r="C49" s="300">
        <f t="shared" si="3"/>
        <v>416.48971963098029</v>
      </c>
      <c r="D49" s="300">
        <f t="shared" si="4"/>
        <v>415.11757872172848</v>
      </c>
      <c r="E49" s="300">
        <f t="shared" si="4"/>
        <v>413.43357582010429</v>
      </c>
      <c r="F49" s="300">
        <f t="shared" si="4"/>
        <v>410.60817453592608</v>
      </c>
      <c r="G49" s="300">
        <f t="shared" si="4"/>
        <v>408.41883386886997</v>
      </c>
      <c r="H49" s="300">
        <f t="shared" si="4"/>
        <v>406.32258279181525</v>
      </c>
      <c r="I49" s="300">
        <f t="shared" si="4"/>
        <v>404.20338731946197</v>
      </c>
      <c r="J49" s="300">
        <f t="shared" si="4"/>
        <v>403.23016566608987</v>
      </c>
      <c r="K49" s="300">
        <f t="shared" si="4"/>
        <v>402.95410323523032</v>
      </c>
      <c r="L49" s="300">
        <f t="shared" si="4"/>
        <v>401.57719750807735</v>
      </c>
      <c r="M49" s="300">
        <f t="shared" si="5"/>
        <v>399.32854586125603</v>
      </c>
      <c r="N49" s="300">
        <f t="shared" si="6"/>
        <v>396.86635663655778</v>
      </c>
      <c r="O49" s="320"/>
    </row>
    <row r="50" spans="1:15">
      <c r="B50" s="356" t="str">
        <f t="shared" si="3"/>
        <v>55-59</v>
      </c>
      <c r="C50" s="300">
        <f t="shared" si="3"/>
        <v>252.93321445813257</v>
      </c>
      <c r="D50" s="300">
        <f t="shared" si="4"/>
        <v>222.42067033442868</v>
      </c>
      <c r="E50" s="300">
        <f t="shared" si="4"/>
        <v>206.48512139705076</v>
      </c>
      <c r="F50" s="300">
        <f t="shared" si="4"/>
        <v>197.48973575771257</v>
      </c>
      <c r="G50" s="300">
        <f t="shared" si="4"/>
        <v>192.06676373629267</v>
      </c>
      <c r="H50" s="300">
        <f t="shared" si="4"/>
        <v>188.46108254677344</v>
      </c>
      <c r="I50" s="300">
        <f t="shared" si="4"/>
        <v>185.87618157263415</v>
      </c>
      <c r="J50" s="300">
        <f t="shared" si="4"/>
        <v>184.75447742726868</v>
      </c>
      <c r="K50" s="300">
        <f t="shared" si="4"/>
        <v>184.53454863161252</v>
      </c>
      <c r="L50" s="300">
        <f t="shared" si="4"/>
        <v>183.88692473543094</v>
      </c>
      <c r="M50" s="300">
        <f t="shared" si="5"/>
        <v>182.95244096891298</v>
      </c>
      <c r="N50" s="300">
        <f t="shared" si="6"/>
        <v>182.09409258887089</v>
      </c>
      <c r="O50" s="320"/>
    </row>
    <row r="51" spans="1:15">
      <c r="B51" s="356" t="str">
        <f t="shared" si="3"/>
        <v>60-64</v>
      </c>
      <c r="C51" s="300">
        <f t="shared" si="3"/>
        <v>59.56745615762317</v>
      </c>
      <c r="D51" s="300">
        <f t="shared" si="4"/>
        <v>67.551039199333189</v>
      </c>
      <c r="E51" s="300">
        <f t="shared" si="4"/>
        <v>68.711195585589238</v>
      </c>
      <c r="F51" s="300">
        <f t="shared" si="4"/>
        <v>67.677934304881433</v>
      </c>
      <c r="G51" s="300">
        <f t="shared" si="4"/>
        <v>66.154722271031872</v>
      </c>
      <c r="H51" s="300">
        <f t="shared" si="4"/>
        <v>64.67680878130858</v>
      </c>
      <c r="I51" s="300">
        <f t="shared" si="4"/>
        <v>63.416902694903037</v>
      </c>
      <c r="J51" s="300">
        <f t="shared" si="4"/>
        <v>62.833808271641296</v>
      </c>
      <c r="K51" s="300">
        <f t="shared" si="4"/>
        <v>62.702915876078947</v>
      </c>
      <c r="L51" s="300">
        <f t="shared" si="4"/>
        <v>62.367159467637499</v>
      </c>
      <c r="M51" s="300">
        <f t="shared" si="5"/>
        <v>61.940995630247649</v>
      </c>
      <c r="N51" s="300">
        <f t="shared" si="6"/>
        <v>61.62426339461669</v>
      </c>
      <c r="O51" s="320"/>
    </row>
    <row r="52" spans="1:15">
      <c r="B52" s="356" t="str">
        <f t="shared" si="3"/>
        <v>65 plus</v>
      </c>
      <c r="C52" s="300">
        <f t="shared" si="3"/>
        <v>10.584386923166369</v>
      </c>
      <c r="D52" s="300">
        <f t="shared" si="4"/>
        <v>15.027481648802331</v>
      </c>
      <c r="E52" s="300">
        <f t="shared" si="4"/>
        <v>18.822020928226173</v>
      </c>
      <c r="F52" s="300">
        <f t="shared" si="4"/>
        <v>21.193795086776849</v>
      </c>
      <c r="G52" s="300">
        <f t="shared" si="4"/>
        <v>22.497962302554594</v>
      </c>
      <c r="H52" s="300">
        <f t="shared" si="4"/>
        <v>23.054905494065942</v>
      </c>
      <c r="I52" s="300">
        <f t="shared" si="4"/>
        <v>23.17906478567679</v>
      </c>
      <c r="J52" s="300">
        <f t="shared" si="4"/>
        <v>23.213074835982511</v>
      </c>
      <c r="K52" s="300">
        <f t="shared" si="4"/>
        <v>23.254410219246878</v>
      </c>
      <c r="L52" s="300">
        <f t="shared" si="4"/>
        <v>23.189625899087339</v>
      </c>
      <c r="M52" s="300">
        <f t="shared" si="5"/>
        <v>23.059380409689169</v>
      </c>
      <c r="N52" s="300">
        <f t="shared" si="6"/>
        <v>22.938144523804052</v>
      </c>
      <c r="O52" s="320"/>
    </row>
    <row r="53" spans="1:15">
      <c r="B53" s="356" t="str">
        <f t="shared" si="3"/>
        <v>Total</v>
      </c>
      <c r="C53" s="300">
        <f t="shared" si="3"/>
        <v>4177.3233906794067</v>
      </c>
      <c r="D53" s="300">
        <f t="shared" si="4"/>
        <v>4096.6433666057819</v>
      </c>
      <c r="E53" s="300">
        <f t="shared" si="4"/>
        <v>4077.8379032605221</v>
      </c>
      <c r="F53" s="300">
        <f t="shared" si="4"/>
        <v>4081.0035796488983</v>
      </c>
      <c r="G53" s="300">
        <f t="shared" si="4"/>
        <v>4085.3014906750313</v>
      </c>
      <c r="H53" s="300">
        <f t="shared" si="4"/>
        <v>4083.3041067467889</v>
      </c>
      <c r="I53" s="300">
        <f t="shared" si="4"/>
        <v>4074.8135926862701</v>
      </c>
      <c r="J53" s="300">
        <f t="shared" si="4"/>
        <v>4088.1053002298445</v>
      </c>
      <c r="K53" s="300">
        <f t="shared" si="4"/>
        <v>4116.7390582755825</v>
      </c>
      <c r="L53" s="300">
        <f t="shared" si="4"/>
        <v>4126.2082193197111</v>
      </c>
      <c r="M53" s="300">
        <f t="shared" si="5"/>
        <v>4123.3334031192153</v>
      </c>
      <c r="N53" s="300">
        <f t="shared" si="6"/>
        <v>4121.4992248670715</v>
      </c>
      <c r="O53" s="320"/>
    </row>
    <row r="54" spans="1:15">
      <c r="A54" s="302">
        <f>SUM(C54:N54)</f>
        <v>0</v>
      </c>
      <c r="C54" s="302">
        <f>SUM(C43:C52)-C53</f>
        <v>0</v>
      </c>
      <c r="D54" s="302">
        <f t="shared" ref="D54:N54" si="7">SUM(D43:D52)-D53</f>
        <v>0</v>
      </c>
      <c r="E54" s="302">
        <f t="shared" si="7"/>
        <v>0</v>
      </c>
      <c r="F54" s="302">
        <f t="shared" si="7"/>
        <v>0</v>
      </c>
      <c r="G54" s="302">
        <f t="shared" si="7"/>
        <v>0</v>
      </c>
      <c r="H54" s="302">
        <f t="shared" si="7"/>
        <v>0</v>
      </c>
      <c r="I54" s="302">
        <f t="shared" si="7"/>
        <v>0</v>
      </c>
      <c r="J54" s="302">
        <f t="shared" si="7"/>
        <v>0</v>
      </c>
      <c r="K54" s="302">
        <f t="shared" si="7"/>
        <v>0</v>
      </c>
      <c r="L54" s="302">
        <f t="shared" si="7"/>
        <v>0</v>
      </c>
      <c r="M54" s="302">
        <f t="shared" si="7"/>
        <v>0</v>
      </c>
      <c r="N54" s="302">
        <f t="shared" si="7"/>
        <v>0</v>
      </c>
    </row>
    <row r="56" spans="1:15">
      <c r="B56" s="334" t="s">
        <v>47</v>
      </c>
      <c r="H56" s="318"/>
    </row>
    <row r="57" spans="1:15">
      <c r="H57" s="318"/>
    </row>
    <row r="58" spans="1:15">
      <c r="B58" s="331" t="str">
        <f t="shared" ref="B58:B69" si="8">B42</f>
        <v>Age group</v>
      </c>
      <c r="C58" s="331" t="str">
        <f t="shared" ref="C58:N58" si="9">C42</f>
        <v>2017/18</v>
      </c>
      <c r="D58" s="331" t="str">
        <f t="shared" si="9"/>
        <v>2018/19</v>
      </c>
      <c r="E58" s="331" t="str">
        <f t="shared" si="9"/>
        <v>2019/20</v>
      </c>
      <c r="F58" s="331" t="str">
        <f t="shared" si="9"/>
        <v>2020/21</v>
      </c>
      <c r="G58" s="331" t="str">
        <f t="shared" si="9"/>
        <v>2021/22</v>
      </c>
      <c r="H58" s="331" t="str">
        <f t="shared" si="9"/>
        <v>2022/23</v>
      </c>
      <c r="I58" s="331" t="str">
        <f t="shared" si="9"/>
        <v>2023/24</v>
      </c>
      <c r="J58" s="331" t="str">
        <f t="shared" si="9"/>
        <v>2024/25</v>
      </c>
      <c r="K58" s="331" t="str">
        <f t="shared" si="9"/>
        <v>2025/26</v>
      </c>
      <c r="L58" s="331" t="str">
        <f t="shared" si="9"/>
        <v>2026/27</v>
      </c>
      <c r="M58" s="331" t="str">
        <f t="shared" si="9"/>
        <v>2027/28</v>
      </c>
      <c r="N58" s="331" t="str">
        <f t="shared" si="9"/>
        <v>2028/29</v>
      </c>
    </row>
    <row r="59" spans="1:15">
      <c r="B59" s="331" t="str">
        <f t="shared" si="8"/>
        <v>20-24</v>
      </c>
      <c r="C59" s="300">
        <f t="shared" ref="C59:C69" si="10">D21</f>
        <v>78.119662251245785</v>
      </c>
      <c r="D59" s="300">
        <f>C356</f>
        <v>128.72295888915244</v>
      </c>
      <c r="E59" s="300">
        <f t="shared" ref="E59:L59" si="11">D356</f>
        <v>170.72183634716049</v>
      </c>
      <c r="F59" s="300">
        <f t="shared" si="11"/>
        <v>205.78376033813998</v>
      </c>
      <c r="G59" s="300">
        <f t="shared" si="11"/>
        <v>228.86614285563746</v>
      </c>
      <c r="H59" s="300">
        <f t="shared" si="11"/>
        <v>243.94048250993558</v>
      </c>
      <c r="I59" s="300">
        <f t="shared" si="11"/>
        <v>253.27242830985477</v>
      </c>
      <c r="J59" s="300">
        <f t="shared" si="11"/>
        <v>263.38333344642729</v>
      </c>
      <c r="K59" s="300">
        <f t="shared" si="11"/>
        <v>273.36938367338337</v>
      </c>
      <c r="L59" s="300">
        <f t="shared" si="11"/>
        <v>277.57940550651847</v>
      </c>
      <c r="M59" s="300">
        <f>L356</f>
        <v>278.53259295365456</v>
      </c>
      <c r="N59" s="300">
        <f>M356</f>
        <v>279.27172316610103</v>
      </c>
    </row>
    <row r="60" spans="1:15">
      <c r="B60" s="331" t="str">
        <f t="shared" si="8"/>
        <v>25-29</v>
      </c>
      <c r="C60" s="300">
        <f t="shared" si="10"/>
        <v>300.26165993771946</v>
      </c>
      <c r="D60" s="300">
        <f t="shared" ref="D60:K69" si="12">C357</f>
        <v>303.02380428193578</v>
      </c>
      <c r="E60" s="300">
        <f t="shared" si="12"/>
        <v>321.40032531552174</v>
      </c>
      <c r="F60" s="300">
        <f t="shared" si="12"/>
        <v>348.08537239596973</v>
      </c>
      <c r="G60" s="300">
        <f t="shared" si="12"/>
        <v>372.09998941076168</v>
      </c>
      <c r="H60" s="300">
        <f t="shared" si="12"/>
        <v>392.44053020928106</v>
      </c>
      <c r="I60" s="300">
        <f t="shared" si="12"/>
        <v>408.47952927632923</v>
      </c>
      <c r="J60" s="300">
        <f t="shared" si="12"/>
        <v>425.2590238012283</v>
      </c>
      <c r="K60" s="300">
        <f t="shared" si="12"/>
        <v>442.02899291796768</v>
      </c>
      <c r="L60" s="300">
        <f t="shared" ref="L60:L69" si="13">K357</f>
        <v>452.96084452400277</v>
      </c>
      <c r="M60" s="300">
        <f t="shared" ref="M60:M69" si="14">L357</f>
        <v>459.44928729550645</v>
      </c>
      <c r="N60" s="300">
        <f t="shared" ref="N60:N69" si="15">M357</f>
        <v>464.27769915731847</v>
      </c>
    </row>
    <row r="61" spans="1:15">
      <c r="B61" s="331" t="str">
        <f t="shared" si="8"/>
        <v>30-34</v>
      </c>
      <c r="C61" s="300">
        <f t="shared" si="10"/>
        <v>504.67926389915948</v>
      </c>
      <c r="D61" s="300">
        <f t="shared" si="12"/>
        <v>458.60957156845808</v>
      </c>
      <c r="E61" s="300">
        <f t="shared" si="12"/>
        <v>429.2933859519095</v>
      </c>
      <c r="F61" s="300">
        <f t="shared" si="12"/>
        <v>414.13608752878429</v>
      </c>
      <c r="G61" s="300">
        <f t="shared" si="12"/>
        <v>407.25749718306946</v>
      </c>
      <c r="H61" s="300">
        <f t="shared" si="12"/>
        <v>406.31413291635965</v>
      </c>
      <c r="I61" s="300">
        <f t="shared" si="12"/>
        <v>408.84389105818531</v>
      </c>
      <c r="J61" s="300">
        <f t="shared" si="12"/>
        <v>415.47979844108977</v>
      </c>
      <c r="K61" s="300">
        <f t="shared" si="12"/>
        <v>424.88486376333515</v>
      </c>
      <c r="L61" s="300">
        <f t="shared" si="13"/>
        <v>433.40391942574865</v>
      </c>
      <c r="M61" s="300">
        <f t="shared" si="14"/>
        <v>440.56719681839013</v>
      </c>
      <c r="N61" s="300">
        <f t="shared" si="15"/>
        <v>446.96177196148989</v>
      </c>
    </row>
    <row r="62" spans="1:15">
      <c r="B62" s="331" t="str">
        <f t="shared" si="8"/>
        <v>35-39</v>
      </c>
      <c r="C62" s="300">
        <f t="shared" si="10"/>
        <v>565.03649509767331</v>
      </c>
      <c r="D62" s="300">
        <f t="shared" si="12"/>
        <v>533.30014381392255</v>
      </c>
      <c r="E62" s="300">
        <f t="shared" si="12"/>
        <v>504.31213443272378</v>
      </c>
      <c r="F62" s="300">
        <f t="shared" si="12"/>
        <v>479.62615109679768</v>
      </c>
      <c r="G62" s="300">
        <f t="shared" si="12"/>
        <v>458.15840963521424</v>
      </c>
      <c r="H62" s="300">
        <f t="shared" si="12"/>
        <v>441.04663292512697</v>
      </c>
      <c r="I62" s="300">
        <f t="shared" si="12"/>
        <v>428.07283149397989</v>
      </c>
      <c r="J62" s="300">
        <f t="shared" si="12"/>
        <v>420.5125534374136</v>
      </c>
      <c r="K62" s="300">
        <f t="shared" si="12"/>
        <v>417.39326005057751</v>
      </c>
      <c r="L62" s="300">
        <f t="shared" si="13"/>
        <v>415.86038071313993</v>
      </c>
      <c r="M62" s="300">
        <f t="shared" si="14"/>
        <v>415.57386781552776</v>
      </c>
      <c r="N62" s="300">
        <f t="shared" si="15"/>
        <v>416.70346343368658</v>
      </c>
    </row>
    <row r="63" spans="1:15">
      <c r="B63" s="331" t="str">
        <f t="shared" si="8"/>
        <v>40-44</v>
      </c>
      <c r="C63" s="300">
        <f t="shared" si="10"/>
        <v>446.21689220939857</v>
      </c>
      <c r="D63" s="300">
        <f t="shared" si="12"/>
        <v>453.77204370017654</v>
      </c>
      <c r="E63" s="300">
        <f t="shared" si="12"/>
        <v>455.723946201319</v>
      </c>
      <c r="F63" s="300">
        <f t="shared" si="12"/>
        <v>453.36767188908357</v>
      </c>
      <c r="G63" s="300">
        <f t="shared" si="12"/>
        <v>446.4758419559688</v>
      </c>
      <c r="H63" s="300">
        <f t="shared" si="12"/>
        <v>437.34718605390566</v>
      </c>
      <c r="I63" s="300">
        <f t="shared" si="12"/>
        <v>427.28513487792281</v>
      </c>
      <c r="J63" s="300">
        <f t="shared" si="12"/>
        <v>418.81680594096963</v>
      </c>
      <c r="K63" s="300">
        <f t="shared" si="12"/>
        <v>412.28274340961963</v>
      </c>
      <c r="L63" s="300">
        <f t="shared" si="13"/>
        <v>406.11853146987426</v>
      </c>
      <c r="M63" s="300">
        <f t="shared" si="14"/>
        <v>400.72977994093839</v>
      </c>
      <c r="N63" s="300">
        <f t="shared" si="15"/>
        <v>396.78203044949913</v>
      </c>
    </row>
    <row r="64" spans="1:15">
      <c r="B64" s="331" t="str">
        <f t="shared" si="8"/>
        <v>45-49</v>
      </c>
      <c r="C64" s="300">
        <f t="shared" si="10"/>
        <v>383.30515416126099</v>
      </c>
      <c r="D64" s="300">
        <f t="shared" si="12"/>
        <v>377.83718250404081</v>
      </c>
      <c r="E64" s="300">
        <f t="shared" si="12"/>
        <v>377.02165489328991</v>
      </c>
      <c r="F64" s="300">
        <f t="shared" si="12"/>
        <v>377.92467793446747</v>
      </c>
      <c r="G64" s="300">
        <f t="shared" si="12"/>
        <v>377.54127405576173</v>
      </c>
      <c r="H64" s="300">
        <f t="shared" si="12"/>
        <v>375.86177986733372</v>
      </c>
      <c r="I64" s="300">
        <f t="shared" si="12"/>
        <v>372.76601634293661</v>
      </c>
      <c r="J64" s="300">
        <f t="shared" si="12"/>
        <v>369.70599942665024</v>
      </c>
      <c r="K64" s="300">
        <f t="shared" si="12"/>
        <v>366.78783314938602</v>
      </c>
      <c r="L64" s="300">
        <f t="shared" si="13"/>
        <v>362.83121800211774</v>
      </c>
      <c r="M64" s="300">
        <f t="shared" si="14"/>
        <v>358.36751046273474</v>
      </c>
      <c r="N64" s="300">
        <f t="shared" si="15"/>
        <v>354.20121631271996</v>
      </c>
    </row>
    <row r="65" spans="1:15">
      <c r="B65" s="331" t="str">
        <f t="shared" si="8"/>
        <v>50-54</v>
      </c>
      <c r="C65" s="300">
        <f t="shared" si="10"/>
        <v>326.55646418253292</v>
      </c>
      <c r="D65" s="300">
        <f t="shared" si="12"/>
        <v>311.53664969135679</v>
      </c>
      <c r="E65" s="300">
        <f t="shared" si="12"/>
        <v>301.31469172351666</v>
      </c>
      <c r="F65" s="300">
        <f t="shared" si="12"/>
        <v>294.78856553005312</v>
      </c>
      <c r="G65" s="300">
        <f t="shared" si="12"/>
        <v>289.88850458064684</v>
      </c>
      <c r="H65" s="300">
        <f t="shared" si="12"/>
        <v>286.27056150905889</v>
      </c>
      <c r="I65" s="300">
        <f t="shared" si="12"/>
        <v>283.26551038140798</v>
      </c>
      <c r="J65" s="300">
        <f t="shared" si="12"/>
        <v>281.3496604533712</v>
      </c>
      <c r="K65" s="300">
        <f t="shared" si="12"/>
        <v>280.07601740403402</v>
      </c>
      <c r="L65" s="300">
        <f t="shared" si="13"/>
        <v>278.17331069052096</v>
      </c>
      <c r="M65" s="300">
        <f t="shared" si="14"/>
        <v>275.77792555648739</v>
      </c>
      <c r="N65" s="300">
        <f t="shared" si="15"/>
        <v>273.33645436734162</v>
      </c>
    </row>
    <row r="66" spans="1:15">
      <c r="B66" s="331" t="str">
        <f t="shared" si="8"/>
        <v>55-59</v>
      </c>
      <c r="C66" s="300">
        <f t="shared" si="10"/>
        <v>173.00577815891646</v>
      </c>
      <c r="D66" s="300">
        <f t="shared" si="12"/>
        <v>162.98379752914579</v>
      </c>
      <c r="E66" s="300">
        <f t="shared" si="12"/>
        <v>155.55602210158295</v>
      </c>
      <c r="F66" s="300">
        <f t="shared" si="12"/>
        <v>150.18275584516465</v>
      </c>
      <c r="G66" s="300">
        <f t="shared" si="12"/>
        <v>145.75439739221653</v>
      </c>
      <c r="H66" s="300">
        <f t="shared" si="12"/>
        <v>142.27917310890859</v>
      </c>
      <c r="I66" s="300">
        <f t="shared" si="12"/>
        <v>139.53184864928053</v>
      </c>
      <c r="J66" s="300">
        <f t="shared" si="12"/>
        <v>137.90256072791558</v>
      </c>
      <c r="K66" s="300">
        <f t="shared" si="12"/>
        <v>137.02673617016714</v>
      </c>
      <c r="L66" s="300">
        <f t="shared" si="13"/>
        <v>135.98502573827389</v>
      </c>
      <c r="M66" s="300">
        <f t="shared" si="14"/>
        <v>134.83314240893674</v>
      </c>
      <c r="N66" s="300">
        <f t="shared" si="15"/>
        <v>133.7922994724639</v>
      </c>
    </row>
    <row r="67" spans="1:15">
      <c r="B67" s="331" t="str">
        <f t="shared" si="8"/>
        <v>60-64</v>
      </c>
      <c r="C67" s="300">
        <f t="shared" si="10"/>
        <v>44.116237230323527</v>
      </c>
      <c r="D67" s="300">
        <f t="shared" si="12"/>
        <v>49.079753744213562</v>
      </c>
      <c r="E67" s="300">
        <f t="shared" si="12"/>
        <v>50.783859217655468</v>
      </c>
      <c r="F67" s="300">
        <f t="shared" si="12"/>
        <v>51.068452935765876</v>
      </c>
      <c r="G67" s="300">
        <f t="shared" si="12"/>
        <v>50.449521703868193</v>
      </c>
      <c r="H67" s="300">
        <f t="shared" si="12"/>
        <v>49.538647892452133</v>
      </c>
      <c r="I67" s="300">
        <f t="shared" si="12"/>
        <v>48.581471287546975</v>
      </c>
      <c r="J67" s="300">
        <f t="shared" si="12"/>
        <v>47.992876547646446</v>
      </c>
      <c r="K67" s="300">
        <f t="shared" si="12"/>
        <v>47.689594068865738</v>
      </c>
      <c r="L67" s="300">
        <f t="shared" si="13"/>
        <v>47.26072136865514</v>
      </c>
      <c r="M67" s="300">
        <f t="shared" si="14"/>
        <v>46.790363074399863</v>
      </c>
      <c r="N67" s="300">
        <f t="shared" si="15"/>
        <v>46.413303032833625</v>
      </c>
    </row>
    <row r="68" spans="1:15">
      <c r="B68" s="331" t="str">
        <f t="shared" si="8"/>
        <v>65 plus</v>
      </c>
      <c r="C68" s="300">
        <f t="shared" si="10"/>
        <v>5.446400760376263</v>
      </c>
      <c r="D68" s="300">
        <f t="shared" si="12"/>
        <v>10.702468732157074</v>
      </c>
      <c r="E68" s="300">
        <f t="shared" si="12"/>
        <v>14.890221770656952</v>
      </c>
      <c r="F68" s="300">
        <f t="shared" si="12"/>
        <v>17.925561779354915</v>
      </c>
      <c r="G68" s="300">
        <f t="shared" si="12"/>
        <v>19.891491449889717</v>
      </c>
      <c r="H68" s="300">
        <f t="shared" si="12"/>
        <v>21.069402488747702</v>
      </c>
      <c r="I68" s="300">
        <f t="shared" si="12"/>
        <v>21.694874904100363</v>
      </c>
      <c r="J68" s="300">
        <f t="shared" si="12"/>
        <v>22.047924131949109</v>
      </c>
      <c r="K68" s="300">
        <f t="shared" si="12"/>
        <v>22.260011204237042</v>
      </c>
      <c r="L68" s="300">
        <f t="shared" si="13"/>
        <v>22.308079818655973</v>
      </c>
      <c r="M68" s="300">
        <f t="shared" si="14"/>
        <v>22.246902234651124</v>
      </c>
      <c r="N68" s="300">
        <f t="shared" si="15"/>
        <v>22.148395755735038</v>
      </c>
    </row>
    <row r="69" spans="1:15">
      <c r="B69" s="331" t="str">
        <f t="shared" si="8"/>
        <v>Total</v>
      </c>
      <c r="C69" s="300">
        <f t="shared" si="10"/>
        <v>2826.7440078886066</v>
      </c>
      <c r="D69" s="300">
        <f t="shared" si="12"/>
        <v>2789.568374454559</v>
      </c>
      <c r="E69" s="300">
        <f t="shared" si="12"/>
        <v>2781.0180779553361</v>
      </c>
      <c r="F69" s="300">
        <f t="shared" si="12"/>
        <v>2792.8890572735813</v>
      </c>
      <c r="G69" s="300">
        <f t="shared" si="12"/>
        <v>2796.3830702230348</v>
      </c>
      <c r="H69" s="300">
        <f t="shared" si="12"/>
        <v>2796.1085294811101</v>
      </c>
      <c r="I69" s="300">
        <f t="shared" si="12"/>
        <v>2791.7935365815451</v>
      </c>
      <c r="J69" s="300">
        <f t="shared" si="12"/>
        <v>2802.4505363546609</v>
      </c>
      <c r="K69" s="300">
        <f t="shared" si="12"/>
        <v>2823.7994358115734</v>
      </c>
      <c r="L69" s="300">
        <f t="shared" si="13"/>
        <v>2832.4814372575079</v>
      </c>
      <c r="M69" s="300">
        <f t="shared" si="14"/>
        <v>2832.8685685612277</v>
      </c>
      <c r="N69" s="300">
        <f t="shared" si="15"/>
        <v>2833.8883571091892</v>
      </c>
    </row>
    <row r="70" spans="1:15">
      <c r="A70" s="302">
        <f>SUM(C70:N70)</f>
        <v>0</v>
      </c>
      <c r="C70" s="302">
        <f t="shared" ref="C70:N70" si="16">SUM(C59:C68)-C69</f>
        <v>0</v>
      </c>
      <c r="D70" s="302">
        <f t="shared" si="16"/>
        <v>0</v>
      </c>
      <c r="E70" s="302">
        <f t="shared" si="16"/>
        <v>0</v>
      </c>
      <c r="F70" s="302">
        <f t="shared" si="16"/>
        <v>0</v>
      </c>
      <c r="G70" s="302">
        <f t="shared" si="16"/>
        <v>0</v>
      </c>
      <c r="H70" s="302">
        <f t="shared" si="16"/>
        <v>0</v>
      </c>
      <c r="I70" s="302">
        <f t="shared" si="16"/>
        <v>0</v>
      </c>
      <c r="J70" s="302">
        <f t="shared" si="16"/>
        <v>0</v>
      </c>
      <c r="K70" s="302">
        <f t="shared" si="16"/>
        <v>0</v>
      </c>
      <c r="L70" s="302">
        <f t="shared" si="16"/>
        <v>0</v>
      </c>
      <c r="M70" s="302">
        <f t="shared" si="16"/>
        <v>0</v>
      </c>
      <c r="N70" s="302">
        <f t="shared" si="16"/>
        <v>0</v>
      </c>
    </row>
    <row r="72" spans="1:15" ht="15.75">
      <c r="B72" s="333" t="s">
        <v>163</v>
      </c>
      <c r="H72" s="318"/>
    </row>
    <row r="73" spans="1:15">
      <c r="H73" s="318"/>
    </row>
    <row r="74" spans="1:15">
      <c r="B74" s="334" t="s">
        <v>46</v>
      </c>
      <c r="C74" s="256" t="s">
        <v>456</v>
      </c>
      <c r="H74" s="318"/>
    </row>
    <row r="75" spans="1:15">
      <c r="H75" s="318"/>
    </row>
    <row r="76" spans="1:15">
      <c r="B76" s="331" t="str">
        <f t="shared" ref="B76:B87" si="17">B42</f>
        <v>Age group</v>
      </c>
      <c r="C76" s="331" t="str">
        <f t="shared" ref="C76:N76" si="18">C42</f>
        <v>2017/18</v>
      </c>
      <c r="D76" s="331" t="str">
        <f t="shared" si="18"/>
        <v>2018/19</v>
      </c>
      <c r="E76" s="331" t="str">
        <f t="shared" si="18"/>
        <v>2019/20</v>
      </c>
      <c r="F76" s="331" t="str">
        <f t="shared" si="18"/>
        <v>2020/21</v>
      </c>
      <c r="G76" s="331" t="str">
        <f t="shared" si="18"/>
        <v>2021/22</v>
      </c>
      <c r="H76" s="331" t="str">
        <f t="shared" si="18"/>
        <v>2022/23</v>
      </c>
      <c r="I76" s="331" t="str">
        <f t="shared" si="18"/>
        <v>2023/24</v>
      </c>
      <c r="J76" s="331" t="str">
        <f t="shared" si="18"/>
        <v>2024/25</v>
      </c>
      <c r="K76" s="331" t="str">
        <f t="shared" si="18"/>
        <v>2025/26</v>
      </c>
      <c r="L76" s="331" t="str">
        <f t="shared" si="18"/>
        <v>2026/27</v>
      </c>
      <c r="M76" s="331" t="str">
        <f t="shared" si="18"/>
        <v>2027/28</v>
      </c>
      <c r="N76" s="331" t="str">
        <f t="shared" si="18"/>
        <v>2028/29</v>
      </c>
    </row>
    <row r="77" spans="1:15">
      <c r="B77" s="331" t="str">
        <f t="shared" si="17"/>
        <v>20-24</v>
      </c>
      <c r="C77" s="447">
        <f>C43-(0.2*C43)</f>
        <v>86.815595952429391</v>
      </c>
      <c r="D77" s="447">
        <f>D43-(0.2*D43)</f>
        <v>145.68584630839874</v>
      </c>
      <c r="E77" s="447">
        <f t="shared" ref="E77:N77" si="19">E43-(0.2*E43)</f>
        <v>193.7101442483409</v>
      </c>
      <c r="F77" s="447">
        <f t="shared" si="19"/>
        <v>232.19340763557366</v>
      </c>
      <c r="G77" s="447">
        <f t="shared" si="19"/>
        <v>257.37102137123236</v>
      </c>
      <c r="H77" s="447">
        <f t="shared" si="19"/>
        <v>273.14342051263753</v>
      </c>
      <c r="I77" s="447">
        <f t="shared" si="19"/>
        <v>282.39863335161306</v>
      </c>
      <c r="J77" s="447">
        <f t="shared" si="19"/>
        <v>292.91834338174567</v>
      </c>
      <c r="K77" s="447">
        <f t="shared" si="19"/>
        <v>303.49312432540853</v>
      </c>
      <c r="L77" s="447">
        <f t="shared" si="19"/>
        <v>307.37572487469504</v>
      </c>
      <c r="M77" s="447">
        <f t="shared" si="19"/>
        <v>307.66394878149293</v>
      </c>
      <c r="N77" s="447">
        <f t="shared" si="19"/>
        <v>307.96073875880802</v>
      </c>
      <c r="O77" s="320"/>
    </row>
    <row r="78" spans="1:15">
      <c r="B78" s="331" t="str">
        <f t="shared" si="17"/>
        <v>25-29</v>
      </c>
      <c r="C78" s="447">
        <f t="shared" ref="C78:C85" si="20">C44+(0.2*C43)-(0.2*C44)</f>
        <v>370.51179948113952</v>
      </c>
      <c r="D78" s="447">
        <f t="shared" ref="D78:N78" si="21">D44+(0.2*D43)-(0.2*D44)</f>
        <v>384.43651416860212</v>
      </c>
      <c r="E78" s="447">
        <f t="shared" si="21"/>
        <v>416.59160224515711</v>
      </c>
      <c r="F78" s="447">
        <f t="shared" si="21"/>
        <v>455.14290600706647</v>
      </c>
      <c r="G78" s="447">
        <f t="shared" si="21"/>
        <v>488.5084163209475</v>
      </c>
      <c r="H78" s="447">
        <f t="shared" si="21"/>
        <v>514.93153509124897</v>
      </c>
      <c r="I78" s="447">
        <f t="shared" si="21"/>
        <v>534.53215367199869</v>
      </c>
      <c r="J78" s="447">
        <f t="shared" si="21"/>
        <v>555.35078324601864</v>
      </c>
      <c r="K78" s="447">
        <f t="shared" si="21"/>
        <v>576.24127107541722</v>
      </c>
      <c r="L78" s="447">
        <f t="shared" si="21"/>
        <v>588.64063549631669</v>
      </c>
      <c r="M78" s="447">
        <f t="shared" si="21"/>
        <v>595.03922080455061</v>
      </c>
      <c r="N78" s="447">
        <f t="shared" si="21"/>
        <v>599.67666959588792</v>
      </c>
      <c r="O78" s="320"/>
    </row>
    <row r="79" spans="1:15">
      <c r="B79" s="331" t="str">
        <f t="shared" si="17"/>
        <v>30-34</v>
      </c>
      <c r="C79" s="447">
        <f t="shared" si="20"/>
        <v>754.60973163021481</v>
      </c>
      <c r="D79" s="447">
        <f t="shared" ref="D79:N79" si="22">D45+(0.2*D44)-(0.2*D45)</f>
        <v>679.02380243680773</v>
      </c>
      <c r="E79" s="447">
        <f t="shared" si="22"/>
        <v>635.59260622161059</v>
      </c>
      <c r="F79" s="447">
        <f t="shared" si="22"/>
        <v>613.52706058046488</v>
      </c>
      <c r="G79" s="447">
        <f t="shared" si="22"/>
        <v>604.87572166758764</v>
      </c>
      <c r="H79" s="447">
        <f t="shared" si="22"/>
        <v>603.84605586424379</v>
      </c>
      <c r="I79" s="447">
        <f t="shared" si="22"/>
        <v>606.87265073267849</v>
      </c>
      <c r="J79" s="447">
        <f t="shared" si="22"/>
        <v>615.87609584627671</v>
      </c>
      <c r="K79" s="447">
        <f t="shared" si="22"/>
        <v>628.84177362680384</v>
      </c>
      <c r="L79" s="447">
        <f t="shared" si="22"/>
        <v>639.56889940145857</v>
      </c>
      <c r="M79" s="447">
        <f t="shared" si="22"/>
        <v>647.79593584483939</v>
      </c>
      <c r="N79" s="447">
        <f t="shared" si="22"/>
        <v>654.96520816990119</v>
      </c>
      <c r="O79" s="320"/>
    </row>
    <row r="80" spans="1:15">
      <c r="B80" s="331" t="str">
        <f t="shared" si="17"/>
        <v>35-39</v>
      </c>
      <c r="C80" s="447">
        <f t="shared" si="20"/>
        <v>817.47122036649853</v>
      </c>
      <c r="D80" s="447">
        <f t="shared" ref="D80:N80" si="23">D46+(0.2*D45)-(0.2*D46)</f>
        <v>775.84991673953994</v>
      </c>
      <c r="E80" s="447">
        <f t="shared" si="23"/>
        <v>738.83974067495706</v>
      </c>
      <c r="F80" s="447">
        <f t="shared" si="23"/>
        <v>705.57481394030674</v>
      </c>
      <c r="G80" s="447">
        <f t="shared" si="23"/>
        <v>678.28373475312333</v>
      </c>
      <c r="H80" s="447">
        <f t="shared" si="23"/>
        <v>656.4731945407085</v>
      </c>
      <c r="I80" s="447">
        <f t="shared" si="23"/>
        <v>639.85846628227614</v>
      </c>
      <c r="J80" s="447">
        <f t="shared" si="23"/>
        <v>630.55675219478837</v>
      </c>
      <c r="K80" s="447">
        <f t="shared" si="23"/>
        <v>627.27518219038814</v>
      </c>
      <c r="L80" s="447">
        <f t="shared" si="23"/>
        <v>625.70173436548237</v>
      </c>
      <c r="M80" s="447">
        <f t="shared" si="23"/>
        <v>625.36484262534805</v>
      </c>
      <c r="N80" s="447">
        <f t="shared" si="23"/>
        <v>626.66740751624252</v>
      </c>
      <c r="O80" s="320"/>
    </row>
    <row r="81" spans="1:15">
      <c r="B81" s="331" t="str">
        <f t="shared" si="17"/>
        <v>40-44</v>
      </c>
      <c r="C81" s="447">
        <f t="shared" si="20"/>
        <v>676.49427350466203</v>
      </c>
      <c r="D81" s="447">
        <f t="shared" ref="D81:N81" si="24">D47+(0.2*D46)-(0.2*D47)</f>
        <v>682.81456419470624</v>
      </c>
      <c r="E81" s="447">
        <f t="shared" si="24"/>
        <v>685.68193290028319</v>
      </c>
      <c r="F81" s="447">
        <f t="shared" si="24"/>
        <v>682.28792371046416</v>
      </c>
      <c r="G81" s="447">
        <f t="shared" si="24"/>
        <v>674.57274627681306</v>
      </c>
      <c r="H81" s="447">
        <f t="shared" si="24"/>
        <v>663.62345476702831</v>
      </c>
      <c r="I81" s="447">
        <f t="shared" si="24"/>
        <v>651.14381969180226</v>
      </c>
      <c r="J81" s="447">
        <f t="shared" si="24"/>
        <v>640.80406164325109</v>
      </c>
      <c r="K81" s="447">
        <f t="shared" si="24"/>
        <v>633.04594987990163</v>
      </c>
      <c r="L81" s="447">
        <f t="shared" si="24"/>
        <v>625.4632521819226</v>
      </c>
      <c r="M81" s="447">
        <f t="shared" si="24"/>
        <v>618.65203665932097</v>
      </c>
      <c r="N81" s="447">
        <f t="shared" si="24"/>
        <v>613.62437067522956</v>
      </c>
      <c r="O81" s="320"/>
    </row>
    <row r="82" spans="1:15">
      <c r="B82" s="331" t="str">
        <f t="shared" si="17"/>
        <v>45-49</v>
      </c>
      <c r="C82" s="447">
        <f t="shared" si="20"/>
        <v>611.16876671938405</v>
      </c>
      <c r="D82" s="447">
        <f t="shared" ref="D82:N82" si="25">D48+(0.2*D47)-(0.2*D48)</f>
        <v>593.26542915601658</v>
      </c>
      <c r="E82" s="447">
        <f t="shared" si="25"/>
        <v>586.72316919567584</v>
      </c>
      <c r="F82" s="447">
        <f t="shared" si="25"/>
        <v>583.14801542697455</v>
      </c>
      <c r="G82" s="447">
        <f t="shared" si="25"/>
        <v>580.85020232226134</v>
      </c>
      <c r="H82" s="447">
        <f t="shared" si="25"/>
        <v>577.53018787926396</v>
      </c>
      <c r="I82" s="447">
        <f t="shared" si="25"/>
        <v>572.75885599420201</v>
      </c>
      <c r="J82" s="447">
        <f t="shared" si="25"/>
        <v>568.56038946720389</v>
      </c>
      <c r="K82" s="447">
        <f t="shared" si="25"/>
        <v>564.90219913941201</v>
      </c>
      <c r="L82" s="447">
        <f t="shared" si="25"/>
        <v>559.80035487662281</v>
      </c>
      <c r="M82" s="447">
        <f t="shared" si="25"/>
        <v>553.96396425025398</v>
      </c>
      <c r="N82" s="447">
        <f t="shared" si="25"/>
        <v>548.55187180472853</v>
      </c>
      <c r="O82" s="320"/>
    </row>
    <row r="83" spans="1:15">
      <c r="B83" s="331" t="str">
        <f t="shared" si="17"/>
        <v>50-54</v>
      </c>
      <c r="C83" s="447">
        <f t="shared" si="20"/>
        <v>453.86900155996005</v>
      </c>
      <c r="D83" s="447">
        <f t="shared" ref="D83:N83" si="26">D49+(0.2*D48)-(0.2*D49)</f>
        <v>447.54458667480083</v>
      </c>
      <c r="E83" s="447">
        <f t="shared" si="26"/>
        <v>443.99365469960964</v>
      </c>
      <c r="F83" s="447">
        <f t="shared" si="26"/>
        <v>440.64635229149178</v>
      </c>
      <c r="G83" s="447">
        <f t="shared" si="26"/>
        <v>438.43643287941302</v>
      </c>
      <c r="H83" s="447">
        <f t="shared" si="26"/>
        <v>436.29894471114676</v>
      </c>
      <c r="I83" s="447">
        <f t="shared" si="26"/>
        <v>433.93618644459315</v>
      </c>
      <c r="J83" s="447">
        <f t="shared" si="26"/>
        <v>432.59148078245028</v>
      </c>
      <c r="K83" s="447">
        <f t="shared" si="26"/>
        <v>431.85686266426711</v>
      </c>
      <c r="L83" s="447">
        <f t="shared" si="26"/>
        <v>429.89846851944225</v>
      </c>
      <c r="M83" s="447">
        <f t="shared" si="26"/>
        <v>427.03492797230939</v>
      </c>
      <c r="N83" s="447">
        <f t="shared" si="26"/>
        <v>424.02318651167036</v>
      </c>
      <c r="O83" s="320"/>
    </row>
    <row r="84" spans="1:15">
      <c r="B84" s="331" t="str">
        <f t="shared" si="17"/>
        <v>55-59</v>
      </c>
      <c r="C84" s="447">
        <f t="shared" si="20"/>
        <v>285.64451549270211</v>
      </c>
      <c r="D84" s="447">
        <f t="shared" ref="D84:N84" si="27">D50+(0.2*D49)-(0.2*D50)</f>
        <v>260.96005201188859</v>
      </c>
      <c r="E84" s="447">
        <f t="shared" si="27"/>
        <v>247.87481228166149</v>
      </c>
      <c r="F84" s="447">
        <f t="shared" si="27"/>
        <v>240.11342351335526</v>
      </c>
      <c r="G84" s="447">
        <f t="shared" si="27"/>
        <v>235.33717776280812</v>
      </c>
      <c r="H84" s="447">
        <f t="shared" si="27"/>
        <v>232.0333825957818</v>
      </c>
      <c r="I84" s="447">
        <f t="shared" si="27"/>
        <v>229.54162272199972</v>
      </c>
      <c r="J84" s="447">
        <f t="shared" si="27"/>
        <v>228.44961507503294</v>
      </c>
      <c r="K84" s="447">
        <f t="shared" si="27"/>
        <v>228.21845955233607</v>
      </c>
      <c r="L84" s="447">
        <f t="shared" si="27"/>
        <v>227.42497928996022</v>
      </c>
      <c r="M84" s="447">
        <f t="shared" si="27"/>
        <v>226.22766194738162</v>
      </c>
      <c r="N84" s="447">
        <f t="shared" si="27"/>
        <v>225.04854539840824</v>
      </c>
      <c r="O84" s="320"/>
    </row>
    <row r="85" spans="1:15">
      <c r="B85" s="331" t="str">
        <f t="shared" si="17"/>
        <v>60-64</v>
      </c>
      <c r="C85" s="447">
        <f t="shared" si="20"/>
        <v>98.240607817725049</v>
      </c>
      <c r="D85" s="447">
        <f t="shared" ref="D85:N85" si="28">D51+(0.2*D50)-(0.2*D51)</f>
        <v>98.524965426352281</v>
      </c>
      <c r="E85" s="447">
        <f t="shared" si="28"/>
        <v>96.265980747881542</v>
      </c>
      <c r="F85" s="447">
        <f t="shared" si="28"/>
        <v>93.640294595447671</v>
      </c>
      <c r="G85" s="447">
        <f t="shared" si="28"/>
        <v>91.337130564084035</v>
      </c>
      <c r="H85" s="447">
        <f t="shared" si="28"/>
        <v>89.43366353440156</v>
      </c>
      <c r="I85" s="447">
        <f t="shared" si="28"/>
        <v>87.908758470449271</v>
      </c>
      <c r="J85" s="447">
        <f t="shared" si="28"/>
        <v>87.21794210276677</v>
      </c>
      <c r="K85" s="447">
        <f t="shared" si="28"/>
        <v>87.069242427185671</v>
      </c>
      <c r="L85" s="447">
        <f t="shared" si="28"/>
        <v>86.671112521196193</v>
      </c>
      <c r="M85" s="447">
        <f t="shared" si="28"/>
        <v>86.143284697980718</v>
      </c>
      <c r="N85" s="447">
        <f t="shared" si="28"/>
        <v>85.71822923346754</v>
      </c>
      <c r="O85" s="320"/>
    </row>
    <row r="86" spans="1:15">
      <c r="B86" s="331" t="str">
        <f t="shared" si="17"/>
        <v>65 plus</v>
      </c>
      <c r="C86" s="447">
        <f>C52+(0.2*C51)</f>
        <v>22.497878154691001</v>
      </c>
      <c r="D86" s="447">
        <f t="shared" ref="D86:N86" si="29">D52+(0.2*D51)</f>
        <v>28.537689488668967</v>
      </c>
      <c r="E86" s="447">
        <f t="shared" si="29"/>
        <v>32.564260045344021</v>
      </c>
      <c r="F86" s="447">
        <f t="shared" si="29"/>
        <v>34.72938194775314</v>
      </c>
      <c r="G86" s="447">
        <f t="shared" si="29"/>
        <v>35.728906756760971</v>
      </c>
      <c r="H86" s="447">
        <f t="shared" si="29"/>
        <v>35.990267250327662</v>
      </c>
      <c r="I86" s="447">
        <f t="shared" si="29"/>
        <v>35.862445324657401</v>
      </c>
      <c r="J86" s="447">
        <f t="shared" si="29"/>
        <v>35.779836490310771</v>
      </c>
      <c r="K86" s="447">
        <f t="shared" si="29"/>
        <v>35.794993394462665</v>
      </c>
      <c r="L86" s="447">
        <f t="shared" si="29"/>
        <v>35.663057792614836</v>
      </c>
      <c r="M86" s="447">
        <f t="shared" si="29"/>
        <v>35.447579535738697</v>
      </c>
      <c r="N86" s="447">
        <f t="shared" si="29"/>
        <v>35.262997202727391</v>
      </c>
      <c r="O86" s="320"/>
    </row>
    <row r="87" spans="1:15">
      <c r="B87" s="331" t="str">
        <f t="shared" si="17"/>
        <v>Total</v>
      </c>
      <c r="C87" s="447">
        <f>SUM(C77:C86)</f>
        <v>4177.3233906794067</v>
      </c>
      <c r="D87" s="447">
        <f t="shared" ref="D87:N87" si="30">SUM(D77:D86)</f>
        <v>4096.6433666057819</v>
      </c>
      <c r="E87" s="447">
        <f t="shared" si="30"/>
        <v>4077.8379032605212</v>
      </c>
      <c r="F87" s="447">
        <f t="shared" si="30"/>
        <v>4081.0035796488992</v>
      </c>
      <c r="G87" s="447">
        <f t="shared" si="30"/>
        <v>4085.3014906750313</v>
      </c>
      <c r="H87" s="447">
        <f t="shared" si="30"/>
        <v>4083.3041067467889</v>
      </c>
      <c r="I87" s="447">
        <f t="shared" si="30"/>
        <v>4074.813592686271</v>
      </c>
      <c r="J87" s="447">
        <f t="shared" si="30"/>
        <v>4088.1053002298445</v>
      </c>
      <c r="K87" s="447">
        <f t="shared" si="30"/>
        <v>4116.7390582755825</v>
      </c>
      <c r="L87" s="447">
        <f t="shared" si="30"/>
        <v>4126.208219319712</v>
      </c>
      <c r="M87" s="447">
        <f t="shared" si="30"/>
        <v>4123.3334031192162</v>
      </c>
      <c r="N87" s="447">
        <f t="shared" si="30"/>
        <v>4121.4992248670706</v>
      </c>
      <c r="O87" s="320"/>
    </row>
    <row r="88" spans="1:15">
      <c r="A88" s="302">
        <f>SUM(C88:N88)</f>
        <v>0</v>
      </c>
      <c r="C88" s="302">
        <f t="shared" ref="C88:N88" si="31">SUM(C77:C86)-C87</f>
        <v>0</v>
      </c>
      <c r="D88" s="302">
        <f t="shared" si="31"/>
        <v>0</v>
      </c>
      <c r="E88" s="302">
        <f t="shared" si="31"/>
        <v>0</v>
      </c>
      <c r="F88" s="302">
        <f t="shared" si="31"/>
        <v>0</v>
      </c>
      <c r="G88" s="302">
        <f t="shared" si="31"/>
        <v>0</v>
      </c>
      <c r="H88" s="302">
        <f t="shared" si="31"/>
        <v>0</v>
      </c>
      <c r="I88" s="302">
        <f t="shared" si="31"/>
        <v>0</v>
      </c>
      <c r="J88" s="302">
        <f t="shared" si="31"/>
        <v>0</v>
      </c>
      <c r="K88" s="302">
        <f t="shared" si="31"/>
        <v>0</v>
      </c>
      <c r="L88" s="302">
        <f t="shared" si="31"/>
        <v>0</v>
      </c>
      <c r="M88" s="302">
        <f t="shared" si="31"/>
        <v>0</v>
      </c>
      <c r="N88" s="302">
        <f t="shared" si="31"/>
        <v>0</v>
      </c>
    </row>
    <row r="90" spans="1:15">
      <c r="B90" s="334" t="s">
        <v>47</v>
      </c>
      <c r="H90" s="318"/>
    </row>
    <row r="91" spans="1:15">
      <c r="H91" s="318"/>
    </row>
    <row r="92" spans="1:15">
      <c r="B92" s="331" t="str">
        <f t="shared" ref="B92:B103" si="32">B76</f>
        <v>Age group</v>
      </c>
      <c r="C92" s="331" t="str">
        <f t="shared" ref="C92:N92" si="33">C76</f>
        <v>2017/18</v>
      </c>
      <c r="D92" s="331" t="str">
        <f t="shared" si="33"/>
        <v>2018/19</v>
      </c>
      <c r="E92" s="331" t="str">
        <f t="shared" si="33"/>
        <v>2019/20</v>
      </c>
      <c r="F92" s="331" t="str">
        <f t="shared" si="33"/>
        <v>2020/21</v>
      </c>
      <c r="G92" s="331" t="str">
        <f t="shared" si="33"/>
        <v>2021/22</v>
      </c>
      <c r="H92" s="331" t="str">
        <f t="shared" si="33"/>
        <v>2022/23</v>
      </c>
      <c r="I92" s="331" t="str">
        <f t="shared" si="33"/>
        <v>2023/24</v>
      </c>
      <c r="J92" s="331" t="str">
        <f t="shared" si="33"/>
        <v>2024/25</v>
      </c>
      <c r="K92" s="331" t="str">
        <f t="shared" si="33"/>
        <v>2025/26</v>
      </c>
      <c r="L92" s="331" t="str">
        <f t="shared" si="33"/>
        <v>2026/27</v>
      </c>
      <c r="M92" s="331" t="str">
        <f t="shared" si="33"/>
        <v>2027/28</v>
      </c>
      <c r="N92" s="331" t="str">
        <f t="shared" si="33"/>
        <v>2028/29</v>
      </c>
    </row>
    <row r="93" spans="1:15">
      <c r="B93" s="331" t="str">
        <f t="shared" si="32"/>
        <v>20-24</v>
      </c>
      <c r="C93" s="447">
        <f>C59-(0.2*C59)</f>
        <v>62.495729800996628</v>
      </c>
      <c r="D93" s="447">
        <f t="shared" ref="D93:N93" si="34">D59-(0.2*D59)</f>
        <v>102.97836711132194</v>
      </c>
      <c r="E93" s="447">
        <f t="shared" si="34"/>
        <v>136.57746907772838</v>
      </c>
      <c r="F93" s="447">
        <f t="shared" si="34"/>
        <v>164.62700827051199</v>
      </c>
      <c r="G93" s="447">
        <f t="shared" si="34"/>
        <v>183.09291428450996</v>
      </c>
      <c r="H93" s="447">
        <f t="shared" si="34"/>
        <v>195.15238600794845</v>
      </c>
      <c r="I93" s="447">
        <f t="shared" si="34"/>
        <v>202.61794264788381</v>
      </c>
      <c r="J93" s="447">
        <f t="shared" si="34"/>
        <v>210.70666675714182</v>
      </c>
      <c r="K93" s="447">
        <f t="shared" si="34"/>
        <v>218.6955069387067</v>
      </c>
      <c r="L93" s="447">
        <f t="shared" si="34"/>
        <v>222.06352440521476</v>
      </c>
      <c r="M93" s="447">
        <f t="shared" si="34"/>
        <v>222.82607436292363</v>
      </c>
      <c r="N93" s="447">
        <f t="shared" si="34"/>
        <v>223.41737853288083</v>
      </c>
      <c r="O93" s="320"/>
    </row>
    <row r="94" spans="1:15">
      <c r="B94" s="331" t="str">
        <f t="shared" si="32"/>
        <v>25-29</v>
      </c>
      <c r="C94" s="447">
        <f t="shared" ref="C94:C101" si="35">C60+(0.2*C59)-(0.2*C60)</f>
        <v>255.83326040042471</v>
      </c>
      <c r="D94" s="447">
        <f t="shared" ref="D94:N94" si="36">D60+(0.2*D59)-(0.2*D60)</f>
        <v>268.1636352033791</v>
      </c>
      <c r="E94" s="447">
        <f t="shared" si="36"/>
        <v>291.26462752184949</v>
      </c>
      <c r="F94" s="447">
        <f t="shared" si="36"/>
        <v>319.6250499844038</v>
      </c>
      <c r="G94" s="447">
        <f t="shared" si="36"/>
        <v>343.45322009973682</v>
      </c>
      <c r="H94" s="447">
        <f t="shared" si="36"/>
        <v>362.74052066941198</v>
      </c>
      <c r="I94" s="447">
        <f t="shared" si="36"/>
        <v>377.43810908303436</v>
      </c>
      <c r="J94" s="447">
        <f t="shared" si="36"/>
        <v>392.8838857302681</v>
      </c>
      <c r="K94" s="447">
        <f t="shared" si="36"/>
        <v>408.29707106905084</v>
      </c>
      <c r="L94" s="447">
        <f t="shared" si="36"/>
        <v>417.88455672050588</v>
      </c>
      <c r="M94" s="447">
        <f t="shared" si="36"/>
        <v>423.26594842713604</v>
      </c>
      <c r="N94" s="447">
        <f t="shared" si="36"/>
        <v>427.27650395907494</v>
      </c>
      <c r="O94" s="320"/>
    </row>
    <row r="95" spans="1:15">
      <c r="B95" s="331" t="str">
        <f t="shared" si="32"/>
        <v>30-34</v>
      </c>
      <c r="C95" s="447">
        <f t="shared" si="35"/>
        <v>463.7957431068715</v>
      </c>
      <c r="D95" s="447">
        <f t="shared" ref="D95:N95" si="37">D61+(0.2*D60)-(0.2*D61)</f>
        <v>427.4924181111536</v>
      </c>
      <c r="E95" s="447">
        <f t="shared" si="37"/>
        <v>407.71477382463195</v>
      </c>
      <c r="F95" s="447">
        <f t="shared" si="37"/>
        <v>400.92594450222134</v>
      </c>
      <c r="G95" s="447">
        <f t="shared" si="37"/>
        <v>400.2259956286079</v>
      </c>
      <c r="H95" s="447">
        <f t="shared" si="37"/>
        <v>403.53941237494394</v>
      </c>
      <c r="I95" s="447">
        <f t="shared" si="37"/>
        <v>408.77101870181406</v>
      </c>
      <c r="J95" s="447">
        <f t="shared" si="37"/>
        <v>417.4356435131175</v>
      </c>
      <c r="K95" s="447">
        <f t="shared" si="37"/>
        <v>428.31368959426163</v>
      </c>
      <c r="L95" s="447">
        <f t="shared" si="37"/>
        <v>437.31530444539953</v>
      </c>
      <c r="M95" s="447">
        <f t="shared" si="37"/>
        <v>444.34361491381344</v>
      </c>
      <c r="N95" s="447">
        <f t="shared" si="37"/>
        <v>450.42495740065556</v>
      </c>
      <c r="O95" s="320"/>
    </row>
    <row r="96" spans="1:15">
      <c r="B96" s="331" t="str">
        <f t="shared" si="32"/>
        <v>35-39</v>
      </c>
      <c r="C96" s="447">
        <f t="shared" si="35"/>
        <v>552.96504885797049</v>
      </c>
      <c r="D96" s="447">
        <f t="shared" ref="D96:N96" si="38">D62+(0.2*D61)-(0.2*D62)</f>
        <v>518.3620293648296</v>
      </c>
      <c r="E96" s="447">
        <f t="shared" si="38"/>
        <v>489.30838473656092</v>
      </c>
      <c r="F96" s="447">
        <f t="shared" si="38"/>
        <v>466.52813838319497</v>
      </c>
      <c r="G96" s="447">
        <f t="shared" si="38"/>
        <v>447.97822714478531</v>
      </c>
      <c r="H96" s="447">
        <f t="shared" si="38"/>
        <v>434.10013292337356</v>
      </c>
      <c r="I96" s="447">
        <f t="shared" si="38"/>
        <v>424.227043406821</v>
      </c>
      <c r="J96" s="447">
        <f t="shared" si="38"/>
        <v>419.50600243814887</v>
      </c>
      <c r="K96" s="447">
        <f t="shared" si="38"/>
        <v>418.89158079312904</v>
      </c>
      <c r="L96" s="447">
        <f t="shared" si="38"/>
        <v>419.36908845566171</v>
      </c>
      <c r="M96" s="447">
        <f t="shared" si="38"/>
        <v>420.57253361610026</v>
      </c>
      <c r="N96" s="447">
        <f t="shared" si="38"/>
        <v>422.75512513924724</v>
      </c>
      <c r="O96" s="320"/>
    </row>
    <row r="97" spans="1:15">
      <c r="B97" s="331" t="str">
        <f t="shared" si="32"/>
        <v>40-44</v>
      </c>
      <c r="C97" s="447">
        <f t="shared" si="35"/>
        <v>469.98081278705354</v>
      </c>
      <c r="D97" s="447">
        <f t="shared" ref="D97:N97" si="39">D63+(0.2*D62)-(0.2*D63)</f>
        <v>469.67766372292573</v>
      </c>
      <c r="E97" s="447">
        <f t="shared" si="39"/>
        <v>465.44158384759999</v>
      </c>
      <c r="F97" s="447">
        <f t="shared" si="39"/>
        <v>458.61936773062632</v>
      </c>
      <c r="G97" s="447">
        <f t="shared" si="39"/>
        <v>448.81235549181793</v>
      </c>
      <c r="H97" s="447">
        <f t="shared" si="39"/>
        <v>438.08707542814989</v>
      </c>
      <c r="I97" s="447">
        <f t="shared" si="39"/>
        <v>427.4426742011342</v>
      </c>
      <c r="J97" s="447">
        <f t="shared" si="39"/>
        <v>419.15595544025842</v>
      </c>
      <c r="K97" s="447">
        <f t="shared" si="39"/>
        <v>413.3048467378112</v>
      </c>
      <c r="L97" s="447">
        <f t="shared" si="39"/>
        <v>408.06690131852736</v>
      </c>
      <c r="M97" s="447">
        <f t="shared" si="39"/>
        <v>403.69859751585625</v>
      </c>
      <c r="N97" s="447">
        <f t="shared" si="39"/>
        <v>400.76631704633661</v>
      </c>
      <c r="O97" s="320"/>
    </row>
    <row r="98" spans="1:15">
      <c r="B98" s="331" t="str">
        <f t="shared" si="32"/>
        <v>45-49</v>
      </c>
      <c r="C98" s="447">
        <f t="shared" si="35"/>
        <v>395.88750177088849</v>
      </c>
      <c r="D98" s="447">
        <f t="shared" ref="D98:N98" si="40">D64+(0.2*D63)-(0.2*D64)</f>
        <v>393.02415474326796</v>
      </c>
      <c r="E98" s="447">
        <f t="shared" si="40"/>
        <v>392.7621131548957</v>
      </c>
      <c r="F98" s="447">
        <f t="shared" si="40"/>
        <v>393.01327672539071</v>
      </c>
      <c r="G98" s="447">
        <f t="shared" si="40"/>
        <v>391.32818763580315</v>
      </c>
      <c r="H98" s="447">
        <f t="shared" si="40"/>
        <v>388.15886110464805</v>
      </c>
      <c r="I98" s="447">
        <f t="shared" si="40"/>
        <v>383.66984004993384</v>
      </c>
      <c r="J98" s="447">
        <f t="shared" si="40"/>
        <v>379.52816072951413</v>
      </c>
      <c r="K98" s="447">
        <f t="shared" si="40"/>
        <v>375.88681520143274</v>
      </c>
      <c r="L98" s="447">
        <f t="shared" si="40"/>
        <v>371.48868069566907</v>
      </c>
      <c r="M98" s="447">
        <f t="shared" si="40"/>
        <v>366.83996435837548</v>
      </c>
      <c r="N98" s="447">
        <f t="shared" si="40"/>
        <v>362.71737914007582</v>
      </c>
      <c r="O98" s="320"/>
    </row>
    <row r="99" spans="1:15">
      <c r="B99" s="331" t="str">
        <f t="shared" si="32"/>
        <v>50-54</v>
      </c>
      <c r="C99" s="447">
        <f t="shared" si="35"/>
        <v>337.90620217827853</v>
      </c>
      <c r="D99" s="447">
        <f t="shared" ref="D99:N99" si="41">D65+(0.2*D64)-(0.2*D65)</f>
        <v>324.79675625389359</v>
      </c>
      <c r="E99" s="447">
        <f t="shared" si="41"/>
        <v>316.4560843574713</v>
      </c>
      <c r="F99" s="447">
        <f t="shared" si="41"/>
        <v>311.41578801093601</v>
      </c>
      <c r="G99" s="447">
        <f t="shared" si="41"/>
        <v>307.41905847566983</v>
      </c>
      <c r="H99" s="447">
        <f t="shared" si="41"/>
        <v>304.18880518071387</v>
      </c>
      <c r="I99" s="447">
        <f t="shared" si="41"/>
        <v>301.1656115737137</v>
      </c>
      <c r="J99" s="447">
        <f t="shared" si="41"/>
        <v>299.02092824802696</v>
      </c>
      <c r="K99" s="447">
        <f t="shared" si="41"/>
        <v>297.41838055310444</v>
      </c>
      <c r="L99" s="447">
        <f t="shared" si="41"/>
        <v>295.10489215284031</v>
      </c>
      <c r="M99" s="447">
        <f t="shared" si="41"/>
        <v>292.29584253773692</v>
      </c>
      <c r="N99" s="447">
        <f t="shared" si="41"/>
        <v>289.50940675641726</v>
      </c>
      <c r="O99" s="320"/>
    </row>
    <row r="100" spans="1:15">
      <c r="B100" s="331" t="str">
        <f t="shared" si="32"/>
        <v>55-59</v>
      </c>
      <c r="C100" s="447">
        <f t="shared" si="35"/>
        <v>203.71591536363974</v>
      </c>
      <c r="D100" s="447">
        <f t="shared" ref="D100:N100" si="42">D66+(0.2*D65)-(0.2*D66)</f>
        <v>192.69436796158797</v>
      </c>
      <c r="E100" s="447">
        <f t="shared" si="42"/>
        <v>184.7077560259697</v>
      </c>
      <c r="F100" s="447">
        <f t="shared" si="42"/>
        <v>179.10391778214233</v>
      </c>
      <c r="G100" s="447">
        <f t="shared" si="42"/>
        <v>174.58121882990261</v>
      </c>
      <c r="H100" s="447">
        <f t="shared" si="42"/>
        <v>171.07745078893865</v>
      </c>
      <c r="I100" s="447">
        <f t="shared" si="42"/>
        <v>168.27858099570602</v>
      </c>
      <c r="J100" s="447">
        <f t="shared" si="42"/>
        <v>166.5919806730067</v>
      </c>
      <c r="K100" s="447">
        <f t="shared" si="42"/>
        <v>165.63659241694052</v>
      </c>
      <c r="L100" s="447">
        <f t="shared" si="42"/>
        <v>164.42268272872332</v>
      </c>
      <c r="M100" s="447">
        <f t="shared" si="42"/>
        <v>163.02209903844687</v>
      </c>
      <c r="N100" s="447">
        <f t="shared" si="42"/>
        <v>161.70113045143944</v>
      </c>
      <c r="O100" s="320"/>
    </row>
    <row r="101" spans="1:15">
      <c r="B101" s="331" t="str">
        <f t="shared" si="32"/>
        <v>60-64</v>
      </c>
      <c r="C101" s="447">
        <f t="shared" si="35"/>
        <v>69.894145416042107</v>
      </c>
      <c r="D101" s="447">
        <f t="shared" ref="D101:N101" si="43">D67+(0.2*D66)-(0.2*D67)</f>
        <v>71.860562501200008</v>
      </c>
      <c r="E101" s="447">
        <f t="shared" si="43"/>
        <v>71.738291794440968</v>
      </c>
      <c r="F101" s="447">
        <f t="shared" si="43"/>
        <v>70.891313517645628</v>
      </c>
      <c r="G101" s="447">
        <f t="shared" si="43"/>
        <v>69.510496841537858</v>
      </c>
      <c r="H101" s="447">
        <f t="shared" si="43"/>
        <v>68.086752935743419</v>
      </c>
      <c r="I101" s="447">
        <f t="shared" si="43"/>
        <v>66.771546759893681</v>
      </c>
      <c r="J101" s="447">
        <f t="shared" si="43"/>
        <v>65.974813383700265</v>
      </c>
      <c r="K101" s="447">
        <f t="shared" si="43"/>
        <v>65.557022489126027</v>
      </c>
      <c r="L101" s="447">
        <f t="shared" si="43"/>
        <v>65.005582242578896</v>
      </c>
      <c r="M101" s="447">
        <f t="shared" si="43"/>
        <v>64.398918941307244</v>
      </c>
      <c r="N101" s="447">
        <f t="shared" si="43"/>
        <v>63.889102320759676</v>
      </c>
      <c r="O101" s="320"/>
    </row>
    <row r="102" spans="1:15">
      <c r="B102" s="331" t="str">
        <f t="shared" si="32"/>
        <v>65 plus</v>
      </c>
      <c r="C102" s="447">
        <f>C68+(0.2*C67)</f>
        <v>14.269648206440969</v>
      </c>
      <c r="D102" s="447">
        <f t="shared" ref="D102:N102" si="44">D68+(0.2*D67)</f>
        <v>20.518419480999789</v>
      </c>
      <c r="E102" s="447">
        <f t="shared" si="44"/>
        <v>25.046993614188047</v>
      </c>
      <c r="F102" s="447">
        <f t="shared" si="44"/>
        <v>28.139252366508089</v>
      </c>
      <c r="G102" s="447">
        <f t="shared" si="44"/>
        <v>29.981395790663356</v>
      </c>
      <c r="H102" s="447">
        <f t="shared" si="44"/>
        <v>30.977132067238131</v>
      </c>
      <c r="I102" s="447">
        <f t="shared" si="44"/>
        <v>31.411169161609759</v>
      </c>
      <c r="J102" s="447">
        <f t="shared" si="44"/>
        <v>31.646499441478397</v>
      </c>
      <c r="K102" s="447">
        <f t="shared" si="44"/>
        <v>31.797930018010192</v>
      </c>
      <c r="L102" s="447">
        <f t="shared" si="44"/>
        <v>31.760224092386999</v>
      </c>
      <c r="M102" s="447">
        <f t="shared" si="44"/>
        <v>31.604974849531096</v>
      </c>
      <c r="N102" s="447">
        <f t="shared" si="44"/>
        <v>31.431056362301764</v>
      </c>
      <c r="O102" s="320"/>
    </row>
    <row r="103" spans="1:15">
      <c r="B103" s="331" t="str">
        <f t="shared" si="32"/>
        <v>Total</v>
      </c>
      <c r="C103" s="447">
        <f>SUM(C93:C102)</f>
        <v>2826.744007888607</v>
      </c>
      <c r="D103" s="447">
        <f t="shared" ref="D103:N103" si="45">SUM(D93:D102)</f>
        <v>2789.568374454559</v>
      </c>
      <c r="E103" s="447">
        <f t="shared" si="45"/>
        <v>2781.0180779553361</v>
      </c>
      <c r="F103" s="447">
        <f t="shared" si="45"/>
        <v>2792.8890572735813</v>
      </c>
      <c r="G103" s="447">
        <f t="shared" si="45"/>
        <v>2796.3830702230352</v>
      </c>
      <c r="H103" s="447">
        <f t="shared" si="45"/>
        <v>2796.1085294811101</v>
      </c>
      <c r="I103" s="447">
        <f t="shared" si="45"/>
        <v>2791.7935365815442</v>
      </c>
      <c r="J103" s="447">
        <f t="shared" si="45"/>
        <v>2802.4505363546605</v>
      </c>
      <c r="K103" s="447">
        <f t="shared" si="45"/>
        <v>2823.7994358115729</v>
      </c>
      <c r="L103" s="447">
        <f t="shared" si="45"/>
        <v>2832.4814372575083</v>
      </c>
      <c r="M103" s="447">
        <f t="shared" si="45"/>
        <v>2832.8685685612277</v>
      </c>
      <c r="N103" s="447">
        <f t="shared" si="45"/>
        <v>2833.8883571091892</v>
      </c>
      <c r="O103" s="320"/>
    </row>
    <row r="104" spans="1:15">
      <c r="A104" s="302">
        <f>SUM(C104:N104)</f>
        <v>0</v>
      </c>
      <c r="C104" s="302">
        <f t="shared" ref="C104:N104" si="46">SUM(C93:C102)-C103</f>
        <v>0</v>
      </c>
      <c r="D104" s="302">
        <f t="shared" si="46"/>
        <v>0</v>
      </c>
      <c r="E104" s="302">
        <f t="shared" si="46"/>
        <v>0</v>
      </c>
      <c r="F104" s="302">
        <f t="shared" si="46"/>
        <v>0</v>
      </c>
      <c r="G104" s="302">
        <f t="shared" si="46"/>
        <v>0</v>
      </c>
      <c r="H104" s="302">
        <f t="shared" si="46"/>
        <v>0</v>
      </c>
      <c r="I104" s="302">
        <f t="shared" si="46"/>
        <v>0</v>
      </c>
      <c r="J104" s="302">
        <f t="shared" si="46"/>
        <v>0</v>
      </c>
      <c r="K104" s="302">
        <f t="shared" si="46"/>
        <v>0</v>
      </c>
      <c r="L104" s="302">
        <f t="shared" si="46"/>
        <v>0</v>
      </c>
      <c r="M104" s="302">
        <f t="shared" si="46"/>
        <v>0</v>
      </c>
      <c r="N104" s="302">
        <f t="shared" si="46"/>
        <v>0</v>
      </c>
    </row>
    <row r="106" spans="1:15" ht="15.75">
      <c r="B106" s="333" t="s">
        <v>164</v>
      </c>
      <c r="H106" s="318"/>
    </row>
    <row r="107" spans="1:15">
      <c r="H107" s="318"/>
    </row>
    <row r="108" spans="1:15">
      <c r="B108" s="334" t="s">
        <v>46</v>
      </c>
      <c r="H108" s="318"/>
    </row>
    <row r="109" spans="1:15">
      <c r="H109" s="318"/>
    </row>
    <row r="110" spans="1:15">
      <c r="B110" s="331" t="str">
        <f t="shared" ref="B110:B121" si="47">B76</f>
        <v>Age group</v>
      </c>
      <c r="C110" s="331" t="str">
        <f t="shared" ref="C110:N110" si="48">C76</f>
        <v>2017/18</v>
      </c>
      <c r="D110" s="331" t="str">
        <f t="shared" si="48"/>
        <v>2018/19</v>
      </c>
      <c r="E110" s="331" t="str">
        <f t="shared" si="48"/>
        <v>2019/20</v>
      </c>
      <c r="F110" s="331" t="str">
        <f t="shared" si="48"/>
        <v>2020/21</v>
      </c>
      <c r="G110" s="331" t="str">
        <f t="shared" si="48"/>
        <v>2021/22</v>
      </c>
      <c r="H110" s="331" t="str">
        <f t="shared" si="48"/>
        <v>2022/23</v>
      </c>
      <c r="I110" s="331" t="str">
        <f t="shared" si="48"/>
        <v>2023/24</v>
      </c>
      <c r="J110" s="331" t="str">
        <f t="shared" si="48"/>
        <v>2024/25</v>
      </c>
      <c r="K110" s="331" t="str">
        <f t="shared" si="48"/>
        <v>2025/26</v>
      </c>
      <c r="L110" s="331" t="str">
        <f t="shared" si="48"/>
        <v>2026/27</v>
      </c>
      <c r="M110" s="331" t="str">
        <f t="shared" si="48"/>
        <v>2027/28</v>
      </c>
      <c r="N110" s="331" t="str">
        <f t="shared" si="48"/>
        <v>2028/29</v>
      </c>
    </row>
    <row r="111" spans="1:15">
      <c r="B111" s="331" t="str">
        <f t="shared" si="47"/>
        <v>20-24</v>
      </c>
      <c r="C111" s="447">
        <f>C77*Group_1_rates!E74</f>
        <v>16.003816553094598</v>
      </c>
      <c r="D111" s="447">
        <f>D77*Group_1_rates!F74</f>
        <v>25.890515585427533</v>
      </c>
      <c r="E111" s="447">
        <f>E77*Group_1_rates!G74</f>
        <v>35.717014829275811</v>
      </c>
      <c r="F111" s="447">
        <f>F77*Group_1_rates!H74</f>
        <v>42.008786716226489</v>
      </c>
      <c r="G111" s="447">
        <f>G77*Group_1_rates!I74</f>
        <v>46.56395913139189</v>
      </c>
      <c r="H111" s="447">
        <f>H77*Group_1_rates!J74</f>
        <v>49.417525726074878</v>
      </c>
      <c r="I111" s="447">
        <f>I77*Group_1_rates!K74</f>
        <v>51.091992999392232</v>
      </c>
      <c r="J111" s="447">
        <f>J77*Group_1_rates!L74</f>
        <v>52.995235040036128</v>
      </c>
      <c r="K111" s="447">
        <f>K77*Group_1_rates!M74</f>
        <v>54.908440594650202</v>
      </c>
      <c r="L111" s="447">
        <f>L77*Group_1_rates!N74</f>
        <v>55.610886628928967</v>
      </c>
      <c r="M111" s="447">
        <f>M77*Group_1_rates!O74</f>
        <v>55.66303253931671</v>
      </c>
      <c r="N111" s="447">
        <f>N77*Group_1_rates!P74</f>
        <v>55.716728236294081</v>
      </c>
      <c r="O111" s="320"/>
    </row>
    <row r="112" spans="1:15">
      <c r="B112" s="331" t="str">
        <f t="shared" si="47"/>
        <v>25-29</v>
      </c>
      <c r="C112" s="447">
        <f>C78*Group_1_rates!E75</f>
        <v>49.067768011485128</v>
      </c>
      <c r="D112" s="447">
        <f>D78*Group_1_rates!F75</f>
        <v>49.081340424275432</v>
      </c>
      <c r="E112" s="447">
        <f>E78*Group_1_rates!G75</f>
        <v>55.182547650499409</v>
      </c>
      <c r="F112" s="447">
        <f>F78*Group_1_rates!H75</f>
        <v>59.157045771620488</v>
      </c>
      <c r="G112" s="447">
        <f>G78*Group_1_rates!I75</f>
        <v>63.493716726569069</v>
      </c>
      <c r="H112" s="447">
        <f>H78*Group_1_rates!J75</f>
        <v>66.928052681042715</v>
      </c>
      <c r="I112" s="447">
        <f>I78*Group_1_rates!K75</f>
        <v>69.475636473363721</v>
      </c>
      <c r="J112" s="447">
        <f>J78*Group_1_rates!L75</f>
        <v>72.181530833922182</v>
      </c>
      <c r="K112" s="447">
        <f>K78*Group_1_rates!M75</f>
        <v>74.8967649469988</v>
      </c>
      <c r="L112" s="447">
        <f>L78*Group_1_rates!N75</f>
        <v>76.508368157562217</v>
      </c>
      <c r="M112" s="447">
        <f>M78*Group_1_rates!O75</f>
        <v>77.340022125924719</v>
      </c>
      <c r="N112" s="447">
        <f>N78*Group_1_rates!P75</f>
        <v>77.942772969213536</v>
      </c>
      <c r="O112" s="320"/>
    </row>
    <row r="113" spans="1:15">
      <c r="B113" s="331" t="str">
        <f t="shared" si="47"/>
        <v>30-34</v>
      </c>
      <c r="C113" s="447">
        <f>C79*Group_1_rates!E76</f>
        <v>70.698085462777556</v>
      </c>
      <c r="D113" s="447">
        <f>D79*Group_1_rates!F76</f>
        <v>61.329266967839843</v>
      </c>
      <c r="E113" s="447">
        <f>E79*Group_1_rates!G76</f>
        <v>59.560874236706283</v>
      </c>
      <c r="F113" s="447">
        <f>F79*Group_1_rates!H76</f>
        <v>56.413547899585559</v>
      </c>
      <c r="G113" s="447">
        <f>G79*Group_1_rates!I76</f>
        <v>55.618061027832262</v>
      </c>
      <c r="H113" s="447">
        <f>H79*Group_1_rates!J76</f>
        <v>55.523383702495472</v>
      </c>
      <c r="I113" s="447">
        <f>I79*Group_1_rates!K76</f>
        <v>55.801677791792102</v>
      </c>
      <c r="J113" s="447">
        <f>J79*Group_1_rates!L76</f>
        <v>56.629540676432789</v>
      </c>
      <c r="K113" s="447">
        <f>K79*Group_1_rates!M76</f>
        <v>57.821729141323537</v>
      </c>
      <c r="L113" s="447">
        <f>L79*Group_1_rates!N76</f>
        <v>58.808083717339827</v>
      </c>
      <c r="M113" s="447">
        <f>M79*Group_1_rates!O76</f>
        <v>59.564556160513227</v>
      </c>
      <c r="N113" s="447">
        <f>N79*Group_1_rates!P76</f>
        <v>60.223767650439029</v>
      </c>
      <c r="O113" s="320"/>
    </row>
    <row r="114" spans="1:15">
      <c r="B114" s="331" t="str">
        <f t="shared" si="47"/>
        <v>35-39</v>
      </c>
      <c r="C114" s="447">
        <f>C80*Group_1_rates!E77</f>
        <v>74.037443246593753</v>
      </c>
      <c r="D114" s="447">
        <f>D80*Group_1_rates!F77</f>
        <v>67.741402330848061</v>
      </c>
      <c r="E114" s="447">
        <f>E80*Group_1_rates!G77</f>
        <v>66.930822784199577</v>
      </c>
      <c r="F114" s="447">
        <f>F80*Group_1_rates!H77</f>
        <v>62.717169562002752</v>
      </c>
      <c r="G114" s="447">
        <f>G80*Group_1_rates!I77</f>
        <v>60.291318742081856</v>
      </c>
      <c r="H114" s="447">
        <f>H80*Group_1_rates!J77</f>
        <v>58.352622346299469</v>
      </c>
      <c r="I114" s="447">
        <f>I80*Group_1_rates!K77</f>
        <v>56.875771544906129</v>
      </c>
      <c r="J114" s="447">
        <f>J80*Group_1_rates!L77</f>
        <v>56.048960315088621</v>
      </c>
      <c r="K114" s="447">
        <f>K80*Group_1_rates!M77</f>
        <v>55.757267955427722</v>
      </c>
      <c r="L114" s="447">
        <f>L80*Group_1_rates!N77</f>
        <v>55.617407246000631</v>
      </c>
      <c r="M114" s="447">
        <f>M80*Group_1_rates!O77</f>
        <v>55.58746159605311</v>
      </c>
      <c r="N114" s="447">
        <f>N80*Group_1_rates!P77</f>
        <v>55.703244049612529</v>
      </c>
      <c r="O114" s="320"/>
    </row>
    <row r="115" spans="1:15">
      <c r="B115" s="331" t="str">
        <f t="shared" si="47"/>
        <v>40-44</v>
      </c>
      <c r="C115" s="447">
        <f>C81*Group_1_rates!E78</f>
        <v>54.370001877705569</v>
      </c>
      <c r="D115" s="447">
        <f>D81*Group_1_rates!F78</f>
        <v>52.904854391109161</v>
      </c>
      <c r="E115" s="447">
        <f>E81*Group_1_rates!G78</f>
        <v>55.120723014526874</v>
      </c>
      <c r="F115" s="447">
        <f>F81*Group_1_rates!H78</f>
        <v>53.817974359935384</v>
      </c>
      <c r="G115" s="447">
        <f>G81*Group_1_rates!I78</f>
        <v>53.20941130777328</v>
      </c>
      <c r="H115" s="447">
        <f>H81*Group_1_rates!J78</f>
        <v>52.345745589452406</v>
      </c>
      <c r="I115" s="447">
        <f>I81*Group_1_rates!K78</f>
        <v>51.361368382763224</v>
      </c>
      <c r="J115" s="447">
        <f>J81*Group_1_rates!L78</f>
        <v>50.545781862458632</v>
      </c>
      <c r="K115" s="447">
        <f>K81*Group_1_rates!M78</f>
        <v>49.933832206819361</v>
      </c>
      <c r="L115" s="447">
        <f>L81*Group_1_rates!N78</f>
        <v>49.335718982024616</v>
      </c>
      <c r="M115" s="447">
        <f>M81*Group_1_rates!O78</f>
        <v>48.798459256889977</v>
      </c>
      <c r="N115" s="447">
        <f>N81*Group_1_rates!P78</f>
        <v>48.401883574367751</v>
      </c>
      <c r="O115" s="320"/>
    </row>
    <row r="116" spans="1:15">
      <c r="B116" s="331" t="str">
        <f t="shared" si="47"/>
        <v>45-49</v>
      </c>
      <c r="C116" s="447">
        <f>C82*Group_1_rates!E79</f>
        <v>61.512673561643432</v>
      </c>
      <c r="D116" s="447">
        <f>D82*Group_1_rates!F79</f>
        <v>57.563874486382687</v>
      </c>
      <c r="E116" s="447">
        <f>E82*Group_1_rates!G79</f>
        <v>59.065470242507217</v>
      </c>
      <c r="F116" s="447">
        <f>F82*Group_1_rates!H79</f>
        <v>57.603211002028544</v>
      </c>
      <c r="G116" s="447">
        <f>G82*Group_1_rates!I79</f>
        <v>57.376233614448637</v>
      </c>
      <c r="H116" s="447">
        <f>H82*Group_1_rates!J79</f>
        <v>57.04828344154145</v>
      </c>
      <c r="I116" s="447">
        <f>I82*Group_1_rates!K79</f>
        <v>56.57697250492668</v>
      </c>
      <c r="J116" s="447">
        <f>J82*Group_1_rates!L79</f>
        <v>56.162249061063889</v>
      </c>
      <c r="K116" s="447">
        <f>K82*Group_1_rates!M79</f>
        <v>55.800893961221725</v>
      </c>
      <c r="L116" s="447">
        <f>L82*Group_1_rates!N79</f>
        <v>55.296935096929346</v>
      </c>
      <c r="M116" s="447">
        <f>M82*Group_1_rates!O79</f>
        <v>54.720417931737884</v>
      </c>
      <c r="N116" s="447">
        <f>N82*Group_1_rates!P79</f>
        <v>54.185812831737969</v>
      </c>
      <c r="O116" s="320"/>
    </row>
    <row r="117" spans="1:15">
      <c r="B117" s="331" t="str">
        <f t="shared" si="47"/>
        <v>50-54</v>
      </c>
      <c r="C117" s="447">
        <f>C83*Group_1_rates!E80</f>
        <v>46.748483094038086</v>
      </c>
      <c r="D117" s="447">
        <f>D83*Group_1_rates!F80</f>
        <v>44.439670866354412</v>
      </c>
      <c r="E117" s="447">
        <f>E83*Group_1_rates!G80</f>
        <v>45.741535614951253</v>
      </c>
      <c r="F117" s="447">
        <f>F83*Group_1_rates!H80</f>
        <v>44.544246828455385</v>
      </c>
      <c r="G117" s="447">
        <f>G83*Group_1_rates!I80</f>
        <v>44.32084955022826</v>
      </c>
      <c r="H117" s="447">
        <f>H83*Group_1_rates!J80</f>
        <v>44.104774232538645</v>
      </c>
      <c r="I117" s="447">
        <f>I83*Group_1_rates!K80</f>
        <v>43.865926714854631</v>
      </c>
      <c r="J117" s="447">
        <f>J83*Group_1_rates!L80</f>
        <v>43.729992534043596</v>
      </c>
      <c r="K117" s="447">
        <f>K83*Group_1_rates!M80</f>
        <v>43.655731143677293</v>
      </c>
      <c r="L117" s="447">
        <f>L83*Group_1_rates!N80</f>
        <v>43.457760159188638</v>
      </c>
      <c r="M117" s="447">
        <f>M83*Group_1_rates!O80</f>
        <v>43.168289348250447</v>
      </c>
      <c r="N117" s="447">
        <f>N83*Group_1_rates!P80</f>
        <v>42.863837140014638</v>
      </c>
      <c r="O117" s="320"/>
    </row>
    <row r="118" spans="1:15">
      <c r="B118" s="331" t="str">
        <f t="shared" si="47"/>
        <v>55-59</v>
      </c>
      <c r="C118" s="447">
        <f>C84*Group_1_rates!E81</f>
        <v>20.949977050152448</v>
      </c>
      <c r="D118" s="447">
        <f>D84*Group_1_rates!F81</f>
        <v>18.451395426183701</v>
      </c>
      <c r="E118" s="447">
        <f>E84*Group_1_rates!G81</f>
        <v>18.18390006413361</v>
      </c>
      <c r="F118" s="447">
        <f>F84*Group_1_rates!H81</f>
        <v>17.283772502895197</v>
      </c>
      <c r="G118" s="447">
        <f>G84*Group_1_rates!I81</f>
        <v>16.939970212450636</v>
      </c>
      <c r="H118" s="447">
        <f>H84*Group_1_rates!J81</f>
        <v>16.702157418698722</v>
      </c>
      <c r="I118" s="447">
        <f>I84*Group_1_rates!K81</f>
        <v>16.52279630610396</v>
      </c>
      <c r="J118" s="447">
        <f>J84*Group_1_rates!L81</f>
        <v>16.444191738873066</v>
      </c>
      <c r="K118" s="447">
        <f>K84*Group_1_rates!M81</f>
        <v>16.427552771302565</v>
      </c>
      <c r="L118" s="447">
        <f>L84*Group_1_rates!N81</f>
        <v>16.370436712817483</v>
      </c>
      <c r="M118" s="447">
        <f>M84*Group_1_rates!O81</f>
        <v>16.284251774632434</v>
      </c>
      <c r="N118" s="447">
        <f>N84*Group_1_rates!P81</f>
        <v>16.199376960518922</v>
      </c>
      <c r="O118" s="320"/>
    </row>
    <row r="119" spans="1:15">
      <c r="B119" s="331" t="str">
        <f t="shared" si="47"/>
        <v>60-64</v>
      </c>
      <c r="C119" s="447">
        <f>C85*Group_1_rates!E82</f>
        <v>7.6886786811804955</v>
      </c>
      <c r="D119" s="447">
        <f>D85*Group_1_rates!F82</f>
        <v>7.4336906842791901</v>
      </c>
      <c r="E119" s="447">
        <f>E85*Group_1_rates!G82</f>
        <v>7.5358194798551477</v>
      </c>
      <c r="F119" s="447">
        <f>F85*Group_1_rates!H82</f>
        <v>7.1926326778386507</v>
      </c>
      <c r="G119" s="447">
        <f>G85*Group_1_rates!I82</f>
        <v>7.0157236565035763</v>
      </c>
      <c r="H119" s="447">
        <f>H85*Group_1_rates!J82</f>
        <v>6.8695158811219281</v>
      </c>
      <c r="I119" s="447">
        <f>I85*Group_1_rates!K82</f>
        <v>6.7523859421253656</v>
      </c>
      <c r="J119" s="447">
        <f>J85*Group_1_rates!L82</f>
        <v>6.6993234394704402</v>
      </c>
      <c r="K119" s="447">
        <f>K85*Group_1_rates!M82</f>
        <v>6.6879016242103608</v>
      </c>
      <c r="L119" s="447">
        <f>L85*Group_1_rates!N82</f>
        <v>6.6573207489128583</v>
      </c>
      <c r="M119" s="447">
        <f>M85*Group_1_rates!O82</f>
        <v>6.6167776081000929</v>
      </c>
      <c r="N119" s="447">
        <f>N85*Group_1_rates!P82</f>
        <v>6.5841285456728587</v>
      </c>
      <c r="O119" s="320"/>
    </row>
    <row r="120" spans="1:15">
      <c r="B120" s="331" t="str">
        <f t="shared" si="47"/>
        <v>65 plus</v>
      </c>
      <c r="C120" s="447">
        <f>C86*Group_1_rates!E83</f>
        <v>2.7115761056578145</v>
      </c>
      <c r="D120" s="447">
        <f>D86*Group_1_rates!F83</f>
        <v>3.3158629357751384</v>
      </c>
      <c r="E120" s="447">
        <f>E86*Group_1_rates!G83</f>
        <v>3.9257119316017595</v>
      </c>
      <c r="F120" s="447">
        <f>F86*Group_1_rates!H83</f>
        <v>4.1081068616341279</v>
      </c>
      <c r="G120" s="447">
        <f>G86*Group_1_rates!I83</f>
        <v>4.2263397381199779</v>
      </c>
      <c r="H120" s="447">
        <f>H86*Group_1_rates!J83</f>
        <v>4.257255832123513</v>
      </c>
      <c r="I120" s="447">
        <f>I86*Group_1_rates!K83</f>
        <v>4.242135893314833</v>
      </c>
      <c r="J120" s="447">
        <f>J86*Group_1_rates!L83</f>
        <v>4.2323641697718823</v>
      </c>
      <c r="K120" s="447">
        <f>K86*Group_1_rates!M83</f>
        <v>4.2341570661165742</v>
      </c>
      <c r="L120" s="447">
        <f>L86*Group_1_rates!N83</f>
        <v>4.2185505243111283</v>
      </c>
      <c r="M120" s="447">
        <f>M86*Group_1_rates!O83</f>
        <v>4.1930617981674407</v>
      </c>
      <c r="N120" s="447">
        <f>N86*Group_1_rates!P83</f>
        <v>4.171227722631027</v>
      </c>
      <c r="O120" s="320"/>
    </row>
    <row r="121" spans="1:15">
      <c r="B121" s="331" t="str">
        <f t="shared" si="47"/>
        <v>Total</v>
      </c>
      <c r="C121" s="447">
        <f>SUM(C111:C120)</f>
        <v>403.78850364432884</v>
      </c>
      <c r="D121" s="447">
        <f t="shared" ref="D121:N121" si="49">SUM(D111:D120)</f>
        <v>388.15187409847516</v>
      </c>
      <c r="E121" s="447">
        <f t="shared" si="49"/>
        <v>406.96441984825697</v>
      </c>
      <c r="F121" s="447">
        <f t="shared" si="49"/>
        <v>404.84649418222261</v>
      </c>
      <c r="G121" s="447">
        <f t="shared" si="49"/>
        <v>409.05558370739948</v>
      </c>
      <c r="H121" s="447">
        <f t="shared" si="49"/>
        <v>411.54931685138922</v>
      </c>
      <c r="I121" s="447">
        <f t="shared" si="49"/>
        <v>412.56666455354286</v>
      </c>
      <c r="J121" s="447">
        <f t="shared" si="49"/>
        <v>415.66916967116128</v>
      </c>
      <c r="K121" s="447">
        <f t="shared" si="49"/>
        <v>420.12427141174817</v>
      </c>
      <c r="L121" s="447">
        <f t="shared" si="49"/>
        <v>421.88146797401572</v>
      </c>
      <c r="M121" s="447">
        <f t="shared" si="49"/>
        <v>421.936330139586</v>
      </c>
      <c r="N121" s="447">
        <f t="shared" si="49"/>
        <v>421.99277968050234</v>
      </c>
      <c r="O121" s="320"/>
    </row>
    <row r="122" spans="1:15">
      <c r="A122" s="302">
        <f>SUM(C122:N122)</f>
        <v>0</v>
      </c>
      <c r="C122" s="302">
        <f t="shared" ref="C122:N122" si="50">SUM(C111:C120)-C121</f>
        <v>0</v>
      </c>
      <c r="D122" s="302">
        <f t="shared" si="50"/>
        <v>0</v>
      </c>
      <c r="E122" s="302">
        <f t="shared" si="50"/>
        <v>0</v>
      </c>
      <c r="F122" s="302">
        <f t="shared" si="50"/>
        <v>0</v>
      </c>
      <c r="G122" s="302">
        <f t="shared" si="50"/>
        <v>0</v>
      </c>
      <c r="H122" s="302">
        <f t="shared" si="50"/>
        <v>0</v>
      </c>
      <c r="I122" s="302">
        <f t="shared" si="50"/>
        <v>0</v>
      </c>
      <c r="J122" s="302">
        <f t="shared" si="50"/>
        <v>0</v>
      </c>
      <c r="K122" s="302">
        <f t="shared" si="50"/>
        <v>0</v>
      </c>
      <c r="L122" s="302">
        <f t="shared" si="50"/>
        <v>0</v>
      </c>
      <c r="M122" s="302">
        <f t="shared" si="50"/>
        <v>0</v>
      </c>
      <c r="N122" s="302">
        <f t="shared" si="50"/>
        <v>0</v>
      </c>
    </row>
    <row r="124" spans="1:15">
      <c r="B124" s="334" t="s">
        <v>47</v>
      </c>
      <c r="C124" s="322"/>
      <c r="D124" s="322"/>
      <c r="E124" s="322"/>
      <c r="F124" s="322"/>
      <c r="G124" s="322"/>
      <c r="H124" s="332"/>
      <c r="I124" s="322"/>
      <c r="J124" s="322"/>
      <c r="K124" s="322"/>
      <c r="L124" s="322"/>
    </row>
    <row r="125" spans="1:15">
      <c r="C125" s="322"/>
      <c r="D125" s="322"/>
      <c r="E125" s="322"/>
      <c r="F125" s="322"/>
      <c r="G125" s="322"/>
      <c r="H125" s="332"/>
      <c r="I125" s="322"/>
      <c r="J125" s="322"/>
      <c r="K125" s="322"/>
      <c r="L125" s="322"/>
    </row>
    <row r="126" spans="1:15">
      <c r="B126" s="331" t="str">
        <f t="shared" ref="B126:B137" si="51">B110</f>
        <v>Age group</v>
      </c>
      <c r="C126" s="331" t="str">
        <f t="shared" ref="C126:N126" si="52">C110</f>
        <v>2017/18</v>
      </c>
      <c r="D126" s="331" t="str">
        <f t="shared" si="52"/>
        <v>2018/19</v>
      </c>
      <c r="E126" s="331" t="str">
        <f t="shared" si="52"/>
        <v>2019/20</v>
      </c>
      <c r="F126" s="331" t="str">
        <f t="shared" si="52"/>
        <v>2020/21</v>
      </c>
      <c r="G126" s="331" t="str">
        <f t="shared" si="52"/>
        <v>2021/22</v>
      </c>
      <c r="H126" s="331" t="str">
        <f t="shared" si="52"/>
        <v>2022/23</v>
      </c>
      <c r="I126" s="331" t="str">
        <f t="shared" si="52"/>
        <v>2023/24</v>
      </c>
      <c r="J126" s="331" t="str">
        <f t="shared" si="52"/>
        <v>2024/25</v>
      </c>
      <c r="K126" s="331" t="str">
        <f t="shared" si="52"/>
        <v>2025/26</v>
      </c>
      <c r="L126" s="331" t="str">
        <f t="shared" si="52"/>
        <v>2026/27</v>
      </c>
      <c r="M126" s="331" t="str">
        <f t="shared" si="52"/>
        <v>2027/28</v>
      </c>
      <c r="N126" s="331" t="str">
        <f t="shared" si="52"/>
        <v>2028/29</v>
      </c>
    </row>
    <row r="127" spans="1:15">
      <c r="B127" s="331" t="str">
        <f t="shared" si="51"/>
        <v>20-24</v>
      </c>
      <c r="C127" s="447">
        <f>C93*Group_1_rates!E89</f>
        <v>9.0851034343906569</v>
      </c>
      <c r="D127" s="447">
        <f>D93*Group_1_rates!F89</f>
        <v>15.044112970265175</v>
      </c>
      <c r="E127" s="447">
        <f>E93*Group_1_rates!G89</f>
        <v>20.284750681078066</v>
      </c>
      <c r="F127" s="447">
        <f>F93*Group_1_rates!H89</f>
        <v>24.76504781427122</v>
      </c>
      <c r="G127" s="447">
        <f>G93*Group_1_rates!I89</f>
        <v>27.542897270291562</v>
      </c>
      <c r="H127" s="447">
        <f>H93*Group_1_rates!J89</f>
        <v>29.357018762161623</v>
      </c>
      <c r="I127" s="447">
        <f>I93*Group_1_rates!K89</f>
        <v>30.480071832799641</v>
      </c>
      <c r="J127" s="447">
        <f>J93*Group_1_rates!L89</f>
        <v>31.696868769260181</v>
      </c>
      <c r="K127" s="447">
        <f>K93*Group_1_rates!M89</f>
        <v>32.898640040909193</v>
      </c>
      <c r="L127" s="447">
        <f>L93*Group_1_rates!N89</f>
        <v>33.405295142484725</v>
      </c>
      <c r="M127" s="447">
        <f>M93*Group_1_rates!O89</f>
        <v>33.520006491259288</v>
      </c>
      <c r="N127" s="447">
        <f>N93*Group_1_rates!P89</f>
        <v>33.608957120901451</v>
      </c>
    </row>
    <row r="128" spans="1:15">
      <c r="B128" s="331" t="str">
        <f t="shared" si="51"/>
        <v>25-29</v>
      </c>
      <c r="C128" s="447">
        <f>C94*Group_1_rates!E90</f>
        <v>29.656944535936361</v>
      </c>
      <c r="D128" s="447">
        <f>D94*Group_1_rates!F90</f>
        <v>31.239950445092031</v>
      </c>
      <c r="E128" s="447">
        <f>E94*Group_1_rates!G90</f>
        <v>34.495959236935683</v>
      </c>
      <c r="F128" s="447">
        <f>F94*Group_1_rates!H90</f>
        <v>38.341470126125792</v>
      </c>
      <c r="G128" s="447">
        <f>G94*Group_1_rates!I90</f>
        <v>41.199841435514287</v>
      </c>
      <c r="H128" s="447">
        <f>H94*Group_1_rates!J90</f>
        <v>43.513500701713518</v>
      </c>
      <c r="I128" s="447">
        <f>I94*Group_1_rates!K90</f>
        <v>45.27658887992262</v>
      </c>
      <c r="J128" s="447">
        <f>J94*Group_1_rates!L90</f>
        <v>47.129427960975939</v>
      </c>
      <c r="K128" s="447">
        <f>K94*Group_1_rates!M90</f>
        <v>48.978357465231674</v>
      </c>
      <c r="L128" s="447">
        <f>L94*Group_1_rates!N90</f>
        <v>50.12844972085388</v>
      </c>
      <c r="M128" s="447">
        <f>M94*Group_1_rates!O90</f>
        <v>50.773988827900745</v>
      </c>
      <c r="N128" s="447">
        <f>N94*Group_1_rates!P90</f>
        <v>51.255085647829304</v>
      </c>
    </row>
    <row r="129" spans="1:14">
      <c r="B129" s="331" t="str">
        <f t="shared" si="51"/>
        <v>30-34</v>
      </c>
      <c r="C129" s="447">
        <f>C95*Group_1_rates!E91</f>
        <v>43.286583281591859</v>
      </c>
      <c r="D129" s="447">
        <f>D95*Group_1_rates!F91</f>
        <v>40.095535518981642</v>
      </c>
      <c r="E129" s="447">
        <f>E95*Group_1_rates!G91</f>
        <v>38.877119469149768</v>
      </c>
      <c r="F129" s="447">
        <f>F95*Group_1_rates!H91</f>
        <v>38.72124054426903</v>
      </c>
      <c r="G129" s="447">
        <f>G95*Group_1_rates!I91</f>
        <v>38.653639808832651</v>
      </c>
      <c r="H129" s="447">
        <f>H95*Group_1_rates!J91</f>
        <v>38.973648051296429</v>
      </c>
      <c r="I129" s="447">
        <f>I95*Group_1_rates!K91</f>
        <v>39.478914147924741</v>
      </c>
      <c r="J129" s="447">
        <f>J95*Group_1_rates!L91</f>
        <v>40.315739567045163</v>
      </c>
      <c r="K129" s="447">
        <f>K95*Group_1_rates!M91</f>
        <v>41.366336179051878</v>
      </c>
      <c r="L129" s="447">
        <f>L95*Group_1_rates!N91</f>
        <v>42.235707938892787</v>
      </c>
      <c r="M129" s="447">
        <f>M95*Group_1_rates!O91</f>
        <v>42.914498882704486</v>
      </c>
      <c r="N129" s="447">
        <f>N95*Group_1_rates!P91</f>
        <v>43.5018321009562</v>
      </c>
    </row>
    <row r="130" spans="1:14">
      <c r="B130" s="331" t="str">
        <f t="shared" si="51"/>
        <v>35-39</v>
      </c>
      <c r="C130" s="447">
        <f>C96*Group_1_rates!E92</f>
        <v>47.70395660529492</v>
      </c>
      <c r="D130" s="447">
        <f>D96*Group_1_rates!F92</f>
        <v>44.939781197920446</v>
      </c>
      <c r="E130" s="447">
        <f>E96*Group_1_rates!G92</f>
        <v>43.12712015361037</v>
      </c>
      <c r="F130" s="447">
        <f>F96*Group_1_rates!H92</f>
        <v>41.64790069781359</v>
      </c>
      <c r="G130" s="447">
        <f>G96*Group_1_rates!I92</f>
        <v>39.991912992789082</v>
      </c>
      <c r="H130" s="447">
        <f>H96*Group_1_rates!J92</f>
        <v>38.752987743796901</v>
      </c>
      <c r="I130" s="447">
        <f>I96*Group_1_rates!K92</f>
        <v>37.871597281067167</v>
      </c>
      <c r="J130" s="447">
        <f>J96*Group_1_rates!L92</f>
        <v>37.450140504344162</v>
      </c>
      <c r="K130" s="447">
        <f>K96*Group_1_rates!M92</f>
        <v>37.395289854291079</v>
      </c>
      <c r="L130" s="447">
        <f>L96*Group_1_rates!N92</f>
        <v>37.437917919085898</v>
      </c>
      <c r="M130" s="447">
        <f>M96*Group_1_rates!O92</f>
        <v>37.545351877326681</v>
      </c>
      <c r="N130" s="447">
        <f>N96*Group_1_rates!P92</f>
        <v>37.740196191187231</v>
      </c>
    </row>
    <row r="131" spans="1:14">
      <c r="B131" s="331" t="str">
        <f t="shared" si="51"/>
        <v>40-44</v>
      </c>
      <c r="C131" s="447">
        <f>C97*Group_1_rates!E93</f>
        <v>40.135672192583833</v>
      </c>
      <c r="D131" s="447">
        <f>D97*Group_1_rates!F93</f>
        <v>40.308011402780494</v>
      </c>
      <c r="E131" s="447">
        <f>E97*Group_1_rates!G93</f>
        <v>40.609409658237979</v>
      </c>
      <c r="F131" s="447">
        <f>F97*Group_1_rates!H93</f>
        <v>40.528577133035121</v>
      </c>
      <c r="G131" s="447">
        <f>G97*Group_1_rates!I93</f>
        <v>39.661923258533641</v>
      </c>
      <c r="H131" s="447">
        <f>H97*Group_1_rates!J93</f>
        <v>38.714121288275187</v>
      </c>
      <c r="I131" s="447">
        <f>I97*Group_1_rates!K93</f>
        <v>37.773466648461842</v>
      </c>
      <c r="J131" s="447">
        <f>J97*Group_1_rates!L93</f>
        <v>37.041162380236543</v>
      </c>
      <c r="K131" s="447">
        <f>K97*Group_1_rates!M93</f>
        <v>36.524095010111459</v>
      </c>
      <c r="L131" s="447">
        <f>L97*Group_1_rates!N93</f>
        <v>36.061213392192606</v>
      </c>
      <c r="M131" s="447">
        <f>M97*Group_1_rates!O93</f>
        <v>35.675182731335141</v>
      </c>
      <c r="N131" s="447">
        <f>N97*Group_1_rates!P93</f>
        <v>35.416054653572793</v>
      </c>
    </row>
    <row r="132" spans="1:14">
      <c r="B132" s="331" t="str">
        <f t="shared" si="51"/>
        <v>45-49</v>
      </c>
      <c r="C132" s="447">
        <f>C98*Group_1_rates!E94</f>
        <v>37.019558598315079</v>
      </c>
      <c r="D132" s="447">
        <f>D98*Group_1_rates!F94</f>
        <v>36.933438302050469</v>
      </c>
      <c r="E132" s="447">
        <f>E98*Group_1_rates!G94</f>
        <v>37.523221270690044</v>
      </c>
      <c r="F132" s="447">
        <f>F98*Group_1_rates!H94</f>
        <v>38.029903161537888</v>
      </c>
      <c r="G132" s="447">
        <f>G98*Group_1_rates!I94</f>
        <v>37.866845629666372</v>
      </c>
      <c r="H132" s="447">
        <f>H98*Group_1_rates!J94</f>
        <v>37.560165962069959</v>
      </c>
      <c r="I132" s="447">
        <f>I98*Group_1_rates!K94</f>
        <v>37.125786143089513</v>
      </c>
      <c r="J132" s="447">
        <f>J98*Group_1_rates!L94</f>
        <v>36.725016823553879</v>
      </c>
      <c r="K132" s="447">
        <f>K98*Group_1_rates!M94</f>
        <v>36.372662269620086</v>
      </c>
      <c r="L132" s="447">
        <f>L98*Group_1_rates!N94</f>
        <v>35.947077081406505</v>
      </c>
      <c r="M132" s="447">
        <f>M98*Group_1_rates!O94</f>
        <v>35.497244359199861</v>
      </c>
      <c r="N132" s="447">
        <f>N98*Group_1_rates!P94</f>
        <v>35.098322679165449</v>
      </c>
    </row>
    <row r="133" spans="1:14">
      <c r="B133" s="331" t="str">
        <f t="shared" si="51"/>
        <v>50-54</v>
      </c>
      <c r="C133" s="447">
        <f>C99*Group_1_rates!E95</f>
        <v>31.961097587914555</v>
      </c>
      <c r="D133" s="447">
        <f>D99*Group_1_rates!F95</f>
        <v>30.872959126802616</v>
      </c>
      <c r="E133" s="447">
        <f>E99*Group_1_rates!G95</f>
        <v>30.58088527505592</v>
      </c>
      <c r="F133" s="447">
        <f>F99*Group_1_rates!H95</f>
        <v>30.480683478904609</v>
      </c>
      <c r="G133" s="447">
        <f>G99*Group_1_rates!I95</f>
        <v>30.089492496927292</v>
      </c>
      <c r="H133" s="447">
        <f>H99*Group_1_rates!J95</f>
        <v>29.77332250160007</v>
      </c>
      <c r="I133" s="447">
        <f>I99*Group_1_rates!K95</f>
        <v>29.477419047189517</v>
      </c>
      <c r="J133" s="447">
        <f>J99*Group_1_rates!L95</f>
        <v>29.267502221744412</v>
      </c>
      <c r="K133" s="447">
        <f>K99*Group_1_rates!M95</f>
        <v>29.110648423930325</v>
      </c>
      <c r="L133" s="447">
        <f>L99*Group_1_rates!N95</f>
        <v>28.884209333892631</v>
      </c>
      <c r="M133" s="447">
        <f>M99*Group_1_rates!O95</f>
        <v>28.609265816284271</v>
      </c>
      <c r="N133" s="447">
        <f>N99*Group_1_rates!P95</f>
        <v>28.336535690341794</v>
      </c>
    </row>
    <row r="134" spans="1:14">
      <c r="B134" s="331" t="str">
        <f t="shared" si="51"/>
        <v>55-59</v>
      </c>
      <c r="C134" s="447">
        <f>C100*Group_1_rates!E96</f>
        <v>13.164750852928545</v>
      </c>
      <c r="D134" s="447">
        <f>D100*Group_1_rates!F96</f>
        <v>12.51404633591374</v>
      </c>
      <c r="E134" s="447">
        <f>E100*Group_1_rates!G96</f>
        <v>12.19505879017613</v>
      </c>
      <c r="F134" s="447">
        <f>F100*Group_1_rates!H96</f>
        <v>11.977090281773735</v>
      </c>
      <c r="G134" s="447">
        <f>G100*Group_1_rates!I96</f>
        <v>11.674647016774093</v>
      </c>
      <c r="H134" s="447">
        <f>H100*Group_1_rates!J96</f>
        <v>11.440342001715383</v>
      </c>
      <c r="I134" s="447">
        <f>I100*Group_1_rates!K96</f>
        <v>11.253175151232234</v>
      </c>
      <c r="J134" s="447">
        <f>J100*Group_1_rates!L96</f>
        <v>11.140388314493073</v>
      </c>
      <c r="K134" s="447">
        <f>K100*Group_1_rates!M96</f>
        <v>11.076499307827291</v>
      </c>
      <c r="L134" s="447">
        <f>L100*Group_1_rates!N96</f>
        <v>10.995322379317093</v>
      </c>
      <c r="M134" s="447">
        <f>M100*Group_1_rates!O96</f>
        <v>10.90166213160534</v>
      </c>
      <c r="N134" s="447">
        <f>N100*Group_1_rates!P96</f>
        <v>10.813325928679731</v>
      </c>
    </row>
    <row r="135" spans="1:14">
      <c r="B135" s="331" t="str">
        <f t="shared" si="51"/>
        <v>60-64</v>
      </c>
      <c r="C135" s="447">
        <f>C101*Group_1_rates!E97</f>
        <v>3.9415325352046442</v>
      </c>
      <c r="D135" s="447">
        <f>D101*Group_1_rates!F97</f>
        <v>4.0724520701133153</v>
      </c>
      <c r="E135" s="447">
        <f>E101*Group_1_rates!G97</f>
        <v>4.1332000810679101</v>
      </c>
      <c r="F135" s="447">
        <f>F101*Group_1_rates!H97</f>
        <v>4.136908283633403</v>
      </c>
      <c r="G135" s="447">
        <f>G101*Group_1_rates!I97</f>
        <v>4.0563298366823881</v>
      </c>
      <c r="H135" s="447">
        <f>H101*Group_1_rates!J97</f>
        <v>3.9732463435801266</v>
      </c>
      <c r="I135" s="447">
        <f>I101*Group_1_rates!K97</f>
        <v>3.8964966396519536</v>
      </c>
      <c r="J135" s="447">
        <f>J101*Group_1_rates!L97</f>
        <v>3.8500027500585365</v>
      </c>
      <c r="K135" s="447">
        <f>K101*Group_1_rates!M97</f>
        <v>3.8256222931756128</v>
      </c>
      <c r="L135" s="447">
        <f>L101*Group_1_rates!N97</f>
        <v>3.79344264223288</v>
      </c>
      <c r="M135" s="447">
        <f>M101*Group_1_rates!O97</f>
        <v>3.758040414345222</v>
      </c>
      <c r="N135" s="447">
        <f>N101*Group_1_rates!P97</f>
        <v>3.7282897369205155</v>
      </c>
    </row>
    <row r="136" spans="1:14">
      <c r="B136" s="331" t="str">
        <f t="shared" si="51"/>
        <v>65 plus</v>
      </c>
      <c r="C136" s="447">
        <f>C102*Group_1_rates!E98</f>
        <v>0.94652800785070512</v>
      </c>
      <c r="D136" s="447">
        <f>D102*Group_1_rates!F98</f>
        <v>1.3677450757616663</v>
      </c>
      <c r="E136" s="447">
        <f>E102*Group_1_rates!G98</f>
        <v>1.6974105195401417</v>
      </c>
      <c r="F136" s="447">
        <f>F102*Group_1_rates!H98</f>
        <v>1.9314848677199647</v>
      </c>
      <c r="G136" s="447">
        <f>G102*Group_1_rates!I98</f>
        <v>2.0579300234612248</v>
      </c>
      <c r="H136" s="447">
        <f>H102*Group_1_rates!J98</f>
        <v>2.1262775945122985</v>
      </c>
      <c r="I136" s="447">
        <f>I102*Group_1_rates!K98</f>
        <v>2.1560700022454102</v>
      </c>
      <c r="J136" s="447">
        <f>J102*Group_1_rates!L98</f>
        <v>2.172223127728715</v>
      </c>
      <c r="K136" s="447">
        <f>K102*Group_1_rates!M98</f>
        <v>2.1826173579403672</v>
      </c>
      <c r="L136" s="447">
        <f>L102*Group_1_rates!N98</f>
        <v>2.1800292143814697</v>
      </c>
      <c r="M136" s="447">
        <f>M102*Group_1_rates!O98</f>
        <v>2.1693728700196679</v>
      </c>
      <c r="N136" s="447">
        <f>N102*Group_1_rates!P98</f>
        <v>2.1574350643550075</v>
      </c>
    </row>
    <row r="137" spans="1:14">
      <c r="B137" s="331" t="str">
        <f t="shared" si="51"/>
        <v>Total</v>
      </c>
      <c r="C137" s="447">
        <f>SUM(C127:C136)</f>
        <v>256.90172763201116</v>
      </c>
      <c r="D137" s="447">
        <f t="shared" ref="D137:N137" si="53">SUM(D127:D136)</f>
        <v>257.38803244568157</v>
      </c>
      <c r="E137" s="447">
        <f t="shared" si="53"/>
        <v>263.524135135542</v>
      </c>
      <c r="F137" s="447">
        <f t="shared" si="53"/>
        <v>270.5603063890843</v>
      </c>
      <c r="G137" s="447">
        <f t="shared" si="53"/>
        <v>272.79545976947259</v>
      </c>
      <c r="H137" s="447">
        <f t="shared" si="53"/>
        <v>274.1846309507215</v>
      </c>
      <c r="I137" s="447">
        <f t="shared" si="53"/>
        <v>274.78958577358469</v>
      </c>
      <c r="J137" s="447">
        <f t="shared" si="53"/>
        <v>276.78847241944061</v>
      </c>
      <c r="K137" s="447">
        <f t="shared" si="53"/>
        <v>279.73076820208905</v>
      </c>
      <c r="L137" s="447">
        <f t="shared" si="53"/>
        <v>281.06866476474045</v>
      </c>
      <c r="M137" s="447">
        <f t="shared" si="53"/>
        <v>281.3646144019807</v>
      </c>
      <c r="N137" s="447">
        <f t="shared" si="53"/>
        <v>281.65603481390946</v>
      </c>
    </row>
    <row r="138" spans="1:14">
      <c r="A138" s="302">
        <f>SUM(C138:N138)</f>
        <v>0</v>
      </c>
      <c r="C138" s="302">
        <f t="shared" ref="C138:N138" si="54">SUM(C127:C136)-C137</f>
        <v>0</v>
      </c>
      <c r="D138" s="302">
        <f t="shared" si="54"/>
        <v>0</v>
      </c>
      <c r="E138" s="302">
        <f t="shared" si="54"/>
        <v>0</v>
      </c>
      <c r="F138" s="302">
        <f t="shared" si="54"/>
        <v>0</v>
      </c>
      <c r="G138" s="302">
        <f t="shared" si="54"/>
        <v>0</v>
      </c>
      <c r="H138" s="302">
        <f t="shared" si="54"/>
        <v>0</v>
      </c>
      <c r="I138" s="302">
        <f t="shared" si="54"/>
        <v>0</v>
      </c>
      <c r="J138" s="302">
        <f t="shared" si="54"/>
        <v>0</v>
      </c>
      <c r="K138" s="302">
        <f t="shared" si="54"/>
        <v>0</v>
      </c>
      <c r="L138" s="302">
        <f t="shared" si="54"/>
        <v>0</v>
      </c>
      <c r="M138" s="302">
        <f t="shared" si="54"/>
        <v>0</v>
      </c>
      <c r="N138" s="302">
        <f t="shared" si="54"/>
        <v>0</v>
      </c>
    </row>
    <row r="140" spans="1:14" ht="15.75">
      <c r="B140" s="333" t="s">
        <v>165</v>
      </c>
      <c r="H140" s="318"/>
    </row>
    <row r="141" spans="1:14">
      <c r="H141" s="318"/>
    </row>
    <row r="142" spans="1:14">
      <c r="B142" s="334" t="s">
        <v>46</v>
      </c>
      <c r="H142" s="318"/>
    </row>
    <row r="143" spans="1:14">
      <c r="H143" s="318"/>
    </row>
    <row r="144" spans="1:14">
      <c r="B144" s="331" t="str">
        <f t="shared" ref="B144:B155" si="55">B110</f>
        <v>Age group</v>
      </c>
      <c r="C144" s="331" t="str">
        <f t="shared" ref="C144:N144" si="56">C110</f>
        <v>2017/18</v>
      </c>
      <c r="D144" s="331" t="str">
        <f t="shared" si="56"/>
        <v>2018/19</v>
      </c>
      <c r="E144" s="331" t="str">
        <f t="shared" si="56"/>
        <v>2019/20</v>
      </c>
      <c r="F144" s="331" t="str">
        <f t="shared" si="56"/>
        <v>2020/21</v>
      </c>
      <c r="G144" s="331" t="str">
        <f t="shared" si="56"/>
        <v>2021/22</v>
      </c>
      <c r="H144" s="331" t="str">
        <f t="shared" si="56"/>
        <v>2022/23</v>
      </c>
      <c r="I144" s="331" t="str">
        <f t="shared" si="56"/>
        <v>2023/24</v>
      </c>
      <c r="J144" s="331" t="str">
        <f t="shared" si="56"/>
        <v>2024/25</v>
      </c>
      <c r="K144" s="331" t="str">
        <f t="shared" si="56"/>
        <v>2025/26</v>
      </c>
      <c r="L144" s="331" t="str">
        <f t="shared" si="56"/>
        <v>2026/27</v>
      </c>
      <c r="M144" s="331" t="str">
        <f t="shared" si="56"/>
        <v>2027/28</v>
      </c>
      <c r="N144" s="331" t="str">
        <f t="shared" si="56"/>
        <v>2028/29</v>
      </c>
    </row>
    <row r="145" spans="1:14">
      <c r="B145" s="331" t="str">
        <f t="shared" si="55"/>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5"/>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5"/>
        <v>30-34</v>
      </c>
      <c r="C147" s="447">
        <f>C79*Calc_SEC_retirement_rates!$G126</f>
        <v>0.10319661790460873</v>
      </c>
      <c r="D147" s="447">
        <f>D79*Calc_SEC_retirement_rates!$G126</f>
        <v>9.285986775816453E-2</v>
      </c>
      <c r="E147" s="447">
        <f>E79*Calc_SEC_retirement_rates!$G126</f>
        <v>8.6920436588522387E-2</v>
      </c>
      <c r="F147" s="447">
        <f>F79*Calc_SEC_retirement_rates!$G126</f>
        <v>8.3902863945420209E-2</v>
      </c>
      <c r="G147" s="447">
        <f>G79*Calc_SEC_retirement_rates!$G126</f>
        <v>8.2719750504480688E-2</v>
      </c>
      <c r="H147" s="447">
        <f>H79*Calc_SEC_retirement_rates!$G126</f>
        <v>8.2578938606590685E-2</v>
      </c>
      <c r="I147" s="447">
        <f>I79*Calc_SEC_retirement_rates!$G126</f>
        <v>8.2992840443657054E-2</v>
      </c>
      <c r="J147" s="447">
        <f>J79*Calc_SEC_retirement_rates!$G126</f>
        <v>8.4224106151304226E-2</v>
      </c>
      <c r="K147" s="447">
        <f>K79*Calc_SEC_retirement_rates!$G126</f>
        <v>8.5997226798583404E-2</v>
      </c>
      <c r="L147" s="447">
        <f>L79*Calc_SEC_retirement_rates!$G126</f>
        <v>8.7464214372928908E-2</v>
      </c>
      <c r="M147" s="447">
        <f>M79*Calc_SEC_retirement_rates!$G126</f>
        <v>8.8589302349863328E-2</v>
      </c>
      <c r="N147" s="447">
        <f>N79*Calc_SEC_retirement_rates!$G126</f>
        <v>8.9569735845181714E-2</v>
      </c>
    </row>
    <row r="148" spans="1:14">
      <c r="B148" s="331" t="str">
        <f t="shared" si="55"/>
        <v>35-39</v>
      </c>
      <c r="C148" s="447">
        <f>C80*Calc_SEC_retirement_rates!$G127</f>
        <v>0.2405837221580186</v>
      </c>
      <c r="D148" s="447">
        <f>D80*Calc_SEC_retirement_rates!$G127</f>
        <v>0.22833447362404158</v>
      </c>
      <c r="E148" s="447">
        <f>E80*Calc_SEC_retirement_rates!$G127</f>
        <v>0.21744229088597652</v>
      </c>
      <c r="F148" s="447">
        <f>F80*Calc_SEC_retirement_rates!$G127</f>
        <v>0.20765234392301438</v>
      </c>
      <c r="G148" s="447">
        <f>G80*Calc_SEC_retirement_rates!$G127</f>
        <v>0.19962051448488669</v>
      </c>
      <c r="H148" s="447">
        <f>H80*Calc_SEC_retirement_rates!$G127</f>
        <v>0.19320162068673269</v>
      </c>
      <c r="I148" s="447">
        <f>I80*Calc_SEC_retirement_rates!$G127</f>
        <v>0.18831186668993072</v>
      </c>
      <c r="J148" s="447">
        <f>J80*Calc_SEC_retirement_rates!$G127</f>
        <v>0.18557435013660889</v>
      </c>
      <c r="K148" s="447">
        <f>K80*Calc_SEC_retirement_rates!$G127</f>
        <v>0.1846085762885378</v>
      </c>
      <c r="L148" s="447">
        <f>L80*Calc_SEC_retirement_rates!$G127</f>
        <v>0.18414550685574779</v>
      </c>
      <c r="M148" s="447">
        <f>M80*Calc_SEC_retirement_rates!$G127</f>
        <v>0.18404635881629819</v>
      </c>
      <c r="N148" s="447">
        <f>N80*Calc_SEC_retirement_rates!$G127</f>
        <v>0.1844297067580927</v>
      </c>
    </row>
    <row r="149" spans="1:14">
      <c r="B149" s="331" t="str">
        <f t="shared" si="55"/>
        <v>40-44</v>
      </c>
      <c r="C149" s="447">
        <f>C81*Calc_SEC_retirement_rates!$G128</f>
        <v>0.39695331443901288</v>
      </c>
      <c r="D149" s="447">
        <f>D81*Calc_SEC_retirement_rates!$G128</f>
        <v>0.40066193465339195</v>
      </c>
      <c r="E149" s="447">
        <f>E81*Calc_SEC_retirement_rates!$G128</f>
        <v>0.40234444928208324</v>
      </c>
      <c r="F149" s="447">
        <f>F81*Calc_SEC_retirement_rates!$G128</f>
        <v>0.40035291254644251</v>
      </c>
      <c r="G149" s="447">
        <f>G81*Calc_SEC_retirement_rates!$G128</f>
        <v>0.395825800679099</v>
      </c>
      <c r="H149" s="447">
        <f>H81*Calc_SEC_retirement_rates!$G128</f>
        <v>0.38940097533201784</v>
      </c>
      <c r="I149" s="447">
        <f>I81*Calc_SEC_retirement_rates!$G128</f>
        <v>0.38207817497712881</v>
      </c>
      <c r="J149" s="447">
        <f>J81*Calc_SEC_retirement_rates!$G128</f>
        <v>0.37601101167860373</v>
      </c>
      <c r="K149" s="447">
        <f>K81*Calc_SEC_retirement_rates!$G128</f>
        <v>0.37145870680498588</v>
      </c>
      <c r="L149" s="447">
        <f>L81*Calc_SEC_retirement_rates!$G128</f>
        <v>0.36700933139784708</v>
      </c>
      <c r="M149" s="447">
        <f>M81*Calc_SEC_retirement_rates!$G128</f>
        <v>0.36301264630685864</v>
      </c>
      <c r="N149" s="447">
        <f>N81*Calc_SEC_retirement_rates!$G128</f>
        <v>0.36006251242628912</v>
      </c>
    </row>
    <row r="150" spans="1:14">
      <c r="B150" s="331" t="str">
        <f t="shared" si="55"/>
        <v>45-49</v>
      </c>
      <c r="C150" s="447">
        <f>C82*Calc_SEC_retirement_rates!$G129</f>
        <v>0.78136205629106426</v>
      </c>
      <c r="D150" s="447">
        <f>D82*Calc_SEC_retirement_rates!$G129</f>
        <v>0.75847314341667837</v>
      </c>
      <c r="E150" s="447">
        <f>E82*Calc_SEC_retirement_rates!$G129</f>
        <v>0.7501090483029148</v>
      </c>
      <c r="F150" s="447">
        <f>F82*Calc_SEC_retirement_rates!$G129</f>
        <v>0.74553831489442601</v>
      </c>
      <c r="G150" s="447">
        <f>G82*Calc_SEC_retirement_rates!$G129</f>
        <v>0.7426006255519082</v>
      </c>
      <c r="H150" s="447">
        <f>H82*Calc_SEC_retirement_rates!$G129</f>
        <v>0.73835608058600422</v>
      </c>
      <c r="I150" s="447">
        <f>I82*Calc_SEC_retirement_rates!$G129</f>
        <v>0.73225606714295655</v>
      </c>
      <c r="J150" s="447">
        <f>J82*Calc_SEC_retirement_rates!$G129</f>
        <v>0.72688844592694846</v>
      </c>
      <c r="K150" s="447">
        <f>K82*Calc_SEC_retirement_rates!$G129</f>
        <v>0.72221155261616854</v>
      </c>
      <c r="L150" s="447">
        <f>L82*Calc_SEC_retirement_rates!$G129</f>
        <v>0.71568898840620765</v>
      </c>
      <c r="M150" s="447">
        <f>M82*Calc_SEC_retirement_rates!$G129</f>
        <v>0.70822732735697524</v>
      </c>
      <c r="N150" s="447">
        <f>N82*Calc_SEC_retirement_rates!$G129</f>
        <v>0.70130811958270967</v>
      </c>
    </row>
    <row r="151" spans="1:14">
      <c r="B151" s="331" t="str">
        <f t="shared" si="55"/>
        <v>50-54</v>
      </c>
      <c r="C151" s="447">
        <f>C83*Calc_SEC_retirement_rates!$G130</f>
        <v>12.942891730509633</v>
      </c>
      <c r="D151" s="447">
        <f>D83*Calc_SEC_retirement_rates!$G130</f>
        <v>12.762539653509226</v>
      </c>
      <c r="E151" s="447">
        <f>E83*Calc_SEC_retirement_rates!$G130</f>
        <v>12.661278435097435</v>
      </c>
      <c r="F151" s="447">
        <f>F83*Calc_SEC_retirement_rates!$G130</f>
        <v>12.565824080407781</v>
      </c>
      <c r="G151" s="447">
        <f>G83*Calc_SEC_retirement_rates!$G130</f>
        <v>12.502804249607752</v>
      </c>
      <c r="H151" s="447">
        <f>H83*Calc_SEC_retirement_rates!$G130</f>
        <v>12.44184992613109</v>
      </c>
      <c r="I151" s="447">
        <f>I83*Calc_SEC_retirement_rates!$G130</f>
        <v>12.37447162022286</v>
      </c>
      <c r="J151" s="447">
        <f>J83*Calc_SEC_retirement_rates!$G130</f>
        <v>12.336124917243147</v>
      </c>
      <c r="K151" s="447">
        <f>K83*Calc_SEC_retirement_rates!$G130</f>
        <v>12.315175958988153</v>
      </c>
      <c r="L151" s="447">
        <f>L83*Calc_SEC_retirement_rates!$G130</f>
        <v>12.259328824032885</v>
      </c>
      <c r="M151" s="447">
        <f>M83*Calc_SEC_retirement_rates!$G130</f>
        <v>12.177669809779696</v>
      </c>
      <c r="N151" s="447">
        <f>N83*Calc_SEC_retirement_rates!$G130</f>
        <v>12.091784579655233</v>
      </c>
    </row>
    <row r="152" spans="1:14">
      <c r="B152" s="331" t="str">
        <f t="shared" si="55"/>
        <v>55-59</v>
      </c>
      <c r="C152" s="447">
        <f>C84*Calc_SEC_retirement_rates!$G131</f>
        <v>55.696473551950795</v>
      </c>
      <c r="D152" s="447">
        <f>D84*Calc_SEC_retirement_rates!$G131</f>
        <v>50.883366725685299</v>
      </c>
      <c r="E152" s="447">
        <f>E84*Calc_SEC_retirement_rates!$G131</f>
        <v>48.331937697550678</v>
      </c>
      <c r="F152" s="447">
        <f>F84*Calc_SEC_retirement_rates!$G131</f>
        <v>46.818581197375124</v>
      </c>
      <c r="G152" s="447">
        <f>G84*Calc_SEC_retirement_rates!$G131</f>
        <v>45.887283620510701</v>
      </c>
      <c r="H152" s="447">
        <f>H84*Calc_SEC_retirement_rates!$G131</f>
        <v>45.243092221197642</v>
      </c>
      <c r="I152" s="447">
        <f>I84*Calc_SEC_retirement_rates!$G131</f>
        <v>44.75723574442079</v>
      </c>
      <c r="J152" s="447">
        <f>J84*Calc_SEC_retirement_rates!$G131</f>
        <v>44.544310336338285</v>
      </c>
      <c r="K152" s="447">
        <f>K84*Calc_SEC_retirement_rates!$G131</f>
        <v>44.499238413868262</v>
      </c>
      <c r="L152" s="447">
        <f>L84*Calc_SEC_retirement_rates!$G131</f>
        <v>44.344521449073113</v>
      </c>
      <c r="M152" s="447">
        <f>M84*Calc_SEC_retirement_rates!$G131</f>
        <v>44.111062201346286</v>
      </c>
      <c r="N152" s="447">
        <f>N84*Calc_SEC_retirement_rates!$G131</f>
        <v>43.881151840311396</v>
      </c>
    </row>
    <row r="153" spans="1:14">
      <c r="B153" s="331" t="str">
        <f t="shared" si="55"/>
        <v>60-64</v>
      </c>
      <c r="C153" s="447">
        <f>C85*Calc_SEC_retirement_rates!$G132</f>
        <v>29.813078513459541</v>
      </c>
      <c r="D153" s="447">
        <f>D85*Calc_SEC_retirement_rates!$G132</f>
        <v>29.899372520593865</v>
      </c>
      <c r="E153" s="447">
        <f>E85*Calc_SEC_retirement_rates!$G132</f>
        <v>29.213838411268057</v>
      </c>
      <c r="F153" s="447">
        <f>F85*Calc_SEC_retirement_rates!$G132</f>
        <v>28.417021400939149</v>
      </c>
      <c r="G153" s="447">
        <f>G85*Calc_SEC_retirement_rates!$G132</f>
        <v>27.718080182824746</v>
      </c>
      <c r="H153" s="447">
        <f>H85*Calc_SEC_retirement_rates!$G132</f>
        <v>27.140435018932891</v>
      </c>
      <c r="I153" s="447">
        <f>I85*Calc_SEC_retirement_rates!$G132</f>
        <v>26.67767205963268</v>
      </c>
      <c r="J153" s="447">
        <f>J85*Calc_SEC_retirement_rates!$G132</f>
        <v>26.468030007678831</v>
      </c>
      <c r="K153" s="447">
        <f>K85*Calc_SEC_retirement_rates!$G132</f>
        <v>26.422904115224554</v>
      </c>
      <c r="L153" s="447">
        <f>L85*Calc_SEC_retirement_rates!$G132</f>
        <v>26.302083627551646</v>
      </c>
      <c r="M153" s="447">
        <f>M85*Calc_SEC_retirement_rates!$G132</f>
        <v>26.141903711276004</v>
      </c>
      <c r="N153" s="447">
        <f>N85*Calc_SEC_retirement_rates!$G132</f>
        <v>26.012912124012839</v>
      </c>
    </row>
    <row r="154" spans="1:14">
      <c r="B154" s="331" t="str">
        <f t="shared" si="55"/>
        <v>65 plus</v>
      </c>
      <c r="C154" s="447">
        <f>C86*Calc_SEC_retirement_rates!$G133</f>
        <v>6.830264354850363</v>
      </c>
      <c r="D154" s="447">
        <f>D86*Calc_SEC_retirement_rates!$G133</f>
        <v>8.6639265242709591</v>
      </c>
      <c r="E154" s="447">
        <f>E86*Calc_SEC_retirement_rates!$G133</f>
        <v>9.8863769774401646</v>
      </c>
      <c r="F154" s="447">
        <f>F86*Calc_SEC_retirement_rates!$G133</f>
        <v>10.543699185883511</v>
      </c>
      <c r="G154" s="447">
        <f>G86*Calc_SEC_retirement_rates!$G133</f>
        <v>10.847150854872631</v>
      </c>
      <c r="H154" s="447">
        <f>H86*Calc_SEC_retirement_rates!$G133</f>
        <v>10.926498838300233</v>
      </c>
      <c r="I154" s="447">
        <f>I86*Calc_SEC_retirement_rates!$G133</f>
        <v>10.887692621257411</v>
      </c>
      <c r="J154" s="447">
        <f>J86*Calc_SEC_retirement_rates!$G133</f>
        <v>10.862612914951157</v>
      </c>
      <c r="K154" s="447">
        <f>K86*Calc_SEC_retirement_rates!$G133</f>
        <v>10.867214489439505</v>
      </c>
      <c r="L154" s="447">
        <f>L86*Calc_SEC_retirement_rates!$G133</f>
        <v>10.827159377031091</v>
      </c>
      <c r="M154" s="447">
        <f>M86*Calc_SEC_retirement_rates!$G133</f>
        <v>10.761741054153406</v>
      </c>
      <c r="N154" s="447">
        <f>N86*Calc_SEC_retirement_rates!$G133</f>
        <v>10.705702608170473</v>
      </c>
    </row>
    <row r="155" spans="1:14">
      <c r="B155" s="331" t="str">
        <f t="shared" si="55"/>
        <v>Total</v>
      </c>
      <c r="C155" s="447">
        <f>SUM(C145:C154)</f>
        <v>106.80480386156303</v>
      </c>
      <c r="D155" s="447">
        <f t="shared" ref="D155:N155" si="57">SUM(D145:D154)</f>
        <v>103.68953484351162</v>
      </c>
      <c r="E155" s="447">
        <f t="shared" si="57"/>
        <v>101.55024774641583</v>
      </c>
      <c r="F155" s="447">
        <f t="shared" si="57"/>
        <v>99.782572299914861</v>
      </c>
      <c r="G155" s="447">
        <f t="shared" si="57"/>
        <v>98.376085599036202</v>
      </c>
      <c r="H155" s="447">
        <f t="shared" si="57"/>
        <v>97.155413619773199</v>
      </c>
      <c r="I155" s="447">
        <f t="shared" si="57"/>
        <v>96.082710994787419</v>
      </c>
      <c r="J155" s="447">
        <f t="shared" si="57"/>
        <v>95.583776090104891</v>
      </c>
      <c r="K155" s="447">
        <f t="shared" si="57"/>
        <v>95.468809040028759</v>
      </c>
      <c r="L155" s="447">
        <f t="shared" si="57"/>
        <v>95.087401318721462</v>
      </c>
      <c r="M155" s="447">
        <f t="shared" si="57"/>
        <v>94.536252411385391</v>
      </c>
      <c r="N155" s="447">
        <f t="shared" si="57"/>
        <v>94.026921226762212</v>
      </c>
    </row>
    <row r="156" spans="1:14">
      <c r="A156" s="302">
        <f>SUM(C156:N156)</f>
        <v>0</v>
      </c>
      <c r="C156" s="302">
        <f t="shared" ref="C156:N156" si="58">SUM(C145:C154)-C155</f>
        <v>0</v>
      </c>
      <c r="D156" s="302">
        <f t="shared" si="58"/>
        <v>0</v>
      </c>
      <c r="E156" s="302">
        <f t="shared" si="58"/>
        <v>0</v>
      </c>
      <c r="F156" s="302">
        <f t="shared" si="58"/>
        <v>0</v>
      </c>
      <c r="G156" s="302">
        <f t="shared" si="58"/>
        <v>0</v>
      </c>
      <c r="H156" s="302">
        <f t="shared" si="58"/>
        <v>0</v>
      </c>
      <c r="I156" s="302">
        <f t="shared" si="58"/>
        <v>0</v>
      </c>
      <c r="J156" s="302">
        <f t="shared" si="58"/>
        <v>0</v>
      </c>
      <c r="K156" s="302">
        <f t="shared" si="58"/>
        <v>0</v>
      </c>
      <c r="L156" s="302">
        <f t="shared" si="58"/>
        <v>0</v>
      </c>
      <c r="M156" s="302">
        <f t="shared" si="58"/>
        <v>0</v>
      </c>
      <c r="N156" s="302">
        <f t="shared" si="58"/>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59">B144</f>
        <v>Age group</v>
      </c>
      <c r="C160" s="331" t="str">
        <f t="shared" ref="C160:N160" si="60">C144</f>
        <v>2017/18</v>
      </c>
      <c r="D160" s="331" t="str">
        <f t="shared" si="60"/>
        <v>2018/19</v>
      </c>
      <c r="E160" s="331" t="str">
        <f t="shared" si="60"/>
        <v>2019/20</v>
      </c>
      <c r="F160" s="331" t="str">
        <f t="shared" si="60"/>
        <v>2020/21</v>
      </c>
      <c r="G160" s="331" t="str">
        <f t="shared" si="60"/>
        <v>2021/22</v>
      </c>
      <c r="H160" s="331" t="str">
        <f t="shared" si="60"/>
        <v>2022/23</v>
      </c>
      <c r="I160" s="331" t="str">
        <f t="shared" si="60"/>
        <v>2023/24</v>
      </c>
      <c r="J160" s="331" t="str">
        <f t="shared" si="60"/>
        <v>2024/25</v>
      </c>
      <c r="K160" s="331" t="str">
        <f t="shared" si="60"/>
        <v>2025/26</v>
      </c>
      <c r="L160" s="331" t="str">
        <f t="shared" si="60"/>
        <v>2026/27</v>
      </c>
      <c r="M160" s="331" t="str">
        <f t="shared" si="60"/>
        <v>2027/28</v>
      </c>
      <c r="N160" s="331" t="str">
        <f t="shared" si="60"/>
        <v>2028/29</v>
      </c>
    </row>
    <row r="161" spans="1:14">
      <c r="B161" s="331" t="str">
        <f t="shared" si="59"/>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59"/>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59"/>
        <v>30-34</v>
      </c>
      <c r="C163" s="447">
        <f>C95*Calc_SEC_retirement_rates!$G142</f>
        <v>3.8675964524763864E-2</v>
      </c>
      <c r="D163" s="447">
        <f>D95*Calc_SEC_retirement_rates!$G142</f>
        <v>3.5648627317527305E-2</v>
      </c>
      <c r="E163" s="447">
        <f>E95*Calc_SEC_retirement_rates!$G142</f>
        <v>3.3999367961059582E-2</v>
      </c>
      <c r="F163" s="447">
        <f>F95*Calc_SEC_retirement_rates!$G142</f>
        <v>3.3433246934852306E-2</v>
      </c>
      <c r="G163" s="447">
        <f>G95*Calc_SEC_retirement_rates!$G142</f>
        <v>3.3374878141676931E-2</v>
      </c>
      <c r="H163" s="447">
        <f>H95*Calc_SEC_retirement_rates!$G142</f>
        <v>3.3651184232109339E-2</v>
      </c>
      <c r="I163" s="447">
        <f>I95*Calc_SEC_retirement_rates!$G142</f>
        <v>3.4087448306786138E-2</v>
      </c>
      <c r="J163" s="447">
        <f>J95*Calc_SEC_retirement_rates!$G142</f>
        <v>3.4809992070507452E-2</v>
      </c>
      <c r="K163" s="447">
        <f>K95*Calc_SEC_retirement_rates!$G142</f>
        <v>3.5717113212919774E-2</v>
      </c>
      <c r="L163" s="447">
        <f>L95*Calc_SEC_retirement_rates!$G142</f>
        <v>3.6467758603315206E-2</v>
      </c>
      <c r="M163" s="447">
        <f>M95*Calc_SEC_retirement_rates!$G142</f>
        <v>3.7053849981654494E-2</v>
      </c>
      <c r="N163" s="447">
        <f>N95*Calc_SEC_retirement_rates!$G142</f>
        <v>3.7560973623429382E-2</v>
      </c>
    </row>
    <row r="164" spans="1:14">
      <c r="B164" s="331" t="str">
        <f t="shared" si="59"/>
        <v>35-39</v>
      </c>
      <c r="C164" s="447">
        <f>C96*Calc_SEC_retirement_rates!$G143</f>
        <v>0.17185385900366576</v>
      </c>
      <c r="D164" s="447">
        <f>D96*Calc_SEC_retirement_rates!$G143</f>
        <v>0.16109972102449893</v>
      </c>
      <c r="E164" s="447">
        <f>E96*Calc_SEC_retirement_rates!$G143</f>
        <v>0.15207025169763819</v>
      </c>
      <c r="F164" s="447">
        <f>F96*Calc_SEC_retirement_rates!$G143</f>
        <v>0.1449904674455133</v>
      </c>
      <c r="G164" s="447">
        <f>G96*Calc_SEC_retirement_rates!$G143</f>
        <v>0.13922541260691179</v>
      </c>
      <c r="H164" s="447">
        <f>H96*Calc_SEC_retirement_rates!$G143</f>
        <v>0.13491229362680304</v>
      </c>
      <c r="I164" s="447">
        <f>I96*Calc_SEC_retirement_rates!$G143</f>
        <v>0.13184387449757881</v>
      </c>
      <c r="J164" s="447">
        <f>J96*Calc_SEC_retirement_rates!$G143</f>
        <v>0.13037664051840359</v>
      </c>
      <c r="K164" s="447">
        <f>K96*Calc_SEC_retirement_rates!$G143</f>
        <v>0.13018568680266673</v>
      </c>
      <c r="L164" s="447">
        <f>L96*Calc_SEC_retirement_rates!$G143</f>
        <v>0.13033408955376202</v>
      </c>
      <c r="M164" s="447">
        <f>M96*Calc_SEC_retirement_rates!$G143</f>
        <v>0.13070810359922075</v>
      </c>
      <c r="N164" s="447">
        <f>N96*Calc_SEC_retirement_rates!$G143</f>
        <v>0.13138642273829862</v>
      </c>
    </row>
    <row r="165" spans="1:14">
      <c r="B165" s="331" t="str">
        <f t="shared" si="59"/>
        <v>40-44</v>
      </c>
      <c r="C165" s="447">
        <f>C97*Calc_SEC_retirement_rates!$G144</f>
        <v>0.34132801497862436</v>
      </c>
      <c r="D165" s="447">
        <f>D97*Calc_SEC_retirement_rates!$G144</f>
        <v>0.34110785010064187</v>
      </c>
      <c r="E165" s="447">
        <f>E97*Calc_SEC_retirement_rates!$G144</f>
        <v>0.33803135698476022</v>
      </c>
      <c r="F165" s="447">
        <f>F97*Calc_SEC_retirement_rates!$G144</f>
        <v>0.33307665793831875</v>
      </c>
      <c r="G165" s="447">
        <f>G97*Calc_SEC_retirement_rates!$G144</f>
        <v>0.32595422244889327</v>
      </c>
      <c r="H165" s="447">
        <f>H97*Calc_SEC_retirement_rates!$G144</f>
        <v>0.31816488625767231</v>
      </c>
      <c r="I165" s="447">
        <f>I97*Calc_SEC_retirement_rates!$G144</f>
        <v>0.31043428908731613</v>
      </c>
      <c r="J165" s="447">
        <f>J97*Calc_SEC_retirement_rates!$G144</f>
        <v>0.30441598113009866</v>
      </c>
      <c r="K165" s="447">
        <f>K97*Calc_SEC_retirement_rates!$G144</f>
        <v>0.30016655803772369</v>
      </c>
      <c r="L165" s="447">
        <f>L97*Calc_SEC_retirement_rates!$G144</f>
        <v>0.2963624505850635</v>
      </c>
      <c r="M165" s="447">
        <f>M97*Calc_SEC_retirement_rates!$G144</f>
        <v>0.29318992859007542</v>
      </c>
      <c r="N165" s="447">
        <f>N97*Calc_SEC_retirement_rates!$G144</f>
        <v>0.29106033213679378</v>
      </c>
    </row>
    <row r="166" spans="1:14">
      <c r="B166" s="331" t="str">
        <f t="shared" si="59"/>
        <v>45-49</v>
      </c>
      <c r="C166" s="447">
        <f>C98*Calc_SEC_retirement_rates!$G145</f>
        <v>0.43873787198507047</v>
      </c>
      <c r="D166" s="447">
        <f>D98*Calc_SEC_retirement_rates!$G145</f>
        <v>0.43556459984075296</v>
      </c>
      <c r="E166" s="447">
        <f>E98*Calc_SEC_retirement_rates!$G145</f>
        <v>0.43527419519716165</v>
      </c>
      <c r="F166" s="447">
        <f>F98*Calc_SEC_retirement_rates!$G145</f>
        <v>0.43555254439976648</v>
      </c>
      <c r="G166" s="447">
        <f>G98*Calc_SEC_retirement_rates!$G145</f>
        <v>0.43368506336547313</v>
      </c>
      <c r="H166" s="447">
        <f>H98*Calc_SEC_retirement_rates!$G145</f>
        <v>0.43017269287717835</v>
      </c>
      <c r="I166" s="447">
        <f>I98*Calc_SEC_retirement_rates!$G145</f>
        <v>0.42519778577343936</v>
      </c>
      <c r="J166" s="447">
        <f>J98*Calc_SEC_retirement_rates!$G145</f>
        <v>0.4206078162407888</v>
      </c>
      <c r="K166" s="447">
        <f>K98*Calc_SEC_retirement_rates!$G145</f>
        <v>0.4165723360071204</v>
      </c>
      <c r="L166" s="447">
        <f>L98*Calc_SEC_retirement_rates!$G145</f>
        <v>0.41169815289921419</v>
      </c>
      <c r="M166" s="447">
        <f>M98*Calc_SEC_retirement_rates!$G145</f>
        <v>0.40654626529436938</v>
      </c>
      <c r="N166" s="447">
        <f>N98*Calc_SEC_retirement_rates!$G145</f>
        <v>0.40197745658567546</v>
      </c>
    </row>
    <row r="167" spans="1:14">
      <c r="B167" s="331" t="str">
        <f t="shared" si="59"/>
        <v>50-54</v>
      </c>
      <c r="C167" s="447">
        <f>C99*Calc_SEC_retirement_rates!$G146</f>
        <v>8.5855324819187366</v>
      </c>
      <c r="D167" s="447">
        <f>D99*Calc_SEC_retirement_rates!$G146</f>
        <v>8.2524472260749206</v>
      </c>
      <c r="E167" s="447">
        <f>E99*Calc_SEC_retirement_rates!$G146</f>
        <v>8.0405271458096301</v>
      </c>
      <c r="F167" s="447">
        <f>F99*Calc_SEC_retirement_rates!$G146</f>
        <v>7.9124631217617845</v>
      </c>
      <c r="G167" s="447">
        <f>G99*Calc_SEC_retirement_rates!$G146</f>
        <v>7.8109140793788105</v>
      </c>
      <c r="H167" s="447">
        <f>H99*Calc_SEC_retirement_rates!$G146</f>
        <v>7.7288396918420075</v>
      </c>
      <c r="I167" s="447">
        <f>I99*Calc_SEC_retirement_rates!$G146</f>
        <v>7.6520262840243705</v>
      </c>
      <c r="J167" s="447">
        <f>J99*Calc_SEC_retirement_rates!$G146</f>
        <v>7.597534095844888</v>
      </c>
      <c r="K167" s="447">
        <f>K99*Calc_SEC_retirement_rates!$G146</f>
        <v>7.5568165085384491</v>
      </c>
      <c r="L167" s="447">
        <f>L99*Calc_SEC_retirement_rates!$G146</f>
        <v>7.4980353151807417</v>
      </c>
      <c r="M167" s="447">
        <f>M99*Calc_SEC_retirement_rates!$G146</f>
        <v>7.4266628853220338</v>
      </c>
      <c r="N167" s="447">
        <f>N99*Calc_SEC_retirement_rates!$G146</f>
        <v>7.3558650285349048</v>
      </c>
    </row>
    <row r="168" spans="1:14">
      <c r="B168" s="331" t="str">
        <f t="shared" si="59"/>
        <v>55-59</v>
      </c>
      <c r="C168" s="447">
        <f>C100*Calc_SEC_retirement_rates!$G147</f>
        <v>36.662137635879972</v>
      </c>
      <c r="D168" s="447">
        <f>D100*Calc_SEC_retirement_rates!$G147</f>
        <v>34.678623058272663</v>
      </c>
      <c r="E168" s="447">
        <f>E100*Calc_SEC_retirement_rates!$G147</f>
        <v>33.241296644647441</v>
      </c>
      <c r="F168" s="447">
        <f>F100*Calc_SEC_retirement_rates!$G147</f>
        <v>32.232790811327185</v>
      </c>
      <c r="G168" s="447">
        <f>G100*Calc_SEC_retirement_rates!$G147</f>
        <v>31.41885434899098</v>
      </c>
      <c r="H168" s="447">
        <f>H100*Calc_SEC_retirement_rates!$G147</f>
        <v>30.788291803434728</v>
      </c>
      <c r="I168" s="447">
        <f>I100*Calc_SEC_retirement_rates!$G147</f>
        <v>30.284587665241919</v>
      </c>
      <c r="J168" s="447">
        <f>J100*Calc_SEC_retirement_rates!$G147</f>
        <v>29.981055302259154</v>
      </c>
      <c r="K168" s="447">
        <f>K100*Calc_SEC_retirement_rates!$G147</f>
        <v>29.809116965104309</v>
      </c>
      <c r="L168" s="447">
        <f>L100*Calc_SEC_retirement_rates!$G147</f>
        <v>29.590653307085713</v>
      </c>
      <c r="M168" s="447">
        <f>M100*Calc_SEC_retirement_rates!$G147</f>
        <v>29.338594493066076</v>
      </c>
      <c r="N168" s="447">
        <f>N100*Calc_SEC_retirement_rates!$G147</f>
        <v>29.100863768576083</v>
      </c>
    </row>
    <row r="169" spans="1:14">
      <c r="B169" s="331" t="str">
        <f t="shared" si="59"/>
        <v>60-64</v>
      </c>
      <c r="C169" s="447">
        <f>C101*Calc_SEC_retirement_rates!$G148</f>
        <v>21.574679400567227</v>
      </c>
      <c r="D169" s="447">
        <f>D101*Calc_SEC_retirement_rates!$G148</f>
        <v>22.181666122095152</v>
      </c>
      <c r="E169" s="447">
        <f>E101*Calc_SEC_retirement_rates!$G148</f>
        <v>22.143924029639415</v>
      </c>
      <c r="F169" s="447">
        <f>F101*Calc_SEC_retirement_rates!$G148</f>
        <v>21.882481748997261</v>
      </c>
      <c r="G169" s="447">
        <f>G101*Calc_SEC_retirement_rates!$G148</f>
        <v>21.456256105623925</v>
      </c>
      <c r="H169" s="447">
        <f>H101*Calc_SEC_retirement_rates!$G148</f>
        <v>21.016779835713397</v>
      </c>
      <c r="I169" s="447">
        <f>I101*Calc_SEC_retirement_rates!$G148</f>
        <v>20.610806611193627</v>
      </c>
      <c r="J169" s="447">
        <f>J101*Calc_SEC_retirement_rates!$G148</f>
        <v>20.364873750053601</v>
      </c>
      <c r="K169" s="447">
        <f>K101*Calc_SEC_retirement_rates!$G148</f>
        <v>20.235911523628744</v>
      </c>
      <c r="L169" s="447">
        <f>L101*Calc_SEC_retirement_rates!$G148</f>
        <v>20.065694884495283</v>
      </c>
      <c r="M169" s="447">
        <f>M101*Calc_SEC_retirement_rates!$G148</f>
        <v>19.878432186724012</v>
      </c>
      <c r="N169" s="447">
        <f>N101*Calc_SEC_retirement_rates!$G148</f>
        <v>19.721063782318712</v>
      </c>
    </row>
    <row r="170" spans="1:14">
      <c r="B170" s="331" t="str">
        <f t="shared" si="59"/>
        <v>65 plus</v>
      </c>
      <c r="C170" s="447">
        <f>C102*Calc_SEC_retirement_rates!$G149</f>
        <v>3.9763657382752937</v>
      </c>
      <c r="D170" s="447">
        <f>D102*Calc_SEC_retirement_rates!$G149</f>
        <v>5.7176420222455615</v>
      </c>
      <c r="E170" s="447">
        <f>E102*Calc_SEC_retirement_rates!$G149</f>
        <v>6.9795699104412554</v>
      </c>
      <c r="F170" s="447">
        <f>F102*Calc_SEC_retirement_rates!$G149</f>
        <v>7.8412556071536121</v>
      </c>
      <c r="G170" s="447">
        <f>G102*Calc_SEC_retirement_rates!$G149</f>
        <v>8.3545854307643861</v>
      </c>
      <c r="H170" s="447">
        <f>H102*Calc_SEC_retirement_rates!$G149</f>
        <v>8.632056294604082</v>
      </c>
      <c r="I170" s="447">
        <f>I102*Calc_SEC_retirement_rates!$G149</f>
        <v>8.7530046323788628</v>
      </c>
      <c r="J170" s="447">
        <f>J102*Calc_SEC_retirement_rates!$G149</f>
        <v>8.8185815301769459</v>
      </c>
      <c r="K170" s="447">
        <f>K102*Calc_SEC_retirement_rates!$G149</f>
        <v>8.8607790214911688</v>
      </c>
      <c r="L170" s="447">
        <f>L102*Calc_SEC_retirement_rates!$G149</f>
        <v>8.850271926389107</v>
      </c>
      <c r="M170" s="447">
        <f>M102*Calc_SEC_retirement_rates!$G149</f>
        <v>8.8070103293788371</v>
      </c>
      <c r="N170" s="447">
        <f>N102*Calc_SEC_retirement_rates!$G149</f>
        <v>8.7585463796117189</v>
      </c>
    </row>
    <row r="171" spans="1:14">
      <c r="B171" s="331" t="str">
        <f t="shared" si="59"/>
        <v>Total</v>
      </c>
      <c r="C171" s="447">
        <f>SUM(C161:C170)</f>
        <v>71.78931096713336</v>
      </c>
      <c r="D171" s="447">
        <f t="shared" ref="D171:N171" si="61">SUM(D161:D170)</f>
        <v>71.803799226971719</v>
      </c>
      <c r="E171" s="447">
        <f t="shared" si="61"/>
        <v>71.364692902378351</v>
      </c>
      <c r="F171" s="447">
        <f t="shared" si="61"/>
        <v>70.816044205958292</v>
      </c>
      <c r="G171" s="447">
        <f t="shared" si="61"/>
        <v>69.972849541321054</v>
      </c>
      <c r="H171" s="447">
        <f t="shared" si="61"/>
        <v>69.082868682587971</v>
      </c>
      <c r="I171" s="447">
        <f t="shared" si="61"/>
        <v>68.201988590503902</v>
      </c>
      <c r="J171" s="447">
        <f t="shared" si="61"/>
        <v>67.652255108294383</v>
      </c>
      <c r="K171" s="447">
        <f t="shared" si="61"/>
        <v>67.345265712823107</v>
      </c>
      <c r="L171" s="447">
        <f t="shared" si="61"/>
        <v>66.879517884792207</v>
      </c>
      <c r="M171" s="447">
        <f t="shared" si="61"/>
        <v>66.318198041956279</v>
      </c>
      <c r="N171" s="447">
        <f t="shared" si="61"/>
        <v>65.798324144125615</v>
      </c>
    </row>
    <row r="172" spans="1:14">
      <c r="A172" s="302">
        <f>SUM(C172:N172)</f>
        <v>0</v>
      </c>
      <c r="C172" s="302">
        <f t="shared" ref="C172:N172" si="62">SUM(C161:C170)-C171</f>
        <v>0</v>
      </c>
      <c r="D172" s="302">
        <f t="shared" si="62"/>
        <v>0</v>
      </c>
      <c r="E172" s="302">
        <f t="shared" si="62"/>
        <v>0</v>
      </c>
      <c r="F172" s="302">
        <f t="shared" si="62"/>
        <v>0</v>
      </c>
      <c r="G172" s="302">
        <f t="shared" si="62"/>
        <v>0</v>
      </c>
      <c r="H172" s="302">
        <f t="shared" si="62"/>
        <v>0</v>
      </c>
      <c r="I172" s="302">
        <f t="shared" si="62"/>
        <v>0</v>
      </c>
      <c r="J172" s="302">
        <f t="shared" si="62"/>
        <v>0</v>
      </c>
      <c r="K172" s="302">
        <f t="shared" si="62"/>
        <v>0</v>
      </c>
      <c r="L172" s="302">
        <f t="shared" si="62"/>
        <v>0</v>
      </c>
      <c r="M172" s="302">
        <f t="shared" si="62"/>
        <v>0</v>
      </c>
      <c r="N172" s="302">
        <f t="shared" si="62"/>
        <v>0</v>
      </c>
    </row>
    <row r="174" spans="1:14" ht="15.75">
      <c r="B174" s="333" t="s">
        <v>527</v>
      </c>
      <c r="H174" s="318"/>
    </row>
    <row r="175" spans="1:14">
      <c r="H175" s="318"/>
    </row>
    <row r="176" spans="1:14">
      <c r="B176" s="334" t="s">
        <v>46</v>
      </c>
      <c r="H176" s="318"/>
    </row>
    <row r="177" spans="1:14">
      <c r="H177" s="318"/>
    </row>
    <row r="178" spans="1:14">
      <c r="B178" s="331" t="str">
        <f t="shared" ref="B178:B189" si="63">B144</f>
        <v>Age group</v>
      </c>
      <c r="C178" s="331" t="str">
        <f t="shared" ref="C178:N178" si="64">C144</f>
        <v>2017/18</v>
      </c>
      <c r="D178" s="331" t="str">
        <f t="shared" si="64"/>
        <v>2018/19</v>
      </c>
      <c r="E178" s="331" t="str">
        <f t="shared" si="64"/>
        <v>2019/20</v>
      </c>
      <c r="F178" s="331" t="str">
        <f t="shared" si="64"/>
        <v>2020/21</v>
      </c>
      <c r="G178" s="331" t="str">
        <f t="shared" si="64"/>
        <v>2021/22</v>
      </c>
      <c r="H178" s="331" t="str">
        <f t="shared" si="64"/>
        <v>2022/23</v>
      </c>
      <c r="I178" s="331" t="str">
        <f t="shared" si="64"/>
        <v>2023/24</v>
      </c>
      <c r="J178" s="331" t="str">
        <f t="shared" si="64"/>
        <v>2024/25</v>
      </c>
      <c r="K178" s="331" t="str">
        <f t="shared" si="64"/>
        <v>2025/26</v>
      </c>
      <c r="L178" s="331" t="str">
        <f t="shared" si="64"/>
        <v>2026/27</v>
      </c>
      <c r="M178" s="331" t="str">
        <f t="shared" si="64"/>
        <v>2027/28</v>
      </c>
      <c r="N178" s="331" t="str">
        <f t="shared" si="64"/>
        <v>2028/29</v>
      </c>
    </row>
    <row r="179" spans="1:14">
      <c r="B179" s="331" t="str">
        <f t="shared" si="63"/>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3"/>
        <v>25-29</v>
      </c>
      <c r="C180" s="447">
        <f>C78*Calc_SEC_death_rates!$G125</f>
        <v>3.3601117159160546E-2</v>
      </c>
      <c r="D180" s="447">
        <f>D78*Calc_SEC_death_rates!$G125</f>
        <v>3.4863927062317578E-2</v>
      </c>
      <c r="E180" s="447">
        <f>E78*Calc_SEC_death_rates!$G125</f>
        <v>3.778002010776578E-2</v>
      </c>
      <c r="F180" s="447">
        <f>F78*Calc_SEC_death_rates!$G125</f>
        <v>4.1276175631439573E-2</v>
      </c>
      <c r="G180" s="447">
        <f>G78*Calc_SEC_death_rates!$G125</f>
        <v>4.4302039916198917E-2</v>
      </c>
      <c r="H180" s="447">
        <f>H78*Calc_SEC_death_rates!$G125</f>
        <v>4.6698309915574499E-2</v>
      </c>
      <c r="I180" s="447">
        <f>I78*Calc_SEC_death_rates!$G125</f>
        <v>4.8475858382981178E-2</v>
      </c>
      <c r="J180" s="447">
        <f>J78*Calc_SEC_death_rates!$G125</f>
        <v>5.036386630172876E-2</v>
      </c>
      <c r="K180" s="447">
        <f>K78*Calc_SEC_death_rates!$G125</f>
        <v>5.2258390929691034E-2</v>
      </c>
      <c r="L180" s="447">
        <f>L78*Calc_SEC_death_rates!$G125</f>
        <v>5.3382869278799532E-2</v>
      </c>
      <c r="M180" s="447">
        <f>M78*Calc_SEC_death_rates!$G125</f>
        <v>5.3963146654299944E-2</v>
      </c>
      <c r="N180" s="447">
        <f>N78*Calc_SEC_death_rates!$G125</f>
        <v>5.4383709401223383E-2</v>
      </c>
    </row>
    <row r="181" spans="1:14">
      <c r="B181" s="331" t="str">
        <f t="shared" si="63"/>
        <v>30-34</v>
      </c>
      <c r="C181" s="447">
        <f>C79*Calc_SEC_death_rates!$G126</f>
        <v>0.20730232819618902</v>
      </c>
      <c r="D181" s="447">
        <f>D79*Calc_SEC_death_rates!$G126</f>
        <v>0.18653776812774822</v>
      </c>
      <c r="E181" s="447">
        <f>E79*Calc_SEC_death_rates!$G126</f>
        <v>0.17460658341812954</v>
      </c>
      <c r="F181" s="447">
        <f>F79*Calc_SEC_death_rates!$G126</f>
        <v>0.16854485535845176</v>
      </c>
      <c r="G181" s="447">
        <f>G79*Calc_SEC_death_rates!$G126</f>
        <v>0.16616820604758312</v>
      </c>
      <c r="H181" s="447">
        <f>H79*Calc_SEC_death_rates!$G126</f>
        <v>0.16588534179424774</v>
      </c>
      <c r="I181" s="447">
        <f>I79*Calc_SEC_death_rates!$G126</f>
        <v>0.16671679166354336</v>
      </c>
      <c r="J181" s="447">
        <f>J79*Calc_SEC_death_rates!$G126</f>
        <v>0.16919016969672004</v>
      </c>
      <c r="K181" s="447">
        <f>K79*Calc_SEC_death_rates!$G126</f>
        <v>0.17275203098459169</v>
      </c>
      <c r="L181" s="447">
        <f>L79*Calc_SEC_death_rates!$G126</f>
        <v>0.1756989293013351</v>
      </c>
      <c r="M181" s="447">
        <f>M79*Calc_SEC_death_rates!$G126</f>
        <v>0.17795901651911231</v>
      </c>
      <c r="N181" s="447">
        <f>N79*Calc_SEC_death_rates!$G126</f>
        <v>0.17992852046553914</v>
      </c>
    </row>
    <row r="182" spans="1:14">
      <c r="B182" s="331" t="str">
        <f t="shared" si="63"/>
        <v>35-39</v>
      </c>
      <c r="C182" s="447">
        <f>C80*Calc_SEC_death_rates!$G127</f>
        <v>0.44164829762991942</v>
      </c>
      <c r="D182" s="447">
        <f>D80*Calc_SEC_death_rates!$G127</f>
        <v>0.4191619061411242</v>
      </c>
      <c r="E182" s="447">
        <f>E80*Calc_SEC_death_rates!$G127</f>
        <v>0.3991667297402004</v>
      </c>
      <c r="F182" s="447">
        <f>F80*Calc_SEC_death_rates!$G127</f>
        <v>0.38119496768042327</v>
      </c>
      <c r="G182" s="447">
        <f>G80*Calc_SEC_death_rates!$G127</f>
        <v>0.36645064596827898</v>
      </c>
      <c r="H182" s="447">
        <f>H80*Calc_SEC_death_rates!$G127</f>
        <v>0.3546672489321322</v>
      </c>
      <c r="I182" s="447">
        <f>I80*Calc_SEC_death_rates!$G127</f>
        <v>0.34569094950029339</v>
      </c>
      <c r="J182" s="447">
        <f>J80*Calc_SEC_death_rates!$G127</f>
        <v>0.34066559069935914</v>
      </c>
      <c r="K182" s="447">
        <f>K80*Calc_SEC_death_rates!$G127</f>
        <v>0.33889268448579607</v>
      </c>
      <c r="L182" s="447">
        <f>L80*Calc_SEC_death_rates!$G127</f>
        <v>0.33804261106918382</v>
      </c>
      <c r="M182" s="447">
        <f>M80*Calc_SEC_death_rates!$G127</f>
        <v>0.33786060140351121</v>
      </c>
      <c r="N182" s="447">
        <f>N80*Calc_SEC_death_rates!$G127</f>
        <v>0.33856432717670493</v>
      </c>
    </row>
    <row r="183" spans="1:14">
      <c r="B183" s="331" t="str">
        <f t="shared" si="63"/>
        <v>40-44</v>
      </c>
      <c r="C183" s="447">
        <f>C81*Calc_SEC_death_rates!$G128</f>
        <v>0.54589738402068666</v>
      </c>
      <c r="D183" s="447">
        <f>D81*Calc_SEC_death_rates!$G128</f>
        <v>0.55099754567626291</v>
      </c>
      <c r="E183" s="447">
        <f>E81*Calc_SEC_death_rates!$G128</f>
        <v>0.55331137025202481</v>
      </c>
      <c r="F183" s="447">
        <f>F81*Calc_SEC_death_rates!$G128</f>
        <v>0.55057257288059136</v>
      </c>
      <c r="G183" s="447">
        <f>G81*Calc_SEC_death_rates!$G128</f>
        <v>0.54434680668678992</v>
      </c>
      <c r="H183" s="447">
        <f>H81*Calc_SEC_death_rates!$G128</f>
        <v>0.53551127056154546</v>
      </c>
      <c r="I183" s="447">
        <f>I81*Calc_SEC_death_rates!$G128</f>
        <v>0.52544082294961647</v>
      </c>
      <c r="J183" s="447">
        <f>J81*Calc_SEC_death_rates!$G128</f>
        <v>0.51709715014826485</v>
      </c>
      <c r="K183" s="447">
        <f>K81*Calc_SEC_death_rates!$G128</f>
        <v>0.51083673807616858</v>
      </c>
      <c r="L183" s="447">
        <f>L81*Calc_SEC_death_rates!$G128</f>
        <v>0.50471787646969579</v>
      </c>
      <c r="M183" s="447">
        <f>M81*Calc_SEC_death_rates!$G128</f>
        <v>0.499221562780998</v>
      </c>
      <c r="N183" s="447">
        <f>N81*Calc_SEC_death_rates!$G128</f>
        <v>0.49516448526247503</v>
      </c>
    </row>
    <row r="184" spans="1:14">
      <c r="B184" s="331" t="str">
        <f t="shared" si="63"/>
        <v>45-49</v>
      </c>
      <c r="C184" s="447">
        <f>C82*Calc_SEC_death_rates!$G129</f>
        <v>0.74918034981334536</v>
      </c>
      <c r="D184" s="447">
        <f>D82*Calc_SEC_death_rates!$G129</f>
        <v>0.72723415519586343</v>
      </c>
      <c r="E184" s="447">
        <f>E82*Calc_SEC_death_rates!$G129</f>
        <v>0.71921454936429063</v>
      </c>
      <c r="F184" s="447">
        <f>F82*Calc_SEC_death_rates!$G129</f>
        <v>0.71483206927544485</v>
      </c>
      <c r="G184" s="447">
        <f>G82*Calc_SEC_death_rates!$G129</f>
        <v>0.71201537359442169</v>
      </c>
      <c r="H184" s="447">
        <f>H82*Calc_SEC_death_rates!$G129</f>
        <v>0.70794564733019949</v>
      </c>
      <c r="I184" s="447">
        <f>I82*Calc_SEC_death_rates!$G129</f>
        <v>0.70209687316931779</v>
      </c>
      <c r="J184" s="447">
        <f>J82*Calc_SEC_death_rates!$G129</f>
        <v>0.69695032643352839</v>
      </c>
      <c r="K184" s="447">
        <f>K82*Calc_SEC_death_rates!$G129</f>
        <v>0.69246605881597645</v>
      </c>
      <c r="L184" s="447">
        <f>L82*Calc_SEC_death_rates!$G129</f>
        <v>0.68621213735005082</v>
      </c>
      <c r="M184" s="447">
        <f>M82*Calc_SEC_death_rates!$G129</f>
        <v>0.67905779732285843</v>
      </c>
      <c r="N184" s="447">
        <f>N82*Calc_SEC_death_rates!$G129</f>
        <v>0.67242356872291653</v>
      </c>
    </row>
    <row r="185" spans="1:14">
      <c r="B185" s="331" t="str">
        <f t="shared" si="63"/>
        <v>50-54</v>
      </c>
      <c r="C185" s="447">
        <f>C83*Calc_SEC_death_rates!$G130</f>
        <v>0.64332121071249171</v>
      </c>
      <c r="D185" s="447">
        <f>D83*Calc_SEC_death_rates!$G130</f>
        <v>0.63435688350136965</v>
      </c>
      <c r="E185" s="447">
        <f>E83*Calc_SEC_death_rates!$G130</f>
        <v>0.62932373550142651</v>
      </c>
      <c r="F185" s="447">
        <f>F83*Calc_SEC_death_rates!$G130</f>
        <v>0.62457921531959004</v>
      </c>
      <c r="G185" s="447">
        <f>G83*Calc_SEC_death_rates!$G130</f>
        <v>0.62144684005961592</v>
      </c>
      <c r="H185" s="447">
        <f>H83*Calc_SEC_death_rates!$G130</f>
        <v>0.61841713000767051</v>
      </c>
      <c r="I185" s="447">
        <f>I83*Calc_SEC_death_rates!$G130</f>
        <v>0.61506811850118759</v>
      </c>
      <c r="J185" s="447">
        <f>J83*Calc_SEC_death_rates!$G130</f>
        <v>0.61316211110335161</v>
      </c>
      <c r="K185" s="447">
        <f>K83*Calc_SEC_death_rates!$G130</f>
        <v>0.6121208515866704</v>
      </c>
      <c r="L185" s="447">
        <f>L83*Calc_SEC_death_rates!$G130</f>
        <v>0.60934499227931349</v>
      </c>
      <c r="M185" s="447">
        <f>M83*Calc_SEC_death_rates!$G130</f>
        <v>0.60528616392713652</v>
      </c>
      <c r="N185" s="447">
        <f>N83*Calc_SEC_death_rates!$G130</f>
        <v>0.6010172732204524</v>
      </c>
    </row>
    <row r="186" spans="1:14">
      <c r="B186" s="331" t="str">
        <f t="shared" si="63"/>
        <v>55-59</v>
      </c>
      <c r="C186" s="447">
        <f>C84*Calc_SEC_death_rates!$G131</f>
        <v>0.56520365331736222</v>
      </c>
      <c r="D186" s="447">
        <f>D84*Calc_SEC_death_rates!$G131</f>
        <v>0.51636060476286871</v>
      </c>
      <c r="E186" s="447">
        <f>E84*Calc_SEC_death_rates!$G131</f>
        <v>0.49046889356617046</v>
      </c>
      <c r="F186" s="447">
        <f>F84*Calc_SEC_death_rates!$G131</f>
        <v>0.47511146484363265</v>
      </c>
      <c r="G186" s="447">
        <f>G84*Calc_SEC_death_rates!$G131</f>
        <v>0.46566072659754948</v>
      </c>
      <c r="H186" s="447">
        <f>H84*Calc_SEC_death_rates!$G131</f>
        <v>0.45912352039565679</v>
      </c>
      <c r="I186" s="447">
        <f>I84*Calc_SEC_death_rates!$G131</f>
        <v>0.45419308516072149</v>
      </c>
      <c r="J186" s="447">
        <f>J84*Calc_SEC_death_rates!$G131</f>
        <v>0.45203233402411552</v>
      </c>
      <c r="K186" s="447">
        <f>K84*Calc_SEC_death_rates!$G131</f>
        <v>0.45157494752156918</v>
      </c>
      <c r="L186" s="447">
        <f>L84*Calc_SEC_death_rates!$G131</f>
        <v>0.45000489131952209</v>
      </c>
      <c r="M186" s="447">
        <f>M84*Calc_SEC_death_rates!$G131</f>
        <v>0.44763576431199531</v>
      </c>
      <c r="N186" s="447">
        <f>N84*Calc_SEC_death_rates!$G131</f>
        <v>0.44530265114153172</v>
      </c>
    </row>
    <row r="187" spans="1:14">
      <c r="B187" s="331" t="str">
        <f t="shared" si="63"/>
        <v>60-64</v>
      </c>
      <c r="C187" s="447">
        <f>C85*Calc_SEC_death_rates!$G132</f>
        <v>0.32118196851544134</v>
      </c>
      <c r="D187" s="447">
        <f>D85*Calc_SEC_death_rates!$G132</f>
        <v>0.32211163027680478</v>
      </c>
      <c r="E187" s="447">
        <f>E85*Calc_SEC_death_rates!$G132</f>
        <v>0.31472624085389295</v>
      </c>
      <c r="F187" s="447">
        <f>F85*Calc_SEC_death_rates!$G132</f>
        <v>0.3061419795603641</v>
      </c>
      <c r="G187" s="447">
        <f>G85*Calc_SEC_death_rates!$G132</f>
        <v>0.29861215280298259</v>
      </c>
      <c r="H187" s="447">
        <f>H85*Calc_SEC_death_rates!$G132</f>
        <v>0.29238907152144195</v>
      </c>
      <c r="I187" s="447">
        <f>I85*Calc_SEC_death_rates!$G132</f>
        <v>0.2874036380930568</v>
      </c>
      <c r="J187" s="447">
        <f>J85*Calc_SEC_death_rates!$G132</f>
        <v>0.28514512437063949</v>
      </c>
      <c r="K187" s="447">
        <f>K85*Calc_SEC_death_rates!$G132</f>
        <v>0.28465897454337702</v>
      </c>
      <c r="L187" s="447">
        <f>L85*Calc_SEC_death_rates!$G132</f>
        <v>0.2833573524364798</v>
      </c>
      <c r="M187" s="447">
        <f>M85*Calc_SEC_death_rates!$G132</f>
        <v>0.2816317037148014</v>
      </c>
      <c r="N187" s="447">
        <f>N85*Calc_SEC_death_rates!$G132</f>
        <v>0.28024205279698661</v>
      </c>
    </row>
    <row r="188" spans="1:14">
      <c r="B188" s="331" t="str">
        <f t="shared" si="63"/>
        <v>65 plus</v>
      </c>
      <c r="C188" s="447">
        <f>C86*Calc_SEC_death_rates!$G133</f>
        <v>7.6402348337607173E-2</v>
      </c>
      <c r="D188" s="447">
        <f>D86*Calc_SEC_death_rates!$G133</f>
        <v>9.6913427927385942E-2</v>
      </c>
      <c r="E188" s="447">
        <f>E86*Calc_SEC_death_rates!$G133</f>
        <v>0.11058758173699286</v>
      </c>
      <c r="F188" s="447">
        <f>F86*Calc_SEC_death_rates!$G133</f>
        <v>0.11794029280795902</v>
      </c>
      <c r="G188" s="447">
        <f>G86*Calc_SEC_death_rates!$G133</f>
        <v>0.12133465925019943</v>
      </c>
      <c r="H188" s="447">
        <f>H86*Calc_SEC_death_rates!$G133</f>
        <v>0.12222223430656125</v>
      </c>
      <c r="I188" s="447">
        <f>I86*Calc_SEC_death_rates!$G133</f>
        <v>0.12178815358023254</v>
      </c>
      <c r="J188" s="447">
        <f>J86*Calc_SEC_death_rates!$G133</f>
        <v>0.12150761561598017</v>
      </c>
      <c r="K188" s="447">
        <f>K86*Calc_SEC_death_rates!$G133</f>
        <v>0.12155908816209188</v>
      </c>
      <c r="L188" s="447">
        <f>L86*Calc_SEC_death_rates!$G133</f>
        <v>0.12111103747299132</v>
      </c>
      <c r="M188" s="447">
        <f>M86*Calc_SEC_death_rates!$G133</f>
        <v>0.12037927758311039</v>
      </c>
      <c r="N188" s="447">
        <f>N86*Calc_SEC_death_rates!$G133</f>
        <v>0.11975243963836148</v>
      </c>
    </row>
    <row r="189" spans="1:14">
      <c r="B189" s="331" t="str">
        <f t="shared" si="63"/>
        <v>Total</v>
      </c>
      <c r="C189" s="447">
        <f>SUM(C179:C188)</f>
        <v>3.5837386577022037</v>
      </c>
      <c r="D189" s="447">
        <f t="shared" ref="D189:N189" si="65">SUM(D179:D188)</f>
        <v>3.4885378486717453</v>
      </c>
      <c r="E189" s="447">
        <f t="shared" si="65"/>
        <v>3.4291857045408944</v>
      </c>
      <c r="F189" s="447">
        <f t="shared" si="65"/>
        <v>3.3801935933578968</v>
      </c>
      <c r="G189" s="447">
        <f t="shared" si="65"/>
        <v>3.3403374509236197</v>
      </c>
      <c r="H189" s="447">
        <f t="shared" si="65"/>
        <v>3.3028597747650297</v>
      </c>
      <c r="I189" s="447">
        <f t="shared" si="65"/>
        <v>3.2668742910009509</v>
      </c>
      <c r="J189" s="447">
        <f t="shared" si="65"/>
        <v>3.246114288393688</v>
      </c>
      <c r="K189" s="447">
        <f t="shared" si="65"/>
        <v>3.2371197651059322</v>
      </c>
      <c r="L189" s="447">
        <f t="shared" si="65"/>
        <v>3.2218726969773717</v>
      </c>
      <c r="M189" s="447">
        <f t="shared" si="65"/>
        <v>3.2029950342178242</v>
      </c>
      <c r="N189" s="447">
        <f t="shared" si="65"/>
        <v>3.1867790278261912</v>
      </c>
    </row>
    <row r="190" spans="1:14">
      <c r="A190" s="302">
        <f>SUM(C190:N190)</f>
        <v>0</v>
      </c>
      <c r="C190" s="302">
        <f t="shared" ref="C190:N190" si="66">SUM(C179:C188)-C189</f>
        <v>0</v>
      </c>
      <c r="D190" s="302">
        <f t="shared" si="66"/>
        <v>0</v>
      </c>
      <c r="E190" s="302">
        <f t="shared" si="66"/>
        <v>0</v>
      </c>
      <c r="F190" s="302">
        <f t="shared" si="66"/>
        <v>0</v>
      </c>
      <c r="G190" s="302">
        <f t="shared" si="66"/>
        <v>0</v>
      </c>
      <c r="H190" s="302">
        <f t="shared" si="66"/>
        <v>0</v>
      </c>
      <c r="I190" s="302">
        <f t="shared" si="66"/>
        <v>0</v>
      </c>
      <c r="J190" s="302">
        <f t="shared" si="66"/>
        <v>0</v>
      </c>
      <c r="K190" s="302">
        <f t="shared" si="66"/>
        <v>0</v>
      </c>
      <c r="L190" s="302">
        <f t="shared" si="66"/>
        <v>0</v>
      </c>
      <c r="M190" s="302">
        <f t="shared" si="66"/>
        <v>0</v>
      </c>
      <c r="N190" s="302">
        <f t="shared" si="66"/>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7">B178</f>
        <v>Age group</v>
      </c>
      <c r="C194" s="331" t="str">
        <f t="shared" ref="C194:N194" si="68">C178</f>
        <v>2017/18</v>
      </c>
      <c r="D194" s="331" t="str">
        <f t="shared" si="68"/>
        <v>2018/19</v>
      </c>
      <c r="E194" s="331" t="str">
        <f t="shared" si="68"/>
        <v>2019/20</v>
      </c>
      <c r="F194" s="331" t="str">
        <f t="shared" si="68"/>
        <v>2020/21</v>
      </c>
      <c r="G194" s="331" t="str">
        <f t="shared" si="68"/>
        <v>2021/22</v>
      </c>
      <c r="H194" s="331" t="str">
        <f t="shared" si="68"/>
        <v>2022/23</v>
      </c>
      <c r="I194" s="331" t="str">
        <f t="shared" si="68"/>
        <v>2023/24</v>
      </c>
      <c r="J194" s="331" t="str">
        <f t="shared" si="68"/>
        <v>2024/25</v>
      </c>
      <c r="K194" s="331" t="str">
        <f t="shared" si="68"/>
        <v>2025/26</v>
      </c>
      <c r="L194" s="331" t="str">
        <f t="shared" si="68"/>
        <v>2026/27</v>
      </c>
      <c r="M194" s="331" t="str">
        <f t="shared" si="68"/>
        <v>2027/28</v>
      </c>
      <c r="N194" s="331" t="str">
        <f t="shared" si="68"/>
        <v>2028/29</v>
      </c>
    </row>
    <row r="195" spans="1:14">
      <c r="B195" s="331" t="str">
        <f t="shared" si="67"/>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7"/>
        <v>25-29</v>
      </c>
      <c r="C196" s="447">
        <f>C94*Calc_SEC_death_rates!$G141</f>
        <v>2.9926281834374156E-2</v>
      </c>
      <c r="D196" s="447">
        <f>D94*Calc_SEC_death_rates!$G141</f>
        <v>3.1368636401169436E-2</v>
      </c>
      <c r="E196" s="447">
        <f>E94*Calc_SEC_death_rates!$G141</f>
        <v>3.4070891790848663E-2</v>
      </c>
      <c r="F196" s="447">
        <f>F94*Calc_SEC_death_rates!$G141</f>
        <v>3.7388372849519125E-2</v>
      </c>
      <c r="G196" s="447">
        <f>G94*Calc_SEC_death_rates!$G141</f>
        <v>4.0175690391236557E-2</v>
      </c>
      <c r="H196" s="447">
        <f>H94*Calc_SEC_death_rates!$G141</f>
        <v>4.2431836412942125E-2</v>
      </c>
      <c r="I196" s="447">
        <f>I94*Calc_SEC_death_rates!$G141</f>
        <v>4.4151097514736559E-2</v>
      </c>
      <c r="J196" s="447">
        <f>J94*Calc_SEC_death_rates!$G141</f>
        <v>4.5957878479699565E-2</v>
      </c>
      <c r="K196" s="447">
        <f>K94*Calc_SEC_death_rates!$G141</f>
        <v>4.7760847052636106E-2</v>
      </c>
      <c r="L196" s="447">
        <f>L94*Calc_SEC_death_rates!$G141</f>
        <v>4.8882350164621564E-2</v>
      </c>
      <c r="M196" s="447">
        <f>M94*Calc_SEC_death_rates!$G141</f>
        <v>4.9511842376156974E-2</v>
      </c>
      <c r="N196" s="447">
        <f>N94*Calc_SEC_death_rates!$G141</f>
        <v>4.9980980028444082E-2</v>
      </c>
    </row>
    <row r="197" spans="1:14">
      <c r="B197" s="331" t="str">
        <f t="shared" si="67"/>
        <v>30-34</v>
      </c>
      <c r="C197" s="447">
        <f>C95*Calc_SEC_death_rates!$G142</f>
        <v>4.228147349085179E-2</v>
      </c>
      <c r="D197" s="447">
        <f>D95*Calc_SEC_death_rates!$G142</f>
        <v>3.8971917298822392E-2</v>
      </c>
      <c r="E197" s="447">
        <f>E95*Calc_SEC_death_rates!$G142</f>
        <v>3.7168908204753645E-2</v>
      </c>
      <c r="F197" s="447">
        <f>F95*Calc_SEC_death_rates!$G142</f>
        <v>3.6550011392319386E-2</v>
      </c>
      <c r="G197" s="447">
        <f>G95*Calc_SEC_death_rates!$G142</f>
        <v>3.6486201255670897E-2</v>
      </c>
      <c r="H197" s="447">
        <f>H95*Calc_SEC_death_rates!$G142</f>
        <v>3.6788265568262202E-2</v>
      </c>
      <c r="I197" s="447">
        <f>I95*Calc_SEC_death_rates!$G142</f>
        <v>3.72651997090164E-2</v>
      </c>
      <c r="J197" s="447">
        <f>J95*Calc_SEC_death_rates!$G142</f>
        <v>3.805510153479251E-2</v>
      </c>
      <c r="K197" s="447">
        <f>K95*Calc_SEC_death_rates!$G142</f>
        <v>3.9046787689415483E-2</v>
      </c>
      <c r="L197" s="447">
        <f>L95*Calc_SEC_death_rates!$G142</f>
        <v>3.9867410873995993E-2</v>
      </c>
      <c r="M197" s="447">
        <f>M95*Calc_SEC_death_rates!$G142</f>
        <v>4.0508139744780916E-2</v>
      </c>
      <c r="N197" s="447">
        <f>N95*Calc_SEC_death_rates!$G142</f>
        <v>4.1062539229829567E-2</v>
      </c>
    </row>
    <row r="198" spans="1:14">
      <c r="B198" s="331" t="str">
        <f t="shared" si="67"/>
        <v>35-39</v>
      </c>
      <c r="C198" s="447">
        <f>C96*Calc_SEC_death_rates!$G143</f>
        <v>0.24692392648633182</v>
      </c>
      <c r="D198" s="447">
        <f>D96*Calc_SEC_death_rates!$G143</f>
        <v>0.23147211183877706</v>
      </c>
      <c r="E198" s="447">
        <f>E96*Calc_SEC_death_rates!$G143</f>
        <v>0.21849834428300285</v>
      </c>
      <c r="F198" s="447">
        <f>F96*Calc_SEC_death_rates!$G143</f>
        <v>0.20832593304739899</v>
      </c>
      <c r="G198" s="447">
        <f>G96*Calc_SEC_death_rates!$G143</f>
        <v>0.20004255794363626</v>
      </c>
      <c r="H198" s="447">
        <f>H96*Calc_SEC_death_rates!$G143</f>
        <v>0.19384536062641769</v>
      </c>
      <c r="I198" s="447">
        <f>I96*Calc_SEC_death_rates!$G143</f>
        <v>0.189436579212451</v>
      </c>
      <c r="J198" s="447">
        <f>J96*Calc_SEC_death_rates!$G143</f>
        <v>0.18732842070316558</v>
      </c>
      <c r="K198" s="447">
        <f>K96*Calc_SEC_death_rates!$G143</f>
        <v>0.18705405362441471</v>
      </c>
      <c r="L198" s="447">
        <f>L96*Calc_SEC_death_rates!$G143</f>
        <v>0.18726728241202686</v>
      </c>
      <c r="M198" s="447">
        <f>M96*Calc_SEC_death_rates!$G143</f>
        <v>0.18780467515491392</v>
      </c>
      <c r="N198" s="447">
        <f>N96*Calc_SEC_death_rates!$G143</f>
        <v>0.18877930107372071</v>
      </c>
    </row>
    <row r="199" spans="1:14">
      <c r="B199" s="331" t="str">
        <f t="shared" si="67"/>
        <v>40-44</v>
      </c>
      <c r="C199" s="447">
        <f>C97*Calc_SEC_death_rates!$G144</f>
        <v>0.18405432893029319</v>
      </c>
      <c r="D199" s="447">
        <f>D97*Calc_SEC_death_rates!$G144</f>
        <v>0.18393560940803652</v>
      </c>
      <c r="E199" s="447">
        <f>E97*Calc_SEC_death_rates!$G144</f>
        <v>0.18227667181412782</v>
      </c>
      <c r="F199" s="447">
        <f>F97*Calc_SEC_death_rates!$G144</f>
        <v>0.17960494910744798</v>
      </c>
      <c r="G199" s="447">
        <f>G97*Calc_SEC_death_rates!$G144</f>
        <v>0.17576431772992215</v>
      </c>
      <c r="H199" s="447">
        <f>H97*Calc_SEC_death_rates!$G144</f>
        <v>0.17156407344122115</v>
      </c>
      <c r="I199" s="447">
        <f>I97*Calc_SEC_death_rates!$G144</f>
        <v>0.16739550299877026</v>
      </c>
      <c r="J199" s="447">
        <f>J97*Calc_SEC_death_rates!$G144</f>
        <v>0.16415025038617451</v>
      </c>
      <c r="K199" s="447">
        <f>K97*Calc_SEC_death_rates!$G144</f>
        <v>0.16185883368058429</v>
      </c>
      <c r="L199" s="447">
        <f>L97*Calc_SEC_death_rates!$G144</f>
        <v>0.15980754455794385</v>
      </c>
      <c r="M199" s="447">
        <f>M97*Calc_SEC_death_rates!$G144</f>
        <v>0.15809682530496752</v>
      </c>
      <c r="N199" s="447">
        <f>N97*Calc_SEC_death_rates!$G144</f>
        <v>0.15694848286338497</v>
      </c>
    </row>
    <row r="200" spans="1:14">
      <c r="B200" s="331" t="str">
        <f t="shared" si="67"/>
        <v>45-49</v>
      </c>
      <c r="C200" s="447">
        <f>C98*Calc_SEC_death_rates!$G145</f>
        <v>0.30195580586808707</v>
      </c>
      <c r="D200" s="447">
        <f>D98*Calc_SEC_death_rates!$G145</f>
        <v>0.29977184134448481</v>
      </c>
      <c r="E200" s="447">
        <f>E98*Calc_SEC_death_rates!$G145</f>
        <v>0.29957197401188662</v>
      </c>
      <c r="F200" s="447">
        <f>F98*Calc_SEC_death_rates!$G145</f>
        <v>0.29976354433930102</v>
      </c>
      <c r="G200" s="447">
        <f>G98*Calc_SEC_death_rates!$G145</f>
        <v>0.29847827407507227</v>
      </c>
      <c r="H200" s="447">
        <f>H98*Calc_SEC_death_rates!$G145</f>
        <v>0.29606092939383533</v>
      </c>
      <c r="I200" s="447">
        <f>I98*Calc_SEC_death_rates!$G145</f>
        <v>0.29263701233640949</v>
      </c>
      <c r="J200" s="447">
        <f>J98*Calc_SEC_death_rates!$G145</f>
        <v>0.28947802370643178</v>
      </c>
      <c r="K200" s="447">
        <f>K98*Calc_SEC_death_rates!$G145</f>
        <v>0.2867006553417889</v>
      </c>
      <c r="L200" s="447">
        <f>L98*Calc_SEC_death_rates!$G145</f>
        <v>0.28334606030389681</v>
      </c>
      <c r="M200" s="447">
        <f>M98*Calc_SEC_death_rates!$G145</f>
        <v>0.2798003386491324</v>
      </c>
      <c r="N200" s="447">
        <f>N98*Calc_SEC_death_rates!$G145</f>
        <v>0.27665591368930642</v>
      </c>
    </row>
    <row r="201" spans="1:14">
      <c r="B201" s="331" t="str">
        <f t="shared" si="67"/>
        <v>50-54</v>
      </c>
      <c r="C201" s="447">
        <f>C99*Calc_SEC_death_rates!$G146</f>
        <v>0.42806127620857876</v>
      </c>
      <c r="D201" s="447">
        <f>D99*Calc_SEC_death_rates!$G146</f>
        <v>0.41145416418576103</v>
      </c>
      <c r="E201" s="447">
        <f>E99*Calc_SEC_death_rates!$G146</f>
        <v>0.40088815908315018</v>
      </c>
      <c r="F201" s="447">
        <f>F99*Calc_SEC_death_rates!$G146</f>
        <v>0.39450308632432279</v>
      </c>
      <c r="G201" s="447">
        <f>G99*Calc_SEC_death_rates!$G146</f>
        <v>0.38944000924998157</v>
      </c>
      <c r="H201" s="447">
        <f>H99*Calc_SEC_death_rates!$G146</f>
        <v>0.38534790813138098</v>
      </c>
      <c r="I201" s="447">
        <f>I99*Calc_SEC_death_rates!$G146</f>
        <v>0.38151811126676072</v>
      </c>
      <c r="J201" s="447">
        <f>J99*Calc_SEC_death_rates!$G146</f>
        <v>0.37880121564442948</v>
      </c>
      <c r="K201" s="447">
        <f>K99*Calc_SEC_death_rates!$G146</f>
        <v>0.37677110016548448</v>
      </c>
      <c r="L201" s="447">
        <f>L99*Calc_SEC_death_rates!$G146</f>
        <v>0.37384036142577848</v>
      </c>
      <c r="M201" s="447">
        <f>M99*Calc_SEC_death_rates!$G146</f>
        <v>0.37028184324699709</v>
      </c>
      <c r="N201" s="447">
        <f>N99*Calc_SEC_death_rates!$G146</f>
        <v>0.3667519723865752</v>
      </c>
    </row>
    <row r="202" spans="1:14">
      <c r="B202" s="331" t="str">
        <f t="shared" si="67"/>
        <v>55-59</v>
      </c>
      <c r="C202" s="447">
        <f>C100*Calc_SEC_death_rates!$G147</f>
        <v>0.37060988985719073</v>
      </c>
      <c r="D202" s="447">
        <f>D100*Calc_SEC_death_rates!$G147</f>
        <v>0.35055895539073584</v>
      </c>
      <c r="E202" s="447">
        <f>E100*Calc_SEC_death_rates!$G147</f>
        <v>0.336029322963598</v>
      </c>
      <c r="F202" s="447">
        <f>F100*Calc_SEC_death_rates!$G147</f>
        <v>0.32583454819298102</v>
      </c>
      <c r="G202" s="447">
        <f>G100*Calc_SEC_death_rates!$G147</f>
        <v>0.31760663454394289</v>
      </c>
      <c r="H202" s="447">
        <f>H100*Calc_SEC_death_rates!$G147</f>
        <v>0.31123240950890385</v>
      </c>
      <c r="I202" s="447">
        <f>I100*Calc_SEC_death_rates!$G147</f>
        <v>0.30614056961046998</v>
      </c>
      <c r="J202" s="447">
        <f>J100*Calc_SEC_death_rates!$G147</f>
        <v>0.3030722243674735</v>
      </c>
      <c r="K202" s="447">
        <f>K100*Calc_SEC_death_rates!$G147</f>
        <v>0.3013341356387676</v>
      </c>
      <c r="L202" s="447">
        <f>L100*Calc_SEC_death_rates!$G147</f>
        <v>0.29912573216158378</v>
      </c>
      <c r="M202" s="447">
        <f>M100*Calc_SEC_death_rates!$G147</f>
        <v>0.29657772227113127</v>
      </c>
      <c r="N202" s="447">
        <f>N100*Calc_SEC_death_rates!$G147</f>
        <v>0.29417455204428994</v>
      </c>
    </row>
    <row r="203" spans="1:14">
      <c r="B203" s="331" t="str">
        <f t="shared" si="67"/>
        <v>60-64</v>
      </c>
      <c r="C203" s="447">
        <f>C101*Calc_SEC_death_rates!$G148</f>
        <v>0.12524495405026656</v>
      </c>
      <c r="D203" s="447">
        <f>D101*Calc_SEC_death_rates!$G148</f>
        <v>0.12876862282120963</v>
      </c>
      <c r="E203" s="447">
        <f>E101*Calc_SEC_death_rates!$G148</f>
        <v>0.12854952308175971</v>
      </c>
      <c r="F203" s="447">
        <f>F101*Calc_SEC_death_rates!$G148</f>
        <v>0.12703180289607935</v>
      </c>
      <c r="G203" s="447">
        <f>G101*Calc_SEC_death_rates!$G148</f>
        <v>0.12455748519576926</v>
      </c>
      <c r="H203" s="447">
        <f>H101*Calc_SEC_death_rates!$G148</f>
        <v>0.12200624518848184</v>
      </c>
      <c r="I203" s="447">
        <f>I101*Calc_SEC_death_rates!$G148</f>
        <v>0.11964949647826555</v>
      </c>
      <c r="J203" s="447">
        <f>J101*Calc_SEC_death_rates!$G148</f>
        <v>0.11822181130524166</v>
      </c>
      <c r="K203" s="447">
        <f>K101*Calc_SEC_death_rates!$G148</f>
        <v>0.11747316202879511</v>
      </c>
      <c r="L203" s="447">
        <f>L101*Calc_SEC_death_rates!$G148</f>
        <v>0.11648502335238443</v>
      </c>
      <c r="M203" s="447">
        <f>M101*Calc_SEC_death_rates!$G148</f>
        <v>0.11539792919250202</v>
      </c>
      <c r="N203" s="447">
        <f>N101*Calc_SEC_death_rates!$G148</f>
        <v>0.11448437686512945</v>
      </c>
    </row>
    <row r="204" spans="1:14">
      <c r="B204" s="331" t="str">
        <f t="shared" si="67"/>
        <v>65 plus</v>
      </c>
      <c r="C204" s="447">
        <f>C102*Calc_SEC_death_rates!$G149</f>
        <v>9.7707237322467069E-2</v>
      </c>
      <c r="D204" s="447">
        <f>D102*Calc_SEC_death_rates!$G149</f>
        <v>0.14049386871409075</v>
      </c>
      <c r="E204" s="447">
        <f>E102*Calc_SEC_death_rates!$G149</f>
        <v>0.17150195392841919</v>
      </c>
      <c r="F204" s="447">
        <f>F102*Calc_SEC_death_rates!$G149</f>
        <v>0.19267529018761537</v>
      </c>
      <c r="G204" s="447">
        <f>G102*Calc_SEC_death_rates!$G149</f>
        <v>0.2052888278251247</v>
      </c>
      <c r="H204" s="447">
        <f>H102*Calc_SEC_death_rates!$G149</f>
        <v>0.2121068403842547</v>
      </c>
      <c r="I204" s="447">
        <f>I102*Calc_SEC_death_rates!$G149</f>
        <v>0.21507878228310126</v>
      </c>
      <c r="J204" s="447">
        <f>J102*Calc_SEC_death_rates!$G149</f>
        <v>0.21669013745960161</v>
      </c>
      <c r="K204" s="447">
        <f>K102*Calc_SEC_death_rates!$G149</f>
        <v>0.2177270139869705</v>
      </c>
      <c r="L204" s="447">
        <f>L102*Calc_SEC_death_rates!$G149</f>
        <v>0.21746883370319409</v>
      </c>
      <c r="M204" s="447">
        <f>M102*Calc_SEC_death_rates!$G149</f>
        <v>0.21640580997644179</v>
      </c>
      <c r="N204" s="447">
        <f>N102*Calc_SEC_death_rates!$G149</f>
        <v>0.21521495406600591</v>
      </c>
    </row>
    <row r="205" spans="1:14">
      <c r="B205" s="331" t="str">
        <f t="shared" si="67"/>
        <v>Total</v>
      </c>
      <c r="C205" s="447">
        <f>SUM(C195:C204)</f>
        <v>1.826765174048441</v>
      </c>
      <c r="D205" s="447">
        <f t="shared" ref="D205:N205" si="69">SUM(D195:D204)</f>
        <v>1.8167957274030875</v>
      </c>
      <c r="E205" s="447">
        <f t="shared" si="69"/>
        <v>1.8085557491615467</v>
      </c>
      <c r="F205" s="447">
        <f t="shared" si="69"/>
        <v>1.801677538336985</v>
      </c>
      <c r="G205" s="447">
        <f t="shared" si="69"/>
        <v>1.7878399982103566</v>
      </c>
      <c r="H205" s="447">
        <f t="shared" si="69"/>
        <v>1.7713838686557</v>
      </c>
      <c r="I205" s="447">
        <f t="shared" si="69"/>
        <v>1.7532723514099813</v>
      </c>
      <c r="J205" s="447">
        <f t="shared" si="69"/>
        <v>1.74175506358701</v>
      </c>
      <c r="K205" s="447">
        <f t="shared" si="69"/>
        <v>1.7357265892088571</v>
      </c>
      <c r="L205" s="447">
        <f t="shared" si="69"/>
        <v>1.726090598955426</v>
      </c>
      <c r="M205" s="447">
        <f t="shared" si="69"/>
        <v>1.714385125917024</v>
      </c>
      <c r="N205" s="447">
        <f t="shared" si="69"/>
        <v>1.7040530722466865</v>
      </c>
    </row>
    <row r="206" spans="1:14">
      <c r="A206" s="302">
        <f>SUM(C206:N206)</f>
        <v>0</v>
      </c>
      <c r="C206" s="302">
        <f t="shared" ref="C206:N206" si="70">SUM(C195:C204)-C205</f>
        <v>0</v>
      </c>
      <c r="D206" s="302">
        <f t="shared" si="70"/>
        <v>0</v>
      </c>
      <c r="E206" s="302">
        <f t="shared" si="70"/>
        <v>0</v>
      </c>
      <c r="F206" s="302">
        <f t="shared" si="70"/>
        <v>0</v>
      </c>
      <c r="G206" s="302">
        <f t="shared" si="70"/>
        <v>0</v>
      </c>
      <c r="H206" s="302">
        <f t="shared" si="70"/>
        <v>0</v>
      </c>
      <c r="I206" s="302">
        <f t="shared" si="70"/>
        <v>0</v>
      </c>
      <c r="J206" s="302">
        <f t="shared" si="70"/>
        <v>0</v>
      </c>
      <c r="K206" s="302">
        <f t="shared" si="70"/>
        <v>0</v>
      </c>
      <c r="L206" s="302">
        <f t="shared" si="70"/>
        <v>0</v>
      </c>
      <c r="M206" s="302">
        <f t="shared" si="70"/>
        <v>0</v>
      </c>
      <c r="N206" s="302">
        <f t="shared" si="70"/>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1">B178</f>
        <v>Age group</v>
      </c>
      <c r="C212" s="331" t="str">
        <f t="shared" ref="C212:N212" si="72">C178</f>
        <v>2017/18</v>
      </c>
      <c r="D212" s="331" t="str">
        <f t="shared" si="72"/>
        <v>2018/19</v>
      </c>
      <c r="E212" s="331" t="str">
        <f t="shared" si="72"/>
        <v>2019/20</v>
      </c>
      <c r="F212" s="331" t="str">
        <f t="shared" si="72"/>
        <v>2020/21</v>
      </c>
      <c r="G212" s="331" t="str">
        <f t="shared" si="72"/>
        <v>2021/22</v>
      </c>
      <c r="H212" s="331" t="str">
        <f t="shared" si="72"/>
        <v>2022/23</v>
      </c>
      <c r="I212" s="331" t="str">
        <f t="shared" si="72"/>
        <v>2023/24</v>
      </c>
      <c r="J212" s="331" t="str">
        <f t="shared" si="72"/>
        <v>2024/25</v>
      </c>
      <c r="K212" s="331" t="str">
        <f t="shared" si="72"/>
        <v>2025/26</v>
      </c>
      <c r="L212" s="331" t="str">
        <f t="shared" si="72"/>
        <v>2026/27</v>
      </c>
      <c r="M212" s="331" t="str">
        <f t="shared" si="72"/>
        <v>2027/28</v>
      </c>
      <c r="N212" s="331" t="str">
        <f t="shared" si="72"/>
        <v>2028/29</v>
      </c>
    </row>
    <row r="213" spans="1:14">
      <c r="B213" s="331" t="str">
        <f t="shared" si="71"/>
        <v>20-24</v>
      </c>
      <c r="C213" s="447">
        <f t="shared" ref="C213:C222" si="73">C111+C145+C179</f>
        <v>16.003816553094598</v>
      </c>
      <c r="D213" s="447">
        <f t="shared" ref="D213:N213" si="74">D111+D145+D179</f>
        <v>25.890515585427533</v>
      </c>
      <c r="E213" s="447">
        <f t="shared" si="74"/>
        <v>35.717014829275811</v>
      </c>
      <c r="F213" s="447">
        <f t="shared" si="74"/>
        <v>42.008786716226489</v>
      </c>
      <c r="G213" s="447">
        <f t="shared" si="74"/>
        <v>46.56395913139189</v>
      </c>
      <c r="H213" s="447">
        <f t="shared" si="74"/>
        <v>49.417525726074878</v>
      </c>
      <c r="I213" s="447">
        <f t="shared" si="74"/>
        <v>51.091992999392232</v>
      </c>
      <c r="J213" s="447">
        <f t="shared" si="74"/>
        <v>52.995235040036128</v>
      </c>
      <c r="K213" s="447">
        <f t="shared" si="74"/>
        <v>54.908440594650202</v>
      </c>
      <c r="L213" s="447">
        <f t="shared" si="74"/>
        <v>55.610886628928967</v>
      </c>
      <c r="M213" s="447">
        <f t="shared" si="74"/>
        <v>55.66303253931671</v>
      </c>
      <c r="N213" s="447">
        <f t="shared" si="74"/>
        <v>55.716728236294081</v>
      </c>
    </row>
    <row r="214" spans="1:14">
      <c r="B214" s="331" t="str">
        <f t="shared" si="71"/>
        <v>25-29</v>
      </c>
      <c r="C214" s="447">
        <f t="shared" si="73"/>
        <v>49.101369128644286</v>
      </c>
      <c r="D214" s="447">
        <f t="shared" ref="D214:N214" si="75">D112+D146+D180</f>
        <v>49.11620435133775</v>
      </c>
      <c r="E214" s="447">
        <f t="shared" si="75"/>
        <v>55.220327670607176</v>
      </c>
      <c r="F214" s="447">
        <f t="shared" si="75"/>
        <v>59.198321947251927</v>
      </c>
      <c r="G214" s="447">
        <f t="shared" si="75"/>
        <v>63.538018766485266</v>
      </c>
      <c r="H214" s="447">
        <f t="shared" si="75"/>
        <v>66.974750990958285</v>
      </c>
      <c r="I214" s="447">
        <f t="shared" si="75"/>
        <v>69.524112331746707</v>
      </c>
      <c r="J214" s="447">
        <f t="shared" si="75"/>
        <v>72.231894700223904</v>
      </c>
      <c r="K214" s="447">
        <f t="shared" si="75"/>
        <v>74.949023337928494</v>
      </c>
      <c r="L214" s="447">
        <f t="shared" si="75"/>
        <v>76.561751026841023</v>
      </c>
      <c r="M214" s="447">
        <f t="shared" si="75"/>
        <v>77.393985272579016</v>
      </c>
      <c r="N214" s="447">
        <f t="shared" si="75"/>
        <v>77.997156678614758</v>
      </c>
    </row>
    <row r="215" spans="1:14">
      <c r="B215" s="331" t="str">
        <f t="shared" si="71"/>
        <v>30-34</v>
      </c>
      <c r="C215" s="447">
        <f t="shared" si="73"/>
        <v>71.008584408878363</v>
      </c>
      <c r="D215" s="447">
        <f t="shared" ref="D215:N215" si="76">D113+D147+D181</f>
        <v>61.608664603725757</v>
      </c>
      <c r="E215" s="447">
        <f t="shared" si="76"/>
        <v>59.822401256712936</v>
      </c>
      <c r="F215" s="447">
        <f t="shared" si="76"/>
        <v>56.665995618889433</v>
      </c>
      <c r="G215" s="447">
        <f t="shared" si="76"/>
        <v>55.866948984384322</v>
      </c>
      <c r="H215" s="447">
        <f t="shared" si="76"/>
        <v>55.771847982896311</v>
      </c>
      <c r="I215" s="447">
        <f t="shared" si="76"/>
        <v>56.051387423899307</v>
      </c>
      <c r="J215" s="447">
        <f t="shared" si="76"/>
        <v>56.882954952280812</v>
      </c>
      <c r="K215" s="447">
        <f t="shared" si="76"/>
        <v>58.08047839910671</v>
      </c>
      <c r="L215" s="447">
        <f t="shared" si="76"/>
        <v>59.071246861014089</v>
      </c>
      <c r="M215" s="447">
        <f t="shared" si="76"/>
        <v>59.831104479382205</v>
      </c>
      <c r="N215" s="447">
        <f t="shared" si="76"/>
        <v>60.493265906749748</v>
      </c>
    </row>
    <row r="216" spans="1:14">
      <c r="B216" s="331" t="str">
        <f t="shared" si="71"/>
        <v>35-39</v>
      </c>
      <c r="C216" s="447">
        <f t="shared" si="73"/>
        <v>74.719675266381699</v>
      </c>
      <c r="D216" s="447">
        <f t="shared" ref="D216:N216" si="77">D114+D148+D182</f>
        <v>68.388898710613233</v>
      </c>
      <c r="E216" s="447">
        <f t="shared" si="77"/>
        <v>67.547431804825749</v>
      </c>
      <c r="F216" s="447">
        <f t="shared" si="77"/>
        <v>63.30601687360619</v>
      </c>
      <c r="G216" s="447">
        <f t="shared" si="77"/>
        <v>60.857389902535019</v>
      </c>
      <c r="H216" s="447">
        <f t="shared" si="77"/>
        <v>58.900491215918336</v>
      </c>
      <c r="I216" s="447">
        <f t="shared" si="77"/>
        <v>57.409774361096353</v>
      </c>
      <c r="J216" s="447">
        <f t="shared" si="77"/>
        <v>56.575200255924592</v>
      </c>
      <c r="K216" s="447">
        <f t="shared" si="77"/>
        <v>56.28076921620206</v>
      </c>
      <c r="L216" s="447">
        <f t="shared" si="77"/>
        <v>56.139595363925565</v>
      </c>
      <c r="M216" s="447">
        <f t="shared" si="77"/>
        <v>56.109368556272919</v>
      </c>
      <c r="N216" s="447">
        <f t="shared" si="77"/>
        <v>56.226238083547329</v>
      </c>
    </row>
    <row r="217" spans="1:14">
      <c r="B217" s="331" t="str">
        <f t="shared" si="71"/>
        <v>40-44</v>
      </c>
      <c r="C217" s="447">
        <f t="shared" si="73"/>
        <v>55.312852576165263</v>
      </c>
      <c r="D217" s="447">
        <f t="shared" ref="D217:N217" si="78">D115+D149+D183</f>
        <v>53.856513871438814</v>
      </c>
      <c r="E217" s="447">
        <f t="shared" si="78"/>
        <v>56.076378834060982</v>
      </c>
      <c r="F217" s="447">
        <f t="shared" si="78"/>
        <v>54.768899845362419</v>
      </c>
      <c r="G217" s="447">
        <f t="shared" si="78"/>
        <v>54.149583915139168</v>
      </c>
      <c r="H217" s="447">
        <f t="shared" si="78"/>
        <v>53.270657835345965</v>
      </c>
      <c r="I217" s="447">
        <f t="shared" si="78"/>
        <v>52.268887380689975</v>
      </c>
      <c r="J217" s="447">
        <f t="shared" si="78"/>
        <v>51.438890024285506</v>
      </c>
      <c r="K217" s="447">
        <f t="shared" si="78"/>
        <v>50.816127651700519</v>
      </c>
      <c r="L217" s="447">
        <f t="shared" si="78"/>
        <v>50.20744618989216</v>
      </c>
      <c r="M217" s="447">
        <f t="shared" si="78"/>
        <v>49.660693465977829</v>
      </c>
      <c r="N217" s="447">
        <f t="shared" si="78"/>
        <v>49.257110572056519</v>
      </c>
    </row>
    <row r="218" spans="1:14">
      <c r="B218" s="331" t="str">
        <f t="shared" si="71"/>
        <v>45-49</v>
      </c>
      <c r="C218" s="447">
        <f t="shared" si="73"/>
        <v>63.043215967747841</v>
      </c>
      <c r="D218" s="447">
        <f t="shared" ref="D218:N218" si="79">D116+D150+D184</f>
        <v>59.049581784995233</v>
      </c>
      <c r="E218" s="447">
        <f t="shared" si="79"/>
        <v>60.534793840174423</v>
      </c>
      <c r="F218" s="447">
        <f t="shared" si="79"/>
        <v>59.063581386198415</v>
      </c>
      <c r="G218" s="447">
        <f t="shared" si="79"/>
        <v>58.830849613594964</v>
      </c>
      <c r="H218" s="447">
        <f t="shared" si="79"/>
        <v>58.49458516945765</v>
      </c>
      <c r="I218" s="447">
        <f t="shared" si="79"/>
        <v>58.011325445238953</v>
      </c>
      <c r="J218" s="447">
        <f t="shared" si="79"/>
        <v>57.586087833424365</v>
      </c>
      <c r="K218" s="447">
        <f t="shared" si="79"/>
        <v>57.215571572653865</v>
      </c>
      <c r="L218" s="447">
        <f t="shared" si="79"/>
        <v>56.698836222685607</v>
      </c>
      <c r="M218" s="447">
        <f t="shared" si="79"/>
        <v>56.107703056417712</v>
      </c>
      <c r="N218" s="447">
        <f t="shared" si="79"/>
        <v>55.559544520043602</v>
      </c>
    </row>
    <row r="219" spans="1:14">
      <c r="B219" s="331" t="str">
        <f t="shared" si="71"/>
        <v>50-54</v>
      </c>
      <c r="C219" s="447">
        <f t="shared" si="73"/>
        <v>60.334696035260215</v>
      </c>
      <c r="D219" s="447">
        <f t="shared" ref="D219:N219" si="80">D117+D151+D185</f>
        <v>57.836567403365009</v>
      </c>
      <c r="E219" s="447">
        <f t="shared" si="80"/>
        <v>59.03213778555012</v>
      </c>
      <c r="F219" s="447">
        <f t="shared" si="80"/>
        <v>57.734650124182757</v>
      </c>
      <c r="G219" s="447">
        <f t="shared" si="80"/>
        <v>57.445100639895628</v>
      </c>
      <c r="H219" s="447">
        <f t="shared" si="80"/>
        <v>57.165041288677408</v>
      </c>
      <c r="I219" s="447">
        <f t="shared" si="80"/>
        <v>56.855466453578671</v>
      </c>
      <c r="J219" s="447">
        <f t="shared" si="80"/>
        <v>56.679279562390093</v>
      </c>
      <c r="K219" s="447">
        <f t="shared" si="80"/>
        <v>56.583027954252117</v>
      </c>
      <c r="L219" s="447">
        <f t="shared" si="80"/>
        <v>56.326433975500834</v>
      </c>
      <c r="M219" s="447">
        <f t="shared" si="80"/>
        <v>55.951245321957281</v>
      </c>
      <c r="N219" s="447">
        <f t="shared" si="80"/>
        <v>55.556638992890321</v>
      </c>
    </row>
    <row r="220" spans="1:14">
      <c r="B220" s="331" t="str">
        <f t="shared" si="71"/>
        <v>55-59</v>
      </c>
      <c r="C220" s="447">
        <f t="shared" si="73"/>
        <v>77.211654255420612</v>
      </c>
      <c r="D220" s="447">
        <f t="shared" ref="D220:N220" si="81">D118+D152+D186</f>
        <v>69.851122756631867</v>
      </c>
      <c r="E220" s="447">
        <f t="shared" si="81"/>
        <v>67.006306655250455</v>
      </c>
      <c r="F220" s="447">
        <f t="shared" si="81"/>
        <v>64.577465165113964</v>
      </c>
      <c r="G220" s="447">
        <f t="shared" si="81"/>
        <v>63.292914559558881</v>
      </c>
      <c r="H220" s="447">
        <f t="shared" si="81"/>
        <v>62.404373160292018</v>
      </c>
      <c r="I220" s="447">
        <f t="shared" si="81"/>
        <v>61.734225135685477</v>
      </c>
      <c r="J220" s="447">
        <f t="shared" si="81"/>
        <v>61.440534409235468</v>
      </c>
      <c r="K220" s="447">
        <f t="shared" si="81"/>
        <v>61.378366132692399</v>
      </c>
      <c r="L220" s="447">
        <f t="shared" si="81"/>
        <v>61.164963053210116</v>
      </c>
      <c r="M220" s="447">
        <f t="shared" si="81"/>
        <v>60.84294974029072</v>
      </c>
      <c r="N220" s="447">
        <f t="shared" si="81"/>
        <v>60.525831451971854</v>
      </c>
    </row>
    <row r="221" spans="1:14">
      <c r="B221" s="331" t="str">
        <f t="shared" si="71"/>
        <v>60-64</v>
      </c>
      <c r="C221" s="447">
        <f t="shared" si="73"/>
        <v>37.822939163155475</v>
      </c>
      <c r="D221" s="447">
        <f t="shared" ref="D221:N221" si="82">D119+D153+D187</f>
        <v>37.655174835149865</v>
      </c>
      <c r="E221" s="447">
        <f t="shared" si="82"/>
        <v>37.0643841319771</v>
      </c>
      <c r="F221" s="447">
        <f t="shared" si="82"/>
        <v>35.915796058338167</v>
      </c>
      <c r="G221" s="447">
        <f t="shared" si="82"/>
        <v>35.032415992131305</v>
      </c>
      <c r="H221" s="447">
        <f t="shared" si="82"/>
        <v>34.302339971576259</v>
      </c>
      <c r="I221" s="447">
        <f t="shared" si="82"/>
        <v>33.717461639851102</v>
      </c>
      <c r="J221" s="447">
        <f t="shared" si="82"/>
        <v>33.452498571519904</v>
      </c>
      <c r="K221" s="447">
        <f t="shared" si="82"/>
        <v>33.395464713978292</v>
      </c>
      <c r="L221" s="447">
        <f t="shared" si="82"/>
        <v>33.242761728900987</v>
      </c>
      <c r="M221" s="447">
        <f t="shared" si="82"/>
        <v>33.040313023090896</v>
      </c>
      <c r="N221" s="447">
        <f t="shared" si="82"/>
        <v>32.877282722482683</v>
      </c>
    </row>
    <row r="222" spans="1:14">
      <c r="B222" s="331" t="str">
        <f t="shared" si="71"/>
        <v>65 plus</v>
      </c>
      <c r="C222" s="447">
        <f t="shared" si="73"/>
        <v>9.6182428088457854</v>
      </c>
      <c r="D222" s="447">
        <f t="shared" ref="D222:N222" si="83">D120+D154+D188</f>
        <v>12.076702887973484</v>
      </c>
      <c r="E222" s="447">
        <f t="shared" si="83"/>
        <v>13.922676490778917</v>
      </c>
      <c r="F222" s="447">
        <f t="shared" si="83"/>
        <v>14.769746340325597</v>
      </c>
      <c r="G222" s="447">
        <f t="shared" si="83"/>
        <v>15.19482525224281</v>
      </c>
      <c r="H222" s="447">
        <f t="shared" si="83"/>
        <v>15.305976904730306</v>
      </c>
      <c r="I222" s="447">
        <f t="shared" si="83"/>
        <v>15.251616668152476</v>
      </c>
      <c r="J222" s="447">
        <f t="shared" si="83"/>
        <v>15.21648470033902</v>
      </c>
      <c r="K222" s="447">
        <f t="shared" si="83"/>
        <v>15.22293064371817</v>
      </c>
      <c r="L222" s="447">
        <f t="shared" si="83"/>
        <v>15.16682093881521</v>
      </c>
      <c r="M222" s="447">
        <f t="shared" si="83"/>
        <v>15.075182129903956</v>
      </c>
      <c r="N222" s="447">
        <f t="shared" si="83"/>
        <v>14.996682770439861</v>
      </c>
    </row>
    <row r="223" spans="1:14">
      <c r="B223" s="331" t="str">
        <f t="shared" si="71"/>
        <v>Total</v>
      </c>
      <c r="C223" s="447">
        <f>SUM(C213:C222)</f>
        <v>514.17704616359413</v>
      </c>
      <c r="D223" s="447">
        <f t="shared" ref="D223:N223" si="84">SUM(D213:D222)</f>
        <v>495.32994679065854</v>
      </c>
      <c r="E223" s="447">
        <f t="shared" si="84"/>
        <v>511.94385329921363</v>
      </c>
      <c r="F223" s="447">
        <f t="shared" si="84"/>
        <v>508.00926007549526</v>
      </c>
      <c r="G223" s="447">
        <f t="shared" si="84"/>
        <v>510.77200675735924</v>
      </c>
      <c r="H223" s="447">
        <f t="shared" si="84"/>
        <v>512.00759024592742</v>
      </c>
      <c r="I223" s="447">
        <f t="shared" si="84"/>
        <v>511.91624983933116</v>
      </c>
      <c r="J223" s="447">
        <f t="shared" si="84"/>
        <v>514.49906004965976</v>
      </c>
      <c r="K223" s="447">
        <f t="shared" si="84"/>
        <v>518.83020021688276</v>
      </c>
      <c r="L223" s="447">
        <f t="shared" si="84"/>
        <v>520.19074198971452</v>
      </c>
      <c r="M223" s="447">
        <f t="shared" si="84"/>
        <v>519.67557758518922</v>
      </c>
      <c r="N223" s="447">
        <f t="shared" si="84"/>
        <v>519.20647993509067</v>
      </c>
    </row>
    <row r="224" spans="1:14">
      <c r="A224" s="302">
        <f>SUM(C224:N224)</f>
        <v>0</v>
      </c>
      <c r="C224" s="302">
        <f t="shared" ref="C224:N224" si="85">SUM(C213:C222)-C223</f>
        <v>0</v>
      </c>
      <c r="D224" s="302">
        <f t="shared" si="85"/>
        <v>0</v>
      </c>
      <c r="E224" s="302">
        <f t="shared" si="85"/>
        <v>0</v>
      </c>
      <c r="F224" s="302">
        <f t="shared" si="85"/>
        <v>0</v>
      </c>
      <c r="G224" s="302">
        <f t="shared" si="85"/>
        <v>0</v>
      </c>
      <c r="H224" s="302">
        <f t="shared" si="85"/>
        <v>0</v>
      </c>
      <c r="I224" s="302">
        <f t="shared" si="85"/>
        <v>0</v>
      </c>
      <c r="J224" s="302">
        <f t="shared" si="85"/>
        <v>0</v>
      </c>
      <c r="K224" s="302">
        <f t="shared" si="85"/>
        <v>0</v>
      </c>
      <c r="L224" s="302">
        <f t="shared" si="85"/>
        <v>0</v>
      </c>
      <c r="M224" s="302">
        <f t="shared" si="85"/>
        <v>0</v>
      </c>
      <c r="N224" s="302">
        <f t="shared" si="85"/>
        <v>0</v>
      </c>
    </row>
    <row r="226" spans="1:15">
      <c r="B226" s="334" t="s">
        <v>47</v>
      </c>
      <c r="C226" s="322"/>
      <c r="D226" s="322"/>
      <c r="E226" s="322"/>
      <c r="F226" s="322"/>
      <c r="G226" s="322"/>
      <c r="H226" s="332"/>
      <c r="I226" s="322"/>
      <c r="J226" s="322"/>
      <c r="K226" s="322"/>
      <c r="L226" s="322"/>
    </row>
    <row r="227" spans="1:15">
      <c r="C227" s="322"/>
      <c r="D227" s="322"/>
      <c r="E227" s="322"/>
      <c r="F227" s="322"/>
      <c r="G227" s="322"/>
      <c r="H227" s="332"/>
      <c r="I227" s="322"/>
      <c r="J227" s="322"/>
      <c r="K227" s="322"/>
      <c r="L227" s="322"/>
    </row>
    <row r="228" spans="1:15">
      <c r="B228" s="331" t="str">
        <f t="shared" ref="B228:B239" si="86">B212</f>
        <v>Age group</v>
      </c>
      <c r="C228" s="331" t="str">
        <f t="shared" ref="C228:N228" si="87">C212</f>
        <v>2017/18</v>
      </c>
      <c r="D228" s="331" t="str">
        <f t="shared" si="87"/>
        <v>2018/19</v>
      </c>
      <c r="E228" s="331" t="str">
        <f t="shared" si="87"/>
        <v>2019/20</v>
      </c>
      <c r="F228" s="331" t="str">
        <f t="shared" si="87"/>
        <v>2020/21</v>
      </c>
      <c r="G228" s="331" t="str">
        <f t="shared" si="87"/>
        <v>2021/22</v>
      </c>
      <c r="H228" s="331" t="str">
        <f t="shared" si="87"/>
        <v>2022/23</v>
      </c>
      <c r="I228" s="331" t="str">
        <f t="shared" si="87"/>
        <v>2023/24</v>
      </c>
      <c r="J228" s="331" t="str">
        <f t="shared" si="87"/>
        <v>2024/25</v>
      </c>
      <c r="K228" s="331" t="str">
        <f t="shared" si="87"/>
        <v>2025/26</v>
      </c>
      <c r="L228" s="331" t="str">
        <f t="shared" si="87"/>
        <v>2026/27</v>
      </c>
      <c r="M228" s="331" t="str">
        <f t="shared" si="87"/>
        <v>2027/28</v>
      </c>
      <c r="N228" s="331" t="str">
        <f t="shared" si="87"/>
        <v>2028/29</v>
      </c>
    </row>
    <row r="229" spans="1:15">
      <c r="B229" s="331" t="str">
        <f t="shared" si="86"/>
        <v>20-24</v>
      </c>
      <c r="C229" s="447">
        <f t="shared" ref="C229:C238" si="88">C195+C161+C127</f>
        <v>9.0851034343906569</v>
      </c>
      <c r="D229" s="447">
        <f t="shared" ref="D229:N229" si="89">D195+D161+D127</f>
        <v>15.044112970265175</v>
      </c>
      <c r="E229" s="447">
        <f t="shared" si="89"/>
        <v>20.284750681078066</v>
      </c>
      <c r="F229" s="447">
        <f t="shared" si="89"/>
        <v>24.76504781427122</v>
      </c>
      <c r="G229" s="447">
        <f t="shared" si="89"/>
        <v>27.542897270291562</v>
      </c>
      <c r="H229" s="447">
        <f t="shared" si="89"/>
        <v>29.357018762161623</v>
      </c>
      <c r="I229" s="447">
        <f t="shared" si="89"/>
        <v>30.480071832799641</v>
      </c>
      <c r="J229" s="447">
        <f t="shared" si="89"/>
        <v>31.696868769260181</v>
      </c>
      <c r="K229" s="447">
        <f t="shared" si="89"/>
        <v>32.898640040909193</v>
      </c>
      <c r="L229" s="447">
        <f t="shared" si="89"/>
        <v>33.405295142484725</v>
      </c>
      <c r="M229" s="447">
        <f t="shared" si="89"/>
        <v>33.520006491259288</v>
      </c>
      <c r="N229" s="447">
        <f t="shared" si="89"/>
        <v>33.608957120901451</v>
      </c>
      <c r="O229" s="320"/>
    </row>
    <row r="230" spans="1:15">
      <c r="B230" s="331" t="str">
        <f t="shared" si="86"/>
        <v>25-29</v>
      </c>
      <c r="C230" s="447">
        <f t="shared" si="88"/>
        <v>29.686870817770735</v>
      </c>
      <c r="D230" s="447">
        <f t="shared" ref="D230:N230" si="90">D196+D162+D128</f>
        <v>31.2713190814932</v>
      </c>
      <c r="E230" s="447">
        <f t="shared" si="90"/>
        <v>34.53003012872653</v>
      </c>
      <c r="F230" s="447">
        <f t="shared" si="90"/>
        <v>38.378858498975312</v>
      </c>
      <c r="G230" s="447">
        <f t="shared" si="90"/>
        <v>41.240017125905524</v>
      </c>
      <c r="H230" s="447">
        <f t="shared" si="90"/>
        <v>43.555932538126463</v>
      </c>
      <c r="I230" s="447">
        <f t="shared" si="90"/>
        <v>45.320739977437356</v>
      </c>
      <c r="J230" s="447">
        <f t="shared" si="90"/>
        <v>47.175385839455636</v>
      </c>
      <c r="K230" s="447">
        <f t="shared" si="90"/>
        <v>49.026118312284311</v>
      </c>
      <c r="L230" s="447">
        <f t="shared" si="90"/>
        <v>50.177332071018498</v>
      </c>
      <c r="M230" s="447">
        <f t="shared" si="90"/>
        <v>50.8235006702769</v>
      </c>
      <c r="N230" s="447">
        <f t="shared" si="90"/>
        <v>51.305066627857748</v>
      </c>
      <c r="O230" s="320"/>
    </row>
    <row r="231" spans="1:15">
      <c r="B231" s="331" t="str">
        <f t="shared" si="86"/>
        <v>30-34</v>
      </c>
      <c r="C231" s="447">
        <f t="shared" si="88"/>
        <v>43.367540719607476</v>
      </c>
      <c r="D231" s="447">
        <f t="shared" ref="D231:N231" si="91">D197+D163+D129</f>
        <v>40.170156063597993</v>
      </c>
      <c r="E231" s="447">
        <f t="shared" si="91"/>
        <v>38.948287745315582</v>
      </c>
      <c r="F231" s="447">
        <f t="shared" si="91"/>
        <v>38.7912238025962</v>
      </c>
      <c r="G231" s="447">
        <f t="shared" si="91"/>
        <v>38.723500888229999</v>
      </c>
      <c r="H231" s="447">
        <f t="shared" si="91"/>
        <v>39.044087501096797</v>
      </c>
      <c r="I231" s="447">
        <f t="shared" si="91"/>
        <v>39.550266795940544</v>
      </c>
      <c r="J231" s="447">
        <f t="shared" si="91"/>
        <v>40.388604660650465</v>
      </c>
      <c r="K231" s="447">
        <f t="shared" si="91"/>
        <v>41.441100079954211</v>
      </c>
      <c r="L231" s="447">
        <f t="shared" si="91"/>
        <v>42.312043108370098</v>
      </c>
      <c r="M231" s="447">
        <f t="shared" si="91"/>
        <v>42.992060872430919</v>
      </c>
      <c r="N231" s="447">
        <f t="shared" si="91"/>
        <v>43.580455613809463</v>
      </c>
      <c r="O231" s="320"/>
    </row>
    <row r="232" spans="1:15">
      <c r="B232" s="331" t="str">
        <f t="shared" si="86"/>
        <v>35-39</v>
      </c>
      <c r="C232" s="447">
        <f t="shared" si="88"/>
        <v>48.12273439078492</v>
      </c>
      <c r="D232" s="447">
        <f t="shared" ref="D232:N232" si="92">D198+D164+D130</f>
        <v>45.332353030783722</v>
      </c>
      <c r="E232" s="447">
        <f t="shared" si="92"/>
        <v>43.497688749591013</v>
      </c>
      <c r="F232" s="447">
        <f t="shared" si="92"/>
        <v>42.001217098306505</v>
      </c>
      <c r="G232" s="447">
        <f t="shared" si="92"/>
        <v>40.331180963339634</v>
      </c>
      <c r="H232" s="447">
        <f t="shared" si="92"/>
        <v>39.081745398050124</v>
      </c>
      <c r="I232" s="447">
        <f t="shared" si="92"/>
        <v>38.192877734777198</v>
      </c>
      <c r="J232" s="447">
        <f t="shared" si="92"/>
        <v>37.767845565565729</v>
      </c>
      <c r="K232" s="447">
        <f t="shared" si="92"/>
        <v>37.712529594718163</v>
      </c>
      <c r="L232" s="447">
        <f t="shared" si="92"/>
        <v>37.755519291051684</v>
      </c>
      <c r="M232" s="447">
        <f t="shared" si="92"/>
        <v>37.863864656080814</v>
      </c>
      <c r="N232" s="447">
        <f t="shared" si="92"/>
        <v>38.060361914999248</v>
      </c>
      <c r="O232" s="320"/>
    </row>
    <row r="233" spans="1:15">
      <c r="B233" s="331" t="str">
        <f t="shared" si="86"/>
        <v>40-44</v>
      </c>
      <c r="C233" s="447">
        <f t="shared" si="88"/>
        <v>40.661054536492749</v>
      </c>
      <c r="D233" s="447">
        <f t="shared" ref="D233:N233" si="93">D199+D165+D131</f>
        <v>40.833054862289174</v>
      </c>
      <c r="E233" s="447">
        <f t="shared" si="93"/>
        <v>41.129717687036866</v>
      </c>
      <c r="F233" s="447">
        <f t="shared" si="93"/>
        <v>41.041258740080885</v>
      </c>
      <c r="G233" s="447">
        <f t="shared" si="93"/>
        <v>40.163641798712455</v>
      </c>
      <c r="H233" s="447">
        <f t="shared" si="93"/>
        <v>39.203850247974081</v>
      </c>
      <c r="I233" s="447">
        <f t="shared" si="93"/>
        <v>38.251296440547925</v>
      </c>
      <c r="J233" s="447">
        <f t="shared" si="93"/>
        <v>37.509728611752813</v>
      </c>
      <c r="K233" s="447">
        <f t="shared" si="93"/>
        <v>36.986120401829766</v>
      </c>
      <c r="L233" s="447">
        <f t="shared" si="93"/>
        <v>36.517383387335613</v>
      </c>
      <c r="M233" s="447">
        <f t="shared" si="93"/>
        <v>36.126469485230182</v>
      </c>
      <c r="N233" s="447">
        <f t="shared" si="93"/>
        <v>35.864063468572972</v>
      </c>
      <c r="O233" s="320"/>
    </row>
    <row r="234" spans="1:15">
      <c r="B234" s="331" t="str">
        <f t="shared" si="86"/>
        <v>45-49</v>
      </c>
      <c r="C234" s="447">
        <f t="shared" si="88"/>
        <v>37.760252276168238</v>
      </c>
      <c r="D234" s="447">
        <f t="shared" ref="D234:N234" si="94">D200+D166+D132</f>
        <v>37.668774743235709</v>
      </c>
      <c r="E234" s="447">
        <f t="shared" si="94"/>
        <v>38.258067439899094</v>
      </c>
      <c r="F234" s="447">
        <f t="shared" si="94"/>
        <v>38.765219250276957</v>
      </c>
      <c r="G234" s="447">
        <f t="shared" si="94"/>
        <v>38.599008967106919</v>
      </c>
      <c r="H234" s="447">
        <f t="shared" si="94"/>
        <v>38.28639958434097</v>
      </c>
      <c r="I234" s="447">
        <f t="shared" si="94"/>
        <v>37.843620941199362</v>
      </c>
      <c r="J234" s="447">
        <f t="shared" si="94"/>
        <v>37.435102663501098</v>
      </c>
      <c r="K234" s="447">
        <f t="shared" si="94"/>
        <v>37.075935260968997</v>
      </c>
      <c r="L234" s="447">
        <f t="shared" si="94"/>
        <v>36.642121294609616</v>
      </c>
      <c r="M234" s="447">
        <f t="shared" si="94"/>
        <v>36.183590963143359</v>
      </c>
      <c r="N234" s="447">
        <f t="shared" si="94"/>
        <v>35.776956049440429</v>
      </c>
      <c r="O234" s="320"/>
    </row>
    <row r="235" spans="1:15">
      <c r="B235" s="331" t="str">
        <f t="shared" si="86"/>
        <v>50-54</v>
      </c>
      <c r="C235" s="447">
        <f t="shared" si="88"/>
        <v>40.974691346041872</v>
      </c>
      <c r="D235" s="447">
        <f t="shared" ref="D235:N235" si="95">D201+D167+D133</f>
        <v>39.536860517063296</v>
      </c>
      <c r="E235" s="447">
        <f t="shared" si="95"/>
        <v>39.022300579948698</v>
      </c>
      <c r="F235" s="447">
        <f t="shared" si="95"/>
        <v>38.787649686990719</v>
      </c>
      <c r="G235" s="447">
        <f t="shared" si="95"/>
        <v>38.289846585556084</v>
      </c>
      <c r="H235" s="447">
        <f t="shared" si="95"/>
        <v>37.887510101573454</v>
      </c>
      <c r="I235" s="447">
        <f t="shared" si="95"/>
        <v>37.510963442480644</v>
      </c>
      <c r="J235" s="447">
        <f t="shared" si="95"/>
        <v>37.24383753323373</v>
      </c>
      <c r="K235" s="447">
        <f t="shared" si="95"/>
        <v>37.044236032634259</v>
      </c>
      <c r="L235" s="447">
        <f t="shared" si="95"/>
        <v>36.756085010499149</v>
      </c>
      <c r="M235" s="447">
        <f t="shared" si="95"/>
        <v>36.406210544853302</v>
      </c>
      <c r="N235" s="447">
        <f t="shared" si="95"/>
        <v>36.059152691263272</v>
      </c>
      <c r="O235" s="320"/>
    </row>
    <row r="236" spans="1:15">
      <c r="B236" s="331" t="str">
        <f t="shared" si="86"/>
        <v>55-59</v>
      </c>
      <c r="C236" s="447">
        <f t="shared" si="88"/>
        <v>50.197498378665713</v>
      </c>
      <c r="D236" s="447">
        <f t="shared" ref="D236:N236" si="96">D202+D168+D134</f>
        <v>47.543228349577142</v>
      </c>
      <c r="E236" s="447">
        <f t="shared" si="96"/>
        <v>45.772384757787165</v>
      </c>
      <c r="F236" s="447">
        <f t="shared" si="96"/>
        <v>44.535715641293898</v>
      </c>
      <c r="G236" s="447">
        <f t="shared" si="96"/>
        <v>43.411108000309014</v>
      </c>
      <c r="H236" s="447">
        <f t="shared" si="96"/>
        <v>42.539866214659014</v>
      </c>
      <c r="I236" s="447">
        <f t="shared" si="96"/>
        <v>41.843903386084619</v>
      </c>
      <c r="J236" s="447">
        <f t="shared" si="96"/>
        <v>41.4245158411197</v>
      </c>
      <c r="K236" s="447">
        <f t="shared" si="96"/>
        <v>41.186950408570368</v>
      </c>
      <c r="L236" s="447">
        <f t="shared" si="96"/>
        <v>40.885101418564389</v>
      </c>
      <c r="M236" s="447">
        <f t="shared" si="96"/>
        <v>40.536834346942548</v>
      </c>
      <c r="N236" s="447">
        <f t="shared" si="96"/>
        <v>40.208364249300104</v>
      </c>
      <c r="O236" s="320"/>
    </row>
    <row r="237" spans="1:15">
      <c r="B237" s="331" t="str">
        <f t="shared" si="86"/>
        <v>60-64</v>
      </c>
      <c r="C237" s="447">
        <f t="shared" si="88"/>
        <v>25.641456889822138</v>
      </c>
      <c r="D237" s="447">
        <f t="shared" ref="D237:N237" si="97">D203+D169+D135</f>
        <v>26.382886815029675</v>
      </c>
      <c r="E237" s="447">
        <f t="shared" si="97"/>
        <v>26.405673633789085</v>
      </c>
      <c r="F237" s="447">
        <f t="shared" si="97"/>
        <v>26.146421835526745</v>
      </c>
      <c r="G237" s="447">
        <f t="shared" si="97"/>
        <v>25.637143427502082</v>
      </c>
      <c r="H237" s="447">
        <f t="shared" si="97"/>
        <v>25.112032424482006</v>
      </c>
      <c r="I237" s="447">
        <f t="shared" si="97"/>
        <v>24.626952747323848</v>
      </c>
      <c r="J237" s="447">
        <f t="shared" si="97"/>
        <v>24.333098311417377</v>
      </c>
      <c r="K237" s="447">
        <f t="shared" si="97"/>
        <v>24.179006978833151</v>
      </c>
      <c r="L237" s="447">
        <f t="shared" si="97"/>
        <v>23.975622550080548</v>
      </c>
      <c r="M237" s="447">
        <f t="shared" si="97"/>
        <v>23.751870530261733</v>
      </c>
      <c r="N237" s="447">
        <f t="shared" si="97"/>
        <v>23.563837896104356</v>
      </c>
      <c r="O237" s="320"/>
    </row>
    <row r="238" spans="1:15">
      <c r="B238" s="331" t="str">
        <f t="shared" si="86"/>
        <v>65 plus</v>
      </c>
      <c r="C238" s="447">
        <f t="shared" si="88"/>
        <v>5.0206009834484657</v>
      </c>
      <c r="D238" s="447">
        <f t="shared" ref="D238:N238" si="98">D204+D170+D136</f>
        <v>7.2258809667213191</v>
      </c>
      <c r="E238" s="447">
        <f t="shared" si="98"/>
        <v>8.8484823839098166</v>
      </c>
      <c r="F238" s="447">
        <f t="shared" si="98"/>
        <v>9.9654157650611914</v>
      </c>
      <c r="G238" s="447">
        <f t="shared" si="98"/>
        <v>10.617804282050736</v>
      </c>
      <c r="H238" s="447">
        <f t="shared" si="98"/>
        <v>10.970440729500636</v>
      </c>
      <c r="I238" s="447">
        <f t="shared" si="98"/>
        <v>11.124153416907374</v>
      </c>
      <c r="J238" s="447">
        <f t="shared" si="98"/>
        <v>11.207494795365262</v>
      </c>
      <c r="K238" s="447">
        <f t="shared" si="98"/>
        <v>11.261123393418506</v>
      </c>
      <c r="L238" s="447">
        <f t="shared" si="98"/>
        <v>11.247769974473771</v>
      </c>
      <c r="M238" s="447">
        <f t="shared" si="98"/>
        <v>11.192789009374946</v>
      </c>
      <c r="N238" s="447">
        <f t="shared" si="98"/>
        <v>11.131196398032733</v>
      </c>
      <c r="O238" s="320"/>
    </row>
    <row r="239" spans="1:15">
      <c r="B239" s="331" t="str">
        <f t="shared" si="86"/>
        <v>Total</v>
      </c>
      <c r="C239" s="447">
        <f>SUM(C229:C238)</f>
        <v>330.51780377319295</v>
      </c>
      <c r="D239" s="447">
        <f t="shared" ref="D239:N239" si="99">SUM(D229:D238)</f>
        <v>331.00862740005641</v>
      </c>
      <c r="E239" s="447">
        <f t="shared" si="99"/>
        <v>336.69738378708195</v>
      </c>
      <c r="F239" s="447">
        <f t="shared" si="99"/>
        <v>343.17802813337966</v>
      </c>
      <c r="G239" s="447">
        <f t="shared" si="99"/>
        <v>344.55614930900396</v>
      </c>
      <c r="H239" s="447">
        <f t="shared" si="99"/>
        <v>345.03888350196519</v>
      </c>
      <c r="I239" s="447">
        <f t="shared" si="99"/>
        <v>344.74484671549845</v>
      </c>
      <c r="J239" s="447">
        <f t="shared" si="99"/>
        <v>346.18248259132196</v>
      </c>
      <c r="K239" s="447">
        <f t="shared" si="99"/>
        <v>348.81176050412103</v>
      </c>
      <c r="L239" s="447">
        <f t="shared" si="99"/>
        <v>349.67427324848813</v>
      </c>
      <c r="M239" s="447">
        <f t="shared" si="99"/>
        <v>349.39719756985403</v>
      </c>
      <c r="N239" s="447">
        <f t="shared" si="99"/>
        <v>349.1584120302818</v>
      </c>
      <c r="O239" s="320"/>
    </row>
    <row r="240" spans="1:15">
      <c r="A240" s="302">
        <f>SUM(C240:N240)</f>
        <v>0</v>
      </c>
      <c r="C240" s="302">
        <f t="shared" ref="C240:N240" si="100">SUM(C229:C238)-C239</f>
        <v>0</v>
      </c>
      <c r="D240" s="302">
        <f t="shared" si="100"/>
        <v>0</v>
      </c>
      <c r="E240" s="302">
        <f t="shared" si="100"/>
        <v>0</v>
      </c>
      <c r="F240" s="302">
        <f t="shared" si="100"/>
        <v>0</v>
      </c>
      <c r="G240" s="302">
        <f t="shared" si="100"/>
        <v>0</v>
      </c>
      <c r="H240" s="302">
        <f t="shared" si="100"/>
        <v>0</v>
      </c>
      <c r="I240" s="302">
        <f t="shared" si="100"/>
        <v>0</v>
      </c>
      <c r="J240" s="302">
        <f t="shared" si="100"/>
        <v>0</v>
      </c>
      <c r="K240" s="302">
        <f t="shared" si="100"/>
        <v>0</v>
      </c>
      <c r="L240" s="302">
        <f t="shared" si="100"/>
        <v>0</v>
      </c>
      <c r="M240" s="302">
        <f t="shared" si="100"/>
        <v>0</v>
      </c>
      <c r="N240" s="302">
        <f t="shared" si="100"/>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1">B212</f>
        <v>Age group</v>
      </c>
      <c r="C246" s="331" t="str">
        <f t="shared" ref="C246:N246" si="102">C212</f>
        <v>2017/18</v>
      </c>
      <c r="D246" s="331" t="str">
        <f t="shared" si="102"/>
        <v>2018/19</v>
      </c>
      <c r="E246" s="331" t="str">
        <f t="shared" si="102"/>
        <v>2019/20</v>
      </c>
      <c r="F246" s="331" t="str">
        <f t="shared" si="102"/>
        <v>2020/21</v>
      </c>
      <c r="G246" s="331" t="str">
        <f t="shared" si="102"/>
        <v>2021/22</v>
      </c>
      <c r="H246" s="331" t="str">
        <f t="shared" si="102"/>
        <v>2022/23</v>
      </c>
      <c r="I246" s="331" t="str">
        <f t="shared" si="102"/>
        <v>2023/24</v>
      </c>
      <c r="J246" s="331" t="str">
        <f t="shared" si="102"/>
        <v>2024/25</v>
      </c>
      <c r="K246" s="331" t="str">
        <f t="shared" si="102"/>
        <v>2025/26</v>
      </c>
      <c r="L246" s="331" t="str">
        <f t="shared" si="102"/>
        <v>2026/27</v>
      </c>
      <c r="M246" s="331" t="str">
        <f t="shared" si="102"/>
        <v>2027/28</v>
      </c>
      <c r="N246" s="331" t="str">
        <f t="shared" si="102"/>
        <v>2028/29</v>
      </c>
    </row>
    <row r="247" spans="2:14">
      <c r="B247" s="331" t="str">
        <f t="shared" si="101"/>
        <v>20-24</v>
      </c>
      <c r="C247" s="447">
        <f t="shared" ref="C247:C256" si="103">C77-C213</f>
        <v>70.811779399334796</v>
      </c>
      <c r="D247" s="447">
        <f t="shared" ref="D247:N247" si="104">D77-D213</f>
        <v>119.7953307229712</v>
      </c>
      <c r="E247" s="447">
        <f t="shared" si="104"/>
        <v>157.9931294190651</v>
      </c>
      <c r="F247" s="447">
        <f t="shared" si="104"/>
        <v>190.18462091934717</v>
      </c>
      <c r="G247" s="447">
        <f t="shared" si="104"/>
        <v>210.80706223984046</v>
      </c>
      <c r="H247" s="447">
        <f t="shared" si="104"/>
        <v>223.72589478656266</v>
      </c>
      <c r="I247" s="447">
        <f t="shared" si="104"/>
        <v>231.30664035222082</v>
      </c>
      <c r="J247" s="447">
        <f t="shared" si="104"/>
        <v>239.92310834170954</v>
      </c>
      <c r="K247" s="447">
        <f t="shared" si="104"/>
        <v>248.58468373075834</v>
      </c>
      <c r="L247" s="447">
        <f t="shared" si="104"/>
        <v>251.76483824576607</v>
      </c>
      <c r="M247" s="447">
        <f t="shared" si="104"/>
        <v>252.00091624217623</v>
      </c>
      <c r="N247" s="447">
        <f t="shared" si="104"/>
        <v>252.24401052251395</v>
      </c>
    </row>
    <row r="248" spans="2:14">
      <c r="B248" s="331" t="str">
        <f t="shared" si="101"/>
        <v>25-29</v>
      </c>
      <c r="C248" s="447">
        <f t="shared" si="103"/>
        <v>321.41043035249521</v>
      </c>
      <c r="D248" s="447">
        <f t="shared" ref="D248:N248" si="105">D78-D214</f>
        <v>335.32030981726439</v>
      </c>
      <c r="E248" s="447">
        <f t="shared" si="105"/>
        <v>361.37127457454994</v>
      </c>
      <c r="F248" s="447">
        <f t="shared" si="105"/>
        <v>395.94458405981453</v>
      </c>
      <c r="G248" s="447">
        <f t="shared" si="105"/>
        <v>424.97039755446224</v>
      </c>
      <c r="H248" s="447">
        <f t="shared" si="105"/>
        <v>447.95678410029069</v>
      </c>
      <c r="I248" s="447">
        <f t="shared" si="105"/>
        <v>465.00804134025196</v>
      </c>
      <c r="J248" s="447">
        <f t="shared" si="105"/>
        <v>483.11888854579473</v>
      </c>
      <c r="K248" s="447">
        <f t="shared" si="105"/>
        <v>501.29224773748871</v>
      </c>
      <c r="L248" s="447">
        <f t="shared" si="105"/>
        <v>512.07888446947572</v>
      </c>
      <c r="M248" s="447">
        <f t="shared" si="105"/>
        <v>517.64523553197159</v>
      </c>
      <c r="N248" s="447">
        <f t="shared" si="105"/>
        <v>521.6795129172732</v>
      </c>
    </row>
    <row r="249" spans="2:14">
      <c r="B249" s="331" t="str">
        <f t="shared" si="101"/>
        <v>30-34</v>
      </c>
      <c r="C249" s="447">
        <f t="shared" si="103"/>
        <v>683.60114722133642</v>
      </c>
      <c r="D249" s="447">
        <f t="shared" ref="D249:N249" si="106">D79-D215</f>
        <v>617.41513783308199</v>
      </c>
      <c r="E249" s="447">
        <f t="shared" si="106"/>
        <v>575.77020496489763</v>
      </c>
      <c r="F249" s="447">
        <f t="shared" si="106"/>
        <v>556.86106496157549</v>
      </c>
      <c r="G249" s="447">
        <f t="shared" si="106"/>
        <v>549.00877268320335</v>
      </c>
      <c r="H249" s="447">
        <f t="shared" si="106"/>
        <v>548.07420788134743</v>
      </c>
      <c r="I249" s="447">
        <f t="shared" si="106"/>
        <v>550.82126330877918</v>
      </c>
      <c r="J249" s="447">
        <f t="shared" si="106"/>
        <v>558.99314089399593</v>
      </c>
      <c r="K249" s="447">
        <f t="shared" si="106"/>
        <v>570.76129522769713</v>
      </c>
      <c r="L249" s="447">
        <f t="shared" si="106"/>
        <v>580.49765254044451</v>
      </c>
      <c r="M249" s="447">
        <f t="shared" si="106"/>
        <v>587.96483136545714</v>
      </c>
      <c r="N249" s="447">
        <f t="shared" si="106"/>
        <v>594.47194226315139</v>
      </c>
    </row>
    <row r="250" spans="2:14">
      <c r="B250" s="331" t="str">
        <f t="shared" si="101"/>
        <v>35-39</v>
      </c>
      <c r="C250" s="447">
        <f t="shared" si="103"/>
        <v>742.7515451001168</v>
      </c>
      <c r="D250" s="447">
        <f t="shared" ref="D250:N250" si="107">D80-D216</f>
        <v>707.46101802892667</v>
      </c>
      <c r="E250" s="447">
        <f t="shared" si="107"/>
        <v>671.29230887013136</v>
      </c>
      <c r="F250" s="447">
        <f t="shared" si="107"/>
        <v>642.26879706670059</v>
      </c>
      <c r="G250" s="447">
        <f t="shared" si="107"/>
        <v>617.42634485058829</v>
      </c>
      <c r="H250" s="447">
        <f t="shared" si="107"/>
        <v>597.57270332479015</v>
      </c>
      <c r="I250" s="447">
        <f t="shared" si="107"/>
        <v>582.44869192117983</v>
      </c>
      <c r="J250" s="447">
        <f t="shared" si="107"/>
        <v>573.98155193886373</v>
      </c>
      <c r="K250" s="447">
        <f t="shared" si="107"/>
        <v>570.99441297418605</v>
      </c>
      <c r="L250" s="447">
        <f t="shared" si="107"/>
        <v>569.56213900155683</v>
      </c>
      <c r="M250" s="447">
        <f t="shared" si="107"/>
        <v>569.25547406907515</v>
      </c>
      <c r="N250" s="447">
        <f t="shared" si="107"/>
        <v>570.44116943269523</v>
      </c>
    </row>
    <row r="251" spans="2:14">
      <c r="B251" s="331" t="str">
        <f t="shared" si="101"/>
        <v>40-44</v>
      </c>
      <c r="C251" s="447">
        <f t="shared" si="103"/>
        <v>621.18142092849678</v>
      </c>
      <c r="D251" s="447">
        <f t="shared" ref="D251:N251" si="108">D81-D217</f>
        <v>628.95805032326746</v>
      </c>
      <c r="E251" s="447">
        <f t="shared" si="108"/>
        <v>629.60555406622223</v>
      </c>
      <c r="F251" s="447">
        <f t="shared" si="108"/>
        <v>627.51902386510176</v>
      </c>
      <c r="G251" s="447">
        <f t="shared" si="108"/>
        <v>620.42316236167392</v>
      </c>
      <c r="H251" s="447">
        <f t="shared" si="108"/>
        <v>610.35279693168229</v>
      </c>
      <c r="I251" s="447">
        <f t="shared" si="108"/>
        <v>598.87493231111227</v>
      </c>
      <c r="J251" s="447">
        <f t="shared" si="108"/>
        <v>589.36517161896563</v>
      </c>
      <c r="K251" s="447">
        <f t="shared" si="108"/>
        <v>582.2298222282011</v>
      </c>
      <c r="L251" s="447">
        <f t="shared" si="108"/>
        <v>575.25580599203045</v>
      </c>
      <c r="M251" s="447">
        <f t="shared" si="108"/>
        <v>568.99134319334314</v>
      </c>
      <c r="N251" s="447">
        <f t="shared" si="108"/>
        <v>564.36726010317307</v>
      </c>
    </row>
    <row r="252" spans="2:14">
      <c r="B252" s="331" t="str">
        <f t="shared" si="101"/>
        <v>45-49</v>
      </c>
      <c r="C252" s="447">
        <f t="shared" si="103"/>
        <v>548.12555075163618</v>
      </c>
      <c r="D252" s="447">
        <f t="shared" ref="D252:N252" si="109">D82-D218</f>
        <v>534.21584737102137</v>
      </c>
      <c r="E252" s="447">
        <f t="shared" si="109"/>
        <v>526.18837535550142</v>
      </c>
      <c r="F252" s="447">
        <f t="shared" si="109"/>
        <v>524.08443404077616</v>
      </c>
      <c r="G252" s="447">
        <f t="shared" si="109"/>
        <v>522.01935270866636</v>
      </c>
      <c r="H252" s="447">
        <f t="shared" si="109"/>
        <v>519.03560270980631</v>
      </c>
      <c r="I252" s="447">
        <f t="shared" si="109"/>
        <v>514.74753054896303</v>
      </c>
      <c r="J252" s="447">
        <f t="shared" si="109"/>
        <v>510.97430163377953</v>
      </c>
      <c r="K252" s="447">
        <f t="shared" si="109"/>
        <v>507.68662756675815</v>
      </c>
      <c r="L252" s="447">
        <f t="shared" si="109"/>
        <v>503.10151865393721</v>
      </c>
      <c r="M252" s="447">
        <f t="shared" si="109"/>
        <v>497.85626119383625</v>
      </c>
      <c r="N252" s="447">
        <f t="shared" si="109"/>
        <v>492.99232728468496</v>
      </c>
    </row>
    <row r="253" spans="2:14">
      <c r="B253" s="331" t="str">
        <f t="shared" si="101"/>
        <v>50-54</v>
      </c>
      <c r="C253" s="447">
        <f t="shared" si="103"/>
        <v>393.53430552469985</v>
      </c>
      <c r="D253" s="447">
        <f t="shared" ref="D253:N253" si="110">D83-D219</f>
        <v>389.70801927143583</v>
      </c>
      <c r="E253" s="447">
        <f t="shared" si="110"/>
        <v>384.96151691405953</v>
      </c>
      <c r="F253" s="447">
        <f t="shared" si="110"/>
        <v>382.91170216730904</v>
      </c>
      <c r="G253" s="447">
        <f t="shared" si="110"/>
        <v>380.99133223951742</v>
      </c>
      <c r="H253" s="447">
        <f t="shared" si="110"/>
        <v>379.13390342246936</v>
      </c>
      <c r="I253" s="447">
        <f t="shared" si="110"/>
        <v>377.08071999101446</v>
      </c>
      <c r="J253" s="447">
        <f t="shared" si="110"/>
        <v>375.91220122006018</v>
      </c>
      <c r="K253" s="447">
        <f t="shared" si="110"/>
        <v>375.27383471001497</v>
      </c>
      <c r="L253" s="447">
        <f t="shared" si="110"/>
        <v>373.57203454394141</v>
      </c>
      <c r="M253" s="447">
        <f t="shared" si="110"/>
        <v>371.0836826503521</v>
      </c>
      <c r="N253" s="447">
        <f t="shared" si="110"/>
        <v>368.46654751878003</v>
      </c>
    </row>
    <row r="254" spans="2:14">
      <c r="B254" s="331" t="str">
        <f t="shared" si="101"/>
        <v>55-59</v>
      </c>
      <c r="C254" s="447">
        <f t="shared" si="103"/>
        <v>208.43286123728149</v>
      </c>
      <c r="D254" s="447">
        <f t="shared" ref="D254:N254" si="111">D84-D220</f>
        <v>191.10892925525673</v>
      </c>
      <c r="E254" s="447">
        <f t="shared" si="111"/>
        <v>180.86850562641104</v>
      </c>
      <c r="F254" s="447">
        <f t="shared" si="111"/>
        <v>175.53595834824131</v>
      </c>
      <c r="G254" s="447">
        <f t="shared" si="111"/>
        <v>172.04426320324924</v>
      </c>
      <c r="H254" s="447">
        <f t="shared" si="111"/>
        <v>169.62900943548979</v>
      </c>
      <c r="I254" s="447">
        <f t="shared" si="111"/>
        <v>167.80739758631424</v>
      </c>
      <c r="J254" s="447">
        <f t="shared" si="111"/>
        <v>167.00908066579746</v>
      </c>
      <c r="K254" s="447">
        <f t="shared" si="111"/>
        <v>166.84009341964367</v>
      </c>
      <c r="L254" s="447">
        <f t="shared" si="111"/>
        <v>166.26001623675012</v>
      </c>
      <c r="M254" s="447">
        <f t="shared" si="111"/>
        <v>165.3847122070909</v>
      </c>
      <c r="N254" s="447">
        <f t="shared" si="111"/>
        <v>164.5227139464364</v>
      </c>
    </row>
    <row r="255" spans="2:14">
      <c r="B255" s="331" t="str">
        <f t="shared" si="101"/>
        <v>60-64</v>
      </c>
      <c r="C255" s="447">
        <f t="shared" si="103"/>
        <v>60.417668654569574</v>
      </c>
      <c r="D255" s="447">
        <f t="shared" ref="D255:N255" si="112">D85-D221</f>
        <v>60.869790591202417</v>
      </c>
      <c r="E255" s="447">
        <f t="shared" si="112"/>
        <v>59.201596615904442</v>
      </c>
      <c r="F255" s="447">
        <f t="shared" si="112"/>
        <v>57.724498537109504</v>
      </c>
      <c r="G255" s="447">
        <f t="shared" si="112"/>
        <v>56.304714571952729</v>
      </c>
      <c r="H255" s="447">
        <f t="shared" si="112"/>
        <v>55.131323562825301</v>
      </c>
      <c r="I255" s="447">
        <f t="shared" si="112"/>
        <v>54.191296830598169</v>
      </c>
      <c r="J255" s="447">
        <f t="shared" si="112"/>
        <v>53.765443531246866</v>
      </c>
      <c r="K255" s="447">
        <f t="shared" si="112"/>
        <v>53.673777713207379</v>
      </c>
      <c r="L255" s="447">
        <f t="shared" si="112"/>
        <v>53.428350792295205</v>
      </c>
      <c r="M255" s="447">
        <f t="shared" si="112"/>
        <v>53.102971674889822</v>
      </c>
      <c r="N255" s="447">
        <f t="shared" si="112"/>
        <v>52.840946510984857</v>
      </c>
    </row>
    <row r="256" spans="2:14">
      <c r="B256" s="331" t="str">
        <f t="shared" si="101"/>
        <v>65 plus</v>
      </c>
      <c r="C256" s="447">
        <f t="shared" si="103"/>
        <v>12.879635345845216</v>
      </c>
      <c r="D256" s="447">
        <f t="shared" ref="D256:N256" si="113">D86-D222</f>
        <v>16.460986600695485</v>
      </c>
      <c r="E256" s="447">
        <f t="shared" si="113"/>
        <v>18.641583554565102</v>
      </c>
      <c r="F256" s="447">
        <f t="shared" si="113"/>
        <v>19.959635607427543</v>
      </c>
      <c r="G256" s="447">
        <f t="shared" si="113"/>
        <v>20.534081504518163</v>
      </c>
      <c r="H256" s="447">
        <f t="shared" si="113"/>
        <v>20.684290345597354</v>
      </c>
      <c r="I256" s="447">
        <f t="shared" si="113"/>
        <v>20.610828656504925</v>
      </c>
      <c r="J256" s="447">
        <f t="shared" si="113"/>
        <v>20.563351789971751</v>
      </c>
      <c r="K256" s="447">
        <f t="shared" si="113"/>
        <v>20.572062750744493</v>
      </c>
      <c r="L256" s="447">
        <f t="shared" si="113"/>
        <v>20.496236853799626</v>
      </c>
      <c r="M256" s="447">
        <f t="shared" si="113"/>
        <v>20.372397405834739</v>
      </c>
      <c r="N256" s="447">
        <f t="shared" si="113"/>
        <v>20.26631443228753</v>
      </c>
    </row>
    <row r="257" spans="1:14">
      <c r="B257" s="331" t="str">
        <f t="shared" si="101"/>
        <v>Total</v>
      </c>
      <c r="C257" s="447">
        <f>SUM(C247:C256)</f>
        <v>3663.1463445158124</v>
      </c>
      <c r="D257" s="447">
        <f t="shared" ref="D257:N257" si="114">SUM(D247:D256)</f>
        <v>3601.3134198151233</v>
      </c>
      <c r="E257" s="447">
        <f t="shared" si="114"/>
        <v>3565.8940499613082</v>
      </c>
      <c r="F257" s="447">
        <f t="shared" si="114"/>
        <v>3572.9943195734031</v>
      </c>
      <c r="G257" s="447">
        <f t="shared" si="114"/>
        <v>3574.5294839176722</v>
      </c>
      <c r="H257" s="447">
        <f t="shared" si="114"/>
        <v>3571.2965165008613</v>
      </c>
      <c r="I257" s="447">
        <f t="shared" si="114"/>
        <v>3562.8973428469394</v>
      </c>
      <c r="J257" s="447">
        <f t="shared" si="114"/>
        <v>3573.606240180186</v>
      </c>
      <c r="K257" s="447">
        <f t="shared" si="114"/>
        <v>3597.9088580586999</v>
      </c>
      <c r="L257" s="447">
        <f t="shared" si="114"/>
        <v>3606.0174773299964</v>
      </c>
      <c r="M257" s="447">
        <f t="shared" si="114"/>
        <v>3603.6578255340273</v>
      </c>
      <c r="N257" s="447">
        <f t="shared" si="114"/>
        <v>3602.29274493198</v>
      </c>
    </row>
    <row r="258" spans="1:14">
      <c r="A258" s="302">
        <f>SUM(C258:N258)</f>
        <v>0</v>
      </c>
      <c r="C258" s="302">
        <f t="shared" ref="C258:N258" si="115">SUM(C247:C256)-C257</f>
        <v>0</v>
      </c>
      <c r="D258" s="302">
        <f t="shared" si="115"/>
        <v>0</v>
      </c>
      <c r="E258" s="302">
        <f t="shared" si="115"/>
        <v>0</v>
      </c>
      <c r="F258" s="302">
        <f t="shared" si="115"/>
        <v>0</v>
      </c>
      <c r="G258" s="302">
        <f t="shared" si="115"/>
        <v>0</v>
      </c>
      <c r="H258" s="302">
        <f t="shared" si="115"/>
        <v>0</v>
      </c>
      <c r="I258" s="302">
        <f t="shared" si="115"/>
        <v>0</v>
      </c>
      <c r="J258" s="302">
        <f t="shared" si="115"/>
        <v>0</v>
      </c>
      <c r="K258" s="302">
        <f t="shared" si="115"/>
        <v>0</v>
      </c>
      <c r="L258" s="302">
        <f t="shared" si="115"/>
        <v>0</v>
      </c>
      <c r="M258" s="302">
        <f t="shared" si="115"/>
        <v>0</v>
      </c>
      <c r="N258" s="302">
        <f t="shared" si="115"/>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6">B246</f>
        <v>Age group</v>
      </c>
      <c r="C262" s="331" t="str">
        <f t="shared" ref="C262:N262" si="117">C246</f>
        <v>2017/18</v>
      </c>
      <c r="D262" s="331" t="str">
        <f t="shared" si="117"/>
        <v>2018/19</v>
      </c>
      <c r="E262" s="331" t="str">
        <f t="shared" si="117"/>
        <v>2019/20</v>
      </c>
      <c r="F262" s="331" t="str">
        <f t="shared" si="117"/>
        <v>2020/21</v>
      </c>
      <c r="G262" s="331" t="str">
        <f t="shared" si="117"/>
        <v>2021/22</v>
      </c>
      <c r="H262" s="331" t="str">
        <f t="shared" si="117"/>
        <v>2022/23</v>
      </c>
      <c r="I262" s="331" t="str">
        <f t="shared" si="117"/>
        <v>2023/24</v>
      </c>
      <c r="J262" s="331" t="str">
        <f t="shared" si="117"/>
        <v>2024/25</v>
      </c>
      <c r="K262" s="331" t="str">
        <f t="shared" si="117"/>
        <v>2025/26</v>
      </c>
      <c r="L262" s="331" t="str">
        <f t="shared" si="117"/>
        <v>2026/27</v>
      </c>
      <c r="M262" s="331" t="str">
        <f t="shared" si="117"/>
        <v>2027/28</v>
      </c>
      <c r="N262" s="331" t="str">
        <f t="shared" si="117"/>
        <v>2028/29</v>
      </c>
    </row>
    <row r="263" spans="1:14">
      <c r="B263" s="331" t="str">
        <f t="shared" si="116"/>
        <v>20-24</v>
      </c>
      <c r="C263" s="447">
        <f t="shared" ref="C263:C272" si="118">C93-C229</f>
        <v>53.410626366605968</v>
      </c>
      <c r="D263" s="447">
        <f t="shared" ref="D263:N263" si="119">D93-D229</f>
        <v>87.934254141056769</v>
      </c>
      <c r="E263" s="447">
        <f t="shared" si="119"/>
        <v>116.29271839665032</v>
      </c>
      <c r="F263" s="447">
        <f t="shared" si="119"/>
        <v>139.86196045624078</v>
      </c>
      <c r="G263" s="447">
        <f t="shared" si="119"/>
        <v>155.55001701421838</v>
      </c>
      <c r="H263" s="447">
        <f t="shared" si="119"/>
        <v>165.79536724578682</v>
      </c>
      <c r="I263" s="447">
        <f t="shared" si="119"/>
        <v>172.13787081508417</v>
      </c>
      <c r="J263" s="447">
        <f t="shared" si="119"/>
        <v>179.00979798788163</v>
      </c>
      <c r="K263" s="447">
        <f t="shared" si="119"/>
        <v>185.79686689779751</v>
      </c>
      <c r="L263" s="447">
        <f t="shared" si="119"/>
        <v>188.65822926273003</v>
      </c>
      <c r="M263" s="447">
        <f t="shared" si="119"/>
        <v>189.30606787166434</v>
      </c>
      <c r="N263" s="447">
        <f t="shared" si="119"/>
        <v>189.8084214119794</v>
      </c>
    </row>
    <row r="264" spans="1:14">
      <c r="B264" s="331" t="str">
        <f t="shared" si="116"/>
        <v>25-29</v>
      </c>
      <c r="C264" s="447">
        <f t="shared" si="118"/>
        <v>226.14638958265397</v>
      </c>
      <c r="D264" s="447">
        <f t="shared" ref="D264:N264" si="120">D94-D230</f>
        <v>236.8923161218859</v>
      </c>
      <c r="E264" s="447">
        <f t="shared" si="120"/>
        <v>256.73459739312295</v>
      </c>
      <c r="F264" s="447">
        <f t="shared" si="120"/>
        <v>281.24619148542848</v>
      </c>
      <c r="G264" s="447">
        <f t="shared" si="120"/>
        <v>302.2132029738313</v>
      </c>
      <c r="H264" s="447">
        <f t="shared" si="120"/>
        <v>319.18458813128552</v>
      </c>
      <c r="I264" s="447">
        <f t="shared" si="120"/>
        <v>332.11736910559699</v>
      </c>
      <c r="J264" s="447">
        <f t="shared" si="120"/>
        <v>345.70849989081245</v>
      </c>
      <c r="K264" s="447">
        <f t="shared" si="120"/>
        <v>359.27095275676652</v>
      </c>
      <c r="L264" s="447">
        <f t="shared" si="120"/>
        <v>367.70722464948739</v>
      </c>
      <c r="M264" s="447">
        <f t="shared" si="120"/>
        <v>372.44244775685911</v>
      </c>
      <c r="N264" s="447">
        <f t="shared" si="120"/>
        <v>375.9714373312172</v>
      </c>
    </row>
    <row r="265" spans="1:14">
      <c r="B265" s="331" t="str">
        <f t="shared" si="116"/>
        <v>30-34</v>
      </c>
      <c r="C265" s="447">
        <f t="shared" si="118"/>
        <v>420.42820238726404</v>
      </c>
      <c r="D265" s="447">
        <f t="shared" ref="D265:N265" si="121">D95-D231</f>
        <v>387.32226204755563</v>
      </c>
      <c r="E265" s="447">
        <f t="shared" si="121"/>
        <v>368.76648607931634</v>
      </c>
      <c r="F265" s="447">
        <f t="shared" si="121"/>
        <v>362.13472069962512</v>
      </c>
      <c r="G265" s="447">
        <f t="shared" si="121"/>
        <v>361.50249474037793</v>
      </c>
      <c r="H265" s="447">
        <f t="shared" si="121"/>
        <v>364.49532487384715</v>
      </c>
      <c r="I265" s="447">
        <f t="shared" si="121"/>
        <v>369.2207519058735</v>
      </c>
      <c r="J265" s="447">
        <f t="shared" si="121"/>
        <v>377.04703885246704</v>
      </c>
      <c r="K265" s="447">
        <f t="shared" si="121"/>
        <v>386.87258951430744</v>
      </c>
      <c r="L265" s="447">
        <f t="shared" si="121"/>
        <v>395.00326133702941</v>
      </c>
      <c r="M265" s="447">
        <f t="shared" si="121"/>
        <v>401.35155404138254</v>
      </c>
      <c r="N265" s="447">
        <f t="shared" si="121"/>
        <v>406.84450178684608</v>
      </c>
    </row>
    <row r="266" spans="1:14">
      <c r="B266" s="331" t="str">
        <f t="shared" si="116"/>
        <v>35-39</v>
      </c>
      <c r="C266" s="447">
        <f t="shared" si="118"/>
        <v>504.84231446718559</v>
      </c>
      <c r="D266" s="447">
        <f t="shared" ref="D266:N266" si="122">D96-D232</f>
        <v>473.02967633404586</v>
      </c>
      <c r="E266" s="447">
        <f t="shared" si="122"/>
        <v>445.8106959869699</v>
      </c>
      <c r="F266" s="447">
        <f t="shared" si="122"/>
        <v>424.52692128488849</v>
      </c>
      <c r="G266" s="447">
        <f t="shared" si="122"/>
        <v>407.64704618144566</v>
      </c>
      <c r="H266" s="447">
        <f t="shared" si="122"/>
        <v>395.01838752532342</v>
      </c>
      <c r="I266" s="447">
        <f t="shared" si="122"/>
        <v>386.0341656720438</v>
      </c>
      <c r="J266" s="447">
        <f t="shared" si="122"/>
        <v>381.73815687258315</v>
      </c>
      <c r="K266" s="447">
        <f t="shared" si="122"/>
        <v>381.17905119841089</v>
      </c>
      <c r="L266" s="447">
        <f t="shared" si="122"/>
        <v>381.61356916461</v>
      </c>
      <c r="M266" s="447">
        <f t="shared" si="122"/>
        <v>382.70866896001945</v>
      </c>
      <c r="N266" s="447">
        <f t="shared" si="122"/>
        <v>384.69476322424799</v>
      </c>
    </row>
    <row r="267" spans="1:14">
      <c r="B267" s="331" t="str">
        <f t="shared" si="116"/>
        <v>40-44</v>
      </c>
      <c r="C267" s="447">
        <f t="shared" si="118"/>
        <v>429.31975825056077</v>
      </c>
      <c r="D267" s="447">
        <f t="shared" ref="D267:N267" si="123">D97-D233</f>
        <v>428.84460886063653</v>
      </c>
      <c r="E267" s="447">
        <f t="shared" si="123"/>
        <v>424.31186616056311</v>
      </c>
      <c r="F267" s="447">
        <f t="shared" si="123"/>
        <v>417.57810899054545</v>
      </c>
      <c r="G267" s="447">
        <f t="shared" si="123"/>
        <v>408.64871369310549</v>
      </c>
      <c r="H267" s="447">
        <f t="shared" si="123"/>
        <v>398.88322518017583</v>
      </c>
      <c r="I267" s="447">
        <f t="shared" si="123"/>
        <v>389.19137776058625</v>
      </c>
      <c r="J267" s="447">
        <f t="shared" si="123"/>
        <v>381.64622682850563</v>
      </c>
      <c r="K267" s="447">
        <f t="shared" si="123"/>
        <v>376.31872633598141</v>
      </c>
      <c r="L267" s="447">
        <f t="shared" si="123"/>
        <v>371.54951793119176</v>
      </c>
      <c r="M267" s="447">
        <f t="shared" si="123"/>
        <v>367.57212803062606</v>
      </c>
      <c r="N267" s="447">
        <f t="shared" si="123"/>
        <v>364.90225357776364</v>
      </c>
    </row>
    <row r="268" spans="1:14">
      <c r="B268" s="331" t="str">
        <f t="shared" si="116"/>
        <v>45-49</v>
      </c>
      <c r="C268" s="447">
        <f t="shared" si="118"/>
        <v>358.12724949472027</v>
      </c>
      <c r="D268" s="447">
        <f t="shared" ref="D268:N268" si="124">D98-D234</f>
        <v>355.35538000003226</v>
      </c>
      <c r="E268" s="447">
        <f t="shared" si="124"/>
        <v>354.50404571499661</v>
      </c>
      <c r="F268" s="447">
        <f t="shared" si="124"/>
        <v>354.24805747511374</v>
      </c>
      <c r="G268" s="447">
        <f t="shared" si="124"/>
        <v>352.72917866869625</v>
      </c>
      <c r="H268" s="447">
        <f t="shared" si="124"/>
        <v>349.87246152030707</v>
      </c>
      <c r="I268" s="447">
        <f t="shared" si="124"/>
        <v>345.82621910873445</v>
      </c>
      <c r="J268" s="447">
        <f t="shared" si="124"/>
        <v>342.09305806601304</v>
      </c>
      <c r="K268" s="447">
        <f t="shared" si="124"/>
        <v>338.81087994046374</v>
      </c>
      <c r="L268" s="447">
        <f t="shared" si="124"/>
        <v>334.84655940105944</v>
      </c>
      <c r="M268" s="447">
        <f t="shared" si="124"/>
        <v>330.65637339523209</v>
      </c>
      <c r="N268" s="447">
        <f t="shared" si="124"/>
        <v>326.94042309063536</v>
      </c>
    </row>
    <row r="269" spans="1:14">
      <c r="B269" s="331" t="str">
        <f t="shared" si="116"/>
        <v>50-54</v>
      </c>
      <c r="C269" s="447">
        <f t="shared" si="118"/>
        <v>296.93151083223665</v>
      </c>
      <c r="D269" s="447">
        <f t="shared" ref="D269:N269" si="125">D99-D235</f>
        <v>285.25989573683029</v>
      </c>
      <c r="E269" s="447">
        <f t="shared" si="125"/>
        <v>277.43378377752259</v>
      </c>
      <c r="F269" s="447">
        <f t="shared" si="125"/>
        <v>272.62813832394528</v>
      </c>
      <c r="G269" s="447">
        <f t="shared" si="125"/>
        <v>269.12921189011377</v>
      </c>
      <c r="H269" s="447">
        <f t="shared" si="125"/>
        <v>266.3012950791404</v>
      </c>
      <c r="I269" s="447">
        <f t="shared" si="125"/>
        <v>263.65464813123305</v>
      </c>
      <c r="J269" s="447">
        <f t="shared" si="125"/>
        <v>261.77709071479325</v>
      </c>
      <c r="K269" s="447">
        <f t="shared" si="125"/>
        <v>260.37414452047017</v>
      </c>
      <c r="L269" s="447">
        <f t="shared" si="125"/>
        <v>258.34880714234117</v>
      </c>
      <c r="M269" s="447">
        <f t="shared" si="125"/>
        <v>255.88963199288361</v>
      </c>
      <c r="N269" s="447">
        <f t="shared" si="125"/>
        <v>253.45025406515398</v>
      </c>
    </row>
    <row r="270" spans="1:14">
      <c r="B270" s="331" t="str">
        <f t="shared" si="116"/>
        <v>55-59</v>
      </c>
      <c r="C270" s="447">
        <f t="shared" si="118"/>
        <v>153.51841698497401</v>
      </c>
      <c r="D270" s="447">
        <f t="shared" ref="D270:N270" si="126">D100-D236</f>
        <v>145.15113961201084</v>
      </c>
      <c r="E270" s="447">
        <f t="shared" si="126"/>
        <v>138.93537126818254</v>
      </c>
      <c r="F270" s="447">
        <f t="shared" si="126"/>
        <v>134.56820214084843</v>
      </c>
      <c r="G270" s="447">
        <f t="shared" si="126"/>
        <v>131.1701108295936</v>
      </c>
      <c r="H270" s="447">
        <f t="shared" si="126"/>
        <v>128.53758457427963</v>
      </c>
      <c r="I270" s="447">
        <f t="shared" si="126"/>
        <v>126.4346776096214</v>
      </c>
      <c r="J270" s="447">
        <f t="shared" si="126"/>
        <v>125.167464831887</v>
      </c>
      <c r="K270" s="447">
        <f t="shared" si="126"/>
        <v>124.44964200837015</v>
      </c>
      <c r="L270" s="447">
        <f t="shared" si="126"/>
        <v>123.53758131015893</v>
      </c>
      <c r="M270" s="447">
        <f t="shared" si="126"/>
        <v>122.48526469150431</v>
      </c>
      <c r="N270" s="447">
        <f t="shared" si="126"/>
        <v>121.49276620213934</v>
      </c>
    </row>
    <row r="271" spans="1:14">
      <c r="B271" s="331" t="str">
        <f t="shared" si="116"/>
        <v>60-64</v>
      </c>
      <c r="C271" s="447">
        <f t="shared" si="118"/>
        <v>44.25268852621997</v>
      </c>
      <c r="D271" s="447">
        <f t="shared" ref="D271:N271" si="127">D101-D237</f>
        <v>45.477675686170329</v>
      </c>
      <c r="E271" s="447">
        <f t="shared" si="127"/>
        <v>45.332618160651883</v>
      </c>
      <c r="F271" s="447">
        <f t="shared" si="127"/>
        <v>44.744891682118883</v>
      </c>
      <c r="G271" s="447">
        <f t="shared" si="127"/>
        <v>43.873353414035776</v>
      </c>
      <c r="H271" s="447">
        <f t="shared" si="127"/>
        <v>42.97472051126141</v>
      </c>
      <c r="I271" s="447">
        <f t="shared" si="127"/>
        <v>42.144594012569833</v>
      </c>
      <c r="J271" s="447">
        <f t="shared" si="127"/>
        <v>41.641715072282892</v>
      </c>
      <c r="K271" s="447">
        <f t="shared" si="127"/>
        <v>41.378015510292876</v>
      </c>
      <c r="L271" s="447">
        <f t="shared" si="127"/>
        <v>41.029959692498352</v>
      </c>
      <c r="M271" s="447">
        <f t="shared" si="127"/>
        <v>40.64704841104551</v>
      </c>
      <c r="N271" s="447">
        <f t="shared" si="127"/>
        <v>40.325264424655316</v>
      </c>
    </row>
    <row r="272" spans="1:14">
      <c r="B272" s="331" t="str">
        <f t="shared" si="116"/>
        <v>65 plus</v>
      </c>
      <c r="C272" s="447">
        <f t="shared" si="118"/>
        <v>9.2490472229925036</v>
      </c>
      <c r="D272" s="447">
        <f t="shared" ref="D272:N272" si="128">D102-D238</f>
        <v>13.292538514278469</v>
      </c>
      <c r="E272" s="447">
        <f t="shared" si="128"/>
        <v>16.198511230278228</v>
      </c>
      <c r="F272" s="447">
        <f t="shared" si="128"/>
        <v>18.173836601446897</v>
      </c>
      <c r="G272" s="447">
        <f t="shared" si="128"/>
        <v>19.363591508612622</v>
      </c>
      <c r="H272" s="447">
        <f t="shared" si="128"/>
        <v>20.006691337737493</v>
      </c>
      <c r="I272" s="447">
        <f t="shared" si="128"/>
        <v>20.287015744702387</v>
      </c>
      <c r="J272" s="447">
        <f t="shared" si="128"/>
        <v>20.439004646113133</v>
      </c>
      <c r="K272" s="447">
        <f t="shared" si="128"/>
        <v>20.536806624591684</v>
      </c>
      <c r="L272" s="447">
        <f t="shared" si="128"/>
        <v>20.512454117913229</v>
      </c>
      <c r="M272" s="447">
        <f t="shared" si="128"/>
        <v>20.412185840156148</v>
      </c>
      <c r="N272" s="447">
        <f t="shared" si="128"/>
        <v>20.299859964269032</v>
      </c>
    </row>
    <row r="273" spans="1:14">
      <c r="B273" s="331" t="str">
        <f t="shared" si="116"/>
        <v>Total</v>
      </c>
      <c r="C273" s="447">
        <f>SUM(C263:C272)</f>
        <v>2496.2262041154136</v>
      </c>
      <c r="D273" s="447">
        <f t="shared" ref="D273:N273" si="129">SUM(D263:D272)</f>
        <v>2458.5597470545026</v>
      </c>
      <c r="E273" s="447">
        <f t="shared" si="129"/>
        <v>2444.3206941682542</v>
      </c>
      <c r="F273" s="447">
        <f t="shared" si="129"/>
        <v>2449.7110291402014</v>
      </c>
      <c r="G273" s="447">
        <f t="shared" si="129"/>
        <v>2451.8269209140308</v>
      </c>
      <c r="H273" s="447">
        <f t="shared" si="129"/>
        <v>2451.0696459791452</v>
      </c>
      <c r="I273" s="447">
        <f t="shared" si="129"/>
        <v>2447.0486898660461</v>
      </c>
      <c r="J273" s="447">
        <f t="shared" si="129"/>
        <v>2456.2680537633391</v>
      </c>
      <c r="K273" s="447">
        <f t="shared" si="129"/>
        <v>2474.9876753074518</v>
      </c>
      <c r="L273" s="447">
        <f t="shared" si="129"/>
        <v>2482.8071640090202</v>
      </c>
      <c r="M273" s="447">
        <f t="shared" si="129"/>
        <v>2483.4713709913735</v>
      </c>
      <c r="N273" s="447">
        <f t="shared" si="129"/>
        <v>2484.7299450789073</v>
      </c>
    </row>
    <row r="274" spans="1:14">
      <c r="A274" s="302">
        <f>SUM(C274:N274)</f>
        <v>0</v>
      </c>
      <c r="C274" s="302">
        <f t="shared" ref="C274:N274" si="130">SUM(C263:C272)-C273</f>
        <v>0</v>
      </c>
      <c r="D274" s="302">
        <f t="shared" si="130"/>
        <v>0</v>
      </c>
      <c r="E274" s="302">
        <f t="shared" si="130"/>
        <v>0</v>
      </c>
      <c r="F274" s="302">
        <f t="shared" si="130"/>
        <v>0</v>
      </c>
      <c r="G274" s="302">
        <f t="shared" si="130"/>
        <v>0</v>
      </c>
      <c r="H274" s="302">
        <f t="shared" si="130"/>
        <v>0</v>
      </c>
      <c r="I274" s="302">
        <f t="shared" si="130"/>
        <v>0</v>
      </c>
      <c r="J274" s="302">
        <f t="shared" si="130"/>
        <v>0</v>
      </c>
      <c r="K274" s="302">
        <f t="shared" si="130"/>
        <v>0</v>
      </c>
      <c r="L274" s="302">
        <f t="shared" si="130"/>
        <v>0</v>
      </c>
      <c r="M274" s="302">
        <f t="shared" si="130"/>
        <v>0</v>
      </c>
      <c r="N274" s="302">
        <f t="shared" si="130"/>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1">D262</f>
        <v>2018/19</v>
      </c>
      <c r="E278" s="319" t="str">
        <f t="shared" si="131"/>
        <v>2019/20</v>
      </c>
      <c r="F278" s="319" t="str">
        <f t="shared" si="131"/>
        <v>2020/21</v>
      </c>
      <c r="G278" s="319" t="str">
        <f t="shared" si="131"/>
        <v>2021/22</v>
      </c>
      <c r="H278" s="319" t="str">
        <f t="shared" si="131"/>
        <v>2022/23</v>
      </c>
      <c r="I278" s="319" t="str">
        <f t="shared" si="131"/>
        <v>2023/24</v>
      </c>
      <c r="J278" s="319" t="str">
        <f t="shared" si="131"/>
        <v>2024/25</v>
      </c>
      <c r="K278" s="319" t="str">
        <f t="shared" si="131"/>
        <v>2025/26</v>
      </c>
      <c r="L278" s="319" t="str">
        <f t="shared" si="131"/>
        <v>2026/27</v>
      </c>
      <c r="M278" s="319" t="str">
        <f t="shared" si="131"/>
        <v>2027/28</v>
      </c>
      <c r="N278" s="319" t="str">
        <f t="shared" si="131"/>
        <v>2028/29</v>
      </c>
    </row>
    <row r="279" spans="1:14">
      <c r="B279" s="319" t="s">
        <v>203</v>
      </c>
      <c r="C279" s="447">
        <f>C223+C239</f>
        <v>844.69484993678702</v>
      </c>
      <c r="D279" s="447">
        <f t="shared" ref="D279:N279" si="132">D223+D239</f>
        <v>826.33857419071501</v>
      </c>
      <c r="E279" s="447">
        <f t="shared" si="132"/>
        <v>848.64123708629563</v>
      </c>
      <c r="F279" s="447">
        <f t="shared" si="132"/>
        <v>851.18728820887486</v>
      </c>
      <c r="G279" s="447">
        <f t="shared" si="132"/>
        <v>855.32815606636314</v>
      </c>
      <c r="H279" s="447">
        <f t="shared" si="132"/>
        <v>857.04647374789261</v>
      </c>
      <c r="I279" s="447">
        <f t="shared" si="132"/>
        <v>856.66109655482956</v>
      </c>
      <c r="J279" s="447">
        <f t="shared" si="132"/>
        <v>860.68154264098166</v>
      </c>
      <c r="K279" s="447">
        <f t="shared" si="132"/>
        <v>867.64196072100378</v>
      </c>
      <c r="L279" s="447">
        <f t="shared" si="132"/>
        <v>869.86501523820266</v>
      </c>
      <c r="M279" s="447">
        <f t="shared" si="132"/>
        <v>869.07277515504325</v>
      </c>
      <c r="N279" s="447">
        <f t="shared" si="132"/>
        <v>868.36489196537241</v>
      </c>
    </row>
    <row r="280" spans="1:14">
      <c r="B280" s="319" t="s">
        <v>204</v>
      </c>
      <c r="C280" s="447">
        <f>C155+C171</f>
        <v>178.59411482869638</v>
      </c>
      <c r="D280" s="447">
        <f t="shared" ref="D280:N280" si="133">D155+D171</f>
        <v>175.49333407048334</v>
      </c>
      <c r="E280" s="447">
        <f t="shared" si="133"/>
        <v>172.91494064879419</v>
      </c>
      <c r="F280" s="447">
        <f t="shared" si="133"/>
        <v>170.59861650587317</v>
      </c>
      <c r="G280" s="447">
        <f t="shared" si="133"/>
        <v>168.34893514035724</v>
      </c>
      <c r="H280" s="447">
        <f t="shared" si="133"/>
        <v>166.23828230236117</v>
      </c>
      <c r="I280" s="447">
        <f t="shared" si="133"/>
        <v>164.28469958529132</v>
      </c>
      <c r="J280" s="447">
        <f t="shared" si="133"/>
        <v>163.23603119839927</v>
      </c>
      <c r="K280" s="447">
        <f t="shared" si="133"/>
        <v>162.81407475285187</v>
      </c>
      <c r="L280" s="447">
        <f t="shared" si="133"/>
        <v>161.96691920351367</v>
      </c>
      <c r="M280" s="447">
        <f t="shared" si="133"/>
        <v>160.85445045334166</v>
      </c>
      <c r="N280" s="447">
        <f t="shared" si="133"/>
        <v>159.82524537088784</v>
      </c>
    </row>
    <row r="281" spans="1:14">
      <c r="B281" s="319" t="s">
        <v>533</v>
      </c>
      <c r="C281" s="447">
        <f>C189+C205</f>
        <v>5.4105038317506446</v>
      </c>
      <c r="D281" s="447">
        <f t="shared" ref="D281:N281" si="134">D189+D205</f>
        <v>5.3053335760748332</v>
      </c>
      <c r="E281" s="447">
        <f t="shared" si="134"/>
        <v>5.2377414537024407</v>
      </c>
      <c r="F281" s="447">
        <f t="shared" si="134"/>
        <v>5.1818711316948818</v>
      </c>
      <c r="G281" s="447">
        <f t="shared" si="134"/>
        <v>5.1281774491339762</v>
      </c>
      <c r="H281" s="447">
        <f t="shared" si="134"/>
        <v>5.0742436434207292</v>
      </c>
      <c r="I281" s="447">
        <f t="shared" si="134"/>
        <v>5.020146642410932</v>
      </c>
      <c r="J281" s="447">
        <f t="shared" si="134"/>
        <v>4.9878693519806978</v>
      </c>
      <c r="K281" s="447">
        <f t="shared" si="134"/>
        <v>4.9728463543147896</v>
      </c>
      <c r="L281" s="447">
        <f t="shared" si="134"/>
        <v>4.9479632959327979</v>
      </c>
      <c r="M281" s="447">
        <f t="shared" si="134"/>
        <v>4.9173801601348481</v>
      </c>
      <c r="N281" s="447">
        <f t="shared" si="134"/>
        <v>4.8908321000728776</v>
      </c>
    </row>
    <row r="282" spans="1:14">
      <c r="B282" s="319" t="s">
        <v>205</v>
      </c>
      <c r="C282" s="447">
        <f>C121+C137</f>
        <v>660.69023127634</v>
      </c>
      <c r="D282" s="447">
        <f t="shared" ref="D282:N282" si="135">D121+D137</f>
        <v>645.53990654415679</v>
      </c>
      <c r="E282" s="447">
        <f t="shared" si="135"/>
        <v>670.48855498379896</v>
      </c>
      <c r="F282" s="447">
        <f t="shared" si="135"/>
        <v>675.40680057130692</v>
      </c>
      <c r="G282" s="447">
        <f t="shared" si="135"/>
        <v>681.85104347687206</v>
      </c>
      <c r="H282" s="447">
        <f t="shared" si="135"/>
        <v>685.73394780211072</v>
      </c>
      <c r="I282" s="447">
        <f t="shared" si="135"/>
        <v>687.35625032712755</v>
      </c>
      <c r="J282" s="447">
        <f t="shared" si="135"/>
        <v>692.45764209060189</v>
      </c>
      <c r="K282" s="447">
        <f t="shared" si="135"/>
        <v>699.85503961383722</v>
      </c>
      <c r="L282" s="447">
        <f t="shared" si="135"/>
        <v>702.95013273875611</v>
      </c>
      <c r="M282" s="447">
        <f t="shared" si="135"/>
        <v>703.30094454156665</v>
      </c>
      <c r="N282" s="447">
        <f t="shared" si="135"/>
        <v>703.64881449441179</v>
      </c>
    </row>
    <row r="283" spans="1:14" ht="15.75">
      <c r="A283" s="302">
        <f>SUM(C283:N283)</f>
        <v>0</v>
      </c>
      <c r="B283" s="333"/>
      <c r="C283" s="302">
        <f>C279-C280-C281-C282</f>
        <v>0</v>
      </c>
      <c r="D283" s="302">
        <f t="shared" ref="D283:N283" si="136">D279-D280-D281-D282</f>
        <v>0</v>
      </c>
      <c r="E283" s="302">
        <f t="shared" si="136"/>
        <v>0</v>
      </c>
      <c r="F283" s="302">
        <f t="shared" si="136"/>
        <v>0</v>
      </c>
      <c r="G283" s="302">
        <f t="shared" si="136"/>
        <v>0</v>
      </c>
      <c r="H283" s="302">
        <f t="shared" si="136"/>
        <v>0</v>
      </c>
      <c r="I283" s="302">
        <f t="shared" si="136"/>
        <v>0</v>
      </c>
      <c r="J283" s="302">
        <f t="shared" si="136"/>
        <v>0</v>
      </c>
      <c r="K283" s="302">
        <f t="shared" si="136"/>
        <v>0</v>
      </c>
      <c r="L283" s="302">
        <f t="shared" si="136"/>
        <v>0</v>
      </c>
      <c r="M283" s="302">
        <f t="shared" si="136"/>
        <v>0</v>
      </c>
      <c r="N283" s="302">
        <f t="shared" si="136"/>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7">D278</f>
        <v>2018/19</v>
      </c>
      <c r="E289" s="319" t="str">
        <f t="shared" si="137"/>
        <v>2019/20</v>
      </c>
      <c r="F289" s="319" t="str">
        <f t="shared" si="137"/>
        <v>2020/21</v>
      </c>
      <c r="G289" s="319" t="str">
        <f t="shared" si="137"/>
        <v>2021/22</v>
      </c>
      <c r="H289" s="319" t="str">
        <f t="shared" si="137"/>
        <v>2022/23</v>
      </c>
      <c r="I289" s="319" t="str">
        <f t="shared" si="137"/>
        <v>2023/24</v>
      </c>
      <c r="J289" s="319" t="str">
        <f t="shared" si="137"/>
        <v>2024/25</v>
      </c>
      <c r="K289" s="319" t="str">
        <f t="shared" si="137"/>
        <v>2025/26</v>
      </c>
      <c r="L289" s="319" t="str">
        <f t="shared" si="137"/>
        <v>2026/27</v>
      </c>
      <c r="M289" s="319" t="str">
        <f t="shared" si="137"/>
        <v>2027/28</v>
      </c>
      <c r="N289" s="319" t="str">
        <f t="shared" si="137"/>
        <v>2028/29</v>
      </c>
    </row>
    <row r="290" spans="2:14" ht="15.75">
      <c r="B290" s="333"/>
      <c r="C290" s="447">
        <f>C53+C69-C15</f>
        <v>0</v>
      </c>
      <c r="D290" s="447">
        <f>D53+D69-D15</f>
        <v>0</v>
      </c>
      <c r="E290" s="447">
        <f>E53+E69-E15</f>
        <v>0</v>
      </c>
      <c r="F290" s="447">
        <f t="shared" ref="F290:N290" si="138">F53+F69-F15</f>
        <v>0</v>
      </c>
      <c r="G290" s="447">
        <f t="shared" si="138"/>
        <v>0</v>
      </c>
      <c r="H290" s="447">
        <f t="shared" si="138"/>
        <v>0</v>
      </c>
      <c r="I290" s="447">
        <f t="shared" si="138"/>
        <v>0</v>
      </c>
      <c r="J290" s="447">
        <f t="shared" si="138"/>
        <v>0</v>
      </c>
      <c r="K290" s="447">
        <f t="shared" si="138"/>
        <v>0</v>
      </c>
      <c r="L290" s="447">
        <f t="shared" si="138"/>
        <v>0</v>
      </c>
      <c r="M290" s="447">
        <f t="shared" si="138"/>
        <v>0</v>
      </c>
      <c r="N290" s="447">
        <f t="shared" si="138"/>
        <v>0</v>
      </c>
    </row>
    <row r="291" spans="2:14" ht="15.75">
      <c r="B291" s="333"/>
      <c r="H291" s="320"/>
    </row>
    <row r="292" spans="2:14" ht="15.75">
      <c r="B292" s="333" t="s">
        <v>264</v>
      </c>
      <c r="H292" s="320"/>
    </row>
    <row r="293" spans="2:14" ht="15.75">
      <c r="B293" s="333"/>
      <c r="C293" s="358" t="str">
        <f t="shared" ref="C293:N293" si="139">C262</f>
        <v>2017/18</v>
      </c>
      <c r="D293" s="358" t="str">
        <f t="shared" si="139"/>
        <v>2018/19</v>
      </c>
      <c r="E293" s="358" t="str">
        <f t="shared" si="139"/>
        <v>2019/20</v>
      </c>
      <c r="F293" s="358" t="str">
        <f t="shared" si="139"/>
        <v>2020/21</v>
      </c>
      <c r="G293" s="358" t="str">
        <f t="shared" si="139"/>
        <v>2021/22</v>
      </c>
      <c r="H293" s="358" t="str">
        <f t="shared" si="139"/>
        <v>2022/23</v>
      </c>
      <c r="I293" s="358" t="str">
        <f t="shared" si="139"/>
        <v>2023/24</v>
      </c>
      <c r="J293" s="358" t="str">
        <f t="shared" si="139"/>
        <v>2024/25</v>
      </c>
      <c r="K293" s="358" t="str">
        <f t="shared" si="139"/>
        <v>2025/26</v>
      </c>
      <c r="L293" s="358" t="str">
        <f t="shared" si="139"/>
        <v>2026/27</v>
      </c>
      <c r="M293" s="358" t="str">
        <f t="shared" si="139"/>
        <v>2027/28</v>
      </c>
      <c r="N293" s="358" t="str">
        <f t="shared" si="139"/>
        <v>2028/29</v>
      </c>
    </row>
    <row r="294" spans="2:14">
      <c r="B294" s="356" t="s">
        <v>268</v>
      </c>
      <c r="C294" s="447">
        <f>C36-C15+C279-C290</f>
        <v>726.8391924291152</v>
      </c>
      <c r="D294" s="447">
        <f t="shared" ref="D294:N294" si="140">D36-D15+D279-D290</f>
        <v>798.98281434623186</v>
      </c>
      <c r="E294" s="447">
        <f t="shared" si="140"/>
        <v>863.67789279291742</v>
      </c>
      <c r="F294" s="447">
        <f t="shared" si="140"/>
        <v>858.9792121844614</v>
      </c>
      <c r="G294" s="447">
        <f t="shared" si="140"/>
        <v>853.05623139619593</v>
      </c>
      <c r="H294" s="447">
        <f t="shared" si="140"/>
        <v>844.24096678780847</v>
      </c>
      <c r="I294" s="447">
        <f t="shared" si="140"/>
        <v>880.60980387152154</v>
      </c>
      <c r="J294" s="447">
        <f t="shared" si="140"/>
        <v>910.66420014363166</v>
      </c>
      <c r="K294" s="447">
        <f t="shared" si="140"/>
        <v>885.79312321106693</v>
      </c>
      <c r="L294" s="447">
        <f t="shared" si="140"/>
        <v>867.37733034142661</v>
      </c>
      <c r="M294" s="447">
        <f t="shared" si="140"/>
        <v>868.25838545086049</v>
      </c>
      <c r="N294" s="447">
        <f t="shared" si="140"/>
        <v>860.84071320300791</v>
      </c>
    </row>
    <row r="295" spans="2:14" ht="12.75" customHeight="1">
      <c r="B295" s="1327" t="s">
        <v>265</v>
      </c>
      <c r="C295" s="1327"/>
      <c r="D295" s="1327"/>
      <c r="E295" s="1327"/>
      <c r="F295" s="1327"/>
      <c r="G295" s="1327"/>
      <c r="H295" s="1327"/>
      <c r="I295" s="1327"/>
      <c r="J295" s="1327"/>
      <c r="K295" s="1327"/>
      <c r="L295" s="1327"/>
      <c r="M295" s="1327"/>
      <c r="N295" s="1327"/>
    </row>
    <row r="296" spans="2:14">
      <c r="B296" s="319" t="s">
        <v>108</v>
      </c>
      <c r="C296" s="276">
        <f>IF(C294&lt;0,0,C294)</f>
        <v>726.8391924291152</v>
      </c>
      <c r="D296" s="276">
        <f t="shared" ref="D296:N296" si="141">IF(D294&lt;0,0,D294)</f>
        <v>798.98281434623186</v>
      </c>
      <c r="E296" s="276">
        <f t="shared" si="141"/>
        <v>863.67789279291742</v>
      </c>
      <c r="F296" s="276">
        <f t="shared" si="141"/>
        <v>858.9792121844614</v>
      </c>
      <c r="G296" s="276">
        <f t="shared" si="141"/>
        <v>853.05623139619593</v>
      </c>
      <c r="H296" s="276">
        <f t="shared" si="141"/>
        <v>844.24096678780847</v>
      </c>
      <c r="I296" s="276">
        <f t="shared" si="141"/>
        <v>880.60980387152154</v>
      </c>
      <c r="J296" s="276">
        <f t="shared" si="141"/>
        <v>910.66420014363166</v>
      </c>
      <c r="K296" s="276">
        <f t="shared" si="141"/>
        <v>885.79312321106693</v>
      </c>
      <c r="L296" s="276">
        <f t="shared" si="141"/>
        <v>867.37733034142661</v>
      </c>
      <c r="M296" s="276">
        <f t="shared" si="141"/>
        <v>868.25838545086049</v>
      </c>
      <c r="N296" s="276">
        <f t="shared" si="141"/>
        <v>860.84071320300791</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2">B262</f>
        <v>Age group</v>
      </c>
      <c r="C302" s="331" t="str">
        <f>C293</f>
        <v>2017/18</v>
      </c>
      <c r="D302" s="331" t="str">
        <f t="shared" ref="D302:N302" si="143">D293</f>
        <v>2018/19</v>
      </c>
      <c r="E302" s="331" t="str">
        <f t="shared" si="143"/>
        <v>2019/20</v>
      </c>
      <c r="F302" s="331" t="str">
        <f t="shared" si="143"/>
        <v>2020/21</v>
      </c>
      <c r="G302" s="331" t="str">
        <f t="shared" si="143"/>
        <v>2021/22</v>
      </c>
      <c r="H302" s="331" t="str">
        <f t="shared" si="143"/>
        <v>2022/23</v>
      </c>
      <c r="I302" s="331" t="str">
        <f t="shared" si="143"/>
        <v>2023/24</v>
      </c>
      <c r="J302" s="331" t="str">
        <f t="shared" si="143"/>
        <v>2024/25</v>
      </c>
      <c r="K302" s="331" t="str">
        <f t="shared" si="143"/>
        <v>2025/26</v>
      </c>
      <c r="L302" s="331" t="str">
        <f t="shared" si="143"/>
        <v>2026/27</v>
      </c>
      <c r="M302" s="331" t="str">
        <f t="shared" si="143"/>
        <v>2027/28</v>
      </c>
      <c r="N302" s="331" t="str">
        <f t="shared" si="143"/>
        <v>2028/29</v>
      </c>
    </row>
    <row r="303" spans="2:14">
      <c r="B303" s="331" t="str">
        <f t="shared" si="142"/>
        <v>20-24</v>
      </c>
      <c r="C303" s="447">
        <f>C$296*Entrant_age_breakdowns!$K76*$G$31</f>
        <v>111.29552848616362</v>
      </c>
      <c r="D303" s="447">
        <f>D$296*Entrant_age_breakdowns!$K76*$G$31</f>
        <v>122.34234958745493</v>
      </c>
      <c r="E303" s="447">
        <f>E$296*Entrant_age_breakdowns!$K76*$G$31</f>
        <v>132.24863012540195</v>
      </c>
      <c r="F303" s="447">
        <f>F$296*Entrant_age_breakdowns!$K76*$G$31</f>
        <v>131.52915579469325</v>
      </c>
      <c r="G303" s="447">
        <f>G$296*Entrant_age_breakdowns!$K76*$G$31</f>
        <v>130.62221340095644</v>
      </c>
      <c r="H303" s="447">
        <f>H$296*Entrant_age_breakdowns!$K76*$G$31</f>
        <v>129.27239690295363</v>
      </c>
      <c r="I303" s="447">
        <f>I$296*Entrant_age_breakdowns!$K76*$G$31</f>
        <v>134.84128887496129</v>
      </c>
      <c r="J303" s="447">
        <f>J$296*Entrant_age_breakdowns!$K76*$G$31</f>
        <v>139.44329706505113</v>
      </c>
      <c r="K303" s="447">
        <f>K$296*Entrant_age_breakdowns!$K76*$G$31</f>
        <v>135.63497236261048</v>
      </c>
      <c r="L303" s="447">
        <f>L$296*Entrant_age_breakdowns!$K76*$G$31</f>
        <v>132.81509773110011</v>
      </c>
      <c r="M303" s="447">
        <f>M$296*Entrant_age_breakdowns!$K76*$G$31</f>
        <v>132.95000720633377</v>
      </c>
      <c r="N303" s="447">
        <f>N$296*Entrant_age_breakdowns!$K76*$G$31</f>
        <v>131.81419372577162</v>
      </c>
    </row>
    <row r="304" spans="2:14">
      <c r="B304" s="331" t="str">
        <f t="shared" si="142"/>
        <v>25-29</v>
      </c>
      <c r="C304" s="447">
        <f>C$296*Entrant_age_breakdowns!$K77*$G$31</f>
        <v>113.60838538688286</v>
      </c>
      <c r="D304" s="447">
        <f>D$296*Entrant_age_breakdowns!$K77*$G$31</f>
        <v>124.88477291157552</v>
      </c>
      <c r="E304" s="447">
        <f>E$296*Entrant_age_breakdowns!$K77*$G$31</f>
        <v>134.99691804816635</v>
      </c>
      <c r="F304" s="447">
        <f>F$296*Entrant_age_breakdowns!$K77*$G$31</f>
        <v>134.26249216285964</v>
      </c>
      <c r="G304" s="447">
        <f>G$296*Entrant_age_breakdowns!$K77*$G$31</f>
        <v>133.33670239939971</v>
      </c>
      <c r="H304" s="447">
        <f>H$296*Entrant_age_breakdowns!$K77*$G$31</f>
        <v>131.95883506732861</v>
      </c>
      <c r="I304" s="447">
        <f>I$296*Entrant_age_breakdowns!$K77*$G$31</f>
        <v>137.64345541047578</v>
      </c>
      <c r="J304" s="447">
        <f>J$296*Entrant_age_breakdowns!$K77*$G$31</f>
        <v>142.34109894678656</v>
      </c>
      <c r="K304" s="447">
        <f>K$296*Entrant_age_breakdowns!$K77*$G$31</f>
        <v>138.45363260956483</v>
      </c>
      <c r="L304" s="447">
        <f>L$296*Entrant_age_breakdowns!$K77*$G$31</f>
        <v>135.57515754199596</v>
      </c>
      <c r="M304" s="447">
        <f>M$296*Entrant_age_breakdowns!$K77*$G$31</f>
        <v>135.71287060076088</v>
      </c>
      <c r="N304" s="447">
        <f>N$296*Entrant_age_breakdowns!$K77*$G$31</f>
        <v>134.55345352999001</v>
      </c>
    </row>
    <row r="305" spans="1:14">
      <c r="B305" s="331" t="str">
        <f t="shared" si="142"/>
        <v>30-34</v>
      </c>
      <c r="C305" s="447">
        <f>C$296*Entrant_age_breakdowns!$K78*$G$31</f>
        <v>56.423901889828642</v>
      </c>
      <c r="D305" s="447">
        <f>D$296*Entrant_age_breakdowns!$K78*$G$31</f>
        <v>62.024349261721383</v>
      </c>
      <c r="E305" s="447">
        <f>E$296*Entrant_age_breakdowns!$K78*$G$31</f>
        <v>67.046572605004499</v>
      </c>
      <c r="F305" s="447">
        <f>F$296*Entrant_age_breakdowns!$K78*$G$31</f>
        <v>66.681818067240613</v>
      </c>
      <c r="G305" s="447">
        <f>G$296*Entrant_age_breakdowns!$K78*$G$31</f>
        <v>66.222022158635937</v>
      </c>
      <c r="H305" s="447">
        <f>H$296*Entrant_age_breakdowns!$K78*$G$31</f>
        <v>65.537700742595845</v>
      </c>
      <c r="I305" s="447">
        <f>I$296*Entrant_age_breakdowns!$K78*$G$31</f>
        <v>68.360982311384817</v>
      </c>
      <c r="J305" s="447">
        <f>J$296*Entrant_age_breakdowns!$K78*$G$31</f>
        <v>70.694079266363559</v>
      </c>
      <c r="K305" s="447">
        <f>K$296*Entrant_age_breakdowns!$K78*$G$31</f>
        <v>68.763358937362767</v>
      </c>
      <c r="L305" s="447">
        <f>L$296*Entrant_age_breakdowns!$K78*$G$31</f>
        <v>67.333756762736868</v>
      </c>
      <c r="M305" s="447">
        <f>M$296*Entrant_age_breakdowns!$K78*$G$31</f>
        <v>67.402152313736394</v>
      </c>
      <c r="N305" s="447">
        <f>N$296*Entrant_age_breakdowns!$K78*$G$31</f>
        <v>66.826324791605956</v>
      </c>
    </row>
    <row r="306" spans="1:14">
      <c r="B306" s="331" t="str">
        <f t="shared" si="142"/>
        <v>35-39</v>
      </c>
      <c r="C306" s="447">
        <f>C$296*Entrant_age_breakdowns!$K79*$G$31</f>
        <v>42.054588546516818</v>
      </c>
      <c r="D306" s="447">
        <f>D$296*Entrant_age_breakdowns!$K79*$G$31</f>
        <v>46.228786041068822</v>
      </c>
      <c r="E306" s="447">
        <f>E$296*Entrant_age_breakdowns!$K79*$G$31</f>
        <v>49.972014162776539</v>
      </c>
      <c r="F306" s="447">
        <f>F$296*Entrant_age_breakdowns!$K79*$G$31</f>
        <v>49.700150617499453</v>
      </c>
      <c r="G306" s="447">
        <f>G$296*Entrant_age_breakdowns!$K79*$G$31</f>
        <v>49.357449614837542</v>
      </c>
      <c r="H306" s="447">
        <f>H$296*Entrant_age_breakdowns!$K79*$G$31</f>
        <v>48.847402372069247</v>
      </c>
      <c r="I306" s="447">
        <f>I$296*Entrant_age_breakdowns!$K79*$G$31</f>
        <v>50.951686917264603</v>
      </c>
      <c r="J306" s="447">
        <f>J$296*Entrant_age_breakdowns!$K79*$G$31</f>
        <v>52.690620759031567</v>
      </c>
      <c r="K306" s="447">
        <f>K$296*Entrant_age_breakdowns!$K79*$G$31</f>
        <v>51.251591441401885</v>
      </c>
      <c r="L306" s="447">
        <f>L$296*Entrant_age_breakdowns!$K79*$G$31</f>
        <v>50.186061954332935</v>
      </c>
      <c r="M306" s="447">
        <f>M$296*Entrant_age_breakdowns!$K79*$G$31</f>
        <v>50.237039406429624</v>
      </c>
      <c r="N306" s="447">
        <f>N$296*Entrant_age_breakdowns!$K79*$G$31</f>
        <v>49.807856228629568</v>
      </c>
    </row>
    <row r="307" spans="1:14">
      <c r="B307" s="331" t="str">
        <f t="shared" si="142"/>
        <v>40-44</v>
      </c>
      <c r="C307" s="447">
        <f>C$296*Entrant_age_breakdowns!$K80*$G$31</f>
        <v>36.135250903227501</v>
      </c>
      <c r="D307" s="447">
        <f>D$296*Entrant_age_breakdowns!$K80*$G$31</f>
        <v>39.721914784587796</v>
      </c>
      <c r="E307" s="447">
        <f>E$296*Entrant_age_breakdowns!$K80*$G$31</f>
        <v>42.938269813630839</v>
      </c>
      <c r="F307" s="447">
        <f>F$296*Entrant_age_breakdowns!$K80*$G$31</f>
        <v>42.704672059864635</v>
      </c>
      <c r="G307" s="447">
        <f>G$296*Entrant_age_breakdowns!$K80*$G$31</f>
        <v>42.410207480755076</v>
      </c>
      <c r="H307" s="447">
        <f>H$296*Entrant_age_breakdowns!$K80*$G$31</f>
        <v>41.971951258855633</v>
      </c>
      <c r="I307" s="447">
        <f>I$296*Entrant_age_breakdowns!$K80*$G$31</f>
        <v>43.780050033340395</v>
      </c>
      <c r="J307" s="447">
        <f>J$296*Entrant_age_breakdowns!$K80*$G$31</f>
        <v>45.274222556437572</v>
      </c>
      <c r="K307" s="447">
        <f>K$296*Entrant_age_breakdowns!$K80*$G$31</f>
        <v>44.037741895305153</v>
      </c>
      <c r="L307" s="447">
        <f>L$296*Entrant_age_breakdowns!$K80*$G$31</f>
        <v>43.122189593148278</v>
      </c>
      <c r="M307" s="447">
        <f>M$296*Entrant_age_breakdowns!$K80*$G$31</f>
        <v>43.165991781817503</v>
      </c>
      <c r="N307" s="447">
        <f>N$296*Entrant_age_breakdowns!$K80*$G$31</f>
        <v>42.797217711038158</v>
      </c>
    </row>
    <row r="308" spans="1:14">
      <c r="B308" s="331" t="str">
        <f t="shared" si="142"/>
        <v>45-49</v>
      </c>
      <c r="C308" s="447">
        <f>C$296*Entrant_age_breakdowns!$K81*$G$31</f>
        <v>29.127067735453537</v>
      </c>
      <c r="D308" s="447">
        <f>D$296*Entrant_age_breakdowns!$K81*$G$31</f>
        <v>32.018122846609693</v>
      </c>
      <c r="E308" s="447">
        <f>E$296*Entrant_age_breakdowns!$K81*$G$31</f>
        <v>34.610687958253507</v>
      </c>
      <c r="F308" s="447">
        <f>F$296*Entrant_age_breakdowns!$K81*$G$31</f>
        <v>34.422394880809001</v>
      </c>
      <c r="G308" s="447">
        <f>G$296*Entrant_age_breakdowns!$K81*$G$31</f>
        <v>34.185039679806373</v>
      </c>
      <c r="H308" s="447">
        <f>H$296*Entrant_age_breakdowns!$K81*$G$31</f>
        <v>33.831780235311726</v>
      </c>
      <c r="I308" s="447">
        <f>I$296*Entrant_age_breakdowns!$K81*$G$31</f>
        <v>35.289210698928741</v>
      </c>
      <c r="J308" s="447">
        <f>J$296*Entrant_age_breakdowns!$K81*$G$31</f>
        <v>36.493598746634753</v>
      </c>
      <c r="K308" s="447">
        <f>K$296*Entrant_age_breakdowns!$K81*$G$31</f>
        <v>35.496924998143761</v>
      </c>
      <c r="L308" s="447">
        <f>L$296*Entrant_age_breakdowns!$K81*$G$31</f>
        <v>34.758937762585596</v>
      </c>
      <c r="M308" s="447">
        <f>M$296*Entrant_age_breakdowns!$K81*$G$31</f>
        <v>34.794244818284369</v>
      </c>
      <c r="N308" s="447">
        <f>N$296*Entrant_age_breakdowns!$K81*$G$31</f>
        <v>34.496991939995659</v>
      </c>
    </row>
    <row r="309" spans="1:14">
      <c r="B309" s="331" t="str">
        <f t="shared" si="142"/>
        <v>50-54</v>
      </c>
      <c r="C309" s="447">
        <f>C$296*Entrant_age_breakdowns!$K82*$G$31</f>
        <v>21.583273197028603</v>
      </c>
      <c r="D309" s="447">
        <f>D$296*Entrant_age_breakdowns!$K82*$G$31</f>
        <v>23.725556548668482</v>
      </c>
      <c r="E309" s="447">
        <f>E$296*Entrant_age_breakdowns!$K82*$G$31</f>
        <v>25.646657621866581</v>
      </c>
      <c r="F309" s="447">
        <f>F$296*Entrant_age_breakdowns!$K82*$G$31</f>
        <v>25.507131701560933</v>
      </c>
      <c r="G309" s="447">
        <f>G$296*Entrant_age_breakdowns!$K82*$G$31</f>
        <v>25.331250552297849</v>
      </c>
      <c r="H309" s="447">
        <f>H$296*Entrant_age_breakdowns!$K82*$G$31</f>
        <v>25.069483896992619</v>
      </c>
      <c r="I309" s="447">
        <f>I$296*Entrant_age_breakdowns!$K82*$G$31</f>
        <v>26.149445675075402</v>
      </c>
      <c r="J309" s="447">
        <f>J$296*Entrant_age_breakdowns!$K82*$G$31</f>
        <v>27.041902015170155</v>
      </c>
      <c r="K309" s="447">
        <f>K$296*Entrant_age_breakdowns!$K82*$G$31</f>
        <v>26.303362798062359</v>
      </c>
      <c r="L309" s="447">
        <f>L$296*Entrant_age_breakdowns!$K82*$G$31</f>
        <v>25.75651131731464</v>
      </c>
      <c r="M309" s="447">
        <f>M$296*Entrant_age_breakdowns!$K82*$G$31</f>
        <v>25.782673986205673</v>
      </c>
      <c r="N309" s="447">
        <f>N$296*Entrant_age_breakdowns!$K82*$G$31</f>
        <v>25.562408419517709</v>
      </c>
    </row>
    <row r="310" spans="1:14">
      <c r="B310" s="331" t="str">
        <f t="shared" si="142"/>
        <v>55-59</v>
      </c>
      <c r="C310" s="447">
        <f>C$296*Entrant_age_breakdowns!$K83*$G$31</f>
        <v>13.987809097147181</v>
      </c>
      <c r="D310" s="447">
        <f>D$296*Entrant_age_breakdowns!$K83*$G$31</f>
        <v>15.37619214179403</v>
      </c>
      <c r="E310" s="447">
        <f>E$296*Entrant_age_breakdowns!$K83*$G$31</f>
        <v>16.621230131301527</v>
      </c>
      <c r="F310" s="447">
        <f>F$296*Entrant_age_breakdowns!$K83*$G$31</f>
        <v>16.530805388051377</v>
      </c>
      <c r="G310" s="447">
        <f>G$296*Entrant_age_breakdowns!$K83*$G$31</f>
        <v>16.416819343524192</v>
      </c>
      <c r="H310" s="447">
        <f>H$296*Entrant_age_breakdowns!$K83*$G$31</f>
        <v>16.247172137144375</v>
      </c>
      <c r="I310" s="447">
        <f>I$296*Entrant_age_breakdowns!$K83*$G$31</f>
        <v>16.947079840954441</v>
      </c>
      <c r="J310" s="447">
        <f>J$296*Entrant_age_breakdowns!$K83*$G$31</f>
        <v>17.525467965815068</v>
      </c>
      <c r="K310" s="447">
        <f>K$296*Entrant_age_breakdowns!$K83*$G$31</f>
        <v>17.046831315787276</v>
      </c>
      <c r="L310" s="447">
        <f>L$296*Entrant_age_breakdowns!$K83*$G$31</f>
        <v>16.692424732162859</v>
      </c>
      <c r="M310" s="447">
        <f>M$296*Entrant_age_breakdowns!$K83*$G$31</f>
        <v>16.709380381779994</v>
      </c>
      <c r="N310" s="447">
        <f>N$296*Entrant_age_breakdowns!$K83*$G$31</f>
        <v>16.566629434350464</v>
      </c>
    </row>
    <row r="311" spans="1:14">
      <c r="B311" s="331" t="str">
        <f t="shared" si="142"/>
        <v>60-64</v>
      </c>
      <c r="C311" s="447">
        <f>C$296*Entrant_age_breakdowns!$K84*$G$31</f>
        <v>7.1333705447636149</v>
      </c>
      <c r="D311" s="447">
        <f>D$296*Entrant_age_breakdowns!$K84*$G$31</f>
        <v>7.8414049943868189</v>
      </c>
      <c r="E311" s="447">
        <f>E$296*Entrant_age_breakdowns!$K84*$G$31</f>
        <v>8.4763376889769848</v>
      </c>
      <c r="F311" s="447">
        <f>F$296*Entrant_age_breakdowns!$K84*$G$31</f>
        <v>8.4302237339223645</v>
      </c>
      <c r="G311" s="447">
        <f>G$296*Entrant_age_breakdowns!$K84*$G$31</f>
        <v>8.3720942093558506</v>
      </c>
      <c r="H311" s="447">
        <f>H$296*Entrant_age_breakdowns!$K84*$G$31</f>
        <v>8.2855791320777357</v>
      </c>
      <c r="I311" s="447">
        <f>I$296*Entrant_age_breakdowns!$K84*$G$31</f>
        <v>8.6425114410431281</v>
      </c>
      <c r="J311" s="447">
        <f>J$296*Entrant_age_breakdowns!$K84*$G$31</f>
        <v>8.937472344832079</v>
      </c>
      <c r="K311" s="447">
        <f>K$296*Entrant_age_breakdowns!$K84*$G$31</f>
        <v>8.6933817544301188</v>
      </c>
      <c r="L311" s="447">
        <f>L$296*Entrant_age_breakdowns!$K84*$G$31</f>
        <v>8.5126448379524451</v>
      </c>
      <c r="M311" s="447">
        <f>M$296*Entrant_age_breakdowns!$K84*$G$31</f>
        <v>8.5212917197268663</v>
      </c>
      <c r="N311" s="447">
        <f>N$296*Entrant_age_breakdowns!$K84*$G$31</f>
        <v>8.448492942122833</v>
      </c>
    </row>
    <row r="312" spans="1:14">
      <c r="B312" s="331" t="str">
        <f t="shared" si="142"/>
        <v>65 plus</v>
      </c>
      <c r="C312" s="447">
        <f>C$296*Entrant_age_breakdowns!$K85*$G$31</f>
        <v>2.1478463029571153</v>
      </c>
      <c r="D312" s="447">
        <f>D$296*Entrant_age_breakdowns!$K85*$G$31</f>
        <v>2.3610343275306893</v>
      </c>
      <c r="E312" s="447">
        <f>E$296*Entrant_age_breakdowns!$K85*$G$31</f>
        <v>2.5522115322117451</v>
      </c>
      <c r="F312" s="447">
        <f>F$296*Entrant_age_breakdowns!$K85*$G$31</f>
        <v>2.5383266951270516</v>
      </c>
      <c r="G312" s="447">
        <f>G$296*Entrant_age_breakdowns!$K85*$G$31</f>
        <v>2.5208239895477802</v>
      </c>
      <c r="H312" s="447">
        <f>H$296*Entrant_age_breakdowns!$K85*$G$31</f>
        <v>2.4947744400794361</v>
      </c>
      <c r="I312" s="447">
        <f>I$296*Entrant_age_breakdowns!$K85*$G$31</f>
        <v>2.6022461794775849</v>
      </c>
      <c r="J312" s="447">
        <f>J$296*Entrant_age_breakdowns!$K85*$G$31</f>
        <v>2.6910584292751292</v>
      </c>
      <c r="K312" s="447">
        <f>K$296*Entrant_age_breakdowns!$K85*$G$31</f>
        <v>2.6175631483428461</v>
      </c>
      <c r="L312" s="447">
        <f>L$296*Entrant_age_breakdowns!$K85*$G$31</f>
        <v>2.5631435558895421</v>
      </c>
      <c r="M312" s="447">
        <f>M$296*Entrant_age_breakdowns!$K85*$G$31</f>
        <v>2.5657471179693125</v>
      </c>
      <c r="N312" s="447">
        <f>N$296*Entrant_age_breakdowns!$K85*$G$31</f>
        <v>2.5438275240893335</v>
      </c>
    </row>
    <row r="313" spans="1:14">
      <c r="B313" s="331" t="str">
        <f t="shared" si="142"/>
        <v>Total</v>
      </c>
      <c r="C313" s="447">
        <f t="shared" ref="C313:N313" si="144">SUM(C303:C312)</f>
        <v>433.49702208996951</v>
      </c>
      <c r="D313" s="447">
        <f t="shared" si="144"/>
        <v>476.52448344539818</v>
      </c>
      <c r="E313" s="447">
        <f t="shared" si="144"/>
        <v>515.10952968759057</v>
      </c>
      <c r="F313" s="447">
        <f t="shared" si="144"/>
        <v>512.30717110162823</v>
      </c>
      <c r="G313" s="447">
        <f t="shared" si="144"/>
        <v>508.77462282911682</v>
      </c>
      <c r="H313" s="447">
        <f t="shared" si="144"/>
        <v>503.51707618540888</v>
      </c>
      <c r="I313" s="447">
        <f t="shared" si="144"/>
        <v>525.2079573829061</v>
      </c>
      <c r="J313" s="447">
        <f t="shared" si="144"/>
        <v>543.13281809539751</v>
      </c>
      <c r="K313" s="447">
        <f t="shared" si="144"/>
        <v>528.29936126101143</v>
      </c>
      <c r="L313" s="447">
        <f t="shared" si="144"/>
        <v>517.31592578921914</v>
      </c>
      <c r="M313" s="447">
        <f t="shared" si="144"/>
        <v>517.84139933304436</v>
      </c>
      <c r="N313" s="447">
        <f t="shared" si="144"/>
        <v>513.41739624711136</v>
      </c>
    </row>
    <row r="314" spans="1:14">
      <c r="A314" s="302">
        <f>SUM(C314:N314)</f>
        <v>0</v>
      </c>
      <c r="C314" s="302">
        <f t="shared" ref="C314:N314" si="145">SUM(C303:C312)-C313</f>
        <v>0</v>
      </c>
      <c r="D314" s="302">
        <f t="shared" si="145"/>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75.312332522546455</v>
      </c>
      <c r="D319" s="447">
        <f>D$296*Entrant_age_breakdowns!$K76*$H$31</f>
        <v>82.787582206103735</v>
      </c>
      <c r="E319" s="447">
        <f>E$296*Entrant_age_breakdowns!$K76*$H$31</f>
        <v>89.491041941489669</v>
      </c>
      <c r="F319" s="447">
        <f>F$296*Entrant_age_breakdowns!$K76*$H$31</f>
        <v>89.004182399396683</v>
      </c>
      <c r="G319" s="447">
        <f>G$296*Entrant_age_breakdowns!$K76*$H$31</f>
        <v>88.39046549571718</v>
      </c>
      <c r="H319" s="447">
        <f>H$296*Entrant_age_breakdowns!$K76*$H$31</f>
        <v>87.477061064067939</v>
      </c>
      <c r="I319" s="447">
        <f>I$296*Entrant_age_breakdowns!$K76*$H$31</f>
        <v>91.245462631343145</v>
      </c>
      <c r="J319" s="447">
        <f>J$296*Entrant_age_breakdowns!$K76*$H$31</f>
        <v>94.359585685501756</v>
      </c>
      <c r="K319" s="447">
        <f>K$296*Entrant_age_breakdowns!$K76*$H$31</f>
        <v>91.782538608720984</v>
      </c>
      <c r="L319" s="447">
        <f>L$296*Entrant_age_breakdowns!$K76*$H$31</f>
        <v>89.874363690924497</v>
      </c>
      <c r="M319" s="447">
        <f>M$296*Entrant_age_breakdowns!$K76*$H$31</f>
        <v>89.965655294436701</v>
      </c>
      <c r="N319" s="447">
        <f>N$296*Entrant_age_breakdowns!$K76*$H$31</f>
        <v>89.197064105777017</v>
      </c>
    </row>
    <row r="320" spans="1:14">
      <c r="B320" s="331" t="str">
        <f t="shared" si="146"/>
        <v>25-29</v>
      </c>
      <c r="C320" s="447">
        <f>C$296*Entrant_age_breakdowns!$K77*$H$31</f>
        <v>76.877414699281786</v>
      </c>
      <c r="D320" s="447">
        <f>D$296*Entrant_age_breakdowns!$K77*$H$31</f>
        <v>84.508009193635871</v>
      </c>
      <c r="E320" s="447">
        <f>E$296*Entrant_age_breakdowns!$K77*$H$31</f>
        <v>91.350775002846774</v>
      </c>
      <c r="F320" s="447">
        <f>F$296*Entrant_age_breakdowns!$K77*$H$31</f>
        <v>90.853797925333197</v>
      </c>
      <c r="G320" s="447">
        <f>G$296*Entrant_age_breakdowns!$K77*$H$31</f>
        <v>90.227327235449792</v>
      </c>
      <c r="H320" s="447">
        <f>H$296*Entrant_age_breakdowns!$K77*$H$31</f>
        <v>89.294941145043708</v>
      </c>
      <c r="I320" s="447">
        <f>I$296*Entrant_age_breakdowns!$K77*$H$31</f>
        <v>93.141654695631303</v>
      </c>
      <c r="J320" s="447">
        <f>J$296*Entrant_age_breakdowns!$K77*$H$31</f>
        <v>96.320493027155209</v>
      </c>
      <c r="K320" s="447">
        <f>K$296*Entrant_age_breakdowns!$K77*$H$31</f>
        <v>93.689891767236247</v>
      </c>
      <c r="L320" s="447">
        <f>L$296*Entrant_age_breakdowns!$K77*$H$31</f>
        <v>91.742062646019065</v>
      </c>
      <c r="M320" s="447">
        <f>M$296*Entrant_age_breakdowns!$K77*$H$31</f>
        <v>91.83525140045937</v>
      </c>
      <c r="N320" s="447">
        <f>N$296*Entrant_age_breakdowns!$K77*$H$31</f>
        <v>91.050687948954049</v>
      </c>
    </row>
    <row r="321" spans="1:14">
      <c r="B321" s="331" t="str">
        <f t="shared" si="146"/>
        <v>30-34</v>
      </c>
      <c r="C321" s="447">
        <f>C$296*Entrant_age_breakdowns!$K78*$H$31</f>
        <v>38.18136918119405</v>
      </c>
      <c r="D321" s="447">
        <f>D$296*Entrant_age_breakdowns!$K78*$H$31</f>
        <v>41.971123904353874</v>
      </c>
      <c r="E321" s="447">
        <f>E$296*Entrant_age_breakdowns!$K78*$H$31</f>
        <v>45.369601449467972</v>
      </c>
      <c r="F321" s="447">
        <f>F$296*Entrant_age_breakdowns!$K78*$H$31</f>
        <v>45.122776483444319</v>
      </c>
      <c r="G321" s="447">
        <f>G$296*Entrant_age_breakdowns!$K78*$H$31</f>
        <v>44.811638175981706</v>
      </c>
      <c r="H321" s="447">
        <f>H$296*Entrant_age_breakdowns!$K78*$H$31</f>
        <v>44.348566184338139</v>
      </c>
      <c r="I321" s="447">
        <f>I$296*Entrant_age_breakdowns!$K78*$H$31</f>
        <v>46.259046535216264</v>
      </c>
      <c r="J321" s="447">
        <f>J$296*Entrant_age_breakdowns!$K78*$H$31</f>
        <v>47.837824910868115</v>
      </c>
      <c r="K321" s="447">
        <f>K$296*Entrant_age_breakdowns!$K78*$H$31</f>
        <v>46.531329911441198</v>
      </c>
      <c r="L321" s="447">
        <f>L$296*Entrant_age_breakdowns!$K78*$H$31</f>
        <v>45.563935481360694</v>
      </c>
      <c r="M321" s="447">
        <f>M$296*Entrant_age_breakdowns!$K78*$H$31</f>
        <v>45.61021792010736</v>
      </c>
      <c r="N321" s="447">
        <f>N$296*Entrant_age_breakdowns!$K78*$H$31</f>
        <v>45.220562428892251</v>
      </c>
    </row>
    <row r="322" spans="1:14">
      <c r="B322" s="331" t="str">
        <f t="shared" si="146"/>
        <v>35-39</v>
      </c>
      <c r="C322" s="447">
        <f>C$296*Entrant_age_breakdowns!$K79*$H$31</f>
        <v>28.457829346736979</v>
      </c>
      <c r="D322" s="447">
        <f>D$296*Entrant_age_breakdowns!$K79*$H$31</f>
        <v>31.282458098677928</v>
      </c>
      <c r="E322" s="447">
        <f>E$296*Entrant_age_breakdowns!$K79*$H$31</f>
        <v>33.815455109827809</v>
      </c>
      <c r="F322" s="447">
        <f>F$296*Entrant_age_breakdowns!$K79*$H$31</f>
        <v>33.631488350325768</v>
      </c>
      <c r="G322" s="447">
        <f>G$296*Entrant_age_breakdowns!$K79*$H$31</f>
        <v>33.399586743681326</v>
      </c>
      <c r="H322" s="447">
        <f>H$296*Entrant_age_breakdowns!$K79*$H$31</f>
        <v>33.054443968656457</v>
      </c>
      <c r="I322" s="447">
        <f>I$296*Entrant_age_breakdowns!$K79*$H$31</f>
        <v>34.478387765369817</v>
      </c>
      <c r="J322" s="447">
        <f>J$296*Entrant_age_breakdowns!$K79*$H$31</f>
        <v>35.655103177994363</v>
      </c>
      <c r="K322" s="447">
        <f>K$296*Entrant_age_breakdowns!$K79*$H$31</f>
        <v>34.681329514729057</v>
      </c>
      <c r="L322" s="447">
        <f>L$296*Entrant_age_breakdowns!$K79*$H$31</f>
        <v>33.960298650917743</v>
      </c>
      <c r="M322" s="447">
        <f>M$296*Entrant_age_breakdowns!$K79*$H$31</f>
        <v>33.994794473667127</v>
      </c>
      <c r="N322" s="447">
        <f>N$296*Entrant_age_breakdowns!$K79*$H$31</f>
        <v>33.70437142937044</v>
      </c>
    </row>
    <row r="323" spans="1:14">
      <c r="B323" s="331" t="str">
        <f t="shared" si="146"/>
        <v>40-44</v>
      </c>
      <c r="C323" s="447">
        <f>C$296*Entrant_age_breakdowns!$K80*$H$31</f>
        <v>24.452285449615776</v>
      </c>
      <c r="D323" s="447">
        <f>D$296*Entrant_age_breakdowns!$K80*$H$31</f>
        <v>26.879337340682497</v>
      </c>
      <c r="E323" s="447">
        <f>E$296*Entrant_age_breakdowns!$K80*$H$31</f>
        <v>29.055805728520458</v>
      </c>
      <c r="F323" s="447">
        <f>F$296*Entrant_age_breakdowns!$K80*$H$31</f>
        <v>28.897732965423351</v>
      </c>
      <c r="G323" s="447">
        <f>G$296*Entrant_age_breakdowns!$K80*$H$31</f>
        <v>28.69847236080016</v>
      </c>
      <c r="H323" s="447">
        <f>H$296*Entrant_age_breakdowns!$K80*$H$31</f>
        <v>28.401909697746998</v>
      </c>
      <c r="I323" s="447">
        <f>I$296*Entrant_age_breakdowns!$K80*$H$31</f>
        <v>29.625428180383377</v>
      </c>
      <c r="J323" s="447">
        <f>J$296*Entrant_age_breakdowns!$K80*$H$31</f>
        <v>30.636516581114019</v>
      </c>
      <c r="K323" s="447">
        <f>K$296*Entrant_age_breakdowns!$K80*$H$31</f>
        <v>29.799805133892853</v>
      </c>
      <c r="L323" s="447">
        <f>L$296*Entrant_age_breakdowns!$K80*$H$31</f>
        <v>29.180262009746642</v>
      </c>
      <c r="M323" s="447">
        <f>M$296*Entrant_age_breakdowns!$K80*$H$31</f>
        <v>29.209902418873071</v>
      </c>
      <c r="N323" s="447">
        <f>N$296*Entrant_age_breakdowns!$K80*$H$31</f>
        <v>28.96035748367219</v>
      </c>
    </row>
    <row r="324" spans="1:14">
      <c r="B324" s="331" t="str">
        <f t="shared" si="146"/>
        <v>45-49</v>
      </c>
      <c r="C324" s="447">
        <f>C$296*Entrant_age_breakdowns!$K81*$H$31</f>
        <v>19.70993300932054</v>
      </c>
      <c r="D324" s="447">
        <f>D$296*Entrant_age_breakdowns!$K81*$H$31</f>
        <v>21.666274893257672</v>
      </c>
      <c r="E324" s="447">
        <f>E$296*Entrant_age_breakdowns!$K81*$H$31</f>
        <v>23.420632219470878</v>
      </c>
      <c r="F324" s="447">
        <f>F$296*Entrant_age_breakdowns!$K81*$H$31</f>
        <v>23.293216580648</v>
      </c>
      <c r="G324" s="447">
        <f>G$296*Entrant_age_breakdowns!$K81*$H$31</f>
        <v>23.132601198637499</v>
      </c>
      <c r="H324" s="447">
        <f>H$296*Entrant_age_breakdowns!$K81*$H$31</f>
        <v>22.893554822629515</v>
      </c>
      <c r="I324" s="447">
        <f>I$296*Entrant_age_breakdowns!$K81*$H$31</f>
        <v>23.879780317915785</v>
      </c>
      <c r="J324" s="447">
        <f>J$296*Entrant_age_breakdowns!$K81*$H$31</f>
        <v>24.694775083372978</v>
      </c>
      <c r="K324" s="447">
        <f>K$296*Entrant_age_breakdowns!$K81*$H$31</f>
        <v>24.020338061654016</v>
      </c>
      <c r="L324" s="447">
        <f>L$296*Entrant_age_breakdowns!$K81*$H$31</f>
        <v>23.520951061675294</v>
      </c>
      <c r="M324" s="447">
        <f>M$296*Entrant_age_breakdowns!$K81*$H$31</f>
        <v>23.544842917487891</v>
      </c>
      <c r="N324" s="447">
        <f>N$296*Entrant_age_breakdowns!$K81*$H$31</f>
        <v>23.343695504672052</v>
      </c>
    </row>
    <row r="325" spans="1:14">
      <c r="B325" s="331" t="str">
        <f t="shared" si="146"/>
        <v>50-54</v>
      </c>
      <c r="C325" s="447">
        <f>C$296*Entrant_age_breakdowns!$K82*$H$31</f>
        <v>14.605138859120155</v>
      </c>
      <c r="D325" s="447">
        <f>D$296*Entrant_age_breakdowns!$K82*$H$31</f>
        <v>16.05479598668639</v>
      </c>
      <c r="E325" s="447">
        <f>E$296*Entrant_age_breakdowns!$K82*$H$31</f>
        <v>17.354781752530549</v>
      </c>
      <c r="F325" s="447">
        <f>F$296*Entrant_age_breakdowns!$K82*$H$31</f>
        <v>17.260366256701538</v>
      </c>
      <c r="G325" s="447">
        <f>G$296*Entrant_age_breakdowns!$K82*$H$31</f>
        <v>17.1413496189451</v>
      </c>
      <c r="H325" s="447">
        <f>H$296*Entrant_age_breakdowns!$K82*$H$31</f>
        <v>16.964215302267558</v>
      </c>
      <c r="I325" s="447">
        <f>I$296*Entrant_age_breakdowns!$K82*$H$31</f>
        <v>17.695012322138151</v>
      </c>
      <c r="J325" s="447">
        <f>J$296*Entrant_age_breakdowns!$K82*$H$31</f>
        <v>18.298926689240751</v>
      </c>
      <c r="K325" s="447">
        <f>K$296*Entrant_age_breakdowns!$K82*$H$31</f>
        <v>17.799166170050814</v>
      </c>
      <c r="L325" s="447">
        <f>L$296*Entrant_age_breakdowns!$K82*$H$31</f>
        <v>17.429118414146235</v>
      </c>
      <c r="M325" s="447">
        <f>M$296*Entrant_age_breakdowns!$K82*$H$31</f>
        <v>17.446822374458026</v>
      </c>
      <c r="N325" s="447">
        <f>N$296*Entrant_age_breakdowns!$K82*$H$31</f>
        <v>17.297771340446957</v>
      </c>
    </row>
    <row r="326" spans="1:14">
      <c r="B326" s="331" t="str">
        <f t="shared" si="146"/>
        <v>55-59</v>
      </c>
      <c r="C326" s="447">
        <f>C$296*Entrant_age_breakdowns!$K83*$H$31</f>
        <v>9.4653805441717775</v>
      </c>
      <c r="D326" s="447">
        <f>D$296*Entrant_age_breakdowns!$K83*$H$31</f>
        <v>10.40488248957211</v>
      </c>
      <c r="E326" s="447">
        <f>E$296*Entrant_age_breakdowns!$K83*$H$31</f>
        <v>11.247384576982103</v>
      </c>
      <c r="F326" s="447">
        <f>F$296*Entrant_age_breakdowns!$K83*$H$31</f>
        <v>11.186195251368112</v>
      </c>
      <c r="G326" s="447">
        <f>G$296*Entrant_age_breakdowns!$K83*$H$31</f>
        <v>11.109062279314985</v>
      </c>
      <c r="H326" s="447">
        <f>H$296*Entrant_age_breakdowns!$K83*$H$31</f>
        <v>10.994264075000908</v>
      </c>
      <c r="I326" s="447">
        <f>I$296*Entrant_age_breakdowns!$K83*$H$31</f>
        <v>11.467883118294179</v>
      </c>
      <c r="J326" s="447">
        <f>J$296*Entrant_age_breakdowns!$K83*$H$31</f>
        <v>11.859271338280132</v>
      </c>
      <c r="K326" s="447">
        <f>K$296*Entrant_age_breakdowns!$K83*$H$31</f>
        <v>11.535383729903735</v>
      </c>
      <c r="L326" s="447">
        <f>L$296*Entrant_age_breakdowns!$K83*$H$31</f>
        <v>11.295561098777814</v>
      </c>
      <c r="M326" s="447">
        <f>M$296*Entrant_age_breakdowns!$K83*$H$31</f>
        <v>11.307034780959574</v>
      </c>
      <c r="N326" s="447">
        <f>N$296*Entrant_age_breakdowns!$K83*$H$31</f>
        <v>11.210436948441462</v>
      </c>
    </row>
    <row r="327" spans="1:14">
      <c r="B327" s="331" t="str">
        <f t="shared" si="146"/>
        <v>60-64</v>
      </c>
      <c r="C327" s="447">
        <f>C$296*Entrant_age_breakdowns!$K84*$H$31</f>
        <v>4.8270652179935949</v>
      </c>
      <c r="D327" s="447">
        <f>D$296*Entrant_age_breakdowns!$K84*$H$31</f>
        <v>5.3061835314851402</v>
      </c>
      <c r="E327" s="447">
        <f>E$296*Entrant_age_breakdowns!$K84*$H$31</f>
        <v>5.7358347751139958</v>
      </c>
      <c r="F327" s="447">
        <f>F$296*Entrant_age_breakdowns!$K84*$H$31</f>
        <v>5.704630021749308</v>
      </c>
      <c r="G327" s="447">
        <f>G$296*Entrant_age_breakdowns!$K84*$H$31</f>
        <v>5.6652944784163601</v>
      </c>
      <c r="H327" s="447">
        <f>H$296*Entrant_age_breakdowns!$K84*$H$31</f>
        <v>5.6067507762855664</v>
      </c>
      <c r="I327" s="447">
        <f>I$296*Entrant_age_breakdowns!$K84*$H$31</f>
        <v>5.8482825350766117</v>
      </c>
      <c r="J327" s="447">
        <f>J$296*Entrant_age_breakdowns!$K84*$H$31</f>
        <v>6.0478789965828437</v>
      </c>
      <c r="K327" s="447">
        <f>K$296*Entrant_age_breakdowns!$K84*$H$31</f>
        <v>5.882705858362268</v>
      </c>
      <c r="L327" s="447">
        <f>L$296*Entrant_age_breakdowns!$K84*$H$31</f>
        <v>5.7604033819015132</v>
      </c>
      <c r="M327" s="447">
        <f>M$296*Entrant_age_breakdowns!$K84*$H$31</f>
        <v>5.7662546217881117</v>
      </c>
      <c r="N327" s="447">
        <f>N$296*Entrant_age_breakdowns!$K84*$H$31</f>
        <v>5.7169925730721882</v>
      </c>
    </row>
    <row r="328" spans="1:14">
      <c r="B328" s="331" t="str">
        <f t="shared" si="146"/>
        <v>65 plus</v>
      </c>
      <c r="C328" s="447">
        <f>C$296*Entrant_age_breakdowns!$K85*$H$31</f>
        <v>1.4534215091645701</v>
      </c>
      <c r="D328" s="447">
        <f>D$296*Entrant_age_breakdowns!$K85*$H$31</f>
        <v>1.5976832563784833</v>
      </c>
      <c r="E328" s="447">
        <f>E$296*Entrant_age_breakdowns!$K85*$H$31</f>
        <v>1.7270505490766852</v>
      </c>
      <c r="F328" s="447">
        <f>F$296*Entrant_age_breakdowns!$K85*$H$31</f>
        <v>1.7176548484428198</v>
      </c>
      <c r="G328" s="447">
        <f>G$296*Entrant_age_breakdowns!$K85*$H$31</f>
        <v>1.7058109801350809</v>
      </c>
      <c r="H328" s="447">
        <f>H$296*Entrant_age_breakdowns!$K85*$H$31</f>
        <v>1.6881835663628706</v>
      </c>
      <c r="I328" s="447">
        <f>I$296*Entrant_age_breakdowns!$K85*$H$31</f>
        <v>1.7609083872467219</v>
      </c>
      <c r="J328" s="447">
        <f>J$296*Entrant_age_breakdowns!$K85*$H$31</f>
        <v>1.8210065581239072</v>
      </c>
      <c r="K328" s="447">
        <f>K$296*Entrant_age_breakdowns!$K85*$H$31</f>
        <v>1.7712731940642883</v>
      </c>
      <c r="L328" s="447">
        <f>L$296*Entrant_age_breakdowns!$K85*$H$31</f>
        <v>1.734448116737896</v>
      </c>
      <c r="M328" s="447">
        <f>M$296*Entrant_age_breakdowns!$K85*$H$31</f>
        <v>1.7362099155788899</v>
      </c>
      <c r="N328" s="447">
        <f>N$296*Entrant_age_breakdowns!$K85*$H$31</f>
        <v>1.7213771925979899</v>
      </c>
    </row>
    <row r="329" spans="1:14">
      <c r="B329" s="331" t="str">
        <f t="shared" si="146"/>
        <v>Total</v>
      </c>
      <c r="C329" s="447">
        <f t="shared" ref="C329:N329" si="148">SUM(C319:C328)</f>
        <v>293.34217033914564</v>
      </c>
      <c r="D329" s="447">
        <f t="shared" si="148"/>
        <v>322.45833090083369</v>
      </c>
      <c r="E329" s="447">
        <f t="shared" si="148"/>
        <v>348.56836310532685</v>
      </c>
      <c r="F329" s="447">
        <f t="shared" si="148"/>
        <v>346.67204108283312</v>
      </c>
      <c r="G329" s="447">
        <f t="shared" si="148"/>
        <v>344.28160856707916</v>
      </c>
      <c r="H329" s="447">
        <f t="shared" si="148"/>
        <v>340.72389060239971</v>
      </c>
      <c r="I329" s="447">
        <f t="shared" si="148"/>
        <v>355.40184648861543</v>
      </c>
      <c r="J329" s="447">
        <f t="shared" si="148"/>
        <v>367.53138204823398</v>
      </c>
      <c r="K329" s="447">
        <f t="shared" si="148"/>
        <v>357.49376195005544</v>
      </c>
      <c r="L329" s="447">
        <f t="shared" si="148"/>
        <v>350.06140455220736</v>
      </c>
      <c r="M329" s="447">
        <f t="shared" si="148"/>
        <v>350.41698611781607</v>
      </c>
      <c r="N329" s="447">
        <f t="shared" si="148"/>
        <v>347.4233169558965</v>
      </c>
    </row>
    <row r="330" spans="1:14">
      <c r="A330" s="302">
        <f>SUM(C330:N330)</f>
        <v>0</v>
      </c>
      <c r="C330" s="302">
        <f t="shared" ref="C330:N330" si="149">SUM(C319:C328)-C329</f>
        <v>0</v>
      </c>
      <c r="D330" s="302">
        <f t="shared" si="149"/>
        <v>0</v>
      </c>
      <c r="E330" s="302">
        <f t="shared" si="149"/>
        <v>0</v>
      </c>
      <c r="F330" s="302">
        <f t="shared" si="149"/>
        <v>0</v>
      </c>
      <c r="G330" s="302">
        <f t="shared" si="149"/>
        <v>0</v>
      </c>
      <c r="H330" s="302">
        <f t="shared" si="149"/>
        <v>0</v>
      </c>
      <c r="I330" s="302">
        <f t="shared" si="149"/>
        <v>0</v>
      </c>
      <c r="J330" s="302">
        <f t="shared" si="149"/>
        <v>0</v>
      </c>
      <c r="K330" s="302">
        <f t="shared" si="149"/>
        <v>0</v>
      </c>
      <c r="L330" s="302">
        <f t="shared" si="149"/>
        <v>0</v>
      </c>
      <c r="M330" s="302">
        <f t="shared" si="149"/>
        <v>0</v>
      </c>
      <c r="N330" s="302">
        <f t="shared" si="149"/>
        <v>0</v>
      </c>
    </row>
    <row r="331" spans="1:14">
      <c r="C331" s="322">
        <f>C294</f>
        <v>726.8391924291152</v>
      </c>
      <c r="D331" s="322">
        <f t="shared" ref="D331:N331" si="150">D294</f>
        <v>798.98281434623186</v>
      </c>
      <c r="E331" s="322">
        <f t="shared" si="150"/>
        <v>863.67789279291742</v>
      </c>
      <c r="F331" s="322">
        <f t="shared" si="150"/>
        <v>858.9792121844614</v>
      </c>
      <c r="G331" s="322">
        <f t="shared" si="150"/>
        <v>853.05623139619593</v>
      </c>
      <c r="H331" s="322">
        <f t="shared" si="150"/>
        <v>844.24096678780847</v>
      </c>
      <c r="I331" s="322">
        <f t="shared" si="150"/>
        <v>880.60980387152154</v>
      </c>
      <c r="J331" s="322">
        <f t="shared" si="150"/>
        <v>910.66420014363166</v>
      </c>
      <c r="K331" s="322">
        <f t="shared" si="150"/>
        <v>885.79312321106693</v>
      </c>
      <c r="L331" s="322">
        <f t="shared" si="150"/>
        <v>867.37733034142661</v>
      </c>
      <c r="M331" s="322">
        <f t="shared" si="150"/>
        <v>868.25838545086049</v>
      </c>
      <c r="N331" s="322">
        <f t="shared" si="150"/>
        <v>860.84071320300791</v>
      </c>
    </row>
    <row r="332" spans="1:14">
      <c r="C332" s="322">
        <f>C313+C329</f>
        <v>726.8391924291152</v>
      </c>
      <c r="D332" s="322">
        <f t="shared" ref="D332:N332" si="151">D313+D329</f>
        <v>798.98281434623186</v>
      </c>
      <c r="E332" s="322">
        <f t="shared" si="151"/>
        <v>863.67789279291742</v>
      </c>
      <c r="F332" s="322">
        <f t="shared" si="151"/>
        <v>858.9792121844614</v>
      </c>
      <c r="G332" s="322">
        <f t="shared" si="151"/>
        <v>853.05623139619593</v>
      </c>
      <c r="H332" s="322">
        <f t="shared" si="151"/>
        <v>844.24096678780859</v>
      </c>
      <c r="I332" s="322">
        <f t="shared" si="151"/>
        <v>880.60980387152154</v>
      </c>
      <c r="J332" s="322">
        <f t="shared" si="151"/>
        <v>910.66420014363143</v>
      </c>
      <c r="K332" s="322">
        <f t="shared" si="151"/>
        <v>885.79312321106681</v>
      </c>
      <c r="L332" s="322">
        <f t="shared" si="151"/>
        <v>867.3773303414265</v>
      </c>
      <c r="M332" s="322">
        <f t="shared" si="151"/>
        <v>868.25838545086049</v>
      </c>
      <c r="N332" s="322">
        <f t="shared" si="151"/>
        <v>860.84071320300791</v>
      </c>
    </row>
    <row r="333" spans="1:14">
      <c r="A333" s="302">
        <f>SUM(C333:L333)</f>
        <v>0</v>
      </c>
      <c r="C333" s="322">
        <f>C331-C332</f>
        <v>0</v>
      </c>
      <c r="D333" s="322">
        <f t="shared" ref="D333:K333" si="152">D331-D332</f>
        <v>0</v>
      </c>
      <c r="E333" s="322">
        <f t="shared" si="152"/>
        <v>0</v>
      </c>
      <c r="F333" s="322">
        <f t="shared" si="152"/>
        <v>0</v>
      </c>
      <c r="G333" s="322">
        <f t="shared" si="152"/>
        <v>0</v>
      </c>
      <c r="H333" s="322">
        <f t="shared" si="152"/>
        <v>0</v>
      </c>
      <c r="I333" s="322">
        <f t="shared" si="152"/>
        <v>0</v>
      </c>
      <c r="J333" s="322">
        <f t="shared" si="152"/>
        <v>0</v>
      </c>
      <c r="K333" s="322">
        <f t="shared" si="152"/>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3">C318</f>
        <v>2017/18</v>
      </c>
      <c r="D339" s="331" t="str">
        <f t="shared" si="153"/>
        <v>2018/19</v>
      </c>
      <c r="E339" s="331" t="str">
        <f t="shared" si="153"/>
        <v>2019/20</v>
      </c>
      <c r="F339" s="331" t="str">
        <f t="shared" si="153"/>
        <v>2020/21</v>
      </c>
      <c r="G339" s="331" t="str">
        <f t="shared" si="153"/>
        <v>2021/22</v>
      </c>
      <c r="H339" s="331" t="str">
        <f t="shared" si="153"/>
        <v>2022/23</v>
      </c>
      <c r="I339" s="331" t="str">
        <f t="shared" si="153"/>
        <v>2023/24</v>
      </c>
      <c r="J339" s="331" t="str">
        <f t="shared" si="153"/>
        <v>2024/25</v>
      </c>
      <c r="K339" s="331" t="str">
        <f t="shared" si="153"/>
        <v>2025/26</v>
      </c>
      <c r="L339" s="331" t="str">
        <f t="shared" si="153"/>
        <v>2026/27</v>
      </c>
      <c r="M339" s="331" t="str">
        <f t="shared" si="153"/>
        <v>2027/28</v>
      </c>
      <c r="N339" s="331" t="str">
        <f t="shared" si="153"/>
        <v>2028/29</v>
      </c>
    </row>
    <row r="340" spans="1:14">
      <c r="B340" s="331" t="str">
        <f t="shared" ref="B340:B350" si="154">B319</f>
        <v>20-24</v>
      </c>
      <c r="C340" s="447">
        <f t="shared" ref="C340:N340" si="155">C303+C247</f>
        <v>182.10730788549841</v>
      </c>
      <c r="D340" s="447">
        <f t="shared" si="155"/>
        <v>242.13768031042613</v>
      </c>
      <c r="E340" s="447">
        <f t="shared" si="155"/>
        <v>290.24175954446707</v>
      </c>
      <c r="F340" s="447">
        <f t="shared" si="155"/>
        <v>321.71377671404042</v>
      </c>
      <c r="G340" s="447">
        <f t="shared" si="155"/>
        <v>341.4292756407969</v>
      </c>
      <c r="H340" s="447">
        <f t="shared" si="155"/>
        <v>352.99829168951629</v>
      </c>
      <c r="I340" s="447">
        <f t="shared" si="155"/>
        <v>366.14792922718209</v>
      </c>
      <c r="J340" s="447">
        <f t="shared" si="155"/>
        <v>379.36640540676069</v>
      </c>
      <c r="K340" s="447">
        <f t="shared" si="155"/>
        <v>384.21965609336883</v>
      </c>
      <c r="L340" s="447">
        <f t="shared" si="155"/>
        <v>384.57993597686618</v>
      </c>
      <c r="M340" s="447">
        <f t="shared" si="155"/>
        <v>384.95092344851003</v>
      </c>
      <c r="N340" s="447">
        <f t="shared" si="155"/>
        <v>384.05820424828556</v>
      </c>
    </row>
    <row r="341" spans="1:14">
      <c r="B341" s="331" t="str">
        <f t="shared" si="154"/>
        <v>25-29</v>
      </c>
      <c r="C341" s="447">
        <f t="shared" ref="C341:N341" si="156">C304+C248</f>
        <v>435.01881573937806</v>
      </c>
      <c r="D341" s="447">
        <f t="shared" si="156"/>
        <v>460.2050827288399</v>
      </c>
      <c r="E341" s="447">
        <f t="shared" si="156"/>
        <v>496.36819262271626</v>
      </c>
      <c r="F341" s="447">
        <f t="shared" si="156"/>
        <v>530.20707622267423</v>
      </c>
      <c r="G341" s="447">
        <f t="shared" si="156"/>
        <v>558.30709995386201</v>
      </c>
      <c r="H341" s="447">
        <f t="shared" si="156"/>
        <v>579.9156191676193</v>
      </c>
      <c r="I341" s="447">
        <f t="shared" si="156"/>
        <v>602.6514967507278</v>
      </c>
      <c r="J341" s="447">
        <f t="shared" si="156"/>
        <v>625.45998749258126</v>
      </c>
      <c r="K341" s="447">
        <f t="shared" si="156"/>
        <v>639.74588034705357</v>
      </c>
      <c r="L341" s="447">
        <f t="shared" si="156"/>
        <v>647.65404201147169</v>
      </c>
      <c r="M341" s="447">
        <f t="shared" si="156"/>
        <v>653.35810613273247</v>
      </c>
      <c r="N341" s="447">
        <f t="shared" si="156"/>
        <v>656.23296644726315</v>
      </c>
    </row>
    <row r="342" spans="1:14">
      <c r="B342" s="331" t="str">
        <f t="shared" si="154"/>
        <v>30-34</v>
      </c>
      <c r="C342" s="447">
        <f t="shared" ref="C342:N342" si="157">C305+C249</f>
        <v>740.02504911116512</v>
      </c>
      <c r="D342" s="447">
        <f t="shared" si="157"/>
        <v>679.43948709480333</v>
      </c>
      <c r="E342" s="447">
        <f t="shared" si="157"/>
        <v>642.81677756990211</v>
      </c>
      <c r="F342" s="447">
        <f t="shared" si="157"/>
        <v>623.54288302881605</v>
      </c>
      <c r="G342" s="447">
        <f t="shared" si="157"/>
        <v>615.23079484183927</v>
      </c>
      <c r="H342" s="447">
        <f t="shared" si="157"/>
        <v>613.61190862394324</v>
      </c>
      <c r="I342" s="447">
        <f t="shared" si="157"/>
        <v>619.18224562016394</v>
      </c>
      <c r="J342" s="447">
        <f t="shared" si="157"/>
        <v>629.68722016035952</v>
      </c>
      <c r="K342" s="447">
        <f t="shared" si="157"/>
        <v>639.52465416505993</v>
      </c>
      <c r="L342" s="447">
        <f t="shared" si="157"/>
        <v>647.83140930318132</v>
      </c>
      <c r="M342" s="447">
        <f t="shared" si="157"/>
        <v>655.36698367919348</v>
      </c>
      <c r="N342" s="447">
        <f t="shared" si="157"/>
        <v>661.29826705475739</v>
      </c>
    </row>
    <row r="343" spans="1:14">
      <c r="B343" s="331" t="str">
        <f t="shared" si="154"/>
        <v>35-39</v>
      </c>
      <c r="C343" s="447">
        <f t="shared" ref="C343:N343" si="158">C306+C250</f>
        <v>784.80613364663361</v>
      </c>
      <c r="D343" s="447">
        <f t="shared" si="158"/>
        <v>753.68980406999549</v>
      </c>
      <c r="E343" s="447">
        <f t="shared" si="158"/>
        <v>721.2643230329079</v>
      </c>
      <c r="F343" s="447">
        <f t="shared" si="158"/>
        <v>691.96894768420009</v>
      </c>
      <c r="G343" s="447">
        <f t="shared" si="158"/>
        <v>666.78379446542579</v>
      </c>
      <c r="H343" s="447">
        <f t="shared" si="158"/>
        <v>646.42010569685942</v>
      </c>
      <c r="I343" s="447">
        <f t="shared" si="158"/>
        <v>633.40037883844445</v>
      </c>
      <c r="J343" s="447">
        <f t="shared" si="158"/>
        <v>626.67217269789535</v>
      </c>
      <c r="K343" s="447">
        <f t="shared" si="158"/>
        <v>622.24600441558789</v>
      </c>
      <c r="L343" s="447">
        <f t="shared" si="158"/>
        <v>619.74820095588973</v>
      </c>
      <c r="M343" s="447">
        <f t="shared" si="158"/>
        <v>619.49251347550478</v>
      </c>
      <c r="N343" s="447">
        <f t="shared" si="158"/>
        <v>620.24902566132482</v>
      </c>
    </row>
    <row r="344" spans="1:14">
      <c r="B344" s="331" t="str">
        <f t="shared" si="154"/>
        <v>40-44</v>
      </c>
      <c r="C344" s="447">
        <f t="shared" ref="C344:N344" si="159">C307+C251</f>
        <v>657.31667183172431</v>
      </c>
      <c r="D344" s="447">
        <f t="shared" si="159"/>
        <v>668.6799651078552</v>
      </c>
      <c r="E344" s="447">
        <f t="shared" si="159"/>
        <v>672.54382387985311</v>
      </c>
      <c r="F344" s="447">
        <f t="shared" si="159"/>
        <v>670.22369592496636</v>
      </c>
      <c r="G344" s="447">
        <f t="shared" si="159"/>
        <v>662.83336984242897</v>
      </c>
      <c r="H344" s="447">
        <f t="shared" si="159"/>
        <v>652.32474819053789</v>
      </c>
      <c r="I344" s="447">
        <f t="shared" si="159"/>
        <v>642.65498234445272</v>
      </c>
      <c r="J344" s="447">
        <f t="shared" si="159"/>
        <v>634.63939417540325</v>
      </c>
      <c r="K344" s="447">
        <f t="shared" si="159"/>
        <v>626.2675641235063</v>
      </c>
      <c r="L344" s="447">
        <f t="shared" si="159"/>
        <v>618.37799558517872</v>
      </c>
      <c r="M344" s="447">
        <f t="shared" si="159"/>
        <v>612.15733497516067</v>
      </c>
      <c r="N344" s="447">
        <f t="shared" si="159"/>
        <v>607.16447781421118</v>
      </c>
    </row>
    <row r="345" spans="1:14">
      <c r="B345" s="331" t="str">
        <f t="shared" si="154"/>
        <v>45-49</v>
      </c>
      <c r="C345" s="447">
        <f t="shared" ref="C345:N345" si="160">C308+C252</f>
        <v>577.25261848708976</v>
      </c>
      <c r="D345" s="447">
        <f t="shared" si="160"/>
        <v>566.23397021763105</v>
      </c>
      <c r="E345" s="447">
        <f t="shared" si="160"/>
        <v>560.79906331375491</v>
      </c>
      <c r="F345" s="447">
        <f t="shared" si="160"/>
        <v>558.50682892158511</v>
      </c>
      <c r="G345" s="447">
        <f t="shared" si="160"/>
        <v>556.20439238847268</v>
      </c>
      <c r="H345" s="447">
        <f t="shared" si="160"/>
        <v>552.86738294511804</v>
      </c>
      <c r="I345" s="447">
        <f t="shared" si="160"/>
        <v>550.03674124789177</v>
      </c>
      <c r="J345" s="447">
        <f t="shared" si="160"/>
        <v>547.46790038041433</v>
      </c>
      <c r="K345" s="447">
        <f t="shared" si="160"/>
        <v>543.1835525649019</v>
      </c>
      <c r="L345" s="447">
        <f t="shared" si="160"/>
        <v>537.86045641652277</v>
      </c>
      <c r="M345" s="447">
        <f t="shared" si="160"/>
        <v>532.65050601212056</v>
      </c>
      <c r="N345" s="447">
        <f t="shared" si="160"/>
        <v>527.48931922468057</v>
      </c>
    </row>
    <row r="346" spans="1:14">
      <c r="B346" s="331" t="str">
        <f t="shared" si="154"/>
        <v>50-54</v>
      </c>
      <c r="C346" s="447">
        <f t="shared" ref="C346:N346" si="161">C309+C253</f>
        <v>415.11757872172848</v>
      </c>
      <c r="D346" s="447">
        <f t="shared" si="161"/>
        <v>413.43357582010429</v>
      </c>
      <c r="E346" s="447">
        <f t="shared" si="161"/>
        <v>410.60817453592608</v>
      </c>
      <c r="F346" s="447">
        <f t="shared" si="161"/>
        <v>408.41883386886997</v>
      </c>
      <c r="G346" s="447">
        <f t="shared" si="161"/>
        <v>406.32258279181525</v>
      </c>
      <c r="H346" s="447">
        <f t="shared" si="161"/>
        <v>404.20338731946197</v>
      </c>
      <c r="I346" s="447">
        <f t="shared" si="161"/>
        <v>403.23016566608987</v>
      </c>
      <c r="J346" s="447">
        <f t="shared" si="161"/>
        <v>402.95410323523032</v>
      </c>
      <c r="K346" s="447">
        <f t="shared" si="161"/>
        <v>401.57719750807735</v>
      </c>
      <c r="L346" s="447">
        <f t="shared" si="161"/>
        <v>399.32854586125603</v>
      </c>
      <c r="M346" s="447">
        <f t="shared" si="161"/>
        <v>396.86635663655778</v>
      </c>
      <c r="N346" s="447">
        <f t="shared" si="161"/>
        <v>394.02895593829771</v>
      </c>
    </row>
    <row r="347" spans="1:14">
      <c r="B347" s="331" t="str">
        <f t="shared" si="154"/>
        <v>55-59</v>
      </c>
      <c r="C347" s="447">
        <f t="shared" ref="C347:N347" si="162">C310+C254</f>
        <v>222.42067033442868</v>
      </c>
      <c r="D347" s="447">
        <f t="shared" si="162"/>
        <v>206.48512139705076</v>
      </c>
      <c r="E347" s="447">
        <f t="shared" si="162"/>
        <v>197.48973575771257</v>
      </c>
      <c r="F347" s="447">
        <f t="shared" si="162"/>
        <v>192.06676373629267</v>
      </c>
      <c r="G347" s="447">
        <f t="shared" si="162"/>
        <v>188.46108254677344</v>
      </c>
      <c r="H347" s="447">
        <f t="shared" si="162"/>
        <v>185.87618157263415</v>
      </c>
      <c r="I347" s="447">
        <f t="shared" si="162"/>
        <v>184.75447742726868</v>
      </c>
      <c r="J347" s="447">
        <f t="shared" si="162"/>
        <v>184.53454863161252</v>
      </c>
      <c r="K347" s="447">
        <f t="shared" si="162"/>
        <v>183.88692473543094</v>
      </c>
      <c r="L347" s="447">
        <f t="shared" si="162"/>
        <v>182.95244096891298</v>
      </c>
      <c r="M347" s="447">
        <f t="shared" si="162"/>
        <v>182.09409258887089</v>
      </c>
      <c r="N347" s="447">
        <f t="shared" si="162"/>
        <v>181.08934338078686</v>
      </c>
    </row>
    <row r="348" spans="1:14">
      <c r="B348" s="331" t="str">
        <f t="shared" si="154"/>
        <v>60-64</v>
      </c>
      <c r="C348" s="447">
        <f t="shared" ref="C348:N348" si="163">C311+C255</f>
        <v>67.551039199333189</v>
      </c>
      <c r="D348" s="447">
        <f t="shared" si="163"/>
        <v>68.711195585589238</v>
      </c>
      <c r="E348" s="447">
        <f t="shared" si="163"/>
        <v>67.677934304881433</v>
      </c>
      <c r="F348" s="447">
        <f t="shared" si="163"/>
        <v>66.154722271031872</v>
      </c>
      <c r="G348" s="447">
        <f t="shared" si="163"/>
        <v>64.67680878130858</v>
      </c>
      <c r="H348" s="447">
        <f t="shared" si="163"/>
        <v>63.416902694903037</v>
      </c>
      <c r="I348" s="447">
        <f t="shared" si="163"/>
        <v>62.833808271641296</v>
      </c>
      <c r="J348" s="447">
        <f t="shared" si="163"/>
        <v>62.702915876078947</v>
      </c>
      <c r="K348" s="447">
        <f t="shared" si="163"/>
        <v>62.367159467637499</v>
      </c>
      <c r="L348" s="447">
        <f t="shared" si="163"/>
        <v>61.940995630247649</v>
      </c>
      <c r="M348" s="447">
        <f t="shared" si="163"/>
        <v>61.62426339461669</v>
      </c>
      <c r="N348" s="447">
        <f t="shared" si="163"/>
        <v>61.28943945310769</v>
      </c>
    </row>
    <row r="349" spans="1:14">
      <c r="B349" s="331" t="str">
        <f t="shared" si="154"/>
        <v>65 plus</v>
      </c>
      <c r="C349" s="447">
        <f t="shared" ref="C349:N349" si="164">C312+C256</f>
        <v>15.027481648802331</v>
      </c>
      <c r="D349" s="447">
        <f t="shared" si="164"/>
        <v>18.822020928226173</v>
      </c>
      <c r="E349" s="447">
        <f t="shared" si="164"/>
        <v>21.193795086776849</v>
      </c>
      <c r="F349" s="447">
        <f t="shared" si="164"/>
        <v>22.497962302554594</v>
      </c>
      <c r="G349" s="447">
        <f t="shared" si="164"/>
        <v>23.054905494065942</v>
      </c>
      <c r="H349" s="447">
        <f t="shared" si="164"/>
        <v>23.17906478567679</v>
      </c>
      <c r="I349" s="447">
        <f t="shared" si="164"/>
        <v>23.213074835982511</v>
      </c>
      <c r="J349" s="447">
        <f t="shared" si="164"/>
        <v>23.254410219246878</v>
      </c>
      <c r="K349" s="447">
        <f t="shared" si="164"/>
        <v>23.189625899087339</v>
      </c>
      <c r="L349" s="447">
        <f t="shared" si="164"/>
        <v>23.059380409689169</v>
      </c>
      <c r="M349" s="447">
        <f t="shared" si="164"/>
        <v>22.938144523804052</v>
      </c>
      <c r="N349" s="447">
        <f t="shared" si="164"/>
        <v>22.810141956376864</v>
      </c>
    </row>
    <row r="350" spans="1:14">
      <c r="B350" s="331" t="str">
        <f t="shared" si="154"/>
        <v>Total</v>
      </c>
      <c r="C350" s="447">
        <f t="shared" ref="C350:N350" si="165">SUM(C340:C349)</f>
        <v>4096.6433666057819</v>
      </c>
      <c r="D350" s="447">
        <f t="shared" si="165"/>
        <v>4077.8379032605221</v>
      </c>
      <c r="E350" s="447">
        <f t="shared" si="165"/>
        <v>4081.0035796488983</v>
      </c>
      <c r="F350" s="447">
        <f t="shared" si="165"/>
        <v>4085.3014906750313</v>
      </c>
      <c r="G350" s="447">
        <f t="shared" si="165"/>
        <v>4083.3041067467889</v>
      </c>
      <c r="H350" s="447">
        <f t="shared" si="165"/>
        <v>4074.8135926862701</v>
      </c>
      <c r="I350" s="447">
        <f t="shared" si="165"/>
        <v>4088.1053002298445</v>
      </c>
      <c r="J350" s="447">
        <f t="shared" si="165"/>
        <v>4116.7390582755825</v>
      </c>
      <c r="K350" s="447">
        <f t="shared" si="165"/>
        <v>4126.2082193197111</v>
      </c>
      <c r="L350" s="447">
        <f t="shared" si="165"/>
        <v>4123.3334031192153</v>
      </c>
      <c r="M350" s="447">
        <f t="shared" si="165"/>
        <v>4121.4992248670715</v>
      </c>
      <c r="N350" s="447">
        <f t="shared" si="165"/>
        <v>4115.7101411790918</v>
      </c>
    </row>
    <row r="351" spans="1:14">
      <c r="A351" s="302">
        <f>SUM(C351:N351)</f>
        <v>0</v>
      </c>
      <c r="C351" s="302">
        <f t="shared" ref="C351:N351" si="166">SUM(C340:C349)-C350</f>
        <v>0</v>
      </c>
      <c r="D351" s="302">
        <f t="shared" si="166"/>
        <v>0</v>
      </c>
      <c r="E351" s="302">
        <f t="shared" si="166"/>
        <v>0</v>
      </c>
      <c r="F351" s="302">
        <f t="shared" si="166"/>
        <v>0</v>
      </c>
      <c r="G351" s="302">
        <f t="shared" si="166"/>
        <v>0</v>
      </c>
      <c r="H351" s="302">
        <f t="shared" si="166"/>
        <v>0</v>
      </c>
      <c r="I351" s="302">
        <f t="shared" si="166"/>
        <v>0</v>
      </c>
      <c r="J351" s="302">
        <f t="shared" si="166"/>
        <v>0</v>
      </c>
      <c r="K351" s="302">
        <f t="shared" si="166"/>
        <v>0</v>
      </c>
      <c r="L351" s="302">
        <f t="shared" si="166"/>
        <v>0</v>
      </c>
      <c r="M351" s="302">
        <f t="shared" si="166"/>
        <v>0</v>
      </c>
      <c r="N351" s="302">
        <f t="shared" si="166"/>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7">B339</f>
        <v>Age group</v>
      </c>
      <c r="C355" s="331" t="str">
        <f t="shared" ref="C355:N355" si="168">C339</f>
        <v>2017/18</v>
      </c>
      <c r="D355" s="331" t="str">
        <f t="shared" si="168"/>
        <v>2018/19</v>
      </c>
      <c r="E355" s="331" t="str">
        <f t="shared" si="168"/>
        <v>2019/20</v>
      </c>
      <c r="F355" s="331" t="str">
        <f t="shared" si="168"/>
        <v>2020/21</v>
      </c>
      <c r="G355" s="331" t="str">
        <f t="shared" si="168"/>
        <v>2021/22</v>
      </c>
      <c r="H355" s="331" t="str">
        <f t="shared" si="168"/>
        <v>2022/23</v>
      </c>
      <c r="I355" s="331" t="str">
        <f t="shared" si="168"/>
        <v>2023/24</v>
      </c>
      <c r="J355" s="331" t="str">
        <f t="shared" si="168"/>
        <v>2024/25</v>
      </c>
      <c r="K355" s="331" t="str">
        <f t="shared" si="168"/>
        <v>2025/26</v>
      </c>
      <c r="L355" s="331" t="str">
        <f t="shared" si="168"/>
        <v>2026/27</v>
      </c>
      <c r="M355" s="331" t="str">
        <f t="shared" si="168"/>
        <v>2027/28</v>
      </c>
      <c r="N355" s="331" t="str">
        <f t="shared" si="168"/>
        <v>2028/29</v>
      </c>
    </row>
    <row r="356" spans="1:14">
      <c r="B356" s="331" t="str">
        <f t="shared" si="167"/>
        <v>20-24</v>
      </c>
      <c r="C356" s="447">
        <f t="shared" ref="C356:N356" si="169">C319+C263</f>
        <v>128.72295888915244</v>
      </c>
      <c r="D356" s="447">
        <f t="shared" si="169"/>
        <v>170.72183634716049</v>
      </c>
      <c r="E356" s="447">
        <f t="shared" si="169"/>
        <v>205.78376033813998</v>
      </c>
      <c r="F356" s="447">
        <f t="shared" si="169"/>
        <v>228.86614285563746</v>
      </c>
      <c r="G356" s="447">
        <f t="shared" si="169"/>
        <v>243.94048250993558</v>
      </c>
      <c r="H356" s="447">
        <f t="shared" si="169"/>
        <v>253.27242830985477</v>
      </c>
      <c r="I356" s="447">
        <f t="shared" si="169"/>
        <v>263.38333344642729</v>
      </c>
      <c r="J356" s="447">
        <f t="shared" si="169"/>
        <v>273.36938367338337</v>
      </c>
      <c r="K356" s="447">
        <f t="shared" si="169"/>
        <v>277.57940550651847</v>
      </c>
      <c r="L356" s="447">
        <f t="shared" si="169"/>
        <v>278.53259295365456</v>
      </c>
      <c r="M356" s="447">
        <f t="shared" si="169"/>
        <v>279.27172316610103</v>
      </c>
      <c r="N356" s="447">
        <f t="shared" si="169"/>
        <v>279.00548551775643</v>
      </c>
    </row>
    <row r="357" spans="1:14">
      <c r="B357" s="331" t="str">
        <f t="shared" si="167"/>
        <v>25-29</v>
      </c>
      <c r="C357" s="447">
        <f t="shared" ref="C357:N357" si="170">C320+C264</f>
        <v>303.02380428193578</v>
      </c>
      <c r="D357" s="447">
        <f t="shared" si="170"/>
        <v>321.40032531552174</v>
      </c>
      <c r="E357" s="447">
        <f t="shared" si="170"/>
        <v>348.08537239596973</v>
      </c>
      <c r="F357" s="447">
        <f t="shared" si="170"/>
        <v>372.09998941076168</v>
      </c>
      <c r="G357" s="447">
        <f t="shared" si="170"/>
        <v>392.44053020928106</v>
      </c>
      <c r="H357" s="447">
        <f t="shared" si="170"/>
        <v>408.47952927632923</v>
      </c>
      <c r="I357" s="447">
        <f t="shared" si="170"/>
        <v>425.2590238012283</v>
      </c>
      <c r="J357" s="447">
        <f t="shared" si="170"/>
        <v>442.02899291796768</v>
      </c>
      <c r="K357" s="447">
        <f t="shared" si="170"/>
        <v>452.96084452400277</v>
      </c>
      <c r="L357" s="447">
        <f t="shared" si="170"/>
        <v>459.44928729550645</v>
      </c>
      <c r="M357" s="447">
        <f t="shared" si="170"/>
        <v>464.27769915731847</v>
      </c>
      <c r="N357" s="447">
        <f t="shared" si="170"/>
        <v>467.02212528017128</v>
      </c>
    </row>
    <row r="358" spans="1:14">
      <c r="B358" s="331" t="str">
        <f t="shared" si="167"/>
        <v>30-34</v>
      </c>
      <c r="C358" s="447">
        <f t="shared" ref="C358:N358" si="171">C321+C265</f>
        <v>458.60957156845808</v>
      </c>
      <c r="D358" s="447">
        <f t="shared" si="171"/>
        <v>429.2933859519095</v>
      </c>
      <c r="E358" s="447">
        <f t="shared" si="171"/>
        <v>414.13608752878429</v>
      </c>
      <c r="F358" s="447">
        <f t="shared" si="171"/>
        <v>407.25749718306946</v>
      </c>
      <c r="G358" s="447">
        <f t="shared" si="171"/>
        <v>406.31413291635965</v>
      </c>
      <c r="H358" s="447">
        <f t="shared" si="171"/>
        <v>408.84389105818531</v>
      </c>
      <c r="I358" s="447">
        <f t="shared" si="171"/>
        <v>415.47979844108977</v>
      </c>
      <c r="J358" s="447">
        <f t="shared" si="171"/>
        <v>424.88486376333515</v>
      </c>
      <c r="K358" s="447">
        <f t="shared" si="171"/>
        <v>433.40391942574865</v>
      </c>
      <c r="L358" s="447">
        <f t="shared" si="171"/>
        <v>440.56719681839013</v>
      </c>
      <c r="M358" s="447">
        <f t="shared" si="171"/>
        <v>446.96177196148989</v>
      </c>
      <c r="N358" s="447">
        <f t="shared" si="171"/>
        <v>452.06506421573835</v>
      </c>
    </row>
    <row r="359" spans="1:14">
      <c r="B359" s="331" t="str">
        <f t="shared" si="167"/>
        <v>35-39</v>
      </c>
      <c r="C359" s="447">
        <f t="shared" ref="C359:N359" si="172">C322+C266</f>
        <v>533.30014381392255</v>
      </c>
      <c r="D359" s="447">
        <f t="shared" si="172"/>
        <v>504.31213443272378</v>
      </c>
      <c r="E359" s="447">
        <f t="shared" si="172"/>
        <v>479.62615109679768</v>
      </c>
      <c r="F359" s="447">
        <f t="shared" si="172"/>
        <v>458.15840963521424</v>
      </c>
      <c r="G359" s="447">
        <f t="shared" si="172"/>
        <v>441.04663292512697</v>
      </c>
      <c r="H359" s="447">
        <f t="shared" si="172"/>
        <v>428.07283149397989</v>
      </c>
      <c r="I359" s="447">
        <f t="shared" si="172"/>
        <v>420.5125534374136</v>
      </c>
      <c r="J359" s="447">
        <f t="shared" si="172"/>
        <v>417.39326005057751</v>
      </c>
      <c r="K359" s="447">
        <f t="shared" si="172"/>
        <v>415.86038071313993</v>
      </c>
      <c r="L359" s="447">
        <f t="shared" si="172"/>
        <v>415.57386781552776</v>
      </c>
      <c r="M359" s="447">
        <f t="shared" si="172"/>
        <v>416.70346343368658</v>
      </c>
      <c r="N359" s="447">
        <f t="shared" si="172"/>
        <v>418.39913465361843</v>
      </c>
    </row>
    <row r="360" spans="1:14">
      <c r="B360" s="331" t="str">
        <f t="shared" si="167"/>
        <v>40-44</v>
      </c>
      <c r="C360" s="447">
        <f t="shared" ref="C360:N360" si="173">C323+C267</f>
        <v>453.77204370017654</v>
      </c>
      <c r="D360" s="447">
        <f t="shared" si="173"/>
        <v>455.723946201319</v>
      </c>
      <c r="E360" s="447">
        <f t="shared" si="173"/>
        <v>453.36767188908357</v>
      </c>
      <c r="F360" s="447">
        <f t="shared" si="173"/>
        <v>446.4758419559688</v>
      </c>
      <c r="G360" s="447">
        <f t="shared" si="173"/>
        <v>437.34718605390566</v>
      </c>
      <c r="H360" s="447">
        <f t="shared" si="173"/>
        <v>427.28513487792281</v>
      </c>
      <c r="I360" s="447">
        <f t="shared" si="173"/>
        <v>418.81680594096963</v>
      </c>
      <c r="J360" s="447">
        <f t="shared" si="173"/>
        <v>412.28274340961963</v>
      </c>
      <c r="K360" s="447">
        <f t="shared" si="173"/>
        <v>406.11853146987426</v>
      </c>
      <c r="L360" s="447">
        <f t="shared" si="173"/>
        <v>400.72977994093839</v>
      </c>
      <c r="M360" s="447">
        <f t="shared" si="173"/>
        <v>396.78203044949913</v>
      </c>
      <c r="N360" s="447">
        <f t="shared" si="173"/>
        <v>393.86261106143581</v>
      </c>
    </row>
    <row r="361" spans="1:14">
      <c r="B361" s="331" t="str">
        <f t="shared" si="167"/>
        <v>45-49</v>
      </c>
      <c r="C361" s="447">
        <f t="shared" ref="C361:N361" si="174">C324+C268</f>
        <v>377.83718250404081</v>
      </c>
      <c r="D361" s="447">
        <f t="shared" si="174"/>
        <v>377.02165489328991</v>
      </c>
      <c r="E361" s="447">
        <f t="shared" si="174"/>
        <v>377.92467793446747</v>
      </c>
      <c r="F361" s="447">
        <f t="shared" si="174"/>
        <v>377.54127405576173</v>
      </c>
      <c r="G361" s="447">
        <f t="shared" si="174"/>
        <v>375.86177986733372</v>
      </c>
      <c r="H361" s="447">
        <f t="shared" si="174"/>
        <v>372.76601634293661</v>
      </c>
      <c r="I361" s="447">
        <f t="shared" si="174"/>
        <v>369.70599942665024</v>
      </c>
      <c r="J361" s="447">
        <f t="shared" si="174"/>
        <v>366.78783314938602</v>
      </c>
      <c r="K361" s="447">
        <f t="shared" si="174"/>
        <v>362.83121800211774</v>
      </c>
      <c r="L361" s="447">
        <f t="shared" si="174"/>
        <v>358.36751046273474</v>
      </c>
      <c r="M361" s="447">
        <f t="shared" si="174"/>
        <v>354.20121631271996</v>
      </c>
      <c r="N361" s="447">
        <f t="shared" si="174"/>
        <v>350.2841185953074</v>
      </c>
    </row>
    <row r="362" spans="1:14">
      <c r="B362" s="331" t="str">
        <f t="shared" si="167"/>
        <v>50-54</v>
      </c>
      <c r="C362" s="447">
        <f t="shared" ref="C362:N362" si="175">C325+C269</f>
        <v>311.53664969135679</v>
      </c>
      <c r="D362" s="447">
        <f t="shared" si="175"/>
        <v>301.31469172351666</v>
      </c>
      <c r="E362" s="447">
        <f t="shared" si="175"/>
        <v>294.78856553005312</v>
      </c>
      <c r="F362" s="447">
        <f t="shared" si="175"/>
        <v>289.88850458064684</v>
      </c>
      <c r="G362" s="447">
        <f t="shared" si="175"/>
        <v>286.27056150905889</v>
      </c>
      <c r="H362" s="447">
        <f t="shared" si="175"/>
        <v>283.26551038140798</v>
      </c>
      <c r="I362" s="447">
        <f t="shared" si="175"/>
        <v>281.3496604533712</v>
      </c>
      <c r="J362" s="447">
        <f t="shared" si="175"/>
        <v>280.07601740403402</v>
      </c>
      <c r="K362" s="447">
        <f t="shared" si="175"/>
        <v>278.17331069052096</v>
      </c>
      <c r="L362" s="447">
        <f t="shared" si="175"/>
        <v>275.77792555648739</v>
      </c>
      <c r="M362" s="447">
        <f t="shared" si="175"/>
        <v>273.33645436734162</v>
      </c>
      <c r="N362" s="447">
        <f t="shared" si="175"/>
        <v>270.74802540560097</v>
      </c>
    </row>
    <row r="363" spans="1:14">
      <c r="B363" s="331" t="str">
        <f t="shared" si="167"/>
        <v>55-59</v>
      </c>
      <c r="C363" s="447">
        <f t="shared" ref="C363:N363" si="176">C326+C270</f>
        <v>162.98379752914579</v>
      </c>
      <c r="D363" s="447">
        <f t="shared" si="176"/>
        <v>155.55602210158295</v>
      </c>
      <c r="E363" s="447">
        <f t="shared" si="176"/>
        <v>150.18275584516465</v>
      </c>
      <c r="F363" s="447">
        <f t="shared" si="176"/>
        <v>145.75439739221653</v>
      </c>
      <c r="G363" s="447">
        <f t="shared" si="176"/>
        <v>142.27917310890859</v>
      </c>
      <c r="H363" s="447">
        <f t="shared" si="176"/>
        <v>139.53184864928053</v>
      </c>
      <c r="I363" s="447">
        <f t="shared" si="176"/>
        <v>137.90256072791558</v>
      </c>
      <c r="J363" s="447">
        <f t="shared" si="176"/>
        <v>137.02673617016714</v>
      </c>
      <c r="K363" s="447">
        <f t="shared" si="176"/>
        <v>135.98502573827389</v>
      </c>
      <c r="L363" s="447">
        <f t="shared" si="176"/>
        <v>134.83314240893674</v>
      </c>
      <c r="M363" s="447">
        <f t="shared" si="176"/>
        <v>133.7922994724639</v>
      </c>
      <c r="N363" s="447">
        <f t="shared" si="176"/>
        <v>132.7032031505808</v>
      </c>
    </row>
    <row r="364" spans="1:14">
      <c r="B364" s="331" t="str">
        <f t="shared" si="167"/>
        <v>60-64</v>
      </c>
      <c r="C364" s="447">
        <f t="shared" ref="C364:N364" si="177">C327+C271</f>
        <v>49.079753744213562</v>
      </c>
      <c r="D364" s="447">
        <f t="shared" si="177"/>
        <v>50.783859217655468</v>
      </c>
      <c r="E364" s="447">
        <f t="shared" si="177"/>
        <v>51.068452935765876</v>
      </c>
      <c r="F364" s="447">
        <f t="shared" si="177"/>
        <v>50.449521703868193</v>
      </c>
      <c r="G364" s="447">
        <f t="shared" si="177"/>
        <v>49.538647892452133</v>
      </c>
      <c r="H364" s="447">
        <f t="shared" si="177"/>
        <v>48.581471287546975</v>
      </c>
      <c r="I364" s="447">
        <f t="shared" si="177"/>
        <v>47.992876547646446</v>
      </c>
      <c r="J364" s="447">
        <f t="shared" si="177"/>
        <v>47.689594068865738</v>
      </c>
      <c r="K364" s="447">
        <f t="shared" si="177"/>
        <v>47.26072136865514</v>
      </c>
      <c r="L364" s="447">
        <f t="shared" si="177"/>
        <v>46.790363074399863</v>
      </c>
      <c r="M364" s="447">
        <f t="shared" si="177"/>
        <v>46.413303032833625</v>
      </c>
      <c r="N364" s="447">
        <f t="shared" si="177"/>
        <v>46.042256997727506</v>
      </c>
    </row>
    <row r="365" spans="1:14">
      <c r="B365" s="331" t="str">
        <f t="shared" si="167"/>
        <v>65 plus</v>
      </c>
      <c r="C365" s="447">
        <f t="shared" ref="C365:N365" si="178">C328+C272</f>
        <v>10.702468732157074</v>
      </c>
      <c r="D365" s="447">
        <f t="shared" si="178"/>
        <v>14.890221770656952</v>
      </c>
      <c r="E365" s="447">
        <f t="shared" si="178"/>
        <v>17.925561779354915</v>
      </c>
      <c r="F365" s="447">
        <f t="shared" si="178"/>
        <v>19.891491449889717</v>
      </c>
      <c r="G365" s="447">
        <f t="shared" si="178"/>
        <v>21.069402488747702</v>
      </c>
      <c r="H365" s="447">
        <f t="shared" si="178"/>
        <v>21.694874904100363</v>
      </c>
      <c r="I365" s="447">
        <f t="shared" si="178"/>
        <v>22.047924131949109</v>
      </c>
      <c r="J365" s="447">
        <f t="shared" si="178"/>
        <v>22.260011204237042</v>
      </c>
      <c r="K365" s="447">
        <f t="shared" si="178"/>
        <v>22.308079818655973</v>
      </c>
      <c r="L365" s="447">
        <f t="shared" si="178"/>
        <v>22.246902234651124</v>
      </c>
      <c r="M365" s="447">
        <f t="shared" si="178"/>
        <v>22.148395755735038</v>
      </c>
      <c r="N365" s="447">
        <f t="shared" si="178"/>
        <v>22.021237156867024</v>
      </c>
    </row>
    <row r="366" spans="1:14">
      <c r="B366" s="331" t="str">
        <f t="shared" si="167"/>
        <v>Total</v>
      </c>
      <c r="C366" s="447">
        <f t="shared" ref="C366:N366" si="179">SUM(C356:C365)</f>
        <v>2789.568374454559</v>
      </c>
      <c r="D366" s="447">
        <f t="shared" si="179"/>
        <v>2781.0180779553361</v>
      </c>
      <c r="E366" s="447">
        <f t="shared" si="179"/>
        <v>2792.8890572735813</v>
      </c>
      <c r="F366" s="447">
        <f t="shared" si="179"/>
        <v>2796.3830702230348</v>
      </c>
      <c r="G366" s="447">
        <f t="shared" si="179"/>
        <v>2796.1085294811101</v>
      </c>
      <c r="H366" s="447">
        <f t="shared" si="179"/>
        <v>2791.7935365815451</v>
      </c>
      <c r="I366" s="447">
        <f t="shared" si="179"/>
        <v>2802.4505363546609</v>
      </c>
      <c r="J366" s="447">
        <f t="shared" si="179"/>
        <v>2823.7994358115734</v>
      </c>
      <c r="K366" s="447">
        <f t="shared" si="179"/>
        <v>2832.4814372575079</v>
      </c>
      <c r="L366" s="447">
        <f t="shared" si="179"/>
        <v>2832.8685685612277</v>
      </c>
      <c r="M366" s="447">
        <f t="shared" si="179"/>
        <v>2833.8883571091892</v>
      </c>
      <c r="N366" s="447">
        <f t="shared" si="179"/>
        <v>2832.1532620348044</v>
      </c>
    </row>
    <row r="367" spans="1:14">
      <c r="A367" s="302">
        <f>SUM(C367:N367)</f>
        <v>0</v>
      </c>
      <c r="C367" s="302">
        <f t="shared" ref="C367:N367" si="180">SUM(C356:C365)-C366</f>
        <v>0</v>
      </c>
      <c r="D367" s="302">
        <f t="shared" si="180"/>
        <v>0</v>
      </c>
      <c r="E367" s="302">
        <f t="shared" si="180"/>
        <v>0</v>
      </c>
      <c r="F367" s="302">
        <f t="shared" si="180"/>
        <v>0</v>
      </c>
      <c r="G367" s="302">
        <f t="shared" si="180"/>
        <v>0</v>
      </c>
      <c r="H367" s="302">
        <f t="shared" si="180"/>
        <v>0</v>
      </c>
      <c r="I367" s="302">
        <f t="shared" si="180"/>
        <v>0</v>
      </c>
      <c r="J367" s="302">
        <f t="shared" si="180"/>
        <v>0</v>
      </c>
      <c r="K367" s="302">
        <f t="shared" si="180"/>
        <v>0</v>
      </c>
      <c r="L367" s="302">
        <f t="shared" si="180"/>
        <v>0</v>
      </c>
      <c r="M367" s="302">
        <f t="shared" si="180"/>
        <v>0</v>
      </c>
      <c r="N367" s="302">
        <f t="shared" si="180"/>
        <v>0</v>
      </c>
    </row>
    <row r="368" spans="1:14">
      <c r="C368" s="322">
        <f>C350+C366</f>
        <v>6886.2117410603405</v>
      </c>
      <c r="D368" s="322">
        <f t="shared" ref="D368:N368" si="181">D350+D366</f>
        <v>6858.8559812158583</v>
      </c>
      <c r="E368" s="322">
        <f t="shared" si="181"/>
        <v>6873.8926369224791</v>
      </c>
      <c r="F368" s="322">
        <f t="shared" si="181"/>
        <v>6881.6845608980657</v>
      </c>
      <c r="G368" s="322">
        <f t="shared" si="181"/>
        <v>6879.4126362278985</v>
      </c>
      <c r="H368" s="322">
        <f t="shared" si="181"/>
        <v>6866.6071292678153</v>
      </c>
      <c r="I368" s="322">
        <f t="shared" si="181"/>
        <v>6890.5558365845054</v>
      </c>
      <c r="J368" s="322">
        <f t="shared" si="181"/>
        <v>6940.5384940871554</v>
      </c>
      <c r="K368" s="322">
        <f t="shared" si="181"/>
        <v>6958.6896565772186</v>
      </c>
      <c r="L368" s="322">
        <f t="shared" si="181"/>
        <v>6956.2019716804425</v>
      </c>
      <c r="M368" s="322">
        <f t="shared" si="181"/>
        <v>6955.3875819762607</v>
      </c>
      <c r="N368" s="322">
        <f t="shared" si="181"/>
        <v>6947.8634032138962</v>
      </c>
    </row>
    <row r="369" spans="1:14">
      <c r="C369" s="322">
        <f>C36</f>
        <v>6886.2117410603414</v>
      </c>
      <c r="D369" s="322">
        <f t="shared" ref="D369:N369" si="182">D36</f>
        <v>6858.8559812158583</v>
      </c>
      <c r="E369" s="322">
        <f t="shared" si="182"/>
        <v>6873.8926369224801</v>
      </c>
      <c r="F369" s="322">
        <f t="shared" si="182"/>
        <v>6881.6845608980666</v>
      </c>
      <c r="G369" s="322">
        <f t="shared" si="182"/>
        <v>6879.4126362278994</v>
      </c>
      <c r="H369" s="322">
        <f t="shared" si="182"/>
        <v>6866.6071292678153</v>
      </c>
      <c r="I369" s="322">
        <f t="shared" si="182"/>
        <v>6890.5558365845072</v>
      </c>
      <c r="J369" s="322">
        <f t="shared" si="182"/>
        <v>6940.5384940871572</v>
      </c>
      <c r="K369" s="322">
        <f t="shared" si="182"/>
        <v>6958.6896565772204</v>
      </c>
      <c r="L369" s="322">
        <f t="shared" si="182"/>
        <v>6956.2019716804443</v>
      </c>
      <c r="M369" s="322">
        <f t="shared" si="182"/>
        <v>6955.3875819762616</v>
      </c>
      <c r="N369" s="322">
        <f t="shared" si="182"/>
        <v>6947.8634032138971</v>
      </c>
    </row>
    <row r="370" spans="1:14">
      <c r="A370" s="302">
        <f>SUM(C370:L370)</f>
        <v>0</v>
      </c>
      <c r="C370" s="322">
        <f>C368-C369</f>
        <v>0</v>
      </c>
      <c r="D370" s="322">
        <f t="shared" ref="D370:N370" si="183">D368-D369</f>
        <v>0</v>
      </c>
      <c r="E370" s="322">
        <f t="shared" si="183"/>
        <v>0</v>
      </c>
      <c r="F370" s="322">
        <f t="shared" si="183"/>
        <v>0</v>
      </c>
      <c r="G370" s="322">
        <f t="shared" si="183"/>
        <v>0</v>
      </c>
      <c r="H370" s="322">
        <f t="shared" si="183"/>
        <v>0</v>
      </c>
      <c r="I370" s="322">
        <f t="shared" si="183"/>
        <v>0</v>
      </c>
      <c r="J370" s="322">
        <f t="shared" si="183"/>
        <v>0</v>
      </c>
      <c r="K370" s="322">
        <f t="shared" si="183"/>
        <v>0</v>
      </c>
      <c r="L370" s="322">
        <f t="shared" si="183"/>
        <v>0</v>
      </c>
      <c r="M370" s="322">
        <f t="shared" si="183"/>
        <v>0</v>
      </c>
      <c r="N370" s="322">
        <f t="shared" si="183"/>
        <v>0</v>
      </c>
    </row>
    <row r="371" spans="1:14">
      <c r="A371" s="302">
        <f>SUM(C371:L371)</f>
        <v>0</v>
      </c>
      <c r="C371" s="322">
        <f>IF(C294&gt;0,0,C294)</f>
        <v>0</v>
      </c>
      <c r="D371" s="322">
        <f t="shared" ref="D371:N371" si="184">IF(D294&gt;0,0,D294)</f>
        <v>0</v>
      </c>
      <c r="E371" s="322">
        <f t="shared" si="184"/>
        <v>0</v>
      </c>
      <c r="F371" s="322">
        <f t="shared" si="184"/>
        <v>0</v>
      </c>
      <c r="G371" s="322">
        <f t="shared" si="184"/>
        <v>0</v>
      </c>
      <c r="H371" s="322">
        <f t="shared" si="184"/>
        <v>0</v>
      </c>
      <c r="I371" s="322">
        <f t="shared" si="184"/>
        <v>0</v>
      </c>
      <c r="J371" s="322">
        <f t="shared" si="184"/>
        <v>0</v>
      </c>
      <c r="K371" s="322">
        <f t="shared" si="184"/>
        <v>0</v>
      </c>
      <c r="L371" s="322">
        <f t="shared" si="184"/>
        <v>0</v>
      </c>
      <c r="M371" s="322">
        <f t="shared" si="184"/>
        <v>0</v>
      </c>
      <c r="N371" s="322">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Q371"/>
  <sheetViews>
    <sheetView showGridLines="0" workbookViewId="0"/>
  </sheetViews>
  <sheetFormatPr defaultColWidth="9.140625" defaultRowHeight="12.75"/>
  <cols>
    <col min="1" max="1" width="9.140625" style="302"/>
    <col min="2" max="2" width="32.7109375" style="302" customWidth="1"/>
    <col min="3" max="15" width="10.7109375" style="302" customWidth="1"/>
    <col min="16"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273</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Forecast_stock_figures!B22</f>
        <v>Design &amp; Technology</v>
      </c>
      <c r="C15" s="300">
        <f>Forecast_stock_figures!C46</f>
        <v>9746.7002032465352</v>
      </c>
      <c r="D15" s="300">
        <f>Forecast_stock_figures!D46</f>
        <v>9723.9372735583838</v>
      </c>
      <c r="E15" s="300">
        <f>Forecast_stock_figures!E46</f>
        <v>9730.713572541621</v>
      </c>
      <c r="F15" s="300">
        <f>Forecast_stock_figures!F46</f>
        <v>9795.7800392161698</v>
      </c>
      <c r="G15" s="300">
        <f>Forecast_stock_figures!G46</f>
        <v>9817.6475451427996</v>
      </c>
      <c r="H15" s="300">
        <f>Forecast_stock_figures!H46</f>
        <v>9802.422714787177</v>
      </c>
      <c r="I15" s="300">
        <f>Forecast_stock_figures!I46</f>
        <v>9744.7648783038912</v>
      </c>
      <c r="J15" s="300">
        <f>Forecast_stock_figures!J46</f>
        <v>9758.6780163501626</v>
      </c>
      <c r="K15" s="300">
        <f>Forecast_stock_figures!K46</f>
        <v>9803.3475100151809</v>
      </c>
      <c r="L15" s="300">
        <f>Forecast_stock_figures!L46</f>
        <v>9778.1954784920508</v>
      </c>
      <c r="M15" s="300">
        <f>Forecast_stock_figures!M46</f>
        <v>9717.0736890616008</v>
      </c>
      <c r="N15" s="300">
        <f>Forecast_stock_figures!N46</f>
        <v>9702.3721370678686</v>
      </c>
    </row>
    <row r="17" spans="1:9" ht="15.75">
      <c r="B17" s="333" t="s">
        <v>162</v>
      </c>
    </row>
    <row r="19" spans="1:9">
      <c r="B19" s="1327" t="str">
        <f>Stock_ages_breakdowns!B73</f>
        <v>Age group</v>
      </c>
      <c r="C19" s="1328" t="str">
        <f>Stock_ages_breakdowns!O73</f>
        <v>Design &amp; Technology</v>
      </c>
      <c r="D19" s="1329"/>
      <c r="H19" s="318" t="s">
        <v>133</v>
      </c>
    </row>
    <row r="20" spans="1:9">
      <c r="B20" s="1327"/>
      <c r="C20" s="356" t="str">
        <f>Stock_ages_breakdowns!O74</f>
        <v>Male</v>
      </c>
      <c r="D20" s="356" t="str">
        <f>Stock_ages_breakdowns!N74</f>
        <v>Female</v>
      </c>
    </row>
    <row r="21" spans="1:9">
      <c r="B21" s="356" t="str">
        <f>Stock_ages_breakdowns!B75</f>
        <v>20-24</v>
      </c>
      <c r="C21" s="324">
        <f>Stock_ages_breakdowns!O20</f>
        <v>44.014232714016984</v>
      </c>
      <c r="D21" s="324">
        <f>Stock_ages_breakdowns!P20</f>
        <v>152.44407213832213</v>
      </c>
    </row>
    <row r="22" spans="1:9">
      <c r="B22" s="356" t="str">
        <f>Stock_ages_breakdowns!B76</f>
        <v>25-29</v>
      </c>
      <c r="C22" s="324">
        <f>Stock_ages_breakdowns!O21</f>
        <v>316.11084905495659</v>
      </c>
      <c r="D22" s="324">
        <f>Stock_ages_breakdowns!P21</f>
        <v>730.27843188857128</v>
      </c>
    </row>
    <row r="23" spans="1:9">
      <c r="B23" s="356" t="str">
        <f>Stock_ages_breakdowns!B77</f>
        <v>30-34</v>
      </c>
      <c r="C23" s="324">
        <f>Stock_ages_breakdowns!O22</f>
        <v>554.69727654679582</v>
      </c>
      <c r="D23" s="324">
        <f>Stock_ages_breakdowns!P22</f>
        <v>963.79525137937742</v>
      </c>
    </row>
    <row r="24" spans="1:9">
      <c r="B24" s="356" t="str">
        <f>Stock_ages_breakdowns!B78</f>
        <v>35-39</v>
      </c>
      <c r="C24" s="324">
        <f>Stock_ages_breakdowns!O23</f>
        <v>628.43848314857439</v>
      </c>
      <c r="D24" s="324">
        <f>Stock_ages_breakdowns!P23</f>
        <v>878.1296710685441</v>
      </c>
    </row>
    <row r="25" spans="1:9">
      <c r="B25" s="356" t="str">
        <f>Stock_ages_breakdowns!B79</f>
        <v>40-44</v>
      </c>
      <c r="C25" s="324">
        <f>Stock_ages_breakdowns!O24</f>
        <v>643.02160237867565</v>
      </c>
      <c r="D25" s="324">
        <f>Stock_ages_breakdowns!P24</f>
        <v>814.01492240405867</v>
      </c>
    </row>
    <row r="26" spans="1:9">
      <c r="B26" s="356" t="str">
        <f>Stock_ages_breakdowns!B80</f>
        <v>45-49</v>
      </c>
      <c r="C26" s="324">
        <f>Stock_ages_breakdowns!O25</f>
        <v>683.99826831131645</v>
      </c>
      <c r="D26" s="324">
        <f>Stock_ages_breakdowns!P25</f>
        <v>780.97051378533718</v>
      </c>
    </row>
    <row r="27" spans="1:9">
      <c r="B27" s="356" t="str">
        <f>Stock_ages_breakdowns!B81</f>
        <v>50-54</v>
      </c>
      <c r="C27" s="324">
        <f>Stock_ages_breakdowns!O26</f>
        <v>660.20849306829803</v>
      </c>
      <c r="D27" s="324">
        <f>Stock_ages_breakdowns!P26</f>
        <v>647.35555748365971</v>
      </c>
    </row>
    <row r="28" spans="1:9">
      <c r="B28" s="356" t="str">
        <f>Stock_ages_breakdowns!B82</f>
        <v>55-59</v>
      </c>
      <c r="C28" s="324">
        <f>Stock_ages_breakdowns!O27</f>
        <v>511.87148309011889</v>
      </c>
      <c r="D28" s="324">
        <f>Stock_ages_breakdowns!P27</f>
        <v>441.46870131551907</v>
      </c>
    </row>
    <row r="29" spans="1:9">
      <c r="B29" s="356" t="str">
        <f>Stock_ages_breakdowns!B83</f>
        <v>60-64</v>
      </c>
      <c r="C29" s="324">
        <f>Stock_ages_breakdowns!O28</f>
        <v>128.36743224698023</v>
      </c>
      <c r="D29" s="324">
        <f>Stock_ages_breakdowns!P28</f>
        <v>130.43445696033521</v>
      </c>
      <c r="F29" s="318"/>
    </row>
    <row r="30" spans="1:9">
      <c r="B30" s="356" t="str">
        <f>Stock_ages_breakdowns!B84</f>
        <v>65 plus</v>
      </c>
      <c r="C30" s="324">
        <f>Stock_ages_breakdowns!O29</f>
        <v>27.585984073445097</v>
      </c>
      <c r="D30" s="324">
        <f>Stock_ages_breakdowns!P29</f>
        <v>9.4945201896320519</v>
      </c>
      <c r="G30" s="319" t="s">
        <v>46</v>
      </c>
      <c r="H30" s="319" t="s">
        <v>47</v>
      </c>
    </row>
    <row r="31" spans="1:9">
      <c r="A31" s="302">
        <f>I31</f>
        <v>0</v>
      </c>
      <c r="B31" s="356" t="str">
        <f>Stock_ages_breakdowns!B85</f>
        <v>Total</v>
      </c>
      <c r="C31" s="324">
        <f>Stock_ages_breakdowns!O30</f>
        <v>4198.3141046331775</v>
      </c>
      <c r="D31" s="324">
        <f>Stock_ages_breakdowns!P30</f>
        <v>5548.3860986133568</v>
      </c>
      <c r="E31" s="320">
        <f>SUM(C31:D31)</f>
        <v>9746.7002032465352</v>
      </c>
      <c r="G31" s="359">
        <f>C31/$E$31</f>
        <v>0.43074209907828681</v>
      </c>
      <c r="H31" s="359">
        <f>D31/$E$31</f>
        <v>0.56925790092171302</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Design &amp; Technology</v>
      </c>
      <c r="C36" s="300">
        <f>Teacher_need_by_subject!C629</f>
        <v>9723.9372735583838</v>
      </c>
      <c r="D36" s="300">
        <f>Teacher_need_by_subject!D629</f>
        <v>9730.713572541621</v>
      </c>
      <c r="E36" s="300">
        <f>Teacher_need_by_subject!E629</f>
        <v>9795.7800392161698</v>
      </c>
      <c r="F36" s="300">
        <f>Teacher_need_by_subject!F629</f>
        <v>9817.6475451427996</v>
      </c>
      <c r="G36" s="300">
        <f>Teacher_need_by_subject!G629</f>
        <v>9802.422714787177</v>
      </c>
      <c r="H36" s="300">
        <f>Teacher_need_by_subject!H629</f>
        <v>9744.7648783038912</v>
      </c>
      <c r="I36" s="300">
        <f>Teacher_need_by_subject!I629</f>
        <v>9758.6780163501626</v>
      </c>
      <c r="J36" s="300">
        <f>Teacher_need_by_subject!J629</f>
        <v>9803.3475100151809</v>
      </c>
      <c r="K36" s="300">
        <f>Teacher_need_by_subject!K629</f>
        <v>9778.1954784920508</v>
      </c>
      <c r="L36" s="300">
        <f>Teacher_need_by_subject!L629</f>
        <v>9717.0736890616008</v>
      </c>
      <c r="M36" s="300">
        <f>Teacher_need_by_subject!M629</f>
        <v>9702.3721370678686</v>
      </c>
      <c r="N36" s="300">
        <f>Teacher_need_by_subject!N629</f>
        <v>9713.8346471091481</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44.014232714016984</v>
      </c>
      <c r="D43" s="300">
        <f t="shared" ref="D43:K53" si="2">C340</f>
        <v>155.87166933541019</v>
      </c>
      <c r="E43" s="300">
        <f t="shared" ref="E43:L43" si="3">D340</f>
        <v>235.66161639755822</v>
      </c>
      <c r="F43" s="300">
        <f t="shared" si="3"/>
        <v>298.3019165379369</v>
      </c>
      <c r="G43" s="300">
        <f t="shared" si="3"/>
        <v>337.31205977977822</v>
      </c>
      <c r="H43" s="300">
        <f t="shared" si="3"/>
        <v>359.51547912634169</v>
      </c>
      <c r="I43" s="300">
        <f t="shared" si="3"/>
        <v>369.00301657513967</v>
      </c>
      <c r="J43" s="300">
        <f t="shared" si="3"/>
        <v>381.80708062278688</v>
      </c>
      <c r="K43" s="300">
        <f t="shared" si="3"/>
        <v>393.45449223348163</v>
      </c>
      <c r="L43" s="300">
        <f t="shared" si="3"/>
        <v>393.66106816836373</v>
      </c>
      <c r="M43" s="300">
        <f>L340</f>
        <v>388.82780173625929</v>
      </c>
      <c r="N43" s="300">
        <f>M340</f>
        <v>389.23729988088598</v>
      </c>
    </row>
    <row r="44" spans="2:14">
      <c r="B44" s="356" t="str">
        <f t="shared" ref="B44:C53" si="4">B22</f>
        <v>25-29</v>
      </c>
      <c r="C44" s="300">
        <f t="shared" si="4"/>
        <v>316.11084905495659</v>
      </c>
      <c r="D44" s="300">
        <f t="shared" si="2"/>
        <v>364.06526477689243</v>
      </c>
      <c r="E44" s="300">
        <f t="shared" si="2"/>
        <v>420.7938047059655</v>
      </c>
      <c r="F44" s="300">
        <f t="shared" si="2"/>
        <v>482.43233023300058</v>
      </c>
      <c r="G44" s="300">
        <f t="shared" si="2"/>
        <v>533.49255402037215</v>
      </c>
      <c r="H44" s="300">
        <f t="shared" si="2"/>
        <v>572.1818252750586</v>
      </c>
      <c r="I44" s="300">
        <f t="shared" si="2"/>
        <v>597.96124934043439</v>
      </c>
      <c r="J44" s="300">
        <f t="shared" si="2"/>
        <v>624.60761951431562</v>
      </c>
      <c r="K44" s="300">
        <f t="shared" si="2"/>
        <v>648.91902898317312</v>
      </c>
      <c r="L44" s="300">
        <f t="shared" ref="L44:L53" si="5">K341</f>
        <v>660.48196803406415</v>
      </c>
      <c r="M44" s="300">
        <f t="shared" ref="M44:M53" si="6">L341</f>
        <v>663.81352431132223</v>
      </c>
      <c r="N44" s="300">
        <f t="shared" ref="N44:N53" si="7">M341</f>
        <v>669.24232213695439</v>
      </c>
    </row>
    <row r="45" spans="2:14">
      <c r="B45" s="356" t="str">
        <f t="shared" si="4"/>
        <v>30-34</v>
      </c>
      <c r="C45" s="300">
        <f t="shared" si="4"/>
        <v>554.69727654679582</v>
      </c>
      <c r="D45" s="300">
        <f t="shared" si="2"/>
        <v>534.11990776562641</v>
      </c>
      <c r="E45" s="300">
        <f t="shared" si="2"/>
        <v>529.37733609910072</v>
      </c>
      <c r="F45" s="300">
        <f t="shared" si="2"/>
        <v>538.74313374935468</v>
      </c>
      <c r="G45" s="300">
        <f t="shared" si="2"/>
        <v>555.05538172042066</v>
      </c>
      <c r="H45" s="300">
        <f t="shared" si="2"/>
        <v>574.02211363315996</v>
      </c>
      <c r="I45" s="300">
        <f t="shared" si="2"/>
        <v>592.21359856591243</v>
      </c>
      <c r="J45" s="300">
        <f t="shared" si="2"/>
        <v>613.64643562305878</v>
      </c>
      <c r="K45" s="300">
        <f t="shared" si="2"/>
        <v>635.88188410173552</v>
      </c>
      <c r="L45" s="300">
        <f t="shared" si="5"/>
        <v>652.89269479561915</v>
      </c>
      <c r="M45" s="300">
        <f t="shared" si="6"/>
        <v>665.17349450803397</v>
      </c>
      <c r="N45" s="300">
        <f t="shared" si="7"/>
        <v>676.86115984778701</v>
      </c>
    </row>
    <row r="46" spans="2:14">
      <c r="B46" s="356" t="str">
        <f t="shared" si="4"/>
        <v>35-39</v>
      </c>
      <c r="C46" s="300">
        <f t="shared" si="4"/>
        <v>628.43848314857439</v>
      </c>
      <c r="D46" s="300">
        <f t="shared" si="2"/>
        <v>616.90817080695967</v>
      </c>
      <c r="E46" s="300">
        <f t="shared" si="2"/>
        <v>606.32337727062384</v>
      </c>
      <c r="F46" s="300">
        <f t="shared" si="2"/>
        <v>598.75523573146324</v>
      </c>
      <c r="G46" s="300">
        <f t="shared" si="2"/>
        <v>593.57117556576713</v>
      </c>
      <c r="H46" s="300">
        <f t="shared" si="2"/>
        <v>590.76308122949308</v>
      </c>
      <c r="I46" s="300">
        <f t="shared" si="2"/>
        <v>589.88066927223497</v>
      </c>
      <c r="J46" s="300">
        <f t="shared" si="2"/>
        <v>594.92144478427508</v>
      </c>
      <c r="K46" s="300">
        <f t="shared" si="2"/>
        <v>603.65071978501226</v>
      </c>
      <c r="L46" s="300">
        <f t="shared" si="5"/>
        <v>611.25686470638288</v>
      </c>
      <c r="M46" s="300">
        <f t="shared" si="6"/>
        <v>618.19489546554826</v>
      </c>
      <c r="N46" s="300">
        <f t="shared" si="7"/>
        <v>627.0781330265977</v>
      </c>
    </row>
    <row r="47" spans="2:14">
      <c r="B47" s="356" t="str">
        <f t="shared" si="4"/>
        <v>40-44</v>
      </c>
      <c r="C47" s="300">
        <f t="shared" si="4"/>
        <v>643.02160237867565</v>
      </c>
      <c r="D47" s="300">
        <f t="shared" si="2"/>
        <v>629.6428142532917</v>
      </c>
      <c r="E47" s="300">
        <f t="shared" si="2"/>
        <v>619.66814602624117</v>
      </c>
      <c r="F47" s="300">
        <f t="shared" si="2"/>
        <v>610.92975838963093</v>
      </c>
      <c r="G47" s="300">
        <f t="shared" si="2"/>
        <v>602.20863606205148</v>
      </c>
      <c r="H47" s="300">
        <f t="shared" si="2"/>
        <v>593.11613546407693</v>
      </c>
      <c r="I47" s="300">
        <f t="shared" si="2"/>
        <v>583.90008821914125</v>
      </c>
      <c r="J47" s="300">
        <f t="shared" si="2"/>
        <v>578.93072011103231</v>
      </c>
      <c r="K47" s="300">
        <f t="shared" si="2"/>
        <v>577.05118551769067</v>
      </c>
      <c r="L47" s="300">
        <f t="shared" si="5"/>
        <v>574.6797150662519</v>
      </c>
      <c r="M47" s="300">
        <f t="shared" si="6"/>
        <v>572.71673031361695</v>
      </c>
      <c r="N47" s="300">
        <f t="shared" si="7"/>
        <v>573.78576828000291</v>
      </c>
    </row>
    <row r="48" spans="2:14">
      <c r="B48" s="356" t="str">
        <f t="shared" si="4"/>
        <v>45-49</v>
      </c>
      <c r="C48" s="300">
        <f t="shared" si="4"/>
        <v>683.99826831131645</v>
      </c>
      <c r="D48" s="300">
        <f t="shared" si="2"/>
        <v>649.64667940766446</v>
      </c>
      <c r="E48" s="300">
        <f t="shared" si="2"/>
        <v>624.26620021433564</v>
      </c>
      <c r="F48" s="300">
        <f t="shared" si="2"/>
        <v>603.81199558418473</v>
      </c>
      <c r="G48" s="300">
        <f t="shared" si="2"/>
        <v>586.7972973804832</v>
      </c>
      <c r="H48" s="300">
        <f t="shared" si="2"/>
        <v>571.37949846373408</v>
      </c>
      <c r="I48" s="300">
        <f t="shared" si="2"/>
        <v>556.83013026501965</v>
      </c>
      <c r="J48" s="300">
        <f t="shared" si="2"/>
        <v>546.10384555443284</v>
      </c>
      <c r="K48" s="300">
        <f t="shared" si="2"/>
        <v>538.03748571080791</v>
      </c>
      <c r="L48" s="300">
        <f t="shared" si="5"/>
        <v>529.70106955044821</v>
      </c>
      <c r="M48" s="300">
        <f t="shared" si="6"/>
        <v>521.86565587410121</v>
      </c>
      <c r="N48" s="300">
        <f t="shared" si="7"/>
        <v>516.77194170571534</v>
      </c>
    </row>
    <row r="49" spans="1:14">
      <c r="B49" s="356" t="str">
        <f t="shared" si="4"/>
        <v>50-54</v>
      </c>
      <c r="C49" s="300">
        <f t="shared" si="4"/>
        <v>660.20849306829803</v>
      </c>
      <c r="D49" s="300">
        <f t="shared" si="2"/>
        <v>612.64237998617205</v>
      </c>
      <c r="E49" s="300">
        <f t="shared" si="2"/>
        <v>574.9285548375442</v>
      </c>
      <c r="F49" s="300">
        <f t="shared" si="2"/>
        <v>543.22092538962477</v>
      </c>
      <c r="G49" s="300">
        <f t="shared" si="2"/>
        <v>516.97530021513444</v>
      </c>
      <c r="H49" s="300">
        <f t="shared" si="2"/>
        <v>494.32741880907417</v>
      </c>
      <c r="I49" s="300">
        <f t="shared" si="2"/>
        <v>474.34218383141285</v>
      </c>
      <c r="J49" s="300">
        <f t="shared" si="2"/>
        <v>458.77803832562273</v>
      </c>
      <c r="K49" s="300">
        <f t="shared" si="2"/>
        <v>446.34992656606579</v>
      </c>
      <c r="L49" s="300">
        <f t="shared" si="5"/>
        <v>434.55652726074368</v>
      </c>
      <c r="M49" s="300">
        <f t="shared" si="6"/>
        <v>423.74967387471543</v>
      </c>
      <c r="N49" s="300">
        <f t="shared" si="7"/>
        <v>415.43591699639325</v>
      </c>
    </row>
    <row r="50" spans="1:14">
      <c r="B50" s="356" t="str">
        <f t="shared" si="4"/>
        <v>55-59</v>
      </c>
      <c r="C50" s="300">
        <f t="shared" si="4"/>
        <v>511.87148309011889</v>
      </c>
      <c r="D50" s="300">
        <f t="shared" si="2"/>
        <v>423.10252815810082</v>
      </c>
      <c r="E50" s="300">
        <f t="shared" si="2"/>
        <v>363.45203261529457</v>
      </c>
      <c r="F50" s="300">
        <f t="shared" si="2"/>
        <v>321.93433554597277</v>
      </c>
      <c r="G50" s="300">
        <f t="shared" si="2"/>
        <v>291.83328876606146</v>
      </c>
      <c r="H50" s="300">
        <f t="shared" si="2"/>
        <v>269.08051819201643</v>
      </c>
      <c r="I50" s="300">
        <f t="shared" si="2"/>
        <v>251.18635216339919</v>
      </c>
      <c r="J50" s="300">
        <f t="shared" si="2"/>
        <v>238.16276383557084</v>
      </c>
      <c r="K50" s="300">
        <f t="shared" si="2"/>
        <v>228.30138710679321</v>
      </c>
      <c r="L50" s="300">
        <f t="shared" si="5"/>
        <v>219.48237284961525</v>
      </c>
      <c r="M50" s="300">
        <f t="shared" si="6"/>
        <v>211.76577536565128</v>
      </c>
      <c r="N50" s="300">
        <f t="shared" si="7"/>
        <v>205.96686416788157</v>
      </c>
    </row>
    <row r="51" spans="1:14">
      <c r="B51" s="356" t="str">
        <f t="shared" si="4"/>
        <v>60-64</v>
      </c>
      <c r="C51" s="300">
        <f t="shared" si="4"/>
        <v>128.36743224698023</v>
      </c>
      <c r="D51" s="300">
        <f t="shared" si="2"/>
        <v>139.09981648850496</v>
      </c>
      <c r="E51" s="300">
        <f t="shared" si="2"/>
        <v>133.6652400122772</v>
      </c>
      <c r="F51" s="300">
        <f t="shared" si="2"/>
        <v>123.33712250771809</v>
      </c>
      <c r="G51" s="300">
        <f t="shared" si="2"/>
        <v>112.55946568076214</v>
      </c>
      <c r="H51" s="300">
        <f t="shared" si="2"/>
        <v>102.8478768624349</v>
      </c>
      <c r="I51" s="300">
        <f t="shared" si="2"/>
        <v>94.566487314767713</v>
      </c>
      <c r="J51" s="300">
        <f t="shared" si="2"/>
        <v>88.426028503619165</v>
      </c>
      <c r="K51" s="300">
        <f t="shared" si="2"/>
        <v>83.782082667034985</v>
      </c>
      <c r="L51" s="300">
        <f t="shared" si="5"/>
        <v>79.628469379038748</v>
      </c>
      <c r="M51" s="300">
        <f t="shared" si="6"/>
        <v>76.052598340095017</v>
      </c>
      <c r="N51" s="300">
        <f t="shared" si="7"/>
        <v>73.477209801272039</v>
      </c>
    </row>
    <row r="52" spans="1:14">
      <c r="B52" s="356" t="str">
        <f t="shared" si="4"/>
        <v>65 plus</v>
      </c>
      <c r="C52" s="300">
        <f t="shared" si="4"/>
        <v>27.585984073445097</v>
      </c>
      <c r="D52" s="300">
        <f t="shared" si="2"/>
        <v>34.395108297151147</v>
      </c>
      <c r="E52" s="300">
        <f t="shared" si="2"/>
        <v>39.99373052230294</v>
      </c>
      <c r="F52" s="300">
        <f t="shared" si="2"/>
        <v>42.633345211176362</v>
      </c>
      <c r="G52" s="300">
        <f t="shared" si="2"/>
        <v>42.988519387188077</v>
      </c>
      <c r="H52" s="300">
        <f t="shared" si="2"/>
        <v>41.802870991734913</v>
      </c>
      <c r="I52" s="300">
        <f t="shared" si="2"/>
        <v>39.800588620237207</v>
      </c>
      <c r="J52" s="300">
        <f t="shared" si="2"/>
        <v>37.715496983036026</v>
      </c>
      <c r="K52" s="300">
        <f t="shared" si="2"/>
        <v>35.771031063217094</v>
      </c>
      <c r="L52" s="300">
        <f t="shared" si="5"/>
        <v>33.886425409236203</v>
      </c>
      <c r="M52" s="300">
        <f t="shared" si="6"/>
        <v>32.155076382916789</v>
      </c>
      <c r="N52" s="300">
        <f t="shared" si="7"/>
        <v>30.755249218658705</v>
      </c>
    </row>
    <row r="53" spans="1:14">
      <c r="B53" s="356" t="str">
        <f t="shared" si="4"/>
        <v>Total</v>
      </c>
      <c r="C53" s="300">
        <f t="shared" si="4"/>
        <v>4198.3141046331775</v>
      </c>
      <c r="D53" s="300">
        <f t="shared" si="2"/>
        <v>4159.4943392757732</v>
      </c>
      <c r="E53" s="300">
        <f t="shared" si="2"/>
        <v>4148.1300387012443</v>
      </c>
      <c r="F53" s="300">
        <f t="shared" si="2"/>
        <v>4164.1000988800633</v>
      </c>
      <c r="G53" s="300">
        <f t="shared" si="2"/>
        <v>4172.7936785780184</v>
      </c>
      <c r="H53" s="300">
        <f t="shared" si="2"/>
        <v>4169.0368180471251</v>
      </c>
      <c r="I53" s="300">
        <f t="shared" si="2"/>
        <v>4149.6843641676996</v>
      </c>
      <c r="J53" s="300">
        <f t="shared" si="2"/>
        <v>4163.0994738577501</v>
      </c>
      <c r="K53" s="300">
        <f t="shared" si="2"/>
        <v>4191.1992237350123</v>
      </c>
      <c r="L53" s="300">
        <f t="shared" si="5"/>
        <v>4190.2271752197639</v>
      </c>
      <c r="M53" s="300">
        <f t="shared" si="6"/>
        <v>4174.3152261722598</v>
      </c>
      <c r="N53" s="300">
        <f t="shared" si="7"/>
        <v>4178.6118650621484</v>
      </c>
    </row>
    <row r="54" spans="1:14">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4">
      <c r="B56" s="334" t="s">
        <v>47</v>
      </c>
      <c r="H56" s="318"/>
    </row>
    <row r="57" spans="1:14">
      <c r="H57" s="318"/>
    </row>
    <row r="58" spans="1:14">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4">
      <c r="B59" s="331" t="str">
        <f t="shared" si="9"/>
        <v>20-24</v>
      </c>
      <c r="C59" s="300">
        <f t="shared" ref="C59:C69" si="11">D21</f>
        <v>152.44407213832213</v>
      </c>
      <c r="D59" s="300">
        <f>C356</f>
        <v>272.88136754029927</v>
      </c>
      <c r="E59" s="300">
        <f t="shared" ref="E59:L59" si="12">D356</f>
        <v>358.80045218256203</v>
      </c>
      <c r="F59" s="300">
        <f t="shared" si="12"/>
        <v>428.39950458469082</v>
      </c>
      <c r="G59" s="300">
        <f t="shared" si="12"/>
        <v>469.62720791145318</v>
      </c>
      <c r="H59" s="300">
        <f t="shared" si="12"/>
        <v>491.68169154130339</v>
      </c>
      <c r="I59" s="300">
        <f t="shared" si="12"/>
        <v>499.07894878948571</v>
      </c>
      <c r="J59" s="300">
        <f t="shared" si="12"/>
        <v>512.37811332546585</v>
      </c>
      <c r="K59" s="300">
        <f t="shared" si="12"/>
        <v>525.21489847850467</v>
      </c>
      <c r="L59" s="300">
        <f t="shared" si="12"/>
        <v>523.68247308803268</v>
      </c>
      <c r="M59" s="300">
        <f>L356</f>
        <v>516.02490168501458</v>
      </c>
      <c r="N59" s="300">
        <f>M356</f>
        <v>515.67585170112659</v>
      </c>
    </row>
    <row r="60" spans="1:14">
      <c r="B60" s="331" t="str">
        <f t="shared" si="9"/>
        <v>25-29</v>
      </c>
      <c r="C60" s="300">
        <f t="shared" si="11"/>
        <v>730.27843188857128</v>
      </c>
      <c r="D60" s="300">
        <f t="shared" ref="D60:L69" si="13">C357</f>
        <v>726.01630207592245</v>
      </c>
      <c r="E60" s="300">
        <f t="shared" si="13"/>
        <v>745.4339707390036</v>
      </c>
      <c r="F60" s="300">
        <f t="shared" si="13"/>
        <v>783.73023901168199</v>
      </c>
      <c r="G60" s="300">
        <f t="shared" si="13"/>
        <v>815.73484919658222</v>
      </c>
      <c r="H60" s="300">
        <f t="shared" si="13"/>
        <v>839.23109649113576</v>
      </c>
      <c r="I60" s="300">
        <f t="shared" si="13"/>
        <v>851.91679343737371</v>
      </c>
      <c r="J60" s="300">
        <f t="shared" si="13"/>
        <v>870.68777247374885</v>
      </c>
      <c r="K60" s="300">
        <f t="shared" si="13"/>
        <v>890.21450136487806</v>
      </c>
      <c r="L60" s="300">
        <f t="shared" si="13"/>
        <v>895.86813908905617</v>
      </c>
      <c r="M60" s="300">
        <f t="shared" ref="M60:M69" si="14">L357</f>
        <v>892.96154898587076</v>
      </c>
      <c r="N60" s="300">
        <f t="shared" ref="N60:N69" si="15">M357</f>
        <v>894.61854028141806</v>
      </c>
    </row>
    <row r="61" spans="1:14">
      <c r="B61" s="331" t="str">
        <f t="shared" si="9"/>
        <v>30-34</v>
      </c>
      <c r="C61" s="300">
        <f t="shared" si="11"/>
        <v>963.79525137937742</v>
      </c>
      <c r="D61" s="300">
        <f t="shared" si="13"/>
        <v>927.15922722071366</v>
      </c>
      <c r="E61" s="300">
        <f t="shared" si="13"/>
        <v>899.54570094453447</v>
      </c>
      <c r="F61" s="300">
        <f t="shared" si="13"/>
        <v>886.4522488016396</v>
      </c>
      <c r="G61" s="300">
        <f t="shared" si="13"/>
        <v>879.26176497079234</v>
      </c>
      <c r="H61" s="300">
        <f t="shared" si="13"/>
        <v>876.33570675942906</v>
      </c>
      <c r="I61" s="300">
        <f t="shared" si="13"/>
        <v>874.38371648192674</v>
      </c>
      <c r="J61" s="300">
        <f t="shared" si="13"/>
        <v>879.38265900210899</v>
      </c>
      <c r="K61" s="300">
        <f t="shared" si="13"/>
        <v>888.2570562813811</v>
      </c>
      <c r="L61" s="300">
        <f t="shared" si="13"/>
        <v>892.99279700285308</v>
      </c>
      <c r="M61" s="300">
        <f t="shared" si="14"/>
        <v>894.16753155536639</v>
      </c>
      <c r="N61" s="300">
        <f t="shared" si="15"/>
        <v>897.04992644972128</v>
      </c>
    </row>
    <row r="62" spans="1:14">
      <c r="B62" s="331" t="str">
        <f t="shared" si="9"/>
        <v>35-39</v>
      </c>
      <c r="C62" s="300">
        <f t="shared" si="11"/>
        <v>878.1296710685441</v>
      </c>
      <c r="D62" s="300">
        <f t="shared" si="13"/>
        <v>887.22332583549121</v>
      </c>
      <c r="E62" s="300">
        <f t="shared" si="13"/>
        <v>887.1854370131914</v>
      </c>
      <c r="F62" s="300">
        <f t="shared" si="13"/>
        <v>884.49592657018979</v>
      </c>
      <c r="G62" s="300">
        <f t="shared" si="13"/>
        <v>876.44969393034751</v>
      </c>
      <c r="H62" s="300">
        <f t="shared" si="13"/>
        <v>866.59156456751566</v>
      </c>
      <c r="I62" s="300">
        <f t="shared" si="13"/>
        <v>855.74287439664135</v>
      </c>
      <c r="J62" s="300">
        <f t="shared" si="13"/>
        <v>850.47098035935755</v>
      </c>
      <c r="K62" s="300">
        <f t="shared" si="13"/>
        <v>848.83102882278058</v>
      </c>
      <c r="L62" s="300">
        <f t="shared" si="13"/>
        <v>845.26539755910392</v>
      </c>
      <c r="M62" s="300">
        <f t="shared" si="14"/>
        <v>841.02891225638473</v>
      </c>
      <c r="N62" s="300">
        <f t="shared" si="15"/>
        <v>840.03480023230702</v>
      </c>
    </row>
    <row r="63" spans="1:14">
      <c r="B63" s="331" t="str">
        <f t="shared" si="9"/>
        <v>40-44</v>
      </c>
      <c r="C63" s="300">
        <f t="shared" si="11"/>
        <v>814.01492240405867</v>
      </c>
      <c r="D63" s="300">
        <f t="shared" si="13"/>
        <v>814.51327740141539</v>
      </c>
      <c r="E63" s="300">
        <f t="shared" si="13"/>
        <v>816.53670380677784</v>
      </c>
      <c r="F63" s="300">
        <f t="shared" si="13"/>
        <v>820.0056837199985</v>
      </c>
      <c r="G63" s="300">
        <f t="shared" si="13"/>
        <v>818.83437201135951</v>
      </c>
      <c r="H63" s="300">
        <f t="shared" si="13"/>
        <v>814.24339951419574</v>
      </c>
      <c r="I63" s="300">
        <f t="shared" si="13"/>
        <v>806.42968998649178</v>
      </c>
      <c r="J63" s="300">
        <f t="shared" si="13"/>
        <v>801.33227058832233</v>
      </c>
      <c r="K63" s="300">
        <f t="shared" si="13"/>
        <v>797.75399258507241</v>
      </c>
      <c r="L63" s="300">
        <f t="shared" si="13"/>
        <v>791.39745623652811</v>
      </c>
      <c r="M63" s="300">
        <f t="shared" si="14"/>
        <v>783.94116411913251</v>
      </c>
      <c r="N63" s="300">
        <f t="shared" si="15"/>
        <v>779.3262912903574</v>
      </c>
    </row>
    <row r="64" spans="1:14">
      <c r="B64" s="331" t="str">
        <f t="shared" si="9"/>
        <v>45-49</v>
      </c>
      <c r="C64" s="300">
        <f t="shared" si="11"/>
        <v>780.97051378533718</v>
      </c>
      <c r="D64" s="300">
        <f t="shared" si="13"/>
        <v>760.02308142827758</v>
      </c>
      <c r="E64" s="300">
        <f t="shared" si="13"/>
        <v>744.77253193941851</v>
      </c>
      <c r="F64" s="300">
        <f t="shared" si="13"/>
        <v>735.40692610145629</v>
      </c>
      <c r="G64" s="300">
        <f t="shared" si="13"/>
        <v>726.45550653078442</v>
      </c>
      <c r="H64" s="300">
        <f t="shared" si="13"/>
        <v>717.92993877760205</v>
      </c>
      <c r="I64" s="300">
        <f t="shared" si="13"/>
        <v>708.78654691756878</v>
      </c>
      <c r="J64" s="300">
        <f t="shared" si="13"/>
        <v>702.85290713787992</v>
      </c>
      <c r="K64" s="300">
        <f t="shared" si="13"/>
        <v>698.53375864503471</v>
      </c>
      <c r="L64" s="300">
        <f t="shared" si="13"/>
        <v>691.98632507942295</v>
      </c>
      <c r="M64" s="300">
        <f t="shared" si="14"/>
        <v>684.36003154224875</v>
      </c>
      <c r="N64" s="300">
        <f t="shared" si="15"/>
        <v>678.79159018745372</v>
      </c>
    </row>
    <row r="65" spans="1:14">
      <c r="B65" s="331" t="str">
        <f t="shared" si="9"/>
        <v>50-54</v>
      </c>
      <c r="C65" s="300">
        <f t="shared" si="11"/>
        <v>647.35555748365971</v>
      </c>
      <c r="D65" s="300">
        <f t="shared" si="13"/>
        <v>629.53786371476758</v>
      </c>
      <c r="E65" s="300">
        <f t="shared" si="13"/>
        <v>613.08985907973829</v>
      </c>
      <c r="F65" s="300">
        <f t="shared" si="13"/>
        <v>599.6392330916492</v>
      </c>
      <c r="G65" s="300">
        <f t="shared" si="13"/>
        <v>586.33573463547145</v>
      </c>
      <c r="H65" s="300">
        <f t="shared" si="13"/>
        <v>574.00582041421308</v>
      </c>
      <c r="I65" s="300">
        <f t="shared" si="13"/>
        <v>562.21208530687795</v>
      </c>
      <c r="J65" s="300">
        <f t="shared" si="13"/>
        <v>553.83199335601228</v>
      </c>
      <c r="K65" s="300">
        <f t="shared" si="13"/>
        <v>547.53671045194619</v>
      </c>
      <c r="L65" s="300">
        <f t="shared" si="13"/>
        <v>540.27650414440291</v>
      </c>
      <c r="M65" s="300">
        <f t="shared" si="14"/>
        <v>532.71290630705016</v>
      </c>
      <c r="N65" s="300">
        <f t="shared" si="15"/>
        <v>526.99712107243204</v>
      </c>
    </row>
    <row r="66" spans="1:14">
      <c r="B66" s="331" t="str">
        <f t="shared" si="9"/>
        <v>55-59</v>
      </c>
      <c r="C66" s="300">
        <f t="shared" si="11"/>
        <v>441.46870131551907</v>
      </c>
      <c r="D66" s="300">
        <f t="shared" si="13"/>
        <v>387.28771047494013</v>
      </c>
      <c r="E66" s="300">
        <f t="shared" si="13"/>
        <v>351.65614921512105</v>
      </c>
      <c r="F66" s="300">
        <f t="shared" si="13"/>
        <v>328.31464868497329</v>
      </c>
      <c r="G66" s="300">
        <f t="shared" si="13"/>
        <v>310.90684533724942</v>
      </c>
      <c r="H66" s="300">
        <f t="shared" si="13"/>
        <v>297.47156121895779</v>
      </c>
      <c r="I66" s="300">
        <f t="shared" si="13"/>
        <v>286.44351116961928</v>
      </c>
      <c r="J66" s="300">
        <f t="shared" si="13"/>
        <v>278.99271713414555</v>
      </c>
      <c r="K66" s="300">
        <f t="shared" si="13"/>
        <v>273.64659549646865</v>
      </c>
      <c r="L66" s="300">
        <f t="shared" si="13"/>
        <v>268.12641395143407</v>
      </c>
      <c r="M66" s="300">
        <f t="shared" si="14"/>
        <v>262.85506848847132</v>
      </c>
      <c r="N66" s="300">
        <f t="shared" si="15"/>
        <v>259.14856343584142</v>
      </c>
    </row>
    <row r="67" spans="1:14">
      <c r="B67" s="331" t="str">
        <f t="shared" si="9"/>
        <v>60-64</v>
      </c>
      <c r="C67" s="300">
        <f t="shared" si="11"/>
        <v>130.43445696033521</v>
      </c>
      <c r="D67" s="300">
        <f t="shared" si="13"/>
        <v>133.90977419745437</v>
      </c>
      <c r="E67" s="300">
        <f t="shared" si="13"/>
        <v>128.76776383978654</v>
      </c>
      <c r="F67" s="300">
        <f t="shared" si="13"/>
        <v>122.03983215618231</v>
      </c>
      <c r="G67" s="300">
        <f t="shared" si="13"/>
        <v>115.04348171852237</v>
      </c>
      <c r="H67" s="300">
        <f t="shared" si="13"/>
        <v>108.80205938347068</v>
      </c>
      <c r="I67" s="300">
        <f t="shared" si="13"/>
        <v>103.37842786988635</v>
      </c>
      <c r="J67" s="300">
        <f t="shared" si="13"/>
        <v>99.718944347265221</v>
      </c>
      <c r="K67" s="300">
        <f t="shared" si="13"/>
        <v>97.121601013350457</v>
      </c>
      <c r="L67" s="300">
        <f t="shared" si="13"/>
        <v>94.435376519818959</v>
      </c>
      <c r="M67" s="300">
        <f t="shared" si="14"/>
        <v>91.936748372535689</v>
      </c>
      <c r="N67" s="300">
        <f t="shared" si="15"/>
        <v>90.310283078199106</v>
      </c>
    </row>
    <row r="68" spans="1:14">
      <c r="B68" s="331" t="str">
        <f t="shared" si="9"/>
        <v>65 plus</v>
      </c>
      <c r="C68" s="300">
        <f t="shared" si="11"/>
        <v>9.4945201896320519</v>
      </c>
      <c r="D68" s="300">
        <f t="shared" si="13"/>
        <v>25.891004393327862</v>
      </c>
      <c r="E68" s="300">
        <f t="shared" si="13"/>
        <v>36.79496508024279</v>
      </c>
      <c r="F68" s="300">
        <f t="shared" si="13"/>
        <v>43.195697613643759</v>
      </c>
      <c r="G68" s="300">
        <f t="shared" si="13"/>
        <v>46.204410322216567</v>
      </c>
      <c r="H68" s="300">
        <f t="shared" si="13"/>
        <v>47.093058072227251</v>
      </c>
      <c r="I68" s="300">
        <f t="shared" si="13"/>
        <v>46.707919780317781</v>
      </c>
      <c r="J68" s="300">
        <f t="shared" si="13"/>
        <v>45.930184768103203</v>
      </c>
      <c r="K68" s="300">
        <f t="shared" si="13"/>
        <v>45.038143140749426</v>
      </c>
      <c r="L68" s="300">
        <f t="shared" si="13"/>
        <v>43.937420601631452</v>
      </c>
      <c r="M68" s="300">
        <f t="shared" si="14"/>
        <v>42.769649577263181</v>
      </c>
      <c r="N68" s="300">
        <f t="shared" si="15"/>
        <v>41.807304276860656</v>
      </c>
    </row>
    <row r="69" spans="1:14">
      <c r="B69" s="331" t="str">
        <f t="shared" si="9"/>
        <v>Total</v>
      </c>
      <c r="C69" s="300">
        <f t="shared" si="11"/>
        <v>5548.3860986133568</v>
      </c>
      <c r="D69" s="300">
        <f t="shared" si="13"/>
        <v>5564.4429342826097</v>
      </c>
      <c r="E69" s="300">
        <f t="shared" si="13"/>
        <v>5582.5835338403776</v>
      </c>
      <c r="F69" s="300">
        <f t="shared" si="13"/>
        <v>5631.6799403361056</v>
      </c>
      <c r="G69" s="300">
        <f t="shared" si="13"/>
        <v>5644.8538665647793</v>
      </c>
      <c r="H69" s="300">
        <f t="shared" si="13"/>
        <v>5633.3858967400502</v>
      </c>
      <c r="I69" s="300">
        <f t="shared" si="13"/>
        <v>5595.0805141361898</v>
      </c>
      <c r="J69" s="300">
        <f t="shared" si="13"/>
        <v>5595.5785424924106</v>
      </c>
      <c r="K69" s="300">
        <f t="shared" si="13"/>
        <v>5612.1482862801668</v>
      </c>
      <c r="L69" s="300">
        <f t="shared" si="13"/>
        <v>5587.9683032722851</v>
      </c>
      <c r="M69" s="300">
        <f t="shared" si="14"/>
        <v>5542.7584628893383</v>
      </c>
      <c r="N69" s="300">
        <f t="shared" si="15"/>
        <v>5523.7602720057184</v>
      </c>
    </row>
    <row r="70" spans="1:14">
      <c r="A70" s="302">
        <f>SUM(C70:N70)</f>
        <v>0</v>
      </c>
      <c r="C70" s="302">
        <f>SUM(C59:C68)-C69</f>
        <v>0</v>
      </c>
      <c r="D70" s="302">
        <f t="shared" ref="D70:N70" si="16">SUM(D59:D68)-D69</f>
        <v>0</v>
      </c>
      <c r="E70" s="302">
        <f t="shared" si="16"/>
        <v>0</v>
      </c>
      <c r="F70" s="302">
        <f t="shared" si="16"/>
        <v>0</v>
      </c>
      <c r="G70" s="302">
        <f t="shared" si="16"/>
        <v>0</v>
      </c>
      <c r="H70" s="302">
        <f t="shared" si="16"/>
        <v>0</v>
      </c>
      <c r="I70" s="302">
        <f t="shared" si="16"/>
        <v>0</v>
      </c>
      <c r="J70" s="302">
        <f t="shared" si="16"/>
        <v>0</v>
      </c>
      <c r="K70" s="302">
        <f t="shared" si="16"/>
        <v>0</v>
      </c>
      <c r="L70" s="302">
        <f t="shared" si="16"/>
        <v>0</v>
      </c>
      <c r="M70" s="302">
        <f t="shared" si="16"/>
        <v>0</v>
      </c>
      <c r="N70" s="302">
        <f t="shared" si="16"/>
        <v>0</v>
      </c>
    </row>
    <row r="72" spans="1:14" ht="15.75">
      <c r="B72" s="333" t="s">
        <v>163</v>
      </c>
      <c r="H72" s="318"/>
    </row>
    <row r="73" spans="1:14">
      <c r="H73" s="318"/>
    </row>
    <row r="74" spans="1:14">
      <c r="B74" s="334" t="s">
        <v>46</v>
      </c>
      <c r="C74" s="256" t="s">
        <v>456</v>
      </c>
      <c r="H74" s="318"/>
    </row>
    <row r="75" spans="1:14">
      <c r="H75" s="318"/>
    </row>
    <row r="76" spans="1:14">
      <c r="B76" s="331" t="str">
        <f t="shared" ref="B76:B87" si="17">B42</f>
        <v>Age group</v>
      </c>
      <c r="C76" s="331" t="str">
        <f t="shared" ref="C76:N76" si="18">C42</f>
        <v>2017/18</v>
      </c>
      <c r="D76" s="331" t="str">
        <f t="shared" si="18"/>
        <v>2018/19</v>
      </c>
      <c r="E76" s="331" t="str">
        <f t="shared" si="18"/>
        <v>2019/20</v>
      </c>
      <c r="F76" s="331" t="str">
        <f t="shared" si="18"/>
        <v>2020/21</v>
      </c>
      <c r="G76" s="331" t="str">
        <f t="shared" si="18"/>
        <v>2021/22</v>
      </c>
      <c r="H76" s="331" t="str">
        <f t="shared" si="18"/>
        <v>2022/23</v>
      </c>
      <c r="I76" s="331" t="str">
        <f t="shared" si="18"/>
        <v>2023/24</v>
      </c>
      <c r="J76" s="331" t="str">
        <f t="shared" si="18"/>
        <v>2024/25</v>
      </c>
      <c r="K76" s="331" t="str">
        <f t="shared" si="18"/>
        <v>2025/26</v>
      </c>
      <c r="L76" s="331" t="str">
        <f t="shared" si="18"/>
        <v>2026/27</v>
      </c>
      <c r="M76" s="331" t="str">
        <f t="shared" si="18"/>
        <v>2027/28</v>
      </c>
      <c r="N76" s="331" t="str">
        <f t="shared" si="18"/>
        <v>2028/29</v>
      </c>
    </row>
    <row r="77" spans="1:14">
      <c r="B77" s="331" t="str">
        <f t="shared" si="17"/>
        <v>20-24</v>
      </c>
      <c r="C77" s="447">
        <f>C43-(0.2*C43)</f>
        <v>35.21138617121359</v>
      </c>
      <c r="D77" s="447">
        <f>D43-(0.2*D43)</f>
        <v>124.69733546832815</v>
      </c>
      <c r="E77" s="447">
        <f t="shared" ref="E77:N77" si="19">E43-(0.2*E43)</f>
        <v>188.52929311804658</v>
      </c>
      <c r="F77" s="447">
        <f t="shared" si="19"/>
        <v>238.64153323034952</v>
      </c>
      <c r="G77" s="447">
        <f t="shared" si="19"/>
        <v>269.84964782382258</v>
      </c>
      <c r="H77" s="447">
        <f t="shared" si="19"/>
        <v>287.61238330107335</v>
      </c>
      <c r="I77" s="447">
        <f t="shared" si="19"/>
        <v>295.20241326011171</v>
      </c>
      <c r="J77" s="447">
        <f t="shared" si="19"/>
        <v>305.44566449822952</v>
      </c>
      <c r="K77" s="447">
        <f t="shared" si="19"/>
        <v>314.76359378678529</v>
      </c>
      <c r="L77" s="447">
        <f t="shared" si="19"/>
        <v>314.92885453469097</v>
      </c>
      <c r="M77" s="447">
        <f t="shared" si="19"/>
        <v>311.06224138900745</v>
      </c>
      <c r="N77" s="447">
        <f t="shared" si="19"/>
        <v>311.38983990470877</v>
      </c>
    </row>
    <row r="78" spans="1:14">
      <c r="B78" s="331" t="str">
        <f t="shared" si="17"/>
        <v>25-29</v>
      </c>
      <c r="C78" s="447">
        <f t="shared" ref="C78:C85" si="20">C44+(0.2*C43)-(0.2*C44)</f>
        <v>261.69152578676869</v>
      </c>
      <c r="D78" s="447">
        <f t="shared" ref="D78:N78" si="21">D44+(0.2*D43)-(0.2*D44)</f>
        <v>322.42654568859598</v>
      </c>
      <c r="E78" s="447">
        <f t="shared" si="21"/>
        <v>383.76736704428401</v>
      </c>
      <c r="F78" s="447">
        <f t="shared" si="21"/>
        <v>445.60624749398784</v>
      </c>
      <c r="G78" s="447">
        <f t="shared" si="21"/>
        <v>494.25645517225337</v>
      </c>
      <c r="H78" s="447">
        <f t="shared" si="21"/>
        <v>529.64855604531522</v>
      </c>
      <c r="I78" s="447">
        <f t="shared" si="21"/>
        <v>552.16960278737542</v>
      </c>
      <c r="J78" s="447">
        <f t="shared" si="21"/>
        <v>576.04751173600994</v>
      </c>
      <c r="K78" s="447">
        <f t="shared" si="21"/>
        <v>597.82612163323483</v>
      </c>
      <c r="L78" s="447">
        <f t="shared" si="21"/>
        <v>607.11778806092411</v>
      </c>
      <c r="M78" s="447">
        <f t="shared" si="21"/>
        <v>608.81637979630955</v>
      </c>
      <c r="N78" s="447">
        <f t="shared" si="21"/>
        <v>613.24131768574068</v>
      </c>
    </row>
    <row r="79" spans="1:14">
      <c r="B79" s="331" t="str">
        <f t="shared" si="17"/>
        <v>30-34</v>
      </c>
      <c r="C79" s="447">
        <f t="shared" si="20"/>
        <v>506.97999104842796</v>
      </c>
      <c r="D79" s="447">
        <f t="shared" ref="D79:N79" si="22">D45+(0.2*D44)-(0.2*D45)</f>
        <v>500.10897916787957</v>
      </c>
      <c r="E79" s="447">
        <f t="shared" si="22"/>
        <v>507.66062982047367</v>
      </c>
      <c r="F79" s="447">
        <f t="shared" si="22"/>
        <v>527.48097304608382</v>
      </c>
      <c r="G79" s="447">
        <f t="shared" si="22"/>
        <v>550.74281618041095</v>
      </c>
      <c r="H79" s="447">
        <f t="shared" si="22"/>
        <v>573.65405596153971</v>
      </c>
      <c r="I79" s="447">
        <f t="shared" si="22"/>
        <v>593.3631287208168</v>
      </c>
      <c r="J79" s="447">
        <f t="shared" si="22"/>
        <v>615.83867240131008</v>
      </c>
      <c r="K79" s="447">
        <f t="shared" si="22"/>
        <v>638.48931307802309</v>
      </c>
      <c r="L79" s="447">
        <f t="shared" si="22"/>
        <v>654.41054944330813</v>
      </c>
      <c r="M79" s="447">
        <f t="shared" si="22"/>
        <v>664.90150046869167</v>
      </c>
      <c r="N79" s="447">
        <f t="shared" si="22"/>
        <v>675.33739230562048</v>
      </c>
    </row>
    <row r="80" spans="1:14">
      <c r="B80" s="331" t="str">
        <f t="shared" si="17"/>
        <v>35-39</v>
      </c>
      <c r="C80" s="447">
        <f t="shared" si="20"/>
        <v>613.69024182821875</v>
      </c>
      <c r="D80" s="447">
        <f t="shared" ref="D80:N80" si="23">D46+(0.2*D45)-(0.2*D46)</f>
        <v>600.35051819869295</v>
      </c>
      <c r="E80" s="447">
        <f t="shared" si="23"/>
        <v>590.93416903631919</v>
      </c>
      <c r="F80" s="447">
        <f t="shared" si="23"/>
        <v>586.75281533504153</v>
      </c>
      <c r="G80" s="447">
        <f t="shared" si="23"/>
        <v>585.86801679669782</v>
      </c>
      <c r="H80" s="447">
        <f t="shared" si="23"/>
        <v>587.41488771022637</v>
      </c>
      <c r="I80" s="447">
        <f t="shared" si="23"/>
        <v>590.34725513097055</v>
      </c>
      <c r="J80" s="447">
        <f t="shared" si="23"/>
        <v>598.66644295203184</v>
      </c>
      <c r="K80" s="447">
        <f t="shared" si="23"/>
        <v>610.09695264835693</v>
      </c>
      <c r="L80" s="447">
        <f t="shared" si="23"/>
        <v>619.58403072423016</v>
      </c>
      <c r="M80" s="447">
        <f t="shared" si="23"/>
        <v>627.59061527404538</v>
      </c>
      <c r="N80" s="447">
        <f t="shared" si="23"/>
        <v>637.03473839083563</v>
      </c>
    </row>
    <row r="81" spans="1:14">
      <c r="B81" s="331" t="str">
        <f t="shared" si="17"/>
        <v>40-44</v>
      </c>
      <c r="C81" s="447">
        <f t="shared" si="20"/>
        <v>640.10497853265542</v>
      </c>
      <c r="D81" s="447">
        <f t="shared" ref="D81:N81" si="24">D47+(0.2*D46)-(0.2*D47)</f>
        <v>627.09588556402537</v>
      </c>
      <c r="E81" s="447">
        <f t="shared" si="24"/>
        <v>616.99919227511771</v>
      </c>
      <c r="F81" s="447">
        <f t="shared" si="24"/>
        <v>608.49485385799744</v>
      </c>
      <c r="G81" s="447">
        <f t="shared" si="24"/>
        <v>600.48114396279459</v>
      </c>
      <c r="H81" s="447">
        <f t="shared" si="24"/>
        <v>592.64552461716016</v>
      </c>
      <c r="I81" s="447">
        <f t="shared" si="24"/>
        <v>585.09620442975995</v>
      </c>
      <c r="J81" s="447">
        <f t="shared" si="24"/>
        <v>582.12886504568087</v>
      </c>
      <c r="K81" s="447">
        <f t="shared" si="24"/>
        <v>582.37109237115499</v>
      </c>
      <c r="L81" s="447">
        <f t="shared" si="24"/>
        <v>581.99514499427812</v>
      </c>
      <c r="M81" s="447">
        <f t="shared" si="24"/>
        <v>581.81236334400319</v>
      </c>
      <c r="N81" s="447">
        <f t="shared" si="24"/>
        <v>584.44424122932185</v>
      </c>
    </row>
    <row r="82" spans="1:14">
      <c r="B82" s="331" t="str">
        <f t="shared" si="17"/>
        <v>45-49</v>
      </c>
      <c r="C82" s="447">
        <f t="shared" si="20"/>
        <v>675.80293512478829</v>
      </c>
      <c r="D82" s="447">
        <f t="shared" ref="D82:N82" si="25">D48+(0.2*D47)-(0.2*D48)</f>
        <v>645.64590637678987</v>
      </c>
      <c r="E82" s="447">
        <f t="shared" si="25"/>
        <v>623.34658937671679</v>
      </c>
      <c r="F82" s="447">
        <f t="shared" si="25"/>
        <v>605.23554814527404</v>
      </c>
      <c r="G82" s="447">
        <f t="shared" si="25"/>
        <v>589.87956511679693</v>
      </c>
      <c r="H82" s="447">
        <f t="shared" si="25"/>
        <v>575.72682586380256</v>
      </c>
      <c r="I82" s="447">
        <f t="shared" si="25"/>
        <v>562.24412185584401</v>
      </c>
      <c r="J82" s="447">
        <f t="shared" si="25"/>
        <v>552.66922046575269</v>
      </c>
      <c r="K82" s="447">
        <f t="shared" si="25"/>
        <v>545.84022567218449</v>
      </c>
      <c r="L82" s="447">
        <f t="shared" si="25"/>
        <v>538.69679865360899</v>
      </c>
      <c r="M82" s="447">
        <f t="shared" si="25"/>
        <v>532.03587076200427</v>
      </c>
      <c r="N82" s="447">
        <f t="shared" si="25"/>
        <v>528.1747070205729</v>
      </c>
    </row>
    <row r="83" spans="1:14">
      <c r="B83" s="331" t="str">
        <f t="shared" si="17"/>
        <v>50-54</v>
      </c>
      <c r="C83" s="447">
        <f t="shared" si="20"/>
        <v>664.96644811690169</v>
      </c>
      <c r="D83" s="447">
        <f t="shared" ref="D83:N83" si="26">D49+(0.2*D48)-(0.2*D49)</f>
        <v>620.04323987047053</v>
      </c>
      <c r="E83" s="447">
        <f t="shared" si="26"/>
        <v>584.79608391290253</v>
      </c>
      <c r="F83" s="447">
        <f t="shared" si="26"/>
        <v>555.33913942853678</v>
      </c>
      <c r="G83" s="447">
        <f t="shared" si="26"/>
        <v>530.93969964820417</v>
      </c>
      <c r="H83" s="447">
        <f t="shared" si="26"/>
        <v>509.73783474000618</v>
      </c>
      <c r="I83" s="447">
        <f t="shared" si="26"/>
        <v>490.83977311813419</v>
      </c>
      <c r="J83" s="447">
        <f t="shared" si="26"/>
        <v>476.24319977138475</v>
      </c>
      <c r="K83" s="447">
        <f t="shared" si="26"/>
        <v>464.68743839501417</v>
      </c>
      <c r="L83" s="447">
        <f t="shared" si="26"/>
        <v>453.58543571868455</v>
      </c>
      <c r="M83" s="447">
        <f t="shared" si="26"/>
        <v>443.37287027459263</v>
      </c>
      <c r="N83" s="447">
        <f t="shared" si="26"/>
        <v>435.70312193825765</v>
      </c>
    </row>
    <row r="84" spans="1:14">
      <c r="B84" s="331" t="str">
        <f t="shared" si="17"/>
        <v>55-59</v>
      </c>
      <c r="C84" s="447">
        <f t="shared" si="20"/>
        <v>541.53888508575471</v>
      </c>
      <c r="D84" s="447">
        <f t="shared" ref="D84:N84" si="27">D50+(0.2*D49)-(0.2*D50)</f>
        <v>461.010498523715</v>
      </c>
      <c r="E84" s="447">
        <f t="shared" si="27"/>
        <v>405.7473370597445</v>
      </c>
      <c r="F84" s="447">
        <f t="shared" si="27"/>
        <v>366.19165351470315</v>
      </c>
      <c r="G84" s="447">
        <f t="shared" si="27"/>
        <v>336.86169105587607</v>
      </c>
      <c r="H84" s="447">
        <f t="shared" si="27"/>
        <v>314.12989831542802</v>
      </c>
      <c r="I84" s="447">
        <f t="shared" si="27"/>
        <v>295.81751849700191</v>
      </c>
      <c r="J84" s="447">
        <f t="shared" si="27"/>
        <v>282.28581873358121</v>
      </c>
      <c r="K84" s="447">
        <f t="shared" si="27"/>
        <v>271.91109499864774</v>
      </c>
      <c r="L84" s="447">
        <f t="shared" si="27"/>
        <v>262.49720373184095</v>
      </c>
      <c r="M84" s="447">
        <f t="shared" si="27"/>
        <v>254.1625550674641</v>
      </c>
      <c r="N84" s="447">
        <f t="shared" si="27"/>
        <v>247.86067473358392</v>
      </c>
    </row>
    <row r="85" spans="1:14">
      <c r="B85" s="331" t="str">
        <f t="shared" si="17"/>
        <v>60-64</v>
      </c>
      <c r="C85" s="447">
        <f t="shared" si="20"/>
        <v>205.06824241560795</v>
      </c>
      <c r="D85" s="447">
        <f t="shared" ref="D85:N85" si="28">D51+(0.2*D50)-(0.2*D51)</f>
        <v>195.90035882242415</v>
      </c>
      <c r="E85" s="447">
        <f t="shared" si="28"/>
        <v>179.62259853288069</v>
      </c>
      <c r="F85" s="447">
        <f t="shared" si="28"/>
        <v>163.05656511536904</v>
      </c>
      <c r="G85" s="447">
        <f t="shared" si="28"/>
        <v>148.41423029782203</v>
      </c>
      <c r="H85" s="447">
        <f t="shared" si="28"/>
        <v>136.09440512835121</v>
      </c>
      <c r="I85" s="447">
        <f t="shared" si="28"/>
        <v>125.890460284494</v>
      </c>
      <c r="J85" s="447">
        <f t="shared" si="28"/>
        <v>118.3733755700095</v>
      </c>
      <c r="K85" s="447">
        <f t="shared" si="28"/>
        <v>112.68594355498664</v>
      </c>
      <c r="L85" s="447">
        <f t="shared" si="28"/>
        <v>107.59925007315405</v>
      </c>
      <c r="M85" s="447">
        <f t="shared" si="28"/>
        <v>103.19523374520628</v>
      </c>
      <c r="N85" s="447">
        <f t="shared" si="28"/>
        <v>99.975140674593945</v>
      </c>
    </row>
    <row r="86" spans="1:14">
      <c r="B86" s="331" t="str">
        <f t="shared" si="17"/>
        <v>65 plus</v>
      </c>
      <c r="C86" s="447">
        <f>C52+(0.2*C51)</f>
        <v>53.259470522841141</v>
      </c>
      <c r="D86" s="447">
        <f t="shared" ref="D86:N86" si="29">D52+(0.2*D51)</f>
        <v>62.215071594852141</v>
      </c>
      <c r="E86" s="447">
        <f t="shared" si="29"/>
        <v>66.726778524758373</v>
      </c>
      <c r="F86" s="447">
        <f t="shared" si="29"/>
        <v>67.300769712719983</v>
      </c>
      <c r="G86" s="447">
        <f t="shared" si="29"/>
        <v>65.500412523340515</v>
      </c>
      <c r="H86" s="447">
        <f t="shared" si="29"/>
        <v>62.372446364221894</v>
      </c>
      <c r="I86" s="447">
        <f t="shared" si="29"/>
        <v>58.713886083190751</v>
      </c>
      <c r="J86" s="447">
        <f t="shared" si="29"/>
        <v>55.40070268375986</v>
      </c>
      <c r="K86" s="447">
        <f t="shared" si="29"/>
        <v>52.527447596624093</v>
      </c>
      <c r="L86" s="447">
        <f t="shared" si="29"/>
        <v>49.812119285043956</v>
      </c>
      <c r="M86" s="447">
        <f t="shared" si="29"/>
        <v>47.365596050935793</v>
      </c>
      <c r="N86" s="447">
        <f t="shared" si="29"/>
        <v>45.450691178913111</v>
      </c>
    </row>
    <row r="87" spans="1:14">
      <c r="B87" s="331" t="str">
        <f t="shared" si="17"/>
        <v>Total</v>
      </c>
      <c r="C87" s="447">
        <f>SUM(C77:C86)</f>
        <v>4198.3141046331784</v>
      </c>
      <c r="D87" s="447">
        <f t="shared" ref="D87:N87" si="30">SUM(D77:D86)</f>
        <v>4159.4943392757732</v>
      </c>
      <c r="E87" s="447">
        <f t="shared" si="30"/>
        <v>4148.1300387012443</v>
      </c>
      <c r="F87" s="447">
        <f t="shared" si="30"/>
        <v>4164.1000988800633</v>
      </c>
      <c r="G87" s="447">
        <f t="shared" si="30"/>
        <v>4172.7936785780194</v>
      </c>
      <c r="H87" s="447">
        <f t="shared" si="30"/>
        <v>4169.0368180471241</v>
      </c>
      <c r="I87" s="447">
        <f t="shared" si="30"/>
        <v>4149.6843641676987</v>
      </c>
      <c r="J87" s="447">
        <f t="shared" si="30"/>
        <v>4163.0994738577501</v>
      </c>
      <c r="K87" s="447">
        <f t="shared" si="30"/>
        <v>4191.1992237350132</v>
      </c>
      <c r="L87" s="447">
        <f t="shared" si="30"/>
        <v>4190.2271752197639</v>
      </c>
      <c r="M87" s="447">
        <f t="shared" si="30"/>
        <v>4174.3152261722607</v>
      </c>
      <c r="N87" s="447">
        <f t="shared" si="30"/>
        <v>4178.6118650621484</v>
      </c>
    </row>
    <row r="88" spans="1:14">
      <c r="A88" s="302">
        <f>SUM(C88:N88)</f>
        <v>0</v>
      </c>
      <c r="C88" s="302">
        <f>SUM(C77:C86)-C87</f>
        <v>0</v>
      </c>
      <c r="D88" s="302">
        <f t="shared" ref="D88:N88" si="31">SUM(D77:D86)-D87</f>
        <v>0</v>
      </c>
      <c r="E88" s="302">
        <f t="shared" si="31"/>
        <v>0</v>
      </c>
      <c r="F88" s="302">
        <f t="shared" si="31"/>
        <v>0</v>
      </c>
      <c r="G88" s="302">
        <f t="shared" si="31"/>
        <v>0</v>
      </c>
      <c r="H88" s="302">
        <f t="shared" si="31"/>
        <v>0</v>
      </c>
      <c r="I88" s="302">
        <f t="shared" si="31"/>
        <v>0</v>
      </c>
      <c r="J88" s="302">
        <f t="shared" si="31"/>
        <v>0</v>
      </c>
      <c r="K88" s="302">
        <f t="shared" si="31"/>
        <v>0</v>
      </c>
      <c r="L88" s="302">
        <f t="shared" si="31"/>
        <v>0</v>
      </c>
      <c r="M88" s="302">
        <f t="shared" si="31"/>
        <v>0</v>
      </c>
      <c r="N88" s="302">
        <f t="shared" si="31"/>
        <v>0</v>
      </c>
    </row>
    <row r="90" spans="1:14">
      <c r="B90" s="334" t="s">
        <v>47</v>
      </c>
      <c r="H90" s="318"/>
    </row>
    <row r="91" spans="1:14">
      <c r="H91" s="318"/>
    </row>
    <row r="92" spans="1:14">
      <c r="B92" s="331" t="str">
        <f t="shared" ref="B92:B103" si="32">B76</f>
        <v>Age group</v>
      </c>
      <c r="C92" s="331" t="str">
        <f t="shared" ref="C92:N92" si="33">C76</f>
        <v>2017/18</v>
      </c>
      <c r="D92" s="331" t="str">
        <f t="shared" si="33"/>
        <v>2018/19</v>
      </c>
      <c r="E92" s="331" t="str">
        <f t="shared" si="33"/>
        <v>2019/20</v>
      </c>
      <c r="F92" s="331" t="str">
        <f t="shared" si="33"/>
        <v>2020/21</v>
      </c>
      <c r="G92" s="331" t="str">
        <f t="shared" si="33"/>
        <v>2021/22</v>
      </c>
      <c r="H92" s="331" t="str">
        <f t="shared" si="33"/>
        <v>2022/23</v>
      </c>
      <c r="I92" s="331" t="str">
        <f t="shared" si="33"/>
        <v>2023/24</v>
      </c>
      <c r="J92" s="331" t="str">
        <f t="shared" si="33"/>
        <v>2024/25</v>
      </c>
      <c r="K92" s="331" t="str">
        <f t="shared" si="33"/>
        <v>2025/26</v>
      </c>
      <c r="L92" s="331" t="str">
        <f t="shared" si="33"/>
        <v>2026/27</v>
      </c>
      <c r="M92" s="331" t="str">
        <f t="shared" si="33"/>
        <v>2027/28</v>
      </c>
      <c r="N92" s="331" t="str">
        <f t="shared" si="33"/>
        <v>2028/29</v>
      </c>
    </row>
    <row r="93" spans="1:14">
      <c r="B93" s="331" t="str">
        <f t="shared" si="32"/>
        <v>20-24</v>
      </c>
      <c r="C93" s="447">
        <f>C59-(0.2*C59)</f>
        <v>121.9552577106577</v>
      </c>
      <c r="D93" s="447">
        <f t="shared" ref="D93:N93" si="34">D59-(0.2*D59)</f>
        <v>218.30509403223942</v>
      </c>
      <c r="E93" s="447">
        <f t="shared" si="34"/>
        <v>287.0403617460496</v>
      </c>
      <c r="F93" s="447">
        <f t="shared" si="34"/>
        <v>342.71960366775266</v>
      </c>
      <c r="G93" s="447">
        <f t="shared" si="34"/>
        <v>375.70176632916252</v>
      </c>
      <c r="H93" s="447">
        <f t="shared" si="34"/>
        <v>393.34535323304272</v>
      </c>
      <c r="I93" s="447">
        <f t="shared" si="34"/>
        <v>399.26315903158854</v>
      </c>
      <c r="J93" s="447">
        <f t="shared" si="34"/>
        <v>409.90249066037268</v>
      </c>
      <c r="K93" s="447">
        <f t="shared" si="34"/>
        <v>420.17191878280374</v>
      </c>
      <c r="L93" s="447">
        <f t="shared" si="34"/>
        <v>418.94597847042616</v>
      </c>
      <c r="M93" s="447">
        <f t="shared" si="34"/>
        <v>412.81992134801169</v>
      </c>
      <c r="N93" s="447">
        <f t="shared" si="34"/>
        <v>412.54068136090126</v>
      </c>
    </row>
    <row r="94" spans="1:14">
      <c r="B94" s="331" t="str">
        <f t="shared" si="32"/>
        <v>25-29</v>
      </c>
      <c r="C94" s="447">
        <f t="shared" ref="C94:C101" si="35">C60+(0.2*C59)-(0.2*C60)</f>
        <v>614.71155993852153</v>
      </c>
      <c r="D94" s="447">
        <f t="shared" ref="D94:N94" si="36">D60+(0.2*D59)-(0.2*D60)</f>
        <v>635.38931516879779</v>
      </c>
      <c r="E94" s="447">
        <f t="shared" si="36"/>
        <v>668.10726702771535</v>
      </c>
      <c r="F94" s="447">
        <f t="shared" si="36"/>
        <v>712.66409212628378</v>
      </c>
      <c r="G94" s="447">
        <f t="shared" si="36"/>
        <v>746.51332093955648</v>
      </c>
      <c r="H94" s="447">
        <f t="shared" si="36"/>
        <v>769.72121550116924</v>
      </c>
      <c r="I94" s="447">
        <f t="shared" si="36"/>
        <v>781.34922450779618</v>
      </c>
      <c r="J94" s="447">
        <f t="shared" si="36"/>
        <v>799.02584064409223</v>
      </c>
      <c r="K94" s="447">
        <f t="shared" si="36"/>
        <v>817.21458078760338</v>
      </c>
      <c r="L94" s="447">
        <f t="shared" si="36"/>
        <v>821.43100588885147</v>
      </c>
      <c r="M94" s="447">
        <f t="shared" si="36"/>
        <v>817.5742195256995</v>
      </c>
      <c r="N94" s="447">
        <f t="shared" si="36"/>
        <v>818.83000256535979</v>
      </c>
    </row>
    <row r="95" spans="1:14">
      <c r="B95" s="331" t="str">
        <f t="shared" si="32"/>
        <v>30-34</v>
      </c>
      <c r="C95" s="447">
        <f t="shared" si="35"/>
        <v>917.09188748121619</v>
      </c>
      <c r="D95" s="447">
        <f t="shared" ref="D95:N95" si="37">D61+(0.2*D60)-(0.2*D61)</f>
        <v>886.9306421917554</v>
      </c>
      <c r="E95" s="447">
        <f t="shared" si="37"/>
        <v>868.72335490342823</v>
      </c>
      <c r="F95" s="447">
        <f t="shared" si="37"/>
        <v>865.90784684364803</v>
      </c>
      <c r="G95" s="447">
        <f t="shared" si="37"/>
        <v>866.55638181595032</v>
      </c>
      <c r="H95" s="447">
        <f t="shared" si="37"/>
        <v>868.91478470577044</v>
      </c>
      <c r="I95" s="447">
        <f t="shared" si="37"/>
        <v>869.89033187301618</v>
      </c>
      <c r="J95" s="447">
        <f t="shared" si="37"/>
        <v>877.64368169643694</v>
      </c>
      <c r="K95" s="447">
        <f t="shared" si="37"/>
        <v>888.64854529808042</v>
      </c>
      <c r="L95" s="447">
        <f t="shared" si="37"/>
        <v>893.56786542009377</v>
      </c>
      <c r="M95" s="447">
        <f t="shared" si="37"/>
        <v>893.92633504146738</v>
      </c>
      <c r="N95" s="447">
        <f t="shared" si="37"/>
        <v>896.56364921606053</v>
      </c>
    </row>
    <row r="96" spans="1:14">
      <c r="B96" s="331" t="str">
        <f t="shared" si="32"/>
        <v>35-39</v>
      </c>
      <c r="C96" s="447">
        <f t="shared" si="35"/>
        <v>895.26278713071065</v>
      </c>
      <c r="D96" s="447">
        <f t="shared" ref="D96:N96" si="38">D62+(0.2*D61)-(0.2*D62)</f>
        <v>895.21050611253577</v>
      </c>
      <c r="E96" s="447">
        <f t="shared" si="38"/>
        <v>889.65748979945988</v>
      </c>
      <c r="F96" s="447">
        <f t="shared" si="38"/>
        <v>884.88719101647973</v>
      </c>
      <c r="G96" s="447">
        <f t="shared" si="38"/>
        <v>877.01210813843636</v>
      </c>
      <c r="H96" s="447">
        <f t="shared" si="38"/>
        <v>868.5403930058983</v>
      </c>
      <c r="I96" s="447">
        <f t="shared" si="38"/>
        <v>859.47104281369832</v>
      </c>
      <c r="J96" s="447">
        <f t="shared" si="38"/>
        <v>856.25331608790793</v>
      </c>
      <c r="K96" s="447">
        <f t="shared" si="38"/>
        <v>856.71623431450053</v>
      </c>
      <c r="L96" s="447">
        <f t="shared" si="38"/>
        <v>854.81087744785373</v>
      </c>
      <c r="M96" s="447">
        <f t="shared" si="38"/>
        <v>851.65663611618106</v>
      </c>
      <c r="N96" s="447">
        <f t="shared" si="38"/>
        <v>851.43782547578985</v>
      </c>
    </row>
    <row r="97" spans="1:14">
      <c r="B97" s="331" t="str">
        <f t="shared" si="32"/>
        <v>40-44</v>
      </c>
      <c r="C97" s="447">
        <f t="shared" si="35"/>
        <v>826.83787213695564</v>
      </c>
      <c r="D97" s="447">
        <f t="shared" ref="D97:N97" si="39">D63+(0.2*D62)-(0.2*D63)</f>
        <v>829.05528708823056</v>
      </c>
      <c r="E97" s="447">
        <f t="shared" si="39"/>
        <v>830.66645044806057</v>
      </c>
      <c r="F97" s="447">
        <f t="shared" si="39"/>
        <v>832.90373229003671</v>
      </c>
      <c r="G97" s="447">
        <f t="shared" si="39"/>
        <v>830.35743639515704</v>
      </c>
      <c r="H97" s="447">
        <f t="shared" si="39"/>
        <v>824.71303252485973</v>
      </c>
      <c r="I97" s="447">
        <f t="shared" si="39"/>
        <v>816.29232686852174</v>
      </c>
      <c r="J97" s="447">
        <f t="shared" si="39"/>
        <v>811.16001254252944</v>
      </c>
      <c r="K97" s="447">
        <f t="shared" si="39"/>
        <v>807.96939983261404</v>
      </c>
      <c r="L97" s="447">
        <f t="shared" si="39"/>
        <v>802.1710445010433</v>
      </c>
      <c r="M97" s="447">
        <f t="shared" si="39"/>
        <v>795.35871374658291</v>
      </c>
      <c r="N97" s="447">
        <f t="shared" si="39"/>
        <v>791.46799307874744</v>
      </c>
    </row>
    <row r="98" spans="1:14">
      <c r="B98" s="331" t="str">
        <f t="shared" si="32"/>
        <v>45-49</v>
      </c>
      <c r="C98" s="447">
        <f t="shared" si="35"/>
        <v>787.57939550908145</v>
      </c>
      <c r="D98" s="447">
        <f t="shared" ref="D98:N98" si="40">D64+(0.2*D63)-(0.2*D64)</f>
        <v>770.92112062290516</v>
      </c>
      <c r="E98" s="447">
        <f t="shared" si="40"/>
        <v>759.12536631289038</v>
      </c>
      <c r="F98" s="447">
        <f t="shared" si="40"/>
        <v>752.32667762516473</v>
      </c>
      <c r="G98" s="447">
        <f t="shared" si="40"/>
        <v>744.93127962689948</v>
      </c>
      <c r="H98" s="447">
        <f t="shared" si="40"/>
        <v>737.19263092492088</v>
      </c>
      <c r="I98" s="447">
        <f t="shared" si="40"/>
        <v>728.31517553135336</v>
      </c>
      <c r="J98" s="447">
        <f t="shared" si="40"/>
        <v>722.54877982796836</v>
      </c>
      <c r="K98" s="447">
        <f t="shared" si="40"/>
        <v>718.37780543304234</v>
      </c>
      <c r="L98" s="447">
        <f t="shared" si="40"/>
        <v>711.86855131084394</v>
      </c>
      <c r="M98" s="447">
        <f t="shared" si="40"/>
        <v>704.27625805762557</v>
      </c>
      <c r="N98" s="447">
        <f t="shared" si="40"/>
        <v>698.89853040803439</v>
      </c>
    </row>
    <row r="99" spans="1:14">
      <c r="B99" s="331" t="str">
        <f t="shared" si="32"/>
        <v>50-54</v>
      </c>
      <c r="C99" s="447">
        <f t="shared" si="35"/>
        <v>674.07854874399516</v>
      </c>
      <c r="D99" s="447">
        <f t="shared" ref="D99:N99" si="41">D65+(0.2*D64)-(0.2*D65)</f>
        <v>655.63490725746954</v>
      </c>
      <c r="E99" s="447">
        <f t="shared" si="41"/>
        <v>639.42639365167429</v>
      </c>
      <c r="F99" s="447">
        <f t="shared" si="41"/>
        <v>626.79277169361058</v>
      </c>
      <c r="G99" s="447">
        <f t="shared" si="41"/>
        <v>614.35968901453407</v>
      </c>
      <c r="H99" s="447">
        <f t="shared" si="41"/>
        <v>602.79064408689078</v>
      </c>
      <c r="I99" s="447">
        <f t="shared" si="41"/>
        <v>591.52697762901607</v>
      </c>
      <c r="J99" s="447">
        <f t="shared" si="41"/>
        <v>583.63617611238578</v>
      </c>
      <c r="K99" s="447">
        <f t="shared" si="41"/>
        <v>577.73612009056399</v>
      </c>
      <c r="L99" s="447">
        <f t="shared" si="41"/>
        <v>570.61846833140692</v>
      </c>
      <c r="M99" s="447">
        <f t="shared" si="41"/>
        <v>563.04233135408981</v>
      </c>
      <c r="N99" s="447">
        <f t="shared" si="41"/>
        <v>557.35601489543637</v>
      </c>
    </row>
    <row r="100" spans="1:14">
      <c r="B100" s="331" t="str">
        <f t="shared" si="32"/>
        <v>55-59</v>
      </c>
      <c r="C100" s="447">
        <f t="shared" si="35"/>
        <v>482.64607254914722</v>
      </c>
      <c r="D100" s="447">
        <f t="shared" ref="D100:N100" si="42">D66+(0.2*D65)-(0.2*D66)</f>
        <v>435.73774112290567</v>
      </c>
      <c r="E100" s="447">
        <f t="shared" si="42"/>
        <v>403.94289118804448</v>
      </c>
      <c r="F100" s="447">
        <f t="shared" si="42"/>
        <v>382.57956556630847</v>
      </c>
      <c r="G100" s="447">
        <f t="shared" si="42"/>
        <v>365.99262319689382</v>
      </c>
      <c r="H100" s="447">
        <f t="shared" si="42"/>
        <v>352.77841305800882</v>
      </c>
      <c r="I100" s="447">
        <f t="shared" si="42"/>
        <v>341.59722599707101</v>
      </c>
      <c r="J100" s="447">
        <f t="shared" si="42"/>
        <v>333.96057237851892</v>
      </c>
      <c r="K100" s="447">
        <f t="shared" si="42"/>
        <v>328.42461848756415</v>
      </c>
      <c r="L100" s="447">
        <f t="shared" si="42"/>
        <v>322.55643199002787</v>
      </c>
      <c r="M100" s="447">
        <f t="shared" si="42"/>
        <v>316.82663605218704</v>
      </c>
      <c r="N100" s="447">
        <f t="shared" si="42"/>
        <v>312.71827496315956</v>
      </c>
    </row>
    <row r="101" spans="1:14">
      <c r="B101" s="331" t="str">
        <f t="shared" si="32"/>
        <v>60-64</v>
      </c>
      <c r="C101" s="447">
        <f t="shared" si="35"/>
        <v>192.64130583137199</v>
      </c>
      <c r="D101" s="447">
        <f t="shared" ref="D101:N101" si="43">D67+(0.2*D66)-(0.2*D67)</f>
        <v>184.58536145295153</v>
      </c>
      <c r="E101" s="447">
        <f t="shared" si="43"/>
        <v>173.34544091485347</v>
      </c>
      <c r="F101" s="447">
        <f t="shared" si="43"/>
        <v>163.29479546194048</v>
      </c>
      <c r="G101" s="447">
        <f t="shared" si="43"/>
        <v>154.21615444226777</v>
      </c>
      <c r="H101" s="447">
        <f t="shared" si="43"/>
        <v>146.53595975056811</v>
      </c>
      <c r="I101" s="447">
        <f t="shared" si="43"/>
        <v>139.99144452983296</v>
      </c>
      <c r="J101" s="447">
        <f t="shared" si="43"/>
        <v>135.57369890464128</v>
      </c>
      <c r="K101" s="447">
        <f t="shared" si="43"/>
        <v>132.4265999099741</v>
      </c>
      <c r="L101" s="447">
        <f t="shared" si="43"/>
        <v>129.17358400614199</v>
      </c>
      <c r="M101" s="447">
        <f t="shared" si="43"/>
        <v>126.12041239572281</v>
      </c>
      <c r="N101" s="447">
        <f t="shared" si="43"/>
        <v>124.07793914972757</v>
      </c>
    </row>
    <row r="102" spans="1:14">
      <c r="B102" s="331" t="str">
        <f t="shared" si="32"/>
        <v>65 plus</v>
      </c>
      <c r="C102" s="447">
        <f>C68+(0.2*C67)</f>
        <v>35.581411581699101</v>
      </c>
      <c r="D102" s="447">
        <f t="shared" ref="D102:N102" si="44">D68+(0.2*D67)</f>
        <v>52.672959232818741</v>
      </c>
      <c r="E102" s="447">
        <f t="shared" si="44"/>
        <v>62.548517848200099</v>
      </c>
      <c r="F102" s="447">
        <f t="shared" si="44"/>
        <v>67.603664044880219</v>
      </c>
      <c r="G102" s="447">
        <f t="shared" si="44"/>
        <v>69.213106665921046</v>
      </c>
      <c r="H102" s="447">
        <f t="shared" si="44"/>
        <v>68.853469948921386</v>
      </c>
      <c r="I102" s="447">
        <f t="shared" si="44"/>
        <v>67.383605354295057</v>
      </c>
      <c r="J102" s="447">
        <f t="shared" si="44"/>
        <v>65.873973637556247</v>
      </c>
      <c r="K102" s="447">
        <f t="shared" si="44"/>
        <v>64.462463343419515</v>
      </c>
      <c r="L102" s="447">
        <f t="shared" si="44"/>
        <v>62.824495905595242</v>
      </c>
      <c r="M102" s="447">
        <f t="shared" si="44"/>
        <v>61.156999251770316</v>
      </c>
      <c r="N102" s="447">
        <f t="shared" si="44"/>
        <v>59.869360892500481</v>
      </c>
    </row>
    <row r="103" spans="1:14">
      <c r="B103" s="331" t="str">
        <f t="shared" si="32"/>
        <v>Total</v>
      </c>
      <c r="C103" s="447">
        <f>SUM(C93:C102)</f>
        <v>5548.3860986133559</v>
      </c>
      <c r="D103" s="447">
        <f t="shared" ref="D103:N103" si="45">SUM(D93:D102)</f>
        <v>5564.4429342826088</v>
      </c>
      <c r="E103" s="447">
        <f t="shared" si="45"/>
        <v>5582.5835338403758</v>
      </c>
      <c r="F103" s="447">
        <f t="shared" si="45"/>
        <v>5631.6799403361056</v>
      </c>
      <c r="G103" s="447">
        <f t="shared" si="45"/>
        <v>5644.8538665647784</v>
      </c>
      <c r="H103" s="447">
        <f t="shared" si="45"/>
        <v>5633.3858967400511</v>
      </c>
      <c r="I103" s="447">
        <f t="shared" si="45"/>
        <v>5595.0805141361898</v>
      </c>
      <c r="J103" s="447">
        <f t="shared" si="45"/>
        <v>5595.5785424924088</v>
      </c>
      <c r="K103" s="447">
        <f t="shared" si="45"/>
        <v>5612.1482862801668</v>
      </c>
      <c r="L103" s="447">
        <f t="shared" si="45"/>
        <v>5587.9683032722842</v>
      </c>
      <c r="M103" s="447">
        <f t="shared" si="45"/>
        <v>5542.7584628893383</v>
      </c>
      <c r="N103" s="447">
        <f t="shared" si="45"/>
        <v>5523.7602720057166</v>
      </c>
    </row>
    <row r="104" spans="1:14">
      <c r="A104" s="302">
        <f>SUM(C104:N104)</f>
        <v>0</v>
      </c>
      <c r="C104" s="302">
        <f>SUM(C93:C102)-C103</f>
        <v>0</v>
      </c>
      <c r="D104" s="302">
        <f t="shared" ref="D104:N104" si="46">SUM(D93:D102)-D103</f>
        <v>0</v>
      </c>
      <c r="E104" s="302">
        <f t="shared" si="46"/>
        <v>0</v>
      </c>
      <c r="F104" s="302">
        <f t="shared" si="46"/>
        <v>0</v>
      </c>
      <c r="G104" s="302">
        <f t="shared" si="46"/>
        <v>0</v>
      </c>
      <c r="H104" s="302">
        <f t="shared" si="46"/>
        <v>0</v>
      </c>
      <c r="I104" s="302">
        <f t="shared" si="46"/>
        <v>0</v>
      </c>
      <c r="J104" s="302">
        <f t="shared" si="46"/>
        <v>0</v>
      </c>
      <c r="K104" s="302">
        <f t="shared" si="46"/>
        <v>0</v>
      </c>
      <c r="L104" s="302">
        <f t="shared" si="46"/>
        <v>0</v>
      </c>
      <c r="M104" s="302">
        <f t="shared" si="46"/>
        <v>0</v>
      </c>
      <c r="N104" s="302">
        <f t="shared" si="46"/>
        <v>0</v>
      </c>
    </row>
    <row r="106" spans="1:14" ht="15.75">
      <c r="B106" s="333" t="s">
        <v>164</v>
      </c>
      <c r="H106" s="318"/>
    </row>
    <row r="107" spans="1:14">
      <c r="H107" s="318"/>
    </row>
    <row r="108" spans="1:14">
      <c r="B108" s="334" t="s">
        <v>46</v>
      </c>
      <c r="H108" s="318"/>
    </row>
    <row r="109" spans="1:14">
      <c r="H109" s="318"/>
    </row>
    <row r="110" spans="1:14">
      <c r="B110" s="331" t="str">
        <f t="shared" ref="B110:B121" si="47">B76</f>
        <v>Age group</v>
      </c>
      <c r="C110" s="331" t="str">
        <f t="shared" ref="C110:N110" si="48">C76</f>
        <v>2017/18</v>
      </c>
      <c r="D110" s="331" t="str">
        <f t="shared" si="48"/>
        <v>2018/19</v>
      </c>
      <c r="E110" s="331" t="str">
        <f t="shared" si="48"/>
        <v>2019/20</v>
      </c>
      <c r="F110" s="331" t="str">
        <f t="shared" si="48"/>
        <v>2020/21</v>
      </c>
      <c r="G110" s="331" t="str">
        <f t="shared" si="48"/>
        <v>2021/22</v>
      </c>
      <c r="H110" s="331" t="str">
        <f t="shared" si="48"/>
        <v>2022/23</v>
      </c>
      <c r="I110" s="331" t="str">
        <f t="shared" si="48"/>
        <v>2023/24</v>
      </c>
      <c r="J110" s="331" t="str">
        <f t="shared" si="48"/>
        <v>2024/25</v>
      </c>
      <c r="K110" s="331" t="str">
        <f t="shared" si="48"/>
        <v>2025/26</v>
      </c>
      <c r="L110" s="331" t="str">
        <f t="shared" si="48"/>
        <v>2026/27</v>
      </c>
      <c r="M110" s="331" t="str">
        <f t="shared" si="48"/>
        <v>2027/28</v>
      </c>
      <c r="N110" s="331" t="str">
        <f t="shared" si="48"/>
        <v>2028/29</v>
      </c>
    </row>
    <row r="111" spans="1:14">
      <c r="B111" s="331" t="str">
        <f t="shared" si="47"/>
        <v>20-24</v>
      </c>
      <c r="C111" s="447">
        <f>C77*Group_3_rates!E74</f>
        <v>4.3109977537745907</v>
      </c>
      <c r="D111" s="447">
        <f>D77*Group_3_rates!F74</f>
        <v>14.718019432872399</v>
      </c>
      <c r="E111" s="447">
        <f>E77*Group_3_rates!G74</f>
        <v>23.087158752369497</v>
      </c>
      <c r="F111" s="447">
        <f>F77*Group_3_rates!H74</f>
        <v>28.67511342935002</v>
      </c>
      <c r="G111" s="447">
        <f>G77*Group_3_rates!I74</f>
        <v>32.425073521251505</v>
      </c>
      <c r="H111" s="447">
        <f>H77*Group_3_rates!J74</f>
        <v>34.5594398561093</v>
      </c>
      <c r="I111" s="447">
        <f>I77*Group_3_rates!K74</f>
        <v>35.471456163838546</v>
      </c>
      <c r="J111" s="447">
        <f>J77*Group_3_rates!L74</f>
        <v>36.702282948943207</v>
      </c>
      <c r="K111" s="447">
        <f>K77*Group_3_rates!M74</f>
        <v>37.821923254883124</v>
      </c>
      <c r="L111" s="447">
        <f>L77*Group_3_rates!N74</f>
        <v>37.841780949507644</v>
      </c>
      <c r="M111" s="447">
        <f>M77*Group_3_rates!O74</f>
        <v>37.377169575959066</v>
      </c>
      <c r="N111" s="447">
        <f>N77*Group_3_rates!P74</f>
        <v>37.416533740569733</v>
      </c>
    </row>
    <row r="112" spans="1:14">
      <c r="B112" s="331" t="str">
        <f t="shared" si="47"/>
        <v>25-29</v>
      </c>
      <c r="C112" s="447">
        <f>C78*Group_3_rates!E75</f>
        <v>25.170865271062368</v>
      </c>
      <c r="D112" s="447">
        <f>D78*Group_3_rates!F75</f>
        <v>29.89763257874484</v>
      </c>
      <c r="E112" s="447">
        <f>E78*Group_3_rates!G75</f>
        <v>36.921004148467262</v>
      </c>
      <c r="F112" s="447">
        <f>F78*Group_3_rates!H75</f>
        <v>42.065319945118532</v>
      </c>
      <c r="G112" s="447">
        <f>G78*Group_3_rates!I75</f>
        <v>46.657909395764221</v>
      </c>
      <c r="H112" s="447">
        <f>H78*Group_3_rates!J75</f>
        <v>49.998930880826194</v>
      </c>
      <c r="I112" s="447">
        <f>I78*Group_3_rates!K75</f>
        <v>52.124922251080747</v>
      </c>
      <c r="J112" s="447">
        <f>J78*Group_3_rates!L75</f>
        <v>54.379001688237359</v>
      </c>
      <c r="K112" s="447">
        <f>K78*Group_3_rates!M75</f>
        <v>56.434906870085271</v>
      </c>
      <c r="L112" s="447">
        <f>L78*Group_3_rates!N75</f>
        <v>57.312042061304368</v>
      </c>
      <c r="M112" s="447">
        <f>M78*Group_3_rates!O75</f>
        <v>57.472389464885346</v>
      </c>
      <c r="N112" s="447">
        <f>N78*Group_3_rates!P75</f>
        <v>57.890104497165517</v>
      </c>
    </row>
    <row r="113" spans="1:14">
      <c r="B113" s="331" t="str">
        <f t="shared" si="47"/>
        <v>30-34</v>
      </c>
      <c r="C113" s="447">
        <f>C79*Group_3_rates!E76</f>
        <v>36.008624652372063</v>
      </c>
      <c r="D113" s="447">
        <f>D79*Group_3_rates!F76</f>
        <v>34.243479783627571</v>
      </c>
      <c r="E113" s="447">
        <f>E79*Group_3_rates!G76</f>
        <v>36.065019764767925</v>
      </c>
      <c r="F113" s="447">
        <f>F79*Group_3_rates!H76</f>
        <v>36.769434678141444</v>
      </c>
      <c r="G113" s="447">
        <f>G79*Group_3_rates!I76</f>
        <v>38.390962022874859</v>
      </c>
      <c r="H113" s="447">
        <f>H79*Group_3_rates!J76</f>
        <v>39.988049647974563</v>
      </c>
      <c r="I113" s="447">
        <f>I79*Group_3_rates!K76</f>
        <v>41.361921883031769</v>
      </c>
      <c r="J113" s="447">
        <f>J79*Group_3_rates!L76</f>
        <v>42.928638176973642</v>
      </c>
      <c r="K113" s="447">
        <f>K79*Group_3_rates!M76</f>
        <v>44.507560062953573</v>
      </c>
      <c r="L113" s="447">
        <f>L79*Group_3_rates!N76</f>
        <v>45.61739129942066</v>
      </c>
      <c r="M113" s="447">
        <f>M79*Group_3_rates!O76</f>
        <v>46.348690356923768</v>
      </c>
      <c r="N113" s="447">
        <f>N79*Group_3_rates!P76</f>
        <v>47.07615137033283</v>
      </c>
    </row>
    <row r="114" spans="1:14">
      <c r="B114" s="331" t="str">
        <f t="shared" si="47"/>
        <v>35-39</v>
      </c>
      <c r="C114" s="447">
        <f>C80*Group_3_rates!E77</f>
        <v>43.492072165091983</v>
      </c>
      <c r="D114" s="447">
        <f>D80*Group_3_rates!F77</f>
        <v>41.016943671372893</v>
      </c>
      <c r="E114" s="447">
        <f>E80*Group_3_rates!G77</f>
        <v>41.88870754598932</v>
      </c>
      <c r="F114" s="447">
        <f>F80*Group_3_rates!H77</f>
        <v>40.811307049997914</v>
      </c>
      <c r="G114" s="447">
        <f>G80*Group_3_rates!I77</f>
        <v>40.749765317462526</v>
      </c>
      <c r="H114" s="447">
        <f>H80*Group_3_rates!J77</f>
        <v>40.857357172446093</v>
      </c>
      <c r="I114" s="447">
        <f>I80*Group_3_rates!K77</f>
        <v>41.061316563971239</v>
      </c>
      <c r="J114" s="447">
        <f>J80*Group_3_rates!L77</f>
        <v>41.639953631742387</v>
      </c>
      <c r="K114" s="447">
        <f>K80*Group_3_rates!M77</f>
        <v>42.434997181194007</v>
      </c>
      <c r="L114" s="447">
        <f>L80*Group_3_rates!N77</f>
        <v>43.094866288325058</v>
      </c>
      <c r="M114" s="447">
        <f>M80*Group_3_rates!O77</f>
        <v>43.651760387414633</v>
      </c>
      <c r="N114" s="447">
        <f>N80*Group_3_rates!P77</f>
        <v>44.308641783232439</v>
      </c>
    </row>
    <row r="115" spans="1:14">
      <c r="B115" s="331" t="str">
        <f t="shared" si="47"/>
        <v>40-44</v>
      </c>
      <c r="C115" s="447">
        <f>C81*Group_3_rates!E78</f>
        <v>50.14550237778564</v>
      </c>
      <c r="D115" s="447">
        <f>D81*Group_3_rates!F78</f>
        <v>47.360061440748815</v>
      </c>
      <c r="E115" s="447">
        <f>E81*Group_3_rates!G78</f>
        <v>48.346200960739104</v>
      </c>
      <c r="F115" s="447">
        <f>F81*Group_3_rates!H78</f>
        <v>46.784514921414491</v>
      </c>
      <c r="G115" s="447">
        <f>G81*Group_3_rates!I78</f>
        <v>46.168375725181455</v>
      </c>
      <c r="H115" s="447">
        <f>H81*Group_3_rates!J78</f>
        <v>45.56592913443361</v>
      </c>
      <c r="I115" s="447">
        <f>I81*Group_3_rates!K78</f>
        <v>44.985494837060926</v>
      </c>
      <c r="J115" s="447">
        <f>J81*Group_3_rates!L78</f>
        <v>44.757349056022413</v>
      </c>
      <c r="K115" s="447">
        <f>K81*Group_3_rates!M78</f>
        <v>44.77597285842792</v>
      </c>
      <c r="L115" s="447">
        <f>L81*Group_3_rates!N78</f>
        <v>44.747067904587063</v>
      </c>
      <c r="M115" s="447">
        <f>M81*Group_3_rates!O78</f>
        <v>44.733014620832186</v>
      </c>
      <c r="N115" s="447">
        <f>N81*Group_3_rates!P78</f>
        <v>44.935368230589695</v>
      </c>
    </row>
    <row r="116" spans="1:14">
      <c r="B116" s="331" t="str">
        <f t="shared" si="47"/>
        <v>45-49</v>
      </c>
      <c r="C116" s="447">
        <f>C82*Group_3_rates!E79</f>
        <v>57.169989216829471</v>
      </c>
      <c r="D116" s="447">
        <f>D82*Group_3_rates!F79</f>
        <v>52.655041892921361</v>
      </c>
      <c r="E116" s="447">
        <f>E82*Group_3_rates!G79</f>
        <v>52.744186708857669</v>
      </c>
      <c r="F116" s="447">
        <f>F82*Group_3_rates!H79</f>
        <v>50.250096997437907</v>
      </c>
      <c r="G116" s="447">
        <f>G82*Group_3_rates!I79</f>
        <v>48.975155961610362</v>
      </c>
      <c r="H116" s="447">
        <f>H82*Group_3_rates!J79</f>
        <v>47.800115066504659</v>
      </c>
      <c r="I116" s="447">
        <f>I82*Group_3_rates!K79</f>
        <v>46.680704307728412</v>
      </c>
      <c r="J116" s="447">
        <f>J82*Group_3_rates!L79</f>
        <v>45.885741544772017</v>
      </c>
      <c r="K116" s="447">
        <f>K82*Group_3_rates!M79</f>
        <v>45.318759562594344</v>
      </c>
      <c r="L116" s="447">
        <f>L82*Group_3_rates!N79</f>
        <v>44.725671629016162</v>
      </c>
      <c r="M116" s="447">
        <f>M82*Group_3_rates!O79</f>
        <v>44.172643516784831</v>
      </c>
      <c r="N116" s="447">
        <f>N82*Group_3_rates!P79</f>
        <v>43.852067745707771</v>
      </c>
    </row>
    <row r="117" spans="1:14">
      <c r="B117" s="331" t="str">
        <f t="shared" si="47"/>
        <v>50-54</v>
      </c>
      <c r="C117" s="447">
        <f>C83*Group_3_rates!E80</f>
        <v>56.654197384187242</v>
      </c>
      <c r="D117" s="447">
        <f>D83*Group_3_rates!F80</f>
        <v>50.927441611070179</v>
      </c>
      <c r="E117" s="447">
        <f>E83*Group_3_rates!G80</f>
        <v>49.834922820390936</v>
      </c>
      <c r="F117" s="447">
        <f>F83*Group_3_rates!H80</f>
        <v>46.436029777536376</v>
      </c>
      <c r="G117" s="447">
        <f>G83*Group_3_rates!I80</f>
        <v>44.39581141050278</v>
      </c>
      <c r="H117" s="447">
        <f>H83*Group_3_rates!J80</f>
        <v>42.622966025915801</v>
      </c>
      <c r="I117" s="447">
        <f>I83*Group_3_rates!K80</f>
        <v>41.042758743724249</v>
      </c>
      <c r="J117" s="447">
        <f>J83*Group_3_rates!L80</f>
        <v>39.82223084202235</v>
      </c>
      <c r="K117" s="447">
        <f>K83*Group_3_rates!M80</f>
        <v>38.855967812322277</v>
      </c>
      <c r="L117" s="447">
        <f>L83*Group_3_rates!N80</f>
        <v>37.927646917456428</v>
      </c>
      <c r="M117" s="447">
        <f>M83*Group_3_rates!O80</f>
        <v>37.073698475149818</v>
      </c>
      <c r="N117" s="447">
        <f>N83*Group_3_rates!P80</f>
        <v>36.432373855929292</v>
      </c>
    </row>
    <row r="118" spans="1:14">
      <c r="B118" s="331" t="str">
        <f t="shared" si="47"/>
        <v>55-59</v>
      </c>
      <c r="C118" s="447">
        <f>C84*Group_3_rates!E81</f>
        <v>27.479309952107606</v>
      </c>
      <c r="D118" s="447">
        <f>D84*Group_3_rates!F81</f>
        <v>22.551971604646369</v>
      </c>
      <c r="E118" s="447">
        <f>E84*Group_3_rates!G81</f>
        <v>20.593436754019645</v>
      </c>
      <c r="F118" s="447">
        <f>F84*Group_3_rates!H81</f>
        <v>18.236817716757269</v>
      </c>
      <c r="G118" s="447">
        <f>G84*Group_3_rates!I81</f>
        <v>16.776147671803646</v>
      </c>
      <c r="H118" s="447">
        <f>H84*Group_3_rates!J81</f>
        <v>15.644075008203158</v>
      </c>
      <c r="I118" s="447">
        <f>I84*Group_3_rates!K81</f>
        <v>14.73209482104345</v>
      </c>
      <c r="J118" s="447">
        <f>J84*Group_3_rates!L81</f>
        <v>14.058198680552957</v>
      </c>
      <c r="K118" s="447">
        <f>K84*Group_3_rates!M81</f>
        <v>13.541524027267611</v>
      </c>
      <c r="L118" s="447">
        <f>L84*Group_3_rates!N81</f>
        <v>13.072700072952017</v>
      </c>
      <c r="M118" s="447">
        <f>M84*Group_3_rates!O81</f>
        <v>12.657623795361895</v>
      </c>
      <c r="N118" s="447">
        <f>N84*Group_3_rates!P81</f>
        <v>12.34378200836667</v>
      </c>
    </row>
    <row r="119" spans="1:14">
      <c r="B119" s="331" t="str">
        <f t="shared" si="47"/>
        <v>60-64</v>
      </c>
      <c r="C119" s="447">
        <f>C85*Group_3_rates!E82</f>
        <v>11.075829523878813</v>
      </c>
      <c r="D119" s="447">
        <f>D85*Group_3_rates!F82</f>
        <v>10.200245136766821</v>
      </c>
      <c r="E119" s="447">
        <f>E85*Group_3_rates!G82</f>
        <v>9.7036652045041887</v>
      </c>
      <c r="F119" s="447">
        <f>F85*Group_3_rates!H82</f>
        <v>8.6433198073401023</v>
      </c>
      <c r="G119" s="447">
        <f>G85*Group_3_rates!I82</f>
        <v>7.8671573604943434</v>
      </c>
      <c r="H119" s="447">
        <f>H85*Group_3_rates!J82</f>
        <v>7.2141067529649101</v>
      </c>
      <c r="I119" s="447">
        <f>I85*Group_3_rates!K82</f>
        <v>6.673214955572301</v>
      </c>
      <c r="J119" s="447">
        <f>J85*Group_3_rates!L82</f>
        <v>6.2747485266972252</v>
      </c>
      <c r="K119" s="447">
        <f>K85*Group_3_rates!M82</f>
        <v>5.9732685234016456</v>
      </c>
      <c r="L119" s="447">
        <f>L85*Group_3_rates!N82</f>
        <v>5.7036325323927359</v>
      </c>
      <c r="M119" s="447">
        <f>M85*Group_3_rates!O82</f>
        <v>5.4701839648219215</v>
      </c>
      <c r="N119" s="447">
        <f>N85*Group_3_rates!P82</f>
        <v>5.2994929276409906</v>
      </c>
    </row>
    <row r="120" spans="1:14">
      <c r="B120" s="331" t="str">
        <f t="shared" si="47"/>
        <v>65 plus</v>
      </c>
      <c r="C120" s="447">
        <f>C86*Group_3_rates!E83</f>
        <v>4.9259043503707085</v>
      </c>
      <c r="D120" s="447">
        <f>D86*Group_3_rates!F83</f>
        <v>5.5473077418807364</v>
      </c>
      <c r="E120" s="447">
        <f>E86*Group_3_rates!G83</f>
        <v>6.1728576799394164</v>
      </c>
      <c r="F120" s="447">
        <f>F86*Group_3_rates!H83</f>
        <v>6.1090488916741466</v>
      </c>
      <c r="G120" s="447">
        <f>G86*Group_3_rates!I83</f>
        <v>5.9456262422847814</v>
      </c>
      <c r="H120" s="447">
        <f>H86*Group_3_rates!J83</f>
        <v>5.6616934094341902</v>
      </c>
      <c r="I120" s="447">
        <f>I86*Group_3_rates!K83</f>
        <v>5.329597302281762</v>
      </c>
      <c r="J120" s="447">
        <f>J86*Group_3_rates!L83</f>
        <v>5.0288518656306715</v>
      </c>
      <c r="K120" s="447">
        <f>K86*Group_3_rates!M83</f>
        <v>4.7680397548555646</v>
      </c>
      <c r="L120" s="447">
        <f>L86*Group_3_rates!N83</f>
        <v>4.5215630283159145</v>
      </c>
      <c r="M120" s="447">
        <f>M86*Group_3_rates!O83</f>
        <v>4.2994863698232741</v>
      </c>
      <c r="N120" s="447">
        <f>N86*Group_3_rates!P83</f>
        <v>4.1256659583179269</v>
      </c>
    </row>
    <row r="121" spans="1:14">
      <c r="B121" s="331" t="str">
        <f t="shared" si="47"/>
        <v>Total</v>
      </c>
      <c r="C121" s="447">
        <f>SUM(C111:C120)</f>
        <v>316.43329264746052</v>
      </c>
      <c r="D121" s="447">
        <f t="shared" ref="D121:N121" si="49">SUM(D111:D120)</f>
        <v>309.118144894652</v>
      </c>
      <c r="E121" s="447">
        <f t="shared" si="49"/>
        <v>325.35716034004497</v>
      </c>
      <c r="F121" s="447">
        <f t="shared" si="49"/>
        <v>324.78100321476819</v>
      </c>
      <c r="G121" s="447">
        <f t="shared" si="49"/>
        <v>328.35198462923046</v>
      </c>
      <c r="H121" s="447">
        <f t="shared" si="49"/>
        <v>329.9126629548125</v>
      </c>
      <c r="I121" s="447">
        <f t="shared" si="49"/>
        <v>329.46348182933338</v>
      </c>
      <c r="J121" s="447">
        <f t="shared" si="49"/>
        <v>331.47699696159424</v>
      </c>
      <c r="K121" s="447">
        <f t="shared" si="49"/>
        <v>334.43291990798531</v>
      </c>
      <c r="L121" s="447">
        <f t="shared" si="49"/>
        <v>334.56436268327809</v>
      </c>
      <c r="M121" s="447">
        <f t="shared" si="49"/>
        <v>333.25666052795668</v>
      </c>
      <c r="N121" s="447">
        <f t="shared" si="49"/>
        <v>333.68018211785289</v>
      </c>
    </row>
    <row r="122" spans="1:14">
      <c r="A122" s="302">
        <f>SUM(C122:N122)</f>
        <v>0</v>
      </c>
      <c r="C122" s="302">
        <f>SUM(C111:C120)-C121</f>
        <v>0</v>
      </c>
      <c r="D122" s="302">
        <f t="shared" ref="D122:N122" si="50">SUM(D111:D120)-D121</f>
        <v>0</v>
      </c>
      <c r="E122" s="302">
        <f t="shared" si="50"/>
        <v>0</v>
      </c>
      <c r="F122" s="302">
        <f t="shared" si="50"/>
        <v>0</v>
      </c>
      <c r="G122" s="302">
        <f t="shared" si="50"/>
        <v>0</v>
      </c>
      <c r="H122" s="302">
        <f t="shared" si="50"/>
        <v>0</v>
      </c>
      <c r="I122" s="302">
        <f t="shared" si="50"/>
        <v>0</v>
      </c>
      <c r="J122" s="302">
        <f t="shared" si="50"/>
        <v>0</v>
      </c>
      <c r="K122" s="302">
        <f t="shared" si="50"/>
        <v>0</v>
      </c>
      <c r="L122" s="302">
        <f t="shared" si="50"/>
        <v>0</v>
      </c>
      <c r="M122" s="302">
        <f t="shared" si="50"/>
        <v>0</v>
      </c>
      <c r="N122" s="302">
        <f t="shared" si="50"/>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1">B110</f>
        <v>Age group</v>
      </c>
      <c r="C126" s="331" t="str">
        <f t="shared" ref="C126:N126" si="52">C110</f>
        <v>2017/18</v>
      </c>
      <c r="D126" s="331" t="str">
        <f t="shared" si="52"/>
        <v>2018/19</v>
      </c>
      <c r="E126" s="331" t="str">
        <f t="shared" si="52"/>
        <v>2019/20</v>
      </c>
      <c r="F126" s="331" t="str">
        <f t="shared" si="52"/>
        <v>2020/21</v>
      </c>
      <c r="G126" s="331" t="str">
        <f t="shared" si="52"/>
        <v>2021/22</v>
      </c>
      <c r="H126" s="331" t="str">
        <f t="shared" si="52"/>
        <v>2022/23</v>
      </c>
      <c r="I126" s="331" t="str">
        <f t="shared" si="52"/>
        <v>2023/24</v>
      </c>
      <c r="J126" s="331" t="str">
        <f t="shared" si="52"/>
        <v>2024/25</v>
      </c>
      <c r="K126" s="331" t="str">
        <f t="shared" si="52"/>
        <v>2025/26</v>
      </c>
      <c r="L126" s="331" t="str">
        <f t="shared" si="52"/>
        <v>2026/27</v>
      </c>
      <c r="M126" s="331" t="str">
        <f t="shared" si="52"/>
        <v>2027/28</v>
      </c>
      <c r="N126" s="331" t="str">
        <f t="shared" si="52"/>
        <v>2028/29</v>
      </c>
    </row>
    <row r="127" spans="1:14">
      <c r="B127" s="331" t="str">
        <f t="shared" si="51"/>
        <v>20-24</v>
      </c>
      <c r="C127" s="447">
        <f>C93*Group_3_rates!E89</f>
        <v>14.23278502435843</v>
      </c>
      <c r="D127" s="447">
        <f>D93*Group_3_rates!F89</f>
        <v>25.603202079192805</v>
      </c>
      <c r="E127" s="447">
        <f>E93*Group_3_rates!G89</f>
        <v>34.22499643665806</v>
      </c>
      <c r="F127" s="447">
        <f>F93*Group_3_rates!H89</f>
        <v>41.38918369732761</v>
      </c>
      <c r="G127" s="447">
        <f>G93*Group_3_rates!I89</f>
        <v>45.372337198087443</v>
      </c>
      <c r="H127" s="447">
        <f>H93*Group_3_rates!J89</f>
        <v>47.503098472404282</v>
      </c>
      <c r="I127" s="447">
        <f>I93*Group_3_rates!K89</f>
        <v>48.217773526471433</v>
      </c>
      <c r="J127" s="447">
        <f>J93*Group_3_rates!L89</f>
        <v>49.502652612721285</v>
      </c>
      <c r="K127" s="447">
        <f>K93*Group_3_rates!M89</f>
        <v>50.742859599648874</v>
      </c>
      <c r="L127" s="447">
        <f>L93*Group_3_rates!N89</f>
        <v>50.594806589993361</v>
      </c>
      <c r="M127" s="447">
        <f>M93*Group_3_rates!O89</f>
        <v>49.854981669368925</v>
      </c>
      <c r="N127" s="447">
        <f>N93*Group_3_rates!P89</f>
        <v>49.821258722101057</v>
      </c>
    </row>
    <row r="128" spans="1:14">
      <c r="B128" s="331" t="str">
        <f t="shared" si="51"/>
        <v>25-29</v>
      </c>
      <c r="C128" s="447">
        <f>C94*Group_3_rates!E90</f>
        <v>57.214449770132454</v>
      </c>
      <c r="D128" s="447">
        <f>D94*Group_3_rates!F90</f>
        <v>59.431310310593062</v>
      </c>
      <c r="E128" s="447">
        <f>E94*Group_3_rates!G90</f>
        <v>63.531867644621151</v>
      </c>
      <c r="F128" s="447">
        <f>F94*Group_3_rates!H90</f>
        <v>68.640079103175168</v>
      </c>
      <c r="G128" s="447">
        <f>G94*Group_3_rates!I90</f>
        <v>71.900259837681446</v>
      </c>
      <c r="H128" s="447">
        <f>H94*Group_3_rates!J90</f>
        <v>74.13552289657143</v>
      </c>
      <c r="I128" s="447">
        <f>I94*Group_3_rates!K90</f>
        <v>75.255471925637806</v>
      </c>
      <c r="J128" s="447">
        <f>J94*Group_3_rates!L90</f>
        <v>76.95799116755974</v>
      </c>
      <c r="K128" s="447">
        <f>K94*Group_3_rates!M90</f>
        <v>78.7098355161543</v>
      </c>
      <c r="L128" s="447">
        <f>L94*Group_3_rates!N90</f>
        <v>79.115939535817745</v>
      </c>
      <c r="M128" s="447">
        <f>M94*Group_3_rates!O90</f>
        <v>78.744474038993076</v>
      </c>
      <c r="N128" s="447">
        <f>N94*Group_3_rates!P90</f>
        <v>78.865424495359591</v>
      </c>
    </row>
    <row r="129" spans="1:14">
      <c r="B129" s="331" t="str">
        <f t="shared" si="51"/>
        <v>30-34</v>
      </c>
      <c r="C129" s="447">
        <f>C95*Group_3_rates!E91</f>
        <v>73.503788237713565</v>
      </c>
      <c r="D129" s="447">
        <f>D95*Group_3_rates!F91</f>
        <v>71.437719591356839</v>
      </c>
      <c r="E129" s="447">
        <f>E95*Group_3_rates!G91</f>
        <v>71.13600136840931</v>
      </c>
      <c r="F129" s="447">
        <f>F95*Group_3_rates!H91</f>
        <v>71.816973389369878</v>
      </c>
      <c r="G129" s="447">
        <f>G95*Group_3_rates!I91</f>
        <v>71.870761813874495</v>
      </c>
      <c r="H129" s="447">
        <f>H95*Group_3_rates!J91</f>
        <v>72.06636387268135</v>
      </c>
      <c r="I129" s="447">
        <f>I95*Group_3_rates!K91</f>
        <v>72.147274151073617</v>
      </c>
      <c r="J129" s="447">
        <f>J95*Group_3_rates!L91</f>
        <v>72.790324240037208</v>
      </c>
      <c r="K129" s="447">
        <f>K95*Group_3_rates!M91</f>
        <v>73.703049536746036</v>
      </c>
      <c r="L129" s="447">
        <f>L95*Group_3_rates!N91</f>
        <v>74.111049861011736</v>
      </c>
      <c r="M129" s="447">
        <f>M95*Group_3_rates!O91</f>
        <v>74.140780742136016</v>
      </c>
      <c r="N129" s="447">
        <f>N95*Group_3_rates!P91</f>
        <v>74.359515244411938</v>
      </c>
    </row>
    <row r="130" spans="1:14">
      <c r="B130" s="331" t="str">
        <f t="shared" si="51"/>
        <v>35-39</v>
      </c>
      <c r="C130" s="447">
        <f>C96*Group_3_rates!E92</f>
        <v>69.769073551047455</v>
      </c>
      <c r="D130" s="447">
        <f>D96*Group_3_rates!F92</f>
        <v>70.109786793078428</v>
      </c>
      <c r="E130" s="447">
        <f>E96*Group_3_rates!G92</f>
        <v>70.834746513014792</v>
      </c>
      <c r="F130" s="447">
        <f>F96*Group_3_rates!H92</f>
        <v>71.360664362042357</v>
      </c>
      <c r="G130" s="447">
        <f>G96*Group_3_rates!I92</f>
        <v>70.72558776494779</v>
      </c>
      <c r="H130" s="447">
        <f>H96*Group_3_rates!J92</f>
        <v>70.042396476519897</v>
      </c>
      <c r="I130" s="447">
        <f>I96*Group_3_rates!K92</f>
        <v>69.311009626740812</v>
      </c>
      <c r="J130" s="447">
        <f>J96*Group_3_rates!L92</f>
        <v>69.051519920912725</v>
      </c>
      <c r="K130" s="447">
        <f>K96*Group_3_rates!M92</f>
        <v>69.088851405118078</v>
      </c>
      <c r="L130" s="447">
        <f>L96*Group_3_rates!N92</f>
        <v>68.935196189819379</v>
      </c>
      <c r="M130" s="447">
        <f>M96*Group_3_rates!O92</f>
        <v>68.680826187324698</v>
      </c>
      <c r="N130" s="447">
        <f>N96*Group_3_rates!P92</f>
        <v>68.66318046612281</v>
      </c>
    </row>
    <row r="131" spans="1:14">
      <c r="B131" s="331" t="str">
        <f t="shared" si="51"/>
        <v>40-44</v>
      </c>
      <c r="C131" s="447">
        <f>C97*Group_3_rates!E93</f>
        <v>65.023809834902167</v>
      </c>
      <c r="D131" s="447">
        <f>D97*Group_3_rates!F93</f>
        <v>65.520408599610747</v>
      </c>
      <c r="E131" s="447">
        <f>E97*Group_3_rates!G93</f>
        <v>66.74055331209658</v>
      </c>
      <c r="F131" s="447">
        <f>F97*Group_3_rates!H93</f>
        <v>67.780600488085838</v>
      </c>
      <c r="G131" s="447">
        <f>G97*Group_3_rates!I93</f>
        <v>67.573386307041446</v>
      </c>
      <c r="H131" s="447">
        <f>H97*Group_3_rates!J93</f>
        <v>67.114052210081482</v>
      </c>
      <c r="I131" s="447">
        <f>I97*Group_3_rates!K93</f>
        <v>66.428786357867423</v>
      </c>
      <c r="J131" s="447">
        <f>J97*Group_3_rates!L93</f>
        <v>66.011125428490985</v>
      </c>
      <c r="K131" s="447">
        <f>K97*Group_3_rates!M93</f>
        <v>65.751477600033809</v>
      </c>
      <c r="L131" s="447">
        <f>L97*Group_3_rates!N93</f>
        <v>65.279615137445745</v>
      </c>
      <c r="M131" s="447">
        <f>M97*Group_3_rates!O93</f>
        <v>64.725236700466922</v>
      </c>
      <c r="N131" s="447">
        <f>N97*Group_3_rates!P93</f>
        <v>64.408615015422697</v>
      </c>
    </row>
    <row r="132" spans="1:14">
      <c r="B132" s="331" t="str">
        <f t="shared" si="51"/>
        <v>45-49</v>
      </c>
      <c r="C132" s="447">
        <f>C98*Group_3_rates!E94</f>
        <v>69.306384780715959</v>
      </c>
      <c r="D132" s="447">
        <f>D98*Group_3_rates!F94</f>
        <v>68.175745625154462</v>
      </c>
      <c r="E132" s="447">
        <f>E98*Group_3_rates!G94</f>
        <v>68.250130302221805</v>
      </c>
      <c r="F132" s="447">
        <f>F98*Group_3_rates!H94</f>
        <v>68.508414177914815</v>
      </c>
      <c r="G132" s="447">
        <f>G98*Group_3_rates!I94</f>
        <v>67.834974029979364</v>
      </c>
      <c r="H132" s="447">
        <f>H98*Group_3_rates!J94</f>
        <v>67.130276767181144</v>
      </c>
      <c r="I132" s="447">
        <f>I98*Group_3_rates!K94</f>
        <v>66.321877425463924</v>
      </c>
      <c r="J132" s="447">
        <f>J98*Group_3_rates!L94</f>
        <v>65.796777576009859</v>
      </c>
      <c r="K132" s="447">
        <f>K98*Group_3_rates!M94</f>
        <v>65.416960071365367</v>
      </c>
      <c r="L132" s="447">
        <f>L98*Group_3_rates!N94</f>
        <v>64.824214006849161</v>
      </c>
      <c r="M132" s="447">
        <f>M98*Group_3_rates!O94</f>
        <v>64.132844172147088</v>
      </c>
      <c r="N132" s="447">
        <f>N98*Group_3_rates!P94</f>
        <v>63.643137234840026</v>
      </c>
    </row>
    <row r="133" spans="1:14">
      <c r="B133" s="331" t="str">
        <f t="shared" si="51"/>
        <v>50-54</v>
      </c>
      <c r="C133" s="447">
        <f>C99*Group_3_rates!E95</f>
        <v>58.58861365613587</v>
      </c>
      <c r="D133" s="447">
        <f>D99*Group_3_rates!F95</f>
        <v>57.267185021894413</v>
      </c>
      <c r="E133" s="447">
        <f>E99*Group_3_rates!G95</f>
        <v>56.781172353806575</v>
      </c>
      <c r="F133" s="447">
        <f>F99*Group_3_rates!H95</f>
        <v>56.374830237552956</v>
      </c>
      <c r="G133" s="447">
        <f>G99*Group_3_rates!I95</f>
        <v>55.256577192820941</v>
      </c>
      <c r="H133" s="447">
        <f>H99*Group_3_rates!J95</f>
        <v>54.216037203752073</v>
      </c>
      <c r="I133" s="447">
        <f>I99*Group_3_rates!K95</f>
        <v>53.202963484507748</v>
      </c>
      <c r="J133" s="447">
        <f>J99*Group_3_rates!L95</f>
        <v>52.493251094659534</v>
      </c>
      <c r="K133" s="447">
        <f>K99*Group_3_rates!M95</f>
        <v>51.962589811308227</v>
      </c>
      <c r="L133" s="447">
        <f>L99*Group_3_rates!N95</f>
        <v>51.32241585313016</v>
      </c>
      <c r="M133" s="447">
        <f>M99*Group_3_rates!O95</f>
        <v>50.641004938325487</v>
      </c>
      <c r="N133" s="447">
        <f>N99*Group_3_rates!P95</f>
        <v>50.129567762418979</v>
      </c>
    </row>
    <row r="134" spans="1:14">
      <c r="B134" s="331" t="str">
        <f t="shared" si="51"/>
        <v>55-59</v>
      </c>
      <c r="C134" s="447">
        <f>C100*Group_3_rates!E96</f>
        <v>28.37740134653049</v>
      </c>
      <c r="D134" s="447">
        <f>D100*Group_3_rates!F96</f>
        <v>25.746018463946626</v>
      </c>
      <c r="E134" s="447">
        <f>E100*Group_3_rates!G96</f>
        <v>24.264698368869734</v>
      </c>
      <c r="F134" s="447">
        <f>F100*Group_3_rates!H96</f>
        <v>23.276847879449146</v>
      </c>
      <c r="G134" s="447">
        <f>G100*Group_3_rates!I96</f>
        <v>22.26766764854333</v>
      </c>
      <c r="H134" s="447">
        <f>H100*Group_3_rates!J96</f>
        <v>21.463690680263277</v>
      </c>
      <c r="I134" s="447">
        <f>I100*Group_3_rates!K96</f>
        <v>20.783406593621418</v>
      </c>
      <c r="J134" s="447">
        <f>J100*Group_3_rates!L96</f>
        <v>20.318778472869703</v>
      </c>
      <c r="K134" s="447">
        <f>K100*Group_3_rates!M96</f>
        <v>19.981960806205631</v>
      </c>
      <c r="L134" s="447">
        <f>L100*Group_3_rates!N96</f>
        <v>19.624929493701526</v>
      </c>
      <c r="M134" s="447">
        <f>M100*Group_3_rates!O96</f>
        <v>19.276318118632432</v>
      </c>
      <c r="N134" s="447">
        <f>N100*Group_3_rates!P96</f>
        <v>19.026357836614793</v>
      </c>
    </row>
    <row r="135" spans="1:14">
      <c r="B135" s="331" t="str">
        <f t="shared" si="51"/>
        <v>60-64</v>
      </c>
      <c r="C135" s="447">
        <f>C101*Group_3_rates!E97</f>
        <v>9.5081779747460793</v>
      </c>
      <c r="D135" s="447">
        <f>D101*Group_3_rates!F97</f>
        <v>9.1555870844086265</v>
      </c>
      <c r="E135" s="447">
        <f>E101*Group_3_rates!G97</f>
        <v>8.7412067857432252</v>
      </c>
      <c r="F135" s="447">
        <f>F101*Group_3_rates!H97</f>
        <v>8.3402445413604926</v>
      </c>
      <c r="G135" s="447">
        <f>G101*Group_3_rates!I97</f>
        <v>7.8765550159650282</v>
      </c>
      <c r="H135" s="447">
        <f>H101*Group_3_rates!J97</f>
        <v>7.4842908187330757</v>
      </c>
      <c r="I135" s="447">
        <f>I101*Group_3_rates!K97</f>
        <v>7.1500311922019364</v>
      </c>
      <c r="J135" s="447">
        <f>J101*Group_3_rates!L97</f>
        <v>6.9243958390886053</v>
      </c>
      <c r="K135" s="447">
        <f>K101*Group_3_rates!M97</f>
        <v>6.7636584736560881</v>
      </c>
      <c r="L135" s="447">
        <f>L101*Group_3_rates!N97</f>
        <v>6.597511426175827</v>
      </c>
      <c r="M135" s="447">
        <f>M101*Group_3_rates!O97</f>
        <v>6.441571380532606</v>
      </c>
      <c r="N135" s="447">
        <f>N101*Group_3_rates!P97</f>
        <v>6.3372525239971145</v>
      </c>
    </row>
    <row r="136" spans="1:14">
      <c r="B136" s="331" t="str">
        <f t="shared" si="51"/>
        <v>65 plus</v>
      </c>
      <c r="C136" s="447">
        <f>C102*Group_3_rates!E98</f>
        <v>2.7190268235420478</v>
      </c>
      <c r="D136" s="447">
        <f>D102*Group_3_rates!F98</f>
        <v>4.0450052494658575</v>
      </c>
      <c r="E136" s="447">
        <f>E102*Group_3_rates!G98</f>
        <v>4.8833564200827064</v>
      </c>
      <c r="F136" s="447">
        <f>F102*Group_3_rates!H98</f>
        <v>5.3458787732862927</v>
      </c>
      <c r="G136" s="447">
        <f>G102*Group_3_rates!I98</f>
        <v>5.4731482825089373</v>
      </c>
      <c r="H136" s="447">
        <f>H102*Group_3_rates!J98</f>
        <v>5.4447093758510592</v>
      </c>
      <c r="I136" s="447">
        <f>I102*Group_3_rates!K98</f>
        <v>5.328477244841098</v>
      </c>
      <c r="J136" s="447">
        <f>J102*Group_3_rates!L98</f>
        <v>5.209100458626728</v>
      </c>
      <c r="K136" s="447">
        <f>K102*Group_3_rates!M98</f>
        <v>5.0974827966803096</v>
      </c>
      <c r="L136" s="447">
        <f>L102*Group_3_rates!N98</f>
        <v>4.9679576373430026</v>
      </c>
      <c r="M136" s="447">
        <f>M102*Group_3_rates!O98</f>
        <v>4.8360974032543487</v>
      </c>
      <c r="N136" s="447">
        <f>N102*Group_3_rates!P98</f>
        <v>4.7342751326756423</v>
      </c>
    </row>
    <row r="137" spans="1:14">
      <c r="B137" s="331" t="str">
        <f t="shared" si="51"/>
        <v>Total</v>
      </c>
      <c r="C137" s="447">
        <f>SUM(C127:C136)</f>
        <v>448.24351099982454</v>
      </c>
      <c r="D137" s="447">
        <f t="shared" ref="D137:N137" si="53">SUM(D127:D136)</f>
        <v>456.49196881870193</v>
      </c>
      <c r="E137" s="447">
        <f t="shared" si="53"/>
        <v>469.388729505524</v>
      </c>
      <c r="F137" s="447">
        <f t="shared" si="53"/>
        <v>482.83371664956451</v>
      </c>
      <c r="G137" s="447">
        <f t="shared" si="53"/>
        <v>486.15125509145031</v>
      </c>
      <c r="H137" s="447">
        <f t="shared" si="53"/>
        <v>486.60043877403911</v>
      </c>
      <c r="I137" s="447">
        <f t="shared" si="53"/>
        <v>484.1470715284272</v>
      </c>
      <c r="J137" s="447">
        <f t="shared" si="53"/>
        <v>485.05591681097633</v>
      </c>
      <c r="K137" s="447">
        <f t="shared" si="53"/>
        <v>487.21872561691674</v>
      </c>
      <c r="L137" s="447">
        <f t="shared" si="53"/>
        <v>485.37363573128761</v>
      </c>
      <c r="M137" s="447">
        <f t="shared" si="53"/>
        <v>481.47413535118159</v>
      </c>
      <c r="N137" s="447">
        <f t="shared" si="53"/>
        <v>479.98858443396466</v>
      </c>
    </row>
    <row r="138" spans="1:14">
      <c r="A138" s="302">
        <f>SUM(C138:N138)</f>
        <v>0</v>
      </c>
      <c r="C138" s="302">
        <f>SUM(C127:C136)-C137</f>
        <v>0</v>
      </c>
      <c r="D138" s="302">
        <f t="shared" ref="D138:N138" si="54">SUM(D127:D136)-D137</f>
        <v>0</v>
      </c>
      <c r="E138" s="302">
        <f t="shared" si="54"/>
        <v>0</v>
      </c>
      <c r="F138" s="302">
        <f t="shared" si="54"/>
        <v>0</v>
      </c>
      <c r="G138" s="302">
        <f t="shared" si="54"/>
        <v>0</v>
      </c>
      <c r="H138" s="302">
        <f t="shared" si="54"/>
        <v>0</v>
      </c>
      <c r="I138" s="302">
        <f t="shared" si="54"/>
        <v>0</v>
      </c>
      <c r="J138" s="302">
        <f t="shared" si="54"/>
        <v>0</v>
      </c>
      <c r="K138" s="302">
        <f t="shared" si="54"/>
        <v>0</v>
      </c>
      <c r="L138" s="302">
        <f t="shared" si="54"/>
        <v>0</v>
      </c>
      <c r="M138" s="302">
        <f t="shared" si="54"/>
        <v>0</v>
      </c>
      <c r="N138" s="302">
        <f t="shared" si="54"/>
        <v>0</v>
      </c>
    </row>
    <row r="140" spans="1:14" ht="15.75">
      <c r="B140" s="333" t="s">
        <v>165</v>
      </c>
      <c r="H140" s="318"/>
    </row>
    <row r="141" spans="1:14">
      <c r="H141" s="318"/>
    </row>
    <row r="142" spans="1:14">
      <c r="B142" s="334" t="s">
        <v>46</v>
      </c>
      <c r="H142" s="318"/>
    </row>
    <row r="143" spans="1:14">
      <c r="H143" s="318"/>
    </row>
    <row r="144" spans="1:14">
      <c r="B144" s="331" t="str">
        <f t="shared" ref="B144:B155" si="55">B110</f>
        <v>Age group</v>
      </c>
      <c r="C144" s="331" t="str">
        <f t="shared" ref="C144:N144" si="56">C110</f>
        <v>2017/18</v>
      </c>
      <c r="D144" s="331" t="str">
        <f t="shared" si="56"/>
        <v>2018/19</v>
      </c>
      <c r="E144" s="331" t="str">
        <f t="shared" si="56"/>
        <v>2019/20</v>
      </c>
      <c r="F144" s="331" t="str">
        <f t="shared" si="56"/>
        <v>2020/21</v>
      </c>
      <c r="G144" s="331" t="str">
        <f t="shared" si="56"/>
        <v>2021/22</v>
      </c>
      <c r="H144" s="331" t="str">
        <f t="shared" si="56"/>
        <v>2022/23</v>
      </c>
      <c r="I144" s="331" t="str">
        <f t="shared" si="56"/>
        <v>2023/24</v>
      </c>
      <c r="J144" s="331" t="str">
        <f t="shared" si="56"/>
        <v>2024/25</v>
      </c>
      <c r="K144" s="331" t="str">
        <f t="shared" si="56"/>
        <v>2025/26</v>
      </c>
      <c r="L144" s="331" t="str">
        <f t="shared" si="56"/>
        <v>2026/27</v>
      </c>
      <c r="M144" s="331" t="str">
        <f t="shared" si="56"/>
        <v>2027/28</v>
      </c>
      <c r="N144" s="331" t="str">
        <f t="shared" si="56"/>
        <v>2028/29</v>
      </c>
    </row>
    <row r="145" spans="1:14">
      <c r="B145" s="331" t="str">
        <f t="shared" si="55"/>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5"/>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5"/>
        <v>30-34</v>
      </c>
      <c r="C147" s="447">
        <f>C79*Calc_SEC_retirement_rates!$G126</f>
        <v>6.9332024526745084E-2</v>
      </c>
      <c r="D147" s="447">
        <f>D79*Calc_SEC_retirement_rates!$G126</f>
        <v>6.839237962430901E-2</v>
      </c>
      <c r="E147" s="447">
        <f>E79*Calc_SEC_retirement_rates!$G126</f>
        <v>6.9425105249595179E-2</v>
      </c>
      <c r="F147" s="447">
        <f>F79*Calc_SEC_retirement_rates!$G126</f>
        <v>7.2135635343306997E-2</v>
      </c>
      <c r="G147" s="447">
        <f>G79*Calc_SEC_retirement_rates!$G126</f>
        <v>7.5316807593105717E-2</v>
      </c>
      <c r="H147" s="447">
        <f>H79*Calc_SEC_retirement_rates!$G126</f>
        <v>7.8450033098038163E-2</v>
      </c>
      <c r="I147" s="447">
        <f>I79*Calc_SEC_retirement_rates!$G126</f>
        <v>8.1145346404426763E-2</v>
      </c>
      <c r="J147" s="447">
        <f>J79*Calc_SEC_retirement_rates!$G126</f>
        <v>8.4218988309870402E-2</v>
      </c>
      <c r="K147" s="447">
        <f>K79*Calc_SEC_retirement_rates!$G126</f>
        <v>8.7316575596691648E-2</v>
      </c>
      <c r="L147" s="447">
        <f>L79*Calc_SEC_retirement_rates!$G126</f>
        <v>8.9493883517446665E-2</v>
      </c>
      <c r="M147" s="447">
        <f>M79*Calc_SEC_retirement_rates!$G126</f>
        <v>9.092857302520535E-2</v>
      </c>
      <c r="N147" s="447">
        <f>N79*Calc_SEC_retirement_rates!$G126</f>
        <v>9.2355732916269556E-2</v>
      </c>
    </row>
    <row r="148" spans="1:14">
      <c r="B148" s="331" t="str">
        <f t="shared" si="55"/>
        <v>35-39</v>
      </c>
      <c r="C148" s="447">
        <f>C80*Calc_SEC_retirement_rates!$G127</f>
        <v>0.18061049606724253</v>
      </c>
      <c r="D148" s="447">
        <f>D80*Calc_SEC_retirement_rates!$G127</f>
        <v>0.17668458371290699</v>
      </c>
      <c r="E148" s="447">
        <f>E80*Calc_SEC_retirement_rates!$G127</f>
        <v>0.17391332978471638</v>
      </c>
      <c r="F148" s="447">
        <f>F80*Calc_SEC_retirement_rates!$G127</f>
        <v>0.17268274745710663</v>
      </c>
      <c r="G148" s="447">
        <f>G80*Calc_SEC_retirement_rates!$G127</f>
        <v>0.17242234914532353</v>
      </c>
      <c r="H148" s="447">
        <f>H80*Calc_SEC_retirement_rates!$G127</f>
        <v>0.17287759692995847</v>
      </c>
      <c r="I148" s="447">
        <f>I80*Calc_SEC_retirement_rates!$G127</f>
        <v>0.17374059962808558</v>
      </c>
      <c r="J148" s="447">
        <f>J80*Calc_SEC_retirement_rates!$G127</f>
        <v>0.17618895636708523</v>
      </c>
      <c r="K148" s="447">
        <f>K80*Calc_SEC_retirement_rates!$G127</f>
        <v>0.17955298252530558</v>
      </c>
      <c r="L148" s="447">
        <f>L80*Calc_SEC_retirement_rates!$G127</f>
        <v>0.18234505214076435</v>
      </c>
      <c r="M148" s="447">
        <f>M80*Calc_SEC_retirement_rates!$G127</f>
        <v>0.18470140899440848</v>
      </c>
      <c r="N148" s="447">
        <f>N80*Calc_SEC_retirement_rates!$G127</f>
        <v>0.18748083686336434</v>
      </c>
    </row>
    <row r="149" spans="1:14">
      <c r="B149" s="331" t="str">
        <f t="shared" si="55"/>
        <v>40-44</v>
      </c>
      <c r="C149" s="447">
        <f>C81*Calc_SEC_retirement_rates!$G128</f>
        <v>0.37560080368618182</v>
      </c>
      <c r="D149" s="447">
        <f>D81*Calc_SEC_retirement_rates!$G128</f>
        <v>0.367967328024976</v>
      </c>
      <c r="E149" s="447">
        <f>E81*Calc_SEC_retirement_rates!$G128</f>
        <v>0.36204279026777886</v>
      </c>
      <c r="F149" s="447">
        <f>F81*Calc_SEC_retirement_rates!$G128</f>
        <v>0.3570526145131519</v>
      </c>
      <c r="G149" s="447">
        <f>G81*Calc_SEC_retirement_rates!$G128</f>
        <v>0.35235032976597502</v>
      </c>
      <c r="H149" s="447">
        <f>H81*Calc_SEC_retirement_rates!$G128</f>
        <v>0.34775254499269326</v>
      </c>
      <c r="I149" s="447">
        <f>I81*Calc_SEC_retirement_rates!$G128</f>
        <v>0.34332275484144048</v>
      </c>
      <c r="J149" s="447">
        <f>J81*Calc_SEC_retirement_rates!$G128</f>
        <v>0.34158157941733319</v>
      </c>
      <c r="K149" s="447">
        <f>K81*Calc_SEC_retirement_rates!$G128</f>
        <v>0.34172371356903347</v>
      </c>
      <c r="L149" s="447">
        <f>L81*Calc_SEC_retirement_rates!$G128</f>
        <v>0.34150311516465554</v>
      </c>
      <c r="M149" s="447">
        <f>M81*Calc_SEC_retirement_rates!$G128</f>
        <v>0.34139586254665572</v>
      </c>
      <c r="N149" s="447">
        <f>N81*Calc_SEC_retirement_rates!$G128</f>
        <v>0.3429401958702234</v>
      </c>
    </row>
    <row r="150" spans="1:14">
      <c r="B150" s="331" t="str">
        <f t="shared" si="55"/>
        <v>45-49</v>
      </c>
      <c r="C150" s="447">
        <f>C82*Calc_SEC_retirement_rates!$G129</f>
        <v>0.86399502034614295</v>
      </c>
      <c r="D150" s="447">
        <f>D82*Calc_SEC_retirement_rates!$G129</f>
        <v>0.82544010838516579</v>
      </c>
      <c r="E150" s="447">
        <f>E82*Calc_SEC_retirement_rates!$G129</f>
        <v>0.79693105960214206</v>
      </c>
      <c r="F150" s="447">
        <f>F82*Calc_SEC_retirement_rates!$G129</f>
        <v>0.77377660343754906</v>
      </c>
      <c r="G150" s="447">
        <f>G82*Calc_SEC_retirement_rates!$G129</f>
        <v>0.75414441159648482</v>
      </c>
      <c r="H150" s="447">
        <f>H82*Calc_SEC_retirement_rates!$G129</f>
        <v>0.7360505330361814</v>
      </c>
      <c r="I150" s="447">
        <f>I82*Calc_SEC_retirement_rates!$G129</f>
        <v>0.71881327566687725</v>
      </c>
      <c r="J150" s="447">
        <f>J82*Calc_SEC_retirement_rates!$G129</f>
        <v>0.70657203389154122</v>
      </c>
      <c r="K150" s="447">
        <f>K82*Calc_SEC_retirement_rates!$G129</f>
        <v>0.6978413563686281</v>
      </c>
      <c r="L150" s="447">
        <f>L82*Calc_SEC_retirement_rates!$G129</f>
        <v>0.68870868610119929</v>
      </c>
      <c r="M150" s="447">
        <f>M82*Calc_SEC_retirement_rates!$G129</f>
        <v>0.68019287737928458</v>
      </c>
      <c r="N150" s="447">
        <f>N82*Calc_SEC_retirement_rates!$G129</f>
        <v>0.67525648827537843</v>
      </c>
    </row>
    <row r="151" spans="1:14">
      <c r="B151" s="331" t="str">
        <f t="shared" si="55"/>
        <v>50-54</v>
      </c>
      <c r="C151" s="447">
        <f>C83*Calc_SEC_retirement_rates!$G130</f>
        <v>18.962715481377952</v>
      </c>
      <c r="D151" s="447">
        <f>D83*Calc_SEC_retirement_rates!$G130</f>
        <v>17.681649317964538</v>
      </c>
      <c r="E151" s="447">
        <f>E83*Calc_SEC_retirement_rates!$G130</f>
        <v>16.676513206445094</v>
      </c>
      <c r="F151" s="447">
        <f>F83*Calc_SEC_retirement_rates!$G130</f>
        <v>15.83649539984807</v>
      </c>
      <c r="G151" s="447">
        <f>G83*Calc_SEC_retirement_rates!$G130</f>
        <v>15.140701445476823</v>
      </c>
      <c r="H151" s="447">
        <f>H83*Calc_SEC_retirement_rates!$G130</f>
        <v>14.536092095535471</v>
      </c>
      <c r="I151" s="447">
        <f>I83*Calc_SEC_retirement_rates!$G130</f>
        <v>13.997179844097927</v>
      </c>
      <c r="J151" s="447">
        <f>J83*Calc_SEC_retirement_rates!$G130</f>
        <v>13.580932275275003</v>
      </c>
      <c r="K151" s="447">
        <f>K83*Calc_SEC_retirement_rates!$G130</f>
        <v>13.25139893450066</v>
      </c>
      <c r="L151" s="447">
        <f>L83*Calc_SEC_retirement_rates!$G130</f>
        <v>12.934805340010424</v>
      </c>
      <c r="M151" s="447">
        <f>M83*Calc_SEC_retirement_rates!$G130</f>
        <v>12.643575649550579</v>
      </c>
      <c r="N151" s="447">
        <f>N83*Calc_SEC_retirement_rates!$G130</f>
        <v>12.42485896703591</v>
      </c>
    </row>
    <row r="152" spans="1:14">
      <c r="B152" s="331" t="str">
        <f t="shared" si="55"/>
        <v>55-59</v>
      </c>
      <c r="C152" s="447">
        <f>C84*Calc_SEC_retirement_rates!$G131</f>
        <v>105.59210681327525</v>
      </c>
      <c r="D152" s="447">
        <f>D84*Calc_SEC_retirement_rates!$G131</f>
        <v>89.890257454825004</v>
      </c>
      <c r="E152" s="447">
        <f>E84*Calc_SEC_retirement_rates!$G131</f>
        <v>79.114754884554728</v>
      </c>
      <c r="F152" s="447">
        <f>F84*Calc_SEC_retirement_rates!$G131</f>
        <v>71.40197916892221</v>
      </c>
      <c r="G152" s="447">
        <f>G84*Calc_SEC_retirement_rates!$G131</f>
        <v>65.683068460799376</v>
      </c>
      <c r="H152" s="447">
        <f>H84*Calc_SEC_retirement_rates!$G131</f>
        <v>61.25070366999303</v>
      </c>
      <c r="I152" s="447">
        <f>I84*Calc_SEC_retirement_rates!$G131</f>
        <v>57.68005930991847</v>
      </c>
      <c r="J152" s="447">
        <f>J84*Calc_SEC_retirement_rates!$G131</f>
        <v>55.041577150769307</v>
      </c>
      <c r="K152" s="447">
        <f>K84*Calc_SEC_retirement_rates!$G131</f>
        <v>53.018658821268666</v>
      </c>
      <c r="L152" s="447">
        <f>L84*Calc_SEC_retirement_rates!$G131</f>
        <v>51.183088671923223</v>
      </c>
      <c r="M152" s="447">
        <f>M84*Calc_SEC_retirement_rates!$G131</f>
        <v>49.557954934979037</v>
      </c>
      <c r="N152" s="447">
        <f>N84*Calc_SEC_retirement_rates!$G131</f>
        <v>48.329181083893197</v>
      </c>
    </row>
    <row r="153" spans="1:14">
      <c r="B153" s="331" t="str">
        <f t="shared" si="55"/>
        <v>60-64</v>
      </c>
      <c r="C153" s="447">
        <f>C85*Calc_SEC_retirement_rates!$G132</f>
        <v>62.232062153941676</v>
      </c>
      <c r="D153" s="447">
        <f>D85*Calc_SEC_retirement_rates!$G132</f>
        <v>59.449884402426058</v>
      </c>
      <c r="E153" s="447">
        <f>E85*Calc_SEC_retirement_rates!$G132</f>
        <v>54.510072278748673</v>
      </c>
      <c r="F153" s="447">
        <f>F85*Calc_SEC_retirement_rates!$G132</f>
        <v>49.482777905232389</v>
      </c>
      <c r="G153" s="447">
        <f>G85*Calc_SEC_retirement_rates!$G132</f>
        <v>45.039268370500764</v>
      </c>
      <c r="H153" s="447">
        <f>H85*Calc_SEC_retirement_rates!$G132</f>
        <v>41.30057086843523</v>
      </c>
      <c r="I153" s="447">
        <f>I85*Calc_SEC_retirement_rates!$G132</f>
        <v>38.20397959589998</v>
      </c>
      <c r="J153" s="447">
        <f>J85*Calc_SEC_retirement_rates!$G132</f>
        <v>35.92276980125925</v>
      </c>
      <c r="K153" s="447">
        <f>K85*Calc_SEC_retirement_rates!$G132</f>
        <v>34.196804734772279</v>
      </c>
      <c r="L153" s="447">
        <f>L85*Calc_SEC_retirement_rates!$G132</f>
        <v>32.653145798651401</v>
      </c>
      <c r="M153" s="447">
        <f>M85*Calc_SEC_retirement_rates!$G132</f>
        <v>31.316658907168883</v>
      </c>
      <c r="N153" s="447">
        <f>N85*Calc_SEC_retirement_rates!$G132</f>
        <v>30.339457221762661</v>
      </c>
    </row>
    <row r="154" spans="1:14">
      <c r="B154" s="331" t="str">
        <f t="shared" si="55"/>
        <v>65 plus</v>
      </c>
      <c r="C154" s="447">
        <f>C86*Calc_SEC_retirement_rates!$G133</f>
        <v>16.169358753261584</v>
      </c>
      <c r="D154" s="447">
        <f>D86*Calc_SEC_retirement_rates!$G133</f>
        <v>18.888242834588254</v>
      </c>
      <c r="E154" s="447">
        <f>E86*Calc_SEC_retirement_rates!$G133</f>
        <v>20.25797871861181</v>
      </c>
      <c r="F154" s="447">
        <f>F86*Calc_SEC_retirement_rates!$G133</f>
        <v>20.432240110027291</v>
      </c>
      <c r="G154" s="447">
        <f>G86*Calc_SEC_retirement_rates!$G133</f>
        <v>19.885658985706765</v>
      </c>
      <c r="H154" s="447">
        <f>H86*Calc_SEC_retirement_rates!$G133</f>
        <v>18.936021174847195</v>
      </c>
      <c r="I154" s="447">
        <f>I86*Calc_SEC_retirement_rates!$G133</f>
        <v>17.825297145417426</v>
      </c>
      <c r="J154" s="447">
        <f>J86*Calc_SEC_retirement_rates!$G133</f>
        <v>16.819428133299223</v>
      </c>
      <c r="K154" s="447">
        <f>K86*Calc_SEC_retirement_rates!$G133</f>
        <v>15.947119568504018</v>
      </c>
      <c r="L154" s="447">
        <f>L86*Calc_SEC_retirement_rates!$G133</f>
        <v>15.122756930801904</v>
      </c>
      <c r="M154" s="447">
        <f>M86*Calc_SEC_retirement_rates!$G133</f>
        <v>14.380002421939123</v>
      </c>
      <c r="N154" s="447">
        <f>N86*Calc_SEC_retirement_rates!$G133</f>
        <v>13.798645086799556</v>
      </c>
    </row>
    <row r="155" spans="1:14">
      <c r="B155" s="331" t="str">
        <f t="shared" si="55"/>
        <v>Total</v>
      </c>
      <c r="C155" s="447">
        <f>SUM(C145:C154)</f>
        <v>204.44578154648278</v>
      </c>
      <c r="D155" s="447">
        <f t="shared" ref="D155:N155" si="57">SUM(D145:D154)</f>
        <v>187.34851840955122</v>
      </c>
      <c r="E155" s="447">
        <f t="shared" si="57"/>
        <v>171.96163137326454</v>
      </c>
      <c r="F155" s="447">
        <f t="shared" si="57"/>
        <v>158.52914018478108</v>
      </c>
      <c r="G155" s="447">
        <f t="shared" si="57"/>
        <v>147.1029311605846</v>
      </c>
      <c r="H155" s="447">
        <f t="shared" si="57"/>
        <v>137.3585185168678</v>
      </c>
      <c r="I155" s="447">
        <f t="shared" si="57"/>
        <v>129.02353787187462</v>
      </c>
      <c r="J155" s="447">
        <f t="shared" si="57"/>
        <v>122.67326891858862</v>
      </c>
      <c r="K155" s="447">
        <f t="shared" si="57"/>
        <v>117.7204166871053</v>
      </c>
      <c r="L155" s="447">
        <f t="shared" si="57"/>
        <v>113.19584747831101</v>
      </c>
      <c r="M155" s="447">
        <f t="shared" si="57"/>
        <v>109.19541063558317</v>
      </c>
      <c r="N155" s="447">
        <f t="shared" si="57"/>
        <v>106.19017561341656</v>
      </c>
    </row>
    <row r="156" spans="1:14">
      <c r="A156" s="302">
        <f>SUM(C156:N156)</f>
        <v>0</v>
      </c>
      <c r="C156" s="302">
        <f>SUM(C145:C154)-C155</f>
        <v>0</v>
      </c>
      <c r="D156" s="302">
        <f t="shared" ref="D156:N156" si="58">SUM(D145:D154)-D155</f>
        <v>0</v>
      </c>
      <c r="E156" s="302">
        <f t="shared" si="58"/>
        <v>0</v>
      </c>
      <c r="F156" s="302">
        <f t="shared" si="58"/>
        <v>0</v>
      </c>
      <c r="G156" s="302">
        <f t="shared" si="58"/>
        <v>0</v>
      </c>
      <c r="H156" s="302">
        <f t="shared" si="58"/>
        <v>0</v>
      </c>
      <c r="I156" s="302">
        <f t="shared" si="58"/>
        <v>0</v>
      </c>
      <c r="J156" s="302">
        <f t="shared" si="58"/>
        <v>0</v>
      </c>
      <c r="K156" s="302">
        <f t="shared" si="58"/>
        <v>0</v>
      </c>
      <c r="L156" s="302">
        <f t="shared" si="58"/>
        <v>0</v>
      </c>
      <c r="M156" s="302">
        <f t="shared" si="58"/>
        <v>0</v>
      </c>
      <c r="N156" s="302">
        <f t="shared" si="58"/>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59">B144</f>
        <v>Age group</v>
      </c>
      <c r="C160" s="331" t="str">
        <f t="shared" ref="C160:N160" si="60">C144</f>
        <v>2017/18</v>
      </c>
      <c r="D160" s="331" t="str">
        <f t="shared" si="60"/>
        <v>2018/19</v>
      </c>
      <c r="E160" s="331" t="str">
        <f t="shared" si="60"/>
        <v>2019/20</v>
      </c>
      <c r="F160" s="331" t="str">
        <f t="shared" si="60"/>
        <v>2020/21</v>
      </c>
      <c r="G160" s="331" t="str">
        <f t="shared" si="60"/>
        <v>2021/22</v>
      </c>
      <c r="H160" s="331" t="str">
        <f t="shared" si="60"/>
        <v>2022/23</v>
      </c>
      <c r="I160" s="331" t="str">
        <f t="shared" si="60"/>
        <v>2023/24</v>
      </c>
      <c r="J160" s="331" t="str">
        <f t="shared" si="60"/>
        <v>2024/25</v>
      </c>
      <c r="K160" s="331" t="str">
        <f t="shared" si="60"/>
        <v>2025/26</v>
      </c>
      <c r="L160" s="331" t="str">
        <f t="shared" si="60"/>
        <v>2026/27</v>
      </c>
      <c r="M160" s="331" t="str">
        <f t="shared" si="60"/>
        <v>2027/28</v>
      </c>
      <c r="N160" s="331" t="str">
        <f t="shared" si="60"/>
        <v>2028/29</v>
      </c>
    </row>
    <row r="161" spans="1:14">
      <c r="B161" s="331" t="str">
        <f t="shared" si="59"/>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59"/>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59"/>
        <v>30-34</v>
      </c>
      <c r="C163" s="447">
        <f>C95*Calc_SEC_retirement_rates!$G142</f>
        <v>7.647636666212157E-2</v>
      </c>
      <c r="D163" s="447">
        <f>D95*Calc_SEC_retirement_rates!$G142</f>
        <v>7.3961217978298729E-2</v>
      </c>
      <c r="E163" s="447">
        <f>E95*Calc_SEC_retirement_rates!$G142</f>
        <v>7.2442910818904943E-2</v>
      </c>
      <c r="F163" s="447">
        <f>F95*Calc_SEC_retirement_rates!$G142</f>
        <v>7.2208125374110213E-2</v>
      </c>
      <c r="G163" s="447">
        <f>G95*Calc_SEC_retirement_rates!$G142</f>
        <v>7.2262206757897421E-2</v>
      </c>
      <c r="H163" s="447">
        <f>H95*Calc_SEC_retirement_rates!$G142</f>
        <v>7.2458874165603149E-2</v>
      </c>
      <c r="I163" s="447">
        <f>I95*Calc_SEC_retirement_rates!$G142</f>
        <v>7.2540225122772112E-2</v>
      </c>
      <c r="J163" s="447">
        <f>J95*Calc_SEC_retirement_rates!$G142</f>
        <v>7.3186777591559227E-2</v>
      </c>
      <c r="K163" s="447">
        <f>K95*Calc_SEC_retirement_rates!$G142</f>
        <v>7.4104474057261699E-2</v>
      </c>
      <c r="L163" s="447">
        <f>L95*Calc_SEC_retirement_rates!$G142</f>
        <v>7.4514696560060961E-2</v>
      </c>
      <c r="M163" s="447">
        <f>M95*Calc_SEC_retirement_rates!$G142</f>
        <v>7.4544589370776682E-2</v>
      </c>
      <c r="N163" s="447">
        <f>N95*Calc_SEC_retirement_rates!$G142</f>
        <v>7.4764515213075158E-2</v>
      </c>
    </row>
    <row r="164" spans="1:14">
      <c r="B164" s="331" t="str">
        <f t="shared" si="59"/>
        <v>35-39</v>
      </c>
      <c r="C164" s="447">
        <f>C96*Calc_SEC_retirement_rates!$G143</f>
        <v>0.27823524309274666</v>
      </c>
      <c r="D164" s="447">
        <f>D96*Calc_SEC_retirement_rates!$G143</f>
        <v>0.27821899487824464</v>
      </c>
      <c r="E164" s="447">
        <f>E96*Calc_SEC_retirement_rates!$G143</f>
        <v>0.27649319451440008</v>
      </c>
      <c r="F164" s="447">
        <f>F96*Calc_SEC_retirement_rates!$G143</f>
        <v>0.27501065189050594</v>
      </c>
      <c r="G164" s="447">
        <f>G96*Calc_SEC_retirement_rates!$G143</f>
        <v>0.27256318548126268</v>
      </c>
      <c r="H164" s="447">
        <f>H96*Calc_SEC_retirement_rates!$G143</f>
        <v>0.26993029405184366</v>
      </c>
      <c r="I164" s="447">
        <f>I96*Calc_SEC_retirement_rates!$G143</f>
        <v>0.26711166594432739</v>
      </c>
      <c r="J164" s="447">
        <f>J96*Calc_SEC_retirement_rates!$G143</f>
        <v>0.2661116411576101</v>
      </c>
      <c r="K164" s="447">
        <f>K96*Calc_SEC_retirement_rates!$G143</f>
        <v>0.26625550971459638</v>
      </c>
      <c r="L164" s="447">
        <f>L96*Calc_SEC_retirement_rates!$G143</f>
        <v>0.2656633512572244</v>
      </c>
      <c r="M164" s="447">
        <f>M96*Calc_SEC_retirement_rates!$G143</f>
        <v>0.26468305684947413</v>
      </c>
      <c r="N164" s="447">
        <f>N96*Calc_SEC_retirement_rates!$G143</f>
        <v>0.26461505354072984</v>
      </c>
    </row>
    <row r="165" spans="1:14">
      <c r="B165" s="331" t="str">
        <f t="shared" si="59"/>
        <v>40-44</v>
      </c>
      <c r="C165" s="447">
        <f>C97*Calc_SEC_retirement_rates!$G144</f>
        <v>0.6004988329885943</v>
      </c>
      <c r="D165" s="447">
        <f>D97*Calc_SEC_retirement_rates!$G144</f>
        <v>0.60210925159103534</v>
      </c>
      <c r="E165" s="447">
        <f>E97*Calc_SEC_retirement_rates!$G144</f>
        <v>0.60327937423531064</v>
      </c>
      <c r="F165" s="447">
        <f>F97*Calc_SEC_retirement_rates!$G144</f>
        <v>0.60490422135521948</v>
      </c>
      <c r="G165" s="447">
        <f>G97*Calc_SEC_retirement_rates!$G144</f>
        <v>0.60305494985370112</v>
      </c>
      <c r="H165" s="447">
        <f>H97*Calc_SEC_retirement_rates!$G144</f>
        <v>0.5989556481027184</v>
      </c>
      <c r="I165" s="447">
        <f>I97*Calc_SEC_retirement_rates!$G144</f>
        <v>0.59284003089410819</v>
      </c>
      <c r="J165" s="447">
        <f>J97*Calc_SEC_retirement_rates!$G144</f>
        <v>0.58911263902304678</v>
      </c>
      <c r="K165" s="447">
        <f>K97*Calc_SEC_retirement_rates!$G144</f>
        <v>0.58679542633433557</v>
      </c>
      <c r="L165" s="447">
        <f>L97*Calc_SEC_retirement_rates!$G144</f>
        <v>0.58258431587701887</v>
      </c>
      <c r="M165" s="447">
        <f>M97*Calc_SEC_retirement_rates!$G144</f>
        <v>0.57763679616869545</v>
      </c>
      <c r="N165" s="447">
        <f>N97*Calc_SEC_retirement_rates!$G144</f>
        <v>0.5748111234470511</v>
      </c>
    </row>
    <row r="166" spans="1:14">
      <c r="B166" s="331" t="str">
        <f t="shared" si="59"/>
        <v>45-49</v>
      </c>
      <c r="C166" s="447">
        <f>C98*Calc_SEC_retirement_rates!$G145</f>
        <v>0.8728260085485523</v>
      </c>
      <c r="D166" s="447">
        <f>D98*Calc_SEC_retirement_rates!$G145</f>
        <v>0.85436466273235367</v>
      </c>
      <c r="E166" s="447">
        <f>E98*Calc_SEC_retirement_rates!$G145</f>
        <v>0.84129215066444385</v>
      </c>
      <c r="F166" s="447">
        <f>F98*Calc_SEC_retirement_rates!$G145</f>
        <v>0.83375758037920167</v>
      </c>
      <c r="G166" s="447">
        <f>G98*Calc_SEC_retirement_rates!$G145</f>
        <v>0.82556171371069709</v>
      </c>
      <c r="H166" s="447">
        <f>H98*Calc_SEC_retirement_rates!$G145</f>
        <v>0.8169854433097411</v>
      </c>
      <c r="I166" s="447">
        <f>I98*Calc_SEC_retirement_rates!$G145</f>
        <v>0.80714710319899341</v>
      </c>
      <c r="J166" s="447">
        <f>J98*Calc_SEC_retirement_rates!$G145</f>
        <v>0.80075656000525774</v>
      </c>
      <c r="K166" s="447">
        <f>K98*Calc_SEC_retirement_rates!$G145</f>
        <v>0.79613412453571586</v>
      </c>
      <c r="L166" s="447">
        <f>L98*Calc_SEC_retirement_rates!$G145</f>
        <v>0.78892031685295616</v>
      </c>
      <c r="M166" s="447">
        <f>M98*Calc_SEC_retirement_rates!$G145</f>
        <v>0.78050624323228557</v>
      </c>
      <c r="N166" s="447">
        <f>N98*Calc_SEC_retirement_rates!$G145</f>
        <v>0.77454643703849879</v>
      </c>
    </row>
    <row r="167" spans="1:14">
      <c r="B167" s="331" t="str">
        <f t="shared" si="59"/>
        <v>50-54</v>
      </c>
      <c r="C167" s="447">
        <f>C99*Calc_SEC_retirement_rates!$G146</f>
        <v>17.127011100414293</v>
      </c>
      <c r="D167" s="447">
        <f>D99*Calc_SEC_retirement_rates!$G146</f>
        <v>16.658394419078903</v>
      </c>
      <c r="E167" s="447">
        <f>E99*Calc_SEC_retirement_rates!$G146</f>
        <v>16.246567944308378</v>
      </c>
      <c r="F167" s="447">
        <f>F99*Calc_SEC_retirement_rates!$G146</f>
        <v>15.925572440271992</v>
      </c>
      <c r="G167" s="447">
        <f>G99*Calc_SEC_retirement_rates!$G146</f>
        <v>15.609672245177986</v>
      </c>
      <c r="H167" s="447">
        <f>H99*Calc_SEC_retirement_rates!$G146</f>
        <v>15.315725551181957</v>
      </c>
      <c r="I167" s="447">
        <f>I99*Calc_SEC_retirement_rates!$G146</f>
        <v>15.0295379239168</v>
      </c>
      <c r="J167" s="447">
        <f>J99*Calc_SEC_retirement_rates!$G146</f>
        <v>14.829048165833994</v>
      </c>
      <c r="K167" s="447">
        <f>K99*Calc_SEC_retirement_rates!$G146</f>
        <v>14.679139338194998</v>
      </c>
      <c r="L167" s="447">
        <f>L99*Calc_SEC_retirement_rates!$G146</f>
        <v>14.498293795913451</v>
      </c>
      <c r="M167" s="447">
        <f>M99*Calc_SEC_retirement_rates!$G146</f>
        <v>14.305799045337952</v>
      </c>
      <c r="N167" s="447">
        <f>N99*Calc_SEC_retirement_rates!$G146</f>
        <v>14.161320919918754</v>
      </c>
    </row>
    <row r="168" spans="1:14">
      <c r="B168" s="331" t="str">
        <f t="shared" si="59"/>
        <v>55-59</v>
      </c>
      <c r="C168" s="447">
        <f>C100*Calc_SEC_retirement_rates!$G147</f>
        <v>86.860355066651863</v>
      </c>
      <c r="D168" s="447">
        <f>D100*Calc_SEC_retirement_rates!$G147</f>
        <v>78.418404422056852</v>
      </c>
      <c r="E168" s="447">
        <f>E100*Calc_SEC_retirement_rates!$G147</f>
        <v>72.696381366846481</v>
      </c>
      <c r="F168" s="447">
        <f>F100*Calc_SEC_retirement_rates!$G147</f>
        <v>68.851688217044597</v>
      </c>
      <c r="G168" s="447">
        <f>G100*Calc_SEC_retirement_rates!$G147</f>
        <v>65.866586326402484</v>
      </c>
      <c r="H168" s="447">
        <f>H100*Calc_SEC_retirement_rates!$G147</f>
        <v>63.488464862517532</v>
      </c>
      <c r="I168" s="447">
        <f>I100*Calc_SEC_retirement_rates!$G147</f>
        <v>61.476220417949271</v>
      </c>
      <c r="J168" s="447">
        <f>J100*Calc_SEC_retirement_rates!$G147</f>
        <v>60.101874945033565</v>
      </c>
      <c r="K168" s="447">
        <f>K100*Calc_SEC_retirement_rates!$G147</f>
        <v>59.105586053545736</v>
      </c>
      <c r="L168" s="447">
        <f>L100*Calc_SEC_retirement_rates!$G147</f>
        <v>58.049506263895253</v>
      </c>
      <c r="M168" s="447">
        <f>M100*Calc_SEC_retirement_rates!$G147</f>
        <v>57.018332205041531</v>
      </c>
      <c r="N168" s="447">
        <f>N100*Calc_SEC_retirement_rates!$G147</f>
        <v>56.278962875772606</v>
      </c>
    </row>
    <row r="169" spans="1:14">
      <c r="B169" s="331" t="str">
        <f t="shared" si="59"/>
        <v>60-64</v>
      </c>
      <c r="C169" s="447">
        <f>C101*Calc_SEC_retirement_rates!$G148</f>
        <v>59.463841898044684</v>
      </c>
      <c r="D169" s="447">
        <f>D101*Calc_SEC_retirement_rates!$G148</f>
        <v>56.977161272669562</v>
      </c>
      <c r="E169" s="447">
        <f>E101*Calc_SEC_retirement_rates!$G148</f>
        <v>53.507662065634996</v>
      </c>
      <c r="F169" s="447">
        <f>F101*Calc_SEC_retirement_rates!$G148</f>
        <v>50.4052641162125</v>
      </c>
      <c r="G169" s="447">
        <f>G101*Calc_SEC_retirement_rates!$G148</f>
        <v>47.602901082422235</v>
      </c>
      <c r="H169" s="447">
        <f>H101*Calc_SEC_retirement_rates!$G148</f>
        <v>45.232205551043336</v>
      </c>
      <c r="I169" s="447">
        <f>I101*Calc_SEC_retirement_rates!$G148</f>
        <v>43.212067571259325</v>
      </c>
      <c r="J169" s="447">
        <f>J101*Calc_SEC_retirement_rates!$G148</f>
        <v>41.848413362892778</v>
      </c>
      <c r="K169" s="447">
        <f>K101*Calc_SEC_retirement_rates!$G148</f>
        <v>40.876977895048746</v>
      </c>
      <c r="L169" s="447">
        <f>L101*Calc_SEC_retirement_rates!$G148</f>
        <v>39.872848367570242</v>
      </c>
      <c r="M169" s="447">
        <f>M101*Calc_SEC_retirement_rates!$G148</f>
        <v>38.930406074905932</v>
      </c>
      <c r="N169" s="447">
        <f>N101*Calc_SEC_retirement_rates!$G148</f>
        <v>38.299942604692745</v>
      </c>
    </row>
    <row r="170" spans="1:14">
      <c r="B170" s="331" t="str">
        <f t="shared" si="59"/>
        <v>65 plus</v>
      </c>
      <c r="C170" s="447">
        <f>C102*Calc_SEC_retirement_rates!$G149</f>
        <v>9.9150801677841862</v>
      </c>
      <c r="D170" s="447">
        <f>D102*Calc_SEC_retirement_rates!$G149</f>
        <v>14.677793551519548</v>
      </c>
      <c r="E170" s="447">
        <f>E102*Calc_SEC_retirement_rates!$G149</f>
        <v>17.429706728104154</v>
      </c>
      <c r="F170" s="447">
        <f>F102*Calc_SEC_retirement_rates!$G149</f>
        <v>18.838368654988823</v>
      </c>
      <c r="G170" s="447">
        <f>G102*Calc_SEC_retirement_rates!$G149</f>
        <v>19.286854308134643</v>
      </c>
      <c r="H170" s="447">
        <f>H102*Calc_SEC_retirement_rates!$G149</f>
        <v>19.186638304277043</v>
      </c>
      <c r="I170" s="447">
        <f>I102*Calc_SEC_retirement_rates!$G149</f>
        <v>18.777047322816276</v>
      </c>
      <c r="J170" s="447">
        <f>J102*Calc_SEC_retirement_rates!$G149</f>
        <v>18.356374875324239</v>
      </c>
      <c r="K170" s="447">
        <f>K102*Calc_SEC_retirement_rates!$G149</f>
        <v>17.963044844224047</v>
      </c>
      <c r="L170" s="447">
        <f>L102*Calc_SEC_retirement_rates!$G149</f>
        <v>17.506610494480576</v>
      </c>
      <c r="M170" s="447">
        <f>M102*Calc_SEC_retirement_rates!$G149</f>
        <v>17.041947563269332</v>
      </c>
      <c r="N170" s="447">
        <f>N102*Calc_SEC_retirement_rates!$G149</f>
        <v>16.683135560267147</v>
      </c>
    </row>
    <row r="171" spans="1:14">
      <c r="B171" s="331" t="str">
        <f t="shared" si="59"/>
        <v>Total</v>
      </c>
      <c r="C171" s="447">
        <f>SUM(C161:C170)</f>
        <v>175.19432468418705</v>
      </c>
      <c r="D171" s="447">
        <f t="shared" ref="D171:N171" si="61">SUM(D161:D170)</f>
        <v>168.54040779250479</v>
      </c>
      <c r="E171" s="447">
        <f t="shared" si="61"/>
        <v>161.67382573512705</v>
      </c>
      <c r="F171" s="447">
        <f t="shared" si="61"/>
        <v>155.80677400751694</v>
      </c>
      <c r="G171" s="447">
        <f t="shared" si="61"/>
        <v>150.13945601794092</v>
      </c>
      <c r="H171" s="447">
        <f t="shared" si="61"/>
        <v>144.98136452864978</v>
      </c>
      <c r="I171" s="447">
        <f t="shared" si="61"/>
        <v>140.23451226110188</v>
      </c>
      <c r="J171" s="447">
        <f t="shared" si="61"/>
        <v>136.86487896686205</v>
      </c>
      <c r="K171" s="447">
        <f t="shared" si="61"/>
        <v>134.34803766565543</v>
      </c>
      <c r="L171" s="447">
        <f t="shared" si="61"/>
        <v>131.63894160240679</v>
      </c>
      <c r="M171" s="447">
        <f t="shared" si="61"/>
        <v>128.993855574176</v>
      </c>
      <c r="N171" s="447">
        <f t="shared" si="61"/>
        <v>127.11209908989061</v>
      </c>
    </row>
    <row r="172" spans="1:14">
      <c r="A172" s="302">
        <f>SUM(C172:N172)</f>
        <v>0</v>
      </c>
      <c r="C172" s="302">
        <f>SUM(C161:C170)-C171</f>
        <v>0</v>
      </c>
      <c r="D172" s="302">
        <f t="shared" ref="D172:N172" si="62">SUM(D161:D170)-D171</f>
        <v>0</v>
      </c>
      <c r="E172" s="302">
        <f t="shared" si="62"/>
        <v>0</v>
      </c>
      <c r="F172" s="302">
        <f t="shared" si="62"/>
        <v>0</v>
      </c>
      <c r="G172" s="302">
        <f t="shared" si="62"/>
        <v>0</v>
      </c>
      <c r="H172" s="302">
        <f t="shared" si="62"/>
        <v>0</v>
      </c>
      <c r="I172" s="302">
        <f t="shared" si="62"/>
        <v>0</v>
      </c>
      <c r="J172" s="302">
        <f t="shared" si="62"/>
        <v>0</v>
      </c>
      <c r="K172" s="302">
        <f t="shared" si="62"/>
        <v>0</v>
      </c>
      <c r="L172" s="302">
        <f t="shared" si="62"/>
        <v>0</v>
      </c>
      <c r="M172" s="302">
        <f t="shared" si="62"/>
        <v>0</v>
      </c>
      <c r="N172" s="302">
        <f t="shared" si="62"/>
        <v>0</v>
      </c>
    </row>
    <row r="174" spans="1:14" ht="15.75">
      <c r="B174" s="333" t="s">
        <v>527</v>
      </c>
      <c r="H174" s="318"/>
    </row>
    <row r="175" spans="1:14">
      <c r="H175" s="318"/>
    </row>
    <row r="176" spans="1:14">
      <c r="B176" s="334" t="s">
        <v>46</v>
      </c>
      <c r="H176" s="318"/>
    </row>
    <row r="177" spans="1:14">
      <c r="H177" s="318"/>
    </row>
    <row r="178" spans="1:14">
      <c r="B178" s="331" t="str">
        <f t="shared" ref="B178:B189" si="63">B144</f>
        <v>Age group</v>
      </c>
      <c r="C178" s="331" t="str">
        <f t="shared" ref="C178:N178" si="64">C144</f>
        <v>2017/18</v>
      </c>
      <c r="D178" s="331" t="str">
        <f t="shared" si="64"/>
        <v>2018/19</v>
      </c>
      <c r="E178" s="331" t="str">
        <f t="shared" si="64"/>
        <v>2019/20</v>
      </c>
      <c r="F178" s="331" t="str">
        <f t="shared" si="64"/>
        <v>2020/21</v>
      </c>
      <c r="G178" s="331" t="str">
        <f t="shared" si="64"/>
        <v>2021/22</v>
      </c>
      <c r="H178" s="331" t="str">
        <f t="shared" si="64"/>
        <v>2022/23</v>
      </c>
      <c r="I178" s="331" t="str">
        <f t="shared" si="64"/>
        <v>2023/24</v>
      </c>
      <c r="J178" s="331" t="str">
        <f t="shared" si="64"/>
        <v>2024/25</v>
      </c>
      <c r="K178" s="331" t="str">
        <f t="shared" si="64"/>
        <v>2025/26</v>
      </c>
      <c r="L178" s="331" t="str">
        <f t="shared" si="64"/>
        <v>2026/27</v>
      </c>
      <c r="M178" s="331" t="str">
        <f t="shared" si="64"/>
        <v>2027/28</v>
      </c>
      <c r="N178" s="331" t="str">
        <f t="shared" si="64"/>
        <v>2028/29</v>
      </c>
    </row>
    <row r="179" spans="1:14">
      <c r="B179" s="331" t="str">
        <f t="shared" si="63"/>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3"/>
        <v>25-29</v>
      </c>
      <c r="C180" s="447">
        <f>C78*Calc_SEC_death_rates!$G125</f>
        <v>2.3732382153104147E-2</v>
      </c>
      <c r="D180" s="447">
        <f>D78*Calc_SEC_death_rates!$G125</f>
        <v>2.924034309319596E-2</v>
      </c>
      <c r="E180" s="447">
        <f>E78*Calc_SEC_death_rates!$G125</f>
        <v>3.4803243189489734E-2</v>
      </c>
      <c r="F180" s="447">
        <f>F78*Calc_SEC_death_rates!$G125</f>
        <v>4.0411311461246872E-2</v>
      </c>
      <c r="G180" s="447">
        <f>G78*Calc_SEC_death_rates!$G125</f>
        <v>4.4823320283379146E-2</v>
      </c>
      <c r="H180" s="447">
        <f>H78*Calc_SEC_death_rates!$G125</f>
        <v>4.8032972795417739E-2</v>
      </c>
      <c r="I180" s="447">
        <f>I78*Calc_SEC_death_rates!$G125</f>
        <v>5.0075370179756419E-2</v>
      </c>
      <c r="J180" s="447">
        <f>J78*Calc_SEC_death_rates!$G125</f>
        <v>5.2240819207891025E-2</v>
      </c>
      <c r="K180" s="447">
        <f>K78*Calc_SEC_death_rates!$G125</f>
        <v>5.4215886192923862E-2</v>
      </c>
      <c r="L180" s="447">
        <f>L78*Calc_SEC_death_rates!$G125</f>
        <v>5.5058532426263372E-2</v>
      </c>
      <c r="M180" s="447">
        <f>M78*Calc_SEC_death_rates!$G125</f>
        <v>5.5212574969540525E-2</v>
      </c>
      <c r="N180" s="447">
        <f>N78*Calc_SEC_death_rates!$G125</f>
        <v>5.5613865445722381E-2</v>
      </c>
    </row>
    <row r="181" spans="1:14">
      <c r="B181" s="331" t="str">
        <f t="shared" si="63"/>
        <v>30-34</v>
      </c>
      <c r="C181" s="447">
        <f>C79*Calc_SEC_death_rates!$G126</f>
        <v>0.13927481728359678</v>
      </c>
      <c r="D181" s="447">
        <f>D79*Calc_SEC_death_rates!$G126</f>
        <v>0.13738724984284273</v>
      </c>
      <c r="E181" s="447">
        <f>E79*Calc_SEC_death_rates!$G126</f>
        <v>0.13946179870749237</v>
      </c>
      <c r="F181" s="447">
        <f>F79*Calc_SEC_death_rates!$G126</f>
        <v>0.14490673683125618</v>
      </c>
      <c r="G181" s="447">
        <f>G79*Calc_SEC_death_rates!$G126</f>
        <v>0.15129710530618015</v>
      </c>
      <c r="H181" s="447">
        <f>H79*Calc_SEC_death_rates!$G126</f>
        <v>0.1575911579129872</v>
      </c>
      <c r="I181" s="447">
        <f>I79*Calc_SEC_death_rates!$G126</f>
        <v>0.1630055284125031</v>
      </c>
      <c r="J181" s="447">
        <f>J79*Calc_SEC_death_rates!$G126</f>
        <v>0.1691798889291318</v>
      </c>
      <c r="K181" s="447">
        <f>K79*Calc_SEC_death_rates!$G126</f>
        <v>0.17540235115112562</v>
      </c>
      <c r="L181" s="447">
        <f>L79*Calc_SEC_death_rates!$G126</f>
        <v>0.17977614760237892</v>
      </c>
      <c r="M181" s="447">
        <f>M79*Calc_SEC_death_rates!$G126</f>
        <v>0.18265816526183301</v>
      </c>
      <c r="N181" s="447">
        <f>N79*Calc_SEC_death_rates!$G126</f>
        <v>0.18552505735706917</v>
      </c>
    </row>
    <row r="182" spans="1:14">
      <c r="B182" s="331" t="str">
        <f t="shared" si="63"/>
        <v>35-39</v>
      </c>
      <c r="C182" s="447">
        <f>C80*Calc_SEC_death_rates!$G127</f>
        <v>0.33155326306657323</v>
      </c>
      <c r="D182" s="447">
        <f>D80*Calc_SEC_death_rates!$G127</f>
        <v>0.32434632282812381</v>
      </c>
      <c r="E182" s="447">
        <f>E80*Calc_SEC_death_rates!$G127</f>
        <v>0.3192590310998758</v>
      </c>
      <c r="F182" s="447">
        <f>F80*Calc_SEC_death_rates!$G127</f>
        <v>0.31700000631961517</v>
      </c>
      <c r="G182" s="447">
        <f>G80*Calc_SEC_death_rates!$G127</f>
        <v>0.31652198365842626</v>
      </c>
      <c r="H182" s="447">
        <f>H80*Calc_SEC_death_rates!$G127</f>
        <v>0.31735769859075968</v>
      </c>
      <c r="I182" s="447">
        <f>I80*Calc_SEC_death_rates!$G127</f>
        <v>0.31894194406281007</v>
      </c>
      <c r="J182" s="447">
        <f>J80*Calc_SEC_death_rates!$G127</f>
        <v>0.32343648166523237</v>
      </c>
      <c r="K182" s="447">
        <f>K80*Calc_SEC_death_rates!$G127</f>
        <v>0.32961194695703916</v>
      </c>
      <c r="L182" s="447">
        <f>L80*Calc_SEC_death_rates!$G127</f>
        <v>0.33473745080023631</v>
      </c>
      <c r="M182" s="447">
        <f>M80*Calc_SEC_death_rates!$G127</f>
        <v>0.33906310086369734</v>
      </c>
      <c r="N182" s="447">
        <f>N80*Calc_SEC_death_rates!$G127</f>
        <v>0.34416539779259447</v>
      </c>
    </row>
    <row r="183" spans="1:14">
      <c r="B183" s="331" t="str">
        <f t="shared" si="63"/>
        <v>40-44</v>
      </c>
      <c r="C183" s="447">
        <f>C81*Calc_SEC_death_rates!$G128</f>
        <v>0.51653302469113405</v>
      </c>
      <c r="D183" s="447">
        <f>D81*Calc_SEC_death_rates!$G128</f>
        <v>0.50603533077383567</v>
      </c>
      <c r="E183" s="447">
        <f>E81*Calc_SEC_death_rates!$G128</f>
        <v>0.49788779919885345</v>
      </c>
      <c r="F183" s="447">
        <f>F81*Calc_SEC_death_rates!$G128</f>
        <v>0.49102521916446296</v>
      </c>
      <c r="G183" s="447">
        <f>G81*Calc_SEC_death_rates!$G128</f>
        <v>0.48455855205517845</v>
      </c>
      <c r="H183" s="447">
        <f>H81*Calc_SEC_death_rates!$G128</f>
        <v>0.47823559520174658</v>
      </c>
      <c r="I183" s="447">
        <f>I81*Calc_SEC_death_rates!$G128</f>
        <v>0.4721436675937179</v>
      </c>
      <c r="J183" s="447">
        <f>J81*Calc_SEC_death_rates!$G128</f>
        <v>0.46974917163016983</v>
      </c>
      <c r="K183" s="447">
        <f>K81*Calc_SEC_death_rates!$G128</f>
        <v>0.4699446370886276</v>
      </c>
      <c r="L183" s="447">
        <f>L81*Calc_SEC_death_rates!$G128</f>
        <v>0.46964126616945734</v>
      </c>
      <c r="M183" s="447">
        <f>M81*Calc_SEC_death_rates!$G128</f>
        <v>0.4694937704276011</v>
      </c>
      <c r="N183" s="447">
        <f>N81*Calc_SEC_death_rates!$G128</f>
        <v>0.47161756557107537</v>
      </c>
    </row>
    <row r="184" spans="1:14">
      <c r="B184" s="331" t="str">
        <f t="shared" si="63"/>
        <v>45-49</v>
      </c>
      <c r="C184" s="447">
        <f>C82*Calc_SEC_death_rates!$G129</f>
        <v>0.82840993668470542</v>
      </c>
      <c r="D184" s="447">
        <f>D82*Calc_SEC_death_rates!$G129</f>
        <v>0.79144297342179037</v>
      </c>
      <c r="E184" s="447">
        <f>E82*Calc_SEC_death_rates!$G129</f>
        <v>0.76410811761692232</v>
      </c>
      <c r="F184" s="447">
        <f>F82*Calc_SEC_death_rates!$G129</f>
        <v>0.74190731655490383</v>
      </c>
      <c r="G184" s="447">
        <f>G82*Calc_SEC_death_rates!$G129</f>
        <v>0.72308370945411027</v>
      </c>
      <c r="H184" s="447">
        <f>H82*Calc_SEC_death_rates!$G129</f>
        <v>0.7057350576221626</v>
      </c>
      <c r="I184" s="447">
        <f>I82*Calc_SEC_death_rates!$G129</f>
        <v>0.68920774560107889</v>
      </c>
      <c r="J184" s="447">
        <f>J82*Calc_SEC_death_rates!$G129</f>
        <v>0.67747067989439747</v>
      </c>
      <c r="K184" s="447">
        <f>K82*Calc_SEC_death_rates!$G129</f>
        <v>0.66909958996488217</v>
      </c>
      <c r="L184" s="447">
        <f>L82*Calc_SEC_death_rates!$G129</f>
        <v>0.66034306403609599</v>
      </c>
      <c r="M184" s="447">
        <f>M82*Calc_SEC_death_rates!$G129</f>
        <v>0.65217799317571756</v>
      </c>
      <c r="N184" s="447">
        <f>N82*Calc_SEC_death_rates!$G129</f>
        <v>0.64744491753440236</v>
      </c>
    </row>
    <row r="185" spans="1:14">
      <c r="B185" s="331" t="str">
        <f t="shared" si="63"/>
        <v>50-54</v>
      </c>
      <c r="C185" s="447">
        <f>C83*Calc_SEC_death_rates!$G130</f>
        <v>0.94253412111299717</v>
      </c>
      <c r="D185" s="447">
        <f>D83*Calc_SEC_death_rates!$G130</f>
        <v>0.87885924439999585</v>
      </c>
      <c r="E185" s="447">
        <f>E83*Calc_SEC_death_rates!$G130</f>
        <v>0.82889935957230487</v>
      </c>
      <c r="F185" s="447">
        <f>F83*Calc_SEC_death_rates!$G130</f>
        <v>0.78714661346177472</v>
      </c>
      <c r="G185" s="447">
        <f>G83*Calc_SEC_death_rates!$G130</f>
        <v>0.75256245572850766</v>
      </c>
      <c r="H185" s="447">
        <f>H83*Calc_SEC_death_rates!$G130</f>
        <v>0.72251059196335754</v>
      </c>
      <c r="I185" s="447">
        <f>I83*Calc_SEC_death_rates!$G130</f>
        <v>0.69572417596905911</v>
      </c>
      <c r="J185" s="447">
        <f>J83*Calc_SEC_death_rates!$G130</f>
        <v>0.67503475852611883</v>
      </c>
      <c r="K185" s="447">
        <f>K83*Calc_SEC_death_rates!$G130</f>
        <v>0.65865543679716121</v>
      </c>
      <c r="L185" s="447">
        <f>L83*Calc_SEC_death_rates!$G130</f>
        <v>0.6429192799357718</v>
      </c>
      <c r="M185" s="447">
        <f>M83*Calc_SEC_death_rates!$G130</f>
        <v>0.62844382568929846</v>
      </c>
      <c r="N185" s="447">
        <f>N83*Calc_SEC_death_rates!$G130</f>
        <v>0.61757260124208468</v>
      </c>
    </row>
    <row r="186" spans="1:14">
      <c r="B186" s="331" t="str">
        <f t="shared" si="63"/>
        <v>55-59</v>
      </c>
      <c r="C186" s="447">
        <f>C84*Calc_SEC_death_rates!$G131</f>
        <v>1.071540812663353</v>
      </c>
      <c r="D186" s="447">
        <f>D84*Calc_SEC_death_rates!$G131</f>
        <v>0.91219961823464191</v>
      </c>
      <c r="E186" s="447">
        <f>E84*Calc_SEC_death_rates!$G131</f>
        <v>0.80285062303539256</v>
      </c>
      <c r="F186" s="447">
        <f>F84*Calc_SEC_death_rates!$G131</f>
        <v>0.72458195118443935</v>
      </c>
      <c r="G186" s="447">
        <f>G84*Calc_SEC_death_rates!$G131</f>
        <v>0.66654687249652489</v>
      </c>
      <c r="H186" s="447">
        <f>H84*Calc_SEC_death_rates!$G131</f>
        <v>0.62156756567807292</v>
      </c>
      <c r="I186" s="447">
        <f>I84*Calc_SEC_death_rates!$G131</f>
        <v>0.58533293342386461</v>
      </c>
      <c r="J186" s="447">
        <f>J84*Calc_SEC_death_rates!$G131</f>
        <v>0.55855781355612644</v>
      </c>
      <c r="K186" s="447">
        <f>K84*Calc_SEC_death_rates!$G131</f>
        <v>0.53802938945168199</v>
      </c>
      <c r="L186" s="447">
        <f>L84*Calc_SEC_death_rates!$G131</f>
        <v>0.51940216068534661</v>
      </c>
      <c r="M186" s="447">
        <f>M84*Calc_SEC_death_rates!$G131</f>
        <v>0.50291042491336102</v>
      </c>
      <c r="N186" s="447">
        <f>N84*Calc_SEC_death_rates!$G131</f>
        <v>0.49044091965668157</v>
      </c>
    </row>
    <row r="187" spans="1:14">
      <c r="B187" s="331" t="str">
        <f t="shared" si="63"/>
        <v>60-64</v>
      </c>
      <c r="C187" s="447">
        <f>C85*Calc_SEC_death_rates!$G132</f>
        <v>0.67043784889086511</v>
      </c>
      <c r="D187" s="447">
        <f>D85*Calc_SEC_death_rates!$G132</f>
        <v>0.64046491850099518</v>
      </c>
      <c r="E187" s="447">
        <f>E85*Calc_SEC_death_rates!$G132</f>
        <v>0.58724738240310903</v>
      </c>
      <c r="F187" s="447">
        <f>F85*Calc_SEC_death_rates!$G132</f>
        <v>0.53308738337907025</v>
      </c>
      <c r="G187" s="447">
        <f>G85*Calc_SEC_death_rates!$G132</f>
        <v>0.48521660952262607</v>
      </c>
      <c r="H187" s="447">
        <f>H85*Calc_SEC_death_rates!$G132</f>
        <v>0.44493890982599621</v>
      </c>
      <c r="I187" s="447">
        <f>I85*Calc_SEC_death_rates!$G132</f>
        <v>0.41157874273853506</v>
      </c>
      <c r="J187" s="447">
        <f>J85*Calc_SEC_death_rates!$G132</f>
        <v>0.38700283548666792</v>
      </c>
      <c r="K187" s="447">
        <f>K85*Calc_SEC_death_rates!$G132</f>
        <v>0.36840868535913579</v>
      </c>
      <c r="L187" s="447">
        <f>L85*Calc_SEC_death_rates!$G132</f>
        <v>0.35177855386849077</v>
      </c>
      <c r="M187" s="447">
        <f>M85*Calc_SEC_death_rates!$G132</f>
        <v>0.33738032624138931</v>
      </c>
      <c r="N187" s="447">
        <f>N85*Calc_SEC_death_rates!$G132</f>
        <v>0.32685274651446905</v>
      </c>
    </row>
    <row r="188" spans="1:14">
      <c r="B188" s="331" t="str">
        <f t="shared" si="63"/>
        <v>65 plus</v>
      </c>
      <c r="C188" s="447">
        <f>C86*Calc_SEC_death_rates!$G133</f>
        <v>0.18086810636914119</v>
      </c>
      <c r="D188" s="447">
        <f>D86*Calc_SEC_death_rates!$G133</f>
        <v>0.21128115012250354</v>
      </c>
      <c r="E188" s="447">
        <f>E86*Calc_SEC_death_rates!$G133</f>
        <v>0.22660281744089544</v>
      </c>
      <c r="F188" s="447">
        <f>F86*Calc_SEC_death_rates!$G133</f>
        <v>0.2285520801395298</v>
      </c>
      <c r="G188" s="447">
        <f>G86*Calc_SEC_death_rates!$G133</f>
        <v>0.22243810280489815</v>
      </c>
      <c r="H188" s="447">
        <f>H86*Calc_SEC_death_rates!$G133</f>
        <v>0.2118155917203407</v>
      </c>
      <c r="I188" s="447">
        <f>I86*Calc_SEC_death_rates!$G133</f>
        <v>0.19939119351338389</v>
      </c>
      <c r="J188" s="447">
        <f>J86*Calc_SEC_death_rates!$G133</f>
        <v>0.18813968835146641</v>
      </c>
      <c r="K188" s="447">
        <f>K86*Calc_SEC_death_rates!$G133</f>
        <v>0.17838217101935408</v>
      </c>
      <c r="L188" s="447">
        <f>L86*Calc_SEC_death_rates!$G133</f>
        <v>0.16916096988714616</v>
      </c>
      <c r="M188" s="447">
        <f>M86*Calc_SEC_death_rates!$G133</f>
        <v>0.16085262547070142</v>
      </c>
      <c r="N188" s="447">
        <f>N86*Calc_SEC_death_rates!$G133</f>
        <v>0.15434964647598443</v>
      </c>
    </row>
    <row r="189" spans="1:14">
      <c r="B189" s="331" t="str">
        <f t="shared" si="63"/>
        <v>Total</v>
      </c>
      <c r="C189" s="447">
        <f>SUM(C179:C188)</f>
        <v>4.7048843129154703</v>
      </c>
      <c r="D189" s="447">
        <f t="shared" ref="D189:N189" si="65">SUM(D179:D188)</f>
        <v>4.4312571512179249</v>
      </c>
      <c r="E189" s="447">
        <f t="shared" si="65"/>
        <v>4.2011201722643348</v>
      </c>
      <c r="F189" s="447">
        <f t="shared" si="65"/>
        <v>4.0086186184962997</v>
      </c>
      <c r="G189" s="447">
        <f t="shared" si="65"/>
        <v>3.8470487113098311</v>
      </c>
      <c r="H189" s="447">
        <f t="shared" si="65"/>
        <v>3.7077851413108416</v>
      </c>
      <c r="I189" s="447">
        <f t="shared" si="65"/>
        <v>3.5854013014947093</v>
      </c>
      <c r="J189" s="447">
        <f t="shared" si="65"/>
        <v>3.5008121372472023</v>
      </c>
      <c r="K189" s="447">
        <f t="shared" si="65"/>
        <v>3.4417500939819314</v>
      </c>
      <c r="L189" s="447">
        <f t="shared" si="65"/>
        <v>3.3828174254111874</v>
      </c>
      <c r="M189" s="447">
        <f t="shared" si="65"/>
        <v>3.3281928070131399</v>
      </c>
      <c r="N189" s="447">
        <f t="shared" si="65"/>
        <v>3.2935827175900836</v>
      </c>
    </row>
    <row r="190" spans="1:14">
      <c r="A190" s="302">
        <f>SUM(C190:N190)</f>
        <v>0</v>
      </c>
      <c r="C190" s="302">
        <f>SUM(C179:C188)-C189</f>
        <v>0</v>
      </c>
      <c r="D190" s="302">
        <f t="shared" ref="D190:N190" si="66">SUM(D179:D188)-D189</f>
        <v>0</v>
      </c>
      <c r="E190" s="302">
        <f t="shared" si="66"/>
        <v>0</v>
      </c>
      <c r="F190" s="302">
        <f t="shared" si="66"/>
        <v>0</v>
      </c>
      <c r="G190" s="302">
        <f t="shared" si="66"/>
        <v>0</v>
      </c>
      <c r="H190" s="302">
        <f t="shared" si="66"/>
        <v>0</v>
      </c>
      <c r="I190" s="302">
        <f t="shared" si="66"/>
        <v>0</v>
      </c>
      <c r="J190" s="302">
        <f t="shared" si="66"/>
        <v>0</v>
      </c>
      <c r="K190" s="302">
        <f t="shared" si="66"/>
        <v>0</v>
      </c>
      <c r="L190" s="302">
        <f t="shared" si="66"/>
        <v>0</v>
      </c>
      <c r="M190" s="302">
        <f t="shared" si="66"/>
        <v>0</v>
      </c>
      <c r="N190" s="302">
        <f t="shared" si="66"/>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7">B178</f>
        <v>Age group</v>
      </c>
      <c r="C194" s="331" t="str">
        <f t="shared" ref="C194:N194" si="68">C178</f>
        <v>2017/18</v>
      </c>
      <c r="D194" s="331" t="str">
        <f t="shared" si="68"/>
        <v>2018/19</v>
      </c>
      <c r="E194" s="331" t="str">
        <f t="shared" si="68"/>
        <v>2019/20</v>
      </c>
      <c r="F194" s="331" t="str">
        <f t="shared" si="68"/>
        <v>2020/21</v>
      </c>
      <c r="G194" s="331" t="str">
        <f t="shared" si="68"/>
        <v>2021/22</v>
      </c>
      <c r="H194" s="331" t="str">
        <f t="shared" si="68"/>
        <v>2022/23</v>
      </c>
      <c r="I194" s="331" t="str">
        <f t="shared" si="68"/>
        <v>2023/24</v>
      </c>
      <c r="J194" s="331" t="str">
        <f t="shared" si="68"/>
        <v>2024/25</v>
      </c>
      <c r="K194" s="331" t="str">
        <f t="shared" si="68"/>
        <v>2025/26</v>
      </c>
      <c r="L194" s="331" t="str">
        <f t="shared" si="68"/>
        <v>2026/27</v>
      </c>
      <c r="M194" s="331" t="str">
        <f t="shared" si="68"/>
        <v>2027/28</v>
      </c>
      <c r="N194" s="331" t="str">
        <f t="shared" si="68"/>
        <v>2028/29</v>
      </c>
    </row>
    <row r="195" spans="1:14">
      <c r="B195" s="331" t="str">
        <f t="shared" si="67"/>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7"/>
        <v>25-29</v>
      </c>
      <c r="C196" s="447">
        <f>C94*Calc_SEC_death_rates!$G141</f>
        <v>7.1906332119501995E-2</v>
      </c>
      <c r="D196" s="447">
        <f>D94*Calc_SEC_death_rates!$G141</f>
        <v>7.4325127587123785E-2</v>
      </c>
      <c r="E196" s="447">
        <f>E94*Calc_SEC_death_rates!$G141</f>
        <v>7.8152333818404834E-2</v>
      </c>
      <c r="F196" s="447">
        <f>F94*Calc_SEC_death_rates!$G141</f>
        <v>8.3364400863392002E-2</v>
      </c>
      <c r="G196" s="447">
        <f>G94*Calc_SEC_death_rates!$G141</f>
        <v>8.732393903976797E-2</v>
      </c>
      <c r="H196" s="447">
        <f>H94*Calc_SEC_death_rates!$G141</f>
        <v>9.0038699397143734E-2</v>
      </c>
      <c r="I196" s="447">
        <f>I94*Calc_SEC_death_rates!$G141</f>
        <v>9.1398894213721937E-2</v>
      </c>
      <c r="J196" s="447">
        <f>J94*Calc_SEC_death_rates!$G141</f>
        <v>9.3466629251554273E-2</v>
      </c>
      <c r="K196" s="447">
        <f>K94*Calc_SEC_death_rates!$G141</f>
        <v>9.5594270367861625E-2</v>
      </c>
      <c r="L196" s="447">
        <f>L94*Calc_SEC_death_rates!$G141</f>
        <v>9.6087489762853431E-2</v>
      </c>
      <c r="M196" s="447">
        <f>M94*Calc_SEC_death_rates!$G141</f>
        <v>9.5636339371000537E-2</v>
      </c>
      <c r="N196" s="447">
        <f>N94*Calc_SEC_death_rates!$G141</f>
        <v>9.57832355060413E-2</v>
      </c>
    </row>
    <row r="197" spans="1:14">
      <c r="B197" s="331" t="str">
        <f t="shared" si="67"/>
        <v>30-34</v>
      </c>
      <c r="C197" s="447">
        <f>C95*Calc_SEC_death_rates!$G142</f>
        <v>8.3605761599836861E-2</v>
      </c>
      <c r="D197" s="447">
        <f>D95*Calc_SEC_death_rates!$G142</f>
        <v>8.085614194051291E-2</v>
      </c>
      <c r="E197" s="447">
        <f>E95*Calc_SEC_death_rates!$G142</f>
        <v>7.9196292866295898E-2</v>
      </c>
      <c r="F197" s="447">
        <f>F95*Calc_SEC_death_rates!$G142</f>
        <v>7.8939619899451863E-2</v>
      </c>
      <c r="G197" s="447">
        <f>G95*Calc_SEC_death_rates!$G142</f>
        <v>7.8998742939382333E-2</v>
      </c>
      <c r="H197" s="447">
        <f>H95*Calc_SEC_death_rates!$G142</f>
        <v>7.9213744372122308E-2</v>
      </c>
      <c r="I197" s="447">
        <f>I95*Calc_SEC_death_rates!$G142</f>
        <v>7.9302679150640681E-2</v>
      </c>
      <c r="J197" s="447">
        <f>J95*Calc_SEC_death_rates!$G142</f>
        <v>8.0009505506631468E-2</v>
      </c>
      <c r="K197" s="447">
        <f>K95*Calc_SEC_death_rates!$G142</f>
        <v>8.1012752853246522E-2</v>
      </c>
      <c r="L197" s="447">
        <f>L95*Calc_SEC_death_rates!$G142</f>
        <v>8.1461217735521202E-2</v>
      </c>
      <c r="M197" s="447">
        <f>M95*Calc_SEC_death_rates!$G142</f>
        <v>8.1493897258821377E-2</v>
      </c>
      <c r="N197" s="447">
        <f>N95*Calc_SEC_death_rates!$G142</f>
        <v>8.1734325358943927E-2</v>
      </c>
    </row>
    <row r="198" spans="1:14">
      <c r="B198" s="331" t="str">
        <f t="shared" si="67"/>
        <v>35-39</v>
      </c>
      <c r="C198" s="447">
        <f>C96*Calc_SEC_death_rates!$G143</f>
        <v>0.39977536209922743</v>
      </c>
      <c r="D198" s="447">
        <f>D96*Calc_SEC_death_rates!$G143</f>
        <v>0.39975201625790324</v>
      </c>
      <c r="E198" s="447">
        <f>E96*Calc_SEC_death_rates!$G143</f>
        <v>0.39727234309465503</v>
      </c>
      <c r="F198" s="447">
        <f>F96*Calc_SEC_death_rates!$G143</f>
        <v>0.39514218874142937</v>
      </c>
      <c r="G198" s="447">
        <f>G96*Calc_SEC_death_rates!$G143</f>
        <v>0.39162560773930677</v>
      </c>
      <c r="H198" s="447">
        <f>H96*Calc_SEC_death_rates!$G143</f>
        <v>0.38784260342661053</v>
      </c>
      <c r="I198" s="447">
        <f>I96*Calc_SEC_death_rates!$G143</f>
        <v>0.38379272800543762</v>
      </c>
      <c r="J198" s="447">
        <f>J96*Calc_SEC_death_rates!$G143</f>
        <v>0.38235586735912169</v>
      </c>
      <c r="K198" s="447">
        <f>K96*Calc_SEC_death_rates!$G143</f>
        <v>0.38256258130313753</v>
      </c>
      <c r="L198" s="447">
        <f>L96*Calc_SEC_death_rates!$G143</f>
        <v>0.38171175320859196</v>
      </c>
      <c r="M198" s="447">
        <f>M96*Calc_SEC_death_rates!$G143</f>
        <v>0.3803032416646695</v>
      </c>
      <c r="N198" s="447">
        <f>N96*Calc_SEC_death_rates!$G143</f>
        <v>0.38020553280839736</v>
      </c>
    </row>
    <row r="199" spans="1:14">
      <c r="B199" s="331" t="str">
        <f t="shared" si="67"/>
        <v>40-44</v>
      </c>
      <c r="C199" s="447">
        <f>C97*Calc_SEC_death_rates!$G144</f>
        <v>0.32380702690361213</v>
      </c>
      <c r="D199" s="447">
        <f>D97*Calc_SEC_death_rates!$G144</f>
        <v>0.32467541303707292</v>
      </c>
      <c r="E199" s="447">
        <f>E97*Calc_SEC_death_rates!$G144</f>
        <v>0.32530637835081</v>
      </c>
      <c r="F199" s="447">
        <f>F97*Calc_SEC_death_rates!$G144</f>
        <v>0.32618254477473468</v>
      </c>
      <c r="G199" s="447">
        <f>G97*Calc_SEC_death_rates!$G144</f>
        <v>0.32518536197612036</v>
      </c>
      <c r="H199" s="447">
        <f>H97*Calc_SEC_death_rates!$G144</f>
        <v>0.32297489521174666</v>
      </c>
      <c r="I199" s="447">
        <f>I97*Calc_SEC_death_rates!$G144</f>
        <v>0.31967717052484745</v>
      </c>
      <c r="J199" s="447">
        <f>J97*Calc_SEC_death_rates!$G144</f>
        <v>0.31766724875053481</v>
      </c>
      <c r="K199" s="447">
        <f>K97*Calc_SEC_death_rates!$G144</f>
        <v>0.31641773799345202</v>
      </c>
      <c r="L199" s="447">
        <f>L97*Calc_SEC_death_rates!$G144</f>
        <v>0.31414698061269231</v>
      </c>
      <c r="M199" s="447">
        <f>M97*Calc_SEC_death_rates!$G144</f>
        <v>0.31147912922099835</v>
      </c>
      <c r="N199" s="447">
        <f>N97*Calc_SEC_death_rates!$G144</f>
        <v>0.30995544152547927</v>
      </c>
    </row>
    <row r="200" spans="1:14">
      <c r="B200" s="331" t="str">
        <f t="shared" si="67"/>
        <v>45-49</v>
      </c>
      <c r="C200" s="447">
        <f>C98*Calc_SEC_death_rates!$G145</f>
        <v>0.6007114899870607</v>
      </c>
      <c r="D200" s="447">
        <f>D98*Calc_SEC_death_rates!$G145</f>
        <v>0.58800570161251753</v>
      </c>
      <c r="E200" s="447">
        <f>E98*Calc_SEC_death_rates!$G145</f>
        <v>0.57900871008697108</v>
      </c>
      <c r="F200" s="447">
        <f>F98*Calc_SEC_death_rates!$G145</f>
        <v>0.57382313713413624</v>
      </c>
      <c r="G200" s="447">
        <f>G98*Calc_SEC_death_rates!$G145</f>
        <v>0.56818243528754508</v>
      </c>
      <c r="H200" s="447">
        <f>H98*Calc_SEC_death_rates!$G145</f>
        <v>0.56227992537075488</v>
      </c>
      <c r="I200" s="447">
        <f>I98*Calc_SEC_death_rates!$G145</f>
        <v>0.55550881189677104</v>
      </c>
      <c r="J200" s="447">
        <f>J98*Calc_SEC_death_rates!$G145</f>
        <v>0.55111060115816179</v>
      </c>
      <c r="K200" s="447">
        <f>K98*Calc_SEC_death_rates!$G145</f>
        <v>0.5479292682566651</v>
      </c>
      <c r="L200" s="447">
        <f>L98*Calc_SEC_death_rates!$G145</f>
        <v>0.54296445611868038</v>
      </c>
      <c r="M200" s="447">
        <f>M98*Calc_SEC_death_rates!$G145</f>
        <v>0.5371735760898656</v>
      </c>
      <c r="N200" s="447">
        <f>N98*Calc_SEC_death_rates!$G145</f>
        <v>0.53307181465787379</v>
      </c>
    </row>
    <row r="201" spans="1:14">
      <c r="B201" s="331" t="str">
        <f t="shared" si="67"/>
        <v>50-54</v>
      </c>
      <c r="C201" s="447">
        <f>C99*Calc_SEC_death_rates!$G146</f>
        <v>0.85392609540781539</v>
      </c>
      <c r="D201" s="447">
        <f>D99*Calc_SEC_death_rates!$G146</f>
        <v>0.83056159762185799</v>
      </c>
      <c r="E201" s="447">
        <f>E99*Calc_SEC_death_rates!$G146</f>
        <v>0.81002857107539583</v>
      </c>
      <c r="F201" s="447">
        <f>F99*Calc_SEC_death_rates!$G146</f>
        <v>0.79402423524597454</v>
      </c>
      <c r="G201" s="447">
        <f>G99*Calc_SEC_death_rates!$G146</f>
        <v>0.77827394358366198</v>
      </c>
      <c r="H201" s="447">
        <f>H99*Calc_SEC_death_rates!$G146</f>
        <v>0.76361821929000551</v>
      </c>
      <c r="I201" s="447">
        <f>I99*Calc_SEC_death_rates!$G146</f>
        <v>0.74934934997756308</v>
      </c>
      <c r="J201" s="447">
        <f>J99*Calc_SEC_death_rates!$G146</f>
        <v>0.73935324293441607</v>
      </c>
      <c r="K201" s="447">
        <f>K99*Calc_SEC_death_rates!$G146</f>
        <v>0.7318790222953091</v>
      </c>
      <c r="L201" s="447">
        <f>L99*Calc_SEC_death_rates!$G146</f>
        <v>0.72286234525300508</v>
      </c>
      <c r="M201" s="447">
        <f>M99*Calc_SEC_death_rates!$G146</f>
        <v>0.71326485683066965</v>
      </c>
      <c r="N201" s="447">
        <f>N99*Calc_SEC_death_rates!$G146</f>
        <v>0.70606140254505456</v>
      </c>
    </row>
    <row r="202" spans="1:14">
      <c r="B202" s="331" t="str">
        <f t="shared" si="67"/>
        <v>55-59</v>
      </c>
      <c r="C202" s="447">
        <f>C100*Calc_SEC_death_rates!$G147</f>
        <v>0.87805318238464636</v>
      </c>
      <c r="D202" s="447">
        <f>D100*Calc_SEC_death_rates!$G147</f>
        <v>0.79271526702230599</v>
      </c>
      <c r="E202" s="447">
        <f>E100*Calc_SEC_death_rates!$G147</f>
        <v>0.73487253141006437</v>
      </c>
      <c r="F202" s="447">
        <f>F100*Calc_SEC_death_rates!$G147</f>
        <v>0.69600733159726647</v>
      </c>
      <c r="G202" s="447">
        <f>G100*Calc_SEC_death_rates!$G147</f>
        <v>0.66583156023633361</v>
      </c>
      <c r="H202" s="447">
        <f>H100*Calc_SEC_death_rates!$G147</f>
        <v>0.64179162719830829</v>
      </c>
      <c r="I202" s="447">
        <f>I100*Calc_SEC_death_rates!$G147</f>
        <v>0.62145026850902818</v>
      </c>
      <c r="J202" s="447">
        <f>J100*Calc_SEC_death_rates!$G147</f>
        <v>0.60755729725345853</v>
      </c>
      <c r="K202" s="447">
        <f>K100*Calc_SEC_death_rates!$G147</f>
        <v>0.59748602099544545</v>
      </c>
      <c r="L202" s="447">
        <f>L100*Calc_SEC_death_rates!$G147</f>
        <v>0.58681033103950231</v>
      </c>
      <c r="M202" s="447">
        <f>M100*Calc_SEC_death_rates!$G147</f>
        <v>0.57638640791284423</v>
      </c>
      <c r="N202" s="447">
        <f>N100*Calc_SEC_death_rates!$G147</f>
        <v>0.56891227783331577</v>
      </c>
    </row>
    <row r="203" spans="1:14">
      <c r="B203" s="331" t="str">
        <f t="shared" si="67"/>
        <v>60-64</v>
      </c>
      <c r="C203" s="447">
        <f>C101*Calc_SEC_death_rates!$G148</f>
        <v>0.34519846195151882</v>
      </c>
      <c r="D203" s="447">
        <f>D101*Calc_SEC_death_rates!$G148</f>
        <v>0.33076282678492597</v>
      </c>
      <c r="E203" s="447">
        <f>E101*Calc_SEC_death_rates!$G148</f>
        <v>0.31062175026208982</v>
      </c>
      <c r="F203" s="447">
        <f>F101*Calc_SEC_death_rates!$G148</f>
        <v>0.29261176358248031</v>
      </c>
      <c r="G203" s="447">
        <f>G101*Calc_SEC_death_rates!$G148</f>
        <v>0.27634353438274539</v>
      </c>
      <c r="H203" s="447">
        <f>H101*Calc_SEC_death_rates!$G148</f>
        <v>0.26258121386886946</v>
      </c>
      <c r="I203" s="447">
        <f>I101*Calc_SEC_death_rates!$G148</f>
        <v>0.25085394396345456</v>
      </c>
      <c r="J203" s="447">
        <f>J101*Calc_SEC_death_rates!$G148</f>
        <v>0.24293768224311446</v>
      </c>
      <c r="K203" s="447">
        <f>K101*Calc_SEC_death_rates!$G148</f>
        <v>0.23729832194143941</v>
      </c>
      <c r="L203" s="447">
        <f>L101*Calc_SEC_death_rates!$G148</f>
        <v>0.23146916665275158</v>
      </c>
      <c r="M203" s="447">
        <f>M101*Calc_SEC_death_rates!$G148</f>
        <v>0.2259981170279462</v>
      </c>
      <c r="N203" s="447">
        <f>N101*Calc_SEC_death_rates!$G148</f>
        <v>0.22233816144338506</v>
      </c>
    </row>
    <row r="204" spans="1:14">
      <c r="B204" s="331" t="str">
        <f t="shared" si="67"/>
        <v>65 plus</v>
      </c>
      <c r="C204" s="447">
        <f>C102*Calc_SEC_death_rates!$G149</f>
        <v>0.24363329602703296</v>
      </c>
      <c r="D204" s="447">
        <f>D102*Calc_SEC_death_rates!$G149</f>
        <v>0.36066266342253878</v>
      </c>
      <c r="E204" s="447">
        <f>E102*Calc_SEC_death_rates!$G149</f>
        <v>0.42828265905000368</v>
      </c>
      <c r="F204" s="447">
        <f>F102*Calc_SEC_death_rates!$G149</f>
        <v>0.46289629226598206</v>
      </c>
      <c r="G204" s="447">
        <f>G102*Calc_SEC_death_rates!$G149</f>
        <v>0.47391647929904074</v>
      </c>
      <c r="H204" s="447">
        <f>H102*Calc_SEC_death_rates!$G149</f>
        <v>0.47145397219659529</v>
      </c>
      <c r="I204" s="447">
        <f>I102*Calc_SEC_death_rates!$G149</f>
        <v>0.46138950482491742</v>
      </c>
      <c r="J204" s="447">
        <f>J102*Calc_SEC_death_rates!$G149</f>
        <v>0.45105274373011039</v>
      </c>
      <c r="K204" s="447">
        <f>K102*Calc_SEC_death_rates!$G149</f>
        <v>0.441387840342368</v>
      </c>
      <c r="L204" s="447">
        <f>L102*Calc_SEC_death_rates!$G149</f>
        <v>0.43017233797968674</v>
      </c>
      <c r="M204" s="447">
        <f>M102*Calc_SEC_death_rates!$G149</f>
        <v>0.41875464295787457</v>
      </c>
      <c r="N204" s="447">
        <f>N102*Calc_SEC_death_rates!$G149</f>
        <v>0.40993791636906479</v>
      </c>
    </row>
    <row r="205" spans="1:14">
      <c r="B205" s="331" t="str">
        <f t="shared" si="67"/>
        <v>Total</v>
      </c>
      <c r="C205" s="447">
        <f>SUM(C195:C204)</f>
        <v>3.8006170084802529</v>
      </c>
      <c r="D205" s="447">
        <f t="shared" ref="D205:N205" si="69">SUM(D195:D204)</f>
        <v>3.7823167552867587</v>
      </c>
      <c r="E205" s="447">
        <f t="shared" si="69"/>
        <v>3.7427415700146907</v>
      </c>
      <c r="F205" s="447">
        <f t="shared" si="69"/>
        <v>3.7029915141048475</v>
      </c>
      <c r="G205" s="447">
        <f t="shared" si="69"/>
        <v>3.6456816044839044</v>
      </c>
      <c r="H205" s="447">
        <f t="shared" si="69"/>
        <v>3.5817949003321563</v>
      </c>
      <c r="I205" s="447">
        <f t="shared" si="69"/>
        <v>3.512723351066382</v>
      </c>
      <c r="J205" s="447">
        <f t="shared" si="69"/>
        <v>3.4655108181871039</v>
      </c>
      <c r="K205" s="447">
        <f t="shared" si="69"/>
        <v>3.4315678163489243</v>
      </c>
      <c r="L205" s="447">
        <f t="shared" si="69"/>
        <v>3.3876860783632852</v>
      </c>
      <c r="M205" s="447">
        <f t="shared" si="69"/>
        <v>3.3404902083346899</v>
      </c>
      <c r="N205" s="447">
        <f t="shared" si="69"/>
        <v>3.3080001080475556</v>
      </c>
    </row>
    <row r="206" spans="1:14">
      <c r="A206" s="302">
        <f>SUM(C206:N206)</f>
        <v>0</v>
      </c>
      <c r="C206" s="302">
        <f>SUM(C195:C204)-C205</f>
        <v>0</v>
      </c>
      <c r="D206" s="302">
        <f t="shared" ref="D206:N206" si="70">SUM(D195:D204)-D205</f>
        <v>0</v>
      </c>
      <c r="E206" s="302">
        <f t="shared" si="70"/>
        <v>0</v>
      </c>
      <c r="F206" s="302">
        <f t="shared" si="70"/>
        <v>0</v>
      </c>
      <c r="G206" s="302">
        <f t="shared" si="70"/>
        <v>0</v>
      </c>
      <c r="H206" s="302">
        <f t="shared" si="70"/>
        <v>0</v>
      </c>
      <c r="I206" s="302">
        <f t="shared" si="70"/>
        <v>0</v>
      </c>
      <c r="J206" s="302">
        <f t="shared" si="70"/>
        <v>0</v>
      </c>
      <c r="K206" s="302">
        <f t="shared" si="70"/>
        <v>0</v>
      </c>
      <c r="L206" s="302">
        <f t="shared" si="70"/>
        <v>0</v>
      </c>
      <c r="M206" s="302">
        <f t="shared" si="70"/>
        <v>0</v>
      </c>
      <c r="N206" s="302">
        <f t="shared" si="70"/>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1">B178</f>
        <v>Age group</v>
      </c>
      <c r="C212" s="331" t="str">
        <f t="shared" ref="C212:N212" si="72">C178</f>
        <v>2017/18</v>
      </c>
      <c r="D212" s="331" t="str">
        <f t="shared" si="72"/>
        <v>2018/19</v>
      </c>
      <c r="E212" s="331" t="str">
        <f t="shared" si="72"/>
        <v>2019/20</v>
      </c>
      <c r="F212" s="331" t="str">
        <f t="shared" si="72"/>
        <v>2020/21</v>
      </c>
      <c r="G212" s="331" t="str">
        <f t="shared" si="72"/>
        <v>2021/22</v>
      </c>
      <c r="H212" s="331" t="str">
        <f t="shared" si="72"/>
        <v>2022/23</v>
      </c>
      <c r="I212" s="331" t="str">
        <f t="shared" si="72"/>
        <v>2023/24</v>
      </c>
      <c r="J212" s="331" t="str">
        <f t="shared" si="72"/>
        <v>2024/25</v>
      </c>
      <c r="K212" s="331" t="str">
        <f t="shared" si="72"/>
        <v>2025/26</v>
      </c>
      <c r="L212" s="331" t="str">
        <f t="shared" si="72"/>
        <v>2026/27</v>
      </c>
      <c r="M212" s="331" t="str">
        <f t="shared" si="72"/>
        <v>2027/28</v>
      </c>
      <c r="N212" s="331" t="str">
        <f t="shared" si="72"/>
        <v>2028/29</v>
      </c>
    </row>
    <row r="213" spans="1:14">
      <c r="B213" s="331" t="str">
        <f t="shared" si="71"/>
        <v>20-24</v>
      </c>
      <c r="C213" s="447">
        <f t="shared" ref="C213:C222" si="73">C111+C145+C179</f>
        <v>4.3109977537745907</v>
      </c>
      <c r="D213" s="447">
        <f t="shared" ref="D213:N213" si="74">D111+D145+D179</f>
        <v>14.718019432872399</v>
      </c>
      <c r="E213" s="447">
        <f t="shared" si="74"/>
        <v>23.087158752369497</v>
      </c>
      <c r="F213" s="447">
        <f t="shared" si="74"/>
        <v>28.67511342935002</v>
      </c>
      <c r="G213" s="447">
        <f t="shared" si="74"/>
        <v>32.425073521251505</v>
      </c>
      <c r="H213" s="447">
        <f t="shared" si="74"/>
        <v>34.5594398561093</v>
      </c>
      <c r="I213" s="447">
        <f t="shared" si="74"/>
        <v>35.471456163838546</v>
      </c>
      <c r="J213" s="447">
        <f t="shared" si="74"/>
        <v>36.702282948943207</v>
      </c>
      <c r="K213" s="447">
        <f t="shared" si="74"/>
        <v>37.821923254883124</v>
      </c>
      <c r="L213" s="447">
        <f t="shared" si="74"/>
        <v>37.841780949507644</v>
      </c>
      <c r="M213" s="447">
        <f t="shared" si="74"/>
        <v>37.377169575959066</v>
      </c>
      <c r="N213" s="447">
        <f t="shared" si="74"/>
        <v>37.416533740569733</v>
      </c>
    </row>
    <row r="214" spans="1:14">
      <c r="B214" s="331" t="str">
        <f t="shared" si="71"/>
        <v>25-29</v>
      </c>
      <c r="C214" s="447">
        <f t="shared" si="73"/>
        <v>25.194597653215471</v>
      </c>
      <c r="D214" s="447">
        <f t="shared" ref="D214:N214" si="75">D112+D146+D180</f>
        <v>29.926872921838036</v>
      </c>
      <c r="E214" s="447">
        <f t="shared" si="75"/>
        <v>36.955807391656748</v>
      </c>
      <c r="F214" s="447">
        <f t="shared" si="75"/>
        <v>42.10573125657978</v>
      </c>
      <c r="G214" s="447">
        <f t="shared" si="75"/>
        <v>46.702732716047599</v>
      </c>
      <c r="H214" s="447">
        <f t="shared" si="75"/>
        <v>50.046963853621612</v>
      </c>
      <c r="I214" s="447">
        <f t="shared" si="75"/>
        <v>52.174997621260502</v>
      </c>
      <c r="J214" s="447">
        <f t="shared" si="75"/>
        <v>54.431242507445248</v>
      </c>
      <c r="K214" s="447">
        <f t="shared" si="75"/>
        <v>56.489122756278192</v>
      </c>
      <c r="L214" s="447">
        <f t="shared" si="75"/>
        <v>57.367100593730633</v>
      </c>
      <c r="M214" s="447">
        <f t="shared" si="75"/>
        <v>57.527602039854884</v>
      </c>
      <c r="N214" s="447">
        <f t="shared" si="75"/>
        <v>57.945718362611238</v>
      </c>
    </row>
    <row r="215" spans="1:14">
      <c r="B215" s="331" t="str">
        <f t="shared" si="71"/>
        <v>30-34</v>
      </c>
      <c r="C215" s="447">
        <f t="shared" si="73"/>
        <v>36.217231494182407</v>
      </c>
      <c r="D215" s="447">
        <f t="shared" ref="D215:N215" si="76">D113+D147+D181</f>
        <v>34.449259413094723</v>
      </c>
      <c r="E215" s="447">
        <f t="shared" si="76"/>
        <v>36.273906668725012</v>
      </c>
      <c r="F215" s="447">
        <f t="shared" si="76"/>
        <v>36.986477050316005</v>
      </c>
      <c r="G215" s="447">
        <f t="shared" si="76"/>
        <v>38.617575935774141</v>
      </c>
      <c r="H215" s="447">
        <f t="shared" si="76"/>
        <v>40.224090838985589</v>
      </c>
      <c r="I215" s="447">
        <f t="shared" si="76"/>
        <v>41.6060727578487</v>
      </c>
      <c r="J215" s="447">
        <f t="shared" si="76"/>
        <v>43.182037054212643</v>
      </c>
      <c r="K215" s="447">
        <f t="shared" si="76"/>
        <v>44.770278989701396</v>
      </c>
      <c r="L215" s="447">
        <f t="shared" si="76"/>
        <v>45.886661330540491</v>
      </c>
      <c r="M215" s="447">
        <f t="shared" si="76"/>
        <v>46.622277095210805</v>
      </c>
      <c r="N215" s="447">
        <f t="shared" si="76"/>
        <v>47.354032160606167</v>
      </c>
    </row>
    <row r="216" spans="1:14">
      <c r="B216" s="331" t="str">
        <f t="shared" si="71"/>
        <v>35-39</v>
      </c>
      <c r="C216" s="447">
        <f t="shared" si="73"/>
        <v>44.004235924225803</v>
      </c>
      <c r="D216" s="447">
        <f t="shared" ref="D216:N216" si="77">D114+D148+D182</f>
        <v>41.517974577913925</v>
      </c>
      <c r="E216" s="447">
        <f t="shared" si="77"/>
        <v>42.381879906873912</v>
      </c>
      <c r="F216" s="447">
        <f t="shared" si="77"/>
        <v>41.300989803774641</v>
      </c>
      <c r="G216" s="447">
        <f t="shared" si="77"/>
        <v>41.238709650266273</v>
      </c>
      <c r="H216" s="447">
        <f t="shared" si="77"/>
        <v>41.347592467966813</v>
      </c>
      <c r="I216" s="447">
        <f t="shared" si="77"/>
        <v>41.553999107662129</v>
      </c>
      <c r="J216" s="447">
        <f t="shared" si="77"/>
        <v>42.139579069774705</v>
      </c>
      <c r="K216" s="447">
        <f t="shared" si="77"/>
        <v>42.944162110676352</v>
      </c>
      <c r="L216" s="447">
        <f t="shared" si="77"/>
        <v>43.611948791266059</v>
      </c>
      <c r="M216" s="447">
        <f t="shared" si="77"/>
        <v>44.175524897272737</v>
      </c>
      <c r="N216" s="447">
        <f t="shared" si="77"/>
        <v>44.840288017888398</v>
      </c>
    </row>
    <row r="217" spans="1:14">
      <c r="B217" s="331" t="str">
        <f t="shared" si="71"/>
        <v>40-44</v>
      </c>
      <c r="C217" s="447">
        <f t="shared" si="73"/>
        <v>51.037636206162958</v>
      </c>
      <c r="D217" s="447">
        <f t="shared" ref="D217:N217" si="78">D115+D149+D183</f>
        <v>48.234064099547624</v>
      </c>
      <c r="E217" s="447">
        <f t="shared" si="78"/>
        <v>49.20613155020574</v>
      </c>
      <c r="F217" s="447">
        <f t="shared" si="78"/>
        <v>47.632592755092105</v>
      </c>
      <c r="G217" s="447">
        <f t="shared" si="78"/>
        <v>47.005284607002608</v>
      </c>
      <c r="H217" s="447">
        <f t="shared" si="78"/>
        <v>46.391917274628049</v>
      </c>
      <c r="I217" s="447">
        <f t="shared" si="78"/>
        <v>45.800961259496084</v>
      </c>
      <c r="J217" s="447">
        <f t="shared" si="78"/>
        <v>45.568679807069913</v>
      </c>
      <c r="K217" s="447">
        <f t="shared" si="78"/>
        <v>45.587641209085582</v>
      </c>
      <c r="L217" s="447">
        <f t="shared" si="78"/>
        <v>45.558212285921172</v>
      </c>
      <c r="M217" s="447">
        <f t="shared" si="78"/>
        <v>45.543904253806446</v>
      </c>
      <c r="N217" s="447">
        <f t="shared" si="78"/>
        <v>45.749925992030988</v>
      </c>
    </row>
    <row r="218" spans="1:14">
      <c r="B218" s="331" t="str">
        <f t="shared" si="71"/>
        <v>45-49</v>
      </c>
      <c r="C218" s="447">
        <f t="shared" si="73"/>
        <v>58.862394173860324</v>
      </c>
      <c r="D218" s="447">
        <f t="shared" ref="D218:N218" si="79">D116+D150+D184</f>
        <v>54.271924974728314</v>
      </c>
      <c r="E218" s="447">
        <f t="shared" si="79"/>
        <v>54.305225886076734</v>
      </c>
      <c r="F218" s="447">
        <f t="shared" si="79"/>
        <v>51.765780917430355</v>
      </c>
      <c r="G218" s="447">
        <f t="shared" si="79"/>
        <v>50.452384082660956</v>
      </c>
      <c r="H218" s="447">
        <f t="shared" si="79"/>
        <v>49.241900657163008</v>
      </c>
      <c r="I218" s="447">
        <f t="shared" si="79"/>
        <v>48.088725328996368</v>
      </c>
      <c r="J218" s="447">
        <f t="shared" si="79"/>
        <v>47.269784258557955</v>
      </c>
      <c r="K218" s="447">
        <f t="shared" si="79"/>
        <v>46.685700508927852</v>
      </c>
      <c r="L218" s="447">
        <f t="shared" si="79"/>
        <v>46.074723379153461</v>
      </c>
      <c r="M218" s="447">
        <f t="shared" si="79"/>
        <v>45.505014387339834</v>
      </c>
      <c r="N218" s="447">
        <f t="shared" si="79"/>
        <v>45.174769151517552</v>
      </c>
    </row>
    <row r="219" spans="1:14">
      <c r="B219" s="331" t="str">
        <f t="shared" si="71"/>
        <v>50-54</v>
      </c>
      <c r="C219" s="447">
        <f t="shared" si="73"/>
        <v>76.559446986678196</v>
      </c>
      <c r="D219" s="447">
        <f t="shared" ref="D219:N219" si="80">D117+D151+D185</f>
        <v>69.487950173434712</v>
      </c>
      <c r="E219" s="447">
        <f t="shared" si="80"/>
        <v>67.340335386408341</v>
      </c>
      <c r="F219" s="447">
        <f t="shared" si="80"/>
        <v>63.059671790846217</v>
      </c>
      <c r="G219" s="447">
        <f t="shared" si="80"/>
        <v>60.28907531170811</v>
      </c>
      <c r="H219" s="447">
        <f t="shared" si="80"/>
        <v>57.88156871341463</v>
      </c>
      <c r="I219" s="447">
        <f t="shared" si="80"/>
        <v>55.73566276379124</v>
      </c>
      <c r="J219" s="447">
        <f t="shared" si="80"/>
        <v>54.07819787582347</v>
      </c>
      <c r="K219" s="447">
        <f t="shared" si="80"/>
        <v>52.766022183620095</v>
      </c>
      <c r="L219" s="447">
        <f t="shared" si="80"/>
        <v>51.505371537402631</v>
      </c>
      <c r="M219" s="447">
        <f t="shared" si="80"/>
        <v>50.345717950389691</v>
      </c>
      <c r="N219" s="447">
        <f t="shared" si="80"/>
        <v>49.47480542420729</v>
      </c>
    </row>
    <row r="220" spans="1:14">
      <c r="B220" s="331" t="str">
        <f t="shared" si="71"/>
        <v>55-59</v>
      </c>
      <c r="C220" s="447">
        <f t="shared" si="73"/>
        <v>134.14295757804621</v>
      </c>
      <c r="D220" s="447">
        <f t="shared" ref="D220:N220" si="81">D118+D152+D186</f>
        <v>113.35442867770601</v>
      </c>
      <c r="E220" s="447">
        <f t="shared" si="81"/>
        <v>100.51104226160977</v>
      </c>
      <c r="F220" s="447">
        <f t="shared" si="81"/>
        <v>90.363378836863916</v>
      </c>
      <c r="G220" s="447">
        <f t="shared" si="81"/>
        <v>83.125763005099543</v>
      </c>
      <c r="H220" s="447">
        <f t="shared" si="81"/>
        <v>77.516346243874267</v>
      </c>
      <c r="I220" s="447">
        <f t="shared" si="81"/>
        <v>72.997487064385794</v>
      </c>
      <c r="J220" s="447">
        <f t="shared" si="81"/>
        <v>69.658333644878383</v>
      </c>
      <c r="K220" s="447">
        <f t="shared" si="81"/>
        <v>67.098212237987951</v>
      </c>
      <c r="L220" s="447">
        <f t="shared" si="81"/>
        <v>64.775190905560592</v>
      </c>
      <c r="M220" s="447">
        <f t="shared" si="81"/>
        <v>62.718489155254289</v>
      </c>
      <c r="N220" s="447">
        <f t="shared" si="81"/>
        <v>61.163404011916548</v>
      </c>
    </row>
    <row r="221" spans="1:14">
      <c r="B221" s="331" t="str">
        <f t="shared" si="71"/>
        <v>60-64</v>
      </c>
      <c r="C221" s="447">
        <f t="shared" si="73"/>
        <v>73.978329526711363</v>
      </c>
      <c r="D221" s="447">
        <f t="shared" ref="D221:N221" si="82">D119+D153+D187</f>
        <v>70.290594457693871</v>
      </c>
      <c r="E221" s="447">
        <f t="shared" si="82"/>
        <v>64.800984865655963</v>
      </c>
      <c r="F221" s="447">
        <f t="shared" si="82"/>
        <v>58.659185095951557</v>
      </c>
      <c r="G221" s="447">
        <f t="shared" si="82"/>
        <v>53.391642340517734</v>
      </c>
      <c r="H221" s="447">
        <f t="shared" si="82"/>
        <v>48.959616531226132</v>
      </c>
      <c r="I221" s="447">
        <f t="shared" si="82"/>
        <v>45.288773294210813</v>
      </c>
      <c r="J221" s="447">
        <f t="shared" si="82"/>
        <v>42.584521163443142</v>
      </c>
      <c r="K221" s="447">
        <f t="shared" si="82"/>
        <v>40.538481943533057</v>
      </c>
      <c r="L221" s="447">
        <f t="shared" si="82"/>
        <v>38.708556884912632</v>
      </c>
      <c r="M221" s="447">
        <f t="shared" si="82"/>
        <v>37.124223198232194</v>
      </c>
      <c r="N221" s="447">
        <f t="shared" si="82"/>
        <v>35.965802895918124</v>
      </c>
    </row>
    <row r="222" spans="1:14">
      <c r="B222" s="331" t="str">
        <f t="shared" si="71"/>
        <v>65 plus</v>
      </c>
      <c r="C222" s="447">
        <f t="shared" si="73"/>
        <v>21.276131210001431</v>
      </c>
      <c r="D222" s="447">
        <f t="shared" ref="D222:N222" si="83">D120+D154+D188</f>
        <v>24.646831726591493</v>
      </c>
      <c r="E222" s="447">
        <f t="shared" si="83"/>
        <v>26.65743921599212</v>
      </c>
      <c r="F222" s="447">
        <f t="shared" si="83"/>
        <v>26.769841081840966</v>
      </c>
      <c r="G222" s="447">
        <f t="shared" si="83"/>
        <v>26.053723330796444</v>
      </c>
      <c r="H222" s="447">
        <f t="shared" si="83"/>
        <v>24.809530176001726</v>
      </c>
      <c r="I222" s="447">
        <f t="shared" si="83"/>
        <v>23.354285641212574</v>
      </c>
      <c r="J222" s="447">
        <f t="shared" si="83"/>
        <v>22.036419687281359</v>
      </c>
      <c r="K222" s="447">
        <f t="shared" si="83"/>
        <v>20.893541494378937</v>
      </c>
      <c r="L222" s="447">
        <f t="shared" si="83"/>
        <v>19.813480929004964</v>
      </c>
      <c r="M222" s="447">
        <f t="shared" si="83"/>
        <v>18.840341417233098</v>
      </c>
      <c r="N222" s="447">
        <f t="shared" si="83"/>
        <v>18.07866069159347</v>
      </c>
    </row>
    <row r="223" spans="1:14">
      <c r="B223" s="331" t="str">
        <f t="shared" si="71"/>
        <v>Total</v>
      </c>
      <c r="C223" s="447">
        <f>SUM(C213:C222)</f>
        <v>525.58395850685872</v>
      </c>
      <c r="D223" s="447">
        <f t="shared" ref="D223:N223" si="84">SUM(D213:D222)</f>
        <v>500.89792045542112</v>
      </c>
      <c r="E223" s="447">
        <f t="shared" si="84"/>
        <v>501.51991188557378</v>
      </c>
      <c r="F223" s="447">
        <f t="shared" si="84"/>
        <v>487.31876201804556</v>
      </c>
      <c r="G223" s="447">
        <f t="shared" si="84"/>
        <v>479.30196450112493</v>
      </c>
      <c r="H223" s="447">
        <f t="shared" si="84"/>
        <v>470.97896661299114</v>
      </c>
      <c r="I223" s="447">
        <f t="shared" si="84"/>
        <v>462.07242100270281</v>
      </c>
      <c r="J223" s="447">
        <f t="shared" si="84"/>
        <v>457.65107801743</v>
      </c>
      <c r="K223" s="447">
        <f t="shared" si="84"/>
        <v>455.59508668907245</v>
      </c>
      <c r="L223" s="447">
        <f t="shared" si="84"/>
        <v>451.14302758700029</v>
      </c>
      <c r="M223" s="447">
        <f t="shared" si="84"/>
        <v>445.78026397055305</v>
      </c>
      <c r="N223" s="447">
        <f t="shared" si="84"/>
        <v>443.16394044885953</v>
      </c>
    </row>
    <row r="224" spans="1:14">
      <c r="A224" s="302">
        <f>SUM(C224:N224)</f>
        <v>0</v>
      </c>
      <c r="C224" s="302">
        <f>SUM(C213:C222)-C223</f>
        <v>0</v>
      </c>
      <c r="D224" s="302">
        <f t="shared" ref="D224:N224" si="85">SUM(D213:D222)-D223</f>
        <v>0</v>
      </c>
      <c r="E224" s="302">
        <f t="shared" si="85"/>
        <v>0</v>
      </c>
      <c r="F224" s="302">
        <f t="shared" si="85"/>
        <v>0</v>
      </c>
      <c r="G224" s="302">
        <f t="shared" si="85"/>
        <v>0</v>
      </c>
      <c r="H224" s="302">
        <f t="shared" si="85"/>
        <v>0</v>
      </c>
      <c r="I224" s="302">
        <f t="shared" si="85"/>
        <v>0</v>
      </c>
      <c r="J224" s="302">
        <f t="shared" si="85"/>
        <v>0</v>
      </c>
      <c r="K224" s="302">
        <f t="shared" si="85"/>
        <v>0</v>
      </c>
      <c r="L224" s="302">
        <f t="shared" si="85"/>
        <v>0</v>
      </c>
      <c r="M224" s="302">
        <f t="shared" si="85"/>
        <v>0</v>
      </c>
      <c r="N224" s="302">
        <f t="shared" si="85"/>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6">B212</f>
        <v>Age group</v>
      </c>
      <c r="C228" s="331" t="str">
        <f t="shared" ref="C228:N228" si="87">C212</f>
        <v>2017/18</v>
      </c>
      <c r="D228" s="331" t="str">
        <f t="shared" si="87"/>
        <v>2018/19</v>
      </c>
      <c r="E228" s="331" t="str">
        <f t="shared" si="87"/>
        <v>2019/20</v>
      </c>
      <c r="F228" s="331" t="str">
        <f t="shared" si="87"/>
        <v>2020/21</v>
      </c>
      <c r="G228" s="331" t="str">
        <f t="shared" si="87"/>
        <v>2021/22</v>
      </c>
      <c r="H228" s="331" t="str">
        <f t="shared" si="87"/>
        <v>2022/23</v>
      </c>
      <c r="I228" s="331" t="str">
        <f t="shared" si="87"/>
        <v>2023/24</v>
      </c>
      <c r="J228" s="331" t="str">
        <f t="shared" si="87"/>
        <v>2024/25</v>
      </c>
      <c r="K228" s="331" t="str">
        <f t="shared" si="87"/>
        <v>2025/26</v>
      </c>
      <c r="L228" s="331" t="str">
        <f t="shared" si="87"/>
        <v>2026/27</v>
      </c>
      <c r="M228" s="331" t="str">
        <f t="shared" si="87"/>
        <v>2027/28</v>
      </c>
      <c r="N228" s="331" t="str">
        <f t="shared" si="87"/>
        <v>2028/29</v>
      </c>
    </row>
    <row r="229" spans="1:14">
      <c r="B229" s="331" t="str">
        <f t="shared" si="86"/>
        <v>20-24</v>
      </c>
      <c r="C229" s="447">
        <f t="shared" ref="C229:C238" si="88">C195+C161+C127</f>
        <v>14.23278502435843</v>
      </c>
      <c r="D229" s="447">
        <f t="shared" ref="D229:N229" si="89">D195+D161+D127</f>
        <v>25.603202079192805</v>
      </c>
      <c r="E229" s="447">
        <f t="shared" si="89"/>
        <v>34.22499643665806</v>
      </c>
      <c r="F229" s="447">
        <f t="shared" si="89"/>
        <v>41.38918369732761</v>
      </c>
      <c r="G229" s="447">
        <f t="shared" si="89"/>
        <v>45.372337198087443</v>
      </c>
      <c r="H229" s="447">
        <f t="shared" si="89"/>
        <v>47.503098472404282</v>
      </c>
      <c r="I229" s="447">
        <f t="shared" si="89"/>
        <v>48.217773526471433</v>
      </c>
      <c r="J229" s="447">
        <f t="shared" si="89"/>
        <v>49.502652612721285</v>
      </c>
      <c r="K229" s="447">
        <f t="shared" si="89"/>
        <v>50.742859599648874</v>
      </c>
      <c r="L229" s="447">
        <f t="shared" si="89"/>
        <v>50.594806589993361</v>
      </c>
      <c r="M229" s="447">
        <f t="shared" si="89"/>
        <v>49.854981669368925</v>
      </c>
      <c r="N229" s="447">
        <f t="shared" si="89"/>
        <v>49.821258722101057</v>
      </c>
    </row>
    <row r="230" spans="1:14">
      <c r="B230" s="331" t="str">
        <f t="shared" si="86"/>
        <v>25-29</v>
      </c>
      <c r="C230" s="447">
        <f t="shared" si="88"/>
        <v>57.286356102251958</v>
      </c>
      <c r="D230" s="447">
        <f t="shared" ref="D230:N230" si="90">D196+D162+D128</f>
        <v>59.505635438180185</v>
      </c>
      <c r="E230" s="447">
        <f t="shared" si="90"/>
        <v>63.610019978439553</v>
      </c>
      <c r="F230" s="447">
        <f t="shared" si="90"/>
        <v>68.723443504038556</v>
      </c>
      <c r="G230" s="447">
        <f t="shared" si="90"/>
        <v>71.987583776721209</v>
      </c>
      <c r="H230" s="447">
        <f t="shared" si="90"/>
        <v>74.225561595968571</v>
      </c>
      <c r="I230" s="447">
        <f t="shared" si="90"/>
        <v>75.346870819851532</v>
      </c>
      <c r="J230" s="447">
        <f t="shared" si="90"/>
        <v>77.051457796811292</v>
      </c>
      <c r="K230" s="447">
        <f t="shared" si="90"/>
        <v>78.805429786522168</v>
      </c>
      <c r="L230" s="447">
        <f t="shared" si="90"/>
        <v>79.212027025580596</v>
      </c>
      <c r="M230" s="447">
        <f t="shared" si="90"/>
        <v>78.840110378364074</v>
      </c>
      <c r="N230" s="447">
        <f t="shared" si="90"/>
        <v>78.961207730865638</v>
      </c>
    </row>
    <row r="231" spans="1:14">
      <c r="B231" s="331" t="str">
        <f t="shared" si="86"/>
        <v>30-34</v>
      </c>
      <c r="C231" s="447">
        <f t="shared" si="88"/>
        <v>73.663870365975527</v>
      </c>
      <c r="D231" s="447">
        <f t="shared" ref="D231:N231" si="91">D197+D163+D129</f>
        <v>71.592536951275648</v>
      </c>
      <c r="E231" s="447">
        <f t="shared" si="91"/>
        <v>71.287640572094517</v>
      </c>
      <c r="F231" s="447">
        <f t="shared" si="91"/>
        <v>71.96812113464344</v>
      </c>
      <c r="G231" s="447">
        <f t="shared" si="91"/>
        <v>72.022022763571769</v>
      </c>
      <c r="H231" s="447">
        <f t="shared" si="91"/>
        <v>72.218036491219081</v>
      </c>
      <c r="I231" s="447">
        <f t="shared" si="91"/>
        <v>72.299117055347025</v>
      </c>
      <c r="J231" s="447">
        <f t="shared" si="91"/>
        <v>72.943520523135405</v>
      </c>
      <c r="K231" s="447">
        <f t="shared" si="91"/>
        <v>73.858166763656541</v>
      </c>
      <c r="L231" s="447">
        <f t="shared" si="91"/>
        <v>74.267025775307317</v>
      </c>
      <c r="M231" s="447">
        <f t="shared" si="91"/>
        <v>74.296819228765614</v>
      </c>
      <c r="N231" s="447">
        <f t="shared" si="91"/>
        <v>74.516014084983951</v>
      </c>
    </row>
    <row r="232" spans="1:14">
      <c r="B232" s="331" t="str">
        <f t="shared" si="86"/>
        <v>35-39</v>
      </c>
      <c r="C232" s="447">
        <f t="shared" si="88"/>
        <v>70.447084156239427</v>
      </c>
      <c r="D232" s="447">
        <f t="shared" ref="D232:N232" si="92">D198+D164+D130</f>
        <v>70.787757804214579</v>
      </c>
      <c r="E232" s="447">
        <f t="shared" si="92"/>
        <v>71.50851205062385</v>
      </c>
      <c r="F232" s="447">
        <f t="shared" si="92"/>
        <v>72.030817202674285</v>
      </c>
      <c r="G232" s="447">
        <f t="shared" si="92"/>
        <v>71.389776558168364</v>
      </c>
      <c r="H232" s="447">
        <f t="shared" si="92"/>
        <v>70.700169373998349</v>
      </c>
      <c r="I232" s="447">
        <f t="shared" si="92"/>
        <v>69.961914020690571</v>
      </c>
      <c r="J232" s="447">
        <f t="shared" si="92"/>
        <v>69.699987429429456</v>
      </c>
      <c r="K232" s="447">
        <f t="shared" si="92"/>
        <v>69.737669496135808</v>
      </c>
      <c r="L232" s="447">
        <f t="shared" si="92"/>
        <v>69.582571294285202</v>
      </c>
      <c r="M232" s="447">
        <f t="shared" si="92"/>
        <v>69.325812485838838</v>
      </c>
      <c r="N232" s="447">
        <f t="shared" si="92"/>
        <v>69.308001052471937</v>
      </c>
    </row>
    <row r="233" spans="1:14">
      <c r="B233" s="331" t="str">
        <f t="shared" si="86"/>
        <v>40-44</v>
      </c>
      <c r="C233" s="447">
        <f t="shared" si="88"/>
        <v>65.948115694794367</v>
      </c>
      <c r="D233" s="447">
        <f t="shared" ref="D233:N233" si="93">D199+D165+D131</f>
        <v>66.447193264238848</v>
      </c>
      <c r="E233" s="447">
        <f t="shared" si="93"/>
        <v>67.669139064682696</v>
      </c>
      <c r="F233" s="447">
        <f t="shared" si="93"/>
        <v>68.711687254215789</v>
      </c>
      <c r="G233" s="447">
        <f t="shared" si="93"/>
        <v>68.501626618871271</v>
      </c>
      <c r="H233" s="447">
        <f t="shared" si="93"/>
        <v>68.035982753395942</v>
      </c>
      <c r="I233" s="447">
        <f t="shared" si="93"/>
        <v>67.341303559286374</v>
      </c>
      <c r="J233" s="447">
        <f t="shared" si="93"/>
        <v>66.917905316264566</v>
      </c>
      <c r="K233" s="447">
        <f t="shared" si="93"/>
        <v>66.65469076436159</v>
      </c>
      <c r="L233" s="447">
        <f t="shared" si="93"/>
        <v>66.17634643393545</v>
      </c>
      <c r="M233" s="447">
        <f t="shared" si="93"/>
        <v>65.614352625856611</v>
      </c>
      <c r="N233" s="447">
        <f t="shared" si="93"/>
        <v>65.293381580395234</v>
      </c>
    </row>
    <row r="234" spans="1:14">
      <c r="B234" s="331" t="str">
        <f t="shared" si="86"/>
        <v>45-49</v>
      </c>
      <c r="C234" s="447">
        <f t="shared" si="88"/>
        <v>70.779922279251565</v>
      </c>
      <c r="D234" s="447">
        <f t="shared" ref="D234:N234" si="94">D200+D166+D132</f>
        <v>69.61811598949933</v>
      </c>
      <c r="E234" s="447">
        <f t="shared" si="94"/>
        <v>69.670431162973216</v>
      </c>
      <c r="F234" s="447">
        <f t="shared" si="94"/>
        <v>69.915994895428156</v>
      </c>
      <c r="G234" s="447">
        <f t="shared" si="94"/>
        <v>69.228718178977601</v>
      </c>
      <c r="H234" s="447">
        <f t="shared" si="94"/>
        <v>68.509542135861636</v>
      </c>
      <c r="I234" s="447">
        <f t="shared" si="94"/>
        <v>67.684533340559682</v>
      </c>
      <c r="J234" s="447">
        <f t="shared" si="94"/>
        <v>67.148644737173285</v>
      </c>
      <c r="K234" s="447">
        <f t="shared" si="94"/>
        <v>66.761023464157745</v>
      </c>
      <c r="L234" s="447">
        <f t="shared" si="94"/>
        <v>66.156098779820795</v>
      </c>
      <c r="M234" s="447">
        <f t="shared" si="94"/>
        <v>65.45052399146924</v>
      </c>
      <c r="N234" s="447">
        <f t="shared" si="94"/>
        <v>64.950755486536394</v>
      </c>
    </row>
    <row r="235" spans="1:14">
      <c r="B235" s="331" t="str">
        <f t="shared" si="86"/>
        <v>50-54</v>
      </c>
      <c r="C235" s="447">
        <f t="shared" si="88"/>
        <v>76.569550851957985</v>
      </c>
      <c r="D235" s="447">
        <f t="shared" ref="D235:N235" si="95">D201+D167+D133</f>
        <v>74.756141038595175</v>
      </c>
      <c r="E235" s="447">
        <f t="shared" si="95"/>
        <v>73.837768869190342</v>
      </c>
      <c r="F235" s="447">
        <f t="shared" si="95"/>
        <v>73.094426913070919</v>
      </c>
      <c r="G235" s="447">
        <f t="shared" si="95"/>
        <v>71.644523381582587</v>
      </c>
      <c r="H235" s="447">
        <f t="shared" si="95"/>
        <v>70.295380974224031</v>
      </c>
      <c r="I235" s="447">
        <f t="shared" si="95"/>
        <v>68.981850758402118</v>
      </c>
      <c r="J235" s="447">
        <f t="shared" si="95"/>
        <v>68.06165250342795</v>
      </c>
      <c r="K235" s="447">
        <f t="shared" si="95"/>
        <v>67.373608171798537</v>
      </c>
      <c r="L235" s="447">
        <f t="shared" si="95"/>
        <v>66.543571994296613</v>
      </c>
      <c r="M235" s="447">
        <f t="shared" si="95"/>
        <v>65.660068840494105</v>
      </c>
      <c r="N235" s="447">
        <f t="shared" si="95"/>
        <v>64.996950084882783</v>
      </c>
    </row>
    <row r="236" spans="1:14">
      <c r="B236" s="331" t="str">
        <f t="shared" si="86"/>
        <v>55-59</v>
      </c>
      <c r="C236" s="447">
        <f t="shared" si="88"/>
        <v>116.115809595567</v>
      </c>
      <c r="D236" s="447">
        <f t="shared" ref="D236:N236" si="96">D202+D168+D134</f>
        <v>104.95713815302578</v>
      </c>
      <c r="E236" s="447">
        <f t="shared" si="96"/>
        <v>97.695952267126273</v>
      </c>
      <c r="F236" s="447">
        <f t="shared" si="96"/>
        <v>92.824543428091019</v>
      </c>
      <c r="G236" s="447">
        <f t="shared" si="96"/>
        <v>88.800085535182149</v>
      </c>
      <c r="H236" s="447">
        <f t="shared" si="96"/>
        <v>85.593947169979117</v>
      </c>
      <c r="I236" s="447">
        <f t="shared" si="96"/>
        <v>82.881077280079722</v>
      </c>
      <c r="J236" s="447">
        <f t="shared" si="96"/>
        <v>81.028210715156717</v>
      </c>
      <c r="K236" s="447">
        <f t="shared" si="96"/>
        <v>79.685032880746817</v>
      </c>
      <c r="L236" s="447">
        <f t="shared" si="96"/>
        <v>78.261246088636284</v>
      </c>
      <c r="M236" s="447">
        <f t="shared" si="96"/>
        <v>76.871036731586798</v>
      </c>
      <c r="N236" s="447">
        <f t="shared" si="96"/>
        <v>75.874232990220719</v>
      </c>
    </row>
    <row r="237" spans="1:14">
      <c r="B237" s="331" t="str">
        <f t="shared" si="86"/>
        <v>60-64</v>
      </c>
      <c r="C237" s="447">
        <f t="shared" si="88"/>
        <v>69.317218334742279</v>
      </c>
      <c r="D237" s="447">
        <f t="shared" ref="D237:N237" si="97">D203+D169+D135</f>
        <v>66.463511183863119</v>
      </c>
      <c r="E237" s="447">
        <f t="shared" si="97"/>
        <v>62.559490601640306</v>
      </c>
      <c r="F237" s="447">
        <f t="shared" si="97"/>
        <v>59.038120421155469</v>
      </c>
      <c r="G237" s="447">
        <f t="shared" si="97"/>
        <v>55.755799632770007</v>
      </c>
      <c r="H237" s="447">
        <f t="shared" si="97"/>
        <v>52.979077583645278</v>
      </c>
      <c r="I237" s="447">
        <f t="shared" si="97"/>
        <v>50.612952707424718</v>
      </c>
      <c r="J237" s="447">
        <f t="shared" si="97"/>
        <v>49.015746884224498</v>
      </c>
      <c r="K237" s="447">
        <f t="shared" si="97"/>
        <v>47.877934690646271</v>
      </c>
      <c r="L237" s="447">
        <f t="shared" si="97"/>
        <v>46.701828960398821</v>
      </c>
      <c r="M237" s="447">
        <f t="shared" si="97"/>
        <v>45.597975572466488</v>
      </c>
      <c r="N237" s="447">
        <f t="shared" si="97"/>
        <v>44.859533290133243</v>
      </c>
    </row>
    <row r="238" spans="1:14">
      <c r="B238" s="331" t="str">
        <f t="shared" si="86"/>
        <v>65 plus</v>
      </c>
      <c r="C238" s="447">
        <f t="shared" si="88"/>
        <v>12.877740287353268</v>
      </c>
      <c r="D238" s="447">
        <f t="shared" ref="D238:N238" si="98">D204+D170+D136</f>
        <v>19.083461464407947</v>
      </c>
      <c r="E238" s="447">
        <f t="shared" si="98"/>
        <v>22.741345807236865</v>
      </c>
      <c r="F238" s="447">
        <f t="shared" si="98"/>
        <v>24.647143720541095</v>
      </c>
      <c r="G238" s="447">
        <f t="shared" si="98"/>
        <v>25.233919069942623</v>
      </c>
      <c r="H238" s="447">
        <f t="shared" si="98"/>
        <v>25.102801652324697</v>
      </c>
      <c r="I238" s="447">
        <f t="shared" si="98"/>
        <v>24.566914072482291</v>
      </c>
      <c r="J238" s="447">
        <f t="shared" si="98"/>
        <v>24.016528077681077</v>
      </c>
      <c r="K238" s="447">
        <f t="shared" si="98"/>
        <v>23.501915481246726</v>
      </c>
      <c r="L238" s="447">
        <f t="shared" si="98"/>
        <v>22.904740469803265</v>
      </c>
      <c r="M238" s="447">
        <f t="shared" si="98"/>
        <v>22.296799609481557</v>
      </c>
      <c r="N238" s="447">
        <f t="shared" si="98"/>
        <v>21.827348609311851</v>
      </c>
    </row>
    <row r="239" spans="1:14">
      <c r="B239" s="331" t="str">
        <f t="shared" si="86"/>
        <v>Total</v>
      </c>
      <c r="C239" s="447">
        <f>SUM(C229:C238)</f>
        <v>627.23845269249182</v>
      </c>
      <c r="D239" s="447">
        <f t="shared" ref="D239:N239" si="99">SUM(D229:D238)</f>
        <v>628.81469336649343</v>
      </c>
      <c r="E239" s="447">
        <f t="shared" si="99"/>
        <v>634.8052968106656</v>
      </c>
      <c r="F239" s="447">
        <f t="shared" si="99"/>
        <v>642.34348217118634</v>
      </c>
      <c r="G239" s="447">
        <f t="shared" si="99"/>
        <v>639.93639271387508</v>
      </c>
      <c r="H239" s="447">
        <f t="shared" si="99"/>
        <v>635.16359820302102</v>
      </c>
      <c r="I239" s="447">
        <f t="shared" si="99"/>
        <v>627.89430714059552</v>
      </c>
      <c r="J239" s="447">
        <f t="shared" si="99"/>
        <v>625.38630659602563</v>
      </c>
      <c r="K239" s="447">
        <f t="shared" si="99"/>
        <v>624.9983310989212</v>
      </c>
      <c r="L239" s="447">
        <f t="shared" si="99"/>
        <v>620.40026341205783</v>
      </c>
      <c r="M239" s="447">
        <f t="shared" si="99"/>
        <v>613.80848113369223</v>
      </c>
      <c r="N239" s="447">
        <f t="shared" si="99"/>
        <v>610.40868363190259</v>
      </c>
    </row>
    <row r="240" spans="1:14">
      <c r="A240" s="302">
        <f>SUM(C240:N240)</f>
        <v>0</v>
      </c>
      <c r="C240" s="302">
        <f>SUM(C229:C238)-C239</f>
        <v>0</v>
      </c>
      <c r="D240" s="302">
        <f t="shared" ref="D240:N240" si="100">SUM(D229:D238)-D239</f>
        <v>0</v>
      </c>
      <c r="E240" s="302">
        <f t="shared" si="100"/>
        <v>0</v>
      </c>
      <c r="F240" s="302">
        <f t="shared" si="100"/>
        <v>0</v>
      </c>
      <c r="G240" s="302">
        <f t="shared" si="100"/>
        <v>0</v>
      </c>
      <c r="H240" s="302">
        <f t="shared" si="100"/>
        <v>0</v>
      </c>
      <c r="I240" s="302">
        <f t="shared" si="100"/>
        <v>0</v>
      </c>
      <c r="J240" s="302">
        <f t="shared" si="100"/>
        <v>0</v>
      </c>
      <c r="K240" s="302">
        <f t="shared" si="100"/>
        <v>0</v>
      </c>
      <c r="L240" s="302">
        <f t="shared" si="100"/>
        <v>0</v>
      </c>
      <c r="M240" s="302">
        <f t="shared" si="100"/>
        <v>0</v>
      </c>
      <c r="N240" s="302">
        <f t="shared" si="100"/>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1">B212</f>
        <v>Age group</v>
      </c>
      <c r="C246" s="331" t="str">
        <f t="shared" ref="C246:N246" si="102">C212</f>
        <v>2017/18</v>
      </c>
      <c r="D246" s="331" t="str">
        <f t="shared" si="102"/>
        <v>2018/19</v>
      </c>
      <c r="E246" s="331" t="str">
        <f t="shared" si="102"/>
        <v>2019/20</v>
      </c>
      <c r="F246" s="331" t="str">
        <f t="shared" si="102"/>
        <v>2020/21</v>
      </c>
      <c r="G246" s="331" t="str">
        <f t="shared" si="102"/>
        <v>2021/22</v>
      </c>
      <c r="H246" s="331" t="str">
        <f t="shared" si="102"/>
        <v>2022/23</v>
      </c>
      <c r="I246" s="331" t="str">
        <f t="shared" si="102"/>
        <v>2023/24</v>
      </c>
      <c r="J246" s="331" t="str">
        <f t="shared" si="102"/>
        <v>2024/25</v>
      </c>
      <c r="K246" s="331" t="str">
        <f t="shared" si="102"/>
        <v>2025/26</v>
      </c>
      <c r="L246" s="331" t="str">
        <f t="shared" si="102"/>
        <v>2026/27</v>
      </c>
      <c r="M246" s="331" t="str">
        <f t="shared" si="102"/>
        <v>2027/28</v>
      </c>
      <c r="N246" s="331" t="str">
        <f t="shared" si="102"/>
        <v>2028/29</v>
      </c>
    </row>
    <row r="247" spans="2:14">
      <c r="B247" s="331" t="str">
        <f t="shared" si="101"/>
        <v>20-24</v>
      </c>
      <c r="C247" s="447">
        <f t="shared" ref="C247:C256" si="103">C77-C213</f>
        <v>30.900388417439</v>
      </c>
      <c r="D247" s="447">
        <f t="shared" ref="D247:N247" si="104">D77-D213</f>
        <v>109.97931603545575</v>
      </c>
      <c r="E247" s="447">
        <f t="shared" si="104"/>
        <v>165.44213436567708</v>
      </c>
      <c r="F247" s="447">
        <f t="shared" si="104"/>
        <v>209.96641980099952</v>
      </c>
      <c r="G247" s="447">
        <f t="shared" si="104"/>
        <v>237.42457430257107</v>
      </c>
      <c r="H247" s="447">
        <f t="shared" si="104"/>
        <v>253.05294344496406</v>
      </c>
      <c r="I247" s="447">
        <f t="shared" si="104"/>
        <v>259.73095709627319</v>
      </c>
      <c r="J247" s="447">
        <f t="shared" si="104"/>
        <v>268.74338154928631</v>
      </c>
      <c r="K247" s="447">
        <f t="shared" si="104"/>
        <v>276.94167053190216</v>
      </c>
      <c r="L247" s="447">
        <f t="shared" si="104"/>
        <v>277.0870735851833</v>
      </c>
      <c r="M247" s="447">
        <f t="shared" si="104"/>
        <v>273.68507181304841</v>
      </c>
      <c r="N247" s="447">
        <f t="shared" si="104"/>
        <v>273.97330616413905</v>
      </c>
    </row>
    <row r="248" spans="2:14">
      <c r="B248" s="331" t="str">
        <f t="shared" si="101"/>
        <v>25-29</v>
      </c>
      <c r="C248" s="447">
        <f t="shared" si="103"/>
        <v>236.49692813355321</v>
      </c>
      <c r="D248" s="447">
        <f t="shared" ref="D248:N248" si="105">D78-D214</f>
        <v>292.49967276675795</v>
      </c>
      <c r="E248" s="447">
        <f t="shared" si="105"/>
        <v>346.81155965262724</v>
      </c>
      <c r="F248" s="447">
        <f t="shared" si="105"/>
        <v>403.50051623740808</v>
      </c>
      <c r="G248" s="447">
        <f t="shared" si="105"/>
        <v>447.55372245620578</v>
      </c>
      <c r="H248" s="447">
        <f t="shared" si="105"/>
        <v>479.60159219169361</v>
      </c>
      <c r="I248" s="447">
        <f t="shared" si="105"/>
        <v>499.99460516611492</v>
      </c>
      <c r="J248" s="447">
        <f t="shared" si="105"/>
        <v>521.61626922856465</v>
      </c>
      <c r="K248" s="447">
        <f t="shared" si="105"/>
        <v>541.33699887695661</v>
      </c>
      <c r="L248" s="447">
        <f t="shared" si="105"/>
        <v>549.75068746719353</v>
      </c>
      <c r="M248" s="447">
        <f t="shared" si="105"/>
        <v>551.28877775645469</v>
      </c>
      <c r="N248" s="447">
        <f t="shared" si="105"/>
        <v>555.29559932312941</v>
      </c>
    </row>
    <row r="249" spans="2:14">
      <c r="B249" s="331" t="str">
        <f t="shared" si="101"/>
        <v>30-34</v>
      </c>
      <c r="C249" s="447">
        <f t="shared" si="103"/>
        <v>470.76275955424558</v>
      </c>
      <c r="D249" s="447">
        <f t="shared" ref="D249:N249" si="106">D79-D215</f>
        <v>465.65971975478487</v>
      </c>
      <c r="E249" s="447">
        <f t="shared" si="106"/>
        <v>471.38672315174864</v>
      </c>
      <c r="F249" s="447">
        <f t="shared" si="106"/>
        <v>490.49449599576781</v>
      </c>
      <c r="G249" s="447">
        <f t="shared" si="106"/>
        <v>512.12524024463687</v>
      </c>
      <c r="H249" s="447">
        <f t="shared" si="106"/>
        <v>533.42996512255411</v>
      </c>
      <c r="I249" s="447">
        <f t="shared" si="106"/>
        <v>551.75705596296814</v>
      </c>
      <c r="J249" s="447">
        <f t="shared" si="106"/>
        <v>572.65663534709745</v>
      </c>
      <c r="K249" s="447">
        <f t="shared" si="106"/>
        <v>593.71903408832168</v>
      </c>
      <c r="L249" s="447">
        <f t="shared" si="106"/>
        <v>608.52388811276762</v>
      </c>
      <c r="M249" s="447">
        <f t="shared" si="106"/>
        <v>618.27922337348082</v>
      </c>
      <c r="N249" s="447">
        <f t="shared" si="106"/>
        <v>627.98336014501433</v>
      </c>
    </row>
    <row r="250" spans="2:14">
      <c r="B250" s="331" t="str">
        <f t="shared" si="101"/>
        <v>35-39</v>
      </c>
      <c r="C250" s="447">
        <f t="shared" si="103"/>
        <v>569.68600590399296</v>
      </c>
      <c r="D250" s="447">
        <f t="shared" ref="D250:N250" si="107">D80-D216</f>
        <v>558.83254362077901</v>
      </c>
      <c r="E250" s="447">
        <f t="shared" si="107"/>
        <v>548.55228912944528</v>
      </c>
      <c r="F250" s="447">
        <f t="shared" si="107"/>
        <v>545.45182553126688</v>
      </c>
      <c r="G250" s="447">
        <f t="shared" si="107"/>
        <v>544.62930714643153</v>
      </c>
      <c r="H250" s="447">
        <f t="shared" si="107"/>
        <v>546.06729524225955</v>
      </c>
      <c r="I250" s="447">
        <f t="shared" si="107"/>
        <v>548.79325602330846</v>
      </c>
      <c r="J250" s="447">
        <f t="shared" si="107"/>
        <v>556.52686388225709</v>
      </c>
      <c r="K250" s="447">
        <f t="shared" si="107"/>
        <v>567.15279053768063</v>
      </c>
      <c r="L250" s="447">
        <f t="shared" si="107"/>
        <v>575.9720819329641</v>
      </c>
      <c r="M250" s="447">
        <f t="shared" si="107"/>
        <v>583.4150903767727</v>
      </c>
      <c r="N250" s="447">
        <f t="shared" si="107"/>
        <v>592.19445037294724</v>
      </c>
    </row>
    <row r="251" spans="2:14">
      <c r="B251" s="331" t="str">
        <f t="shared" si="101"/>
        <v>40-44</v>
      </c>
      <c r="C251" s="447">
        <f t="shared" si="103"/>
        <v>589.06734232649251</v>
      </c>
      <c r="D251" s="447">
        <f t="shared" ref="D251:N251" si="108">D81-D217</f>
        <v>578.86182146447777</v>
      </c>
      <c r="E251" s="447">
        <f t="shared" si="108"/>
        <v>567.79306072491192</v>
      </c>
      <c r="F251" s="447">
        <f t="shared" si="108"/>
        <v>560.86226110290534</v>
      </c>
      <c r="G251" s="447">
        <f t="shared" si="108"/>
        <v>553.47585935579195</v>
      </c>
      <c r="H251" s="447">
        <f t="shared" si="108"/>
        <v>546.25360734253206</v>
      </c>
      <c r="I251" s="447">
        <f t="shared" si="108"/>
        <v>539.29524317026392</v>
      </c>
      <c r="J251" s="447">
        <f t="shared" si="108"/>
        <v>536.56018523861098</v>
      </c>
      <c r="K251" s="447">
        <f t="shared" si="108"/>
        <v>536.78345116206935</v>
      </c>
      <c r="L251" s="447">
        <f t="shared" si="108"/>
        <v>536.43693270835695</v>
      </c>
      <c r="M251" s="447">
        <f t="shared" si="108"/>
        <v>536.26845909019676</v>
      </c>
      <c r="N251" s="447">
        <f t="shared" si="108"/>
        <v>538.69431523729088</v>
      </c>
    </row>
    <row r="252" spans="2:14">
      <c r="B252" s="331" t="str">
        <f t="shared" si="101"/>
        <v>45-49</v>
      </c>
      <c r="C252" s="447">
        <f t="shared" si="103"/>
        <v>616.94054095092793</v>
      </c>
      <c r="D252" s="447">
        <f t="shared" ref="D252:N252" si="109">D82-D218</f>
        <v>591.37398140206153</v>
      </c>
      <c r="E252" s="447">
        <f t="shared" si="109"/>
        <v>569.04136349064004</v>
      </c>
      <c r="F252" s="447">
        <f t="shared" si="109"/>
        <v>553.4697672278437</v>
      </c>
      <c r="G252" s="447">
        <f t="shared" si="109"/>
        <v>539.42718103413597</v>
      </c>
      <c r="H252" s="447">
        <f t="shared" si="109"/>
        <v>526.48492520663956</v>
      </c>
      <c r="I252" s="447">
        <f t="shared" si="109"/>
        <v>514.15539652684765</v>
      </c>
      <c r="J252" s="447">
        <f t="shared" si="109"/>
        <v>505.39943620719475</v>
      </c>
      <c r="K252" s="447">
        <f t="shared" si="109"/>
        <v>499.15452516325661</v>
      </c>
      <c r="L252" s="447">
        <f t="shared" si="109"/>
        <v>492.62207527445554</v>
      </c>
      <c r="M252" s="447">
        <f t="shared" si="109"/>
        <v>486.53085637466444</v>
      </c>
      <c r="N252" s="447">
        <f t="shared" si="109"/>
        <v>482.99993786905532</v>
      </c>
    </row>
    <row r="253" spans="2:14">
      <c r="B253" s="331" t="str">
        <f t="shared" si="101"/>
        <v>50-54</v>
      </c>
      <c r="C253" s="447">
        <f t="shared" si="103"/>
        <v>588.40700113022353</v>
      </c>
      <c r="D253" s="447">
        <f t="shared" ref="D253:N253" si="110">D83-D219</f>
        <v>550.55528969703585</v>
      </c>
      <c r="E253" s="447">
        <f t="shared" si="110"/>
        <v>517.45574852649418</v>
      </c>
      <c r="F253" s="447">
        <f t="shared" si="110"/>
        <v>492.27946763769057</v>
      </c>
      <c r="G253" s="447">
        <f t="shared" si="110"/>
        <v>470.65062433649604</v>
      </c>
      <c r="H253" s="447">
        <f t="shared" si="110"/>
        <v>451.85626602659153</v>
      </c>
      <c r="I253" s="447">
        <f t="shared" si="110"/>
        <v>435.10411035434294</v>
      </c>
      <c r="J253" s="447">
        <f t="shared" si="110"/>
        <v>422.16500189556126</v>
      </c>
      <c r="K253" s="447">
        <f t="shared" si="110"/>
        <v>411.9214162113941</v>
      </c>
      <c r="L253" s="447">
        <f t="shared" si="110"/>
        <v>402.0800641812819</v>
      </c>
      <c r="M253" s="447">
        <f t="shared" si="110"/>
        <v>393.02715232420292</v>
      </c>
      <c r="N253" s="447">
        <f t="shared" si="110"/>
        <v>386.22831651405033</v>
      </c>
    </row>
    <row r="254" spans="2:14">
      <c r="B254" s="331" t="str">
        <f t="shared" si="101"/>
        <v>55-59</v>
      </c>
      <c r="C254" s="447">
        <f t="shared" si="103"/>
        <v>407.39592750770851</v>
      </c>
      <c r="D254" s="447">
        <f t="shared" ref="D254:N254" si="111">D84-D220</f>
        <v>347.65606984600902</v>
      </c>
      <c r="E254" s="447">
        <f t="shared" si="111"/>
        <v>305.23629479813474</v>
      </c>
      <c r="F254" s="447">
        <f t="shared" si="111"/>
        <v>275.8282746778392</v>
      </c>
      <c r="G254" s="447">
        <f t="shared" si="111"/>
        <v>253.73592805077652</v>
      </c>
      <c r="H254" s="447">
        <f t="shared" si="111"/>
        <v>236.61355207155376</v>
      </c>
      <c r="I254" s="447">
        <f t="shared" si="111"/>
        <v>222.82003143261613</v>
      </c>
      <c r="J254" s="447">
        <f t="shared" si="111"/>
        <v>212.62748508870283</v>
      </c>
      <c r="K254" s="447">
        <f t="shared" si="111"/>
        <v>204.81288276065979</v>
      </c>
      <c r="L254" s="447">
        <f t="shared" si="111"/>
        <v>197.72201282628038</v>
      </c>
      <c r="M254" s="447">
        <f t="shared" si="111"/>
        <v>191.44406591220979</v>
      </c>
      <c r="N254" s="447">
        <f t="shared" si="111"/>
        <v>186.69727072166737</v>
      </c>
    </row>
    <row r="255" spans="2:14">
      <c r="B255" s="331" t="str">
        <f t="shared" si="101"/>
        <v>60-64</v>
      </c>
      <c r="C255" s="447">
        <f t="shared" si="103"/>
        <v>131.08991288889661</v>
      </c>
      <c r="D255" s="447">
        <f t="shared" ref="D255:N255" si="112">D85-D221</f>
        <v>125.60976436473028</v>
      </c>
      <c r="E255" s="447">
        <f t="shared" si="112"/>
        <v>114.82161366722472</v>
      </c>
      <c r="F255" s="447">
        <f t="shared" si="112"/>
        <v>104.39738001941748</v>
      </c>
      <c r="G255" s="447">
        <f t="shared" si="112"/>
        <v>95.022587957304296</v>
      </c>
      <c r="H255" s="447">
        <f t="shared" si="112"/>
        <v>87.13478859712508</v>
      </c>
      <c r="I255" s="447">
        <f t="shared" si="112"/>
        <v>80.601686990283184</v>
      </c>
      <c r="J255" s="447">
        <f t="shared" si="112"/>
        <v>75.788854406566358</v>
      </c>
      <c r="K255" s="447">
        <f t="shared" si="112"/>
        <v>72.147461611453579</v>
      </c>
      <c r="L255" s="447">
        <f t="shared" si="112"/>
        <v>68.890693188241414</v>
      </c>
      <c r="M255" s="447">
        <f t="shared" si="112"/>
        <v>66.071010546974094</v>
      </c>
      <c r="N255" s="447">
        <f t="shared" si="112"/>
        <v>64.009337778675814</v>
      </c>
    </row>
    <row r="256" spans="2:14">
      <c r="B256" s="331" t="str">
        <f t="shared" si="101"/>
        <v>65 plus</v>
      </c>
      <c r="C256" s="447">
        <f t="shared" si="103"/>
        <v>31.983339312839711</v>
      </c>
      <c r="D256" s="447">
        <f t="shared" ref="D256:N256" si="113">D86-D222</f>
        <v>37.568239868260648</v>
      </c>
      <c r="E256" s="447">
        <f t="shared" si="113"/>
        <v>40.069339308766253</v>
      </c>
      <c r="F256" s="447">
        <f t="shared" si="113"/>
        <v>40.530928630879018</v>
      </c>
      <c r="G256" s="447">
        <f t="shared" si="113"/>
        <v>39.446689192544071</v>
      </c>
      <c r="H256" s="447">
        <f t="shared" si="113"/>
        <v>37.562916188220171</v>
      </c>
      <c r="I256" s="447">
        <f t="shared" si="113"/>
        <v>35.359600441978174</v>
      </c>
      <c r="J256" s="447">
        <f t="shared" si="113"/>
        <v>33.364282996478501</v>
      </c>
      <c r="K256" s="447">
        <f t="shared" si="113"/>
        <v>31.633906102245156</v>
      </c>
      <c r="L256" s="447">
        <f t="shared" si="113"/>
        <v>29.998638356038992</v>
      </c>
      <c r="M256" s="447">
        <f t="shared" si="113"/>
        <v>28.525254633702694</v>
      </c>
      <c r="N256" s="447">
        <f t="shared" si="113"/>
        <v>27.372030487319641</v>
      </c>
    </row>
    <row r="257" spans="1:14">
      <c r="B257" s="331" t="str">
        <f t="shared" si="101"/>
        <v>Total</v>
      </c>
      <c r="C257" s="447">
        <f>SUM(C247:C256)</f>
        <v>3672.7301461263201</v>
      </c>
      <c r="D257" s="447">
        <f t="shared" ref="D257:N257" si="114">SUM(D247:D256)</f>
        <v>3658.5964188203525</v>
      </c>
      <c r="E257" s="447">
        <f t="shared" si="114"/>
        <v>3646.6101268156699</v>
      </c>
      <c r="F257" s="447">
        <f t="shared" si="114"/>
        <v>3676.7813368620177</v>
      </c>
      <c r="G257" s="447">
        <f t="shared" si="114"/>
        <v>3693.4917140768948</v>
      </c>
      <c r="H257" s="447">
        <f t="shared" si="114"/>
        <v>3698.0578514341337</v>
      </c>
      <c r="I257" s="447">
        <f t="shared" si="114"/>
        <v>3687.6119431649972</v>
      </c>
      <c r="J257" s="447">
        <f t="shared" si="114"/>
        <v>3705.4483958403198</v>
      </c>
      <c r="K257" s="447">
        <f t="shared" si="114"/>
        <v>3735.6041370459393</v>
      </c>
      <c r="L257" s="447">
        <f t="shared" si="114"/>
        <v>3739.0841476327641</v>
      </c>
      <c r="M257" s="447">
        <f t="shared" si="114"/>
        <v>3728.534962201707</v>
      </c>
      <c r="N257" s="447">
        <f t="shared" si="114"/>
        <v>3735.4479246132892</v>
      </c>
    </row>
    <row r="258" spans="1:14">
      <c r="A258" s="302">
        <f>SUM(C258:N258)</f>
        <v>0</v>
      </c>
      <c r="C258" s="302">
        <f>SUM(C247:C256)-C257</f>
        <v>0</v>
      </c>
      <c r="D258" s="302">
        <f t="shared" ref="D258:N258" si="115">SUM(D247:D256)-D257</f>
        <v>0</v>
      </c>
      <c r="E258" s="302">
        <f t="shared" si="115"/>
        <v>0</v>
      </c>
      <c r="F258" s="302">
        <f t="shared" si="115"/>
        <v>0</v>
      </c>
      <c r="G258" s="302">
        <f t="shared" si="115"/>
        <v>0</v>
      </c>
      <c r="H258" s="302">
        <f t="shared" si="115"/>
        <v>0</v>
      </c>
      <c r="I258" s="302">
        <f t="shared" si="115"/>
        <v>0</v>
      </c>
      <c r="J258" s="302">
        <f t="shared" si="115"/>
        <v>0</v>
      </c>
      <c r="K258" s="302">
        <f t="shared" si="115"/>
        <v>0</v>
      </c>
      <c r="L258" s="302">
        <f t="shared" si="115"/>
        <v>0</v>
      </c>
      <c r="M258" s="302">
        <f t="shared" si="115"/>
        <v>0</v>
      </c>
      <c r="N258" s="302">
        <f t="shared" si="115"/>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6">B246</f>
        <v>Age group</v>
      </c>
      <c r="C262" s="331" t="str">
        <f t="shared" ref="C262:N262" si="117">C246</f>
        <v>2017/18</v>
      </c>
      <c r="D262" s="331" t="str">
        <f t="shared" si="117"/>
        <v>2018/19</v>
      </c>
      <c r="E262" s="331" t="str">
        <f t="shared" si="117"/>
        <v>2019/20</v>
      </c>
      <c r="F262" s="331" t="str">
        <f t="shared" si="117"/>
        <v>2020/21</v>
      </c>
      <c r="G262" s="331" t="str">
        <f t="shared" si="117"/>
        <v>2021/22</v>
      </c>
      <c r="H262" s="331" t="str">
        <f t="shared" si="117"/>
        <v>2022/23</v>
      </c>
      <c r="I262" s="331" t="str">
        <f t="shared" si="117"/>
        <v>2023/24</v>
      </c>
      <c r="J262" s="331" t="str">
        <f t="shared" si="117"/>
        <v>2024/25</v>
      </c>
      <c r="K262" s="331" t="str">
        <f t="shared" si="117"/>
        <v>2025/26</v>
      </c>
      <c r="L262" s="331" t="str">
        <f t="shared" si="117"/>
        <v>2026/27</v>
      </c>
      <c r="M262" s="331" t="str">
        <f t="shared" si="117"/>
        <v>2027/28</v>
      </c>
      <c r="N262" s="331" t="str">
        <f t="shared" si="117"/>
        <v>2028/29</v>
      </c>
    </row>
    <row r="263" spans="1:14">
      <c r="B263" s="331" t="str">
        <f t="shared" si="116"/>
        <v>20-24</v>
      </c>
      <c r="C263" s="447">
        <f t="shared" ref="C263:C272" si="118">C93-C229</f>
        <v>107.72247268629927</v>
      </c>
      <c r="D263" s="447">
        <f t="shared" ref="D263:N263" si="119">D93-D229</f>
        <v>192.70189195304661</v>
      </c>
      <c r="E263" s="447">
        <f t="shared" si="119"/>
        <v>252.81536530939155</v>
      </c>
      <c r="F263" s="447">
        <f t="shared" si="119"/>
        <v>301.33041997042505</v>
      </c>
      <c r="G263" s="447">
        <f t="shared" si="119"/>
        <v>330.32942913107507</v>
      </c>
      <c r="H263" s="447">
        <f t="shared" si="119"/>
        <v>345.84225476063841</v>
      </c>
      <c r="I263" s="447">
        <f t="shared" si="119"/>
        <v>351.04538550511711</v>
      </c>
      <c r="J263" s="447">
        <f t="shared" si="119"/>
        <v>360.39983804765137</v>
      </c>
      <c r="K263" s="447">
        <f t="shared" si="119"/>
        <v>369.42905918315489</v>
      </c>
      <c r="L263" s="447">
        <f t="shared" si="119"/>
        <v>368.35117188043279</v>
      </c>
      <c r="M263" s="447">
        <f t="shared" si="119"/>
        <v>362.96493967864274</v>
      </c>
      <c r="N263" s="447">
        <f t="shared" si="119"/>
        <v>362.71942263880021</v>
      </c>
    </row>
    <row r="264" spans="1:14">
      <c r="B264" s="331" t="str">
        <f t="shared" si="116"/>
        <v>25-29</v>
      </c>
      <c r="C264" s="447">
        <f t="shared" si="118"/>
        <v>557.42520383626959</v>
      </c>
      <c r="D264" s="447">
        <f t="shared" ref="D264:N264" si="120">D94-D230</f>
        <v>575.88367973061759</v>
      </c>
      <c r="E264" s="447">
        <f t="shared" si="120"/>
        <v>604.49724704927576</v>
      </c>
      <c r="F264" s="447">
        <f t="shared" si="120"/>
        <v>643.94064862224525</v>
      </c>
      <c r="G264" s="447">
        <f t="shared" si="120"/>
        <v>674.5257371628353</v>
      </c>
      <c r="H264" s="447">
        <f t="shared" si="120"/>
        <v>695.4956539052007</v>
      </c>
      <c r="I264" s="447">
        <f t="shared" si="120"/>
        <v>706.00235368794461</v>
      </c>
      <c r="J264" s="447">
        <f t="shared" si="120"/>
        <v>721.97438284728094</v>
      </c>
      <c r="K264" s="447">
        <f t="shared" si="120"/>
        <v>738.40915100108123</v>
      </c>
      <c r="L264" s="447">
        <f t="shared" si="120"/>
        <v>742.21897886327088</v>
      </c>
      <c r="M264" s="447">
        <f t="shared" si="120"/>
        <v>738.7341091473354</v>
      </c>
      <c r="N264" s="447">
        <f t="shared" si="120"/>
        <v>739.86879483449411</v>
      </c>
    </row>
    <row r="265" spans="1:14">
      <c r="B265" s="331" t="str">
        <f t="shared" si="116"/>
        <v>30-34</v>
      </c>
      <c r="C265" s="447">
        <f t="shared" si="118"/>
        <v>843.42801711524066</v>
      </c>
      <c r="D265" s="447">
        <f t="shared" ref="D265:N265" si="121">D95-D231</f>
        <v>815.33810524047976</v>
      </c>
      <c r="E265" s="447">
        <f t="shared" si="121"/>
        <v>797.43571433133366</v>
      </c>
      <c r="F265" s="447">
        <f t="shared" si="121"/>
        <v>793.93972570900462</v>
      </c>
      <c r="G265" s="447">
        <f t="shared" si="121"/>
        <v>794.53435905237859</v>
      </c>
      <c r="H265" s="447">
        <f t="shared" si="121"/>
        <v>796.69674821455135</v>
      </c>
      <c r="I265" s="447">
        <f t="shared" si="121"/>
        <v>797.5912148176692</v>
      </c>
      <c r="J265" s="447">
        <f t="shared" si="121"/>
        <v>804.70016117330158</v>
      </c>
      <c r="K265" s="447">
        <f t="shared" si="121"/>
        <v>814.79037853442389</v>
      </c>
      <c r="L265" s="447">
        <f t="shared" si="121"/>
        <v>819.30083964478649</v>
      </c>
      <c r="M265" s="447">
        <f t="shared" si="121"/>
        <v>819.62951581270181</v>
      </c>
      <c r="N265" s="447">
        <f t="shared" si="121"/>
        <v>822.04763513107662</v>
      </c>
    </row>
    <row r="266" spans="1:14">
      <c r="B266" s="331" t="str">
        <f t="shared" si="116"/>
        <v>35-39</v>
      </c>
      <c r="C266" s="447">
        <f t="shared" si="118"/>
        <v>824.81570297447126</v>
      </c>
      <c r="D266" s="447">
        <f t="shared" ref="D266:N266" si="122">D96-D232</f>
        <v>824.42274830832116</v>
      </c>
      <c r="E266" s="447">
        <f t="shared" si="122"/>
        <v>818.14897774883605</v>
      </c>
      <c r="F266" s="447">
        <f t="shared" si="122"/>
        <v>812.85637381380548</v>
      </c>
      <c r="G266" s="447">
        <f t="shared" si="122"/>
        <v>805.622331580268</v>
      </c>
      <c r="H266" s="447">
        <f t="shared" si="122"/>
        <v>797.8402236318999</v>
      </c>
      <c r="I266" s="447">
        <f t="shared" si="122"/>
        <v>789.50912879300779</v>
      </c>
      <c r="J266" s="447">
        <f t="shared" si="122"/>
        <v>786.55332865847845</v>
      </c>
      <c r="K266" s="447">
        <f t="shared" si="122"/>
        <v>786.9785648183647</v>
      </c>
      <c r="L266" s="447">
        <f t="shared" si="122"/>
        <v>785.2283061535685</v>
      </c>
      <c r="M266" s="447">
        <f t="shared" si="122"/>
        <v>782.33082363034225</v>
      </c>
      <c r="N266" s="447">
        <f t="shared" si="122"/>
        <v>782.12982442331793</v>
      </c>
    </row>
    <row r="267" spans="1:14">
      <c r="B267" s="331" t="str">
        <f t="shared" si="116"/>
        <v>40-44</v>
      </c>
      <c r="C267" s="447">
        <f t="shared" si="118"/>
        <v>760.88975644216123</v>
      </c>
      <c r="D267" s="447">
        <f t="shared" ref="D267:N267" si="123">D97-D233</f>
        <v>762.60809382399168</v>
      </c>
      <c r="E267" s="447">
        <f t="shared" si="123"/>
        <v>762.99731138337791</v>
      </c>
      <c r="F267" s="447">
        <f t="shared" si="123"/>
        <v>764.19204503582091</v>
      </c>
      <c r="G267" s="447">
        <f t="shared" si="123"/>
        <v>761.85580977628581</v>
      </c>
      <c r="H267" s="447">
        <f t="shared" si="123"/>
        <v>756.67704977146377</v>
      </c>
      <c r="I267" s="447">
        <f t="shared" si="123"/>
        <v>748.95102330923532</v>
      </c>
      <c r="J267" s="447">
        <f t="shared" si="123"/>
        <v>744.24210722626492</v>
      </c>
      <c r="K267" s="447">
        <f t="shared" si="123"/>
        <v>741.31470906825245</v>
      </c>
      <c r="L267" s="447">
        <f t="shared" si="123"/>
        <v>735.99469806710783</v>
      </c>
      <c r="M267" s="447">
        <f t="shared" si="123"/>
        <v>729.74436112072635</v>
      </c>
      <c r="N267" s="447">
        <f t="shared" si="123"/>
        <v>726.17461149835219</v>
      </c>
    </row>
    <row r="268" spans="1:14">
      <c r="B268" s="331" t="str">
        <f t="shared" si="116"/>
        <v>45-49</v>
      </c>
      <c r="C268" s="447">
        <f t="shared" si="118"/>
        <v>716.79947322982991</v>
      </c>
      <c r="D268" s="447">
        <f t="shared" ref="D268:N268" si="124">D98-D234</f>
        <v>701.30300463340586</v>
      </c>
      <c r="E268" s="447">
        <f t="shared" si="124"/>
        <v>689.45493514991722</v>
      </c>
      <c r="F268" s="447">
        <f t="shared" si="124"/>
        <v>682.41068272973655</v>
      </c>
      <c r="G268" s="447">
        <f t="shared" si="124"/>
        <v>675.70256144792188</v>
      </c>
      <c r="H268" s="447">
        <f t="shared" si="124"/>
        <v>668.68308878905918</v>
      </c>
      <c r="I268" s="447">
        <f t="shared" si="124"/>
        <v>660.63064219079365</v>
      </c>
      <c r="J268" s="447">
        <f t="shared" si="124"/>
        <v>655.40013509079506</v>
      </c>
      <c r="K268" s="447">
        <f t="shared" si="124"/>
        <v>651.61678196888465</v>
      </c>
      <c r="L268" s="447">
        <f t="shared" si="124"/>
        <v>645.71245253102313</v>
      </c>
      <c r="M268" s="447">
        <f t="shared" si="124"/>
        <v>638.82573406615631</v>
      </c>
      <c r="N268" s="447">
        <f t="shared" si="124"/>
        <v>633.94777492149797</v>
      </c>
    </row>
    <row r="269" spans="1:14">
      <c r="B269" s="331" t="str">
        <f t="shared" si="116"/>
        <v>50-54</v>
      </c>
      <c r="C269" s="447">
        <f t="shared" si="118"/>
        <v>597.5089978920372</v>
      </c>
      <c r="D269" s="447">
        <f t="shared" ref="D269:N269" si="125">D99-D235</f>
        <v>580.87876621887438</v>
      </c>
      <c r="E269" s="447">
        <f t="shared" si="125"/>
        <v>565.58862478248398</v>
      </c>
      <c r="F269" s="447">
        <f t="shared" si="125"/>
        <v>553.69834478053963</v>
      </c>
      <c r="G269" s="447">
        <f t="shared" si="125"/>
        <v>542.71516563295154</v>
      </c>
      <c r="H269" s="447">
        <f t="shared" si="125"/>
        <v>532.49526311266675</v>
      </c>
      <c r="I269" s="447">
        <f t="shared" si="125"/>
        <v>522.54512687061401</v>
      </c>
      <c r="J269" s="447">
        <f t="shared" si="125"/>
        <v>515.57452360895786</v>
      </c>
      <c r="K269" s="447">
        <f t="shared" si="125"/>
        <v>510.36251191876545</v>
      </c>
      <c r="L269" s="447">
        <f t="shared" si="125"/>
        <v>504.07489633711032</v>
      </c>
      <c r="M269" s="447">
        <f t="shared" si="125"/>
        <v>497.38226251359572</v>
      </c>
      <c r="N269" s="447">
        <f t="shared" si="125"/>
        <v>492.3590648105536</v>
      </c>
    </row>
    <row r="270" spans="1:14">
      <c r="B270" s="331" t="str">
        <f t="shared" si="116"/>
        <v>55-59</v>
      </c>
      <c r="C270" s="447">
        <f t="shared" si="118"/>
        <v>366.53026295358023</v>
      </c>
      <c r="D270" s="447">
        <f t="shared" ref="D270:N270" si="126">D100-D236</f>
        <v>330.78060296987991</v>
      </c>
      <c r="E270" s="447">
        <f t="shared" si="126"/>
        <v>306.24693892091818</v>
      </c>
      <c r="F270" s="447">
        <f t="shared" si="126"/>
        <v>289.75502213821744</v>
      </c>
      <c r="G270" s="447">
        <f t="shared" si="126"/>
        <v>277.19253766171164</v>
      </c>
      <c r="H270" s="447">
        <f t="shared" si="126"/>
        <v>267.18446588802971</v>
      </c>
      <c r="I270" s="447">
        <f t="shared" si="126"/>
        <v>258.71614871699126</v>
      </c>
      <c r="J270" s="447">
        <f t="shared" si="126"/>
        <v>252.9323616633622</v>
      </c>
      <c r="K270" s="447">
        <f t="shared" si="126"/>
        <v>248.73958560681734</v>
      </c>
      <c r="L270" s="447">
        <f t="shared" si="126"/>
        <v>244.29518590139159</v>
      </c>
      <c r="M270" s="447">
        <f t="shared" si="126"/>
        <v>239.95559932060024</v>
      </c>
      <c r="N270" s="447">
        <f t="shared" si="126"/>
        <v>236.84404197293884</v>
      </c>
    </row>
    <row r="271" spans="1:14">
      <c r="B271" s="331" t="str">
        <f t="shared" si="116"/>
        <v>60-64</v>
      </c>
      <c r="C271" s="447">
        <f t="shared" si="118"/>
        <v>123.32408749662972</v>
      </c>
      <c r="D271" s="447">
        <f t="shared" ref="D271:N271" si="127">D101-D237</f>
        <v>118.12185026908841</v>
      </c>
      <c r="E271" s="447">
        <f t="shared" si="127"/>
        <v>110.78595031321316</v>
      </c>
      <c r="F271" s="447">
        <f t="shared" si="127"/>
        <v>104.25667504078501</v>
      </c>
      <c r="G271" s="447">
        <f t="shared" si="127"/>
        <v>98.460354809497758</v>
      </c>
      <c r="H271" s="447">
        <f t="shared" si="127"/>
        <v>93.556882166922833</v>
      </c>
      <c r="I271" s="447">
        <f t="shared" si="127"/>
        <v>89.37849182240825</v>
      </c>
      <c r="J271" s="447">
        <f t="shared" si="127"/>
        <v>86.557952020416778</v>
      </c>
      <c r="K271" s="447">
        <f t="shared" si="127"/>
        <v>84.54866521932783</v>
      </c>
      <c r="L271" s="447">
        <f t="shared" si="127"/>
        <v>82.47175504574318</v>
      </c>
      <c r="M271" s="447">
        <f t="shared" si="127"/>
        <v>80.522436823256328</v>
      </c>
      <c r="N271" s="447">
        <f t="shared" si="127"/>
        <v>79.218405859594327</v>
      </c>
    </row>
    <row r="272" spans="1:14">
      <c r="B272" s="331" t="str">
        <f t="shared" si="116"/>
        <v>65 plus</v>
      </c>
      <c r="C272" s="447">
        <f t="shared" si="118"/>
        <v>22.703671294345831</v>
      </c>
      <c r="D272" s="447">
        <f t="shared" ref="D272:N272" si="128">D102-D238</f>
        <v>33.589497768410794</v>
      </c>
      <c r="E272" s="447">
        <f t="shared" si="128"/>
        <v>39.807172040963238</v>
      </c>
      <c r="F272" s="447">
        <f t="shared" si="128"/>
        <v>42.956520324339124</v>
      </c>
      <c r="G272" s="447">
        <f t="shared" si="128"/>
        <v>43.979187595978424</v>
      </c>
      <c r="H272" s="447">
        <f t="shared" si="128"/>
        <v>43.750668296596686</v>
      </c>
      <c r="I272" s="447">
        <f t="shared" si="128"/>
        <v>42.816691281812766</v>
      </c>
      <c r="J272" s="447">
        <f t="shared" si="128"/>
        <v>41.857445559875174</v>
      </c>
      <c r="K272" s="447">
        <f t="shared" si="128"/>
        <v>40.960547862172788</v>
      </c>
      <c r="L272" s="447">
        <f t="shared" si="128"/>
        <v>39.919755435791977</v>
      </c>
      <c r="M272" s="447">
        <f t="shared" si="128"/>
        <v>38.860199642288762</v>
      </c>
      <c r="N272" s="447">
        <f t="shared" si="128"/>
        <v>38.042012283188626</v>
      </c>
    </row>
    <row r="273" spans="1:14">
      <c r="B273" s="331" t="str">
        <f t="shared" si="116"/>
        <v>Total</v>
      </c>
      <c r="C273" s="447">
        <f>SUM(C263:C272)</f>
        <v>4921.1476459208643</v>
      </c>
      <c r="D273" s="447">
        <f t="shared" ref="D273:N273" si="129">SUM(D263:D272)</f>
        <v>4935.6282409161149</v>
      </c>
      <c r="E273" s="447">
        <f t="shared" si="129"/>
        <v>4947.7782370297109</v>
      </c>
      <c r="F273" s="447">
        <f t="shared" si="129"/>
        <v>4989.3364581649184</v>
      </c>
      <c r="G273" s="447">
        <f t="shared" si="129"/>
        <v>5004.9174738509037</v>
      </c>
      <c r="H273" s="447">
        <f t="shared" si="129"/>
        <v>4998.2222985370299</v>
      </c>
      <c r="I273" s="447">
        <f t="shared" si="129"/>
        <v>4967.1862069955941</v>
      </c>
      <c r="J273" s="447">
        <f t="shared" si="129"/>
        <v>4970.1922358963839</v>
      </c>
      <c r="K273" s="447">
        <f t="shared" si="129"/>
        <v>4987.149955181244</v>
      </c>
      <c r="L273" s="447">
        <f t="shared" si="129"/>
        <v>4967.5680398602271</v>
      </c>
      <c r="M273" s="447">
        <f t="shared" si="129"/>
        <v>4928.9499817556461</v>
      </c>
      <c r="N273" s="447">
        <f t="shared" si="129"/>
        <v>4913.3515883738137</v>
      </c>
    </row>
    <row r="274" spans="1:14">
      <c r="A274" s="302">
        <f>SUM(C274:N274)</f>
        <v>0</v>
      </c>
      <c r="C274" s="302">
        <f>SUM(C263:C272)-C273</f>
        <v>0</v>
      </c>
      <c r="D274" s="302">
        <f t="shared" ref="D274:N274" si="130">SUM(D263:D272)-D273</f>
        <v>0</v>
      </c>
      <c r="E274" s="302">
        <f t="shared" si="130"/>
        <v>0</v>
      </c>
      <c r="F274" s="302">
        <f t="shared" si="130"/>
        <v>0</v>
      </c>
      <c r="G274" s="302">
        <f t="shared" si="130"/>
        <v>0</v>
      </c>
      <c r="H274" s="302">
        <f t="shared" si="130"/>
        <v>0</v>
      </c>
      <c r="I274" s="302">
        <f t="shared" si="130"/>
        <v>0</v>
      </c>
      <c r="J274" s="302">
        <f t="shared" si="130"/>
        <v>0</v>
      </c>
      <c r="K274" s="302">
        <f t="shared" si="130"/>
        <v>0</v>
      </c>
      <c r="L274" s="302">
        <f t="shared" si="130"/>
        <v>0</v>
      </c>
      <c r="M274" s="302">
        <f t="shared" si="130"/>
        <v>0</v>
      </c>
      <c r="N274" s="302">
        <f t="shared" si="130"/>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1">D262</f>
        <v>2018/19</v>
      </c>
      <c r="E278" s="319" t="str">
        <f t="shared" si="131"/>
        <v>2019/20</v>
      </c>
      <c r="F278" s="319" t="str">
        <f t="shared" si="131"/>
        <v>2020/21</v>
      </c>
      <c r="G278" s="319" t="str">
        <f t="shared" si="131"/>
        <v>2021/22</v>
      </c>
      <c r="H278" s="319" t="str">
        <f t="shared" si="131"/>
        <v>2022/23</v>
      </c>
      <c r="I278" s="319" t="str">
        <f t="shared" si="131"/>
        <v>2023/24</v>
      </c>
      <c r="J278" s="319" t="str">
        <f t="shared" si="131"/>
        <v>2024/25</v>
      </c>
      <c r="K278" s="319" t="str">
        <f t="shared" si="131"/>
        <v>2025/26</v>
      </c>
      <c r="L278" s="319" t="str">
        <f t="shared" si="131"/>
        <v>2026/27</v>
      </c>
      <c r="M278" s="319" t="str">
        <f t="shared" si="131"/>
        <v>2027/28</v>
      </c>
      <c r="N278" s="319" t="str">
        <f t="shared" si="131"/>
        <v>2028/29</v>
      </c>
    </row>
    <row r="279" spans="1:14">
      <c r="B279" s="319" t="s">
        <v>592</v>
      </c>
      <c r="C279" s="447">
        <f>C223+C239</f>
        <v>1152.8224111993504</v>
      </c>
      <c r="D279" s="447">
        <f t="shared" ref="D279:N279" si="132">D223+D239</f>
        <v>1129.7126138219146</v>
      </c>
      <c r="E279" s="447">
        <f t="shared" si="132"/>
        <v>1136.3252086962393</v>
      </c>
      <c r="F279" s="447">
        <f t="shared" si="132"/>
        <v>1129.6622441892318</v>
      </c>
      <c r="G279" s="447">
        <f t="shared" si="132"/>
        <v>1119.238357215</v>
      </c>
      <c r="H279" s="447">
        <f t="shared" si="132"/>
        <v>1106.1425648160121</v>
      </c>
      <c r="I279" s="447">
        <f t="shared" si="132"/>
        <v>1089.9667281432983</v>
      </c>
      <c r="J279" s="447">
        <f t="shared" si="132"/>
        <v>1083.0373846134557</v>
      </c>
      <c r="K279" s="447">
        <f t="shared" si="132"/>
        <v>1080.5934177879935</v>
      </c>
      <c r="L279" s="447">
        <f t="shared" si="132"/>
        <v>1071.5432909990582</v>
      </c>
      <c r="M279" s="447">
        <f t="shared" si="132"/>
        <v>1059.5887451042454</v>
      </c>
      <c r="N279" s="447">
        <f t="shared" si="132"/>
        <v>1053.5726240807621</v>
      </c>
    </row>
    <row r="280" spans="1:14">
      <c r="B280" s="319" t="s">
        <v>593</v>
      </c>
      <c r="C280" s="447">
        <f>C155+C171</f>
        <v>379.64010623066986</v>
      </c>
      <c r="D280" s="447">
        <f t="shared" ref="D280:N280" si="133">D155+D171</f>
        <v>355.88892620205604</v>
      </c>
      <c r="E280" s="447">
        <f t="shared" si="133"/>
        <v>333.63545710839162</v>
      </c>
      <c r="F280" s="447">
        <f t="shared" si="133"/>
        <v>314.33591419229799</v>
      </c>
      <c r="G280" s="447">
        <f t="shared" si="133"/>
        <v>297.24238717852552</v>
      </c>
      <c r="H280" s="447">
        <f t="shared" si="133"/>
        <v>282.33988304551758</v>
      </c>
      <c r="I280" s="447">
        <f t="shared" si="133"/>
        <v>269.25805013297651</v>
      </c>
      <c r="J280" s="447">
        <f t="shared" si="133"/>
        <v>259.53814788545066</v>
      </c>
      <c r="K280" s="447">
        <f t="shared" si="133"/>
        <v>252.06845435276074</v>
      </c>
      <c r="L280" s="447">
        <f t="shared" si="133"/>
        <v>244.8347890807178</v>
      </c>
      <c r="M280" s="447">
        <f t="shared" si="133"/>
        <v>238.18926620975918</v>
      </c>
      <c r="N280" s="447">
        <f t="shared" si="133"/>
        <v>233.30227470330715</v>
      </c>
    </row>
    <row r="281" spans="1:14">
      <c r="B281" s="319" t="s">
        <v>594</v>
      </c>
      <c r="C281" s="447">
        <f>C189+C205</f>
        <v>8.5055013213957231</v>
      </c>
      <c r="D281" s="447">
        <f t="shared" ref="D281:N281" si="134">D189+D205</f>
        <v>8.2135739065046831</v>
      </c>
      <c r="E281" s="447">
        <f t="shared" si="134"/>
        <v>7.9438617422790259</v>
      </c>
      <c r="F281" s="447">
        <f t="shared" si="134"/>
        <v>7.7116101326011472</v>
      </c>
      <c r="G281" s="447">
        <f t="shared" si="134"/>
        <v>7.4927303157937359</v>
      </c>
      <c r="H281" s="447">
        <f t="shared" si="134"/>
        <v>7.2895800416429974</v>
      </c>
      <c r="I281" s="447">
        <f t="shared" si="134"/>
        <v>7.0981246525610917</v>
      </c>
      <c r="J281" s="447">
        <f t="shared" si="134"/>
        <v>6.9663229554343058</v>
      </c>
      <c r="K281" s="447">
        <f t="shared" si="134"/>
        <v>6.8733179103308562</v>
      </c>
      <c r="L281" s="447">
        <f t="shared" si="134"/>
        <v>6.7705035037744725</v>
      </c>
      <c r="M281" s="447">
        <f t="shared" si="134"/>
        <v>6.6686830153478294</v>
      </c>
      <c r="N281" s="447">
        <f t="shared" si="134"/>
        <v>6.6015828256376388</v>
      </c>
    </row>
    <row r="282" spans="1:14">
      <c r="B282" s="319" t="s">
        <v>595</v>
      </c>
      <c r="C282" s="447">
        <f>C121+C137</f>
        <v>764.67680364728506</v>
      </c>
      <c r="D282" s="447">
        <f t="shared" ref="D282:N282" si="135">D121+D137</f>
        <v>765.61011371335394</v>
      </c>
      <c r="E282" s="447">
        <f t="shared" si="135"/>
        <v>794.74588984556897</v>
      </c>
      <c r="F282" s="447">
        <f t="shared" si="135"/>
        <v>807.61471986433276</v>
      </c>
      <c r="G282" s="447">
        <f t="shared" si="135"/>
        <v>814.50323972068077</v>
      </c>
      <c r="H282" s="447">
        <f t="shared" si="135"/>
        <v>816.51310172885155</v>
      </c>
      <c r="I282" s="447">
        <f t="shared" si="135"/>
        <v>813.61055335776064</v>
      </c>
      <c r="J282" s="447">
        <f t="shared" si="135"/>
        <v>816.53291377257051</v>
      </c>
      <c r="K282" s="447">
        <f t="shared" si="135"/>
        <v>821.65164552490205</v>
      </c>
      <c r="L282" s="447">
        <f t="shared" si="135"/>
        <v>819.93799841456575</v>
      </c>
      <c r="M282" s="447">
        <f t="shared" si="135"/>
        <v>814.73079587913821</v>
      </c>
      <c r="N282" s="447">
        <f t="shared" si="135"/>
        <v>813.6687665518175</v>
      </c>
    </row>
    <row r="283" spans="1:14" ht="15.75">
      <c r="A283" s="302">
        <f>SUM(C283:N283)</f>
        <v>0</v>
      </c>
      <c r="B283" s="333"/>
      <c r="C283" s="302">
        <f>C279-C280-C281-C282</f>
        <v>0</v>
      </c>
      <c r="D283" s="302">
        <f t="shared" ref="D283:N283" si="136">D279-D280-D281-D282</f>
        <v>0</v>
      </c>
      <c r="E283" s="302">
        <f t="shared" si="136"/>
        <v>0</v>
      </c>
      <c r="F283" s="302">
        <f t="shared" si="136"/>
        <v>0</v>
      </c>
      <c r="G283" s="302">
        <f t="shared" si="136"/>
        <v>0</v>
      </c>
      <c r="H283" s="302">
        <f t="shared" si="136"/>
        <v>0</v>
      </c>
      <c r="I283" s="302">
        <f t="shared" si="136"/>
        <v>0</v>
      </c>
      <c r="J283" s="302">
        <f t="shared" si="136"/>
        <v>0</v>
      </c>
      <c r="K283" s="302">
        <f t="shared" si="136"/>
        <v>0</v>
      </c>
      <c r="L283" s="302">
        <f t="shared" si="136"/>
        <v>0</v>
      </c>
      <c r="M283" s="302">
        <f t="shared" si="136"/>
        <v>0</v>
      </c>
      <c r="N283" s="302">
        <f t="shared" si="136"/>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7">D278</f>
        <v>2018/19</v>
      </c>
      <c r="E289" s="319" t="str">
        <f t="shared" si="137"/>
        <v>2019/20</v>
      </c>
      <c r="F289" s="319" t="str">
        <f t="shared" si="137"/>
        <v>2020/21</v>
      </c>
      <c r="G289" s="319" t="str">
        <f t="shared" si="137"/>
        <v>2021/22</v>
      </c>
      <c r="H289" s="319" t="str">
        <f t="shared" si="137"/>
        <v>2022/23</v>
      </c>
      <c r="I289" s="319" t="str">
        <f t="shared" si="137"/>
        <v>2023/24</v>
      </c>
      <c r="J289" s="319" t="str">
        <f t="shared" si="137"/>
        <v>2024/25</v>
      </c>
      <c r="K289" s="319" t="str">
        <f t="shared" si="137"/>
        <v>2025/26</v>
      </c>
      <c r="L289" s="319" t="str">
        <f t="shared" si="137"/>
        <v>2026/27</v>
      </c>
      <c r="M289" s="319" t="str">
        <f t="shared" si="137"/>
        <v>2027/28</v>
      </c>
      <c r="N289" s="319" t="str">
        <f t="shared" si="137"/>
        <v>2028/29</v>
      </c>
    </row>
    <row r="290" spans="2:14" ht="15.75">
      <c r="B290" s="333"/>
      <c r="C290" s="447">
        <f>C53+C69-C15</f>
        <v>0</v>
      </c>
      <c r="D290" s="447">
        <f>D53+D69-D15</f>
        <v>0</v>
      </c>
      <c r="E290" s="447">
        <f>E53+E69-E15</f>
        <v>0</v>
      </c>
      <c r="F290" s="447">
        <f t="shared" ref="F290:N290" si="138">F53+F69-F15</f>
        <v>0</v>
      </c>
      <c r="G290" s="447">
        <f t="shared" si="138"/>
        <v>0</v>
      </c>
      <c r="H290" s="447">
        <f t="shared" si="138"/>
        <v>0</v>
      </c>
      <c r="I290" s="447">
        <f t="shared" si="138"/>
        <v>0</v>
      </c>
      <c r="J290" s="447">
        <f t="shared" si="138"/>
        <v>0</v>
      </c>
      <c r="K290" s="447">
        <f t="shared" si="138"/>
        <v>0</v>
      </c>
      <c r="L290" s="447">
        <f t="shared" si="138"/>
        <v>0</v>
      </c>
      <c r="M290" s="447">
        <f t="shared" si="138"/>
        <v>0</v>
      </c>
      <c r="N290" s="447">
        <f t="shared" si="138"/>
        <v>0</v>
      </c>
    </row>
    <row r="291" spans="2:14" ht="15.75">
      <c r="B291" s="333"/>
      <c r="H291" s="320"/>
    </row>
    <row r="292" spans="2:14" ht="15.75">
      <c r="B292" s="333" t="s">
        <v>264</v>
      </c>
      <c r="H292" s="320"/>
    </row>
    <row r="293" spans="2:14" ht="15.75">
      <c r="B293" s="333"/>
      <c r="C293" s="358" t="str">
        <f t="shared" ref="C293:N293" si="139">C262</f>
        <v>2017/18</v>
      </c>
      <c r="D293" s="358" t="str">
        <f t="shared" si="139"/>
        <v>2018/19</v>
      </c>
      <c r="E293" s="358" t="str">
        <f t="shared" si="139"/>
        <v>2019/20</v>
      </c>
      <c r="F293" s="358" t="str">
        <f t="shared" si="139"/>
        <v>2020/21</v>
      </c>
      <c r="G293" s="358" t="str">
        <f t="shared" si="139"/>
        <v>2021/22</v>
      </c>
      <c r="H293" s="358" t="str">
        <f t="shared" si="139"/>
        <v>2022/23</v>
      </c>
      <c r="I293" s="358" t="str">
        <f t="shared" si="139"/>
        <v>2023/24</v>
      </c>
      <c r="J293" s="358" t="str">
        <f t="shared" si="139"/>
        <v>2024/25</v>
      </c>
      <c r="K293" s="358" t="str">
        <f t="shared" si="139"/>
        <v>2025/26</v>
      </c>
      <c r="L293" s="358" t="str">
        <f t="shared" si="139"/>
        <v>2026/27</v>
      </c>
      <c r="M293" s="358" t="str">
        <f t="shared" si="139"/>
        <v>2027/28</v>
      </c>
      <c r="N293" s="358" t="str">
        <f t="shared" si="139"/>
        <v>2028/29</v>
      </c>
    </row>
    <row r="294" spans="2:14">
      <c r="B294" s="356" t="s">
        <v>268</v>
      </c>
      <c r="C294" s="447">
        <f>C36-C15+C279-C290</f>
        <v>1130.059481511199</v>
      </c>
      <c r="D294" s="447">
        <f t="shared" ref="D294:N294" si="140">D36-D15+D279-D290</f>
        <v>1136.4889128051518</v>
      </c>
      <c r="E294" s="447">
        <f t="shared" si="140"/>
        <v>1201.3916753707881</v>
      </c>
      <c r="F294" s="447">
        <f t="shared" si="140"/>
        <v>1151.5297501158616</v>
      </c>
      <c r="G294" s="447">
        <f t="shared" si="140"/>
        <v>1104.0135268593774</v>
      </c>
      <c r="H294" s="447">
        <f t="shared" si="140"/>
        <v>1048.4847283327263</v>
      </c>
      <c r="I294" s="447">
        <f t="shared" si="140"/>
        <v>1103.8798661895696</v>
      </c>
      <c r="J294" s="447">
        <f t="shared" si="140"/>
        <v>1127.7068782784741</v>
      </c>
      <c r="K294" s="447">
        <f t="shared" si="140"/>
        <v>1055.4413862648635</v>
      </c>
      <c r="L294" s="447">
        <f t="shared" si="140"/>
        <v>1010.4215015686082</v>
      </c>
      <c r="M294" s="447">
        <f t="shared" si="140"/>
        <v>1044.8871931105132</v>
      </c>
      <c r="N294" s="447">
        <f t="shared" si="140"/>
        <v>1065.0351341220417</v>
      </c>
    </row>
    <row r="295" spans="2:14" ht="12.75" customHeight="1">
      <c r="B295" s="1327" t="s">
        <v>265</v>
      </c>
      <c r="C295" s="1327"/>
      <c r="D295" s="1327"/>
      <c r="E295" s="1327"/>
      <c r="F295" s="1327"/>
      <c r="G295" s="1327"/>
      <c r="H295" s="1327"/>
      <c r="I295" s="1327"/>
      <c r="J295" s="1327"/>
      <c r="K295" s="1327"/>
      <c r="L295" s="1327"/>
      <c r="M295" s="1327"/>
      <c r="N295" s="1327"/>
    </row>
    <row r="296" spans="2:14">
      <c r="B296" s="319" t="s">
        <v>572</v>
      </c>
      <c r="C296" s="276">
        <f>IF(C294&lt;0,0,C294)</f>
        <v>1130.059481511199</v>
      </c>
      <c r="D296" s="276">
        <f t="shared" ref="D296:N296" si="141">IF(D294&lt;0,0,D294)</f>
        <v>1136.4889128051518</v>
      </c>
      <c r="E296" s="276">
        <f t="shared" si="141"/>
        <v>1201.3916753707881</v>
      </c>
      <c r="F296" s="276">
        <f t="shared" si="141"/>
        <v>1151.5297501158616</v>
      </c>
      <c r="G296" s="276">
        <f t="shared" si="141"/>
        <v>1104.0135268593774</v>
      </c>
      <c r="H296" s="276">
        <f t="shared" si="141"/>
        <v>1048.4847283327263</v>
      </c>
      <c r="I296" s="276">
        <f t="shared" si="141"/>
        <v>1103.8798661895696</v>
      </c>
      <c r="J296" s="276">
        <f t="shared" si="141"/>
        <v>1127.7068782784741</v>
      </c>
      <c r="K296" s="276">
        <f t="shared" si="141"/>
        <v>1055.4413862648635</v>
      </c>
      <c r="L296" s="276">
        <f t="shared" si="141"/>
        <v>1010.4215015686082</v>
      </c>
      <c r="M296" s="276">
        <f t="shared" si="141"/>
        <v>1044.8871931105132</v>
      </c>
      <c r="N296" s="276">
        <f t="shared" si="141"/>
        <v>1065.0351341220417</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2">B262</f>
        <v>Age group</v>
      </c>
      <c r="C302" s="331" t="str">
        <f>C293</f>
        <v>2017/18</v>
      </c>
      <c r="D302" s="331" t="str">
        <f t="shared" ref="D302:N302" si="143">D293</f>
        <v>2018/19</v>
      </c>
      <c r="E302" s="331" t="str">
        <f t="shared" si="143"/>
        <v>2019/20</v>
      </c>
      <c r="F302" s="331" t="str">
        <f t="shared" si="143"/>
        <v>2020/21</v>
      </c>
      <c r="G302" s="331" t="str">
        <f t="shared" si="143"/>
        <v>2021/22</v>
      </c>
      <c r="H302" s="331" t="str">
        <f t="shared" si="143"/>
        <v>2022/23</v>
      </c>
      <c r="I302" s="331" t="str">
        <f t="shared" si="143"/>
        <v>2023/24</v>
      </c>
      <c r="J302" s="331" t="str">
        <f t="shared" si="143"/>
        <v>2024/25</v>
      </c>
      <c r="K302" s="331" t="str">
        <f t="shared" si="143"/>
        <v>2025/26</v>
      </c>
      <c r="L302" s="331" t="str">
        <f t="shared" si="143"/>
        <v>2026/27</v>
      </c>
      <c r="M302" s="331" t="str">
        <f t="shared" si="143"/>
        <v>2027/28</v>
      </c>
      <c r="N302" s="331" t="str">
        <f t="shared" si="143"/>
        <v>2028/29</v>
      </c>
    </row>
    <row r="303" spans="2:14">
      <c r="B303" s="331" t="str">
        <f t="shared" si="142"/>
        <v>20-24</v>
      </c>
      <c r="C303" s="447">
        <f>C$296*Entrant_age_breakdowns!$K76*$G$31</f>
        <v>124.97128091797119</v>
      </c>
      <c r="D303" s="447">
        <f>D$296*Entrant_age_breakdowns!$K76*$G$31</f>
        <v>125.68230036210247</v>
      </c>
      <c r="E303" s="447">
        <f>E$296*Entrant_age_breakdowns!$K76*$G$31</f>
        <v>132.85978217225986</v>
      </c>
      <c r="F303" s="447">
        <f>F$296*Entrant_age_breakdowns!$K76*$G$31</f>
        <v>127.34563997877872</v>
      </c>
      <c r="G303" s="447">
        <f>G$296*Entrant_age_breakdowns!$K76*$G$31</f>
        <v>122.09090482377063</v>
      </c>
      <c r="H303" s="447">
        <f>H$296*Entrant_age_breakdowns!$K76*$G$31</f>
        <v>115.9500731301756</v>
      </c>
      <c r="I303" s="447">
        <f>I$296*Entrant_age_breakdowns!$K76*$G$31</f>
        <v>122.0761235265137</v>
      </c>
      <c r="J303" s="447">
        <f>J$296*Entrant_age_breakdowns!$K76*$G$31</f>
        <v>124.71111068419533</v>
      </c>
      <c r="K303" s="447">
        <f>K$296*Entrant_age_breakdowns!$K76*$G$31</f>
        <v>116.71939763646154</v>
      </c>
      <c r="L303" s="447">
        <f>L$296*Entrant_age_breakdowns!$K76*$G$31</f>
        <v>111.74072815107601</v>
      </c>
      <c r="M303" s="447">
        <f>M$296*Entrant_age_breakdowns!$K76*$G$31</f>
        <v>115.55222806783759</v>
      </c>
      <c r="N303" s="447">
        <f>N$296*Entrant_age_breakdowns!$K76*$G$31</f>
        <v>117.78035325705622</v>
      </c>
    </row>
    <row r="304" spans="2:14">
      <c r="B304" s="331" t="str">
        <f t="shared" si="142"/>
        <v>25-29</v>
      </c>
      <c r="C304" s="447">
        <f>C$296*Entrant_age_breakdowns!$K77*$G$31</f>
        <v>127.56833664333922</v>
      </c>
      <c r="D304" s="447">
        <f>D$296*Entrant_age_breakdowns!$K77*$G$31</f>
        <v>128.29413193920752</v>
      </c>
      <c r="E304" s="447">
        <f>E$296*Entrant_age_breakdowns!$K77*$G$31</f>
        <v>135.62077058037337</v>
      </c>
      <c r="F304" s="447">
        <f>F$296*Entrant_age_breakdowns!$K77*$G$31</f>
        <v>129.99203778296402</v>
      </c>
      <c r="G304" s="447">
        <f>G$296*Entrant_age_breakdowns!$K77*$G$31</f>
        <v>124.62810281885287</v>
      </c>
      <c r="H304" s="447">
        <f>H$296*Entrant_age_breakdowns!$K77*$G$31</f>
        <v>118.35965714874078</v>
      </c>
      <c r="I304" s="447">
        <f>I$296*Entrant_age_breakdowns!$K77*$G$31</f>
        <v>124.61301434820069</v>
      </c>
      <c r="J304" s="447">
        <f>J$296*Entrant_age_breakdowns!$K77*$G$31</f>
        <v>127.30275975460845</v>
      </c>
      <c r="K304" s="447">
        <f>K$296*Entrant_age_breakdowns!$K77*$G$31</f>
        <v>119.14496915710752</v>
      </c>
      <c r="L304" s="447">
        <f>L$296*Entrant_age_breakdowns!$K77*$G$31</f>
        <v>114.06283684412867</v>
      </c>
      <c r="M304" s="447">
        <f>M$296*Entrant_age_breakdowns!$K77*$G$31</f>
        <v>117.95354438049974</v>
      </c>
      <c r="N304" s="447">
        <f>N$296*Entrant_age_breakdowns!$K77*$G$31</f>
        <v>120.22797273022846</v>
      </c>
    </row>
    <row r="305" spans="1:14">
      <c r="B305" s="331" t="str">
        <f t="shared" si="142"/>
        <v>30-34</v>
      </c>
      <c r="C305" s="447">
        <f>C$296*Entrant_age_breakdowns!$K78*$G$31</f>
        <v>63.357148211380782</v>
      </c>
      <c r="D305" s="447">
        <f>D$296*Entrant_age_breakdowns!$K78*$G$31</f>
        <v>63.7176163443158</v>
      </c>
      <c r="E305" s="447">
        <f>E$296*Entrant_age_breakdowns!$K78*$G$31</f>
        <v>67.356410597606015</v>
      </c>
      <c r="F305" s="447">
        <f>F$296*Entrant_age_breakdowns!$K78*$G$31</f>
        <v>64.560885724652806</v>
      </c>
      <c r="G305" s="447">
        <f>G$296*Entrant_age_breakdowns!$K78*$G$31</f>
        <v>61.896873388523147</v>
      </c>
      <c r="H305" s="447">
        <f>H$296*Entrant_age_breakdowns!$K78*$G$31</f>
        <v>58.783633443358291</v>
      </c>
      <c r="I305" s="447">
        <f>I$296*Entrant_age_breakdowns!$K78*$G$31</f>
        <v>61.889379660090619</v>
      </c>
      <c r="J305" s="447">
        <f>J$296*Entrant_age_breakdowns!$K78*$G$31</f>
        <v>63.225248754638024</v>
      </c>
      <c r="K305" s="447">
        <f>K$296*Entrant_age_breakdowns!$K78*$G$31</f>
        <v>59.173660707297437</v>
      </c>
      <c r="L305" s="447">
        <f>L$296*Entrant_age_breakdowns!$K78*$G$31</f>
        <v>56.649606395266375</v>
      </c>
      <c r="M305" s="447">
        <f>M$296*Entrant_age_breakdowns!$K78*$G$31</f>
        <v>58.581936474306183</v>
      </c>
      <c r="N305" s="447">
        <f>N$296*Entrant_age_breakdowns!$K78*$G$31</f>
        <v>59.7115372658632</v>
      </c>
    </row>
    <row r="306" spans="1:14">
      <c r="B306" s="331" t="str">
        <f t="shared" si="142"/>
        <v>35-39</v>
      </c>
      <c r="C306" s="447">
        <f>C$296*Entrant_age_breakdowns!$K79*$G$31</f>
        <v>47.222164902966711</v>
      </c>
      <c r="D306" s="447">
        <f>D$296*Entrant_age_breakdowns!$K79*$G$31</f>
        <v>47.490833649844816</v>
      </c>
      <c r="E306" s="447">
        <f>E$296*Entrant_age_breakdowns!$K79*$G$31</f>
        <v>50.202946602017938</v>
      </c>
      <c r="F306" s="447">
        <f>F$296*Entrant_age_breakdowns!$K79*$G$31</f>
        <v>48.119350034500265</v>
      </c>
      <c r="G306" s="447">
        <f>G$296*Entrant_age_breakdowns!$K79*$G$31</f>
        <v>46.133774083061603</v>
      </c>
      <c r="H306" s="447">
        <f>H$296*Entrant_age_breakdowns!$K79*$G$31</f>
        <v>43.813374029975414</v>
      </c>
      <c r="I306" s="447">
        <f>I$296*Entrant_age_breakdowns!$K79*$G$31</f>
        <v>46.128188760966637</v>
      </c>
      <c r="J306" s="447">
        <f>J$296*Entrant_age_breakdowns!$K79*$G$31</f>
        <v>47.123855902755118</v>
      </c>
      <c r="K306" s="447">
        <f>K$296*Entrant_age_breakdowns!$K79*$G$31</f>
        <v>44.104074168702276</v>
      </c>
      <c r="L306" s="447">
        <f>L$296*Entrant_age_breakdowns!$K79*$G$31</f>
        <v>42.222813532584119</v>
      </c>
      <c r="M306" s="447">
        <f>M$296*Entrant_age_breakdowns!$K79*$G$31</f>
        <v>43.663042649825051</v>
      </c>
      <c r="N306" s="447">
        <f>N$296*Entrant_age_breakdowns!$K79*$G$31</f>
        <v>44.50497124603428</v>
      </c>
    </row>
    <row r="307" spans="1:14">
      <c r="B307" s="331" t="str">
        <f t="shared" si="142"/>
        <v>40-44</v>
      </c>
      <c r="C307" s="447">
        <f>C$296*Entrant_age_breakdowns!$K80*$G$31</f>
        <v>40.575471926799231</v>
      </c>
      <c r="D307" s="447">
        <f>D$296*Entrant_age_breakdowns!$K80*$G$31</f>
        <v>40.806324561763361</v>
      </c>
      <c r="E307" s="447">
        <f>E$296*Entrant_age_breakdowns!$K80*$G$31</f>
        <v>43.136697664719001</v>
      </c>
      <c r="F307" s="447">
        <f>F$296*Entrant_age_breakdowns!$K80*$G$31</f>
        <v>41.346374959146111</v>
      </c>
      <c r="G307" s="447">
        <f>G$296*Entrant_age_breakdowns!$K80*$G$31</f>
        <v>39.640276108284965</v>
      </c>
      <c r="H307" s="447">
        <f>H$296*Entrant_age_breakdowns!$K80*$G$31</f>
        <v>37.646480876609189</v>
      </c>
      <c r="I307" s="447">
        <f>I$296*Entrant_age_breakdowns!$K80*$G$31</f>
        <v>39.635476940768356</v>
      </c>
      <c r="J307" s="447">
        <f>J$296*Entrant_age_breakdowns!$K80*$G$31</f>
        <v>40.491000279079699</v>
      </c>
      <c r="K307" s="447">
        <f>K$296*Entrant_age_breakdowns!$K80*$G$31</f>
        <v>37.89626390418249</v>
      </c>
      <c r="L307" s="447">
        <f>L$296*Entrant_age_breakdowns!$K80*$G$31</f>
        <v>36.279797605260022</v>
      </c>
      <c r="M307" s="447">
        <f>M$296*Entrant_age_breakdowns!$K80*$G$31</f>
        <v>37.517309189806141</v>
      </c>
      <c r="N307" s="447">
        <f>N$296*Entrant_age_breakdowns!$K80*$G$31</f>
        <v>38.240733246921124</v>
      </c>
    </row>
    <row r="308" spans="1:14">
      <c r="B308" s="331" t="str">
        <f t="shared" si="142"/>
        <v>45-49</v>
      </c>
      <c r="C308" s="447">
        <f>C$296*Entrant_age_breakdowns!$K81*$G$31</f>
        <v>32.706138456736589</v>
      </c>
      <c r="D308" s="447">
        <f>D$296*Entrant_age_breakdowns!$K81*$G$31</f>
        <v>32.892218812274059</v>
      </c>
      <c r="E308" s="447">
        <f>E$296*Entrant_age_breakdowns!$K81*$G$31</f>
        <v>34.770632093544656</v>
      </c>
      <c r="F308" s="447">
        <f>F$296*Entrant_age_breakdowns!$K81*$G$31</f>
        <v>33.327530152639511</v>
      </c>
      <c r="G308" s="447">
        <f>G$296*Entrant_age_breakdowns!$K81*$G$31</f>
        <v>31.952317429598097</v>
      </c>
      <c r="H308" s="447">
        <f>H$296*Entrant_age_breakdowns!$K81*$G$31</f>
        <v>30.345205058380071</v>
      </c>
      <c r="I308" s="447">
        <f>I$296*Entrant_age_breakdowns!$K81*$G$31</f>
        <v>31.948449027585216</v>
      </c>
      <c r="J308" s="447">
        <f>J$296*Entrant_age_breakdowns!$K81*$G$31</f>
        <v>32.638049503613189</v>
      </c>
      <c r="K308" s="447">
        <f>K$296*Entrant_age_breakdowns!$K81*$G$31</f>
        <v>30.546544387191656</v>
      </c>
      <c r="L308" s="447">
        <f>L$296*Entrant_age_breakdowns!$K81*$G$31</f>
        <v>29.243580599645707</v>
      </c>
      <c r="M308" s="447">
        <f>M$296*Entrant_age_breakdowns!$K81*$G$31</f>
        <v>30.2410853310509</v>
      </c>
      <c r="N308" s="447">
        <f>N$296*Entrant_age_breakdowns!$K81*$G$31</f>
        <v>30.824206272136227</v>
      </c>
    </row>
    <row r="309" spans="1:14">
      <c r="B309" s="331" t="str">
        <f t="shared" si="142"/>
        <v>50-54</v>
      </c>
      <c r="C309" s="447">
        <f>C$296*Entrant_age_breakdowns!$K82*$G$31</f>
        <v>24.235378855948461</v>
      </c>
      <c r="D309" s="447">
        <f>D$296*Entrant_age_breakdowns!$K82*$G$31</f>
        <v>24.373265140508337</v>
      </c>
      <c r="E309" s="447">
        <f>E$296*Entrant_age_breakdowns!$K82*$G$31</f>
        <v>25.765176863130591</v>
      </c>
      <c r="F309" s="447">
        <f>F$296*Entrant_age_breakdowns!$K82*$G$31</f>
        <v>24.695832577443845</v>
      </c>
      <c r="G309" s="447">
        <f>G$296*Entrant_age_breakdowns!$K82*$G$31</f>
        <v>23.676794472578116</v>
      </c>
      <c r="H309" s="447">
        <f>H$296*Entrant_age_breakdowns!$K82*$G$31</f>
        <v>22.485917804821323</v>
      </c>
      <c r="I309" s="447">
        <f>I$296*Entrant_age_breakdowns!$K82*$G$31</f>
        <v>23.673927971279792</v>
      </c>
      <c r="J309" s="447">
        <f>J$296*Entrant_age_breakdowns!$K82*$G$31</f>
        <v>24.18492467050455</v>
      </c>
      <c r="K309" s="447">
        <f>K$296*Entrant_age_breakdowns!$K82*$G$31</f>
        <v>22.635111049349586</v>
      </c>
      <c r="L309" s="447">
        <f>L$296*Entrant_age_breakdowns!$K82*$G$31</f>
        <v>21.669609693433525</v>
      </c>
      <c r="M309" s="447">
        <f>M$296*Entrant_age_breakdowns!$K82*$G$31</f>
        <v>22.408764672190323</v>
      </c>
      <c r="N309" s="447">
        <f>N$296*Entrant_age_breakdowns!$K82*$G$31</f>
        <v>22.840859611944037</v>
      </c>
    </row>
    <row r="310" spans="1:14">
      <c r="B310" s="331" t="str">
        <f t="shared" si="142"/>
        <v>55-59</v>
      </c>
      <c r="C310" s="447">
        <f>C$296*Entrant_age_breakdowns!$K83*$G$31</f>
        <v>15.706600650392311</v>
      </c>
      <c r="D310" s="447">
        <f>D$296*Entrant_age_breakdowns!$K83*$G$31</f>
        <v>15.795962769285563</v>
      </c>
      <c r="E310" s="447">
        <f>E$296*Entrant_age_breakdowns!$K83*$G$31</f>
        <v>16.698040747838036</v>
      </c>
      <c r="F310" s="447">
        <f>F$296*Entrant_age_breakdowns!$K83*$G$31</f>
        <v>16.005014088222264</v>
      </c>
      <c r="G310" s="447">
        <f>G$296*Entrant_age_breakdowns!$K83*$G$31</f>
        <v>15.344590141239889</v>
      </c>
      <c r="H310" s="447">
        <f>H$296*Entrant_age_breakdowns!$K83*$G$31</f>
        <v>14.572800091845432</v>
      </c>
      <c r="I310" s="447">
        <f>I$296*Entrant_age_breakdowns!$K83*$G$31</f>
        <v>15.342732402954708</v>
      </c>
      <c r="J310" s="447">
        <f>J$296*Entrant_age_breakdowns!$K83*$G$31</f>
        <v>15.673902018090391</v>
      </c>
      <c r="K310" s="447">
        <f>K$296*Entrant_age_breakdowns!$K83*$G$31</f>
        <v>14.669490088955445</v>
      </c>
      <c r="L310" s="447">
        <f>L$296*Entrant_age_breakdowns!$K83*$G$31</f>
        <v>14.043762539370897</v>
      </c>
      <c r="M310" s="447">
        <f>M$296*Entrant_age_breakdowns!$K83*$G$31</f>
        <v>14.522798255671766</v>
      </c>
      <c r="N310" s="447">
        <f>N$296*Entrant_age_breakdowns!$K83*$G$31</f>
        <v>14.802832774715446</v>
      </c>
    </row>
    <row r="311" spans="1:14">
      <c r="B311" s="331" t="str">
        <f t="shared" si="142"/>
        <v>60-64</v>
      </c>
      <c r="C311" s="447">
        <f>C$296*Entrant_age_breakdowns!$K84*$G$31</f>
        <v>8.009903599608343</v>
      </c>
      <c r="D311" s="447">
        <f>D$296*Entrant_age_breakdowns!$K84*$G$31</f>
        <v>8.0554756475469169</v>
      </c>
      <c r="E311" s="447">
        <f>E$296*Entrant_age_breakdowns!$K84*$G$31</f>
        <v>8.5155088404933732</v>
      </c>
      <c r="F311" s="447">
        <f>F$296*Entrant_age_breakdowns!$K84*$G$31</f>
        <v>8.1620856613446566</v>
      </c>
      <c r="G311" s="447">
        <f>G$296*Entrant_age_breakdowns!$K84*$G$31</f>
        <v>7.8252889051306038</v>
      </c>
      <c r="H311" s="447">
        <f>H$296*Entrant_age_breakdowns!$K84*$G$31</f>
        <v>7.4316987176426359</v>
      </c>
      <c r="I311" s="447">
        <f>I$296*Entrant_age_breakdowns!$K84*$G$31</f>
        <v>7.8243415133359822</v>
      </c>
      <c r="J311" s="447">
        <f>J$296*Entrant_age_breakdowns!$K84*$G$31</f>
        <v>7.9932282604686238</v>
      </c>
      <c r="K311" s="447">
        <f>K$296*Entrant_age_breakdowns!$K84*$G$31</f>
        <v>7.4810077675851705</v>
      </c>
      <c r="L311" s="447">
        <f>L$296*Entrant_age_breakdowns!$K84*$G$31</f>
        <v>7.1619051518535963</v>
      </c>
      <c r="M311" s="447">
        <f>M$296*Entrant_age_breakdowns!$K84*$G$31</f>
        <v>7.4061992542979382</v>
      </c>
      <c r="N311" s="447">
        <f>N$296*Entrant_age_breakdowns!$K84*$G$31</f>
        <v>7.5490086089144972</v>
      </c>
    </row>
    <row r="312" spans="1:14">
      <c r="B312" s="331" t="str">
        <f t="shared" si="142"/>
        <v>65 plus</v>
      </c>
      <c r="C312" s="447">
        <f>C$296*Entrant_age_breakdowns!$K85*$G$31</f>
        <v>2.4117689843114376</v>
      </c>
      <c r="D312" s="447">
        <f>D$296*Entrant_age_breakdowns!$K85*$G$31</f>
        <v>2.4254906540422914</v>
      </c>
      <c r="E312" s="447">
        <f>E$296*Entrant_age_breakdowns!$K85*$G$31</f>
        <v>2.5640059024101096</v>
      </c>
      <c r="F312" s="447">
        <f>F$296*Entrant_age_breakdowns!$K85*$G$31</f>
        <v>2.4575907563090627</v>
      </c>
      <c r="G312" s="447">
        <f>G$296*Entrant_age_breakdowns!$K85*$G$31</f>
        <v>2.3561817991908436</v>
      </c>
      <c r="H312" s="447">
        <f>H$296*Entrant_age_breakdowns!$K85*$G$31</f>
        <v>2.2376724320170336</v>
      </c>
      <c r="I312" s="447">
        <f>I$296*Entrant_age_breakdowns!$K85*$G$31</f>
        <v>2.3558965410578527</v>
      </c>
      <c r="J312" s="447">
        <f>J$296*Entrant_age_breakdowns!$K85*$G$31</f>
        <v>2.4067480667385954</v>
      </c>
      <c r="K312" s="447">
        <f>K$296*Entrant_age_breakdowns!$K85*$G$31</f>
        <v>2.2525193069910445</v>
      </c>
      <c r="L312" s="447">
        <f>L$296*Entrant_age_breakdowns!$K85*$G$31</f>
        <v>2.1564380268778001</v>
      </c>
      <c r="M312" s="447">
        <f>M$296*Entrant_age_breakdowns!$K85*$G$31</f>
        <v>2.2299945849560112</v>
      </c>
      <c r="N312" s="447">
        <f>N$296*Entrant_age_breakdowns!$K85*$G$31</f>
        <v>2.2729942500394453</v>
      </c>
    </row>
    <row r="313" spans="1:14">
      <c r="B313" s="331" t="str">
        <f t="shared" si="142"/>
        <v>Total</v>
      </c>
      <c r="C313" s="447">
        <f t="shared" ref="C313:N313" si="144">SUM(C303:C312)</f>
        <v>486.76419314945429</v>
      </c>
      <c r="D313" s="447">
        <f t="shared" si="144"/>
        <v>489.53361988089114</v>
      </c>
      <c r="E313" s="447">
        <f t="shared" si="144"/>
        <v>517.48997206439299</v>
      </c>
      <c r="F313" s="447">
        <f t="shared" si="144"/>
        <v>496.01234171600117</v>
      </c>
      <c r="G313" s="447">
        <f t="shared" si="144"/>
        <v>475.5451039702308</v>
      </c>
      <c r="H313" s="447">
        <f t="shared" si="144"/>
        <v>451.62651273356573</v>
      </c>
      <c r="I313" s="447">
        <f t="shared" si="144"/>
        <v>475.48753069275358</v>
      </c>
      <c r="J313" s="447">
        <f t="shared" si="144"/>
        <v>485.75082789469195</v>
      </c>
      <c r="K313" s="447">
        <f t="shared" si="144"/>
        <v>454.62303817382411</v>
      </c>
      <c r="L313" s="447">
        <f t="shared" si="144"/>
        <v>435.23107853949676</v>
      </c>
      <c r="M313" s="447">
        <f t="shared" si="144"/>
        <v>450.07690286044163</v>
      </c>
      <c r="N313" s="447">
        <f t="shared" si="144"/>
        <v>458.755469263853</v>
      </c>
    </row>
    <row r="314" spans="1:14">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165.15889485399998</v>
      </c>
      <c r="D319" s="447">
        <f>D$296*Entrant_age_breakdowns!$K76*$H$31</f>
        <v>166.09856022951539</v>
      </c>
      <c r="E319" s="447">
        <f>E$296*Entrant_age_breakdowns!$K76*$H$31</f>
        <v>175.58413927529929</v>
      </c>
      <c r="F319" s="447">
        <f>F$296*Entrant_age_breakdowns!$K76*$H$31</f>
        <v>168.29678794102813</v>
      </c>
      <c r="G319" s="447">
        <f>G$296*Entrant_age_breakdowns!$K76*$H$31</f>
        <v>161.35226241022835</v>
      </c>
      <c r="H319" s="447">
        <f>H$296*Entrant_age_breakdowns!$K76*$H$31</f>
        <v>153.23669402884732</v>
      </c>
      <c r="I319" s="447">
        <f>I$296*Entrant_age_breakdowns!$K76*$H$31</f>
        <v>161.33272782034874</v>
      </c>
      <c r="J319" s="447">
        <f>J$296*Entrant_age_breakdowns!$K76*$H$31</f>
        <v>164.81506043085335</v>
      </c>
      <c r="K319" s="447">
        <f>K$296*Entrant_age_breakdowns!$K76*$H$31</f>
        <v>154.25341390487776</v>
      </c>
      <c r="L319" s="447">
        <f>L$296*Entrant_age_breakdowns!$K76*$H$31</f>
        <v>147.67372980458174</v>
      </c>
      <c r="M319" s="447">
        <f>M$296*Entrant_age_breakdowns!$K76*$H$31</f>
        <v>152.71091202248385</v>
      </c>
      <c r="N319" s="447">
        <f>N$296*Entrant_age_breakdowns!$K76*$H$31</f>
        <v>155.65554611076891</v>
      </c>
    </row>
    <row r="320" spans="1:14">
      <c r="B320" s="331" t="str">
        <f t="shared" si="146"/>
        <v>25-29</v>
      </c>
      <c r="C320" s="447">
        <f>C$296*Entrant_age_breakdowns!$K77*$H$31</f>
        <v>168.59109823965284</v>
      </c>
      <c r="D320" s="447">
        <f>D$296*Entrant_age_breakdowns!$K77*$H$31</f>
        <v>169.55029100838601</v>
      </c>
      <c r="E320" s="447">
        <f>E$296*Entrant_age_breakdowns!$K77*$H$31</f>
        <v>179.2329919624062</v>
      </c>
      <c r="F320" s="447">
        <f>F$296*Entrant_age_breakdowns!$K77*$H$31</f>
        <v>171.79420057433691</v>
      </c>
      <c r="G320" s="447">
        <f>G$296*Entrant_age_breakdowns!$K77*$H$31</f>
        <v>164.70535932830043</v>
      </c>
      <c r="H320" s="447">
        <f>H$296*Entrant_age_breakdowns!$K77*$H$31</f>
        <v>156.42113953217302</v>
      </c>
      <c r="I320" s="447">
        <f>I$296*Entrant_age_breakdowns!$K77*$H$31</f>
        <v>164.68541878580422</v>
      </c>
      <c r="J320" s="447">
        <f>J$296*Entrant_age_breakdowns!$K77*$H$31</f>
        <v>168.2401185175971</v>
      </c>
      <c r="K320" s="447">
        <f>K$296*Entrant_age_breakdowns!$K77*$H$31</f>
        <v>157.45898808797492</v>
      </c>
      <c r="L320" s="447">
        <f>L$296*Entrant_age_breakdowns!$K77*$H$31</f>
        <v>150.74257012259989</v>
      </c>
      <c r="M320" s="447">
        <f>M$296*Entrant_age_breakdowns!$K77*$H$31</f>
        <v>155.88443113408263</v>
      </c>
      <c r="N320" s="447">
        <f>N$296*Entrant_age_breakdowns!$K77*$H$31</f>
        <v>158.8902583121874</v>
      </c>
    </row>
    <row r="321" spans="1:14">
      <c r="B321" s="331" t="str">
        <f t="shared" si="146"/>
        <v>30-34</v>
      </c>
      <c r="C321" s="447">
        <f>C$296*Entrant_age_breakdowns!$K78*$H$31</f>
        <v>83.731210105472968</v>
      </c>
      <c r="D321" s="447">
        <f>D$296*Entrant_age_breakdowns!$K78*$H$31</f>
        <v>84.207595704054697</v>
      </c>
      <c r="E321" s="447">
        <f>E$296*Entrant_age_breakdowns!$K78*$H$31</f>
        <v>89.016534470305885</v>
      </c>
      <c r="F321" s="447">
        <f>F$296*Entrant_age_breakdowns!$K78*$H$31</f>
        <v>85.322039261787722</v>
      </c>
      <c r="G321" s="447">
        <f>G$296*Entrant_age_breakdowns!$K78*$H$31</f>
        <v>81.801347707050468</v>
      </c>
      <c r="H321" s="447">
        <f>H$296*Entrant_age_breakdowns!$K78*$H$31</f>
        <v>77.686968267375434</v>
      </c>
      <c r="I321" s="447">
        <f>I$296*Entrant_age_breakdowns!$K78*$H$31</f>
        <v>81.791444184439825</v>
      </c>
      <c r="J321" s="447">
        <f>J$296*Entrant_age_breakdowns!$K78*$H$31</f>
        <v>83.556895108079487</v>
      </c>
      <c r="K321" s="447">
        <f>K$296*Entrant_age_breakdowns!$K78*$H$31</f>
        <v>78.202418468429229</v>
      </c>
      <c r="L321" s="447">
        <f>L$296*Entrant_age_breakdowns!$K78*$H$31</f>
        <v>74.866691910579917</v>
      </c>
      <c r="M321" s="447">
        <f>M$296*Entrant_age_breakdowns!$K78*$H$31</f>
        <v>77.42041063701943</v>
      </c>
      <c r="N321" s="447">
        <f>N$296*Entrant_age_breakdowns!$K78*$H$31</f>
        <v>78.913262570594611</v>
      </c>
    </row>
    <row r="322" spans="1:14">
      <c r="B322" s="331" t="str">
        <f t="shared" si="146"/>
        <v>35-39</v>
      </c>
      <c r="C322" s="447">
        <f>C$296*Entrant_age_breakdowns!$K79*$H$31</f>
        <v>62.407622861019959</v>
      </c>
      <c r="D322" s="447">
        <f>D$296*Entrant_age_breakdowns!$K79*$H$31</f>
        <v>62.7626887048703</v>
      </c>
      <c r="E322" s="447">
        <f>E$296*Entrant_age_breakdowns!$K79*$H$31</f>
        <v>66.346948821353735</v>
      </c>
      <c r="F322" s="447">
        <f>F$296*Entrant_age_breakdowns!$K79*$H$31</f>
        <v>63.593320116542081</v>
      </c>
      <c r="G322" s="447">
        <f>G$296*Entrant_age_breakdowns!$K79*$H$31</f>
        <v>60.969232987247636</v>
      </c>
      <c r="H322" s="447">
        <f>H$296*Entrant_age_breakdowns!$K79*$H$31</f>
        <v>57.902650764741445</v>
      </c>
      <c r="I322" s="447">
        <f>I$296*Entrant_age_breakdowns!$K79*$H$31</f>
        <v>60.961851566349715</v>
      </c>
      <c r="J322" s="447">
        <f>J$296*Entrant_age_breakdowns!$K79*$H$31</f>
        <v>62.277700164302104</v>
      </c>
      <c r="K322" s="447">
        <f>K$296*Entrant_age_breakdowns!$K79*$H$31</f>
        <v>58.286832740739172</v>
      </c>
      <c r="L322" s="447">
        <f>L$296*Entrant_age_breakdowns!$K79*$H$31</f>
        <v>55.800606102816253</v>
      </c>
      <c r="M322" s="447">
        <f>M$296*Entrant_age_breakdowns!$K79*$H$31</f>
        <v>57.70397660196474</v>
      </c>
      <c r="N322" s="447">
        <f>N$296*Entrant_age_breakdowns!$K79*$H$31</f>
        <v>58.816648213190099</v>
      </c>
    </row>
    <row r="323" spans="1:14">
      <c r="B323" s="331" t="str">
        <f t="shared" si="146"/>
        <v>40-44</v>
      </c>
      <c r="C323" s="447">
        <f>C$296*Entrant_age_breakdowns!$K80*$H$31</f>
        <v>53.623520959254115</v>
      </c>
      <c r="D323" s="447">
        <f>D$296*Entrant_age_breakdowns!$K80*$H$31</f>
        <v>53.928609982786135</v>
      </c>
      <c r="E323" s="447">
        <f>E$296*Entrant_age_breakdowns!$K80*$H$31</f>
        <v>57.00837233662061</v>
      </c>
      <c r="F323" s="447">
        <f>F$296*Entrant_age_breakdowns!$K80*$H$31</f>
        <v>54.642326975538602</v>
      </c>
      <c r="G323" s="447">
        <f>G$296*Entrant_age_breakdowns!$K80*$H$31</f>
        <v>52.387589737909906</v>
      </c>
      <c r="H323" s="447">
        <f>H$296*Entrant_age_breakdowns!$K80*$H$31</f>
        <v>49.752640215028023</v>
      </c>
      <c r="I323" s="447">
        <f>I$296*Entrant_age_breakdowns!$K80*$H$31</f>
        <v>52.381247279087049</v>
      </c>
      <c r="J323" s="447">
        <f>J$296*Entrant_age_breakdowns!$K80*$H$31</f>
        <v>53.511885358807547</v>
      </c>
      <c r="K323" s="447">
        <f>K$296*Entrant_age_breakdowns!$K80*$H$31</f>
        <v>50.082747168275716</v>
      </c>
      <c r="L323" s="447">
        <f>L$296*Entrant_age_breakdowns!$K80*$H$31</f>
        <v>47.94646605202464</v>
      </c>
      <c r="M323" s="447">
        <f>M$296*Entrant_age_breakdowns!$K80*$H$31</f>
        <v>49.581930169631107</v>
      </c>
      <c r="N323" s="447">
        <f>N$296*Entrant_age_breakdowns!$K80*$H$31</f>
        <v>50.537989168996972</v>
      </c>
    </row>
    <row r="324" spans="1:14">
      <c r="B324" s="331" t="str">
        <f t="shared" si="146"/>
        <v>45-49</v>
      </c>
      <c r="C324" s="447">
        <f>C$296*Entrant_age_breakdowns!$K81*$H$31</f>
        <v>43.223608198447643</v>
      </c>
      <c r="D324" s="447">
        <f>D$296*Entrant_age_breakdowns!$K81*$H$31</f>
        <v>43.469527306012687</v>
      </c>
      <c r="E324" s="447">
        <f>E$296*Entrant_age_breakdowns!$K81*$H$31</f>
        <v>45.951990951539067</v>
      </c>
      <c r="F324" s="447">
        <f>F$296*Entrant_age_breakdowns!$K81*$H$31</f>
        <v>44.044823801047912</v>
      </c>
      <c r="G324" s="447">
        <f>G$296*Entrant_age_breakdowns!$K81*$H$31</f>
        <v>42.227377329680124</v>
      </c>
      <c r="H324" s="447">
        <f>H$296*Entrant_age_breakdowns!$K81*$H$31</f>
        <v>40.103458128509551</v>
      </c>
      <c r="I324" s="447">
        <f>I$296*Entrant_age_breakdowns!$K81*$H$31</f>
        <v>42.222264947086259</v>
      </c>
      <c r="J324" s="447">
        <f>J$296*Entrant_age_breakdowns!$K81*$H$31</f>
        <v>43.133623554239605</v>
      </c>
      <c r="K324" s="447">
        <f>K$296*Entrant_age_breakdowns!$K81*$H$31</f>
        <v>40.369543110538295</v>
      </c>
      <c r="L324" s="447">
        <f>L$296*Entrant_age_breakdowns!$K81*$H$31</f>
        <v>38.647579011225581</v>
      </c>
      <c r="M324" s="447">
        <f>M$296*Entrant_age_breakdowns!$K81*$H$31</f>
        <v>39.965856121297406</v>
      </c>
      <c r="N324" s="447">
        <f>N$296*Entrant_age_breakdowns!$K81*$H$31</f>
        <v>40.736494058977598</v>
      </c>
    </row>
    <row r="325" spans="1:14">
      <c r="B325" s="331" t="str">
        <f t="shared" si="146"/>
        <v>50-54</v>
      </c>
      <c r="C325" s="447">
        <f>C$296*Entrant_age_breakdowns!$K82*$H$31</f>
        <v>32.028865822730388</v>
      </c>
      <c r="D325" s="447">
        <f>D$296*Entrant_age_breakdowns!$K82*$H$31</f>
        <v>32.211092860863907</v>
      </c>
      <c r="E325" s="447">
        <f>E$296*Entrant_age_breakdowns!$K82*$H$31</f>
        <v>34.050608309165277</v>
      </c>
      <c r="F325" s="447">
        <f>F$296*Entrant_age_breakdowns!$K82*$H$31</f>
        <v>32.637389854931882</v>
      </c>
      <c r="G325" s="447">
        <f>G$296*Entrant_age_breakdowns!$K82*$H$31</f>
        <v>31.290654781261559</v>
      </c>
      <c r="H325" s="447">
        <f>H$296*Entrant_age_breakdowns!$K82*$H$31</f>
        <v>29.716822194211215</v>
      </c>
      <c r="I325" s="447">
        <f>I$296*Entrant_age_breakdowns!$K82*$H$31</f>
        <v>31.286866485398292</v>
      </c>
      <c r="J325" s="447">
        <f>J$296*Entrant_age_breakdowns!$K82*$H$31</f>
        <v>31.962186842988277</v>
      </c>
      <c r="K325" s="447">
        <f>K$296*Entrant_age_breakdowns!$K82*$H$31</f>
        <v>29.913992225637429</v>
      </c>
      <c r="L325" s="447">
        <f>L$296*Entrant_age_breakdowns!$K82*$H$31</f>
        <v>28.638009969939798</v>
      </c>
      <c r="M325" s="447">
        <f>M$296*Entrant_age_breakdowns!$K82*$H$31</f>
        <v>29.614858558836268</v>
      </c>
      <c r="N325" s="447">
        <f>N$296*Entrant_age_breakdowns!$K82*$H$31</f>
        <v>30.185904339895128</v>
      </c>
    </row>
    <row r="326" spans="1:14">
      <c r="B326" s="331" t="str">
        <f t="shared" si="146"/>
        <v>55-59</v>
      </c>
      <c r="C326" s="447">
        <f>C$296*Entrant_age_breakdowns!$K83*$H$31</f>
        <v>20.757447521359886</v>
      </c>
      <c r="D326" s="447">
        <f>D$296*Entrant_age_breakdowns!$K83*$H$31</f>
        <v>20.875546245241164</v>
      </c>
      <c r="E326" s="447">
        <f>E$296*Entrant_age_breakdowns!$K83*$H$31</f>
        <v>22.067709764055131</v>
      </c>
      <c r="F326" s="447">
        <f>F$296*Entrant_age_breakdowns!$K83*$H$31</f>
        <v>21.151823199032005</v>
      </c>
      <c r="G326" s="447">
        <f>G$296*Entrant_age_breakdowns!$K83*$H$31</f>
        <v>20.279023557246145</v>
      </c>
      <c r="H326" s="447">
        <f>H$296*Entrant_age_breakdowns!$K83*$H$31</f>
        <v>19.259045281589593</v>
      </c>
      <c r="I326" s="447">
        <f>I$296*Entrant_age_breakdowns!$K83*$H$31</f>
        <v>20.276568417154319</v>
      </c>
      <c r="J326" s="447">
        <f>J$296*Entrant_age_breakdowns!$K83*$H$31</f>
        <v>20.714233833106444</v>
      </c>
      <c r="K326" s="447">
        <f>K$296*Entrant_age_breakdowns!$K83*$H$31</f>
        <v>19.386828344616756</v>
      </c>
      <c r="L326" s="447">
        <f>L$296*Entrant_age_breakdowns!$K83*$H$31</f>
        <v>18.55988258707972</v>
      </c>
      <c r="M326" s="447">
        <f>M$296*Entrant_age_breakdowns!$K83*$H$31</f>
        <v>19.192964115241193</v>
      </c>
      <c r="N326" s="447">
        <f>N$296*Entrant_age_breakdowns!$K83*$H$31</f>
        <v>19.563050677101618</v>
      </c>
    </row>
    <row r="327" spans="1:14">
      <c r="B327" s="331" t="str">
        <f t="shared" si="146"/>
        <v>60-64</v>
      </c>
      <c r="C327" s="447">
        <f>C$296*Entrant_age_breakdowns!$K84*$H$31</f>
        <v>10.58568670082466</v>
      </c>
      <c r="D327" s="447">
        <f>D$296*Entrant_age_breakdowns!$K84*$H$31</f>
        <v>10.645913570698136</v>
      </c>
      <c r="E327" s="447">
        <f>E$296*Entrant_age_breakdowns!$K84*$H$31</f>
        <v>11.253881842969145</v>
      </c>
      <c r="F327" s="447">
        <f>F$296*Entrant_age_breakdowns!$K84*$H$31</f>
        <v>10.786806677737358</v>
      </c>
      <c r="G327" s="447">
        <f>G$296*Entrant_age_breakdowns!$K84*$H$31</f>
        <v>10.341704573972924</v>
      </c>
      <c r="H327" s="447">
        <f>H$296*Entrant_age_breakdowns!$K84*$H$31</f>
        <v>9.8215457029635171</v>
      </c>
      <c r="I327" s="447">
        <f>I$296*Entrant_age_breakdowns!$K84*$H$31</f>
        <v>10.340452524856966</v>
      </c>
      <c r="J327" s="447">
        <f>J$296*Entrant_age_breakdowns!$K84*$H$31</f>
        <v>10.563648992933683</v>
      </c>
      <c r="K327" s="447">
        <f>K$296*Entrant_age_breakdowns!$K84*$H$31</f>
        <v>9.8867113004911218</v>
      </c>
      <c r="L327" s="447">
        <f>L$296*Entrant_age_breakdowns!$K84*$H$31</f>
        <v>9.4649933267925057</v>
      </c>
      <c r="M327" s="447">
        <f>M$296*Entrant_age_breakdowns!$K84*$H$31</f>
        <v>9.787846254942778</v>
      </c>
      <c r="N327" s="447">
        <f>N$296*Entrant_age_breakdowns!$K84*$H$31</f>
        <v>9.9765794983730469</v>
      </c>
    </row>
    <row r="328" spans="1:14">
      <c r="B328" s="331" t="str">
        <f t="shared" si="146"/>
        <v>65 plus</v>
      </c>
      <c r="C328" s="447">
        <f>C$296*Entrant_age_breakdowns!$K85*$H$31</f>
        <v>3.1873330989820308</v>
      </c>
      <c r="D328" s="447">
        <f>D$296*Entrant_age_breakdowns!$K85*$H$31</f>
        <v>3.2054673118319967</v>
      </c>
      <c r="E328" s="447">
        <f>E$296*Entrant_age_breakdowns!$K85*$H$31</f>
        <v>3.3885255726805208</v>
      </c>
      <c r="F328" s="447">
        <f>F$296*Entrant_age_breakdowns!$K85*$H$31</f>
        <v>3.2478899978774427</v>
      </c>
      <c r="G328" s="447">
        <f>G$296*Entrant_age_breakdowns!$K85*$H$31</f>
        <v>3.1138704762488283</v>
      </c>
      <c r="H328" s="447">
        <f>H$296*Entrant_age_breakdowns!$K85*$H$31</f>
        <v>2.9572514837210919</v>
      </c>
      <c r="I328" s="447">
        <f>I$296*Entrant_age_breakdowns!$K85*$H$31</f>
        <v>3.1134934862904404</v>
      </c>
      <c r="J328" s="447">
        <f>J$296*Entrant_age_breakdowns!$K85*$H$31</f>
        <v>3.1806975808742504</v>
      </c>
      <c r="K328" s="447">
        <f>K$296*Entrant_age_breakdowns!$K85*$H$31</f>
        <v>2.9768727394586616</v>
      </c>
      <c r="L328" s="447">
        <f>L$296*Entrant_age_breakdowns!$K85*$H$31</f>
        <v>2.8498941414712009</v>
      </c>
      <c r="M328" s="447">
        <f>M$296*Entrant_age_breakdowns!$K85*$H$31</f>
        <v>2.947104634571895</v>
      </c>
      <c r="N328" s="447">
        <f>N$296*Entrant_age_breakdowns!$K85*$H$31</f>
        <v>3.0039319081031119</v>
      </c>
    </row>
    <row r="329" spans="1:14">
      <c r="B329" s="331" t="str">
        <f t="shared" si="146"/>
        <v>Total</v>
      </c>
      <c r="C329" s="447">
        <f t="shared" ref="C329:N329" si="148">SUM(C319:C328)</f>
        <v>643.2952883617445</v>
      </c>
      <c r="D329" s="447">
        <f t="shared" si="148"/>
        <v>646.95529292426033</v>
      </c>
      <c r="E329" s="447">
        <f t="shared" si="148"/>
        <v>683.90170330639478</v>
      </c>
      <c r="F329" s="447">
        <f t="shared" si="148"/>
        <v>655.51740839985996</v>
      </c>
      <c r="G329" s="447">
        <f t="shared" si="148"/>
        <v>628.46842288914638</v>
      </c>
      <c r="H329" s="447">
        <f t="shared" si="148"/>
        <v>596.85821559916008</v>
      </c>
      <c r="I329" s="447">
        <f t="shared" si="148"/>
        <v>628.39233549681569</v>
      </c>
      <c r="J329" s="447">
        <f t="shared" si="148"/>
        <v>641.9560503837821</v>
      </c>
      <c r="K329" s="447">
        <f t="shared" si="148"/>
        <v>600.81834809103918</v>
      </c>
      <c r="L329" s="447">
        <f t="shared" si="148"/>
        <v>575.19042302911123</v>
      </c>
      <c r="M329" s="447">
        <f t="shared" si="148"/>
        <v>594.81029025007149</v>
      </c>
      <c r="N329" s="447">
        <f t="shared" si="148"/>
        <v>606.27966485818865</v>
      </c>
    </row>
    <row r="330" spans="1:14">
      <c r="A330" s="302">
        <f>SUM(C330:N330)</f>
        <v>0</v>
      </c>
      <c r="C330" s="302">
        <f>SUM(C319:C328)-C329</f>
        <v>0</v>
      </c>
      <c r="D330" s="302">
        <f t="shared" ref="D330:N330" si="149">SUM(D319:D328)-D329</f>
        <v>0</v>
      </c>
      <c r="E330" s="302">
        <f t="shared" si="149"/>
        <v>0</v>
      </c>
      <c r="F330" s="302">
        <f t="shared" si="149"/>
        <v>0</v>
      </c>
      <c r="G330" s="302">
        <f t="shared" si="149"/>
        <v>0</v>
      </c>
      <c r="H330" s="302">
        <f t="shared" si="149"/>
        <v>0</v>
      </c>
      <c r="I330" s="302">
        <f t="shared" si="149"/>
        <v>0</v>
      </c>
      <c r="J330" s="302">
        <f t="shared" si="149"/>
        <v>0</v>
      </c>
      <c r="K330" s="302">
        <f t="shared" si="149"/>
        <v>0</v>
      </c>
      <c r="L330" s="302">
        <f t="shared" si="149"/>
        <v>0</v>
      </c>
      <c r="M330" s="302">
        <f t="shared" si="149"/>
        <v>0</v>
      </c>
      <c r="N330" s="302">
        <f t="shared" si="149"/>
        <v>0</v>
      </c>
    </row>
    <row r="331" spans="1:14">
      <c r="C331" s="322">
        <f>C294</f>
        <v>1130.059481511199</v>
      </c>
      <c r="D331" s="322">
        <f t="shared" ref="D331:N331" si="150">D294</f>
        <v>1136.4889128051518</v>
      </c>
      <c r="E331" s="322">
        <f t="shared" si="150"/>
        <v>1201.3916753707881</v>
      </c>
      <c r="F331" s="322">
        <f t="shared" si="150"/>
        <v>1151.5297501158616</v>
      </c>
      <c r="G331" s="322">
        <f t="shared" si="150"/>
        <v>1104.0135268593774</v>
      </c>
      <c r="H331" s="322">
        <f t="shared" si="150"/>
        <v>1048.4847283327263</v>
      </c>
      <c r="I331" s="322">
        <f t="shared" si="150"/>
        <v>1103.8798661895696</v>
      </c>
      <c r="J331" s="322">
        <f t="shared" si="150"/>
        <v>1127.7068782784741</v>
      </c>
      <c r="K331" s="322">
        <f t="shared" si="150"/>
        <v>1055.4413862648635</v>
      </c>
      <c r="L331" s="322">
        <f t="shared" si="150"/>
        <v>1010.4215015686082</v>
      </c>
      <c r="M331" s="322">
        <f t="shared" si="150"/>
        <v>1044.8871931105132</v>
      </c>
      <c r="N331" s="322">
        <f t="shared" si="150"/>
        <v>1065.0351341220417</v>
      </c>
    </row>
    <row r="332" spans="1:14">
      <c r="C332" s="322">
        <f>C313+C329</f>
        <v>1130.0594815111988</v>
      </c>
      <c r="D332" s="322">
        <f t="shared" ref="D332:N332" si="151">D313+D329</f>
        <v>1136.4889128051514</v>
      </c>
      <c r="E332" s="322">
        <f t="shared" si="151"/>
        <v>1201.3916753707877</v>
      </c>
      <c r="F332" s="322">
        <f t="shared" si="151"/>
        <v>1151.5297501158611</v>
      </c>
      <c r="G332" s="322">
        <f t="shared" si="151"/>
        <v>1104.0135268593772</v>
      </c>
      <c r="H332" s="322">
        <f t="shared" si="151"/>
        <v>1048.4847283327258</v>
      </c>
      <c r="I332" s="322">
        <f t="shared" si="151"/>
        <v>1103.8798661895694</v>
      </c>
      <c r="J332" s="322">
        <f t="shared" si="151"/>
        <v>1127.7068782784741</v>
      </c>
      <c r="K332" s="322">
        <f t="shared" si="151"/>
        <v>1055.4413862648632</v>
      </c>
      <c r="L332" s="322">
        <f t="shared" si="151"/>
        <v>1010.4215015686079</v>
      </c>
      <c r="M332" s="322">
        <f t="shared" si="151"/>
        <v>1044.8871931105132</v>
      </c>
      <c r="N332" s="322">
        <f t="shared" si="151"/>
        <v>1065.0351341220417</v>
      </c>
    </row>
    <row r="333" spans="1:14">
      <c r="A333" s="302">
        <f>SUM(C333:L333)</f>
        <v>0</v>
      </c>
      <c r="C333" s="322">
        <f>C331-C332</f>
        <v>0</v>
      </c>
      <c r="D333" s="322">
        <f t="shared" ref="D333:K333" si="152">D331-D332</f>
        <v>0</v>
      </c>
      <c r="E333" s="322">
        <f t="shared" si="152"/>
        <v>0</v>
      </c>
      <c r="F333" s="322">
        <f t="shared" si="152"/>
        <v>0</v>
      </c>
      <c r="G333" s="322">
        <f t="shared" si="152"/>
        <v>0</v>
      </c>
      <c r="H333" s="322">
        <f t="shared" si="152"/>
        <v>0</v>
      </c>
      <c r="I333" s="322">
        <f t="shared" si="152"/>
        <v>0</v>
      </c>
      <c r="J333" s="322">
        <f t="shared" si="152"/>
        <v>0</v>
      </c>
      <c r="K333" s="322">
        <f t="shared" si="152"/>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3">C318</f>
        <v>2017/18</v>
      </c>
      <c r="D339" s="331" t="str">
        <f t="shared" si="153"/>
        <v>2018/19</v>
      </c>
      <c r="E339" s="331" t="str">
        <f t="shared" si="153"/>
        <v>2019/20</v>
      </c>
      <c r="F339" s="331" t="str">
        <f t="shared" si="153"/>
        <v>2020/21</v>
      </c>
      <c r="G339" s="331" t="str">
        <f t="shared" si="153"/>
        <v>2021/22</v>
      </c>
      <c r="H339" s="331" t="str">
        <f t="shared" si="153"/>
        <v>2022/23</v>
      </c>
      <c r="I339" s="331" t="str">
        <f t="shared" si="153"/>
        <v>2023/24</v>
      </c>
      <c r="J339" s="331" t="str">
        <f t="shared" si="153"/>
        <v>2024/25</v>
      </c>
      <c r="K339" s="331" t="str">
        <f t="shared" si="153"/>
        <v>2025/26</v>
      </c>
      <c r="L339" s="331" t="str">
        <f t="shared" si="153"/>
        <v>2026/27</v>
      </c>
      <c r="M339" s="331" t="str">
        <f t="shared" si="153"/>
        <v>2027/28</v>
      </c>
      <c r="N339" s="331" t="str">
        <f t="shared" si="153"/>
        <v>2028/29</v>
      </c>
    </row>
    <row r="340" spans="1:14">
      <c r="B340" s="331" t="str">
        <f t="shared" ref="B340:B350" si="154">B319</f>
        <v>20-24</v>
      </c>
      <c r="C340" s="447">
        <f t="shared" ref="C340:N340" si="155">C303+C247</f>
        <v>155.87166933541019</v>
      </c>
      <c r="D340" s="447">
        <f t="shared" si="155"/>
        <v>235.66161639755822</v>
      </c>
      <c r="E340" s="447">
        <f t="shared" si="155"/>
        <v>298.3019165379369</v>
      </c>
      <c r="F340" s="447">
        <f t="shared" si="155"/>
        <v>337.31205977977822</v>
      </c>
      <c r="G340" s="447">
        <f t="shared" si="155"/>
        <v>359.51547912634169</v>
      </c>
      <c r="H340" s="447">
        <f t="shared" si="155"/>
        <v>369.00301657513967</v>
      </c>
      <c r="I340" s="447">
        <f t="shared" si="155"/>
        <v>381.80708062278688</v>
      </c>
      <c r="J340" s="447">
        <f t="shared" si="155"/>
        <v>393.45449223348163</v>
      </c>
      <c r="K340" s="447">
        <f t="shared" si="155"/>
        <v>393.66106816836373</v>
      </c>
      <c r="L340" s="447">
        <f t="shared" si="155"/>
        <v>388.82780173625929</v>
      </c>
      <c r="M340" s="447">
        <f t="shared" si="155"/>
        <v>389.23729988088598</v>
      </c>
      <c r="N340" s="447">
        <f t="shared" si="155"/>
        <v>391.75365942119527</v>
      </c>
    </row>
    <row r="341" spans="1:14">
      <c r="B341" s="331" t="str">
        <f t="shared" si="154"/>
        <v>25-29</v>
      </c>
      <c r="C341" s="447">
        <f t="shared" ref="C341:N341" si="156">C304+C248</f>
        <v>364.06526477689243</v>
      </c>
      <c r="D341" s="447">
        <f t="shared" si="156"/>
        <v>420.7938047059655</v>
      </c>
      <c r="E341" s="447">
        <f t="shared" si="156"/>
        <v>482.43233023300058</v>
      </c>
      <c r="F341" s="447">
        <f t="shared" si="156"/>
        <v>533.49255402037215</v>
      </c>
      <c r="G341" s="447">
        <f t="shared" si="156"/>
        <v>572.1818252750586</v>
      </c>
      <c r="H341" s="447">
        <f t="shared" si="156"/>
        <v>597.96124934043439</v>
      </c>
      <c r="I341" s="447">
        <f t="shared" si="156"/>
        <v>624.60761951431562</v>
      </c>
      <c r="J341" s="447">
        <f t="shared" si="156"/>
        <v>648.91902898317312</v>
      </c>
      <c r="K341" s="447">
        <f t="shared" si="156"/>
        <v>660.48196803406415</v>
      </c>
      <c r="L341" s="447">
        <f t="shared" si="156"/>
        <v>663.81352431132223</v>
      </c>
      <c r="M341" s="447">
        <f t="shared" si="156"/>
        <v>669.24232213695439</v>
      </c>
      <c r="N341" s="447">
        <f t="shared" si="156"/>
        <v>675.52357205335784</v>
      </c>
    </row>
    <row r="342" spans="1:14">
      <c r="B342" s="331" t="str">
        <f t="shared" si="154"/>
        <v>30-34</v>
      </c>
      <c r="C342" s="447">
        <f t="shared" ref="C342:N342" si="157">C305+C249</f>
        <v>534.11990776562641</v>
      </c>
      <c r="D342" s="447">
        <f t="shared" si="157"/>
        <v>529.37733609910072</v>
      </c>
      <c r="E342" s="447">
        <f t="shared" si="157"/>
        <v>538.74313374935468</v>
      </c>
      <c r="F342" s="447">
        <f t="shared" si="157"/>
        <v>555.05538172042066</v>
      </c>
      <c r="G342" s="447">
        <f t="shared" si="157"/>
        <v>574.02211363315996</v>
      </c>
      <c r="H342" s="447">
        <f t="shared" si="157"/>
        <v>592.21359856591243</v>
      </c>
      <c r="I342" s="447">
        <f t="shared" si="157"/>
        <v>613.64643562305878</v>
      </c>
      <c r="J342" s="447">
        <f t="shared" si="157"/>
        <v>635.88188410173552</v>
      </c>
      <c r="K342" s="447">
        <f t="shared" si="157"/>
        <v>652.89269479561915</v>
      </c>
      <c r="L342" s="447">
        <f t="shared" si="157"/>
        <v>665.17349450803397</v>
      </c>
      <c r="M342" s="447">
        <f t="shared" si="157"/>
        <v>676.86115984778701</v>
      </c>
      <c r="N342" s="447">
        <f t="shared" si="157"/>
        <v>687.6948974108775</v>
      </c>
    </row>
    <row r="343" spans="1:14">
      <c r="B343" s="331" t="str">
        <f t="shared" si="154"/>
        <v>35-39</v>
      </c>
      <c r="C343" s="447">
        <f t="shared" ref="C343:N343" si="158">C306+C250</f>
        <v>616.90817080695967</v>
      </c>
      <c r="D343" s="447">
        <f t="shared" si="158"/>
        <v>606.32337727062384</v>
      </c>
      <c r="E343" s="447">
        <f t="shared" si="158"/>
        <v>598.75523573146324</v>
      </c>
      <c r="F343" s="447">
        <f t="shared" si="158"/>
        <v>593.57117556576713</v>
      </c>
      <c r="G343" s="447">
        <f t="shared" si="158"/>
        <v>590.76308122949308</v>
      </c>
      <c r="H343" s="447">
        <f t="shared" si="158"/>
        <v>589.88066927223497</v>
      </c>
      <c r="I343" s="447">
        <f t="shared" si="158"/>
        <v>594.92144478427508</v>
      </c>
      <c r="J343" s="447">
        <f t="shared" si="158"/>
        <v>603.65071978501226</v>
      </c>
      <c r="K343" s="447">
        <f t="shared" si="158"/>
        <v>611.25686470638288</v>
      </c>
      <c r="L343" s="447">
        <f t="shared" si="158"/>
        <v>618.19489546554826</v>
      </c>
      <c r="M343" s="447">
        <f t="shared" si="158"/>
        <v>627.0781330265977</v>
      </c>
      <c r="N343" s="447">
        <f t="shared" si="158"/>
        <v>636.69942161898155</v>
      </c>
    </row>
    <row r="344" spans="1:14">
      <c r="B344" s="331" t="str">
        <f t="shared" si="154"/>
        <v>40-44</v>
      </c>
      <c r="C344" s="447">
        <f t="shared" ref="C344:N344" si="159">C307+C251</f>
        <v>629.6428142532917</v>
      </c>
      <c r="D344" s="447">
        <f t="shared" si="159"/>
        <v>619.66814602624117</v>
      </c>
      <c r="E344" s="447">
        <f t="shared" si="159"/>
        <v>610.92975838963093</v>
      </c>
      <c r="F344" s="447">
        <f t="shared" si="159"/>
        <v>602.20863606205148</v>
      </c>
      <c r="G344" s="447">
        <f t="shared" si="159"/>
        <v>593.11613546407693</v>
      </c>
      <c r="H344" s="447">
        <f t="shared" si="159"/>
        <v>583.90008821914125</v>
      </c>
      <c r="I344" s="447">
        <f t="shared" si="159"/>
        <v>578.93072011103231</v>
      </c>
      <c r="J344" s="447">
        <f t="shared" si="159"/>
        <v>577.05118551769067</v>
      </c>
      <c r="K344" s="447">
        <f t="shared" si="159"/>
        <v>574.6797150662519</v>
      </c>
      <c r="L344" s="447">
        <f t="shared" si="159"/>
        <v>572.71673031361695</v>
      </c>
      <c r="M344" s="447">
        <f t="shared" si="159"/>
        <v>573.78576828000291</v>
      </c>
      <c r="N344" s="447">
        <f t="shared" si="159"/>
        <v>576.93504848421196</v>
      </c>
    </row>
    <row r="345" spans="1:14">
      <c r="B345" s="331" t="str">
        <f t="shared" si="154"/>
        <v>45-49</v>
      </c>
      <c r="C345" s="447">
        <f t="shared" ref="C345:N345" si="160">C308+C252</f>
        <v>649.64667940766446</v>
      </c>
      <c r="D345" s="447">
        <f t="shared" si="160"/>
        <v>624.26620021433564</v>
      </c>
      <c r="E345" s="447">
        <f t="shared" si="160"/>
        <v>603.81199558418473</v>
      </c>
      <c r="F345" s="447">
        <f t="shared" si="160"/>
        <v>586.7972973804832</v>
      </c>
      <c r="G345" s="447">
        <f t="shared" si="160"/>
        <v>571.37949846373408</v>
      </c>
      <c r="H345" s="447">
        <f t="shared" si="160"/>
        <v>556.83013026501965</v>
      </c>
      <c r="I345" s="447">
        <f t="shared" si="160"/>
        <v>546.10384555443284</v>
      </c>
      <c r="J345" s="447">
        <f t="shared" si="160"/>
        <v>538.03748571080791</v>
      </c>
      <c r="K345" s="447">
        <f t="shared" si="160"/>
        <v>529.70106955044821</v>
      </c>
      <c r="L345" s="447">
        <f t="shared" si="160"/>
        <v>521.86565587410121</v>
      </c>
      <c r="M345" s="447">
        <f t="shared" si="160"/>
        <v>516.77194170571534</v>
      </c>
      <c r="N345" s="447">
        <f t="shared" si="160"/>
        <v>513.8241441411916</v>
      </c>
    </row>
    <row r="346" spans="1:14">
      <c r="B346" s="331" t="str">
        <f t="shared" si="154"/>
        <v>50-54</v>
      </c>
      <c r="C346" s="447">
        <f t="shared" ref="C346:N346" si="161">C309+C253</f>
        <v>612.64237998617205</v>
      </c>
      <c r="D346" s="447">
        <f t="shared" si="161"/>
        <v>574.9285548375442</v>
      </c>
      <c r="E346" s="447">
        <f t="shared" si="161"/>
        <v>543.22092538962477</v>
      </c>
      <c r="F346" s="447">
        <f t="shared" si="161"/>
        <v>516.97530021513444</v>
      </c>
      <c r="G346" s="447">
        <f t="shared" si="161"/>
        <v>494.32741880907417</v>
      </c>
      <c r="H346" s="447">
        <f t="shared" si="161"/>
        <v>474.34218383141285</v>
      </c>
      <c r="I346" s="447">
        <f t="shared" si="161"/>
        <v>458.77803832562273</v>
      </c>
      <c r="J346" s="447">
        <f t="shared" si="161"/>
        <v>446.34992656606579</v>
      </c>
      <c r="K346" s="447">
        <f t="shared" si="161"/>
        <v>434.55652726074368</v>
      </c>
      <c r="L346" s="447">
        <f t="shared" si="161"/>
        <v>423.74967387471543</v>
      </c>
      <c r="M346" s="447">
        <f t="shared" si="161"/>
        <v>415.43591699639325</v>
      </c>
      <c r="N346" s="447">
        <f t="shared" si="161"/>
        <v>409.06917612599437</v>
      </c>
    </row>
    <row r="347" spans="1:14">
      <c r="B347" s="331" t="str">
        <f t="shared" si="154"/>
        <v>55-59</v>
      </c>
      <c r="C347" s="447">
        <f t="shared" ref="C347:N347" si="162">C310+C254</f>
        <v>423.10252815810082</v>
      </c>
      <c r="D347" s="447">
        <f t="shared" si="162"/>
        <v>363.45203261529457</v>
      </c>
      <c r="E347" s="447">
        <f t="shared" si="162"/>
        <v>321.93433554597277</v>
      </c>
      <c r="F347" s="447">
        <f t="shared" si="162"/>
        <v>291.83328876606146</v>
      </c>
      <c r="G347" s="447">
        <f t="shared" si="162"/>
        <v>269.08051819201643</v>
      </c>
      <c r="H347" s="447">
        <f t="shared" si="162"/>
        <v>251.18635216339919</v>
      </c>
      <c r="I347" s="447">
        <f t="shared" si="162"/>
        <v>238.16276383557084</v>
      </c>
      <c r="J347" s="447">
        <f t="shared" si="162"/>
        <v>228.30138710679321</v>
      </c>
      <c r="K347" s="447">
        <f t="shared" si="162"/>
        <v>219.48237284961525</v>
      </c>
      <c r="L347" s="447">
        <f t="shared" si="162"/>
        <v>211.76577536565128</v>
      </c>
      <c r="M347" s="447">
        <f t="shared" si="162"/>
        <v>205.96686416788157</v>
      </c>
      <c r="N347" s="447">
        <f t="shared" si="162"/>
        <v>201.50010349638282</v>
      </c>
    </row>
    <row r="348" spans="1:14">
      <c r="B348" s="331" t="str">
        <f t="shared" si="154"/>
        <v>60-64</v>
      </c>
      <c r="C348" s="447">
        <f t="shared" ref="C348:N348" si="163">C311+C255</f>
        <v>139.09981648850496</v>
      </c>
      <c r="D348" s="447">
        <f t="shared" si="163"/>
        <v>133.6652400122772</v>
      </c>
      <c r="E348" s="447">
        <f t="shared" si="163"/>
        <v>123.33712250771809</v>
      </c>
      <c r="F348" s="447">
        <f t="shared" si="163"/>
        <v>112.55946568076214</v>
      </c>
      <c r="G348" s="447">
        <f t="shared" si="163"/>
        <v>102.8478768624349</v>
      </c>
      <c r="H348" s="447">
        <f t="shared" si="163"/>
        <v>94.566487314767713</v>
      </c>
      <c r="I348" s="447">
        <f t="shared" si="163"/>
        <v>88.426028503619165</v>
      </c>
      <c r="J348" s="447">
        <f t="shared" si="163"/>
        <v>83.782082667034985</v>
      </c>
      <c r="K348" s="447">
        <f t="shared" si="163"/>
        <v>79.628469379038748</v>
      </c>
      <c r="L348" s="447">
        <f t="shared" si="163"/>
        <v>76.052598340095017</v>
      </c>
      <c r="M348" s="447">
        <f t="shared" si="163"/>
        <v>73.477209801272039</v>
      </c>
      <c r="N348" s="447">
        <f t="shared" si="163"/>
        <v>71.558346387590305</v>
      </c>
    </row>
    <row r="349" spans="1:14">
      <c r="B349" s="331" t="str">
        <f t="shared" si="154"/>
        <v>65 plus</v>
      </c>
      <c r="C349" s="447">
        <f t="shared" ref="C349:N349" si="164">C312+C256</f>
        <v>34.395108297151147</v>
      </c>
      <c r="D349" s="447">
        <f t="shared" si="164"/>
        <v>39.99373052230294</v>
      </c>
      <c r="E349" s="447">
        <f t="shared" si="164"/>
        <v>42.633345211176362</v>
      </c>
      <c r="F349" s="447">
        <f t="shared" si="164"/>
        <v>42.988519387188077</v>
      </c>
      <c r="G349" s="447">
        <f t="shared" si="164"/>
        <v>41.802870991734913</v>
      </c>
      <c r="H349" s="447">
        <f t="shared" si="164"/>
        <v>39.800588620237207</v>
      </c>
      <c r="I349" s="447">
        <f t="shared" si="164"/>
        <v>37.715496983036026</v>
      </c>
      <c r="J349" s="447">
        <f t="shared" si="164"/>
        <v>35.771031063217094</v>
      </c>
      <c r="K349" s="447">
        <f t="shared" si="164"/>
        <v>33.886425409236203</v>
      </c>
      <c r="L349" s="447">
        <f t="shared" si="164"/>
        <v>32.155076382916789</v>
      </c>
      <c r="M349" s="447">
        <f t="shared" si="164"/>
        <v>30.755249218658705</v>
      </c>
      <c r="N349" s="447">
        <f t="shared" si="164"/>
        <v>29.645024737359087</v>
      </c>
    </row>
    <row r="350" spans="1:14">
      <c r="B350" s="331" t="str">
        <f t="shared" si="154"/>
        <v>Total</v>
      </c>
      <c r="C350" s="447">
        <f t="shared" ref="C350:N350" si="165">SUM(C340:C349)</f>
        <v>4159.4943392757732</v>
      </c>
      <c r="D350" s="447">
        <f t="shared" si="165"/>
        <v>4148.1300387012443</v>
      </c>
      <c r="E350" s="447">
        <f t="shared" si="165"/>
        <v>4164.1000988800633</v>
      </c>
      <c r="F350" s="447">
        <f t="shared" si="165"/>
        <v>4172.7936785780184</v>
      </c>
      <c r="G350" s="447">
        <f t="shared" si="165"/>
        <v>4169.0368180471251</v>
      </c>
      <c r="H350" s="447">
        <f t="shared" si="165"/>
        <v>4149.6843641676996</v>
      </c>
      <c r="I350" s="447">
        <f t="shared" si="165"/>
        <v>4163.0994738577501</v>
      </c>
      <c r="J350" s="447">
        <f t="shared" si="165"/>
        <v>4191.1992237350123</v>
      </c>
      <c r="K350" s="447">
        <f t="shared" si="165"/>
        <v>4190.2271752197639</v>
      </c>
      <c r="L350" s="447">
        <f t="shared" si="165"/>
        <v>4174.3152261722598</v>
      </c>
      <c r="M350" s="447">
        <f t="shared" si="165"/>
        <v>4178.6118650621484</v>
      </c>
      <c r="N350" s="447">
        <f t="shared" si="165"/>
        <v>4194.2033938771419</v>
      </c>
    </row>
    <row r="351" spans="1:14">
      <c r="A351" s="302">
        <f>SUM(C351:N351)</f>
        <v>0</v>
      </c>
      <c r="C351" s="302">
        <f>SUM(C340:C349)-C350</f>
        <v>0</v>
      </c>
      <c r="D351" s="302">
        <f t="shared" ref="D351:N351" si="166">SUM(D340:D349)-D350</f>
        <v>0</v>
      </c>
      <c r="E351" s="302">
        <f t="shared" si="166"/>
        <v>0</v>
      </c>
      <c r="F351" s="302">
        <f t="shared" si="166"/>
        <v>0</v>
      </c>
      <c r="G351" s="302">
        <f t="shared" si="166"/>
        <v>0</v>
      </c>
      <c r="H351" s="302">
        <f t="shared" si="166"/>
        <v>0</v>
      </c>
      <c r="I351" s="302">
        <f t="shared" si="166"/>
        <v>0</v>
      </c>
      <c r="J351" s="302">
        <f t="shared" si="166"/>
        <v>0</v>
      </c>
      <c r="K351" s="302">
        <f t="shared" si="166"/>
        <v>0</v>
      </c>
      <c r="L351" s="302">
        <f t="shared" si="166"/>
        <v>0</v>
      </c>
      <c r="M351" s="302">
        <f t="shared" si="166"/>
        <v>0</v>
      </c>
      <c r="N351" s="302">
        <f t="shared" si="166"/>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7">B339</f>
        <v>Age group</v>
      </c>
      <c r="C355" s="331" t="str">
        <f t="shared" ref="C355:N355" si="168">C339</f>
        <v>2017/18</v>
      </c>
      <c r="D355" s="331" t="str">
        <f t="shared" si="168"/>
        <v>2018/19</v>
      </c>
      <c r="E355" s="331" t="str">
        <f t="shared" si="168"/>
        <v>2019/20</v>
      </c>
      <c r="F355" s="331" t="str">
        <f t="shared" si="168"/>
        <v>2020/21</v>
      </c>
      <c r="G355" s="331" t="str">
        <f t="shared" si="168"/>
        <v>2021/22</v>
      </c>
      <c r="H355" s="331" t="str">
        <f t="shared" si="168"/>
        <v>2022/23</v>
      </c>
      <c r="I355" s="331" t="str">
        <f t="shared" si="168"/>
        <v>2023/24</v>
      </c>
      <c r="J355" s="331" t="str">
        <f t="shared" si="168"/>
        <v>2024/25</v>
      </c>
      <c r="K355" s="331" t="str">
        <f t="shared" si="168"/>
        <v>2025/26</v>
      </c>
      <c r="L355" s="331" t="str">
        <f t="shared" si="168"/>
        <v>2026/27</v>
      </c>
      <c r="M355" s="331" t="str">
        <f t="shared" si="168"/>
        <v>2027/28</v>
      </c>
      <c r="N355" s="331" t="str">
        <f t="shared" si="168"/>
        <v>2028/29</v>
      </c>
    </row>
    <row r="356" spans="1:14">
      <c r="B356" s="331" t="str">
        <f t="shared" si="167"/>
        <v>20-24</v>
      </c>
      <c r="C356" s="447">
        <f t="shared" ref="C356:N356" si="169">C319+C263</f>
        <v>272.88136754029927</v>
      </c>
      <c r="D356" s="447">
        <f t="shared" si="169"/>
        <v>358.80045218256203</v>
      </c>
      <c r="E356" s="447">
        <f t="shared" si="169"/>
        <v>428.39950458469082</v>
      </c>
      <c r="F356" s="447">
        <f t="shared" si="169"/>
        <v>469.62720791145318</v>
      </c>
      <c r="G356" s="447">
        <f t="shared" si="169"/>
        <v>491.68169154130339</v>
      </c>
      <c r="H356" s="447">
        <f t="shared" si="169"/>
        <v>499.07894878948571</v>
      </c>
      <c r="I356" s="447">
        <f t="shared" si="169"/>
        <v>512.37811332546585</v>
      </c>
      <c r="J356" s="447">
        <f t="shared" si="169"/>
        <v>525.21489847850467</v>
      </c>
      <c r="K356" s="447">
        <f t="shared" si="169"/>
        <v>523.68247308803268</v>
      </c>
      <c r="L356" s="447">
        <f t="shared" si="169"/>
        <v>516.02490168501458</v>
      </c>
      <c r="M356" s="447">
        <f t="shared" si="169"/>
        <v>515.67585170112659</v>
      </c>
      <c r="N356" s="447">
        <f t="shared" si="169"/>
        <v>518.37496874956912</v>
      </c>
    </row>
    <row r="357" spans="1:14">
      <c r="B357" s="331" t="str">
        <f t="shared" si="167"/>
        <v>25-29</v>
      </c>
      <c r="C357" s="447">
        <f t="shared" ref="C357:N357" si="170">C320+C264</f>
        <v>726.01630207592245</v>
      </c>
      <c r="D357" s="447">
        <f t="shared" si="170"/>
        <v>745.4339707390036</v>
      </c>
      <c r="E357" s="447">
        <f t="shared" si="170"/>
        <v>783.73023901168199</v>
      </c>
      <c r="F357" s="447">
        <f t="shared" si="170"/>
        <v>815.73484919658222</v>
      </c>
      <c r="G357" s="447">
        <f t="shared" si="170"/>
        <v>839.23109649113576</v>
      </c>
      <c r="H357" s="447">
        <f t="shared" si="170"/>
        <v>851.91679343737371</v>
      </c>
      <c r="I357" s="447">
        <f t="shared" si="170"/>
        <v>870.68777247374885</v>
      </c>
      <c r="J357" s="447">
        <f t="shared" si="170"/>
        <v>890.21450136487806</v>
      </c>
      <c r="K357" s="447">
        <f t="shared" si="170"/>
        <v>895.86813908905617</v>
      </c>
      <c r="L357" s="447">
        <f t="shared" si="170"/>
        <v>892.96154898587076</v>
      </c>
      <c r="M357" s="447">
        <f t="shared" si="170"/>
        <v>894.61854028141806</v>
      </c>
      <c r="N357" s="447">
        <f t="shared" si="170"/>
        <v>898.75905314668148</v>
      </c>
    </row>
    <row r="358" spans="1:14">
      <c r="B358" s="331" t="str">
        <f t="shared" si="167"/>
        <v>30-34</v>
      </c>
      <c r="C358" s="447">
        <f t="shared" ref="C358:N358" si="171">C321+C265</f>
        <v>927.15922722071366</v>
      </c>
      <c r="D358" s="447">
        <f t="shared" si="171"/>
        <v>899.54570094453447</v>
      </c>
      <c r="E358" s="447">
        <f t="shared" si="171"/>
        <v>886.4522488016396</v>
      </c>
      <c r="F358" s="447">
        <f t="shared" si="171"/>
        <v>879.26176497079234</v>
      </c>
      <c r="G358" s="447">
        <f t="shared" si="171"/>
        <v>876.33570675942906</v>
      </c>
      <c r="H358" s="447">
        <f t="shared" si="171"/>
        <v>874.38371648192674</v>
      </c>
      <c r="I358" s="447">
        <f t="shared" si="171"/>
        <v>879.38265900210899</v>
      </c>
      <c r="J358" s="447">
        <f t="shared" si="171"/>
        <v>888.2570562813811</v>
      </c>
      <c r="K358" s="447">
        <f t="shared" si="171"/>
        <v>892.99279700285308</v>
      </c>
      <c r="L358" s="447">
        <f t="shared" si="171"/>
        <v>894.16753155536639</v>
      </c>
      <c r="M358" s="447">
        <f t="shared" si="171"/>
        <v>897.04992644972128</v>
      </c>
      <c r="N358" s="447">
        <f t="shared" si="171"/>
        <v>900.96089770167123</v>
      </c>
    </row>
    <row r="359" spans="1:14">
      <c r="B359" s="331" t="str">
        <f t="shared" si="167"/>
        <v>35-39</v>
      </c>
      <c r="C359" s="447">
        <f t="shared" ref="C359:N359" si="172">C322+C266</f>
        <v>887.22332583549121</v>
      </c>
      <c r="D359" s="447">
        <f t="shared" si="172"/>
        <v>887.1854370131914</v>
      </c>
      <c r="E359" s="447">
        <f t="shared" si="172"/>
        <v>884.49592657018979</v>
      </c>
      <c r="F359" s="447">
        <f t="shared" si="172"/>
        <v>876.44969393034751</v>
      </c>
      <c r="G359" s="447">
        <f t="shared" si="172"/>
        <v>866.59156456751566</v>
      </c>
      <c r="H359" s="447">
        <f t="shared" si="172"/>
        <v>855.74287439664135</v>
      </c>
      <c r="I359" s="447">
        <f t="shared" si="172"/>
        <v>850.47098035935755</v>
      </c>
      <c r="J359" s="447">
        <f t="shared" si="172"/>
        <v>848.83102882278058</v>
      </c>
      <c r="K359" s="447">
        <f t="shared" si="172"/>
        <v>845.26539755910392</v>
      </c>
      <c r="L359" s="447">
        <f t="shared" si="172"/>
        <v>841.02891225638473</v>
      </c>
      <c r="M359" s="447">
        <f t="shared" si="172"/>
        <v>840.03480023230702</v>
      </c>
      <c r="N359" s="447">
        <f t="shared" si="172"/>
        <v>840.94647263650802</v>
      </c>
    </row>
    <row r="360" spans="1:14">
      <c r="B360" s="331" t="str">
        <f t="shared" si="167"/>
        <v>40-44</v>
      </c>
      <c r="C360" s="447">
        <f t="shared" ref="C360:N360" si="173">C323+C267</f>
        <v>814.51327740141539</v>
      </c>
      <c r="D360" s="447">
        <f t="shared" si="173"/>
        <v>816.53670380677784</v>
      </c>
      <c r="E360" s="447">
        <f t="shared" si="173"/>
        <v>820.0056837199985</v>
      </c>
      <c r="F360" s="447">
        <f t="shared" si="173"/>
        <v>818.83437201135951</v>
      </c>
      <c r="G360" s="447">
        <f t="shared" si="173"/>
        <v>814.24339951419574</v>
      </c>
      <c r="H360" s="447">
        <f t="shared" si="173"/>
        <v>806.42968998649178</v>
      </c>
      <c r="I360" s="447">
        <f t="shared" si="173"/>
        <v>801.33227058832233</v>
      </c>
      <c r="J360" s="447">
        <f t="shared" si="173"/>
        <v>797.75399258507241</v>
      </c>
      <c r="K360" s="447">
        <f t="shared" si="173"/>
        <v>791.39745623652811</v>
      </c>
      <c r="L360" s="447">
        <f t="shared" si="173"/>
        <v>783.94116411913251</v>
      </c>
      <c r="M360" s="447">
        <f t="shared" si="173"/>
        <v>779.3262912903574</v>
      </c>
      <c r="N360" s="447">
        <f t="shared" si="173"/>
        <v>776.71260066734919</v>
      </c>
    </row>
    <row r="361" spans="1:14">
      <c r="B361" s="331" t="str">
        <f t="shared" si="167"/>
        <v>45-49</v>
      </c>
      <c r="C361" s="447">
        <f t="shared" ref="C361:N361" si="174">C324+C268</f>
        <v>760.02308142827758</v>
      </c>
      <c r="D361" s="447">
        <f t="shared" si="174"/>
        <v>744.77253193941851</v>
      </c>
      <c r="E361" s="447">
        <f t="shared" si="174"/>
        <v>735.40692610145629</v>
      </c>
      <c r="F361" s="447">
        <f t="shared" si="174"/>
        <v>726.45550653078442</v>
      </c>
      <c r="G361" s="447">
        <f t="shared" si="174"/>
        <v>717.92993877760205</v>
      </c>
      <c r="H361" s="447">
        <f t="shared" si="174"/>
        <v>708.78654691756878</v>
      </c>
      <c r="I361" s="447">
        <f t="shared" si="174"/>
        <v>702.85290713787992</v>
      </c>
      <c r="J361" s="447">
        <f t="shared" si="174"/>
        <v>698.53375864503471</v>
      </c>
      <c r="K361" s="447">
        <f t="shared" si="174"/>
        <v>691.98632507942295</v>
      </c>
      <c r="L361" s="447">
        <f t="shared" si="174"/>
        <v>684.36003154224875</v>
      </c>
      <c r="M361" s="447">
        <f t="shared" si="174"/>
        <v>678.79159018745372</v>
      </c>
      <c r="N361" s="447">
        <f t="shared" si="174"/>
        <v>674.68426898047551</v>
      </c>
    </row>
    <row r="362" spans="1:14">
      <c r="B362" s="331" t="str">
        <f t="shared" si="167"/>
        <v>50-54</v>
      </c>
      <c r="C362" s="447">
        <f t="shared" ref="C362:N362" si="175">C325+C269</f>
        <v>629.53786371476758</v>
      </c>
      <c r="D362" s="447">
        <f t="shared" si="175"/>
        <v>613.08985907973829</v>
      </c>
      <c r="E362" s="447">
        <f t="shared" si="175"/>
        <v>599.6392330916492</v>
      </c>
      <c r="F362" s="447">
        <f t="shared" si="175"/>
        <v>586.33573463547145</v>
      </c>
      <c r="G362" s="447">
        <f t="shared" si="175"/>
        <v>574.00582041421308</v>
      </c>
      <c r="H362" s="447">
        <f t="shared" si="175"/>
        <v>562.21208530687795</v>
      </c>
      <c r="I362" s="447">
        <f t="shared" si="175"/>
        <v>553.83199335601228</v>
      </c>
      <c r="J362" s="447">
        <f t="shared" si="175"/>
        <v>547.53671045194619</v>
      </c>
      <c r="K362" s="447">
        <f t="shared" si="175"/>
        <v>540.27650414440291</v>
      </c>
      <c r="L362" s="447">
        <f t="shared" si="175"/>
        <v>532.71290630705016</v>
      </c>
      <c r="M362" s="447">
        <f t="shared" si="175"/>
        <v>526.99712107243204</v>
      </c>
      <c r="N362" s="447">
        <f t="shared" si="175"/>
        <v>522.54496915044876</v>
      </c>
    </row>
    <row r="363" spans="1:14">
      <c r="B363" s="331" t="str">
        <f t="shared" si="167"/>
        <v>55-59</v>
      </c>
      <c r="C363" s="447">
        <f t="shared" ref="C363:N363" si="176">C326+C270</f>
        <v>387.28771047494013</v>
      </c>
      <c r="D363" s="447">
        <f t="shared" si="176"/>
        <v>351.65614921512105</v>
      </c>
      <c r="E363" s="447">
        <f t="shared" si="176"/>
        <v>328.31464868497329</v>
      </c>
      <c r="F363" s="447">
        <f t="shared" si="176"/>
        <v>310.90684533724942</v>
      </c>
      <c r="G363" s="447">
        <f t="shared" si="176"/>
        <v>297.47156121895779</v>
      </c>
      <c r="H363" s="447">
        <f t="shared" si="176"/>
        <v>286.44351116961928</v>
      </c>
      <c r="I363" s="447">
        <f t="shared" si="176"/>
        <v>278.99271713414555</v>
      </c>
      <c r="J363" s="447">
        <f t="shared" si="176"/>
        <v>273.64659549646865</v>
      </c>
      <c r="K363" s="447">
        <f t="shared" si="176"/>
        <v>268.12641395143407</v>
      </c>
      <c r="L363" s="447">
        <f t="shared" si="176"/>
        <v>262.85506848847132</v>
      </c>
      <c r="M363" s="447">
        <f t="shared" si="176"/>
        <v>259.14856343584142</v>
      </c>
      <c r="N363" s="447">
        <f t="shared" si="176"/>
        <v>256.40709265004045</v>
      </c>
    </row>
    <row r="364" spans="1:14">
      <c r="B364" s="331" t="str">
        <f t="shared" si="167"/>
        <v>60-64</v>
      </c>
      <c r="C364" s="447">
        <f t="shared" ref="C364:N364" si="177">C327+C271</f>
        <v>133.90977419745437</v>
      </c>
      <c r="D364" s="447">
        <f t="shared" si="177"/>
        <v>128.76776383978654</v>
      </c>
      <c r="E364" s="447">
        <f t="shared" si="177"/>
        <v>122.03983215618231</v>
      </c>
      <c r="F364" s="447">
        <f t="shared" si="177"/>
        <v>115.04348171852237</v>
      </c>
      <c r="G364" s="447">
        <f t="shared" si="177"/>
        <v>108.80205938347068</v>
      </c>
      <c r="H364" s="447">
        <f t="shared" si="177"/>
        <v>103.37842786988635</v>
      </c>
      <c r="I364" s="447">
        <f t="shared" si="177"/>
        <v>99.718944347265221</v>
      </c>
      <c r="J364" s="447">
        <f t="shared" si="177"/>
        <v>97.121601013350457</v>
      </c>
      <c r="K364" s="447">
        <f t="shared" si="177"/>
        <v>94.435376519818959</v>
      </c>
      <c r="L364" s="447">
        <f t="shared" si="177"/>
        <v>91.936748372535689</v>
      </c>
      <c r="M364" s="447">
        <f t="shared" si="177"/>
        <v>90.310283078199106</v>
      </c>
      <c r="N364" s="447">
        <f t="shared" si="177"/>
        <v>89.194985357967369</v>
      </c>
    </row>
    <row r="365" spans="1:14">
      <c r="B365" s="331" t="str">
        <f t="shared" si="167"/>
        <v>65 plus</v>
      </c>
      <c r="C365" s="447">
        <f t="shared" ref="C365:K365" si="178">C328+C272</f>
        <v>25.891004393327862</v>
      </c>
      <c r="D365" s="447">
        <f t="shared" si="178"/>
        <v>36.79496508024279</v>
      </c>
      <c r="E365" s="447">
        <f t="shared" si="178"/>
        <v>43.195697613643759</v>
      </c>
      <c r="F365" s="447">
        <f t="shared" si="178"/>
        <v>46.204410322216567</v>
      </c>
      <c r="G365" s="447">
        <f t="shared" si="178"/>
        <v>47.093058072227251</v>
      </c>
      <c r="H365" s="447">
        <f t="shared" si="178"/>
        <v>46.707919780317781</v>
      </c>
      <c r="I365" s="447">
        <f t="shared" si="178"/>
        <v>45.930184768103203</v>
      </c>
      <c r="J365" s="447">
        <f t="shared" si="178"/>
        <v>45.038143140749426</v>
      </c>
      <c r="K365" s="447">
        <f t="shared" si="178"/>
        <v>43.937420601631452</v>
      </c>
      <c r="L365" s="447">
        <f>L328+L272</f>
        <v>42.769649577263181</v>
      </c>
      <c r="M365" s="447">
        <f>M328+M272</f>
        <v>41.807304276860656</v>
      </c>
      <c r="N365" s="447">
        <f>N328+N272</f>
        <v>41.045944191291738</v>
      </c>
    </row>
    <row r="366" spans="1:14">
      <c r="B366" s="331" t="str">
        <f t="shared" si="167"/>
        <v>Total</v>
      </c>
      <c r="C366" s="447">
        <f t="shared" ref="C366:N366" si="179">SUM(C356:C365)</f>
        <v>5564.4429342826097</v>
      </c>
      <c r="D366" s="447">
        <f t="shared" si="179"/>
        <v>5582.5835338403776</v>
      </c>
      <c r="E366" s="447">
        <f t="shared" si="179"/>
        <v>5631.6799403361056</v>
      </c>
      <c r="F366" s="447">
        <f t="shared" si="179"/>
        <v>5644.8538665647793</v>
      </c>
      <c r="G366" s="447">
        <f t="shared" si="179"/>
        <v>5633.3858967400502</v>
      </c>
      <c r="H366" s="447">
        <f t="shared" si="179"/>
        <v>5595.0805141361898</v>
      </c>
      <c r="I366" s="447">
        <f t="shared" si="179"/>
        <v>5595.5785424924106</v>
      </c>
      <c r="J366" s="447">
        <f t="shared" si="179"/>
        <v>5612.1482862801668</v>
      </c>
      <c r="K366" s="447">
        <f t="shared" si="179"/>
        <v>5587.9683032722851</v>
      </c>
      <c r="L366" s="447">
        <f t="shared" si="179"/>
        <v>5542.7584628893383</v>
      </c>
      <c r="M366" s="447">
        <f t="shared" si="179"/>
        <v>5523.7602720057184</v>
      </c>
      <c r="N366" s="447">
        <f t="shared" si="179"/>
        <v>5519.6312532320035</v>
      </c>
    </row>
    <row r="367" spans="1:14">
      <c r="A367" s="302">
        <f>SUM(C367:N367)</f>
        <v>0</v>
      </c>
      <c r="C367" s="302">
        <f>SUM(C356:C365)-C366</f>
        <v>0</v>
      </c>
      <c r="D367" s="302">
        <f t="shared" ref="D367:N367" si="180">SUM(D356:D365)-D366</f>
        <v>0</v>
      </c>
      <c r="E367" s="302">
        <f t="shared" si="180"/>
        <v>0</v>
      </c>
      <c r="F367" s="302">
        <f t="shared" si="180"/>
        <v>0</v>
      </c>
      <c r="G367" s="302">
        <f t="shared" si="180"/>
        <v>0</v>
      </c>
      <c r="H367" s="302">
        <f t="shared" si="180"/>
        <v>0</v>
      </c>
      <c r="I367" s="302">
        <f t="shared" si="180"/>
        <v>0</v>
      </c>
      <c r="J367" s="302">
        <f t="shared" si="180"/>
        <v>0</v>
      </c>
      <c r="K367" s="302">
        <f t="shared" si="180"/>
        <v>0</v>
      </c>
      <c r="L367" s="302">
        <f t="shared" si="180"/>
        <v>0</v>
      </c>
      <c r="M367" s="302">
        <f t="shared" si="180"/>
        <v>0</v>
      </c>
      <c r="N367" s="302">
        <f t="shared" si="180"/>
        <v>0</v>
      </c>
    </row>
    <row r="368" spans="1:14">
      <c r="C368" s="322">
        <f>C350+C366</f>
        <v>9723.937273558382</v>
      </c>
      <c r="D368" s="322">
        <f t="shared" ref="D368:N368" si="181">D350+D366</f>
        <v>9730.7135725416229</v>
      </c>
      <c r="E368" s="322">
        <f t="shared" si="181"/>
        <v>9795.7800392161698</v>
      </c>
      <c r="F368" s="322">
        <f t="shared" si="181"/>
        <v>9817.6475451427978</v>
      </c>
      <c r="G368" s="322">
        <f t="shared" si="181"/>
        <v>9802.4227147871752</v>
      </c>
      <c r="H368" s="322">
        <f t="shared" si="181"/>
        <v>9744.7648783038894</v>
      </c>
      <c r="I368" s="322">
        <f t="shared" si="181"/>
        <v>9758.6780163501608</v>
      </c>
      <c r="J368" s="322">
        <f t="shared" si="181"/>
        <v>9803.3475100151791</v>
      </c>
      <c r="K368" s="322">
        <f t="shared" si="181"/>
        <v>9778.195478492049</v>
      </c>
      <c r="L368" s="322">
        <f t="shared" si="181"/>
        <v>9717.073689061599</v>
      </c>
      <c r="M368" s="322">
        <f t="shared" si="181"/>
        <v>9702.3721370678668</v>
      </c>
      <c r="N368" s="322">
        <f t="shared" si="181"/>
        <v>9713.8346471091463</v>
      </c>
    </row>
    <row r="369" spans="1:14">
      <c r="C369" s="322">
        <f>C36</f>
        <v>9723.9372735583838</v>
      </c>
      <c r="D369" s="322">
        <f t="shared" ref="D369:N369" si="182">D36</f>
        <v>9730.713572541621</v>
      </c>
      <c r="E369" s="322">
        <f t="shared" si="182"/>
        <v>9795.7800392161698</v>
      </c>
      <c r="F369" s="322">
        <f t="shared" si="182"/>
        <v>9817.6475451427996</v>
      </c>
      <c r="G369" s="322">
        <f t="shared" si="182"/>
        <v>9802.422714787177</v>
      </c>
      <c r="H369" s="322">
        <f t="shared" si="182"/>
        <v>9744.7648783038912</v>
      </c>
      <c r="I369" s="322">
        <f t="shared" si="182"/>
        <v>9758.6780163501626</v>
      </c>
      <c r="J369" s="322">
        <f t="shared" si="182"/>
        <v>9803.3475100151809</v>
      </c>
      <c r="K369" s="322">
        <f t="shared" si="182"/>
        <v>9778.1954784920508</v>
      </c>
      <c r="L369" s="322">
        <f t="shared" si="182"/>
        <v>9717.0736890616008</v>
      </c>
      <c r="M369" s="322">
        <f t="shared" si="182"/>
        <v>9702.3721370678686</v>
      </c>
      <c r="N369" s="322">
        <f t="shared" si="182"/>
        <v>9713.8346471091481</v>
      </c>
    </row>
    <row r="370" spans="1:14">
      <c r="A370" s="302">
        <f>SUM(C370:L370)</f>
        <v>0</v>
      </c>
      <c r="C370" s="322">
        <f>C368-C369</f>
        <v>0</v>
      </c>
      <c r="D370" s="322">
        <f t="shared" ref="D370:N370" si="183">D368-D369</f>
        <v>0</v>
      </c>
      <c r="E370" s="322">
        <f t="shared" si="183"/>
        <v>0</v>
      </c>
      <c r="F370" s="322">
        <f t="shared" si="183"/>
        <v>0</v>
      </c>
      <c r="G370" s="322">
        <f t="shared" si="183"/>
        <v>0</v>
      </c>
      <c r="H370" s="322">
        <f t="shared" si="183"/>
        <v>0</v>
      </c>
      <c r="I370" s="322">
        <f t="shared" si="183"/>
        <v>0</v>
      </c>
      <c r="J370" s="322">
        <f t="shared" si="183"/>
        <v>0</v>
      </c>
      <c r="K370" s="322">
        <f t="shared" si="183"/>
        <v>0</v>
      </c>
      <c r="L370" s="322">
        <f t="shared" si="183"/>
        <v>0</v>
      </c>
      <c r="M370" s="322">
        <f t="shared" si="183"/>
        <v>0</v>
      </c>
      <c r="N370" s="322">
        <f t="shared" si="183"/>
        <v>0</v>
      </c>
    </row>
    <row r="371" spans="1:14">
      <c r="A371" s="302">
        <f>SUM(C371:L371)</f>
        <v>0</v>
      </c>
      <c r="C371" s="322">
        <f>IF(C294&gt;0,0,C294)</f>
        <v>0</v>
      </c>
      <c r="D371" s="322">
        <f t="shared" ref="D371:N371" si="184">IF(D294&gt;0,0,D294)</f>
        <v>0</v>
      </c>
      <c r="E371" s="322">
        <f t="shared" si="184"/>
        <v>0</v>
      </c>
      <c r="F371" s="322">
        <f t="shared" si="184"/>
        <v>0</v>
      </c>
      <c r="G371" s="322">
        <f t="shared" si="184"/>
        <v>0</v>
      </c>
      <c r="H371" s="322">
        <f t="shared" si="184"/>
        <v>0</v>
      </c>
      <c r="I371" s="322">
        <f t="shared" si="184"/>
        <v>0</v>
      </c>
      <c r="J371" s="322">
        <f t="shared" si="184"/>
        <v>0</v>
      </c>
      <c r="K371" s="322">
        <f t="shared" si="184"/>
        <v>0</v>
      </c>
      <c r="L371" s="322">
        <f t="shared" si="184"/>
        <v>0</v>
      </c>
      <c r="M371" s="322">
        <f t="shared" si="184"/>
        <v>0</v>
      </c>
      <c r="N371" s="322">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Q371"/>
  <sheetViews>
    <sheetView showGridLines="0" workbookViewId="0"/>
  </sheetViews>
  <sheetFormatPr defaultColWidth="9.140625" defaultRowHeight="12.75"/>
  <cols>
    <col min="1" max="1" width="9.140625" style="302"/>
    <col min="2" max="2" width="28.7109375" style="302" customWidth="1"/>
    <col min="3" max="16" width="10.7109375" style="302" customWidth="1"/>
    <col min="17"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274</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Forecast_stock_figures!B23</f>
        <v>Drama</v>
      </c>
      <c r="C15" s="300">
        <f>Forecast_stock_figures!C47</f>
        <v>4814.8210367519205</v>
      </c>
      <c r="D15" s="300">
        <f>Forecast_stock_figures!D47</f>
        <v>4794.803353271901</v>
      </c>
      <c r="E15" s="300">
        <f>Forecast_stock_figures!E47</f>
        <v>4785.8628625012416</v>
      </c>
      <c r="F15" s="300">
        <f>Forecast_stock_figures!F47</f>
        <v>4806.7824513610158</v>
      </c>
      <c r="G15" s="300">
        <f>Forecast_stock_figures!G47</f>
        <v>4815.2135337316658</v>
      </c>
      <c r="H15" s="300">
        <f>Forecast_stock_figures!H47</f>
        <v>4809.377669292955</v>
      </c>
      <c r="I15" s="300">
        <f>Forecast_stock_figures!I47</f>
        <v>4787.1443549504802</v>
      </c>
      <c r="J15" s="300">
        <f>Forecast_stock_figures!J47</f>
        <v>4799.1267567244358</v>
      </c>
      <c r="K15" s="300">
        <f>Forecast_stock_figures!K47</f>
        <v>4827.4090092019815</v>
      </c>
      <c r="L15" s="300">
        <f>Forecast_stock_figures!L47</f>
        <v>4821.6459302537714</v>
      </c>
      <c r="M15" s="300">
        <f>Forecast_stock_figures!M47</f>
        <v>4798.481226743882</v>
      </c>
      <c r="N15" s="300">
        <f>Forecast_stock_figures!N47</f>
        <v>4796.064068420972</v>
      </c>
    </row>
    <row r="17" spans="1:9" ht="15.75">
      <c r="B17" s="333" t="s">
        <v>162</v>
      </c>
    </row>
    <row r="19" spans="1:9">
      <c r="B19" s="1327" t="str">
        <f>Stock_ages_breakdowns!B73</f>
        <v>Age group</v>
      </c>
      <c r="C19" s="1328" t="str">
        <f>Stock_ages_breakdowns!Q73</f>
        <v>Drama</v>
      </c>
      <c r="D19" s="1329"/>
      <c r="H19" s="318" t="s">
        <v>133</v>
      </c>
    </row>
    <row r="20" spans="1:9">
      <c r="B20" s="1327"/>
      <c r="C20" s="356" t="str">
        <f>Stock_ages_breakdowns!Q74</f>
        <v>Male</v>
      </c>
      <c r="D20" s="356" t="str">
        <f>Stock_ages_breakdowns!R74</f>
        <v>Female</v>
      </c>
    </row>
    <row r="21" spans="1:9">
      <c r="B21" s="356" t="str">
        <f>Stock_ages_breakdowns!B75</f>
        <v>20-24</v>
      </c>
      <c r="C21" s="324">
        <f>Stock_ages_breakdowns!Q20</f>
        <v>33.019052557592673</v>
      </c>
      <c r="D21" s="324">
        <f>Stock_ages_breakdowns!R20</f>
        <v>150.29847135557381</v>
      </c>
    </row>
    <row r="22" spans="1:9">
      <c r="B22" s="356" t="str">
        <f>Stock_ages_breakdowns!B76</f>
        <v>25-29</v>
      </c>
      <c r="C22" s="324">
        <f>Stock_ages_breakdowns!Q21</f>
        <v>138.0508202481976</v>
      </c>
      <c r="D22" s="324">
        <f>Stock_ages_breakdowns!R21</f>
        <v>647.84295375059355</v>
      </c>
    </row>
    <row r="23" spans="1:9">
      <c r="B23" s="356" t="str">
        <f>Stock_ages_breakdowns!B77</f>
        <v>30-34</v>
      </c>
      <c r="C23" s="324">
        <f>Stock_ages_breakdowns!Q22</f>
        <v>197.24397456113488</v>
      </c>
      <c r="D23" s="324">
        <f>Stock_ages_breakdowns!R22</f>
        <v>909.73767827743507</v>
      </c>
    </row>
    <row r="24" spans="1:9">
      <c r="B24" s="356" t="str">
        <f>Stock_ages_breakdowns!B78</f>
        <v>35-39</v>
      </c>
      <c r="C24" s="324">
        <f>Stock_ages_breakdowns!Q23</f>
        <v>226.29758682457015</v>
      </c>
      <c r="D24" s="324">
        <f>Stock_ages_breakdowns!R23</f>
        <v>761.30465064443365</v>
      </c>
    </row>
    <row r="25" spans="1:9">
      <c r="B25" s="356" t="str">
        <f>Stock_ages_breakdowns!B79</f>
        <v>40-44</v>
      </c>
      <c r="C25" s="324">
        <f>Stock_ages_breakdowns!Q24</f>
        <v>156.67631265425638</v>
      </c>
      <c r="D25" s="324">
        <f>Stock_ages_breakdowns!R24</f>
        <v>507.92668977982356</v>
      </c>
    </row>
    <row r="26" spans="1:9">
      <c r="B26" s="356" t="str">
        <f>Stock_ages_breakdowns!B80</f>
        <v>45-49</v>
      </c>
      <c r="C26" s="324">
        <f>Stock_ages_breakdowns!Q25</f>
        <v>130.09798152082627</v>
      </c>
      <c r="D26" s="324">
        <f>Stock_ages_breakdowns!R25</f>
        <v>312.76873842905593</v>
      </c>
    </row>
    <row r="27" spans="1:9">
      <c r="B27" s="356" t="str">
        <f>Stock_ages_breakdowns!B81</f>
        <v>50-54</v>
      </c>
      <c r="C27" s="324">
        <f>Stock_ages_breakdowns!Q26</f>
        <v>116.35617886037841</v>
      </c>
      <c r="D27" s="324">
        <f>Stock_ages_breakdowns!R26</f>
        <v>230.87286452616024</v>
      </c>
    </row>
    <row r="28" spans="1:9">
      <c r="B28" s="356" t="str">
        <f>Stock_ages_breakdowns!B82</f>
        <v>55-59</v>
      </c>
      <c r="C28" s="324">
        <f>Stock_ages_breakdowns!Q27</f>
        <v>65.520092652897972</v>
      </c>
      <c r="D28" s="324">
        <f>Stock_ages_breakdowns!R27</f>
        <v>132.21095335639919</v>
      </c>
    </row>
    <row r="29" spans="1:9">
      <c r="B29" s="356" t="str">
        <f>Stock_ages_breakdowns!B83</f>
        <v>60-64</v>
      </c>
      <c r="C29" s="324">
        <f>Stock_ages_breakdowns!Q28</f>
        <v>29.469818808278859</v>
      </c>
      <c r="D29" s="324">
        <f>Stock_ages_breakdowns!R28</f>
        <v>55.899526878763169</v>
      </c>
      <c r="F29" s="318"/>
    </row>
    <row r="30" spans="1:9">
      <c r="B30" s="356" t="str">
        <f>Stock_ages_breakdowns!B84</f>
        <v>65 plus</v>
      </c>
      <c r="C30" s="324">
        <f>Stock_ages_breakdowns!Q29</f>
        <v>7.8190936985726678</v>
      </c>
      <c r="D30" s="324">
        <f>Stock_ages_breakdowns!R29</f>
        <v>5.4075973669768835</v>
      </c>
      <c r="G30" s="319" t="s">
        <v>46</v>
      </c>
      <c r="H30" s="319" t="s">
        <v>47</v>
      </c>
    </row>
    <row r="31" spans="1:9">
      <c r="A31" s="302">
        <f>I31</f>
        <v>0</v>
      </c>
      <c r="B31" s="356" t="str">
        <f>Stock_ages_breakdowns!B85</f>
        <v>Total</v>
      </c>
      <c r="C31" s="324">
        <f>Stock_ages_breakdowns!Q30</f>
        <v>1100.5509123867062</v>
      </c>
      <c r="D31" s="324">
        <f>Stock_ages_breakdowns!R30</f>
        <v>3714.2701243652145</v>
      </c>
      <c r="E31" s="320">
        <f>SUM(C31:D31)</f>
        <v>4814.8210367519205</v>
      </c>
      <c r="G31" s="359">
        <f>C31/$E$31</f>
        <v>0.22857566334991716</v>
      </c>
      <c r="H31" s="359">
        <f>D31/$E$31</f>
        <v>0.77142433665008292</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Drama</v>
      </c>
      <c r="C36" s="300">
        <f>Teacher_need_by_subject!C630</f>
        <v>4794.803353271901</v>
      </c>
      <c r="D36" s="300">
        <f>Teacher_need_by_subject!D630</f>
        <v>4785.8628625012416</v>
      </c>
      <c r="E36" s="300">
        <f>Teacher_need_by_subject!E630</f>
        <v>4806.7824513610158</v>
      </c>
      <c r="F36" s="300">
        <f>Teacher_need_by_subject!F630</f>
        <v>4815.2135337316658</v>
      </c>
      <c r="G36" s="300">
        <f>Teacher_need_by_subject!G630</f>
        <v>4809.377669292955</v>
      </c>
      <c r="H36" s="300">
        <f>Teacher_need_by_subject!H630</f>
        <v>4787.1443549504802</v>
      </c>
      <c r="I36" s="300">
        <f>Teacher_need_by_subject!I630</f>
        <v>4799.1267567244358</v>
      </c>
      <c r="J36" s="300">
        <f>Teacher_need_by_subject!J630</f>
        <v>4827.4090092019815</v>
      </c>
      <c r="K36" s="300">
        <f>Teacher_need_by_subject!K630</f>
        <v>4821.6459302537714</v>
      </c>
      <c r="L36" s="300">
        <f>Teacher_need_by_subject!L630</f>
        <v>4798.481226743882</v>
      </c>
      <c r="M36" s="300">
        <f>Teacher_need_by_subject!M630</f>
        <v>4796.064068420972</v>
      </c>
      <c r="N36" s="300">
        <f>Teacher_need_by_subject!N630</f>
        <v>4804.5450930303432</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33.019052557592673</v>
      </c>
      <c r="D43" s="300">
        <f>C340</f>
        <v>50.69053277775771</v>
      </c>
      <c r="E43" s="300">
        <f t="shared" ref="E43:L43" si="2">D340</f>
        <v>63.751927303721516</v>
      </c>
      <c r="F43" s="300">
        <f t="shared" si="2"/>
        <v>74.986666251371418</v>
      </c>
      <c r="G43" s="300">
        <f t="shared" si="2"/>
        <v>82.648759474281832</v>
      </c>
      <c r="H43" s="300">
        <f t="shared" si="2"/>
        <v>87.369528611637918</v>
      </c>
      <c r="I43" s="300">
        <f t="shared" si="2"/>
        <v>89.816561489811036</v>
      </c>
      <c r="J43" s="300">
        <f t="shared" si="2"/>
        <v>93.53678538184252</v>
      </c>
      <c r="K43" s="300">
        <f t="shared" si="2"/>
        <v>97.324058835480088</v>
      </c>
      <c r="L43" s="300">
        <f t="shared" si="2"/>
        <v>98.300512903953688</v>
      </c>
      <c r="M43" s="300">
        <f>L340</f>
        <v>98.043231554927985</v>
      </c>
      <c r="N43" s="300">
        <f>M340</f>
        <v>99.032756441760114</v>
      </c>
    </row>
    <row r="44" spans="2:14">
      <c r="B44" s="356" t="str">
        <f t="shared" ref="B44:C53" si="3">B22</f>
        <v>25-29</v>
      </c>
      <c r="C44" s="300">
        <f t="shared" si="3"/>
        <v>138.0508202481976</v>
      </c>
      <c r="D44" s="300">
        <f t="shared" ref="D44:K53" si="4">C341</f>
        <v>133.85693834871549</v>
      </c>
      <c r="E44" s="300">
        <f t="shared" si="4"/>
        <v>134.91071617236904</v>
      </c>
      <c r="F44" s="300">
        <f t="shared" si="4"/>
        <v>139.91685337672169</v>
      </c>
      <c r="G44" s="300">
        <f t="shared" si="4"/>
        <v>145.42542934548251</v>
      </c>
      <c r="H44" s="300">
        <f t="shared" si="4"/>
        <v>150.11716328448941</v>
      </c>
      <c r="I44" s="300">
        <f t="shared" si="4"/>
        <v>153.47684436887454</v>
      </c>
      <c r="J44" s="300">
        <f t="shared" si="4"/>
        <v>158.39312672415991</v>
      </c>
      <c r="K44" s="300">
        <f t="shared" si="4"/>
        <v>163.82125542075718</v>
      </c>
      <c r="L44" s="300">
        <f t="shared" ref="L44:L53" si="5">K341</f>
        <v>166.71490541606252</v>
      </c>
      <c r="M44" s="300">
        <f t="shared" ref="M44:M53" si="6">L341</f>
        <v>168.02371443999971</v>
      </c>
      <c r="N44" s="300">
        <f t="shared" ref="N44:N53" si="7">M341</f>
        <v>170.12017605618263</v>
      </c>
    </row>
    <row r="45" spans="2:14">
      <c r="B45" s="356" t="str">
        <f t="shared" si="3"/>
        <v>30-34</v>
      </c>
      <c r="C45" s="300">
        <f t="shared" si="3"/>
        <v>197.24397456113488</v>
      </c>
      <c r="D45" s="300">
        <f t="shared" si="4"/>
        <v>186.10702576093948</v>
      </c>
      <c r="E45" s="300">
        <f t="shared" si="4"/>
        <v>177.74525296001082</v>
      </c>
      <c r="F45" s="300">
        <f t="shared" si="4"/>
        <v>172.41622159536436</v>
      </c>
      <c r="G45" s="300">
        <f t="shared" si="4"/>
        <v>169.42460058247886</v>
      </c>
      <c r="H45" s="300">
        <f t="shared" si="4"/>
        <v>167.88271206842788</v>
      </c>
      <c r="I45" s="300">
        <f t="shared" si="4"/>
        <v>167.16424465200461</v>
      </c>
      <c r="J45" s="300">
        <f t="shared" si="4"/>
        <v>168.26743893567101</v>
      </c>
      <c r="K45" s="300">
        <f t="shared" si="4"/>
        <v>170.59492771229023</v>
      </c>
      <c r="L45" s="300">
        <f t="shared" si="5"/>
        <v>172.4794285159534</v>
      </c>
      <c r="M45" s="300">
        <f t="shared" si="6"/>
        <v>173.94059030078361</v>
      </c>
      <c r="N45" s="300">
        <f t="shared" si="7"/>
        <v>175.86443532250647</v>
      </c>
    </row>
    <row r="46" spans="2:14">
      <c r="B46" s="356" t="str">
        <f t="shared" si="3"/>
        <v>35-39</v>
      </c>
      <c r="C46" s="300">
        <f t="shared" si="3"/>
        <v>226.29758682457015</v>
      </c>
      <c r="D46" s="300">
        <f t="shared" si="4"/>
        <v>215.07180605976635</v>
      </c>
      <c r="E46" s="300">
        <f t="shared" si="4"/>
        <v>205.38078359342964</v>
      </c>
      <c r="F46" s="300">
        <f t="shared" si="4"/>
        <v>196.94325502548804</v>
      </c>
      <c r="G46" s="300">
        <f t="shared" si="4"/>
        <v>189.80642567228679</v>
      </c>
      <c r="H46" s="300">
        <f t="shared" si="4"/>
        <v>183.68857468735197</v>
      </c>
      <c r="I46" s="300">
        <f t="shared" si="4"/>
        <v>178.52119872363548</v>
      </c>
      <c r="J46" s="300">
        <f t="shared" si="4"/>
        <v>175.29960700049236</v>
      </c>
      <c r="K46" s="300">
        <f t="shared" si="4"/>
        <v>173.55046791644014</v>
      </c>
      <c r="L46" s="300">
        <f t="shared" si="5"/>
        <v>172.04405790742223</v>
      </c>
      <c r="M46" s="300">
        <f t="shared" si="6"/>
        <v>170.91720527536671</v>
      </c>
      <c r="N46" s="300">
        <f t="shared" si="7"/>
        <v>170.79317463891664</v>
      </c>
    </row>
    <row r="47" spans="2:14">
      <c r="B47" s="356" t="str">
        <f t="shared" si="3"/>
        <v>40-44</v>
      </c>
      <c r="C47" s="300">
        <f t="shared" si="3"/>
        <v>156.67631265425638</v>
      </c>
      <c r="D47" s="300">
        <f t="shared" si="4"/>
        <v>165.92972761928635</v>
      </c>
      <c r="E47" s="300">
        <f t="shared" si="4"/>
        <v>171.32584687081834</v>
      </c>
      <c r="F47" s="300">
        <f t="shared" si="4"/>
        <v>173.74555897416661</v>
      </c>
      <c r="G47" s="300">
        <f t="shared" si="4"/>
        <v>174.1186317548148</v>
      </c>
      <c r="H47" s="300">
        <f t="shared" si="4"/>
        <v>172.8597918772758</v>
      </c>
      <c r="I47" s="300">
        <f t="shared" si="4"/>
        <v>170.51941452753277</v>
      </c>
      <c r="J47" s="300">
        <f t="shared" si="4"/>
        <v>168.48975058731102</v>
      </c>
      <c r="K47" s="300">
        <f t="shared" si="4"/>
        <v>166.77869787261301</v>
      </c>
      <c r="L47" s="300">
        <f t="shared" si="5"/>
        <v>164.64608435052003</v>
      </c>
      <c r="M47" s="300">
        <f t="shared" si="6"/>
        <v>162.48916264608062</v>
      </c>
      <c r="N47" s="300">
        <f t="shared" si="7"/>
        <v>161.07104496161836</v>
      </c>
    </row>
    <row r="48" spans="2:14">
      <c r="B48" s="356" t="str">
        <f t="shared" si="3"/>
        <v>45-49</v>
      </c>
      <c r="C48" s="300">
        <f t="shared" si="3"/>
        <v>130.09798152082627</v>
      </c>
      <c r="D48" s="300">
        <f t="shared" si="4"/>
        <v>130.81858083402642</v>
      </c>
      <c r="E48" s="300">
        <f t="shared" si="4"/>
        <v>133.57830904621781</v>
      </c>
      <c r="F48" s="300">
        <f t="shared" si="4"/>
        <v>136.74458903242672</v>
      </c>
      <c r="G48" s="300">
        <f t="shared" si="4"/>
        <v>139.6327445788657</v>
      </c>
      <c r="H48" s="300">
        <f t="shared" si="4"/>
        <v>141.63791853585749</v>
      </c>
      <c r="I48" s="300">
        <f t="shared" si="4"/>
        <v>142.64542038283616</v>
      </c>
      <c r="J48" s="300">
        <f t="shared" si="4"/>
        <v>143.47729298079631</v>
      </c>
      <c r="K48" s="300">
        <f t="shared" si="4"/>
        <v>144.0205202153588</v>
      </c>
      <c r="L48" s="300">
        <f t="shared" si="5"/>
        <v>143.66288492309766</v>
      </c>
      <c r="M48" s="300">
        <f t="shared" si="6"/>
        <v>142.76399992789072</v>
      </c>
      <c r="N48" s="300">
        <f t="shared" si="7"/>
        <v>142.01827073184376</v>
      </c>
    </row>
    <row r="49" spans="1:14">
      <c r="B49" s="356" t="str">
        <f t="shared" si="3"/>
        <v>50-54</v>
      </c>
      <c r="C49" s="300">
        <f t="shared" si="3"/>
        <v>116.35617886037841</v>
      </c>
      <c r="D49" s="300">
        <f t="shared" si="4"/>
        <v>110.72652436704075</v>
      </c>
      <c r="E49" s="300">
        <f t="shared" si="4"/>
        <v>107.31276380161984</v>
      </c>
      <c r="F49" s="300">
        <f t="shared" si="4"/>
        <v>105.46628095360187</v>
      </c>
      <c r="G49" s="300">
        <f t="shared" si="4"/>
        <v>104.82790946125417</v>
      </c>
      <c r="H49" s="300">
        <f t="shared" si="4"/>
        <v>104.7568527777004</v>
      </c>
      <c r="I49" s="300">
        <f t="shared" si="4"/>
        <v>104.89212003963851</v>
      </c>
      <c r="J49" s="300">
        <f t="shared" si="4"/>
        <v>105.55409914730538</v>
      </c>
      <c r="K49" s="300">
        <f t="shared" si="4"/>
        <v>106.39767517342739</v>
      </c>
      <c r="L49" s="300">
        <f t="shared" si="5"/>
        <v>106.76461069047518</v>
      </c>
      <c r="M49" s="300">
        <f t="shared" si="6"/>
        <v>106.77824099753614</v>
      </c>
      <c r="N49" s="300">
        <f t="shared" si="7"/>
        <v>106.85555915956436</v>
      </c>
    </row>
    <row r="50" spans="1:14">
      <c r="B50" s="356" t="str">
        <f t="shared" si="3"/>
        <v>55-59</v>
      </c>
      <c r="C50" s="300">
        <f t="shared" si="3"/>
        <v>65.520092652897972</v>
      </c>
      <c r="D50" s="300">
        <f t="shared" si="4"/>
        <v>60.396458082747692</v>
      </c>
      <c r="E50" s="300">
        <f t="shared" si="4"/>
        <v>56.654295633042331</v>
      </c>
      <c r="F50" s="300">
        <f t="shared" si="4"/>
        <v>54.041326947889281</v>
      </c>
      <c r="G50" s="300">
        <f t="shared" si="4"/>
        <v>52.206643862504997</v>
      </c>
      <c r="H50" s="300">
        <f t="shared" si="4"/>
        <v>50.920413539897247</v>
      </c>
      <c r="I50" s="300">
        <f t="shared" si="4"/>
        <v>50.024572224699043</v>
      </c>
      <c r="J50" s="300">
        <f t="shared" si="4"/>
        <v>49.756216855939805</v>
      </c>
      <c r="K50" s="300">
        <f t="shared" si="4"/>
        <v>49.841119927135985</v>
      </c>
      <c r="L50" s="300">
        <f t="shared" si="5"/>
        <v>49.807049276353069</v>
      </c>
      <c r="M50" s="300">
        <f t="shared" si="6"/>
        <v>49.723080006407748</v>
      </c>
      <c r="N50" s="300">
        <f t="shared" si="7"/>
        <v>49.821659760424261</v>
      </c>
    </row>
    <row r="51" spans="1:14">
      <c r="B51" s="356" t="str">
        <f t="shared" si="3"/>
        <v>60-64</v>
      </c>
      <c r="C51" s="300">
        <f t="shared" si="3"/>
        <v>29.469818808278859</v>
      </c>
      <c r="D51" s="300">
        <f t="shared" si="4"/>
        <v>25.210799792916355</v>
      </c>
      <c r="E51" s="300">
        <f t="shared" si="4"/>
        <v>22.470846308906431</v>
      </c>
      <c r="F51" s="300">
        <f t="shared" si="4"/>
        <v>20.672101969519076</v>
      </c>
      <c r="G51" s="300">
        <f t="shared" si="4"/>
        <v>19.422653025888057</v>
      </c>
      <c r="H51" s="300">
        <f t="shared" si="4"/>
        <v>18.504656097819971</v>
      </c>
      <c r="I51" s="300">
        <f t="shared" si="4"/>
        <v>17.813621224031571</v>
      </c>
      <c r="J51" s="300">
        <f t="shared" si="4"/>
        <v>17.47300736051054</v>
      </c>
      <c r="K51" s="300">
        <f t="shared" si="4"/>
        <v>17.339088538828054</v>
      </c>
      <c r="L51" s="300">
        <f t="shared" si="5"/>
        <v>17.173092859735693</v>
      </c>
      <c r="M51" s="300">
        <f t="shared" si="6"/>
        <v>17.023164890934183</v>
      </c>
      <c r="N51" s="300">
        <f t="shared" si="7"/>
        <v>17.010648714358148</v>
      </c>
    </row>
    <row r="52" spans="1:14">
      <c r="B52" s="356" t="str">
        <f t="shared" si="3"/>
        <v>65 plus</v>
      </c>
      <c r="C52" s="300">
        <f t="shared" si="3"/>
        <v>7.8190936985726678</v>
      </c>
      <c r="D52" s="300">
        <f t="shared" si="4"/>
        <v>8.76584723767626</v>
      </c>
      <c r="E52" s="300">
        <f t="shared" si="4"/>
        <v>8.8779799814643336</v>
      </c>
      <c r="F52" s="300">
        <f t="shared" si="4"/>
        <v>8.6133677920045155</v>
      </c>
      <c r="G52" s="300">
        <f t="shared" si="4"/>
        <v>8.25357858533547</v>
      </c>
      <c r="H52" s="300">
        <f t="shared" si="4"/>
        <v>7.8734324106186833</v>
      </c>
      <c r="I52" s="300">
        <f t="shared" si="4"/>
        <v>7.5170232723813548</v>
      </c>
      <c r="J52" s="300">
        <f t="shared" si="4"/>
        <v>7.2577029805174984</v>
      </c>
      <c r="K52" s="300">
        <f t="shared" si="4"/>
        <v>7.0830595416927791</v>
      </c>
      <c r="L52" s="300">
        <f t="shared" si="5"/>
        <v>6.929151735346271</v>
      </c>
      <c r="M52" s="300">
        <f t="shared" si="6"/>
        <v>6.7982401861467343</v>
      </c>
      <c r="N52" s="300">
        <f t="shared" si="7"/>
        <v>6.7239334499602643</v>
      </c>
    </row>
    <row r="53" spans="1:14">
      <c r="B53" s="356" t="str">
        <f t="shared" si="3"/>
        <v>Total</v>
      </c>
      <c r="C53" s="300">
        <f t="shared" si="3"/>
        <v>1100.5509123867062</v>
      </c>
      <c r="D53" s="300">
        <f t="shared" si="4"/>
        <v>1087.5742408808728</v>
      </c>
      <c r="E53" s="300">
        <f t="shared" si="4"/>
        <v>1082.0087216715999</v>
      </c>
      <c r="F53" s="300">
        <f t="shared" si="4"/>
        <v>1083.5462219185536</v>
      </c>
      <c r="G53" s="300">
        <f t="shared" si="4"/>
        <v>1085.7673763431933</v>
      </c>
      <c r="H53" s="300">
        <f t="shared" si="4"/>
        <v>1085.6110438910766</v>
      </c>
      <c r="I53" s="300">
        <f t="shared" si="4"/>
        <v>1082.391020905445</v>
      </c>
      <c r="J53" s="300">
        <f t="shared" si="4"/>
        <v>1087.5050279545462</v>
      </c>
      <c r="K53" s="300">
        <f t="shared" si="4"/>
        <v>1096.7508711540236</v>
      </c>
      <c r="L53" s="300">
        <f t="shared" si="5"/>
        <v>1098.52177857892</v>
      </c>
      <c r="M53" s="300">
        <f t="shared" si="6"/>
        <v>1096.500630226074</v>
      </c>
      <c r="N53" s="300">
        <f t="shared" si="7"/>
        <v>1099.3116592371348</v>
      </c>
    </row>
    <row r="54" spans="1:14">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4">
      <c r="B56" s="334" t="s">
        <v>47</v>
      </c>
      <c r="H56" s="318"/>
    </row>
    <row r="57" spans="1:14">
      <c r="H57" s="318"/>
    </row>
    <row r="58" spans="1:14">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4">
      <c r="B59" s="331" t="str">
        <f t="shared" si="9"/>
        <v>20-24</v>
      </c>
      <c r="C59" s="300">
        <f t="shared" ref="C59:C69" si="11">D21</f>
        <v>150.29847135557381</v>
      </c>
      <c r="D59" s="300">
        <f>C356</f>
        <v>199.04817289352061</v>
      </c>
      <c r="E59" s="300">
        <f t="shared" ref="E59:L59" si="12">D356</f>
        <v>235.01291455440509</v>
      </c>
      <c r="F59" s="300">
        <f t="shared" si="12"/>
        <v>267.61937360942568</v>
      </c>
      <c r="G59" s="300">
        <f t="shared" si="12"/>
        <v>289.04102182815564</v>
      </c>
      <c r="H59" s="300">
        <f t="shared" si="12"/>
        <v>301.83954183632767</v>
      </c>
      <c r="I59" s="300">
        <f t="shared" si="12"/>
        <v>307.88614379692439</v>
      </c>
      <c r="J59" s="300">
        <f t="shared" si="12"/>
        <v>318.88174110061709</v>
      </c>
      <c r="K59" s="300">
        <f t="shared" si="12"/>
        <v>330.56020170023078</v>
      </c>
      <c r="L59" s="300">
        <f t="shared" si="12"/>
        <v>333.07341450802232</v>
      </c>
      <c r="M59" s="300">
        <f>L356</f>
        <v>331.65329280426511</v>
      </c>
      <c r="N59" s="300">
        <f>M356</f>
        <v>334.60513949998989</v>
      </c>
    </row>
    <row r="60" spans="1:14">
      <c r="B60" s="331" t="str">
        <f t="shared" si="9"/>
        <v>25-29</v>
      </c>
      <c r="C60" s="300">
        <f t="shared" si="11"/>
        <v>647.84295375059355</v>
      </c>
      <c r="D60" s="300">
        <f t="shared" ref="D60:K69" si="13">C357</f>
        <v>592.00479642502683</v>
      </c>
      <c r="E60" s="300">
        <f t="shared" si="13"/>
        <v>561.74408682688625</v>
      </c>
      <c r="F60" s="300">
        <f t="shared" si="13"/>
        <v>553.28267772695608</v>
      </c>
      <c r="G60" s="300">
        <f t="shared" si="13"/>
        <v>551.20134771176777</v>
      </c>
      <c r="H60" s="300">
        <f t="shared" si="13"/>
        <v>551.25169895103727</v>
      </c>
      <c r="I60" s="300">
        <f t="shared" si="13"/>
        <v>550.58383572356786</v>
      </c>
      <c r="J60" s="300">
        <f t="shared" si="13"/>
        <v>558.07638782083757</v>
      </c>
      <c r="K60" s="300">
        <f t="shared" si="13"/>
        <v>569.50574171699827</v>
      </c>
      <c r="L60" s="300">
        <f t="shared" ref="L60:L69" si="14">K357</f>
        <v>574.05822242508759</v>
      </c>
      <c r="M60" s="300">
        <f t="shared" ref="M60:M69" si="15">L357</f>
        <v>574.54904623124594</v>
      </c>
      <c r="N60" s="300">
        <f t="shared" ref="N60:N69" si="16">M357</f>
        <v>578.68004742594292</v>
      </c>
    </row>
    <row r="61" spans="1:14">
      <c r="B61" s="331" t="str">
        <f t="shared" si="9"/>
        <v>30-34</v>
      </c>
      <c r="C61" s="300">
        <f t="shared" si="11"/>
        <v>909.73767827743507</v>
      </c>
      <c r="D61" s="300">
        <f t="shared" si="13"/>
        <v>835.56120605435342</v>
      </c>
      <c r="E61" s="300">
        <f t="shared" si="13"/>
        <v>771.21958428024345</v>
      </c>
      <c r="F61" s="300">
        <f t="shared" si="13"/>
        <v>721.20058638491105</v>
      </c>
      <c r="G61" s="300">
        <f t="shared" si="13"/>
        <v>681.57069400540649</v>
      </c>
      <c r="H61" s="300">
        <f t="shared" si="13"/>
        <v>650.9697023696541</v>
      </c>
      <c r="I61" s="300">
        <f t="shared" si="13"/>
        <v>627.03434823584109</v>
      </c>
      <c r="J61" s="300">
        <f t="shared" si="13"/>
        <v>612.7733329861843</v>
      </c>
      <c r="K61" s="300">
        <f t="shared" si="13"/>
        <v>605.68636454759019</v>
      </c>
      <c r="L61" s="300">
        <f t="shared" si="14"/>
        <v>599.69350214973576</v>
      </c>
      <c r="M61" s="300">
        <f t="shared" si="15"/>
        <v>594.51632975227346</v>
      </c>
      <c r="N61" s="300">
        <f t="shared" si="16"/>
        <v>592.81175142195298</v>
      </c>
    </row>
    <row r="62" spans="1:14">
      <c r="B62" s="331" t="str">
        <f t="shared" si="9"/>
        <v>35-39</v>
      </c>
      <c r="C62" s="300">
        <f t="shared" si="11"/>
        <v>761.30465064443365</v>
      </c>
      <c r="D62" s="300">
        <f t="shared" si="13"/>
        <v>763.83077417926154</v>
      </c>
      <c r="E62" s="300">
        <f t="shared" si="13"/>
        <v>752.3327299046548</v>
      </c>
      <c r="F62" s="300">
        <f t="shared" si="13"/>
        <v>733.88787713595013</v>
      </c>
      <c r="G62" s="300">
        <f t="shared" si="13"/>
        <v>709.90681627439562</v>
      </c>
      <c r="H62" s="300">
        <f t="shared" si="13"/>
        <v>684.14540018761909</v>
      </c>
      <c r="I62" s="300">
        <f t="shared" si="13"/>
        <v>658.47501222272319</v>
      </c>
      <c r="J62" s="300">
        <f t="shared" si="13"/>
        <v>637.760731502662</v>
      </c>
      <c r="K62" s="300">
        <f t="shared" si="13"/>
        <v>621.40862092571206</v>
      </c>
      <c r="L62" s="300">
        <f t="shared" si="14"/>
        <v>605.93547933889533</v>
      </c>
      <c r="M62" s="300">
        <f t="shared" si="15"/>
        <v>592.25899758294679</v>
      </c>
      <c r="N62" s="300">
        <f t="shared" si="16"/>
        <v>582.7501314576632</v>
      </c>
    </row>
    <row r="63" spans="1:14">
      <c r="B63" s="331" t="str">
        <f t="shared" si="9"/>
        <v>40-44</v>
      </c>
      <c r="C63" s="300">
        <f t="shared" si="11"/>
        <v>507.92668977982356</v>
      </c>
      <c r="D63" s="300">
        <f t="shared" si="13"/>
        <v>544.19222704462743</v>
      </c>
      <c r="E63" s="300">
        <f t="shared" si="13"/>
        <v>571.64917081358203</v>
      </c>
      <c r="F63" s="300">
        <f t="shared" si="13"/>
        <v>591.3991403122767</v>
      </c>
      <c r="G63" s="300">
        <f t="shared" si="13"/>
        <v>601.48549142088598</v>
      </c>
      <c r="H63" s="300">
        <f t="shared" si="13"/>
        <v>603.75160681146872</v>
      </c>
      <c r="I63" s="300">
        <f t="shared" si="13"/>
        <v>599.72805098999231</v>
      </c>
      <c r="J63" s="300">
        <f t="shared" si="13"/>
        <v>594.2533597035623</v>
      </c>
      <c r="K63" s="300">
        <f t="shared" si="13"/>
        <v>587.71446729525451</v>
      </c>
      <c r="L63" s="300">
        <f t="shared" si="14"/>
        <v>578.06320335358225</v>
      </c>
      <c r="M63" s="300">
        <f t="shared" si="15"/>
        <v>567.10478065176119</v>
      </c>
      <c r="N63" s="300">
        <f t="shared" si="16"/>
        <v>557.83434453009386</v>
      </c>
    </row>
    <row r="64" spans="1:14">
      <c r="B64" s="331" t="str">
        <f t="shared" si="9"/>
        <v>45-49</v>
      </c>
      <c r="C64" s="300">
        <f t="shared" si="11"/>
        <v>312.76873842905593</v>
      </c>
      <c r="D64" s="300">
        <f t="shared" si="13"/>
        <v>344.4815327880641</v>
      </c>
      <c r="E64" s="300">
        <f t="shared" si="13"/>
        <v>374.42672650446804</v>
      </c>
      <c r="F64" s="300">
        <f t="shared" si="13"/>
        <v>402.58847791910927</v>
      </c>
      <c r="G64" s="300">
        <f t="shared" si="13"/>
        <v>425.80809337260746</v>
      </c>
      <c r="H64" s="300">
        <f t="shared" si="13"/>
        <v>443.89342484925783</v>
      </c>
      <c r="I64" s="300">
        <f t="shared" si="13"/>
        <v>456.65467901526961</v>
      </c>
      <c r="J64" s="300">
        <f t="shared" si="13"/>
        <v>466.94957617487847</v>
      </c>
      <c r="K64" s="300">
        <f t="shared" si="13"/>
        <v>474.4591841503555</v>
      </c>
      <c r="L64" s="300">
        <f t="shared" si="14"/>
        <v>477.23024337929428</v>
      </c>
      <c r="M64" s="300">
        <f t="shared" si="15"/>
        <v>476.65590580864057</v>
      </c>
      <c r="N64" s="300">
        <f t="shared" si="16"/>
        <v>475.28507646755179</v>
      </c>
    </row>
    <row r="65" spans="1:14">
      <c r="B65" s="331" t="str">
        <f t="shared" si="9"/>
        <v>50-54</v>
      </c>
      <c r="C65" s="300">
        <f t="shared" si="11"/>
        <v>230.87286452616024</v>
      </c>
      <c r="D65" s="300">
        <f t="shared" si="13"/>
        <v>237.1709225342708</v>
      </c>
      <c r="E65" s="300">
        <f t="shared" si="13"/>
        <v>247.45993840452581</v>
      </c>
      <c r="F65" s="300">
        <f t="shared" si="13"/>
        <v>261.13126984243229</v>
      </c>
      <c r="G65" s="300">
        <f t="shared" si="13"/>
        <v>275.21935387376811</v>
      </c>
      <c r="H65" s="300">
        <f t="shared" si="13"/>
        <v>288.83780631787027</v>
      </c>
      <c r="I65" s="300">
        <f t="shared" si="13"/>
        <v>301.0841223057655</v>
      </c>
      <c r="J65" s="300">
        <f t="shared" si="13"/>
        <v>313.30084902499129</v>
      </c>
      <c r="K65" s="300">
        <f t="shared" si="13"/>
        <v>324.51827019115194</v>
      </c>
      <c r="L65" s="300">
        <f t="shared" si="14"/>
        <v>332.66683866806756</v>
      </c>
      <c r="M65" s="300">
        <f t="shared" si="15"/>
        <v>338.29685029624</v>
      </c>
      <c r="N65" s="300">
        <f t="shared" si="16"/>
        <v>342.94030308358293</v>
      </c>
    </row>
    <row r="66" spans="1:14">
      <c r="B66" s="331" t="str">
        <f t="shared" si="9"/>
        <v>55-59</v>
      </c>
      <c r="C66" s="300">
        <f t="shared" si="11"/>
        <v>132.21095335639919</v>
      </c>
      <c r="D66" s="300">
        <f t="shared" si="13"/>
        <v>127.05707146472129</v>
      </c>
      <c r="E66" s="300">
        <f t="shared" si="13"/>
        <v>125.04129560583515</v>
      </c>
      <c r="F66" s="300">
        <f t="shared" si="13"/>
        <v>126.18435671558905</v>
      </c>
      <c r="G66" s="300">
        <f t="shared" si="13"/>
        <v>128.67835064710346</v>
      </c>
      <c r="H66" s="300">
        <f t="shared" si="13"/>
        <v>132.03824522700586</v>
      </c>
      <c r="I66" s="300">
        <f t="shared" si="13"/>
        <v>135.76536595202961</v>
      </c>
      <c r="J66" s="300">
        <f t="shared" si="13"/>
        <v>140.72603105138003</v>
      </c>
      <c r="K66" s="300">
        <f t="shared" si="13"/>
        <v>146.07793402144486</v>
      </c>
      <c r="L66" s="300">
        <f t="shared" si="14"/>
        <v>150.30324708837867</v>
      </c>
      <c r="M66" s="300">
        <f t="shared" si="15"/>
        <v>153.69699496125625</v>
      </c>
      <c r="N66" s="300">
        <f t="shared" si="16"/>
        <v>157.10259678142813</v>
      </c>
    </row>
    <row r="67" spans="1:14">
      <c r="B67" s="331" t="str">
        <f t="shared" si="9"/>
        <v>60-64</v>
      </c>
      <c r="C67" s="300">
        <f t="shared" si="11"/>
        <v>55.899526878763169</v>
      </c>
      <c r="D67" s="300">
        <f t="shared" si="13"/>
        <v>51.506592665190304</v>
      </c>
      <c r="E67" s="300">
        <f t="shared" si="13"/>
        <v>48.683751519500113</v>
      </c>
      <c r="F67" s="300">
        <f t="shared" si="13"/>
        <v>47.413399130323178</v>
      </c>
      <c r="G67" s="300">
        <f t="shared" si="13"/>
        <v>46.790524507400796</v>
      </c>
      <c r="H67" s="300">
        <f t="shared" si="13"/>
        <v>46.645402578025205</v>
      </c>
      <c r="I67" s="300">
        <f t="shared" si="13"/>
        <v>46.810866071534733</v>
      </c>
      <c r="J67" s="300">
        <f t="shared" si="13"/>
        <v>47.803453672313417</v>
      </c>
      <c r="K67" s="300">
        <f t="shared" si="13"/>
        <v>49.196673391377153</v>
      </c>
      <c r="L67" s="300">
        <f t="shared" si="14"/>
        <v>50.226257473177064</v>
      </c>
      <c r="M67" s="300">
        <f t="shared" si="15"/>
        <v>51.08734549750482</v>
      </c>
      <c r="N67" s="300">
        <f t="shared" si="16"/>
        <v>52.213730423966048</v>
      </c>
    </row>
    <row r="68" spans="1:14">
      <c r="B68" s="331" t="str">
        <f t="shared" si="9"/>
        <v>65 plus</v>
      </c>
      <c r="C68" s="300">
        <f t="shared" si="11"/>
        <v>5.4075973669768835</v>
      </c>
      <c r="D68" s="300">
        <f t="shared" si="13"/>
        <v>12.375816341991941</v>
      </c>
      <c r="E68" s="300">
        <f t="shared" si="13"/>
        <v>16.283942415541134</v>
      </c>
      <c r="F68" s="300">
        <f t="shared" si="13"/>
        <v>18.529070665489161</v>
      </c>
      <c r="G68" s="300">
        <f t="shared" si="13"/>
        <v>19.744463746981857</v>
      </c>
      <c r="H68" s="300">
        <f t="shared" si="13"/>
        <v>20.393796273612768</v>
      </c>
      <c r="I68" s="300">
        <f t="shared" si="13"/>
        <v>20.730909731387321</v>
      </c>
      <c r="J68" s="300">
        <f t="shared" si="13"/>
        <v>21.096265732463763</v>
      </c>
      <c r="K68" s="300">
        <f t="shared" si="13"/>
        <v>21.530680107843281</v>
      </c>
      <c r="L68" s="300">
        <f t="shared" si="14"/>
        <v>21.873743290611554</v>
      </c>
      <c r="M68" s="300">
        <f t="shared" si="15"/>
        <v>22.161052931674725</v>
      </c>
      <c r="N68" s="300">
        <f t="shared" si="16"/>
        <v>22.529288091666334</v>
      </c>
    </row>
    <row r="69" spans="1:14">
      <c r="B69" s="331" t="str">
        <f t="shared" si="9"/>
        <v>Total</v>
      </c>
      <c r="C69" s="300">
        <f t="shared" si="11"/>
        <v>3714.2701243652145</v>
      </c>
      <c r="D69" s="300">
        <f t="shared" si="13"/>
        <v>3707.2291123910286</v>
      </c>
      <c r="E69" s="300">
        <f t="shared" si="13"/>
        <v>3703.8541408296428</v>
      </c>
      <c r="F69" s="300">
        <f t="shared" si="13"/>
        <v>3723.2362294424624</v>
      </c>
      <c r="G69" s="300">
        <f t="shared" si="13"/>
        <v>3729.4461573884723</v>
      </c>
      <c r="H69" s="300">
        <f t="shared" si="13"/>
        <v>3723.7666254018791</v>
      </c>
      <c r="I69" s="300">
        <f t="shared" si="13"/>
        <v>3704.7533340450359</v>
      </c>
      <c r="J69" s="300">
        <f t="shared" si="13"/>
        <v>3711.6217287698905</v>
      </c>
      <c r="K69" s="300">
        <f t="shared" si="13"/>
        <v>3730.6581380479588</v>
      </c>
      <c r="L69" s="300">
        <f t="shared" si="14"/>
        <v>3723.1241516748523</v>
      </c>
      <c r="M69" s="300">
        <f t="shared" si="15"/>
        <v>3701.9805965178089</v>
      </c>
      <c r="N69" s="300">
        <f t="shared" si="16"/>
        <v>3696.7524091838377</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26.415242046074138</v>
      </c>
      <c r="D77" s="447">
        <f>D43-(0.2*D43)</f>
        <v>40.552426222206165</v>
      </c>
      <c r="E77" s="447">
        <f t="shared" ref="E77:N77" si="20">E43-(0.2*E43)</f>
        <v>51.001541842977211</v>
      </c>
      <c r="F77" s="447">
        <f t="shared" si="20"/>
        <v>59.989333001097137</v>
      </c>
      <c r="G77" s="447">
        <f t="shared" si="20"/>
        <v>66.119007579425471</v>
      </c>
      <c r="H77" s="447">
        <f t="shared" si="20"/>
        <v>69.895622889310332</v>
      </c>
      <c r="I77" s="447">
        <f t="shared" si="20"/>
        <v>71.853249191848832</v>
      </c>
      <c r="J77" s="447">
        <f t="shared" si="20"/>
        <v>74.829428305474011</v>
      </c>
      <c r="K77" s="447">
        <f t="shared" si="20"/>
        <v>77.859247068384065</v>
      </c>
      <c r="L77" s="447">
        <f t="shared" si="20"/>
        <v>78.640410323162953</v>
      </c>
      <c r="M77" s="447">
        <f t="shared" si="20"/>
        <v>78.434585243942394</v>
      </c>
      <c r="N77" s="447">
        <f t="shared" si="20"/>
        <v>79.226205153408088</v>
      </c>
    </row>
    <row r="78" spans="1:14">
      <c r="B78" s="331" t="str">
        <f t="shared" si="18"/>
        <v>25-29</v>
      </c>
      <c r="C78" s="447">
        <f t="shared" ref="C78:C85" si="21">C44+(0.2*C43)-(0.2*C44)</f>
        <v>117.04446671007661</v>
      </c>
      <c r="D78" s="447">
        <f t="shared" ref="D78:N78" si="22">D44+(0.2*D43)-(0.2*D44)</f>
        <v>117.22365723452393</v>
      </c>
      <c r="E78" s="447">
        <f t="shared" si="22"/>
        <v>120.67895839863952</v>
      </c>
      <c r="F78" s="447">
        <f t="shared" si="22"/>
        <v>126.93081595165165</v>
      </c>
      <c r="G78" s="447">
        <f t="shared" si="22"/>
        <v>132.87009537124237</v>
      </c>
      <c r="H78" s="447">
        <f t="shared" si="22"/>
        <v>137.5676363499191</v>
      </c>
      <c r="I78" s="447">
        <f t="shared" si="22"/>
        <v>140.74478779306185</v>
      </c>
      <c r="J78" s="447">
        <f t="shared" si="22"/>
        <v>145.42185845569645</v>
      </c>
      <c r="K78" s="447">
        <f t="shared" si="22"/>
        <v>150.52181610370178</v>
      </c>
      <c r="L78" s="447">
        <f t="shared" si="22"/>
        <v>153.03202691364078</v>
      </c>
      <c r="M78" s="447">
        <f t="shared" si="22"/>
        <v>154.02761786298535</v>
      </c>
      <c r="N78" s="447">
        <f t="shared" si="22"/>
        <v>155.9026921332981</v>
      </c>
    </row>
    <row r="79" spans="1:14">
      <c r="B79" s="331" t="str">
        <f t="shared" si="18"/>
        <v>30-34</v>
      </c>
      <c r="C79" s="447">
        <f t="shared" si="21"/>
        <v>185.4053436985474</v>
      </c>
      <c r="D79" s="447">
        <f t="shared" ref="D79:N79" si="23">D45+(0.2*D44)-(0.2*D45)</f>
        <v>175.65700827849469</v>
      </c>
      <c r="E79" s="447">
        <f t="shared" si="23"/>
        <v>169.17834560248247</v>
      </c>
      <c r="F79" s="447">
        <f t="shared" si="23"/>
        <v>165.91634795163583</v>
      </c>
      <c r="G79" s="447">
        <f t="shared" si="23"/>
        <v>164.62476633507958</v>
      </c>
      <c r="H79" s="447">
        <f t="shared" si="23"/>
        <v>164.32960231164017</v>
      </c>
      <c r="I79" s="447">
        <f t="shared" si="23"/>
        <v>164.42676459537861</v>
      </c>
      <c r="J79" s="447">
        <f t="shared" si="23"/>
        <v>166.29257649336878</v>
      </c>
      <c r="K79" s="447">
        <f t="shared" si="23"/>
        <v>169.24019325398359</v>
      </c>
      <c r="L79" s="447">
        <f t="shared" si="23"/>
        <v>171.32652389597521</v>
      </c>
      <c r="M79" s="447">
        <f t="shared" si="23"/>
        <v>172.75721512862683</v>
      </c>
      <c r="N79" s="447">
        <f t="shared" si="23"/>
        <v>174.71558346924172</v>
      </c>
    </row>
    <row r="80" spans="1:14">
      <c r="B80" s="331" t="str">
        <f t="shared" si="18"/>
        <v>35-39</v>
      </c>
      <c r="C80" s="447">
        <f t="shared" si="21"/>
        <v>220.48686437188309</v>
      </c>
      <c r="D80" s="447">
        <f t="shared" ref="D80:N80" si="24">D46+(0.2*D45)-(0.2*D46)</f>
        <v>209.278850000001</v>
      </c>
      <c r="E80" s="447">
        <f t="shared" si="24"/>
        <v>199.85367746674589</v>
      </c>
      <c r="F80" s="447">
        <f t="shared" si="24"/>
        <v>192.0378483394633</v>
      </c>
      <c r="G80" s="447">
        <f t="shared" si="24"/>
        <v>185.7300606543252</v>
      </c>
      <c r="H80" s="447">
        <f t="shared" si="24"/>
        <v>180.52740216356716</v>
      </c>
      <c r="I80" s="447">
        <f t="shared" si="24"/>
        <v>176.24980790930931</v>
      </c>
      <c r="J80" s="447">
        <f t="shared" si="24"/>
        <v>173.89317338752807</v>
      </c>
      <c r="K80" s="447">
        <f t="shared" si="24"/>
        <v>172.95935987561018</v>
      </c>
      <c r="L80" s="447">
        <f t="shared" si="24"/>
        <v>172.13113202912845</v>
      </c>
      <c r="M80" s="447">
        <f t="shared" si="24"/>
        <v>171.52188228045009</v>
      </c>
      <c r="N80" s="447">
        <f t="shared" si="24"/>
        <v>171.80742677563461</v>
      </c>
    </row>
    <row r="81" spans="1:14">
      <c r="B81" s="331" t="str">
        <f t="shared" si="18"/>
        <v>40-44</v>
      </c>
      <c r="C81" s="447">
        <f t="shared" si="21"/>
        <v>170.60056748831911</v>
      </c>
      <c r="D81" s="447">
        <f t="shared" ref="D81:N81" si="25">D47+(0.2*D46)-(0.2*D47)</f>
        <v>175.75814330738237</v>
      </c>
      <c r="E81" s="447">
        <f t="shared" si="25"/>
        <v>178.1368342153406</v>
      </c>
      <c r="F81" s="447">
        <f t="shared" si="25"/>
        <v>178.38509818443089</v>
      </c>
      <c r="G81" s="447">
        <f t="shared" si="25"/>
        <v>177.2561905383092</v>
      </c>
      <c r="H81" s="447">
        <f t="shared" si="25"/>
        <v>175.02554843929104</v>
      </c>
      <c r="I81" s="447">
        <f t="shared" si="25"/>
        <v>172.1197713667533</v>
      </c>
      <c r="J81" s="447">
        <f t="shared" si="25"/>
        <v>169.85172186994731</v>
      </c>
      <c r="K81" s="447">
        <f t="shared" si="25"/>
        <v>168.13305188137844</v>
      </c>
      <c r="L81" s="447">
        <f t="shared" si="25"/>
        <v>166.12567906190048</v>
      </c>
      <c r="M81" s="447">
        <f t="shared" si="25"/>
        <v>164.17477117193783</v>
      </c>
      <c r="N81" s="447">
        <f t="shared" si="25"/>
        <v>163.01547089707802</v>
      </c>
    </row>
    <row r="82" spans="1:14">
      <c r="B82" s="331" t="str">
        <f t="shared" si="18"/>
        <v>45-49</v>
      </c>
      <c r="C82" s="447">
        <f t="shared" si="21"/>
        <v>135.4136477475123</v>
      </c>
      <c r="D82" s="447">
        <f t="shared" ref="D82:N82" si="26">D48+(0.2*D47)-(0.2*D48)</f>
        <v>137.84081019107839</v>
      </c>
      <c r="E82" s="447">
        <f t="shared" si="26"/>
        <v>141.12781661113792</v>
      </c>
      <c r="F82" s="447">
        <f t="shared" si="26"/>
        <v>144.1447830207747</v>
      </c>
      <c r="G82" s="447">
        <f t="shared" si="26"/>
        <v>146.52992201405553</v>
      </c>
      <c r="H82" s="447">
        <f t="shared" si="26"/>
        <v>147.88229320414115</v>
      </c>
      <c r="I82" s="447">
        <f t="shared" si="26"/>
        <v>148.22021921177549</v>
      </c>
      <c r="J82" s="447">
        <f t="shared" si="26"/>
        <v>148.47978450209925</v>
      </c>
      <c r="K82" s="447">
        <f t="shared" si="26"/>
        <v>148.57215574680964</v>
      </c>
      <c r="L82" s="447">
        <f t="shared" si="26"/>
        <v>147.85952480858214</v>
      </c>
      <c r="M82" s="447">
        <f t="shared" si="26"/>
        <v>146.7090324715287</v>
      </c>
      <c r="N82" s="447">
        <f t="shared" si="26"/>
        <v>145.82882557779868</v>
      </c>
    </row>
    <row r="83" spans="1:14">
      <c r="B83" s="331" t="str">
        <f t="shared" si="18"/>
        <v>50-54</v>
      </c>
      <c r="C83" s="447">
        <f t="shared" si="21"/>
        <v>119.10453939246797</v>
      </c>
      <c r="D83" s="447">
        <f t="shared" ref="D83:N83" si="27">D49+(0.2*D48)-(0.2*D49)</f>
        <v>114.7449356604379</v>
      </c>
      <c r="E83" s="447">
        <f t="shared" si="27"/>
        <v>112.56587285053942</v>
      </c>
      <c r="F83" s="447">
        <f t="shared" si="27"/>
        <v>111.72194256936683</v>
      </c>
      <c r="G83" s="447">
        <f t="shared" si="27"/>
        <v>111.78887648477647</v>
      </c>
      <c r="H83" s="447">
        <f t="shared" si="27"/>
        <v>112.13306592933182</v>
      </c>
      <c r="I83" s="447">
        <f t="shared" si="27"/>
        <v>112.44278010827806</v>
      </c>
      <c r="J83" s="447">
        <f t="shared" si="27"/>
        <v>113.13873791400356</v>
      </c>
      <c r="K83" s="447">
        <f t="shared" si="27"/>
        <v>113.92224418181367</v>
      </c>
      <c r="L83" s="447">
        <f t="shared" si="27"/>
        <v>114.14426553699968</v>
      </c>
      <c r="M83" s="447">
        <f t="shared" si="27"/>
        <v>113.97539278360706</v>
      </c>
      <c r="N83" s="447">
        <f t="shared" si="27"/>
        <v>113.88810147402025</v>
      </c>
    </row>
    <row r="84" spans="1:14">
      <c r="B84" s="331" t="str">
        <f t="shared" si="18"/>
        <v>55-59</v>
      </c>
      <c r="C84" s="447">
        <f t="shared" si="21"/>
        <v>75.687309894394062</v>
      </c>
      <c r="D84" s="447">
        <f t="shared" ref="D84:N84" si="28">D50+(0.2*D49)-(0.2*D50)</f>
        <v>70.46247133960631</v>
      </c>
      <c r="E84" s="447">
        <f t="shared" si="28"/>
        <v>66.785989266757838</v>
      </c>
      <c r="F84" s="447">
        <f t="shared" si="28"/>
        <v>64.326317749031801</v>
      </c>
      <c r="G84" s="447">
        <f t="shared" si="28"/>
        <v>62.730896982254826</v>
      </c>
      <c r="H84" s="447">
        <f t="shared" si="28"/>
        <v>61.687701387457885</v>
      </c>
      <c r="I84" s="447">
        <f t="shared" si="28"/>
        <v>60.998081787686935</v>
      </c>
      <c r="J84" s="447">
        <f t="shared" si="28"/>
        <v>60.915793314212912</v>
      </c>
      <c r="K84" s="447">
        <f t="shared" si="28"/>
        <v>61.152430976394257</v>
      </c>
      <c r="L84" s="447">
        <f t="shared" si="28"/>
        <v>61.198561559177492</v>
      </c>
      <c r="M84" s="447">
        <f t="shared" si="28"/>
        <v>61.134112204633432</v>
      </c>
      <c r="N84" s="447">
        <f t="shared" si="28"/>
        <v>61.228439640252283</v>
      </c>
    </row>
    <row r="85" spans="1:14">
      <c r="B85" s="331" t="str">
        <f t="shared" si="18"/>
        <v>60-64</v>
      </c>
      <c r="C85" s="447">
        <f t="shared" si="21"/>
        <v>36.679873577202684</v>
      </c>
      <c r="D85" s="447">
        <f t="shared" ref="D85:N85" si="29">D51+(0.2*D50)-(0.2*D51)</f>
        <v>32.247931450882625</v>
      </c>
      <c r="E85" s="447">
        <f t="shared" si="29"/>
        <v>29.30753617373361</v>
      </c>
      <c r="F85" s="447">
        <f t="shared" si="29"/>
        <v>27.345946965193114</v>
      </c>
      <c r="G85" s="447">
        <f t="shared" si="29"/>
        <v>25.979451193211442</v>
      </c>
      <c r="H85" s="447">
        <f t="shared" si="29"/>
        <v>24.987807586235427</v>
      </c>
      <c r="I85" s="447">
        <f t="shared" si="29"/>
        <v>24.255811424165064</v>
      </c>
      <c r="J85" s="447">
        <f t="shared" si="29"/>
        <v>23.929649259596392</v>
      </c>
      <c r="K85" s="447">
        <f t="shared" si="29"/>
        <v>23.839494816489641</v>
      </c>
      <c r="L85" s="447">
        <f t="shared" si="29"/>
        <v>23.699884143059165</v>
      </c>
      <c r="M85" s="447">
        <f t="shared" si="29"/>
        <v>23.5631479140289</v>
      </c>
      <c r="N85" s="447">
        <f t="shared" si="29"/>
        <v>23.572850923571373</v>
      </c>
    </row>
    <row r="86" spans="1:14">
      <c r="B86" s="331" t="str">
        <f t="shared" si="18"/>
        <v>65 plus</v>
      </c>
      <c r="C86" s="447">
        <f>C52+(0.2*C51)</f>
        <v>13.713057460228441</v>
      </c>
      <c r="D86" s="447">
        <f t="shared" ref="D86:N86" si="30">D52+(0.2*D51)</f>
        <v>13.808007196259531</v>
      </c>
      <c r="E86" s="447">
        <f t="shared" si="30"/>
        <v>13.372149243245619</v>
      </c>
      <c r="F86" s="447">
        <f t="shared" si="30"/>
        <v>12.74778818590833</v>
      </c>
      <c r="G86" s="447">
        <f t="shared" si="30"/>
        <v>12.138109190513081</v>
      </c>
      <c r="H86" s="447">
        <f t="shared" si="30"/>
        <v>11.574363630182678</v>
      </c>
      <c r="I86" s="447">
        <f t="shared" si="30"/>
        <v>11.07974751718767</v>
      </c>
      <c r="J86" s="447">
        <f t="shared" si="30"/>
        <v>10.752304452619606</v>
      </c>
      <c r="K86" s="447">
        <f t="shared" si="30"/>
        <v>10.55087724945839</v>
      </c>
      <c r="L86" s="447">
        <f t="shared" si="30"/>
        <v>10.363770307293411</v>
      </c>
      <c r="M86" s="447">
        <f t="shared" si="30"/>
        <v>10.202873164333571</v>
      </c>
      <c r="N86" s="447">
        <f t="shared" si="30"/>
        <v>10.126063192831893</v>
      </c>
    </row>
    <row r="87" spans="1:14">
      <c r="B87" s="331" t="str">
        <f t="shared" si="18"/>
        <v>Total</v>
      </c>
      <c r="C87" s="447">
        <f>SUM(C77:C86)</f>
        <v>1100.5509123867057</v>
      </c>
      <c r="D87" s="447">
        <f t="shared" ref="D87:N87" si="31">SUM(D77:D86)</f>
        <v>1087.5742408808728</v>
      </c>
      <c r="E87" s="447">
        <f t="shared" si="31"/>
        <v>1082.0087216715999</v>
      </c>
      <c r="F87" s="447">
        <f t="shared" si="31"/>
        <v>1083.5462219185536</v>
      </c>
      <c r="G87" s="447">
        <f t="shared" si="31"/>
        <v>1085.7673763431931</v>
      </c>
      <c r="H87" s="447">
        <f t="shared" si="31"/>
        <v>1085.6110438910769</v>
      </c>
      <c r="I87" s="447">
        <f t="shared" si="31"/>
        <v>1082.391020905445</v>
      </c>
      <c r="J87" s="447">
        <f t="shared" si="31"/>
        <v>1087.5050279545464</v>
      </c>
      <c r="K87" s="447">
        <f t="shared" si="31"/>
        <v>1096.7508711540233</v>
      </c>
      <c r="L87" s="447">
        <f t="shared" si="31"/>
        <v>1098.5217785789198</v>
      </c>
      <c r="M87" s="447">
        <f t="shared" si="31"/>
        <v>1096.5006302260742</v>
      </c>
      <c r="N87" s="447">
        <f t="shared" si="31"/>
        <v>1099.311659237135</v>
      </c>
    </row>
    <row r="88" spans="1:14">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120.23877708445904</v>
      </c>
      <c r="D93" s="447">
        <f t="shared" ref="D93:N93" si="35">D59-(0.2*D59)</f>
        <v>159.23853831481648</v>
      </c>
      <c r="E93" s="447">
        <f t="shared" si="35"/>
        <v>188.01033164352407</v>
      </c>
      <c r="F93" s="447">
        <f t="shared" si="35"/>
        <v>214.09549888754054</v>
      </c>
      <c r="G93" s="447">
        <f t="shared" si="35"/>
        <v>231.23281746252451</v>
      </c>
      <c r="H93" s="447">
        <f t="shared" si="35"/>
        <v>241.47163346906214</v>
      </c>
      <c r="I93" s="447">
        <f t="shared" si="35"/>
        <v>246.30891503753952</v>
      </c>
      <c r="J93" s="447">
        <f t="shared" si="35"/>
        <v>255.10539288049367</v>
      </c>
      <c r="K93" s="447">
        <f t="shared" si="35"/>
        <v>264.4481613601846</v>
      </c>
      <c r="L93" s="447">
        <f t="shared" si="35"/>
        <v>266.45873160641787</v>
      </c>
      <c r="M93" s="447">
        <f t="shared" si="35"/>
        <v>265.3226342434121</v>
      </c>
      <c r="N93" s="447">
        <f t="shared" si="35"/>
        <v>267.68411159999192</v>
      </c>
    </row>
    <row r="94" spans="1:14">
      <c r="B94" s="331" t="str">
        <f t="shared" si="33"/>
        <v>25-29</v>
      </c>
      <c r="C94" s="447">
        <f t="shared" ref="C94:C101" si="36">C60+(0.2*C59)-(0.2*C60)</f>
        <v>548.33405727158959</v>
      </c>
      <c r="D94" s="447">
        <f t="shared" ref="D94:N94" si="37">D60+(0.2*D59)-(0.2*D60)</f>
        <v>513.41347171872565</v>
      </c>
      <c r="E94" s="447">
        <f t="shared" si="37"/>
        <v>496.39785237238993</v>
      </c>
      <c r="F94" s="447">
        <f t="shared" si="37"/>
        <v>496.15001690345002</v>
      </c>
      <c r="G94" s="447">
        <f t="shared" si="37"/>
        <v>498.76928253504536</v>
      </c>
      <c r="H94" s="447">
        <f t="shared" si="37"/>
        <v>501.36926752809529</v>
      </c>
      <c r="I94" s="447">
        <f t="shared" si="37"/>
        <v>502.04429733823918</v>
      </c>
      <c r="J94" s="447">
        <f t="shared" si="37"/>
        <v>510.23745847679345</v>
      </c>
      <c r="K94" s="447">
        <f t="shared" si="37"/>
        <v>521.7166337136448</v>
      </c>
      <c r="L94" s="447">
        <f t="shared" si="37"/>
        <v>525.86126084167461</v>
      </c>
      <c r="M94" s="447">
        <f t="shared" si="37"/>
        <v>525.96989554584979</v>
      </c>
      <c r="N94" s="447">
        <f t="shared" si="37"/>
        <v>529.86506584075232</v>
      </c>
    </row>
    <row r="95" spans="1:14">
      <c r="B95" s="331" t="str">
        <f t="shared" si="33"/>
        <v>30-34</v>
      </c>
      <c r="C95" s="447">
        <f t="shared" si="36"/>
        <v>857.35873337206669</v>
      </c>
      <c r="D95" s="447">
        <f t="shared" ref="D95:N95" si="38">D61+(0.2*D60)-(0.2*D61)</f>
        <v>786.84992412848806</v>
      </c>
      <c r="E95" s="447">
        <f t="shared" si="38"/>
        <v>729.32448478957201</v>
      </c>
      <c r="F95" s="447">
        <f t="shared" si="38"/>
        <v>687.61700465332001</v>
      </c>
      <c r="G95" s="447">
        <f t="shared" si="38"/>
        <v>655.49682474667873</v>
      </c>
      <c r="H95" s="447">
        <f t="shared" si="38"/>
        <v>631.02610168593071</v>
      </c>
      <c r="I95" s="447">
        <f t="shared" si="38"/>
        <v>611.74424573338638</v>
      </c>
      <c r="J95" s="447">
        <f t="shared" si="38"/>
        <v>601.83394395311495</v>
      </c>
      <c r="K95" s="447">
        <f t="shared" si="38"/>
        <v>598.45023998147178</v>
      </c>
      <c r="L95" s="447">
        <f t="shared" si="38"/>
        <v>594.56644620480608</v>
      </c>
      <c r="M95" s="447">
        <f t="shared" si="38"/>
        <v>590.52287304806794</v>
      </c>
      <c r="N95" s="447">
        <f t="shared" si="38"/>
        <v>589.98541062275092</v>
      </c>
    </row>
    <row r="96" spans="1:14">
      <c r="B96" s="331" t="str">
        <f t="shared" si="33"/>
        <v>35-39</v>
      </c>
      <c r="C96" s="447">
        <f t="shared" si="36"/>
        <v>790.99125617103391</v>
      </c>
      <c r="D96" s="447">
        <f t="shared" ref="D96:N96" si="39">D62+(0.2*D61)-(0.2*D62)</f>
        <v>778.17686055427998</v>
      </c>
      <c r="E96" s="447">
        <f t="shared" si="39"/>
        <v>756.11010077977255</v>
      </c>
      <c r="F96" s="447">
        <f t="shared" si="39"/>
        <v>731.35041898574229</v>
      </c>
      <c r="G96" s="447">
        <f t="shared" si="39"/>
        <v>704.23959182059775</v>
      </c>
      <c r="H96" s="447">
        <f t="shared" si="39"/>
        <v>677.51026062402616</v>
      </c>
      <c r="I96" s="447">
        <f t="shared" si="39"/>
        <v>652.18687942534677</v>
      </c>
      <c r="J96" s="447">
        <f t="shared" si="39"/>
        <v>632.76325179936646</v>
      </c>
      <c r="K96" s="447">
        <f t="shared" si="39"/>
        <v>618.26416965008775</v>
      </c>
      <c r="L96" s="447">
        <f t="shared" si="39"/>
        <v>604.68708390106349</v>
      </c>
      <c r="M96" s="447">
        <f t="shared" si="39"/>
        <v>592.71046401681213</v>
      </c>
      <c r="N96" s="447">
        <f t="shared" si="39"/>
        <v>584.7624554505212</v>
      </c>
    </row>
    <row r="97" spans="1:14">
      <c r="B97" s="331" t="str">
        <f t="shared" si="33"/>
        <v>40-44</v>
      </c>
      <c r="C97" s="447">
        <f t="shared" si="36"/>
        <v>558.60228195274556</v>
      </c>
      <c r="D97" s="447">
        <f t="shared" ref="D97:N97" si="40">D63+(0.2*D62)-(0.2*D63)</f>
        <v>588.11993647155418</v>
      </c>
      <c r="E97" s="447">
        <f t="shared" si="40"/>
        <v>607.78588263179654</v>
      </c>
      <c r="F97" s="447">
        <f t="shared" si="40"/>
        <v>619.89688767701136</v>
      </c>
      <c r="G97" s="447">
        <f t="shared" si="40"/>
        <v>623.16975639158795</v>
      </c>
      <c r="H97" s="447">
        <f t="shared" si="40"/>
        <v>619.83036548669872</v>
      </c>
      <c r="I97" s="447">
        <f t="shared" si="40"/>
        <v>611.47744323653853</v>
      </c>
      <c r="J97" s="447">
        <f t="shared" si="40"/>
        <v>602.95483406338224</v>
      </c>
      <c r="K97" s="447">
        <f t="shared" si="40"/>
        <v>594.45329802134597</v>
      </c>
      <c r="L97" s="447">
        <f t="shared" si="40"/>
        <v>583.6376585506448</v>
      </c>
      <c r="M97" s="447">
        <f t="shared" si="40"/>
        <v>572.13562403799835</v>
      </c>
      <c r="N97" s="447">
        <f t="shared" si="40"/>
        <v>562.81750191560764</v>
      </c>
    </row>
    <row r="98" spans="1:14">
      <c r="B98" s="331" t="str">
        <f t="shared" si="33"/>
        <v>45-49</v>
      </c>
      <c r="C98" s="447">
        <f t="shared" si="36"/>
        <v>351.8003286992095</v>
      </c>
      <c r="D98" s="447">
        <f t="shared" ref="D98:N98" si="41">D64+(0.2*D63)-(0.2*D64)</f>
        <v>384.42367163937678</v>
      </c>
      <c r="E98" s="447">
        <f t="shared" si="41"/>
        <v>413.87121536629081</v>
      </c>
      <c r="F98" s="447">
        <f t="shared" si="41"/>
        <v>440.35061039774274</v>
      </c>
      <c r="G98" s="447">
        <f t="shared" si="41"/>
        <v>460.94357298226316</v>
      </c>
      <c r="H98" s="447">
        <f t="shared" si="41"/>
        <v>475.86506124170006</v>
      </c>
      <c r="I98" s="447">
        <f t="shared" si="41"/>
        <v>485.26935341021414</v>
      </c>
      <c r="J98" s="447">
        <f t="shared" si="41"/>
        <v>492.41033288061516</v>
      </c>
      <c r="K98" s="447">
        <f t="shared" si="41"/>
        <v>497.11024077933524</v>
      </c>
      <c r="L98" s="447">
        <f t="shared" si="41"/>
        <v>497.39683537415192</v>
      </c>
      <c r="M98" s="447">
        <f t="shared" si="41"/>
        <v>494.74568077726468</v>
      </c>
      <c r="N98" s="447">
        <f t="shared" si="41"/>
        <v>491.79493008006017</v>
      </c>
    </row>
    <row r="99" spans="1:14">
      <c r="B99" s="331" t="str">
        <f t="shared" si="33"/>
        <v>50-54</v>
      </c>
      <c r="C99" s="447">
        <f t="shared" si="36"/>
        <v>247.25203930673936</v>
      </c>
      <c r="D99" s="447">
        <f t="shared" ref="D99:N99" si="42">D65+(0.2*D64)-(0.2*D65)</f>
        <v>258.63304458502944</v>
      </c>
      <c r="E99" s="447">
        <f t="shared" si="42"/>
        <v>272.85329602451429</v>
      </c>
      <c r="F99" s="447">
        <f t="shared" si="42"/>
        <v>289.42271145776772</v>
      </c>
      <c r="G99" s="447">
        <f t="shared" si="42"/>
        <v>305.33710177353601</v>
      </c>
      <c r="H99" s="447">
        <f t="shared" si="42"/>
        <v>319.84893002414776</v>
      </c>
      <c r="I99" s="447">
        <f t="shared" si="42"/>
        <v>332.19823364766631</v>
      </c>
      <c r="J99" s="447">
        <f t="shared" si="42"/>
        <v>344.03059445496876</v>
      </c>
      <c r="K99" s="447">
        <f t="shared" si="42"/>
        <v>354.50645298299264</v>
      </c>
      <c r="L99" s="447">
        <f t="shared" si="42"/>
        <v>361.5795196103129</v>
      </c>
      <c r="M99" s="447">
        <f t="shared" si="42"/>
        <v>365.96866139872009</v>
      </c>
      <c r="N99" s="447">
        <f t="shared" si="42"/>
        <v>369.4092577603767</v>
      </c>
    </row>
    <row r="100" spans="1:14">
      <c r="B100" s="331" t="str">
        <f t="shared" si="33"/>
        <v>55-59</v>
      </c>
      <c r="C100" s="447">
        <f t="shared" si="36"/>
        <v>151.94333559035141</v>
      </c>
      <c r="D100" s="447">
        <f t="shared" ref="D100:N100" si="43">D66+(0.2*D65)-(0.2*D66)</f>
        <v>149.07984167863123</v>
      </c>
      <c r="E100" s="447">
        <f t="shared" si="43"/>
        <v>149.52502416557326</v>
      </c>
      <c r="F100" s="447">
        <f t="shared" si="43"/>
        <v>153.1737393409577</v>
      </c>
      <c r="G100" s="447">
        <f t="shared" si="43"/>
        <v>157.98655129243639</v>
      </c>
      <c r="H100" s="447">
        <f t="shared" si="43"/>
        <v>163.39815744517875</v>
      </c>
      <c r="I100" s="447">
        <f t="shared" si="43"/>
        <v>168.82911722277677</v>
      </c>
      <c r="J100" s="447">
        <f t="shared" si="43"/>
        <v>175.24099464610231</v>
      </c>
      <c r="K100" s="447">
        <f t="shared" si="43"/>
        <v>181.76600125538624</v>
      </c>
      <c r="L100" s="447">
        <f t="shared" si="43"/>
        <v>186.77596540431645</v>
      </c>
      <c r="M100" s="447">
        <f t="shared" si="43"/>
        <v>190.61696602825299</v>
      </c>
      <c r="N100" s="447">
        <f t="shared" si="43"/>
        <v>194.27013804185907</v>
      </c>
    </row>
    <row r="101" spans="1:14">
      <c r="B101" s="331" t="str">
        <f t="shared" si="33"/>
        <v>60-64</v>
      </c>
      <c r="C101" s="447">
        <f t="shared" si="36"/>
        <v>71.161812174290361</v>
      </c>
      <c r="D101" s="447">
        <f t="shared" ref="D101:N101" si="44">D67+(0.2*D66)-(0.2*D67)</f>
        <v>66.616688425096498</v>
      </c>
      <c r="E101" s="447">
        <f t="shared" si="44"/>
        <v>63.955260336767125</v>
      </c>
      <c r="F101" s="447">
        <f t="shared" si="44"/>
        <v>63.167590647376358</v>
      </c>
      <c r="G101" s="447">
        <f t="shared" si="44"/>
        <v>63.168089735341326</v>
      </c>
      <c r="H101" s="447">
        <f t="shared" si="44"/>
        <v>63.723971107821328</v>
      </c>
      <c r="I101" s="447">
        <f t="shared" si="44"/>
        <v>64.601766047633703</v>
      </c>
      <c r="J101" s="447">
        <f t="shared" si="44"/>
        <v>66.387969148126743</v>
      </c>
      <c r="K101" s="447">
        <f t="shared" si="44"/>
        <v>68.572925517390701</v>
      </c>
      <c r="L101" s="447">
        <f t="shared" si="44"/>
        <v>70.241655396217396</v>
      </c>
      <c r="M101" s="447">
        <f t="shared" si="44"/>
        <v>71.609275390255107</v>
      </c>
      <c r="N101" s="447">
        <f t="shared" si="44"/>
        <v>73.191503695458465</v>
      </c>
    </row>
    <row r="102" spans="1:14">
      <c r="B102" s="331" t="str">
        <f t="shared" si="33"/>
        <v>65 plus</v>
      </c>
      <c r="C102" s="447">
        <f>C68+(0.2*C67)</f>
        <v>16.587502742729519</v>
      </c>
      <c r="D102" s="447">
        <f t="shared" ref="D102:N102" si="45">D68+(0.2*D67)</f>
        <v>22.677134875030003</v>
      </c>
      <c r="E102" s="447">
        <f t="shared" si="45"/>
        <v>26.020692719441158</v>
      </c>
      <c r="F102" s="447">
        <f t="shared" si="45"/>
        <v>28.011750491553798</v>
      </c>
      <c r="G102" s="447">
        <f t="shared" si="45"/>
        <v>29.102568648462018</v>
      </c>
      <c r="H102" s="447">
        <f t="shared" si="45"/>
        <v>29.722876789217807</v>
      </c>
      <c r="I102" s="447">
        <f t="shared" si="45"/>
        <v>30.09308294569427</v>
      </c>
      <c r="J102" s="447">
        <f t="shared" si="45"/>
        <v>30.656956466926445</v>
      </c>
      <c r="K102" s="447">
        <f t="shared" si="45"/>
        <v>31.370014786118713</v>
      </c>
      <c r="L102" s="447">
        <f t="shared" si="45"/>
        <v>31.918994785246966</v>
      </c>
      <c r="M102" s="447">
        <f t="shared" si="45"/>
        <v>32.378522031175692</v>
      </c>
      <c r="N102" s="447">
        <f t="shared" si="45"/>
        <v>32.972034176459545</v>
      </c>
    </row>
    <row r="103" spans="1:14">
      <c r="B103" s="331" t="str">
        <f t="shared" si="33"/>
        <v>Total</v>
      </c>
      <c r="C103" s="447">
        <f>SUM(C93:C102)</f>
        <v>3714.270124365215</v>
      </c>
      <c r="D103" s="447">
        <f t="shared" ref="D103:N103" si="46">SUM(D93:D102)</f>
        <v>3707.2291123910277</v>
      </c>
      <c r="E103" s="447">
        <f t="shared" si="46"/>
        <v>3703.8541408296414</v>
      </c>
      <c r="F103" s="447">
        <f t="shared" si="46"/>
        <v>3723.2362294424624</v>
      </c>
      <c r="G103" s="447">
        <f t="shared" si="46"/>
        <v>3729.4461573884728</v>
      </c>
      <c r="H103" s="447">
        <f t="shared" si="46"/>
        <v>3723.7666254018786</v>
      </c>
      <c r="I103" s="447">
        <f t="shared" si="46"/>
        <v>3704.7533340450354</v>
      </c>
      <c r="J103" s="447">
        <f t="shared" si="46"/>
        <v>3711.6217287698901</v>
      </c>
      <c r="K103" s="447">
        <f t="shared" si="46"/>
        <v>3730.6581380479574</v>
      </c>
      <c r="L103" s="447">
        <f t="shared" si="46"/>
        <v>3723.1241516748528</v>
      </c>
      <c r="M103" s="447">
        <f t="shared" si="46"/>
        <v>3701.9805965178084</v>
      </c>
      <c r="N103" s="447">
        <f t="shared" si="46"/>
        <v>3696.7524091838377</v>
      </c>
    </row>
    <row r="104" spans="1:14">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4" ht="15.75">
      <c r="B106" s="333" t="s">
        <v>164</v>
      </c>
      <c r="H106" s="318"/>
    </row>
    <row r="107" spans="1:14">
      <c r="H107" s="318"/>
    </row>
    <row r="108" spans="1:14">
      <c r="B108" s="334" t="s">
        <v>46</v>
      </c>
      <c r="H108" s="318"/>
    </row>
    <row r="109" spans="1:14">
      <c r="H109" s="318"/>
    </row>
    <row r="110" spans="1:14">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4">
      <c r="B111" s="331" t="str">
        <f t="shared" si="48"/>
        <v>20-24</v>
      </c>
      <c r="C111" s="447">
        <f>C77*Group_3_rates!E74</f>
        <v>3.2340689052206346</v>
      </c>
      <c r="D111" s="447">
        <f>D77*Group_3_rates!F74</f>
        <v>4.786400566996468</v>
      </c>
      <c r="E111" s="447">
        <f>E77*Group_3_rates!G74</f>
        <v>6.2456113512670806</v>
      </c>
      <c r="F111" s="447">
        <f>F77*Group_3_rates!H74</f>
        <v>7.2083048791723998</v>
      </c>
      <c r="G111" s="447">
        <f>G77*Group_3_rates!I74</f>
        <v>7.9448452099324545</v>
      </c>
      <c r="H111" s="447">
        <f>H77*Group_3_rates!J74</f>
        <v>8.3986424635959072</v>
      </c>
      <c r="I111" s="447">
        <f>I77*Group_3_rates!K74</f>
        <v>8.6338704036686273</v>
      </c>
      <c r="J111" s="447">
        <f>J77*Group_3_rates!L74</f>
        <v>8.991487422441665</v>
      </c>
      <c r="K111" s="447">
        <f>K77*Group_3_rates!M74</f>
        <v>9.3555497695141554</v>
      </c>
      <c r="L111" s="447">
        <f>L77*Group_3_rates!N74</f>
        <v>9.449414172053018</v>
      </c>
      <c r="M111" s="447">
        <f>M77*Group_3_rates!O74</f>
        <v>9.4246822764212652</v>
      </c>
      <c r="N111" s="447">
        <f>N77*Group_3_rates!P74</f>
        <v>9.5198031482560488</v>
      </c>
    </row>
    <row r="112" spans="1:14">
      <c r="B112" s="331" t="str">
        <f t="shared" si="48"/>
        <v>25-29</v>
      </c>
      <c r="C112" s="447">
        <f>C78*Group_3_rates!E75</f>
        <v>11.257951488590541</v>
      </c>
      <c r="D112" s="447">
        <f>D78*Group_3_rates!F75</f>
        <v>10.86979307503861</v>
      </c>
      <c r="E112" s="447">
        <f>E78*Group_3_rates!G75</f>
        <v>11.610128182563097</v>
      </c>
      <c r="F112" s="447">
        <f>F78*Group_3_rates!H75</f>
        <v>11.982294714064173</v>
      </c>
      <c r="G112" s="447">
        <f>G78*Group_3_rates!I75</f>
        <v>12.542963893263488</v>
      </c>
      <c r="H112" s="447">
        <f>H78*Group_3_rates!J75</f>
        <v>12.986412712337794</v>
      </c>
      <c r="I112" s="447">
        <f>I78*Group_3_rates!K75</f>
        <v>13.28633645156162</v>
      </c>
      <c r="J112" s="447">
        <f>J78*Group_3_rates!L75</f>
        <v>13.727852868658772</v>
      </c>
      <c r="K112" s="447">
        <f>K78*Group_3_rates!M75</f>
        <v>14.209289902758687</v>
      </c>
      <c r="L112" s="447">
        <f>L78*Group_3_rates!N75</f>
        <v>14.446254311232794</v>
      </c>
      <c r="M112" s="447">
        <f>M78*Group_3_rates!O75</f>
        <v>14.54023829833838</v>
      </c>
      <c r="N112" s="447">
        <f>N78*Group_3_rates!P75</f>
        <v>14.717245688932989</v>
      </c>
    </row>
    <row r="113" spans="1:14">
      <c r="B113" s="331" t="str">
        <f t="shared" si="48"/>
        <v>30-34</v>
      </c>
      <c r="C113" s="447">
        <f>C79*Group_3_rates!E76</f>
        <v>13.168550135437796</v>
      </c>
      <c r="D113" s="447">
        <f>D79*Group_3_rates!F76</f>
        <v>12.027592909540514</v>
      </c>
      <c r="E113" s="447">
        <f>E79*Group_3_rates!G76</f>
        <v>12.018699145690974</v>
      </c>
      <c r="F113" s="447">
        <f>F79*Group_3_rates!H76</f>
        <v>11.565631046013999</v>
      </c>
      <c r="G113" s="447">
        <f>G79*Group_3_rates!I76</f>
        <v>11.475597986419062</v>
      </c>
      <c r="H113" s="447">
        <f>H79*Group_3_rates!J76</f>
        <v>11.455022809618809</v>
      </c>
      <c r="I113" s="447">
        <f>I79*Group_3_rates!K76</f>
        <v>11.4617957595974</v>
      </c>
      <c r="J113" s="447">
        <f>J79*Group_3_rates!L76</f>
        <v>11.591857036137236</v>
      </c>
      <c r="K113" s="447">
        <f>K79*Group_3_rates!M76</f>
        <v>11.797328337423686</v>
      </c>
      <c r="L113" s="447">
        <f>L79*Group_3_rates!N76</f>
        <v>11.942761447199597</v>
      </c>
      <c r="M113" s="447">
        <f>M79*Group_3_rates!O76</f>
        <v>12.04249150479729</v>
      </c>
      <c r="N113" s="447">
        <f>N79*Group_3_rates!P76</f>
        <v>12.179004669168224</v>
      </c>
    </row>
    <row r="114" spans="1:14">
      <c r="B114" s="331" t="str">
        <f t="shared" si="48"/>
        <v>35-39</v>
      </c>
      <c r="C114" s="447">
        <f>C80*Group_3_rates!E77</f>
        <v>15.625848291394236</v>
      </c>
      <c r="D114" s="447">
        <f>D80*Group_3_rates!F77</f>
        <v>14.298278325494458</v>
      </c>
      <c r="E114" s="447">
        <f>E80*Group_3_rates!G77</f>
        <v>14.166742568038012</v>
      </c>
      <c r="F114" s="447">
        <f>F80*Group_3_rates!H77</f>
        <v>13.357099257082535</v>
      </c>
      <c r="G114" s="447">
        <f>G80*Group_3_rates!I77</f>
        <v>12.918364148709221</v>
      </c>
      <c r="H114" s="447">
        <f>H80*Group_3_rates!J77</f>
        <v>12.556495764624239</v>
      </c>
      <c r="I114" s="447">
        <f>I80*Group_3_rates!K77</f>
        <v>12.258969774150481</v>
      </c>
      <c r="J114" s="447">
        <f>J80*Group_3_rates!L77</f>
        <v>12.095055204745099</v>
      </c>
      <c r="K114" s="447">
        <f>K80*Group_3_rates!M77</f>
        <v>12.030104259532239</v>
      </c>
      <c r="L114" s="447">
        <f>L80*Group_3_rates!N77</f>
        <v>11.972497273989573</v>
      </c>
      <c r="M114" s="447">
        <f>M80*Group_3_rates!O77</f>
        <v>11.930121203668975</v>
      </c>
      <c r="N114" s="447">
        <f>N80*Group_3_rates!P77</f>
        <v>11.949982112325642</v>
      </c>
    </row>
    <row r="115" spans="1:14">
      <c r="B115" s="331" t="str">
        <f t="shared" si="48"/>
        <v>40-44</v>
      </c>
      <c r="C115" s="447">
        <f>C81*Group_3_rates!E78</f>
        <v>13.364762733525049</v>
      </c>
      <c r="D115" s="447">
        <f>D81*Group_3_rates!F78</f>
        <v>13.273753914463702</v>
      </c>
      <c r="E115" s="447">
        <f>E81*Group_3_rates!G78</f>
        <v>13.958266547688696</v>
      </c>
      <c r="F115" s="447">
        <f>F81*Group_3_rates!H78</f>
        <v>13.715252043388844</v>
      </c>
      <c r="G115" s="447">
        <f>G81*Group_3_rates!I78</f>
        <v>13.628455259028192</v>
      </c>
      <c r="H115" s="447">
        <f>H81*Group_3_rates!J78</f>
        <v>13.45695091859838</v>
      </c>
      <c r="I115" s="447">
        <f>I81*Group_3_rates!K78</f>
        <v>13.233538395145599</v>
      </c>
      <c r="J115" s="447">
        <f>J81*Group_3_rates!L78</f>
        <v>13.059157963079384</v>
      </c>
      <c r="K115" s="447">
        <f>K81*Group_3_rates!M78</f>
        <v>12.927016924884258</v>
      </c>
      <c r="L115" s="447">
        <f>L81*Group_3_rates!N78</f>
        <v>12.772678785407363</v>
      </c>
      <c r="M115" s="447">
        <f>M81*Group_3_rates!O78</f>
        <v>12.622681988048148</v>
      </c>
      <c r="N115" s="447">
        <f>N81*Group_3_rates!P78</f>
        <v>12.533548447043319</v>
      </c>
    </row>
    <row r="116" spans="1:14">
      <c r="B116" s="331" t="str">
        <f t="shared" si="48"/>
        <v>45-49</v>
      </c>
      <c r="C116" s="447">
        <f>C82*Group_3_rates!E79</f>
        <v>11.455405679922539</v>
      </c>
      <c r="D116" s="447">
        <f>D82*Group_3_rates!F79</f>
        <v>11.241477044121115</v>
      </c>
      <c r="E116" s="447">
        <f>E82*Group_3_rates!G79</f>
        <v>11.941465688605433</v>
      </c>
      <c r="F116" s="447">
        <f>F82*Group_3_rates!H79</f>
        <v>11.967719593909196</v>
      </c>
      <c r="G116" s="447">
        <f>G82*Group_3_rates!I79</f>
        <v>12.165747396691138</v>
      </c>
      <c r="H116" s="447">
        <f>H82*Group_3_rates!J79</f>
        <v>12.278028943415542</v>
      </c>
      <c r="I116" s="447">
        <f>I82*Group_3_rates!K79</f>
        <v>12.306085482251735</v>
      </c>
      <c r="J116" s="447">
        <f>J82*Group_3_rates!L79</f>
        <v>12.327636068723246</v>
      </c>
      <c r="K116" s="447">
        <f>K82*Group_3_rates!M79</f>
        <v>12.335305254746267</v>
      </c>
      <c r="L116" s="447">
        <f>L82*Group_3_rates!N79</f>
        <v>12.276138581739295</v>
      </c>
      <c r="M116" s="447">
        <f>M82*Group_3_rates!O79</f>
        <v>12.180618165417238</v>
      </c>
      <c r="N116" s="447">
        <f>N82*Group_3_rates!P79</f>
        <v>12.107538383630974</v>
      </c>
    </row>
    <row r="117" spans="1:14">
      <c r="B117" s="331" t="str">
        <f t="shared" si="48"/>
        <v>50-54</v>
      </c>
      <c r="C117" s="447">
        <f>C83*Group_3_rates!E80</f>
        <v>10.147537673821583</v>
      </c>
      <c r="D117" s="447">
        <f>D83*Group_3_rates!F80</f>
        <v>9.4246104710918566</v>
      </c>
      <c r="E117" s="447">
        <f>E83*Group_3_rates!G80</f>
        <v>9.5925943077143838</v>
      </c>
      <c r="F117" s="447">
        <f>F83*Group_3_rates!H80</f>
        <v>9.341901342113001</v>
      </c>
      <c r="G117" s="447">
        <f>G83*Group_3_rates!I80</f>
        <v>9.3474981838776348</v>
      </c>
      <c r="H117" s="447">
        <f>H83*Group_3_rates!J80</f>
        <v>9.3762784195241498</v>
      </c>
      <c r="I117" s="447">
        <f>I83*Group_3_rates!K80</f>
        <v>9.4021759221760828</v>
      </c>
      <c r="J117" s="447">
        <f>J83*Group_3_rates!L80</f>
        <v>9.4603701229735151</v>
      </c>
      <c r="K117" s="447">
        <f>K83*Group_3_rates!M80</f>
        <v>9.525884900880861</v>
      </c>
      <c r="L117" s="447">
        <f>L83*Group_3_rates!N80</f>
        <v>9.5444497552710548</v>
      </c>
      <c r="M117" s="447">
        <f>M83*Group_3_rates!O80</f>
        <v>9.5303290501948315</v>
      </c>
      <c r="N117" s="447">
        <f>N83*Group_3_rates!P80</f>
        <v>9.5230299755150511</v>
      </c>
    </row>
    <row r="118" spans="1:14">
      <c r="B118" s="331" t="str">
        <f t="shared" si="48"/>
        <v>55-59</v>
      </c>
      <c r="C118" s="447">
        <f>C84*Group_3_rates!E81</f>
        <v>3.8406014882937272</v>
      </c>
      <c r="D118" s="447">
        <f>D84*Group_3_rates!F81</f>
        <v>3.4469229180954679</v>
      </c>
      <c r="E118" s="447">
        <f>E84*Group_3_rates!G81</f>
        <v>3.3896785521406829</v>
      </c>
      <c r="F118" s="447">
        <f>F84*Group_3_rates!H81</f>
        <v>3.2035337777904838</v>
      </c>
      <c r="G118" s="447">
        <f>G84*Group_3_rates!I81</f>
        <v>3.1240797612229745</v>
      </c>
      <c r="H118" s="447">
        <f>H84*Group_3_rates!J81</f>
        <v>3.0721272720751789</v>
      </c>
      <c r="I118" s="447">
        <f>I84*Group_3_rates!K81</f>
        <v>3.0377833245432861</v>
      </c>
      <c r="J118" s="447">
        <f>J84*Group_3_rates!L81</f>
        <v>3.0336852521909199</v>
      </c>
      <c r="K118" s="447">
        <f>K84*Group_3_rates!M81</f>
        <v>3.045470113666326</v>
      </c>
      <c r="L118" s="447">
        <f>L84*Group_3_rates!N81</f>
        <v>3.0477674763214031</v>
      </c>
      <c r="M118" s="447">
        <f>M84*Group_3_rates!O81</f>
        <v>3.0445578151521722</v>
      </c>
      <c r="N118" s="447">
        <f>N84*Group_3_rates!P81</f>
        <v>3.0492554433819783</v>
      </c>
    </row>
    <row r="119" spans="1:14">
      <c r="B119" s="331" t="str">
        <f t="shared" si="48"/>
        <v>60-64</v>
      </c>
      <c r="C119" s="447">
        <f>C85*Group_3_rates!E82</f>
        <v>1.9810967408359814</v>
      </c>
      <c r="D119" s="447">
        <f>D85*Group_3_rates!F82</f>
        <v>1.6791026209953162</v>
      </c>
      <c r="E119" s="447">
        <f>E85*Group_3_rates!G82</f>
        <v>1.583266923659095</v>
      </c>
      <c r="F119" s="447">
        <f>F85*Group_3_rates!H82</f>
        <v>1.4495568754774861</v>
      </c>
      <c r="G119" s="447">
        <f>G85*Group_3_rates!I82</f>
        <v>1.3771215217445107</v>
      </c>
      <c r="H119" s="447">
        <f>H85*Group_3_rates!J82</f>
        <v>1.3245563715836841</v>
      </c>
      <c r="I119" s="447">
        <f>I85*Group_3_rates!K82</f>
        <v>1.2857546408956668</v>
      </c>
      <c r="J119" s="447">
        <f>J85*Group_3_rates!L82</f>
        <v>1.2684654020635677</v>
      </c>
      <c r="K119" s="447">
        <f>K85*Group_3_rates!M82</f>
        <v>1.2636864857208068</v>
      </c>
      <c r="L119" s="447">
        <f>L85*Group_3_rates!N82</f>
        <v>1.2562859882423769</v>
      </c>
      <c r="M119" s="447">
        <f>M85*Group_3_rates!O82</f>
        <v>1.2490378596195149</v>
      </c>
      <c r="N119" s="447">
        <f>N85*Group_3_rates!P82</f>
        <v>1.2495521977849848</v>
      </c>
    </row>
    <row r="120" spans="1:14">
      <c r="B120" s="331" t="str">
        <f t="shared" si="48"/>
        <v>65 plus</v>
      </c>
      <c r="C120" s="447">
        <f>C86*Group_3_rates!E83</f>
        <v>1.2683041858490363</v>
      </c>
      <c r="D120" s="447">
        <f>D86*Group_3_rates!F83</f>
        <v>1.2311689636646388</v>
      </c>
      <c r="E120" s="447">
        <f>E86*Group_3_rates!G83</f>
        <v>1.2370501915184986</v>
      </c>
      <c r="F120" s="447">
        <f>F86*Group_3_rates!H83</f>
        <v>1.1571466659422347</v>
      </c>
      <c r="G120" s="447">
        <f>G86*Group_3_rates!I83</f>
        <v>1.1018046719799814</v>
      </c>
      <c r="H120" s="447">
        <f>H86*Group_3_rates!J83</f>
        <v>1.0506321637720737</v>
      </c>
      <c r="I120" s="447">
        <f>I86*Group_3_rates!K83</f>
        <v>1.0057346978174573</v>
      </c>
      <c r="J120" s="447">
        <f>J86*Group_3_rates!L83</f>
        <v>0.97601192199743803</v>
      </c>
      <c r="K120" s="447">
        <f>K86*Group_3_rates!M83</f>
        <v>0.95772790180751022</v>
      </c>
      <c r="L120" s="447">
        <f>L86*Group_3_rates!N83</f>
        <v>0.94074376533274617</v>
      </c>
      <c r="M120" s="447">
        <f>M86*Group_3_rates!O83</f>
        <v>0.92613875387347055</v>
      </c>
      <c r="N120" s="447">
        <f>N86*Group_3_rates!P83</f>
        <v>0.9191665324074334</v>
      </c>
    </row>
    <row r="121" spans="1:14">
      <c r="B121" s="331" t="str">
        <f t="shared" si="48"/>
        <v>Total</v>
      </c>
      <c r="C121" s="447">
        <f>SUM(C111:C120)</f>
        <v>85.344127322891126</v>
      </c>
      <c r="D121" s="447">
        <f t="shared" ref="D121:N121" si="50">SUM(D111:D120)</f>
        <v>82.279100809502154</v>
      </c>
      <c r="E121" s="447">
        <f t="shared" si="50"/>
        <v>85.743503458885939</v>
      </c>
      <c r="F121" s="447">
        <f t="shared" si="50"/>
        <v>84.948440194954358</v>
      </c>
      <c r="G121" s="447">
        <f t="shared" si="50"/>
        <v>85.626478032868647</v>
      </c>
      <c r="H121" s="447">
        <f t="shared" si="50"/>
        <v>85.955147839145766</v>
      </c>
      <c r="I121" s="447">
        <f t="shared" si="50"/>
        <v>85.912044851807948</v>
      </c>
      <c r="J121" s="447">
        <f t="shared" si="50"/>
        <v>86.531579263010855</v>
      </c>
      <c r="K121" s="447">
        <f t="shared" si="50"/>
        <v>87.447363850934806</v>
      </c>
      <c r="L121" s="447">
        <f t="shared" si="50"/>
        <v>87.648991556789213</v>
      </c>
      <c r="M121" s="447">
        <f t="shared" si="50"/>
        <v>87.490896915531309</v>
      </c>
      <c r="N121" s="447">
        <f t="shared" si="50"/>
        <v>87.748126598446618</v>
      </c>
    </row>
    <row r="122" spans="1:14">
      <c r="A122" s="302">
        <f>SUM(C122:N122)</f>
        <v>0</v>
      </c>
      <c r="C122" s="302">
        <f t="shared" ref="C122:N122" si="51">SUM(C111:C120)-C121</f>
        <v>0</v>
      </c>
      <c r="D122" s="302">
        <f t="shared" si="51"/>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4">
      <c r="B127" s="331" t="str">
        <f t="shared" si="52"/>
        <v>20-24</v>
      </c>
      <c r="C127" s="447">
        <f>C93*Group_3_rates!E89</f>
        <v>14.032463199701036</v>
      </c>
      <c r="D127" s="447">
        <f>D93*Group_3_rates!F89</f>
        <v>18.675773432329692</v>
      </c>
      <c r="E127" s="447">
        <f>E93*Group_3_rates!G89</f>
        <v>22.417240876554423</v>
      </c>
      <c r="F127" s="447">
        <f>F93*Group_3_rates!H89</f>
        <v>25.85564945044079</v>
      </c>
      <c r="G127" s="447">
        <f>G93*Group_3_rates!I89</f>
        <v>27.925270268709657</v>
      </c>
      <c r="H127" s="447">
        <f>H93*Group_3_rates!J89</f>
        <v>29.161780325334696</v>
      </c>
      <c r="I127" s="447">
        <f>I93*Group_3_rates!K89</f>
        <v>29.745963819044327</v>
      </c>
      <c r="J127" s="447">
        <f>J93*Group_3_rates!L89</f>
        <v>30.808287168613951</v>
      </c>
      <c r="K127" s="447">
        <f>K93*Group_3_rates!M89</f>
        <v>31.936584344232781</v>
      </c>
      <c r="L127" s="447">
        <f>L93*Group_3_rates!N89</f>
        <v>32.179394677715784</v>
      </c>
      <c r="M127" s="447">
        <f>M93*Group_3_rates!O89</f>
        <v>32.042191722436108</v>
      </c>
      <c r="N127" s="447">
        <f>N93*Group_3_rates!P89</f>
        <v>32.327380019407052</v>
      </c>
    </row>
    <row r="128" spans="1:14">
      <c r="B128" s="331" t="str">
        <f t="shared" si="52"/>
        <v>25-29</v>
      </c>
      <c r="C128" s="447">
        <f>C94*Group_3_rates!E90</f>
        <v>51.036345209053714</v>
      </c>
      <c r="D128" s="447">
        <f>D94*Group_3_rates!F90</f>
        <v>48.0222670210443</v>
      </c>
      <c r="E128" s="447">
        <f>E94*Group_3_rates!G90</f>
        <v>47.203621652402411</v>
      </c>
      <c r="F128" s="447">
        <f>F94*Group_3_rates!H90</f>
        <v>47.786575447749428</v>
      </c>
      <c r="G128" s="447">
        <f>G94*Group_3_rates!I90</f>
        <v>48.03884941823744</v>
      </c>
      <c r="H128" s="447">
        <f>H94*Group_3_rates!J90</f>
        <v>48.289266378431911</v>
      </c>
      <c r="I128" s="447">
        <f>I94*Group_3_rates!K90</f>
        <v>48.354281720269938</v>
      </c>
      <c r="J128" s="447">
        <f>J94*Group_3_rates!L90</f>
        <v>49.143404162201207</v>
      </c>
      <c r="K128" s="447">
        <f>K94*Group_3_rates!M90</f>
        <v>50.249018300758181</v>
      </c>
      <c r="L128" s="447">
        <f>L94*Group_3_rates!N90</f>
        <v>50.648207115045629</v>
      </c>
      <c r="M128" s="447">
        <f>M94*Group_3_rates!O90</f>
        <v>50.658670241742087</v>
      </c>
      <c r="N128" s="447">
        <f>N94*Group_3_rates!P90</f>
        <v>51.033832678177951</v>
      </c>
    </row>
    <row r="129" spans="1:14">
      <c r="B129" s="331" t="str">
        <f t="shared" si="52"/>
        <v>30-34</v>
      </c>
      <c r="C129" s="447">
        <f>C95*Group_3_rates!E91</f>
        <v>68.716249311305205</v>
      </c>
      <c r="D129" s="447">
        <f>D95*Group_3_rates!F91</f>
        <v>63.376730452637254</v>
      </c>
      <c r="E129" s="447">
        <f>E95*Group_3_rates!G91</f>
        <v>59.721230303256661</v>
      </c>
      <c r="F129" s="447">
        <f>F95*Group_3_rates!H91</f>
        <v>57.029824022581508</v>
      </c>
      <c r="G129" s="447">
        <f>G95*Group_3_rates!I91</f>
        <v>54.365829102076354</v>
      </c>
      <c r="H129" s="447">
        <f>H95*Group_3_rates!J91</f>
        <v>52.336267557763769</v>
      </c>
      <c r="I129" s="447">
        <f>I95*Group_3_rates!K91</f>
        <v>50.737062121655072</v>
      </c>
      <c r="J129" s="447">
        <f>J95*Group_3_rates!L91</f>
        <v>49.915117983108779</v>
      </c>
      <c r="K129" s="447">
        <f>K95*Group_3_rates!M91</f>
        <v>49.634479138022897</v>
      </c>
      <c r="L129" s="447">
        <f>L95*Group_3_rates!N91</f>
        <v>49.312363666584098</v>
      </c>
      <c r="M129" s="447">
        <f>M95*Group_3_rates!O91</f>
        <v>48.976996356016386</v>
      </c>
      <c r="N129" s="447">
        <f>N95*Group_3_rates!P91</f>
        <v>48.932420105971445</v>
      </c>
    </row>
    <row r="130" spans="1:14">
      <c r="B130" s="331" t="str">
        <f t="shared" si="52"/>
        <v>35-39</v>
      </c>
      <c r="C130" s="447">
        <f>C96*Group_3_rates!E92</f>
        <v>61.643048190245942</v>
      </c>
      <c r="D130" s="447">
        <f>D96*Group_3_rates!F92</f>
        <v>60.944116951537765</v>
      </c>
      <c r="E130" s="447">
        <f>E96*Group_3_rates!G92</f>
        <v>60.201670798880258</v>
      </c>
      <c r="F130" s="447">
        <f>F96*Group_3_rates!H92</f>
        <v>58.978875850072789</v>
      </c>
      <c r="G130" s="447">
        <f>G96*Group_3_rates!I92</f>
        <v>56.792555765942211</v>
      </c>
      <c r="H130" s="447">
        <f>H96*Group_3_rates!J92</f>
        <v>54.637000965844656</v>
      </c>
      <c r="I130" s="447">
        <f>I96*Group_3_rates!K92</f>
        <v>52.594827314132985</v>
      </c>
      <c r="J130" s="447">
        <f>J96*Group_3_rates!L92</f>
        <v>51.028432200967579</v>
      </c>
      <c r="K130" s="447">
        <f>K96*Group_3_rates!M92</f>
        <v>49.859171141121266</v>
      </c>
      <c r="L130" s="447">
        <f>L96*Group_3_rates!N92</f>
        <v>48.764263373230719</v>
      </c>
      <c r="M130" s="447">
        <f>M96*Group_3_rates!O92</f>
        <v>47.798423252107405</v>
      </c>
      <c r="N130" s="447">
        <f>N96*Group_3_rates!P92</f>
        <v>47.157465650501486</v>
      </c>
    </row>
    <row r="131" spans="1:14">
      <c r="B131" s="331" t="str">
        <f t="shared" si="52"/>
        <v>40-44</v>
      </c>
      <c r="C131" s="447">
        <f>C97*Group_3_rates!E93</f>
        <v>43.929347915768133</v>
      </c>
      <c r="D131" s="447">
        <f>D97*Group_3_rates!F93</f>
        <v>46.479238650693823</v>
      </c>
      <c r="E131" s="447">
        <f>E97*Group_3_rates!G93</f>
        <v>48.833037713569553</v>
      </c>
      <c r="F131" s="447">
        <f>F97*Group_3_rates!H93</f>
        <v>50.4463861290659</v>
      </c>
      <c r="G131" s="447">
        <f>G97*Group_3_rates!I93</f>
        <v>50.712727842030425</v>
      </c>
      <c r="H131" s="447">
        <f>H97*Group_3_rates!J93</f>
        <v>50.440972641491804</v>
      </c>
      <c r="I131" s="447">
        <f>I97*Group_3_rates!K93</f>
        <v>49.761222912925334</v>
      </c>
      <c r="J131" s="447">
        <f>J97*Group_3_rates!L93</f>
        <v>49.067664287736406</v>
      </c>
      <c r="K131" s="447">
        <f>K97*Group_3_rates!M93</f>
        <v>48.375820565994431</v>
      </c>
      <c r="L131" s="447">
        <f>L97*Group_3_rates!N93</f>
        <v>47.495658177994123</v>
      </c>
      <c r="M131" s="447">
        <f>M97*Group_3_rates!O93</f>
        <v>46.559637872312045</v>
      </c>
      <c r="N131" s="447">
        <f>N97*Group_3_rates!P93</f>
        <v>45.80134145894332</v>
      </c>
    </row>
    <row r="132" spans="1:14">
      <c r="B132" s="331" t="str">
        <f t="shared" si="52"/>
        <v>45-49</v>
      </c>
      <c r="C132" s="447">
        <f>C98*Group_3_rates!E94</f>
        <v>30.958160010076877</v>
      </c>
      <c r="D132" s="447">
        <f>D98*Group_3_rates!F94</f>
        <v>33.996176455507751</v>
      </c>
      <c r="E132" s="447">
        <f>E98*Group_3_rates!G94</f>
        <v>37.20961731826219</v>
      </c>
      <c r="F132" s="447">
        <f>F98*Group_3_rates!H94</f>
        <v>40.099232019599825</v>
      </c>
      <c r="G132" s="447">
        <f>G98*Group_3_rates!I94</f>
        <v>41.974469535228017</v>
      </c>
      <c r="H132" s="447">
        <f>H98*Group_3_rates!J94</f>
        <v>43.333250937285008</v>
      </c>
      <c r="I132" s="447">
        <f>I98*Group_3_rates!K94</f>
        <v>44.189625118996112</v>
      </c>
      <c r="J132" s="447">
        <f>J98*Group_3_rates!L94</f>
        <v>44.839897392655885</v>
      </c>
      <c r="K132" s="447">
        <f>K98*Group_3_rates!M94</f>
        <v>45.267880669734346</v>
      </c>
      <c r="L132" s="447">
        <f>L98*Group_3_rates!N94</f>
        <v>45.293978562826254</v>
      </c>
      <c r="M132" s="447">
        <f>M98*Group_3_rates!O94</f>
        <v>45.052558974002736</v>
      </c>
      <c r="N132" s="447">
        <f>N98*Group_3_rates!P94</f>
        <v>44.783857548263079</v>
      </c>
    </row>
    <row r="133" spans="1:14">
      <c r="B133" s="331" t="str">
        <f t="shared" si="52"/>
        <v>50-54</v>
      </c>
      <c r="C133" s="447">
        <f>C99*Group_3_rates!E95</f>
        <v>21.490305890353877</v>
      </c>
      <c r="D133" s="447">
        <f>D99*Group_3_rates!F95</f>
        <v>22.59060073384768</v>
      </c>
      <c r="E133" s="447">
        <f>E99*Group_3_rates!G95</f>
        <v>24.229419027253797</v>
      </c>
      <c r="F133" s="447">
        <f>F99*Group_3_rates!H95</f>
        <v>26.031181216779583</v>
      </c>
      <c r="G133" s="447">
        <f>G99*Group_3_rates!I95</f>
        <v>27.462549115234143</v>
      </c>
      <c r="H133" s="447">
        <f>H99*Group_3_rates!J95</f>
        <v>28.767768146165579</v>
      </c>
      <c r="I133" s="447">
        <f>I99*Group_3_rates!K95</f>
        <v>29.878485957168301</v>
      </c>
      <c r="J133" s="447">
        <f>J99*Group_3_rates!L95</f>
        <v>30.942709033670557</v>
      </c>
      <c r="K133" s="447">
        <f>K99*Group_3_rates!M95</f>
        <v>31.884925939768916</v>
      </c>
      <c r="L133" s="447">
        <f>L99*Group_3_rates!N95</f>
        <v>32.521089833772777</v>
      </c>
      <c r="M133" s="447">
        <f>M99*Group_3_rates!O95</f>
        <v>32.915856867447118</v>
      </c>
      <c r="N133" s="447">
        <f>N99*Group_3_rates!P95</f>
        <v>33.225310078402693</v>
      </c>
    </row>
    <row r="134" spans="1:14">
      <c r="B134" s="331" t="str">
        <f t="shared" si="52"/>
        <v>55-59</v>
      </c>
      <c r="C134" s="447">
        <f>C100*Group_3_rates!E96</f>
        <v>8.9335794098664536</v>
      </c>
      <c r="D134" s="447">
        <f>D100*Group_3_rates!F96</f>
        <v>8.8085377836886973</v>
      </c>
      <c r="E134" s="447">
        <f>E100*Group_3_rates!G96</f>
        <v>8.9819122681047361</v>
      </c>
      <c r="F134" s="447">
        <f>F100*Group_3_rates!H96</f>
        <v>9.3193734079556165</v>
      </c>
      <c r="G134" s="447">
        <f>G100*Group_3_rates!I96</f>
        <v>9.612193782460297</v>
      </c>
      <c r="H134" s="447">
        <f>H100*Group_3_rates!J96</f>
        <v>9.9414459029033129</v>
      </c>
      <c r="I134" s="447">
        <f>I100*Group_3_rates!K96</f>
        <v>10.271875533653276</v>
      </c>
      <c r="J134" s="447">
        <f>J100*Group_3_rates!L96</f>
        <v>10.661986006970114</v>
      </c>
      <c r="K134" s="447">
        <f>K100*Group_3_rates!M96</f>
        <v>11.058979469053959</v>
      </c>
      <c r="L134" s="447">
        <f>L100*Group_3_rates!N96</f>
        <v>11.363794947642113</v>
      </c>
      <c r="M134" s="447">
        <f>M100*Group_3_rates!O96</f>
        <v>11.597488524809251</v>
      </c>
      <c r="N134" s="447">
        <f>N100*Group_3_rates!P96</f>
        <v>11.819754262165867</v>
      </c>
    </row>
    <row r="135" spans="1:14">
      <c r="B135" s="331" t="str">
        <f t="shared" si="52"/>
        <v>60-64</v>
      </c>
      <c r="C135" s="447">
        <f>C101*Group_3_rates!E97</f>
        <v>3.512326560695564</v>
      </c>
      <c r="D135" s="447">
        <f>D101*Group_3_rates!F97</f>
        <v>3.3042430198688684</v>
      </c>
      <c r="E135" s="447">
        <f>E101*Group_3_rates!G97</f>
        <v>3.2250410088046353</v>
      </c>
      <c r="F135" s="447">
        <f>F101*Group_3_rates!H97</f>
        <v>3.2262703266036739</v>
      </c>
      <c r="G135" s="447">
        <f>G101*Group_3_rates!I97</f>
        <v>3.2262958174079808</v>
      </c>
      <c r="H135" s="447">
        <f>H101*Group_3_rates!J97</f>
        <v>3.2546873320876442</v>
      </c>
      <c r="I135" s="447">
        <f>I101*Group_3_rates!K97</f>
        <v>3.299520509008524</v>
      </c>
      <c r="J135" s="447">
        <f>J101*Group_3_rates!L97</f>
        <v>3.3907504261440056</v>
      </c>
      <c r="K135" s="447">
        <f>K101*Group_3_rates!M97</f>
        <v>3.5023465757966248</v>
      </c>
      <c r="L135" s="447">
        <f>L101*Group_3_rates!N97</f>
        <v>3.5875765748515143</v>
      </c>
      <c r="M135" s="447">
        <f>M101*Group_3_rates!O97</f>
        <v>3.6574274550198718</v>
      </c>
      <c r="N135" s="447">
        <f>N101*Group_3_rates!P97</f>
        <v>3.7382394058743253</v>
      </c>
    </row>
    <row r="136" spans="1:14">
      <c r="B136" s="331" t="str">
        <f t="shared" si="52"/>
        <v>65 plus</v>
      </c>
      <c r="C136" s="447">
        <f>C102*Group_3_rates!E98</f>
        <v>1.2675681736094049</v>
      </c>
      <c r="D136" s="447">
        <f>D102*Group_3_rates!F98</f>
        <v>1.7414842634318579</v>
      </c>
      <c r="E136" s="447">
        <f>E102*Group_3_rates!G98</f>
        <v>2.031516032959666</v>
      </c>
      <c r="F136" s="447">
        <f>F102*Group_3_rates!H98</f>
        <v>2.2150784942067063</v>
      </c>
      <c r="G136" s="447">
        <f>G102*Group_3_rates!I98</f>
        <v>2.3013368607156521</v>
      </c>
      <c r="H136" s="447">
        <f>H102*Group_3_rates!J98</f>
        <v>2.3503888192065649</v>
      </c>
      <c r="I136" s="447">
        <f>I102*Group_3_rates!K98</f>
        <v>2.3796635229021157</v>
      </c>
      <c r="J136" s="447">
        <f>J102*Group_3_rates!L98</f>
        <v>2.4242528144821121</v>
      </c>
      <c r="K136" s="447">
        <f>K102*Group_3_rates!M98</f>
        <v>2.4806391566507036</v>
      </c>
      <c r="L136" s="447">
        <f>L102*Group_3_rates!N98</f>
        <v>2.5240507167452888</v>
      </c>
      <c r="M136" s="447">
        <f>M102*Group_3_rates!O98</f>
        <v>2.5603886428690301</v>
      </c>
      <c r="N136" s="447">
        <f>N102*Group_3_rates!P98</f>
        <v>2.607321660834657</v>
      </c>
    </row>
    <row r="137" spans="1:14">
      <c r="B137" s="331" t="str">
        <f t="shared" si="52"/>
        <v>Total</v>
      </c>
      <c r="C137" s="447">
        <f>SUM(C127:C136)</f>
        <v>305.5193938706762</v>
      </c>
      <c r="D137" s="447">
        <f t="shared" ref="D137:N137" si="54">SUM(D127:D136)</f>
        <v>307.93916876458769</v>
      </c>
      <c r="E137" s="447">
        <f t="shared" si="54"/>
        <v>314.05430700004831</v>
      </c>
      <c r="F137" s="447">
        <f t="shared" si="54"/>
        <v>320.98844636505584</v>
      </c>
      <c r="G137" s="447">
        <f t="shared" si="54"/>
        <v>322.41207750804216</v>
      </c>
      <c r="H137" s="447">
        <f t="shared" si="54"/>
        <v>322.51282900651495</v>
      </c>
      <c r="I137" s="447">
        <f t="shared" si="54"/>
        <v>321.21252852975596</v>
      </c>
      <c r="J137" s="447">
        <f t="shared" si="54"/>
        <v>322.22250147655052</v>
      </c>
      <c r="K137" s="447">
        <f t="shared" si="54"/>
        <v>324.24984530113403</v>
      </c>
      <c r="L137" s="447">
        <f t="shared" si="54"/>
        <v>323.69037764640831</v>
      </c>
      <c r="M137" s="447">
        <f t="shared" si="54"/>
        <v>321.81963990876204</v>
      </c>
      <c r="N137" s="447">
        <f t="shared" si="54"/>
        <v>321.42692286854185</v>
      </c>
    </row>
    <row r="138" spans="1:14">
      <c r="A138" s="302">
        <f>SUM(C138:N138)</f>
        <v>0</v>
      </c>
      <c r="C138" s="302">
        <f t="shared" ref="C138:N138" si="55">SUM(C127:C136)-C137</f>
        <v>0</v>
      </c>
      <c r="D138" s="302">
        <f t="shared" si="55"/>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2.5355098946043795E-2</v>
      </c>
      <c r="D147" s="447">
        <f>D79*Calc_SEC_retirement_rates!$G126</f>
        <v>2.4021965800018964E-2</v>
      </c>
      <c r="E147" s="447">
        <f>E79*Calc_SEC_retirement_rates!$G126</f>
        <v>2.313597659436039E-2</v>
      </c>
      <c r="F147" s="447">
        <f>F79*Calc_SEC_retirement_rates!$G126</f>
        <v>2.2689882260998266E-2</v>
      </c>
      <c r="G147" s="447">
        <f>G79*Calc_SEC_retirement_rates!$G126</f>
        <v>2.251325207854829E-2</v>
      </c>
      <c r="H147" s="447">
        <f>H79*Calc_SEC_retirement_rates!$G126</f>
        <v>2.2472886936582444E-2</v>
      </c>
      <c r="I147" s="447">
        <f>I79*Calc_SEC_retirement_rates!$G126</f>
        <v>2.2486174360066943E-2</v>
      </c>
      <c r="J147" s="447">
        <f>J79*Calc_SEC_retirement_rates!$G126</f>
        <v>2.2741333377301984E-2</v>
      </c>
      <c r="K147" s="447">
        <f>K79*Calc_SEC_retirement_rates!$G126</f>
        <v>2.3144434566995425E-2</v>
      </c>
      <c r="L147" s="447">
        <f>L79*Calc_SEC_retirement_rates!$G126</f>
        <v>2.3429750614562372E-2</v>
      </c>
      <c r="M147" s="447">
        <f>M79*Calc_SEC_retirement_rates!$G126</f>
        <v>2.3625404725935231E-2</v>
      </c>
      <c r="N147" s="447">
        <f>N79*Calc_SEC_retirement_rates!$G126</f>
        <v>2.3893221295072656E-2</v>
      </c>
    </row>
    <row r="148" spans="1:14">
      <c r="B148" s="331" t="str">
        <f t="shared" si="56"/>
        <v>35-39</v>
      </c>
      <c r="C148" s="447">
        <f>C80*Calc_SEC_retirement_rates!$G127</f>
        <v>6.4889807978506978E-2</v>
      </c>
      <c r="D148" s="447">
        <f>D80*Calc_SEC_retirement_rates!$G127</f>
        <v>6.159126272283541E-2</v>
      </c>
      <c r="E148" s="447">
        <f>E80*Calc_SEC_retirement_rates!$G127</f>
        <v>5.8817412055633421E-2</v>
      </c>
      <c r="F148" s="447">
        <f>F80*Calc_SEC_retirement_rates!$G127</f>
        <v>5.6517194976003785E-2</v>
      </c>
      <c r="G148" s="447">
        <f>G80*Calc_SEC_retirement_rates!$G127</f>
        <v>5.4660798075336539E-2</v>
      </c>
      <c r="H148" s="447">
        <f>H80*Calc_SEC_retirement_rates!$G127</f>
        <v>5.3129643321946661E-2</v>
      </c>
      <c r="I148" s="447">
        <f>I80*Calc_SEC_retirement_rates!$G127</f>
        <v>5.1870737170963487E-2</v>
      </c>
      <c r="J148" s="447">
        <f>J80*Calc_SEC_retirement_rates!$G127</f>
        <v>5.1177174032726008E-2</v>
      </c>
      <c r="K148" s="447">
        <f>K80*Calc_SEC_retirement_rates!$G127</f>
        <v>5.0902350497778887E-2</v>
      </c>
      <c r="L148" s="447">
        <f>L80*Calc_SEC_retirement_rates!$G127</f>
        <v>5.0658601075001461E-2</v>
      </c>
      <c r="M148" s="447">
        <f>M80*Calc_SEC_retirement_rates!$G127</f>
        <v>5.0479297426617158E-2</v>
      </c>
      <c r="N148" s="447">
        <f>N80*Calc_SEC_retirement_rates!$G127</f>
        <v>5.0563333849896287E-2</v>
      </c>
    </row>
    <row r="149" spans="1:14">
      <c r="B149" s="331" t="str">
        <f t="shared" si="56"/>
        <v>40-44</v>
      </c>
      <c r="C149" s="447">
        <f>C81*Calc_SEC_retirement_rates!$G128</f>
        <v>0.1001050021588957</v>
      </c>
      <c r="D149" s="447">
        <f>D81*Calc_SEC_retirement_rates!$G128</f>
        <v>0.10313136453331949</v>
      </c>
      <c r="E149" s="447">
        <f>E81*Calc_SEC_retirement_rates!$G128</f>
        <v>0.10452713280057808</v>
      </c>
      <c r="F149" s="447">
        <f>F81*Calc_SEC_retirement_rates!$G128</f>
        <v>0.10467280913406075</v>
      </c>
      <c r="G149" s="447">
        <f>G81*Calc_SEC_retirement_rates!$G128</f>
        <v>0.10401038869773985</v>
      </c>
      <c r="H149" s="447">
        <f>H81*Calc_SEC_retirement_rates!$G128</f>
        <v>0.10270149251160481</v>
      </c>
      <c r="I149" s="447">
        <f>I81*Calc_SEC_retirement_rates!$G128</f>
        <v>0.10099644062108529</v>
      </c>
      <c r="J149" s="447">
        <f>J81*Calc_SEC_retirement_rates!$G128</f>
        <v>9.9665594521820167E-2</v>
      </c>
      <c r="K149" s="447">
        <f>K81*Calc_SEC_retirement_rates!$G128</f>
        <v>9.865711333416001E-2</v>
      </c>
      <c r="L149" s="447">
        <f>L81*Calc_SEC_retirement_rates!$G128</f>
        <v>9.7479227097402282E-2</v>
      </c>
      <c r="M149" s="447">
        <f>M81*Calc_SEC_retirement_rates!$G128</f>
        <v>9.6334473352372163E-2</v>
      </c>
      <c r="N149" s="447">
        <f>N81*Calc_SEC_retirement_rates!$G128</f>
        <v>9.5654219129152201E-2</v>
      </c>
    </row>
    <row r="150" spans="1:14">
      <c r="B150" s="331" t="str">
        <f t="shared" si="56"/>
        <v>45-49</v>
      </c>
      <c r="C150" s="447">
        <f>C82*Calc_SEC_retirement_rates!$G129</f>
        <v>0.17312253507622552</v>
      </c>
      <c r="D150" s="447">
        <f>D82*Calc_SEC_retirement_rates!$G129</f>
        <v>0.17622559390568304</v>
      </c>
      <c r="E150" s="447">
        <f>E82*Calc_SEC_retirement_rates!$G129</f>
        <v>0.18042793904384499</v>
      </c>
      <c r="F150" s="447">
        <f>F82*Calc_SEC_retirement_rates!$G129</f>
        <v>0.18428504563364759</v>
      </c>
      <c r="G150" s="447">
        <f>G82*Calc_SEC_retirement_rates!$G129</f>
        <v>0.18733437866539526</v>
      </c>
      <c r="H150" s="447">
        <f>H82*Calc_SEC_retirement_rates!$G129</f>
        <v>0.18906334714594472</v>
      </c>
      <c r="I150" s="447">
        <f>I82*Calc_SEC_retirement_rates!$G129</f>
        <v>0.18949537602990865</v>
      </c>
      <c r="J150" s="447">
        <f>J82*Calc_SEC_retirement_rates!$G129</f>
        <v>0.18982722294361437</v>
      </c>
      <c r="K150" s="447">
        <f>K82*Calc_SEC_retirement_rates!$G129</f>
        <v>0.18994531697858363</v>
      </c>
      <c r="L150" s="447">
        <f>L82*Calc_SEC_retirement_rates!$G129</f>
        <v>0.18903423839343445</v>
      </c>
      <c r="M150" s="447">
        <f>M82*Calc_SEC_retirement_rates!$G129</f>
        <v>0.1875633663411001</v>
      </c>
      <c r="N150" s="447">
        <f>N82*Calc_SEC_retirement_rates!$G129</f>
        <v>0.18643804661617666</v>
      </c>
    </row>
    <row r="151" spans="1:14">
      <c r="B151" s="331" t="str">
        <f t="shared" si="56"/>
        <v>50-54</v>
      </c>
      <c r="C151" s="447">
        <f>C83*Calc_SEC_retirement_rates!$G130</f>
        <v>3.3964803779737296</v>
      </c>
      <c r="D151" s="447">
        <f>D83*Calc_SEC_retirement_rates!$G130</f>
        <v>3.2721584284736456</v>
      </c>
      <c r="E151" s="447">
        <f>E83*Calc_SEC_retirement_rates!$G130</f>
        <v>3.2100185292393721</v>
      </c>
      <c r="F151" s="447">
        <f>F83*Calc_SEC_retirement_rates!$G130</f>
        <v>3.1859523378498458</v>
      </c>
      <c r="G151" s="447">
        <f>G83*Calc_SEC_retirement_rates!$G130</f>
        <v>3.1878610789563511</v>
      </c>
      <c r="H151" s="447">
        <f>H83*Calc_SEC_retirement_rates!$G130</f>
        <v>3.1976762606505247</v>
      </c>
      <c r="I151" s="447">
        <f>I83*Calc_SEC_retirement_rates!$G130</f>
        <v>3.2065083180761853</v>
      </c>
      <c r="J151" s="447">
        <f>J83*Calc_SEC_retirement_rates!$G130</f>
        <v>3.226354807916973</v>
      </c>
      <c r="K151" s="447">
        <f>K83*Calc_SEC_retirement_rates!$G130</f>
        <v>3.2486978997773721</v>
      </c>
      <c r="L151" s="447">
        <f>L83*Calc_SEC_retirement_rates!$G130</f>
        <v>3.255029238450331</v>
      </c>
      <c r="M151" s="447">
        <f>M83*Calc_SEC_retirement_rates!$G130</f>
        <v>3.2502135278468716</v>
      </c>
      <c r="N151" s="447">
        <f>N83*Calc_SEC_retirement_rates!$G130</f>
        <v>3.2477242589937148</v>
      </c>
    </row>
    <row r="152" spans="1:14">
      <c r="B152" s="331" t="str">
        <f t="shared" si="56"/>
        <v>55-59</v>
      </c>
      <c r="C152" s="447">
        <f>C84*Calc_SEC_retirement_rates!$G131</f>
        <v>14.757910707580605</v>
      </c>
      <c r="D152" s="447">
        <f>D84*Calc_SEC_retirement_rates!$G131</f>
        <v>13.739144140758903</v>
      </c>
      <c r="E152" s="447">
        <f>E84*Calc_SEC_retirement_rates!$G131</f>
        <v>13.022284283738971</v>
      </c>
      <c r="F152" s="447">
        <f>F84*Calc_SEC_retirement_rates!$G131</f>
        <v>12.542684563796108</v>
      </c>
      <c r="G152" s="447">
        <f>G84*Calc_SEC_retirement_rates!$G131</f>
        <v>12.231601011613229</v>
      </c>
      <c r="H152" s="447">
        <f>H84*Calc_SEC_retirement_rates!$G131</f>
        <v>12.028193234800501</v>
      </c>
      <c r="I152" s="447">
        <f>I84*Calc_SEC_retirement_rates!$G131</f>
        <v>11.893727569554668</v>
      </c>
      <c r="J152" s="447">
        <f>J84*Calc_SEC_retirement_rates!$G131</f>
        <v>11.877682529170922</v>
      </c>
      <c r="K152" s="447">
        <f>K84*Calc_SEC_retirement_rates!$G131</f>
        <v>11.923823388099528</v>
      </c>
      <c r="L152" s="447">
        <f>L84*Calc_SEC_retirement_rates!$G131</f>
        <v>11.932818172331567</v>
      </c>
      <c r="M152" s="447">
        <f>M84*Calc_SEC_retirement_rates!$G131</f>
        <v>11.920251497404825</v>
      </c>
      <c r="N152" s="447">
        <f>N84*Calc_SEC_retirement_rates!$G131</f>
        <v>11.938643958097119</v>
      </c>
    </row>
    <row r="153" spans="1:14">
      <c r="B153" s="331" t="str">
        <f t="shared" si="56"/>
        <v>60-64</v>
      </c>
      <c r="C153" s="447">
        <f>C85*Calc_SEC_retirement_rates!$G132</f>
        <v>11.131241704549103</v>
      </c>
      <c r="D153" s="447">
        <f>D85*Calc_SEC_retirement_rates!$G132</f>
        <v>9.7862801706766582</v>
      </c>
      <c r="E153" s="447">
        <f>E85*Calc_SEC_retirement_rates!$G132</f>
        <v>8.8939583782372509</v>
      </c>
      <c r="F153" s="447">
        <f>F85*Calc_SEC_retirement_rates!$G132</f>
        <v>8.2986748759824813</v>
      </c>
      <c r="G153" s="447">
        <f>G85*Calc_SEC_retirement_rates!$G132</f>
        <v>7.8839843865467092</v>
      </c>
      <c r="H153" s="447">
        <f>H85*Calc_SEC_retirement_rates!$G132</f>
        <v>7.5830502884291677</v>
      </c>
      <c r="I153" s="447">
        <f>I85*Calc_SEC_retirement_rates!$G132</f>
        <v>7.3609114037446881</v>
      </c>
      <c r="J153" s="447">
        <f>J85*Calc_SEC_retirement_rates!$G132</f>
        <v>7.2619309674830621</v>
      </c>
      <c r="K153" s="447">
        <f>K85*Calc_SEC_retirement_rates!$G132</f>
        <v>7.234571797478071</v>
      </c>
      <c r="L153" s="447">
        <f>L85*Calc_SEC_retirement_rates!$G132</f>
        <v>7.1922041446229272</v>
      </c>
      <c r="M153" s="447">
        <f>M85*Calc_SEC_retirement_rates!$G132</f>
        <v>7.1507087994467531</v>
      </c>
      <c r="N153" s="447">
        <f>N85*Calc_SEC_retirement_rates!$G132</f>
        <v>7.153653371876957</v>
      </c>
    </row>
    <row r="154" spans="1:14">
      <c r="B154" s="331" t="str">
        <f t="shared" si="56"/>
        <v>65 plus</v>
      </c>
      <c r="C154" s="447">
        <f>C86*Calc_SEC_retirement_rates!$G133</f>
        <v>4.1632285019324575</v>
      </c>
      <c r="D154" s="447">
        <f>D86*Calc_SEC_retirement_rates!$G133</f>
        <v>4.1920548558248747</v>
      </c>
      <c r="E154" s="447">
        <f>E86*Calc_SEC_retirement_rates!$G133</f>
        <v>4.059730153033815</v>
      </c>
      <c r="F154" s="447">
        <f>F86*Calc_SEC_retirement_rates!$G133</f>
        <v>3.8701766740272454</v>
      </c>
      <c r="G154" s="447">
        <f>G86*Calc_SEC_retirement_rates!$G133</f>
        <v>3.6850806093443249</v>
      </c>
      <c r="H154" s="447">
        <f>H86*Calc_SEC_retirement_rates!$G133</f>
        <v>3.5139297488296402</v>
      </c>
      <c r="I154" s="447">
        <f>I86*Calc_SEC_retirement_rates!$G133</f>
        <v>3.36376630751773</v>
      </c>
      <c r="J154" s="447">
        <f>J86*Calc_SEC_retirement_rates!$G133</f>
        <v>3.2643559241569386</v>
      </c>
      <c r="K154" s="447">
        <f>K86*Calc_SEC_retirement_rates!$G133</f>
        <v>3.2032034440701711</v>
      </c>
      <c r="L154" s="447">
        <f>L86*Calc_SEC_retirement_rates!$G133</f>
        <v>3.1463985370106125</v>
      </c>
      <c r="M154" s="447">
        <f>M86*Calc_SEC_retirement_rates!$G133</f>
        <v>3.0975508184480192</v>
      </c>
      <c r="N154" s="447">
        <f>N86*Calc_SEC_retirement_rates!$G133</f>
        <v>3.0742316233293634</v>
      </c>
    </row>
    <row r="155" spans="1:14">
      <c r="B155" s="331" t="str">
        <f t="shared" si="56"/>
        <v>Total</v>
      </c>
      <c r="C155" s="447">
        <f>SUM(C145:C154)</f>
        <v>33.812333736195569</v>
      </c>
      <c r="D155" s="447">
        <f t="shared" ref="D155:N155" si="58">SUM(D145:D154)</f>
        <v>31.354607782695936</v>
      </c>
      <c r="E155" s="447">
        <f t="shared" si="58"/>
        <v>29.552899804743827</v>
      </c>
      <c r="F155" s="447">
        <f t="shared" si="58"/>
        <v>28.265653383660393</v>
      </c>
      <c r="G155" s="447">
        <f t="shared" si="58"/>
        <v>27.357045903977635</v>
      </c>
      <c r="H155" s="447">
        <f t="shared" si="58"/>
        <v>26.69021690262591</v>
      </c>
      <c r="I155" s="447">
        <f t="shared" si="58"/>
        <v>26.189762327075293</v>
      </c>
      <c r="J155" s="447">
        <f t="shared" si="58"/>
        <v>25.993735553603358</v>
      </c>
      <c r="K155" s="447">
        <f t="shared" si="58"/>
        <v>25.972945744802658</v>
      </c>
      <c r="L155" s="447">
        <f t="shared" si="58"/>
        <v>25.887051909595836</v>
      </c>
      <c r="M155" s="447">
        <f t="shared" si="58"/>
        <v>25.776727184992495</v>
      </c>
      <c r="N155" s="447">
        <f t="shared" si="58"/>
        <v>25.770802033187451</v>
      </c>
    </row>
    <row r="156" spans="1:14">
      <c r="A156" s="302">
        <f>SUM(C156:N156)</f>
        <v>0</v>
      </c>
      <c r="C156" s="302">
        <f t="shared" ref="C156:N156" si="59">SUM(C145:C154)-C155</f>
        <v>0</v>
      </c>
      <c r="D156" s="302">
        <f t="shared" si="59"/>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7.1495214110349717E-2</v>
      </c>
      <c r="D163" s="447">
        <f>D95*Calc_SEC_retirement_rates!$G142</f>
        <v>6.5615478805492441E-2</v>
      </c>
      <c r="E163" s="447">
        <f>E95*Calc_SEC_retirement_rates!$G142</f>
        <v>6.0818427766947854E-2</v>
      </c>
      <c r="F163" s="447">
        <f>F95*Calc_SEC_retirement_rates!$G142</f>
        <v>5.7340437625509069E-2</v>
      </c>
      <c r="G163" s="447">
        <f>G95*Calc_SEC_retirement_rates!$G142</f>
        <v>5.4661933225540839E-2</v>
      </c>
      <c r="H163" s="447">
        <f>H95*Calc_SEC_retirement_rates!$G142</f>
        <v>5.2621317650561904E-2</v>
      </c>
      <c r="I163" s="447">
        <f>I95*Calc_SEC_retirement_rates!$G142</f>
        <v>5.1013402123358857E-2</v>
      </c>
      <c r="J163" s="447">
        <f>J95*Calc_SEC_retirement_rates!$G142</f>
        <v>5.0186981256457625E-2</v>
      </c>
      <c r="K163" s="447">
        <f>K95*Calc_SEC_retirement_rates!$G142</f>
        <v>4.9904813908622746E-2</v>
      </c>
      <c r="L163" s="447">
        <f>L95*Calc_SEC_retirement_rates!$G142</f>
        <v>4.9580944031504863E-2</v>
      </c>
      <c r="M163" s="447">
        <f>M95*Calc_SEC_retirement_rates!$G142</f>
        <v>4.9243750138961401E-2</v>
      </c>
      <c r="N163" s="447">
        <f>N95*Calc_SEC_retirement_rates!$G142</f>
        <v>4.9198931103849722E-2</v>
      </c>
    </row>
    <row r="164" spans="1:14">
      <c r="B164" s="331" t="str">
        <f t="shared" si="60"/>
        <v>35-39</v>
      </c>
      <c r="C164" s="447">
        <f>C96*Calc_SEC_retirement_rates!$G143</f>
        <v>0.24582909913003254</v>
      </c>
      <c r="D164" s="447">
        <f>D96*Calc_SEC_retirement_rates!$G143</f>
        <v>0.24184656290629292</v>
      </c>
      <c r="E164" s="447">
        <f>E96*Calc_SEC_retirement_rates!$G143</f>
        <v>0.23498852037577847</v>
      </c>
      <c r="F164" s="447">
        <f>F96*Calc_SEC_retirement_rates!$G143</f>
        <v>0.22729355507409296</v>
      </c>
      <c r="G164" s="447">
        <f>G96*Calc_SEC_retirement_rates!$G143</f>
        <v>0.21886788643783131</v>
      </c>
      <c r="H164" s="447">
        <f>H96*Calc_SEC_retirement_rates!$G143</f>
        <v>0.21056078145135004</v>
      </c>
      <c r="I164" s="447">
        <f>I96*Calc_SEC_retirement_rates!$G143</f>
        <v>0.20269062620193259</v>
      </c>
      <c r="J164" s="447">
        <f>J96*Calc_SEC_retirement_rates!$G143</f>
        <v>0.19665403244203966</v>
      </c>
      <c r="K164" s="447">
        <f>K96*Calc_SEC_retirement_rates!$G143</f>
        <v>0.19214791903666109</v>
      </c>
      <c r="L164" s="447">
        <f>L96*Calc_SEC_retirement_rates!$G143</f>
        <v>0.18792834931012528</v>
      </c>
      <c r="M164" s="447">
        <f>M96*Calc_SEC_retirement_rates!$G143</f>
        <v>0.18420618215113491</v>
      </c>
      <c r="N164" s="447">
        <f>N96*Calc_SEC_retirement_rates!$G143</f>
        <v>0.18173605145059199</v>
      </c>
    </row>
    <row r="165" spans="1:14">
      <c r="B165" s="331" t="str">
        <f t="shared" si="60"/>
        <v>40-44</v>
      </c>
      <c r="C165" s="447">
        <f>C97*Calc_SEC_retirement_rates!$G144</f>
        <v>0.40569019601200351</v>
      </c>
      <c r="D165" s="447">
        <f>D97*Calc_SEC_retirement_rates!$G144</f>
        <v>0.42712767207402058</v>
      </c>
      <c r="E165" s="447">
        <f>E97*Calc_SEC_retirement_rates!$G144</f>
        <v>0.4414102516664633</v>
      </c>
      <c r="F165" s="447">
        <f>F97*Calc_SEC_retirement_rates!$G144</f>
        <v>0.45020598374532222</v>
      </c>
      <c r="G165" s="447">
        <f>G97*Calc_SEC_retirement_rates!$G144</f>
        <v>0.45258293563620344</v>
      </c>
      <c r="H165" s="447">
        <f>H97*Calc_SEC_retirement_rates!$G144</f>
        <v>0.45015767137478779</v>
      </c>
      <c r="I165" s="447">
        <f>I97*Calc_SEC_retirement_rates!$G144</f>
        <v>0.44409128250667507</v>
      </c>
      <c r="J165" s="447">
        <f>J97*Calc_SEC_retirement_rates!$G144</f>
        <v>0.43790165690417177</v>
      </c>
      <c r="K165" s="447">
        <f>K97*Calc_SEC_retirement_rates!$G144</f>
        <v>0.43172733586266093</v>
      </c>
      <c r="L165" s="447">
        <f>L97*Calc_SEC_retirement_rates!$G144</f>
        <v>0.4238723752965759</v>
      </c>
      <c r="M165" s="447">
        <f>M97*Calc_SEC_retirement_rates!$G144</f>
        <v>0.41551891383261591</v>
      </c>
      <c r="N165" s="447">
        <f>N97*Calc_SEC_retirement_rates!$G144</f>
        <v>0.40875153941896064</v>
      </c>
    </row>
    <row r="166" spans="1:14">
      <c r="B166" s="331" t="str">
        <f t="shared" si="60"/>
        <v>45-49</v>
      </c>
      <c r="C166" s="447">
        <f>C98*Calc_SEC_retirement_rates!$G145</f>
        <v>0.3898787581995079</v>
      </c>
      <c r="D166" s="447">
        <f>D98*Calc_SEC_retirement_rates!$G145</f>
        <v>0.42603321115541748</v>
      </c>
      <c r="E166" s="447">
        <f>E98*Calc_SEC_retirement_rates!$G145</f>
        <v>0.45866812034588395</v>
      </c>
      <c r="F166" s="447">
        <f>F98*Calc_SEC_retirement_rates!$G145</f>
        <v>0.48801361212216804</v>
      </c>
      <c r="G166" s="447">
        <f>G98*Calc_SEC_retirement_rates!$G145</f>
        <v>0.51083553133352377</v>
      </c>
      <c r="H166" s="447">
        <f>H98*Calc_SEC_retirement_rates!$G145</f>
        <v>0.52737210290123215</v>
      </c>
      <c r="I166" s="447">
        <f>I98*Calc_SEC_retirement_rates!$G145</f>
        <v>0.53779430394340488</v>
      </c>
      <c r="J166" s="447">
        <f>J98*Calc_SEC_retirement_rates!$G145</f>
        <v>0.54570821413940296</v>
      </c>
      <c r="K166" s="447">
        <f>K98*Calc_SEC_retirement_rates!$G145</f>
        <v>0.55091683421653692</v>
      </c>
      <c r="L166" s="447">
        <f>L98*Calc_SEC_retirement_rates!$G145</f>
        <v>0.5512344494534156</v>
      </c>
      <c r="M166" s="447">
        <f>M98*Calc_SEC_retirement_rates!$G145</f>
        <v>0.54829633718430215</v>
      </c>
      <c r="N166" s="447">
        <f>N98*Calc_SEC_retirement_rates!$G145</f>
        <v>0.54502620090604403</v>
      </c>
    </row>
    <row r="167" spans="1:14">
      <c r="B167" s="331" t="str">
        <f t="shared" si="60"/>
        <v>50-54</v>
      </c>
      <c r="C167" s="447">
        <f>C99*Calc_SEC_retirement_rates!$G146</f>
        <v>6.2821883735909632</v>
      </c>
      <c r="D167" s="447">
        <f>D99*Calc_SEC_retirement_rates!$G146</f>
        <v>6.5713573496670383</v>
      </c>
      <c r="E167" s="447">
        <f>E99*Calc_SEC_retirement_rates!$G146</f>
        <v>6.9326659904901957</v>
      </c>
      <c r="F167" s="447">
        <f>F99*Calc_SEC_retirement_rates!$G146</f>
        <v>7.3536622713857689</v>
      </c>
      <c r="G167" s="447">
        <f>G99*Calc_SEC_retirement_rates!$G146</f>
        <v>7.7580156514219079</v>
      </c>
      <c r="H167" s="447">
        <f>H99*Calc_SEC_retirement_rates!$G146</f>
        <v>8.1267326859554103</v>
      </c>
      <c r="I167" s="447">
        <f>I99*Calc_SEC_retirement_rates!$G146</f>
        <v>8.4405042199056997</v>
      </c>
      <c r="J167" s="447">
        <f>J99*Calc_SEC_retirement_rates!$G146</f>
        <v>8.7411412528870613</v>
      </c>
      <c r="K167" s="447">
        <f>K99*Calc_SEC_retirement_rates!$G146</f>
        <v>9.0073122289997798</v>
      </c>
      <c r="L167" s="447">
        <f>L99*Calc_SEC_retirement_rates!$G146</f>
        <v>9.187024950708258</v>
      </c>
      <c r="M167" s="447">
        <f>M99*Calc_SEC_retirement_rates!$G146</f>
        <v>9.2985444172027947</v>
      </c>
      <c r="N167" s="447">
        <f>N99*Calc_SEC_retirement_rates!$G146</f>
        <v>9.3859632086595717</v>
      </c>
    </row>
    <row r="168" spans="1:14">
      <c r="B168" s="331" t="str">
        <f t="shared" si="60"/>
        <v>55-59</v>
      </c>
      <c r="C168" s="447">
        <f>C100*Calc_SEC_retirement_rates!$G147</f>
        <v>27.344782916565524</v>
      </c>
      <c r="D168" s="447">
        <f>D100*Calc_SEC_retirement_rates!$G147</f>
        <v>26.829448571069769</v>
      </c>
      <c r="E168" s="447">
        <f>E100*Calc_SEC_retirement_rates!$G147</f>
        <v>26.909566717853824</v>
      </c>
      <c r="F168" s="447">
        <f>F100*Calc_SEC_retirement_rates!$G147</f>
        <v>27.566214961145391</v>
      </c>
      <c r="G168" s="447">
        <f>G100*Calc_SEC_retirement_rates!$G147</f>
        <v>28.432362183200944</v>
      </c>
      <c r="H168" s="447">
        <f>H100*Calc_SEC_retirement_rates!$G147</f>
        <v>29.406272588035357</v>
      </c>
      <c r="I168" s="447">
        <f>I100*Calc_SEC_retirement_rates!$G147</f>
        <v>30.383666006246237</v>
      </c>
      <c r="J168" s="447">
        <f>J100*Calc_SEC_retirement_rates!$G147</f>
        <v>31.537592208716667</v>
      </c>
      <c r="K168" s="447">
        <f>K100*Calc_SEC_retirement_rates!$G147</f>
        <v>32.711877928895071</v>
      </c>
      <c r="L168" s="447">
        <f>L100*Calc_SEC_retirement_rates!$G147</f>
        <v>33.613506036110138</v>
      </c>
      <c r="M168" s="447">
        <f>M100*Calc_SEC_retirement_rates!$G147</f>
        <v>34.304759310469656</v>
      </c>
      <c r="N168" s="447">
        <f>N100*Calc_SEC_retirement_rates!$G147</f>
        <v>34.962209637466913</v>
      </c>
    </row>
    <row r="169" spans="1:14">
      <c r="B169" s="331" t="str">
        <f t="shared" si="60"/>
        <v>60-64</v>
      </c>
      <c r="C169" s="447">
        <f>C101*Calc_SEC_retirement_rates!$G148</f>
        <v>21.965978324578181</v>
      </c>
      <c r="D169" s="447">
        <f>D101*Calc_SEC_retirement_rates!$G148</f>
        <v>20.56300548413402</v>
      </c>
      <c r="E169" s="447">
        <f>E101*Calc_SEC_retirement_rates!$G148</f>
        <v>19.741485206411419</v>
      </c>
      <c r="F169" s="447">
        <f>F101*Calc_SEC_retirement_rates!$G148</f>
        <v>19.498350092289975</v>
      </c>
      <c r="G169" s="447">
        <f>G101*Calc_SEC_retirement_rates!$G148</f>
        <v>19.498504149010646</v>
      </c>
      <c r="H169" s="447">
        <f>H101*Calc_SEC_retirement_rates!$G148</f>
        <v>19.670091659303758</v>
      </c>
      <c r="I169" s="447">
        <f>I101*Calc_SEC_retirement_rates!$G148</f>
        <v>19.941046319285128</v>
      </c>
      <c r="J169" s="447">
        <f>J101*Calc_SEC_retirement_rates!$G148</f>
        <v>20.492405220778924</v>
      </c>
      <c r="K169" s="447">
        <f>K101*Calc_SEC_retirement_rates!$G148</f>
        <v>21.166849881207916</v>
      </c>
      <c r="L169" s="447">
        <f>L101*Calc_SEC_retirement_rates!$G148</f>
        <v>21.681947561099861</v>
      </c>
      <c r="M169" s="447">
        <f>M101*Calc_SEC_retirement_rates!$G148</f>
        <v>22.104099698986893</v>
      </c>
      <c r="N169" s="447">
        <f>N101*Calc_SEC_retirement_rates!$G148</f>
        <v>22.592496376849848</v>
      </c>
    </row>
    <row r="170" spans="1:14">
      <c r="B170" s="331" t="str">
        <f t="shared" si="60"/>
        <v>65 plus</v>
      </c>
      <c r="C170" s="447">
        <f>C102*Calc_SEC_retirement_rates!$G149</f>
        <v>4.6222567393052696</v>
      </c>
      <c r="D170" s="447">
        <f>D102*Calc_SEC_retirement_rates!$G149</f>
        <v>6.3191874708316487</v>
      </c>
      <c r="E170" s="447">
        <f>E102*Calc_SEC_retirement_rates!$G149</f>
        <v>7.250899918406704</v>
      </c>
      <c r="F170" s="447">
        <f>F102*Calc_SEC_retirement_rates!$G149</f>
        <v>7.8057260636218206</v>
      </c>
      <c r="G170" s="447">
        <f>G102*Calc_SEC_retirement_rates!$G149</f>
        <v>8.1096923480786867</v>
      </c>
      <c r="H170" s="447">
        <f>H102*Calc_SEC_retirement_rates!$G149</f>
        <v>8.2825467872624934</v>
      </c>
      <c r="I170" s="447">
        <f>I102*Calc_SEC_retirement_rates!$G149</f>
        <v>8.3857080604357961</v>
      </c>
      <c r="J170" s="447">
        <f>J102*Calc_SEC_retirement_rates!$G149</f>
        <v>8.5428364856156271</v>
      </c>
      <c r="K170" s="447">
        <f>K102*Calc_SEC_retirement_rates!$G149</f>
        <v>8.7415365957240514</v>
      </c>
      <c r="L170" s="447">
        <f>L102*Calc_SEC_retirement_rates!$G149</f>
        <v>8.894514807096261</v>
      </c>
      <c r="M170" s="447">
        <f>M102*Calc_SEC_retirement_rates!$G149</f>
        <v>9.0225662047256865</v>
      </c>
      <c r="N170" s="447">
        <f>N102*Calc_SEC_retirement_rates!$G149</f>
        <v>9.1879536989101407</v>
      </c>
    </row>
    <row r="171" spans="1:14">
      <c r="B171" s="331" t="str">
        <f t="shared" si="60"/>
        <v>Total</v>
      </c>
      <c r="C171" s="447">
        <f>SUM(C161:C170)</f>
        <v>61.328099621491837</v>
      </c>
      <c r="D171" s="447">
        <f t="shared" ref="D171:N171" si="62">SUM(D161:D170)</f>
        <v>61.443621800643697</v>
      </c>
      <c r="E171" s="447">
        <f t="shared" si="62"/>
        <v>62.030503153317213</v>
      </c>
      <c r="F171" s="447">
        <f t="shared" si="62"/>
        <v>63.446806977010048</v>
      </c>
      <c r="G171" s="447">
        <f t="shared" si="62"/>
        <v>65.035522618345283</v>
      </c>
      <c r="H171" s="447">
        <f t="shared" si="62"/>
        <v>66.726355593934954</v>
      </c>
      <c r="I171" s="447">
        <f t="shared" si="62"/>
        <v>68.386514220648223</v>
      </c>
      <c r="J171" s="447">
        <f t="shared" si="62"/>
        <v>70.544426052740349</v>
      </c>
      <c r="K171" s="447">
        <f t="shared" si="62"/>
        <v>72.852273537851303</v>
      </c>
      <c r="L171" s="447">
        <f t="shared" si="62"/>
        <v>74.589609473106137</v>
      </c>
      <c r="M171" s="447">
        <f t="shared" si="62"/>
        <v>75.927234814692056</v>
      </c>
      <c r="N171" s="447">
        <f t="shared" si="62"/>
        <v>77.313335644765914</v>
      </c>
    </row>
    <row r="172" spans="1:14">
      <c r="A172" s="302">
        <f>SUM(C172:N172)</f>
        <v>0</v>
      </c>
      <c r="C172" s="302">
        <f t="shared" ref="C172:N172" si="63">SUM(C161:C170)-C171</f>
        <v>0</v>
      </c>
      <c r="D172" s="302">
        <f t="shared" si="63"/>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1.0614573798362788E-2</v>
      </c>
      <c r="D180" s="447">
        <f>D78*Calc_SEC_death_rates!$G125</f>
        <v>1.0630824297845388E-2</v>
      </c>
      <c r="E180" s="447">
        <f>E78*Calc_SEC_death_rates!$G125</f>
        <v>1.0944179984218183E-2</v>
      </c>
      <c r="F180" s="447">
        <f>F78*Calc_SEC_death_rates!$G125</f>
        <v>1.1511150856388307E-2</v>
      </c>
      <c r="G180" s="447">
        <f>G78*Calc_SEC_death_rates!$G125</f>
        <v>1.2049774522080274E-2</v>
      </c>
      <c r="H180" s="447">
        <f>H78*Calc_SEC_death_rates!$G125</f>
        <v>1.2475786932496125E-2</v>
      </c>
      <c r="I180" s="447">
        <f>I78*Calc_SEC_death_rates!$G125</f>
        <v>1.2763917669554797E-2</v>
      </c>
      <c r="J180" s="447">
        <f>J78*Calc_SEC_death_rates!$G125</f>
        <v>1.3188073660043995E-2</v>
      </c>
      <c r="K180" s="447">
        <f>K78*Calc_SEC_death_rates!$G125</f>
        <v>1.3650580588777063E-2</v>
      </c>
      <c r="L180" s="447">
        <f>L78*Calc_SEC_death_rates!$G125</f>
        <v>1.3878227556126195E-2</v>
      </c>
      <c r="M180" s="447">
        <f>M78*Calc_SEC_death_rates!$G125</f>
        <v>1.3968516092627257E-2</v>
      </c>
      <c r="N180" s="447">
        <f>N78*Calc_SEC_death_rates!$G125</f>
        <v>1.413856355218762E-2</v>
      </c>
    </row>
    <row r="181" spans="1:14">
      <c r="B181" s="331" t="str">
        <f t="shared" si="64"/>
        <v>30-34</v>
      </c>
      <c r="C181" s="447">
        <f>C79*Calc_SEC_death_rates!$G126</f>
        <v>5.0933559160032102E-2</v>
      </c>
      <c r="D181" s="447">
        <f>D79*Calc_SEC_death_rates!$G126</f>
        <v>4.8255548866885517E-2</v>
      </c>
      <c r="E181" s="447">
        <f>E79*Calc_SEC_death_rates!$G126</f>
        <v>4.6475765490074754E-2</v>
      </c>
      <c r="F181" s="447">
        <f>F79*Calc_SEC_death_rates!$G126</f>
        <v>4.5579647034074799E-2</v>
      </c>
      <c r="G181" s="447">
        <f>G79*Calc_SEC_death_rates!$G126</f>
        <v>4.5224830676765068E-2</v>
      </c>
      <c r="H181" s="447">
        <f>H79*Calc_SEC_death_rates!$G126</f>
        <v>4.5143744803241341E-2</v>
      </c>
      <c r="I181" s="447">
        <f>I79*Calc_SEC_death_rates!$G126</f>
        <v>4.5170436703421746E-2</v>
      </c>
      <c r="J181" s="447">
        <f>J79*Calc_SEC_death_rates!$G126</f>
        <v>4.568300251620807E-2</v>
      </c>
      <c r="K181" s="447">
        <f>K79*Calc_SEC_death_rates!$G126</f>
        <v>4.6492755944361572E-2</v>
      </c>
      <c r="L181" s="447">
        <f>L79*Calc_SEC_death_rates!$G126</f>
        <v>4.7065901480846453E-2</v>
      </c>
      <c r="M181" s="447">
        <f>M79*Calc_SEC_death_rates!$G126</f>
        <v>4.7458933283945293E-2</v>
      </c>
      <c r="N181" s="447">
        <f>N79*Calc_SEC_death_rates!$G126</f>
        <v>4.7996925705005293E-2</v>
      </c>
    </row>
    <row r="182" spans="1:14">
      <c r="B182" s="331" t="str">
        <f t="shared" si="64"/>
        <v>35-39</v>
      </c>
      <c r="C182" s="447">
        <f>C80*Calc_SEC_death_rates!$G127</f>
        <v>0.1191205829312787</v>
      </c>
      <c r="D182" s="447">
        <f>D80*Calc_SEC_death_rates!$G127</f>
        <v>0.11306532331622565</v>
      </c>
      <c r="E182" s="447">
        <f>E80*Calc_SEC_death_rates!$G127</f>
        <v>0.10797326465963568</v>
      </c>
      <c r="F182" s="447">
        <f>F80*Calc_SEC_death_rates!$G127</f>
        <v>0.10375067242319815</v>
      </c>
      <c r="G182" s="447">
        <f>G80*Calc_SEC_death_rates!$G127</f>
        <v>0.1003428170473193</v>
      </c>
      <c r="H182" s="447">
        <f>H80*Calc_SEC_death_rates!$G127</f>
        <v>9.7532020522197616E-2</v>
      </c>
      <c r="I182" s="447">
        <f>I80*Calc_SEC_death_rates!$G127</f>
        <v>9.5221000668192821E-2</v>
      </c>
      <c r="J182" s="447">
        <f>J80*Calc_SEC_death_rates!$G127</f>
        <v>9.3947801564970623E-2</v>
      </c>
      <c r="K182" s="447">
        <f>K80*Calc_SEC_death_rates!$G127</f>
        <v>9.3443297996444435E-2</v>
      </c>
      <c r="L182" s="447">
        <f>L80*Calc_SEC_death_rates!$G127</f>
        <v>9.2995838306934697E-2</v>
      </c>
      <c r="M182" s="447">
        <f>M80*Calc_SEC_death_rates!$G127</f>
        <v>9.266668407173774E-2</v>
      </c>
      <c r="N182" s="447">
        <f>N80*Calc_SEC_death_rates!$G127</f>
        <v>9.2820952793441852E-2</v>
      </c>
    </row>
    <row r="183" spans="1:14">
      <c r="B183" s="331" t="str">
        <f t="shared" si="64"/>
        <v>40-44</v>
      </c>
      <c r="C183" s="447">
        <f>C81*Calc_SEC_death_rates!$G128</f>
        <v>0.13766621115925265</v>
      </c>
      <c r="D183" s="447">
        <f>D81*Calc_SEC_death_rates!$G128</f>
        <v>0.14182811948248042</v>
      </c>
      <c r="E183" s="447">
        <f>E81*Calc_SEC_death_rates!$G128</f>
        <v>0.14374760527106076</v>
      </c>
      <c r="F183" s="447">
        <f>F81*Calc_SEC_death_rates!$G128</f>
        <v>0.14394794200202948</v>
      </c>
      <c r="G183" s="447">
        <f>G81*Calc_SEC_death_rates!$G128</f>
        <v>0.14303696942627339</v>
      </c>
      <c r="H183" s="447">
        <f>H81*Calc_SEC_death_rates!$G128</f>
        <v>0.1412369516962903</v>
      </c>
      <c r="I183" s="447">
        <f>I81*Calc_SEC_death_rates!$G128</f>
        <v>0.13889213347007259</v>
      </c>
      <c r="J183" s="447">
        <f>J81*Calc_SEC_death_rates!$G128</f>
        <v>0.13706192982219606</v>
      </c>
      <c r="K183" s="447">
        <f>K81*Calc_SEC_death_rates!$G128</f>
        <v>0.13567504823649679</v>
      </c>
      <c r="L183" s="447">
        <f>L81*Calc_SEC_death_rates!$G128</f>
        <v>0.13405519776055674</v>
      </c>
      <c r="M183" s="447">
        <f>M81*Calc_SEC_death_rates!$G128</f>
        <v>0.13248091168703452</v>
      </c>
      <c r="N183" s="447">
        <f>N81*Calc_SEC_death_rates!$G128</f>
        <v>0.13154541376469167</v>
      </c>
    </row>
    <row r="184" spans="1:14">
      <c r="B184" s="331" t="str">
        <f t="shared" si="64"/>
        <v>45-49</v>
      </c>
      <c r="C184" s="447">
        <f>C82*Calc_SEC_death_rates!$G129</f>
        <v>0.16599219317691746</v>
      </c>
      <c r="D184" s="447">
        <f>D82*Calc_SEC_death_rates!$G129</f>
        <v>0.16896744732526886</v>
      </c>
      <c r="E184" s="447">
        <f>E82*Calc_SEC_death_rates!$G129</f>
        <v>0.17299671183241533</v>
      </c>
      <c r="F184" s="447">
        <f>F82*Calc_SEC_death_rates!$G129</f>
        <v>0.1766949570197133</v>
      </c>
      <c r="G184" s="447">
        <f>G82*Calc_SEC_death_rates!$G129</f>
        <v>0.17961869815742107</v>
      </c>
      <c r="H184" s="447">
        <f>H82*Calc_SEC_death_rates!$G129</f>
        <v>0.18127645617196148</v>
      </c>
      <c r="I184" s="447">
        <f>I82*Calc_SEC_death_rates!$G129</f>
        <v>0.18169069122191253</v>
      </c>
      <c r="J184" s="447">
        <f>J82*Calc_SEC_death_rates!$G129</f>
        <v>0.18200887046403574</v>
      </c>
      <c r="K184" s="447">
        <f>K82*Calc_SEC_death_rates!$G129</f>
        <v>0.18212210059815451</v>
      </c>
      <c r="L184" s="447">
        <f>L82*Calc_SEC_death_rates!$G129</f>
        <v>0.18124854631223297</v>
      </c>
      <c r="M184" s="447">
        <f>M82*Calc_SEC_death_rates!$G129</f>
        <v>0.17983825459173505</v>
      </c>
      <c r="N184" s="447">
        <f>N82*Calc_SEC_death_rates!$G129</f>
        <v>0.17875928304662081</v>
      </c>
    </row>
    <row r="185" spans="1:14">
      <c r="B185" s="331" t="str">
        <f t="shared" si="64"/>
        <v>50-54</v>
      </c>
      <c r="C185" s="447">
        <f>C83*Calc_SEC_death_rates!$G130</f>
        <v>0.16882068662976019</v>
      </c>
      <c r="D185" s="447">
        <f>D83*Calc_SEC_death_rates!$G130</f>
        <v>0.16264131429660525</v>
      </c>
      <c r="E185" s="447">
        <f>E83*Calc_SEC_death_rates!$G130</f>
        <v>0.15955267568003459</v>
      </c>
      <c r="F185" s="447">
        <f>F83*Calc_SEC_death_rates!$G130</f>
        <v>0.15835647534827618</v>
      </c>
      <c r="G185" s="447">
        <f>G83*Calc_SEC_death_rates!$G130</f>
        <v>0.15845134855475437</v>
      </c>
      <c r="H185" s="447">
        <f>H83*Calc_SEC_death_rates!$G130</f>
        <v>0.15893920820021323</v>
      </c>
      <c r="I185" s="447">
        <f>I83*Calc_SEC_death_rates!$G130</f>
        <v>0.15937820205061876</v>
      </c>
      <c r="J185" s="447">
        <f>J83*Calc_SEC_death_rates!$G130</f>
        <v>0.16036466381964309</v>
      </c>
      <c r="K185" s="447">
        <f>K83*Calc_SEC_death_rates!$G130</f>
        <v>0.16147521818461624</v>
      </c>
      <c r="L185" s="447">
        <f>L83*Calc_SEC_death_rates!$G130</f>
        <v>0.16178991481851585</v>
      </c>
      <c r="M185" s="447">
        <f>M83*Calc_SEC_death_rates!$G130</f>
        <v>0.16155055186622017</v>
      </c>
      <c r="N185" s="447">
        <f>N83*Calc_SEC_death_rates!$G130</f>
        <v>0.16142682376235085</v>
      </c>
    </row>
    <row r="186" spans="1:14">
      <c r="B186" s="331" t="str">
        <f t="shared" si="64"/>
        <v>55-59</v>
      </c>
      <c r="C186" s="447">
        <f>C84*Calc_SEC_death_rates!$G131</f>
        <v>0.14976217550785709</v>
      </c>
      <c r="D186" s="447">
        <f>D84*Calc_SEC_death_rates!$G131</f>
        <v>0.1394238084852461</v>
      </c>
      <c r="E186" s="447">
        <f>E84*Calc_SEC_death_rates!$G131</f>
        <v>0.13214916820256639</v>
      </c>
      <c r="F186" s="447">
        <f>F84*Calc_SEC_death_rates!$G131</f>
        <v>0.12728222606862952</v>
      </c>
      <c r="G186" s="447">
        <f>G84*Calc_SEC_death_rates!$G131</f>
        <v>0.12412537341768556</v>
      </c>
      <c r="H186" s="447">
        <f>H84*Calc_SEC_death_rates!$G131</f>
        <v>0.12206120649227903</v>
      </c>
      <c r="I186" s="447">
        <f>I84*Calc_SEC_death_rates!$G131</f>
        <v>0.12069665896537314</v>
      </c>
      <c r="J186" s="447">
        <f>J84*Calc_SEC_death_rates!$G131</f>
        <v>0.12053383509405462</v>
      </c>
      <c r="K186" s="447">
        <f>K84*Calc_SEC_death_rates!$G131</f>
        <v>0.12100206908393772</v>
      </c>
      <c r="L186" s="447">
        <f>L84*Calc_SEC_death_rates!$G131</f>
        <v>0.12109334748245265</v>
      </c>
      <c r="M186" s="447">
        <f>M84*Calc_SEC_death_rates!$G131</f>
        <v>0.12096582180397282</v>
      </c>
      <c r="N186" s="447">
        <f>N84*Calc_SEC_death_rates!$G131</f>
        <v>0.12115246712124024</v>
      </c>
    </row>
    <row r="187" spans="1:14">
      <c r="B187" s="331" t="str">
        <f t="shared" si="64"/>
        <v>60-64</v>
      </c>
      <c r="C187" s="447">
        <f>C85*Calc_SEC_death_rates!$G132</f>
        <v>0.11991898525589041</v>
      </c>
      <c r="D187" s="447">
        <f>D85*Calc_SEC_death_rates!$G132</f>
        <v>0.1054294586935236</v>
      </c>
      <c r="E187" s="447">
        <f>E85*Calc_SEC_death_rates!$G132</f>
        <v>9.5816306206921886E-2</v>
      </c>
      <c r="F187" s="447">
        <f>F85*Calc_SEC_death_rates!$G132</f>
        <v>8.9403203749467322E-2</v>
      </c>
      <c r="G187" s="447">
        <f>G85*Calc_SEC_death_rates!$G132</f>
        <v>8.493566418754378E-2</v>
      </c>
      <c r="H187" s="447">
        <f>H85*Calc_SEC_death_rates!$G132</f>
        <v>8.169364387812908E-2</v>
      </c>
      <c r="I187" s="447">
        <f>I85*Calc_SEC_death_rates!$G132</f>
        <v>7.9300499398447952E-2</v>
      </c>
      <c r="J187" s="447">
        <f>J85*Calc_SEC_death_rates!$G132</f>
        <v>7.8234164321757574E-2</v>
      </c>
      <c r="K187" s="447">
        <f>K85*Calc_SEC_death_rates!$G132</f>
        <v>7.7939418776604139E-2</v>
      </c>
      <c r="L187" s="447">
        <f>L85*Calc_SEC_death_rates!$G132</f>
        <v>7.7482983989460283E-2</v>
      </c>
      <c r="M187" s="447">
        <f>M85*Calc_SEC_death_rates!$G132</f>
        <v>7.7035946738949757E-2</v>
      </c>
      <c r="N187" s="447">
        <f>N85*Calc_SEC_death_rates!$G132</f>
        <v>7.7067669178118275E-2</v>
      </c>
    </row>
    <row r="188" spans="1:14">
      <c r="B188" s="331" t="str">
        <f t="shared" si="64"/>
        <v>65 plus</v>
      </c>
      <c r="C188" s="447">
        <f>C86*Calc_SEC_death_rates!$G133</f>
        <v>4.6569271361776819E-2</v>
      </c>
      <c r="D188" s="447">
        <f>D86*Calc_SEC_death_rates!$G133</f>
        <v>4.6891718783570624E-2</v>
      </c>
      <c r="E188" s="447">
        <f>E86*Calc_SEC_death_rates!$G133</f>
        <v>4.5411553813215773E-2</v>
      </c>
      <c r="F188" s="447">
        <f>F86*Calc_SEC_death_rates!$G133</f>
        <v>4.3291236036440278E-2</v>
      </c>
      <c r="G188" s="447">
        <f>G86*Calc_SEC_death_rates!$G133</f>
        <v>4.122077825104252E-2</v>
      </c>
      <c r="H188" s="447">
        <f>H86*Calc_SEC_death_rates!$G133</f>
        <v>3.9306309500790074E-2</v>
      </c>
      <c r="I188" s="447">
        <f>I86*Calc_SEC_death_rates!$G133</f>
        <v>3.7626602983641996E-2</v>
      </c>
      <c r="J188" s="447">
        <f>J86*Calc_SEC_death_rates!$G133</f>
        <v>3.6514612825821427E-2</v>
      </c>
      <c r="K188" s="447">
        <f>K86*Calc_SEC_death_rates!$G133</f>
        <v>3.5830570035884621E-2</v>
      </c>
      <c r="L188" s="447">
        <f>L86*Calc_SEC_death_rates!$G133</f>
        <v>3.5195158568483965E-2</v>
      </c>
      <c r="M188" s="447">
        <f>M86*Calc_SEC_death_rates!$G133</f>
        <v>3.464875505974329E-2</v>
      </c>
      <c r="N188" s="447">
        <f>N86*Calc_SEC_death_rates!$G133</f>
        <v>3.4387909918787214E-2</v>
      </c>
    </row>
    <row r="189" spans="1:14">
      <c r="B189" s="331" t="str">
        <f t="shared" si="64"/>
        <v>Total</v>
      </c>
      <c r="C189" s="447">
        <f>SUM(C179:C188)</f>
        <v>0.96939823898112809</v>
      </c>
      <c r="D189" s="447">
        <f t="shared" ref="D189:N189" si="66">SUM(D179:D188)</f>
        <v>0.93713356354765143</v>
      </c>
      <c r="E189" s="447">
        <f t="shared" si="66"/>
        <v>0.91506723114014332</v>
      </c>
      <c r="F189" s="447">
        <f t="shared" si="66"/>
        <v>0.89981751053821735</v>
      </c>
      <c r="G189" s="447">
        <f t="shared" si="66"/>
        <v>0.88900625424088542</v>
      </c>
      <c r="H189" s="447">
        <f t="shared" si="66"/>
        <v>0.87966532819759824</v>
      </c>
      <c r="I189" s="447">
        <f t="shared" si="66"/>
        <v>0.87074014313123638</v>
      </c>
      <c r="J189" s="447">
        <f t="shared" si="66"/>
        <v>0.86753695408873122</v>
      </c>
      <c r="K189" s="447">
        <f t="shared" si="66"/>
        <v>0.86763105944527719</v>
      </c>
      <c r="L189" s="447">
        <f t="shared" si="66"/>
        <v>0.86480511627560996</v>
      </c>
      <c r="M189" s="447">
        <f t="shared" si="66"/>
        <v>0.86061437519596595</v>
      </c>
      <c r="N189" s="447">
        <f t="shared" si="66"/>
        <v>0.85929600884244384</v>
      </c>
    </row>
    <row r="190" spans="1:14">
      <c r="A190" s="302">
        <f>SUM(C190:N190)</f>
        <v>0</v>
      </c>
      <c r="C190" s="302">
        <f t="shared" ref="C190:N190" si="67">SUM(C179:C188)-C189</f>
        <v>0</v>
      </c>
      <c r="D190" s="302">
        <f t="shared" si="67"/>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6.4141775434560372E-2</v>
      </c>
      <c r="D196" s="447">
        <f>D94*Calc_SEC_death_rates!$G141</f>
        <v>6.0056914523822259E-2</v>
      </c>
      <c r="E196" s="447">
        <f>E94*Calc_SEC_death_rates!$G141</f>
        <v>5.8066500066578271E-2</v>
      </c>
      <c r="F196" s="447">
        <f>F94*Calc_SEC_death_rates!$G141</f>
        <v>5.8037509332220891E-2</v>
      </c>
      <c r="G196" s="447">
        <f>G94*Calc_SEC_death_rates!$G141</f>
        <v>5.8343899835815012E-2</v>
      </c>
      <c r="H196" s="447">
        <f>H94*Calc_SEC_death_rates!$G141</f>
        <v>5.8648034972682568E-2</v>
      </c>
      <c r="I196" s="447">
        <f>I94*Calc_SEC_death_rates!$G141</f>
        <v>5.8726997076020311E-2</v>
      </c>
      <c r="J196" s="447">
        <f>J94*Calc_SEC_death_rates!$G141</f>
        <v>5.9685398063300261E-2</v>
      </c>
      <c r="K196" s="447">
        <f>K94*Calc_SEC_death_rates!$G141</f>
        <v>6.1028182941335662E-2</v>
      </c>
      <c r="L196" s="447">
        <f>L94*Calc_SEC_death_rates!$G141</f>
        <v>6.1513003716154695E-2</v>
      </c>
      <c r="M196" s="447">
        <f>M94*Calc_SEC_death_rates!$G141</f>
        <v>6.1525711339741447E-2</v>
      </c>
      <c r="N196" s="447">
        <f>N94*Calc_SEC_death_rates!$G141</f>
        <v>6.1981351719947231E-2</v>
      </c>
    </row>
    <row r="197" spans="1:14">
      <c r="B197" s="331" t="str">
        <f t="shared" si="68"/>
        <v>30-34</v>
      </c>
      <c r="C197" s="447">
        <f>C95*Calc_SEC_death_rates!$G142</f>
        <v>7.8160248549043285E-2</v>
      </c>
      <c r="D197" s="447">
        <f>D95*Calc_SEC_death_rates!$G142</f>
        <v>7.1732383711532399E-2</v>
      </c>
      <c r="E197" s="447">
        <f>E95*Calc_SEC_death_rates!$G142</f>
        <v>6.6488134762275608E-2</v>
      </c>
      <c r="F197" s="447">
        <f>F95*Calc_SEC_death_rates!$G142</f>
        <v>6.2685914190050956E-2</v>
      </c>
      <c r="G197" s="447">
        <f>G95*Calc_SEC_death_rates!$G142</f>
        <v>5.9757710222186802E-2</v>
      </c>
      <c r="H197" s="447">
        <f>H95*Calc_SEC_death_rates!$G142</f>
        <v>5.752686131127608E-2</v>
      </c>
      <c r="I197" s="447">
        <f>I95*Calc_SEC_death_rates!$G142</f>
        <v>5.5769050263139608E-2</v>
      </c>
      <c r="J197" s="447">
        <f>J95*Calc_SEC_death_rates!$G142</f>
        <v>5.4865587546552463E-2</v>
      </c>
      <c r="K197" s="447">
        <f>K95*Calc_SEC_death_rates!$G142</f>
        <v>5.4557115569600842E-2</v>
      </c>
      <c r="L197" s="447">
        <f>L95*Calc_SEC_death_rates!$G142</f>
        <v>5.4203053407425747E-2</v>
      </c>
      <c r="M197" s="447">
        <f>M95*Calc_SEC_death_rates!$G142</f>
        <v>5.3834425118408552E-2</v>
      </c>
      <c r="N197" s="447">
        <f>N95*Calc_SEC_death_rates!$G142</f>
        <v>5.3785427895760192E-2</v>
      </c>
    </row>
    <row r="198" spans="1:14">
      <c r="B198" s="331" t="str">
        <f t="shared" si="68"/>
        <v>35-39</v>
      </c>
      <c r="C198" s="447">
        <f>C96*Calc_SEC_death_rates!$G143</f>
        <v>0.3532134032584659</v>
      </c>
      <c r="D198" s="447">
        <f>D96*Calc_SEC_death_rates!$G143</f>
        <v>0.34749119552079233</v>
      </c>
      <c r="E198" s="447">
        <f>E96*Calc_SEC_death_rates!$G143</f>
        <v>0.33763738834146817</v>
      </c>
      <c r="F198" s="447">
        <f>F96*Calc_SEC_death_rates!$G143</f>
        <v>0.3265810695745574</v>
      </c>
      <c r="G198" s="447">
        <f>G96*Calc_SEC_death_rates!$G143</f>
        <v>0.31447485796545943</v>
      </c>
      <c r="H198" s="447">
        <f>H96*Calc_SEC_death_rates!$G143</f>
        <v>0.30253900157626784</v>
      </c>
      <c r="I198" s="447">
        <f>I96*Calc_SEC_death_rates!$G143</f>
        <v>0.2912309655070765</v>
      </c>
      <c r="J198" s="447">
        <f>J96*Calc_SEC_death_rates!$G143</f>
        <v>0.28255743648400194</v>
      </c>
      <c r="K198" s="447">
        <f>K96*Calc_SEC_death_rates!$G143</f>
        <v>0.27608293994549227</v>
      </c>
      <c r="L198" s="447">
        <f>L96*Calc_SEC_death_rates!$G143</f>
        <v>0.27002015653754524</v>
      </c>
      <c r="M198" s="447">
        <f>M96*Calc_SEC_death_rates!$G143</f>
        <v>0.26467205358969836</v>
      </c>
      <c r="N198" s="447">
        <f>N96*Calc_SEC_death_rates!$G143</f>
        <v>0.26112290796650067</v>
      </c>
    </row>
    <row r="199" spans="1:14">
      <c r="B199" s="331" t="str">
        <f t="shared" si="68"/>
        <v>40-44</v>
      </c>
      <c r="C199" s="447">
        <f>C97*Calc_SEC_death_rates!$G144</f>
        <v>0.21876035222384124</v>
      </c>
      <c r="D199" s="447">
        <f>D97*Calc_SEC_death_rates!$G144</f>
        <v>0.23032008391126474</v>
      </c>
      <c r="E199" s="447">
        <f>E97*Calc_SEC_death_rates!$G144</f>
        <v>0.23802168028461013</v>
      </c>
      <c r="F199" s="447">
        <f>F97*Calc_SEC_death_rates!$G144</f>
        <v>0.24276460349683579</v>
      </c>
      <c r="G199" s="447">
        <f>G97*Calc_SEC_death_rates!$G144</f>
        <v>0.2440463274280025</v>
      </c>
      <c r="H199" s="447">
        <f>H97*Calc_SEC_death_rates!$G144</f>
        <v>0.24273855201395853</v>
      </c>
      <c r="I199" s="447">
        <f>I97*Calc_SEC_death_rates!$G144</f>
        <v>0.23946737272848262</v>
      </c>
      <c r="J199" s="447">
        <f>J97*Calc_SEC_death_rates!$G144</f>
        <v>0.23612974049026786</v>
      </c>
      <c r="K199" s="447">
        <f>K97*Calc_SEC_death_rates!$G144</f>
        <v>0.23280036093152687</v>
      </c>
      <c r="L199" s="447">
        <f>L97*Calc_SEC_death_rates!$G144</f>
        <v>0.22856473000666641</v>
      </c>
      <c r="M199" s="447">
        <f>M97*Calc_SEC_death_rates!$G144</f>
        <v>0.22406029240845021</v>
      </c>
      <c r="N199" s="447">
        <f>N97*Calc_SEC_death_rates!$G144</f>
        <v>0.22041112063916732</v>
      </c>
    </row>
    <row r="200" spans="1:14">
      <c r="B200" s="331" t="str">
        <f t="shared" si="68"/>
        <v>45-49</v>
      </c>
      <c r="C200" s="447">
        <f>C98*Calc_SEC_death_rates!$G145</f>
        <v>0.26832913714589812</v>
      </c>
      <c r="D200" s="447">
        <f>D98*Calc_SEC_death_rates!$G145</f>
        <v>0.29321198331695536</v>
      </c>
      <c r="E200" s="447">
        <f>E98*Calc_SEC_death_rates!$G145</f>
        <v>0.31567254788926674</v>
      </c>
      <c r="F200" s="447">
        <f>F98*Calc_SEC_death_rates!$G145</f>
        <v>0.3358692124211235</v>
      </c>
      <c r="G200" s="447">
        <f>G98*Calc_SEC_death_rates!$G145</f>
        <v>0.35157611042776693</v>
      </c>
      <c r="H200" s="447">
        <f>H98*Calc_SEC_death_rates!$G145</f>
        <v>0.36295719720614422</v>
      </c>
      <c r="I200" s="447">
        <f>I98*Calc_SEC_death_rates!$G145</f>
        <v>0.3701301456009789</v>
      </c>
      <c r="J200" s="447">
        <f>J98*Calc_SEC_death_rates!$G145</f>
        <v>0.37557679446215031</v>
      </c>
      <c r="K200" s="447">
        <f>K98*Calc_SEC_death_rates!$G145</f>
        <v>0.37916156152530739</v>
      </c>
      <c r="L200" s="447">
        <f>L98*Calc_SEC_death_rates!$G145</f>
        <v>0.37938015620548343</v>
      </c>
      <c r="M200" s="447">
        <f>M98*Calc_SEC_death_rates!$G145</f>
        <v>0.37735803749953029</v>
      </c>
      <c r="N200" s="447">
        <f>N98*Calc_SEC_death_rates!$G145</f>
        <v>0.37510740745765075</v>
      </c>
    </row>
    <row r="201" spans="1:14">
      <c r="B201" s="331" t="str">
        <f t="shared" si="68"/>
        <v>50-54</v>
      </c>
      <c r="C201" s="447">
        <f>C99*Calc_SEC_death_rates!$G146</f>
        <v>0.31322012679416905</v>
      </c>
      <c r="D201" s="447">
        <f>D99*Calc_SEC_death_rates!$G146</f>
        <v>0.32763764151439634</v>
      </c>
      <c r="E201" s="447">
        <f>E99*Calc_SEC_death_rates!$G146</f>
        <v>0.3456519275498483</v>
      </c>
      <c r="F201" s="447">
        <f>F99*Calc_SEC_death_rates!$G146</f>
        <v>0.36664214634626585</v>
      </c>
      <c r="G201" s="447">
        <f>G99*Calc_SEC_death_rates!$G146</f>
        <v>0.38680257602981172</v>
      </c>
      <c r="H201" s="447">
        <f>H99*Calc_SEC_death_rates!$G146</f>
        <v>0.40518623303590351</v>
      </c>
      <c r="I201" s="447">
        <f>I99*Calc_SEC_death_rates!$G146</f>
        <v>0.42083039296932068</v>
      </c>
      <c r="J201" s="447">
        <f>J99*Calc_SEC_death_rates!$G146</f>
        <v>0.43581968714351277</v>
      </c>
      <c r="K201" s="447">
        <f>K99*Calc_SEC_death_rates!$G146</f>
        <v>0.44909055740863008</v>
      </c>
      <c r="L201" s="447">
        <f>L99*Calc_SEC_death_rates!$G146</f>
        <v>0.45805075378170995</v>
      </c>
      <c r="M201" s="447">
        <f>M99*Calc_SEC_death_rates!$G146</f>
        <v>0.4636109406717237</v>
      </c>
      <c r="N201" s="447">
        <f>N99*Calc_SEC_death_rates!$G146</f>
        <v>0.46796950544501031</v>
      </c>
    </row>
    <row r="202" spans="1:14">
      <c r="B202" s="331" t="str">
        <f t="shared" si="68"/>
        <v>55-59</v>
      </c>
      <c r="C202" s="447">
        <f>C100*Calc_SEC_death_rates!$G147</f>
        <v>0.27642269759412774</v>
      </c>
      <c r="D202" s="447">
        <f>D100*Calc_SEC_death_rates!$G147</f>
        <v>0.27121329035986719</v>
      </c>
      <c r="E202" s="447">
        <f>E100*Calc_SEC_death_rates!$G147</f>
        <v>0.27202318796731445</v>
      </c>
      <c r="F202" s="447">
        <f>F100*Calc_SEC_death_rates!$G147</f>
        <v>0.27866110787090015</v>
      </c>
      <c r="G202" s="447">
        <f>G100*Calc_SEC_death_rates!$G147</f>
        <v>0.28741680918199786</v>
      </c>
      <c r="H202" s="447">
        <f>H100*Calc_SEC_death_rates!$G147</f>
        <v>0.29726186599377563</v>
      </c>
      <c r="I202" s="447">
        <f>I100*Calc_SEC_death_rates!$G147</f>
        <v>0.3071421318601002</v>
      </c>
      <c r="J202" s="447">
        <f>J100*Calc_SEC_death_rates!$G147</f>
        <v>0.31880693076103389</v>
      </c>
      <c r="K202" s="447">
        <f>K100*Calc_SEC_death_rates!$G147</f>
        <v>0.33067753977293918</v>
      </c>
      <c r="L202" s="447">
        <f>L100*Calc_SEC_death_rates!$G147</f>
        <v>0.33979190993939945</v>
      </c>
      <c r="M202" s="447">
        <f>M100*Calc_SEC_death_rates!$G147</f>
        <v>0.3467796448723206</v>
      </c>
      <c r="N202" s="447">
        <f>N100*Calc_SEC_death_rates!$G147</f>
        <v>0.3534256728725147</v>
      </c>
    </row>
    <row r="203" spans="1:14">
      <c r="B203" s="331" t="str">
        <f t="shared" si="68"/>
        <v>60-64</v>
      </c>
      <c r="C203" s="447">
        <f>C101*Calc_SEC_death_rates!$G148</f>
        <v>0.12751651576609824</v>
      </c>
      <c r="D203" s="447">
        <f>D101*Calc_SEC_death_rates!$G148</f>
        <v>0.11937200220588372</v>
      </c>
      <c r="E203" s="447">
        <f>E101*Calc_SEC_death_rates!$G148</f>
        <v>0.11460292696150146</v>
      </c>
      <c r="F203" s="447">
        <f>F101*Calc_SEC_death_rates!$G148</f>
        <v>0.11319148322086603</v>
      </c>
      <c r="G203" s="447">
        <f>G101*Calc_SEC_death_rates!$G148</f>
        <v>0.11319237754826451</v>
      </c>
      <c r="H203" s="447">
        <f>H101*Calc_SEC_death_rates!$G148</f>
        <v>0.11418847438211574</v>
      </c>
      <c r="I203" s="447">
        <f>I101*Calc_SEC_death_rates!$G148</f>
        <v>0.11576141566708242</v>
      </c>
      <c r="J203" s="447">
        <f>J101*Calc_SEC_death_rates!$G148</f>
        <v>0.11896215478355709</v>
      </c>
      <c r="K203" s="447">
        <f>K101*Calc_SEC_death_rates!$G148</f>
        <v>0.12287742920949625</v>
      </c>
      <c r="L203" s="447">
        <f>L101*Calc_SEC_death_rates!$G148</f>
        <v>0.12586766531227556</v>
      </c>
      <c r="M203" s="447">
        <f>M101*Calc_SEC_death_rates!$G148</f>
        <v>0.12831833556930347</v>
      </c>
      <c r="N203" s="447">
        <f>N101*Calc_SEC_death_rates!$G148</f>
        <v>0.131153567478967</v>
      </c>
    </row>
    <row r="204" spans="1:14">
      <c r="B204" s="331" t="str">
        <f t="shared" si="68"/>
        <v>65 plus</v>
      </c>
      <c r="C204" s="447">
        <f>C102*Calc_SEC_death_rates!$G149</f>
        <v>0.11357806749148824</v>
      </c>
      <c r="D204" s="447">
        <f>D102*Calc_SEC_death_rates!$G149</f>
        <v>0.15527504020933253</v>
      </c>
      <c r="E204" s="447">
        <f>E102*Calc_SEC_death_rates!$G149</f>
        <v>0.17816907341036248</v>
      </c>
      <c r="F204" s="447">
        <f>F102*Calc_SEC_death_rates!$G149</f>
        <v>0.19180225843693807</v>
      </c>
      <c r="G204" s="447">
        <f>G102*Calc_SEC_death_rates!$G149</f>
        <v>0.19927131632755793</v>
      </c>
      <c r="H204" s="447">
        <f>H102*Calc_SEC_death_rates!$G149</f>
        <v>0.20351869466828865</v>
      </c>
      <c r="I204" s="447">
        <f>I102*Calc_SEC_death_rates!$G149</f>
        <v>0.20605357291236176</v>
      </c>
      <c r="J204" s="447">
        <f>J102*Calc_SEC_death_rates!$G149</f>
        <v>0.20991453172240579</v>
      </c>
      <c r="K204" s="447">
        <f>K102*Calc_SEC_death_rates!$G149</f>
        <v>0.21479698974871023</v>
      </c>
      <c r="L204" s="447">
        <f>L102*Calc_SEC_death_rates!$G149</f>
        <v>0.21855596952761608</v>
      </c>
      <c r="M204" s="447">
        <f>M102*Calc_SEC_death_rates!$G149</f>
        <v>0.2217024477746293</v>
      </c>
      <c r="N204" s="447">
        <f>N102*Calc_SEC_death_rates!$G149</f>
        <v>0.22576634838339418</v>
      </c>
    </row>
    <row r="205" spans="1:14">
      <c r="B205" s="331" t="str">
        <f t="shared" si="68"/>
        <v>Total</v>
      </c>
      <c r="C205" s="447">
        <f>SUM(C195:C204)</f>
        <v>1.8133423242576923</v>
      </c>
      <c r="D205" s="447">
        <f t="shared" ref="D205:N205" si="70">SUM(D195:D204)</f>
        <v>1.8763105352738469</v>
      </c>
      <c r="E205" s="447">
        <f t="shared" si="70"/>
        <v>1.9263333672332255</v>
      </c>
      <c r="F205" s="447">
        <f t="shared" si="70"/>
        <v>1.9762353048897587</v>
      </c>
      <c r="G205" s="447">
        <f t="shared" si="70"/>
        <v>2.0148819849668631</v>
      </c>
      <c r="H205" s="447">
        <f t="shared" si="70"/>
        <v>2.0445649151604126</v>
      </c>
      <c r="I205" s="447">
        <f t="shared" si="70"/>
        <v>2.0651120445845632</v>
      </c>
      <c r="J205" s="447">
        <f t="shared" si="70"/>
        <v>2.0923182614567826</v>
      </c>
      <c r="K205" s="447">
        <f t="shared" si="70"/>
        <v>2.1210726770530388</v>
      </c>
      <c r="L205" s="447">
        <f t="shared" si="70"/>
        <v>2.1359473984342765</v>
      </c>
      <c r="M205" s="447">
        <f t="shared" si="70"/>
        <v>2.1418618888438057</v>
      </c>
      <c r="N205" s="447">
        <f t="shared" si="70"/>
        <v>2.1507233098589125</v>
      </c>
    </row>
    <row r="206" spans="1:14">
      <c r="A206" s="302">
        <f>SUM(C206:N206)</f>
        <v>0</v>
      </c>
      <c r="C206" s="302">
        <f t="shared" ref="C206:N206" si="71">SUM(C195:C204)-C205</f>
        <v>0</v>
      </c>
      <c r="D206" s="302">
        <f t="shared" si="71"/>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3.2340689052206346</v>
      </c>
      <c r="D213" s="447">
        <f t="shared" ref="D213:N213" si="75">D111+D145+D179</f>
        <v>4.786400566996468</v>
      </c>
      <c r="E213" s="447">
        <f t="shared" si="75"/>
        <v>6.2456113512670806</v>
      </c>
      <c r="F213" s="447">
        <f t="shared" si="75"/>
        <v>7.2083048791723998</v>
      </c>
      <c r="G213" s="447">
        <f t="shared" si="75"/>
        <v>7.9448452099324545</v>
      </c>
      <c r="H213" s="447">
        <f t="shared" si="75"/>
        <v>8.3986424635959072</v>
      </c>
      <c r="I213" s="447">
        <f t="shared" si="75"/>
        <v>8.6338704036686273</v>
      </c>
      <c r="J213" s="447">
        <f t="shared" si="75"/>
        <v>8.991487422441665</v>
      </c>
      <c r="K213" s="447">
        <f t="shared" si="75"/>
        <v>9.3555497695141554</v>
      </c>
      <c r="L213" s="447">
        <f t="shared" si="75"/>
        <v>9.449414172053018</v>
      </c>
      <c r="M213" s="447">
        <f t="shared" si="75"/>
        <v>9.4246822764212652</v>
      </c>
      <c r="N213" s="447">
        <f t="shared" si="75"/>
        <v>9.5198031482560488</v>
      </c>
    </row>
    <row r="214" spans="1:14">
      <c r="B214" s="331" t="str">
        <f t="shared" si="72"/>
        <v>25-29</v>
      </c>
      <c r="C214" s="447">
        <f t="shared" si="74"/>
        <v>11.268566062388903</v>
      </c>
      <c r="D214" s="447">
        <f t="shared" ref="D214:N214" si="76">D112+D146+D180</f>
        <v>10.880423899336455</v>
      </c>
      <c r="E214" s="447">
        <f t="shared" si="76"/>
        <v>11.621072362547315</v>
      </c>
      <c r="F214" s="447">
        <f t="shared" si="76"/>
        <v>11.99380586492056</v>
      </c>
      <c r="G214" s="447">
        <f t="shared" si="76"/>
        <v>12.555013667785568</v>
      </c>
      <c r="H214" s="447">
        <f t="shared" si="76"/>
        <v>12.99888849927029</v>
      </c>
      <c r="I214" s="447">
        <f t="shared" si="76"/>
        <v>13.299100369231175</v>
      </c>
      <c r="J214" s="447">
        <f t="shared" si="76"/>
        <v>13.741040942318817</v>
      </c>
      <c r="K214" s="447">
        <f t="shared" si="76"/>
        <v>14.222940483347465</v>
      </c>
      <c r="L214" s="447">
        <f t="shared" si="76"/>
        <v>14.460132538788921</v>
      </c>
      <c r="M214" s="447">
        <f t="shared" si="76"/>
        <v>14.554206814431007</v>
      </c>
      <c r="N214" s="447">
        <f t="shared" si="76"/>
        <v>14.731384252485176</v>
      </c>
    </row>
    <row r="215" spans="1:14">
      <c r="B215" s="331" t="str">
        <f t="shared" si="72"/>
        <v>30-34</v>
      </c>
      <c r="C215" s="447">
        <f t="shared" si="74"/>
        <v>13.244838793543872</v>
      </c>
      <c r="D215" s="447">
        <f t="shared" ref="D215:N215" si="77">D113+D147+D181</f>
        <v>12.099870424207419</v>
      </c>
      <c r="E215" s="447">
        <f t="shared" si="77"/>
        <v>12.088310887775409</v>
      </c>
      <c r="F215" s="447">
        <f t="shared" si="77"/>
        <v>11.633900575309072</v>
      </c>
      <c r="G215" s="447">
        <f t="shared" si="77"/>
        <v>11.543336069174376</v>
      </c>
      <c r="H215" s="447">
        <f t="shared" si="77"/>
        <v>11.522639441358631</v>
      </c>
      <c r="I215" s="447">
        <f t="shared" si="77"/>
        <v>11.52945237066089</v>
      </c>
      <c r="J215" s="447">
        <f t="shared" si="77"/>
        <v>11.660281372030747</v>
      </c>
      <c r="K215" s="447">
        <f t="shared" si="77"/>
        <v>11.866965527935044</v>
      </c>
      <c r="L215" s="447">
        <f t="shared" si="77"/>
        <v>12.013257099295007</v>
      </c>
      <c r="M215" s="447">
        <f t="shared" si="77"/>
        <v>12.113575842807171</v>
      </c>
      <c r="N215" s="447">
        <f t="shared" si="77"/>
        <v>12.250894816168302</v>
      </c>
    </row>
    <row r="216" spans="1:14">
      <c r="B216" s="331" t="str">
        <f t="shared" si="72"/>
        <v>35-39</v>
      </c>
      <c r="C216" s="447">
        <f t="shared" si="74"/>
        <v>15.809858682304021</v>
      </c>
      <c r="D216" s="447">
        <f t="shared" ref="D216:N216" si="78">D114+D148+D182</f>
        <v>14.472934911533519</v>
      </c>
      <c r="E216" s="447">
        <f t="shared" si="78"/>
        <v>14.333533244753282</v>
      </c>
      <c r="F216" s="447">
        <f t="shared" si="78"/>
        <v>13.517367124481737</v>
      </c>
      <c r="G216" s="447">
        <f t="shared" si="78"/>
        <v>13.073367763831877</v>
      </c>
      <c r="H216" s="447">
        <f t="shared" si="78"/>
        <v>12.707157428468385</v>
      </c>
      <c r="I216" s="447">
        <f t="shared" si="78"/>
        <v>12.406061511989638</v>
      </c>
      <c r="J216" s="447">
        <f t="shared" si="78"/>
        <v>12.240180180342795</v>
      </c>
      <c r="K216" s="447">
        <f t="shared" si="78"/>
        <v>12.174449908026462</v>
      </c>
      <c r="L216" s="447">
        <f t="shared" si="78"/>
        <v>12.11615171337151</v>
      </c>
      <c r="M216" s="447">
        <f t="shared" si="78"/>
        <v>12.07326718516733</v>
      </c>
      <c r="N216" s="447">
        <f t="shared" si="78"/>
        <v>12.09336639896898</v>
      </c>
    </row>
    <row r="217" spans="1:14">
      <c r="B217" s="331" t="str">
        <f t="shared" si="72"/>
        <v>40-44</v>
      </c>
      <c r="C217" s="447">
        <f t="shared" si="74"/>
        <v>13.602533946843199</v>
      </c>
      <c r="D217" s="447">
        <f t="shared" ref="D217:N217" si="79">D115+D149+D183</f>
        <v>13.518713398479504</v>
      </c>
      <c r="E217" s="447">
        <f t="shared" si="79"/>
        <v>14.206541285760336</v>
      </c>
      <c r="F217" s="447">
        <f t="shared" si="79"/>
        <v>13.963872794524933</v>
      </c>
      <c r="G217" s="447">
        <f t="shared" si="79"/>
        <v>13.875502617152204</v>
      </c>
      <c r="H217" s="447">
        <f t="shared" si="79"/>
        <v>13.700889362806276</v>
      </c>
      <c r="I217" s="447">
        <f t="shared" si="79"/>
        <v>13.473426969236757</v>
      </c>
      <c r="J217" s="447">
        <f t="shared" si="79"/>
        <v>13.2958854874234</v>
      </c>
      <c r="K217" s="447">
        <f t="shared" si="79"/>
        <v>13.161349086454914</v>
      </c>
      <c r="L217" s="447">
        <f t="shared" si="79"/>
        <v>13.004213210265322</v>
      </c>
      <c r="M217" s="447">
        <f t="shared" si="79"/>
        <v>12.851497373087556</v>
      </c>
      <c r="N217" s="447">
        <f t="shared" si="79"/>
        <v>12.760748079937162</v>
      </c>
    </row>
    <row r="218" spans="1:14">
      <c r="B218" s="331" t="str">
        <f t="shared" si="72"/>
        <v>45-49</v>
      </c>
      <c r="C218" s="447">
        <f t="shared" si="74"/>
        <v>11.794520408175682</v>
      </c>
      <c r="D218" s="447">
        <f t="shared" ref="D218:N218" si="80">D116+D150+D184</f>
        <v>11.586670085352067</v>
      </c>
      <c r="E218" s="447">
        <f t="shared" si="80"/>
        <v>12.294890339481693</v>
      </c>
      <c r="F218" s="447">
        <f t="shared" si="80"/>
        <v>12.328699596562556</v>
      </c>
      <c r="G218" s="447">
        <f t="shared" si="80"/>
        <v>12.532700473513955</v>
      </c>
      <c r="H218" s="447">
        <f t="shared" si="80"/>
        <v>12.648368746733448</v>
      </c>
      <c r="I218" s="447">
        <f t="shared" si="80"/>
        <v>12.677271549503557</v>
      </c>
      <c r="J218" s="447">
        <f t="shared" si="80"/>
        <v>12.699472162130897</v>
      </c>
      <c r="K218" s="447">
        <f t="shared" si="80"/>
        <v>12.707372672323006</v>
      </c>
      <c r="L218" s="447">
        <f t="shared" si="80"/>
        <v>12.646421366444962</v>
      </c>
      <c r="M218" s="447">
        <f t="shared" si="80"/>
        <v>12.548019786350073</v>
      </c>
      <c r="N218" s="447">
        <f t="shared" si="80"/>
        <v>12.472735713293771</v>
      </c>
    </row>
    <row r="219" spans="1:14">
      <c r="B219" s="331" t="str">
        <f t="shared" si="72"/>
        <v>50-54</v>
      </c>
      <c r="C219" s="447">
        <f t="shared" si="74"/>
        <v>13.712838738425072</v>
      </c>
      <c r="D219" s="447">
        <f t="shared" ref="D219:N219" si="81">D117+D151+D185</f>
        <v>12.859410213862107</v>
      </c>
      <c r="E219" s="447">
        <f t="shared" si="81"/>
        <v>12.96216551263379</v>
      </c>
      <c r="F219" s="447">
        <f t="shared" si="81"/>
        <v>12.686210155311123</v>
      </c>
      <c r="G219" s="447">
        <f t="shared" si="81"/>
        <v>12.69381061138874</v>
      </c>
      <c r="H219" s="447">
        <f t="shared" si="81"/>
        <v>12.732893888374887</v>
      </c>
      <c r="I219" s="447">
        <f t="shared" si="81"/>
        <v>12.768062442302886</v>
      </c>
      <c r="J219" s="447">
        <f t="shared" si="81"/>
        <v>12.84708959471013</v>
      </c>
      <c r="K219" s="447">
        <f t="shared" si="81"/>
        <v>12.93605801884285</v>
      </c>
      <c r="L219" s="447">
        <f t="shared" si="81"/>
        <v>12.961268908539903</v>
      </c>
      <c r="M219" s="447">
        <f t="shared" si="81"/>
        <v>12.942093129907924</v>
      </c>
      <c r="N219" s="447">
        <f t="shared" si="81"/>
        <v>12.932181058271118</v>
      </c>
    </row>
    <row r="220" spans="1:14">
      <c r="B220" s="331" t="str">
        <f t="shared" si="72"/>
        <v>55-59</v>
      </c>
      <c r="C220" s="447">
        <f t="shared" si="74"/>
        <v>18.748274371382188</v>
      </c>
      <c r="D220" s="447">
        <f t="shared" ref="D220:N220" si="82">D118+D152+D186</f>
        <v>17.325490867339617</v>
      </c>
      <c r="E220" s="447">
        <f t="shared" si="82"/>
        <v>16.544112004082219</v>
      </c>
      <c r="F220" s="447">
        <f t="shared" si="82"/>
        <v>15.873500567655221</v>
      </c>
      <c r="G220" s="447">
        <f t="shared" si="82"/>
        <v>15.479806146253889</v>
      </c>
      <c r="H220" s="447">
        <f t="shared" si="82"/>
        <v>15.222381713367959</v>
      </c>
      <c r="I220" s="447">
        <f t="shared" si="82"/>
        <v>15.052207553063328</v>
      </c>
      <c r="J220" s="447">
        <f t="shared" si="82"/>
        <v>15.031901616455897</v>
      </c>
      <c r="K220" s="447">
        <f t="shared" si="82"/>
        <v>15.090295570849792</v>
      </c>
      <c r="L220" s="447">
        <f t="shared" si="82"/>
        <v>15.101678996135421</v>
      </c>
      <c r="M220" s="447">
        <f t="shared" si="82"/>
        <v>15.08577513436097</v>
      </c>
      <c r="N220" s="447">
        <f t="shared" si="82"/>
        <v>15.109051868600337</v>
      </c>
    </row>
    <row r="221" spans="1:14">
      <c r="B221" s="331" t="str">
        <f t="shared" si="72"/>
        <v>60-64</v>
      </c>
      <c r="C221" s="447">
        <f t="shared" si="74"/>
        <v>13.232257430640976</v>
      </c>
      <c r="D221" s="447">
        <f t="shared" ref="D221:N221" si="83">D119+D153+D187</f>
        <v>11.570812250365497</v>
      </c>
      <c r="E221" s="447">
        <f t="shared" si="83"/>
        <v>10.573041608103269</v>
      </c>
      <c r="F221" s="447">
        <f t="shared" si="83"/>
        <v>9.8376349552094347</v>
      </c>
      <c r="G221" s="447">
        <f t="shared" si="83"/>
        <v>9.3460415724787644</v>
      </c>
      <c r="H221" s="447">
        <f t="shared" si="83"/>
        <v>8.9893003038909818</v>
      </c>
      <c r="I221" s="447">
        <f t="shared" si="83"/>
        <v>8.725966544038803</v>
      </c>
      <c r="J221" s="447">
        <f t="shared" si="83"/>
        <v>8.6086305338683875</v>
      </c>
      <c r="K221" s="447">
        <f t="shared" si="83"/>
        <v>8.5761977019754809</v>
      </c>
      <c r="L221" s="447">
        <f t="shared" si="83"/>
        <v>8.5259731168547646</v>
      </c>
      <c r="M221" s="447">
        <f t="shared" si="83"/>
        <v>8.4767826058052176</v>
      </c>
      <c r="N221" s="447">
        <f t="shared" si="83"/>
        <v>8.480273238840061</v>
      </c>
    </row>
    <row r="222" spans="1:14">
      <c r="B222" s="331" t="str">
        <f t="shared" si="72"/>
        <v>65 plus</v>
      </c>
      <c r="C222" s="447">
        <f t="shared" si="74"/>
        <v>5.4781019591432702</v>
      </c>
      <c r="D222" s="447">
        <f t="shared" ref="D222:N222" si="84">D120+D154+D188</f>
        <v>5.4701155382730846</v>
      </c>
      <c r="E222" s="447">
        <f t="shared" si="84"/>
        <v>5.3421918983655292</v>
      </c>
      <c r="F222" s="447">
        <f t="shared" si="84"/>
        <v>5.0706145760059202</v>
      </c>
      <c r="G222" s="447">
        <f t="shared" si="84"/>
        <v>4.8281060595753482</v>
      </c>
      <c r="H222" s="447">
        <f t="shared" si="84"/>
        <v>4.6038682221025038</v>
      </c>
      <c r="I222" s="447">
        <f t="shared" si="84"/>
        <v>4.4071276083188291</v>
      </c>
      <c r="J222" s="447">
        <f t="shared" si="84"/>
        <v>4.2768824589801984</v>
      </c>
      <c r="K222" s="447">
        <f t="shared" si="84"/>
        <v>4.1967619159135667</v>
      </c>
      <c r="L222" s="447">
        <f t="shared" si="84"/>
        <v>4.1223374609118419</v>
      </c>
      <c r="M222" s="447">
        <f t="shared" si="84"/>
        <v>4.0583383273812332</v>
      </c>
      <c r="N222" s="447">
        <f t="shared" si="84"/>
        <v>4.0277860656555839</v>
      </c>
    </row>
    <row r="223" spans="1:14">
      <c r="B223" s="331" t="str">
        <f t="shared" si="72"/>
        <v>Total</v>
      </c>
      <c r="C223" s="447">
        <f>SUM(C213:C222)</f>
        <v>120.12585929806782</v>
      </c>
      <c r="D223" s="447">
        <f t="shared" ref="D223:N223" si="85">SUM(D213:D222)</f>
        <v>114.57084215574574</v>
      </c>
      <c r="E223" s="447">
        <f t="shared" si="85"/>
        <v>116.21147049476993</v>
      </c>
      <c r="F223" s="447">
        <f t="shared" si="85"/>
        <v>114.11391108915295</v>
      </c>
      <c r="G223" s="447">
        <f t="shared" si="85"/>
        <v>113.87253019108718</v>
      </c>
      <c r="H223" s="447">
        <f t="shared" si="85"/>
        <v>113.52503006996929</v>
      </c>
      <c r="I223" s="447">
        <f t="shared" si="85"/>
        <v>112.97254732201449</v>
      </c>
      <c r="J223" s="447">
        <f t="shared" si="85"/>
        <v>113.39285177070293</v>
      </c>
      <c r="K223" s="447">
        <f t="shared" si="85"/>
        <v>114.28794065518274</v>
      </c>
      <c r="L223" s="447">
        <f t="shared" si="85"/>
        <v>114.40084858266067</v>
      </c>
      <c r="M223" s="447">
        <f t="shared" si="85"/>
        <v>114.12823847571974</v>
      </c>
      <c r="N223" s="447">
        <f t="shared" si="85"/>
        <v>114.37822464047653</v>
      </c>
    </row>
    <row r="224" spans="1:14">
      <c r="A224" s="302">
        <f>SUM(C224:N224)</f>
        <v>0</v>
      </c>
      <c r="C224" s="302">
        <f t="shared" ref="C224:N224" si="86">SUM(C213:C222)-C223</f>
        <v>0</v>
      </c>
      <c r="D224" s="302">
        <f t="shared" si="86"/>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14.032463199701036</v>
      </c>
      <c r="D229" s="447">
        <f t="shared" ref="D229:N229" si="90">D195+D161+D127</f>
        <v>18.675773432329692</v>
      </c>
      <c r="E229" s="447">
        <f t="shared" si="90"/>
        <v>22.417240876554423</v>
      </c>
      <c r="F229" s="447">
        <f t="shared" si="90"/>
        <v>25.85564945044079</v>
      </c>
      <c r="G229" s="447">
        <f t="shared" si="90"/>
        <v>27.925270268709657</v>
      </c>
      <c r="H229" s="447">
        <f t="shared" si="90"/>
        <v>29.161780325334696</v>
      </c>
      <c r="I229" s="447">
        <f t="shared" si="90"/>
        <v>29.745963819044327</v>
      </c>
      <c r="J229" s="447">
        <f t="shared" si="90"/>
        <v>30.808287168613951</v>
      </c>
      <c r="K229" s="447">
        <f t="shared" si="90"/>
        <v>31.936584344232781</v>
      </c>
      <c r="L229" s="447">
        <f t="shared" si="90"/>
        <v>32.179394677715784</v>
      </c>
      <c r="M229" s="447">
        <f t="shared" si="90"/>
        <v>32.042191722436108</v>
      </c>
      <c r="N229" s="447">
        <f t="shared" si="90"/>
        <v>32.327380019407052</v>
      </c>
    </row>
    <row r="230" spans="1:14">
      <c r="B230" s="331" t="str">
        <f t="shared" si="87"/>
        <v>25-29</v>
      </c>
      <c r="C230" s="447">
        <f t="shared" si="89"/>
        <v>51.100486984488278</v>
      </c>
      <c r="D230" s="447">
        <f t="shared" ref="D230:N230" si="91">D196+D162+D128</f>
        <v>48.08232393556812</v>
      </c>
      <c r="E230" s="447">
        <f t="shared" si="91"/>
        <v>47.261688152468992</v>
      </c>
      <c r="F230" s="447">
        <f t="shared" si="91"/>
        <v>47.844612957081651</v>
      </c>
      <c r="G230" s="447">
        <f t="shared" si="91"/>
        <v>48.097193318073252</v>
      </c>
      <c r="H230" s="447">
        <f t="shared" si="91"/>
        <v>48.347914413404595</v>
      </c>
      <c r="I230" s="447">
        <f t="shared" si="91"/>
        <v>48.41300871734596</v>
      </c>
      <c r="J230" s="447">
        <f t="shared" si="91"/>
        <v>49.203089560264509</v>
      </c>
      <c r="K230" s="447">
        <f t="shared" si="91"/>
        <v>50.310046483699516</v>
      </c>
      <c r="L230" s="447">
        <f t="shared" si="91"/>
        <v>50.709720118761787</v>
      </c>
      <c r="M230" s="447">
        <f t="shared" si="91"/>
        <v>50.720195953081827</v>
      </c>
      <c r="N230" s="447">
        <f t="shared" si="91"/>
        <v>51.095814029897902</v>
      </c>
    </row>
    <row r="231" spans="1:14">
      <c r="B231" s="331" t="str">
        <f t="shared" si="87"/>
        <v>30-34</v>
      </c>
      <c r="C231" s="447">
        <f t="shared" si="89"/>
        <v>68.865904773964601</v>
      </c>
      <c r="D231" s="447">
        <f t="shared" ref="D231:N231" si="92">D197+D163+D129</f>
        <v>63.514078315154279</v>
      </c>
      <c r="E231" s="447">
        <f t="shared" si="92"/>
        <v>59.848536865785881</v>
      </c>
      <c r="F231" s="447">
        <f t="shared" si="92"/>
        <v>57.149850374397069</v>
      </c>
      <c r="G231" s="447">
        <f t="shared" si="92"/>
        <v>54.480248745524079</v>
      </c>
      <c r="H231" s="447">
        <f t="shared" si="92"/>
        <v>52.446415736725605</v>
      </c>
      <c r="I231" s="447">
        <f t="shared" si="92"/>
        <v>50.843844574041569</v>
      </c>
      <c r="J231" s="447">
        <f t="shared" si="92"/>
        <v>50.020170551911789</v>
      </c>
      <c r="K231" s="447">
        <f t="shared" si="92"/>
        <v>49.738941067501123</v>
      </c>
      <c r="L231" s="447">
        <f t="shared" si="92"/>
        <v>49.416147664023029</v>
      </c>
      <c r="M231" s="447">
        <f t="shared" si="92"/>
        <v>49.080074531273759</v>
      </c>
      <c r="N231" s="447">
        <f t="shared" si="92"/>
        <v>49.035404464971059</v>
      </c>
    </row>
    <row r="232" spans="1:14">
      <c r="B232" s="331" t="str">
        <f t="shared" si="87"/>
        <v>35-39</v>
      </c>
      <c r="C232" s="447">
        <f t="shared" si="89"/>
        <v>62.242090692634441</v>
      </c>
      <c r="D232" s="447">
        <f t="shared" ref="D232:N232" si="93">D198+D164+D130</f>
        <v>61.53345470996485</v>
      </c>
      <c r="E232" s="447">
        <f t="shared" si="93"/>
        <v>60.774296707597507</v>
      </c>
      <c r="F232" s="447">
        <f t="shared" si="93"/>
        <v>59.532750474721439</v>
      </c>
      <c r="G232" s="447">
        <f t="shared" si="93"/>
        <v>57.325898510345503</v>
      </c>
      <c r="H232" s="447">
        <f t="shared" si="93"/>
        <v>55.150100748872276</v>
      </c>
      <c r="I232" s="447">
        <f t="shared" si="93"/>
        <v>53.088748905841996</v>
      </c>
      <c r="J232" s="447">
        <f t="shared" si="93"/>
        <v>51.507643669893618</v>
      </c>
      <c r="K232" s="447">
        <f t="shared" si="93"/>
        <v>50.327402000103419</v>
      </c>
      <c r="L232" s="447">
        <f t="shared" si="93"/>
        <v>49.222211879078387</v>
      </c>
      <c r="M232" s="447">
        <f t="shared" si="93"/>
        <v>48.24730148784824</v>
      </c>
      <c r="N232" s="447">
        <f t="shared" si="93"/>
        <v>47.60032460991858</v>
      </c>
    </row>
    <row r="233" spans="1:14">
      <c r="B233" s="331" t="str">
        <f t="shared" si="87"/>
        <v>40-44</v>
      </c>
      <c r="C233" s="447">
        <f t="shared" si="89"/>
        <v>44.553798464003975</v>
      </c>
      <c r="D233" s="447">
        <f t="shared" ref="D233:N233" si="94">D199+D165+D131</f>
        <v>47.136686406679111</v>
      </c>
      <c r="E233" s="447">
        <f t="shared" si="94"/>
        <v>49.512469645520625</v>
      </c>
      <c r="F233" s="447">
        <f t="shared" si="94"/>
        <v>51.139356716308058</v>
      </c>
      <c r="G233" s="447">
        <f t="shared" si="94"/>
        <v>51.409357105094628</v>
      </c>
      <c r="H233" s="447">
        <f t="shared" si="94"/>
        <v>51.133868864880547</v>
      </c>
      <c r="I233" s="447">
        <f t="shared" si="94"/>
        <v>50.444781568160494</v>
      </c>
      <c r="J233" s="447">
        <f t="shared" si="94"/>
        <v>49.741695685130843</v>
      </c>
      <c r="K233" s="447">
        <f t="shared" si="94"/>
        <v>49.040348262788619</v>
      </c>
      <c r="L233" s="447">
        <f t="shared" si="94"/>
        <v>48.148095283297366</v>
      </c>
      <c r="M233" s="447">
        <f t="shared" si="94"/>
        <v>47.199217078553112</v>
      </c>
      <c r="N233" s="447">
        <f t="shared" si="94"/>
        <v>46.430504119001448</v>
      </c>
    </row>
    <row r="234" spans="1:14">
      <c r="B234" s="331" t="str">
        <f t="shared" si="87"/>
        <v>45-49</v>
      </c>
      <c r="C234" s="447">
        <f t="shared" si="89"/>
        <v>31.616367905422283</v>
      </c>
      <c r="D234" s="447">
        <f t="shared" ref="D234:N234" si="95">D200+D166+D132</f>
        <v>34.715421649980122</v>
      </c>
      <c r="E234" s="447">
        <f t="shared" si="95"/>
        <v>37.983957986497337</v>
      </c>
      <c r="F234" s="447">
        <f t="shared" si="95"/>
        <v>40.923114844143115</v>
      </c>
      <c r="G234" s="447">
        <f t="shared" si="95"/>
        <v>42.836881176989309</v>
      </c>
      <c r="H234" s="447">
        <f t="shared" si="95"/>
        <v>44.223580237392383</v>
      </c>
      <c r="I234" s="447">
        <f t="shared" si="95"/>
        <v>45.097549568540494</v>
      </c>
      <c r="J234" s="447">
        <f t="shared" si="95"/>
        <v>45.761182401257436</v>
      </c>
      <c r="K234" s="447">
        <f t="shared" si="95"/>
        <v>46.197959065476191</v>
      </c>
      <c r="L234" s="447">
        <f t="shared" si="95"/>
        <v>46.22459316848515</v>
      </c>
      <c r="M234" s="447">
        <f t="shared" si="95"/>
        <v>45.978213348686566</v>
      </c>
      <c r="N234" s="447">
        <f t="shared" si="95"/>
        <v>45.70399115662677</v>
      </c>
    </row>
    <row r="235" spans="1:14">
      <c r="B235" s="331" t="str">
        <f t="shared" si="87"/>
        <v>50-54</v>
      </c>
      <c r="C235" s="447">
        <f t="shared" si="89"/>
        <v>28.08571439073901</v>
      </c>
      <c r="D235" s="447">
        <f t="shared" ref="D235:N235" si="96">D201+D167+D133</f>
        <v>29.489595725029115</v>
      </c>
      <c r="E235" s="447">
        <f t="shared" si="96"/>
        <v>31.507736945293843</v>
      </c>
      <c r="F235" s="447">
        <f t="shared" si="96"/>
        <v>33.751485634511617</v>
      </c>
      <c r="G235" s="447">
        <f t="shared" si="96"/>
        <v>35.607367342685862</v>
      </c>
      <c r="H235" s="447">
        <f t="shared" si="96"/>
        <v>37.299687065156895</v>
      </c>
      <c r="I235" s="447">
        <f t="shared" si="96"/>
        <v>38.739820570043321</v>
      </c>
      <c r="J235" s="447">
        <f t="shared" si="96"/>
        <v>40.119669973701129</v>
      </c>
      <c r="K235" s="447">
        <f t="shared" si="96"/>
        <v>41.341328726177323</v>
      </c>
      <c r="L235" s="447">
        <f t="shared" si="96"/>
        <v>42.166165538262746</v>
      </c>
      <c r="M235" s="447">
        <f t="shared" si="96"/>
        <v>42.678012225321638</v>
      </c>
      <c r="N235" s="447">
        <f t="shared" si="96"/>
        <v>43.079242792507273</v>
      </c>
    </row>
    <row r="236" spans="1:14">
      <c r="B236" s="331" t="str">
        <f t="shared" si="87"/>
        <v>55-59</v>
      </c>
      <c r="C236" s="447">
        <f t="shared" si="89"/>
        <v>36.554785024026103</v>
      </c>
      <c r="D236" s="447">
        <f t="shared" ref="D236:N236" si="97">D202+D168+D134</f>
        <v>35.909199645118335</v>
      </c>
      <c r="E236" s="447">
        <f t="shared" si="97"/>
        <v>36.163502173925878</v>
      </c>
      <c r="F236" s="447">
        <f t="shared" si="97"/>
        <v>37.164249476971904</v>
      </c>
      <c r="G236" s="447">
        <f t="shared" si="97"/>
        <v>38.331972774843237</v>
      </c>
      <c r="H236" s="447">
        <f t="shared" si="97"/>
        <v>39.644980356932443</v>
      </c>
      <c r="I236" s="447">
        <f t="shared" si="97"/>
        <v>40.962683671759613</v>
      </c>
      <c r="J236" s="447">
        <f t="shared" si="97"/>
        <v>42.518385146447812</v>
      </c>
      <c r="K236" s="447">
        <f t="shared" si="97"/>
        <v>44.101534937721972</v>
      </c>
      <c r="L236" s="447">
        <f t="shared" si="97"/>
        <v>45.317092893691651</v>
      </c>
      <c r="M236" s="447">
        <f t="shared" si="97"/>
        <v>46.249027480151227</v>
      </c>
      <c r="N236" s="447">
        <f t="shared" si="97"/>
        <v>47.135389572505296</v>
      </c>
    </row>
    <row r="237" spans="1:14">
      <c r="B237" s="331" t="str">
        <f t="shared" si="87"/>
        <v>60-64</v>
      </c>
      <c r="C237" s="447">
        <f t="shared" si="89"/>
        <v>25.60582140103984</v>
      </c>
      <c r="D237" s="447">
        <f t="shared" ref="D237:N237" si="98">D203+D169+D135</f>
        <v>23.986620506208769</v>
      </c>
      <c r="E237" s="447">
        <f t="shared" si="98"/>
        <v>23.081129142177556</v>
      </c>
      <c r="F237" s="447">
        <f t="shared" si="98"/>
        <v>22.837811902114517</v>
      </c>
      <c r="G237" s="447">
        <f t="shared" si="98"/>
        <v>22.837992343966892</v>
      </c>
      <c r="H237" s="447">
        <f t="shared" si="98"/>
        <v>23.038967465773517</v>
      </c>
      <c r="I237" s="447">
        <f t="shared" si="98"/>
        <v>23.356328243960736</v>
      </c>
      <c r="J237" s="447">
        <f t="shared" si="98"/>
        <v>24.002117801706486</v>
      </c>
      <c r="K237" s="447">
        <f t="shared" si="98"/>
        <v>24.792073886214038</v>
      </c>
      <c r="L237" s="447">
        <f t="shared" si="98"/>
        <v>25.395391801263649</v>
      </c>
      <c r="M237" s="447">
        <f t="shared" si="98"/>
        <v>25.889845489576068</v>
      </c>
      <c r="N237" s="447">
        <f t="shared" si="98"/>
        <v>26.46188935020314</v>
      </c>
    </row>
    <row r="238" spans="1:14">
      <c r="B238" s="331" t="str">
        <f t="shared" si="87"/>
        <v>65 plus</v>
      </c>
      <c r="C238" s="447">
        <f t="shared" si="89"/>
        <v>6.0034029804061628</v>
      </c>
      <c r="D238" s="447">
        <f t="shared" ref="D238:N238" si="99">D204+D170+D136</f>
        <v>8.2159467744728385</v>
      </c>
      <c r="E238" s="447">
        <f t="shared" si="99"/>
        <v>9.4605850247767336</v>
      </c>
      <c r="F238" s="447">
        <f t="shared" si="99"/>
        <v>10.212606816265465</v>
      </c>
      <c r="G238" s="447">
        <f t="shared" si="99"/>
        <v>10.610300525121897</v>
      </c>
      <c r="H238" s="447">
        <f t="shared" si="99"/>
        <v>10.836454301137346</v>
      </c>
      <c r="I238" s="447">
        <f t="shared" si="99"/>
        <v>10.971425156250273</v>
      </c>
      <c r="J238" s="447">
        <f t="shared" si="99"/>
        <v>11.177003831820144</v>
      </c>
      <c r="K238" s="447">
        <f t="shared" si="99"/>
        <v>11.436972742123464</v>
      </c>
      <c r="L238" s="447">
        <f t="shared" si="99"/>
        <v>11.637121493369165</v>
      </c>
      <c r="M238" s="447">
        <f t="shared" si="99"/>
        <v>11.804657295369346</v>
      </c>
      <c r="N238" s="447">
        <f t="shared" si="99"/>
        <v>12.021041708128191</v>
      </c>
    </row>
    <row r="239" spans="1:14">
      <c r="B239" s="331" t="str">
        <f t="shared" si="87"/>
        <v>Total</v>
      </c>
      <c r="C239" s="447">
        <f>SUM(C229:C238)</f>
        <v>368.66083581642573</v>
      </c>
      <c r="D239" s="447">
        <f t="shared" ref="D239:N239" si="100">SUM(D229:D238)</f>
        <v>371.25910110050529</v>
      </c>
      <c r="E239" s="447">
        <f t="shared" si="100"/>
        <v>378.01114352059875</v>
      </c>
      <c r="F239" s="447">
        <f t="shared" si="100"/>
        <v>386.41148864695566</v>
      </c>
      <c r="G239" s="447">
        <f t="shared" si="100"/>
        <v>389.46248211135429</v>
      </c>
      <c r="H239" s="447">
        <f t="shared" si="100"/>
        <v>391.28374951561028</v>
      </c>
      <c r="I239" s="447">
        <f t="shared" si="100"/>
        <v>391.6641547949888</v>
      </c>
      <c r="J239" s="447">
        <f t="shared" si="100"/>
        <v>394.85924579074776</v>
      </c>
      <c r="K239" s="447">
        <f t="shared" si="100"/>
        <v>399.22319151603847</v>
      </c>
      <c r="L239" s="447">
        <f t="shared" si="100"/>
        <v>400.41593451794881</v>
      </c>
      <c r="M239" s="447">
        <f t="shared" si="100"/>
        <v>399.88873661229792</v>
      </c>
      <c r="N239" s="447">
        <f t="shared" si="100"/>
        <v>400.89098182316667</v>
      </c>
    </row>
    <row r="240" spans="1:14">
      <c r="A240" s="302">
        <f>SUM(C240:N240)</f>
        <v>0</v>
      </c>
      <c r="C240" s="302">
        <f t="shared" ref="C240:N240" si="101">SUM(C229:C238)-C239</f>
        <v>0</v>
      </c>
      <c r="D240" s="302">
        <f t="shared" si="101"/>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23.181173140853502</v>
      </c>
      <c r="D247" s="447">
        <f t="shared" ref="D247:N247" si="105">D77-D213</f>
        <v>35.766025655209695</v>
      </c>
      <c r="E247" s="447">
        <f t="shared" si="105"/>
        <v>44.755930491710131</v>
      </c>
      <c r="F247" s="447">
        <f t="shared" si="105"/>
        <v>52.781028121924734</v>
      </c>
      <c r="G247" s="447">
        <f t="shared" si="105"/>
        <v>58.174162369493018</v>
      </c>
      <c r="H247" s="447">
        <f t="shared" si="105"/>
        <v>61.496980425714426</v>
      </c>
      <c r="I247" s="447">
        <f t="shared" si="105"/>
        <v>63.219378788180208</v>
      </c>
      <c r="J247" s="447">
        <f t="shared" si="105"/>
        <v>65.837940883032346</v>
      </c>
      <c r="K247" s="447">
        <f t="shared" si="105"/>
        <v>68.503697298869909</v>
      </c>
      <c r="L247" s="447">
        <f t="shared" si="105"/>
        <v>69.190996151109943</v>
      </c>
      <c r="M247" s="447">
        <f t="shared" si="105"/>
        <v>69.009902967521128</v>
      </c>
      <c r="N247" s="447">
        <f t="shared" si="105"/>
        <v>69.706402005152043</v>
      </c>
    </row>
    <row r="248" spans="2:14">
      <c r="B248" s="331" t="str">
        <f t="shared" si="102"/>
        <v>25-29</v>
      </c>
      <c r="C248" s="447">
        <f t="shared" si="104"/>
        <v>105.77590064768771</v>
      </c>
      <c r="D248" s="447">
        <f t="shared" ref="D248:N248" si="106">D78-D214</f>
        <v>106.34323333518748</v>
      </c>
      <c r="E248" s="447">
        <f t="shared" si="106"/>
        <v>109.05788603609221</v>
      </c>
      <c r="F248" s="447">
        <f t="shared" si="106"/>
        <v>114.93701008673109</v>
      </c>
      <c r="G248" s="447">
        <f t="shared" si="106"/>
        <v>120.3150817034568</v>
      </c>
      <c r="H248" s="447">
        <f t="shared" si="106"/>
        <v>124.5687478506488</v>
      </c>
      <c r="I248" s="447">
        <f t="shared" si="106"/>
        <v>127.44568742383068</v>
      </c>
      <c r="J248" s="447">
        <f t="shared" si="106"/>
        <v>131.68081751337763</v>
      </c>
      <c r="K248" s="447">
        <f t="shared" si="106"/>
        <v>136.29887562035432</v>
      </c>
      <c r="L248" s="447">
        <f t="shared" si="106"/>
        <v>138.57189437485187</v>
      </c>
      <c r="M248" s="447">
        <f t="shared" si="106"/>
        <v>139.47341104855434</v>
      </c>
      <c r="N248" s="447">
        <f t="shared" si="106"/>
        <v>141.17130788081292</v>
      </c>
    </row>
    <row r="249" spans="2:14">
      <c r="B249" s="331" t="str">
        <f t="shared" si="102"/>
        <v>30-34</v>
      </c>
      <c r="C249" s="447">
        <f t="shared" si="104"/>
        <v>172.16050490500353</v>
      </c>
      <c r="D249" s="447">
        <f t="shared" ref="D249:N249" si="107">D79-D215</f>
        <v>163.55713785428728</v>
      </c>
      <c r="E249" s="447">
        <f t="shared" si="107"/>
        <v>157.09003471470706</v>
      </c>
      <c r="F249" s="447">
        <f t="shared" si="107"/>
        <v>154.28244737632676</v>
      </c>
      <c r="G249" s="447">
        <f t="shared" si="107"/>
        <v>153.0814302659052</v>
      </c>
      <c r="H249" s="447">
        <f t="shared" si="107"/>
        <v>152.80696287028155</v>
      </c>
      <c r="I249" s="447">
        <f t="shared" si="107"/>
        <v>152.89731222471772</v>
      </c>
      <c r="J249" s="447">
        <f t="shared" si="107"/>
        <v>154.63229512133805</v>
      </c>
      <c r="K249" s="447">
        <f t="shared" si="107"/>
        <v>157.37322772604855</v>
      </c>
      <c r="L249" s="447">
        <f t="shared" si="107"/>
        <v>159.31326679668021</v>
      </c>
      <c r="M249" s="447">
        <f t="shared" si="107"/>
        <v>160.64363928581966</v>
      </c>
      <c r="N249" s="447">
        <f t="shared" si="107"/>
        <v>162.46468865307341</v>
      </c>
    </row>
    <row r="250" spans="2:14">
      <c r="B250" s="331" t="str">
        <f t="shared" si="102"/>
        <v>35-39</v>
      </c>
      <c r="C250" s="447">
        <f t="shared" si="104"/>
        <v>204.67700568957906</v>
      </c>
      <c r="D250" s="447">
        <f t="shared" ref="D250:N250" si="108">D80-D216</f>
        <v>194.80591508846749</v>
      </c>
      <c r="E250" s="447">
        <f t="shared" si="108"/>
        <v>185.52014422199261</v>
      </c>
      <c r="F250" s="447">
        <f t="shared" si="108"/>
        <v>178.52048121498154</v>
      </c>
      <c r="G250" s="447">
        <f t="shared" si="108"/>
        <v>172.65669289049333</v>
      </c>
      <c r="H250" s="447">
        <f t="shared" si="108"/>
        <v>167.82024473509878</v>
      </c>
      <c r="I250" s="447">
        <f t="shared" si="108"/>
        <v>163.84374639731968</v>
      </c>
      <c r="J250" s="447">
        <f t="shared" si="108"/>
        <v>161.65299320718526</v>
      </c>
      <c r="K250" s="447">
        <f t="shared" si="108"/>
        <v>160.7849099675837</v>
      </c>
      <c r="L250" s="447">
        <f t="shared" si="108"/>
        <v>160.01498031575693</v>
      </c>
      <c r="M250" s="447">
        <f t="shared" si="108"/>
        <v>159.44861509528275</v>
      </c>
      <c r="N250" s="447">
        <f t="shared" si="108"/>
        <v>159.71406037666563</v>
      </c>
    </row>
    <row r="251" spans="2:14">
      <c r="B251" s="331" t="str">
        <f t="shared" si="102"/>
        <v>40-44</v>
      </c>
      <c r="C251" s="447">
        <f t="shared" si="104"/>
        <v>156.99803354147591</v>
      </c>
      <c r="D251" s="447">
        <f t="shared" ref="D251:N251" si="109">D81-D217</f>
        <v>162.23942990890288</v>
      </c>
      <c r="E251" s="447">
        <f t="shared" si="109"/>
        <v>163.93029292958028</v>
      </c>
      <c r="F251" s="447">
        <f t="shared" si="109"/>
        <v>164.42122538990594</v>
      </c>
      <c r="G251" s="447">
        <f t="shared" si="109"/>
        <v>163.380687921157</v>
      </c>
      <c r="H251" s="447">
        <f t="shared" si="109"/>
        <v>161.32465907648478</v>
      </c>
      <c r="I251" s="447">
        <f t="shared" si="109"/>
        <v>158.64634439751654</v>
      </c>
      <c r="J251" s="447">
        <f t="shared" si="109"/>
        <v>156.55583638252392</v>
      </c>
      <c r="K251" s="447">
        <f t="shared" si="109"/>
        <v>154.97170279492352</v>
      </c>
      <c r="L251" s="447">
        <f t="shared" si="109"/>
        <v>153.12146585163515</v>
      </c>
      <c r="M251" s="447">
        <f t="shared" si="109"/>
        <v>151.32327379885027</v>
      </c>
      <c r="N251" s="447">
        <f t="shared" si="109"/>
        <v>150.25472281714084</v>
      </c>
    </row>
    <row r="252" spans="2:14">
      <c r="B252" s="331" t="str">
        <f t="shared" si="102"/>
        <v>45-49</v>
      </c>
      <c r="C252" s="447">
        <f t="shared" si="104"/>
        <v>123.61912733933661</v>
      </c>
      <c r="D252" s="447">
        <f t="shared" ref="D252:N252" si="110">D82-D218</f>
        <v>126.25414010572632</v>
      </c>
      <c r="E252" s="447">
        <f t="shared" si="110"/>
        <v>128.83292627165622</v>
      </c>
      <c r="F252" s="447">
        <f t="shared" si="110"/>
        <v>131.81608342421214</v>
      </c>
      <c r="G252" s="447">
        <f t="shared" si="110"/>
        <v>133.99722154054157</v>
      </c>
      <c r="H252" s="447">
        <f t="shared" si="110"/>
        <v>135.23392445740771</v>
      </c>
      <c r="I252" s="447">
        <f t="shared" si="110"/>
        <v>135.54294766227193</v>
      </c>
      <c r="J252" s="447">
        <f t="shared" si="110"/>
        <v>135.78031233996836</v>
      </c>
      <c r="K252" s="447">
        <f t="shared" si="110"/>
        <v>135.86478307448664</v>
      </c>
      <c r="L252" s="447">
        <f t="shared" si="110"/>
        <v>135.21310344213717</v>
      </c>
      <c r="M252" s="447">
        <f t="shared" si="110"/>
        <v>134.16101268517863</v>
      </c>
      <c r="N252" s="447">
        <f t="shared" si="110"/>
        <v>133.35608986450492</v>
      </c>
    </row>
    <row r="253" spans="2:14">
      <c r="B253" s="331" t="str">
        <f t="shared" si="102"/>
        <v>50-54</v>
      </c>
      <c r="C253" s="447">
        <f t="shared" si="104"/>
        <v>105.39170065404289</v>
      </c>
      <c r="D253" s="447">
        <f t="shared" ref="D253:N253" si="111">D83-D219</f>
        <v>101.8855254465758</v>
      </c>
      <c r="E253" s="447">
        <f t="shared" si="111"/>
        <v>99.603707337905632</v>
      </c>
      <c r="F253" s="447">
        <f t="shared" si="111"/>
        <v>99.035732414055701</v>
      </c>
      <c r="G253" s="447">
        <f t="shared" si="111"/>
        <v>99.095065873387725</v>
      </c>
      <c r="H253" s="447">
        <f t="shared" si="111"/>
        <v>99.400172040956932</v>
      </c>
      <c r="I253" s="447">
        <f t="shared" si="111"/>
        <v>99.674717665975166</v>
      </c>
      <c r="J253" s="447">
        <f t="shared" si="111"/>
        <v>100.29164831929343</v>
      </c>
      <c r="K253" s="447">
        <f t="shared" si="111"/>
        <v>100.98618616297082</v>
      </c>
      <c r="L253" s="447">
        <f t="shared" si="111"/>
        <v>101.18299662845978</v>
      </c>
      <c r="M253" s="447">
        <f t="shared" si="111"/>
        <v>101.03329965369915</v>
      </c>
      <c r="N253" s="447">
        <f t="shared" si="111"/>
        <v>100.95592041574913</v>
      </c>
    </row>
    <row r="254" spans="2:14">
      <c r="B254" s="331" t="str">
        <f t="shared" si="102"/>
        <v>55-59</v>
      </c>
      <c r="C254" s="447">
        <f t="shared" si="104"/>
        <v>56.939035523011874</v>
      </c>
      <c r="D254" s="447">
        <f t="shared" ref="D254:N254" si="112">D84-D220</f>
        <v>53.136980472266693</v>
      </c>
      <c r="E254" s="447">
        <f t="shared" si="112"/>
        <v>50.241877262675615</v>
      </c>
      <c r="F254" s="447">
        <f t="shared" si="112"/>
        <v>48.452817181376581</v>
      </c>
      <c r="G254" s="447">
        <f t="shared" si="112"/>
        <v>47.251090836000941</v>
      </c>
      <c r="H254" s="447">
        <f t="shared" si="112"/>
        <v>46.465319674089926</v>
      </c>
      <c r="I254" s="447">
        <f t="shared" si="112"/>
        <v>45.945874234623609</v>
      </c>
      <c r="J254" s="447">
        <f t="shared" si="112"/>
        <v>45.883891697757015</v>
      </c>
      <c r="K254" s="447">
        <f t="shared" si="112"/>
        <v>46.062135405544467</v>
      </c>
      <c r="L254" s="447">
        <f t="shared" si="112"/>
        <v>46.096882563042072</v>
      </c>
      <c r="M254" s="447">
        <f t="shared" si="112"/>
        <v>46.04833707027246</v>
      </c>
      <c r="N254" s="447">
        <f t="shared" si="112"/>
        <v>46.119387771651944</v>
      </c>
    </row>
    <row r="255" spans="2:14">
      <c r="B255" s="331" t="str">
        <f t="shared" si="102"/>
        <v>60-64</v>
      </c>
      <c r="C255" s="447">
        <f t="shared" si="104"/>
        <v>23.447616146561707</v>
      </c>
      <c r="D255" s="447">
        <f t="shared" ref="D255:N255" si="113">D85-D221</f>
        <v>20.677119200517126</v>
      </c>
      <c r="E255" s="447">
        <f t="shared" si="113"/>
        <v>18.734494565630342</v>
      </c>
      <c r="F255" s="447">
        <f t="shared" si="113"/>
        <v>17.50831200998368</v>
      </c>
      <c r="G255" s="447">
        <f t="shared" si="113"/>
        <v>16.633409620732678</v>
      </c>
      <c r="H255" s="447">
        <f t="shared" si="113"/>
        <v>15.998507282344445</v>
      </c>
      <c r="I255" s="447">
        <f t="shared" si="113"/>
        <v>15.529844880126261</v>
      </c>
      <c r="J255" s="447">
        <f t="shared" si="113"/>
        <v>15.321018725728004</v>
      </c>
      <c r="K255" s="447">
        <f t="shared" si="113"/>
        <v>15.26329711451416</v>
      </c>
      <c r="L255" s="447">
        <f t="shared" si="113"/>
        <v>15.173911026204401</v>
      </c>
      <c r="M255" s="447">
        <f t="shared" si="113"/>
        <v>15.086365308223682</v>
      </c>
      <c r="N255" s="447">
        <f t="shared" si="113"/>
        <v>15.092577684731312</v>
      </c>
    </row>
    <row r="256" spans="2:14">
      <c r="B256" s="331" t="str">
        <f t="shared" si="102"/>
        <v>65 plus</v>
      </c>
      <c r="C256" s="447">
        <f t="shared" si="104"/>
        <v>8.2349555010851709</v>
      </c>
      <c r="D256" s="447">
        <f t="shared" ref="D256:N256" si="114">D86-D222</f>
        <v>8.3378916579864466</v>
      </c>
      <c r="E256" s="447">
        <f t="shared" si="114"/>
        <v>8.0299573448800903</v>
      </c>
      <c r="F256" s="447">
        <f t="shared" si="114"/>
        <v>7.6771736099024102</v>
      </c>
      <c r="G256" s="447">
        <f t="shared" si="114"/>
        <v>7.3100031309377327</v>
      </c>
      <c r="H256" s="447">
        <f t="shared" si="114"/>
        <v>6.9704954080801738</v>
      </c>
      <c r="I256" s="447">
        <f t="shared" si="114"/>
        <v>6.6726199088688407</v>
      </c>
      <c r="J256" s="447">
        <f t="shared" si="114"/>
        <v>6.475421993639408</v>
      </c>
      <c r="K256" s="447">
        <f t="shared" si="114"/>
        <v>6.3541153335448231</v>
      </c>
      <c r="L256" s="447">
        <f t="shared" si="114"/>
        <v>6.2414328463815689</v>
      </c>
      <c r="M256" s="447">
        <f t="shared" si="114"/>
        <v>6.1445348369523378</v>
      </c>
      <c r="N256" s="447">
        <f t="shared" si="114"/>
        <v>6.098277127176309</v>
      </c>
    </row>
    <row r="257" spans="1:14">
      <c r="B257" s="331" t="str">
        <f t="shared" si="102"/>
        <v>Total</v>
      </c>
      <c r="C257" s="447">
        <f>SUM(C247:C256)</f>
        <v>980.42505308863792</v>
      </c>
      <c r="D257" s="447">
        <f t="shared" ref="D257:N257" si="115">SUM(D247:D256)</f>
        <v>973.00339872512723</v>
      </c>
      <c r="E257" s="447">
        <f t="shared" si="115"/>
        <v>965.79725117683017</v>
      </c>
      <c r="F257" s="447">
        <f t="shared" si="115"/>
        <v>969.43231082940054</v>
      </c>
      <c r="G257" s="447">
        <f t="shared" si="115"/>
        <v>971.89484615210597</v>
      </c>
      <c r="H257" s="447">
        <f t="shared" si="115"/>
        <v>972.08601382110749</v>
      </c>
      <c r="I257" s="447">
        <f t="shared" si="115"/>
        <v>969.41847358343057</v>
      </c>
      <c r="J257" s="447">
        <f t="shared" si="115"/>
        <v>974.1121761838433</v>
      </c>
      <c r="K257" s="447">
        <f t="shared" si="115"/>
        <v>982.46293049884093</v>
      </c>
      <c r="L257" s="447">
        <f t="shared" si="115"/>
        <v>984.12092999625918</v>
      </c>
      <c r="M257" s="447">
        <f t="shared" si="115"/>
        <v>982.3723917503545</v>
      </c>
      <c r="N257" s="447">
        <f t="shared" si="115"/>
        <v>984.93343459665857</v>
      </c>
    </row>
    <row r="258" spans="1:14">
      <c r="A258" s="302">
        <f>SUM(C258:N258)</f>
        <v>0</v>
      </c>
      <c r="C258" s="302">
        <f t="shared" ref="C258:N258" si="116">SUM(C247:C256)-C257</f>
        <v>0</v>
      </c>
      <c r="D258" s="302">
        <f t="shared" si="116"/>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106.206313884758</v>
      </c>
      <c r="D263" s="447">
        <f t="shared" ref="D263:N263" si="120">D93-D229</f>
        <v>140.56276488248679</v>
      </c>
      <c r="E263" s="447">
        <f t="shared" si="120"/>
        <v>165.59309076696965</v>
      </c>
      <c r="F263" s="447">
        <f t="shared" si="120"/>
        <v>188.23984943709976</v>
      </c>
      <c r="G263" s="447">
        <f t="shared" si="120"/>
        <v>203.30754719381486</v>
      </c>
      <c r="H263" s="447">
        <f t="shared" si="120"/>
        <v>212.30985314372745</v>
      </c>
      <c r="I263" s="447">
        <f t="shared" si="120"/>
        <v>216.56295121849519</v>
      </c>
      <c r="J263" s="447">
        <f t="shared" si="120"/>
        <v>224.29710571187971</v>
      </c>
      <c r="K263" s="447">
        <f t="shared" si="120"/>
        <v>232.51157701595181</v>
      </c>
      <c r="L263" s="447">
        <f t="shared" si="120"/>
        <v>234.27933692870209</v>
      </c>
      <c r="M263" s="447">
        <f t="shared" si="120"/>
        <v>233.28044252097598</v>
      </c>
      <c r="N263" s="447">
        <f t="shared" si="120"/>
        <v>235.35673158058486</v>
      </c>
    </row>
    <row r="264" spans="1:14">
      <c r="B264" s="331" t="str">
        <f t="shared" si="117"/>
        <v>25-29</v>
      </c>
      <c r="C264" s="447">
        <f t="shared" si="119"/>
        <v>497.23357028710132</v>
      </c>
      <c r="D264" s="447">
        <f t="shared" ref="D264:N264" si="121">D94-D230</f>
        <v>465.33114778315752</v>
      </c>
      <c r="E264" s="447">
        <f t="shared" si="121"/>
        <v>449.13616421992094</v>
      </c>
      <c r="F264" s="447">
        <f t="shared" si="121"/>
        <v>448.30540394636836</v>
      </c>
      <c r="G264" s="447">
        <f t="shared" si="121"/>
        <v>450.6720892169721</v>
      </c>
      <c r="H264" s="447">
        <f t="shared" si="121"/>
        <v>453.02135311469067</v>
      </c>
      <c r="I264" s="447">
        <f t="shared" si="121"/>
        <v>453.6312886208932</v>
      </c>
      <c r="J264" s="447">
        <f t="shared" si="121"/>
        <v>461.03436891652893</v>
      </c>
      <c r="K264" s="447">
        <f t="shared" si="121"/>
        <v>471.40658722994527</v>
      </c>
      <c r="L264" s="447">
        <f t="shared" si="121"/>
        <v>475.15154072291284</v>
      </c>
      <c r="M264" s="447">
        <f t="shared" si="121"/>
        <v>475.24969959276797</v>
      </c>
      <c r="N264" s="447">
        <f t="shared" si="121"/>
        <v>478.76925181085443</v>
      </c>
    </row>
    <row r="265" spans="1:14">
      <c r="B265" s="331" t="str">
        <f t="shared" si="117"/>
        <v>30-34</v>
      </c>
      <c r="C265" s="447">
        <f t="shared" si="119"/>
        <v>788.49282859810205</v>
      </c>
      <c r="D265" s="447">
        <f t="shared" ref="D265:N265" si="122">D95-D231</f>
        <v>723.33584581333378</v>
      </c>
      <c r="E265" s="447">
        <f t="shared" si="122"/>
        <v>669.47594792378618</v>
      </c>
      <c r="F265" s="447">
        <f t="shared" si="122"/>
        <v>630.46715427892298</v>
      </c>
      <c r="G265" s="447">
        <f t="shared" si="122"/>
        <v>601.01657600115459</v>
      </c>
      <c r="H265" s="447">
        <f t="shared" si="122"/>
        <v>578.5796859492051</v>
      </c>
      <c r="I265" s="447">
        <f t="shared" si="122"/>
        <v>560.90040115934482</v>
      </c>
      <c r="J265" s="447">
        <f t="shared" si="122"/>
        <v>551.81377340120321</v>
      </c>
      <c r="K265" s="447">
        <f t="shared" si="122"/>
        <v>548.71129891397061</v>
      </c>
      <c r="L265" s="447">
        <f t="shared" si="122"/>
        <v>545.15029854078307</v>
      </c>
      <c r="M265" s="447">
        <f t="shared" si="122"/>
        <v>541.44279851679414</v>
      </c>
      <c r="N265" s="447">
        <f t="shared" si="122"/>
        <v>540.95000615777985</v>
      </c>
    </row>
    <row r="266" spans="1:14">
      <c r="B266" s="331" t="str">
        <f t="shared" si="117"/>
        <v>35-39</v>
      </c>
      <c r="C266" s="447">
        <f t="shared" si="119"/>
        <v>728.7491654783995</v>
      </c>
      <c r="D266" s="447">
        <f t="shared" ref="D266:N266" si="123">D96-D232</f>
        <v>716.64340584431511</v>
      </c>
      <c r="E266" s="447">
        <f t="shared" si="123"/>
        <v>695.33580407217505</v>
      </c>
      <c r="F266" s="447">
        <f t="shared" si="123"/>
        <v>671.81766851102088</v>
      </c>
      <c r="G266" s="447">
        <f t="shared" si="123"/>
        <v>646.91369331025226</v>
      </c>
      <c r="H266" s="447">
        <f t="shared" si="123"/>
        <v>622.36015987515384</v>
      </c>
      <c r="I266" s="447">
        <f t="shared" si="123"/>
        <v>599.09813051950482</v>
      </c>
      <c r="J266" s="447">
        <f t="shared" si="123"/>
        <v>581.25560812947288</v>
      </c>
      <c r="K266" s="447">
        <f t="shared" si="123"/>
        <v>567.93676764998429</v>
      </c>
      <c r="L266" s="447">
        <f t="shared" si="123"/>
        <v>555.46487202198512</v>
      </c>
      <c r="M266" s="447">
        <f t="shared" si="123"/>
        <v>544.46316252896384</v>
      </c>
      <c r="N266" s="447">
        <f t="shared" si="123"/>
        <v>537.16213084060257</v>
      </c>
    </row>
    <row r="267" spans="1:14">
      <c r="B267" s="331" t="str">
        <f t="shared" si="117"/>
        <v>40-44</v>
      </c>
      <c r="C267" s="447">
        <f t="shared" si="119"/>
        <v>514.04848348874157</v>
      </c>
      <c r="D267" s="447">
        <f t="shared" ref="D267:N267" si="124">D97-D233</f>
        <v>540.98325006487505</v>
      </c>
      <c r="E267" s="447">
        <f t="shared" si="124"/>
        <v>558.27341298627596</v>
      </c>
      <c r="F267" s="447">
        <f t="shared" si="124"/>
        <v>568.75753096070332</v>
      </c>
      <c r="G267" s="447">
        <f t="shared" si="124"/>
        <v>571.76039928649334</v>
      </c>
      <c r="H267" s="447">
        <f t="shared" si="124"/>
        <v>568.69649662181814</v>
      </c>
      <c r="I267" s="447">
        <f t="shared" si="124"/>
        <v>561.03266166837807</v>
      </c>
      <c r="J267" s="447">
        <f t="shared" si="124"/>
        <v>553.21313837825141</v>
      </c>
      <c r="K267" s="447">
        <f t="shared" si="124"/>
        <v>545.41294975855737</v>
      </c>
      <c r="L267" s="447">
        <f t="shared" si="124"/>
        <v>535.48956326734742</v>
      </c>
      <c r="M267" s="447">
        <f t="shared" si="124"/>
        <v>524.93640695944521</v>
      </c>
      <c r="N267" s="447">
        <f t="shared" si="124"/>
        <v>516.38699779660624</v>
      </c>
    </row>
    <row r="268" spans="1:14">
      <c r="B268" s="331" t="str">
        <f t="shared" si="117"/>
        <v>45-49</v>
      </c>
      <c r="C268" s="447">
        <f t="shared" si="119"/>
        <v>320.18396079378721</v>
      </c>
      <c r="D268" s="447">
        <f t="shared" ref="D268:N268" si="125">D98-D234</f>
        <v>349.70824998939668</v>
      </c>
      <c r="E268" s="447">
        <f t="shared" si="125"/>
        <v>375.88725737979348</v>
      </c>
      <c r="F268" s="447">
        <f t="shared" si="125"/>
        <v>399.42749555359961</v>
      </c>
      <c r="G268" s="447">
        <f t="shared" si="125"/>
        <v>418.10669180527384</v>
      </c>
      <c r="H268" s="447">
        <f t="shared" si="125"/>
        <v>431.64148100430771</v>
      </c>
      <c r="I268" s="447">
        <f t="shared" si="125"/>
        <v>440.17180384167364</v>
      </c>
      <c r="J268" s="447">
        <f t="shared" si="125"/>
        <v>446.64915047935773</v>
      </c>
      <c r="K268" s="447">
        <f t="shared" si="125"/>
        <v>450.91228171385904</v>
      </c>
      <c r="L268" s="447">
        <f t="shared" si="125"/>
        <v>451.17224220566675</v>
      </c>
      <c r="M268" s="447">
        <f t="shared" si="125"/>
        <v>448.76746742857813</v>
      </c>
      <c r="N268" s="447">
        <f t="shared" si="125"/>
        <v>446.09093892343338</v>
      </c>
    </row>
    <row r="269" spans="1:14">
      <c r="B269" s="331" t="str">
        <f t="shared" si="117"/>
        <v>50-54</v>
      </c>
      <c r="C269" s="447">
        <f t="shared" si="119"/>
        <v>219.16632491600035</v>
      </c>
      <c r="D269" s="447">
        <f t="shared" ref="D269:N269" si="126">D99-D235</f>
        <v>229.14344886000032</v>
      </c>
      <c r="E269" s="447">
        <f t="shared" si="126"/>
        <v>241.34555907922044</v>
      </c>
      <c r="F269" s="447">
        <f t="shared" si="126"/>
        <v>255.67122582325609</v>
      </c>
      <c r="G269" s="447">
        <f t="shared" si="126"/>
        <v>269.72973443085016</v>
      </c>
      <c r="H269" s="447">
        <f t="shared" si="126"/>
        <v>282.54924295899087</v>
      </c>
      <c r="I269" s="447">
        <f t="shared" si="126"/>
        <v>293.45841307762299</v>
      </c>
      <c r="J269" s="447">
        <f t="shared" si="126"/>
        <v>303.91092448126761</v>
      </c>
      <c r="K269" s="447">
        <f t="shared" si="126"/>
        <v>313.16512425681532</v>
      </c>
      <c r="L269" s="447">
        <f t="shared" si="126"/>
        <v>319.41335407205014</v>
      </c>
      <c r="M269" s="447">
        <f t="shared" si="126"/>
        <v>323.29064917339844</v>
      </c>
      <c r="N269" s="447">
        <f t="shared" si="126"/>
        <v>326.33001496786943</v>
      </c>
    </row>
    <row r="270" spans="1:14">
      <c r="B270" s="331" t="str">
        <f t="shared" si="117"/>
        <v>55-59</v>
      </c>
      <c r="C270" s="447">
        <f t="shared" si="119"/>
        <v>115.38855056632531</v>
      </c>
      <c r="D270" s="447">
        <f t="shared" ref="D270:N270" si="127">D100-D236</f>
        <v>113.17064203351289</v>
      </c>
      <c r="E270" s="447">
        <f t="shared" si="127"/>
        <v>113.36152199164738</v>
      </c>
      <c r="F270" s="447">
        <f t="shared" si="127"/>
        <v>116.00948986398579</v>
      </c>
      <c r="G270" s="447">
        <f t="shared" si="127"/>
        <v>119.65457851759315</v>
      </c>
      <c r="H270" s="447">
        <f t="shared" si="127"/>
        <v>123.7531770882463</v>
      </c>
      <c r="I270" s="447">
        <f t="shared" si="127"/>
        <v>127.86643355101717</v>
      </c>
      <c r="J270" s="447">
        <f t="shared" si="127"/>
        <v>132.72260949965448</v>
      </c>
      <c r="K270" s="447">
        <f t="shared" si="127"/>
        <v>137.66446631766428</v>
      </c>
      <c r="L270" s="447">
        <f t="shared" si="127"/>
        <v>141.45887251062481</v>
      </c>
      <c r="M270" s="447">
        <f t="shared" si="127"/>
        <v>144.36793854810176</v>
      </c>
      <c r="N270" s="447">
        <f t="shared" si="127"/>
        <v>147.13474846935378</v>
      </c>
    </row>
    <row r="271" spans="1:14">
      <c r="B271" s="331" t="str">
        <f t="shared" si="117"/>
        <v>60-64</v>
      </c>
      <c r="C271" s="447">
        <f t="shared" si="119"/>
        <v>45.555990773250521</v>
      </c>
      <c r="D271" s="447">
        <f t="shared" ref="D271:N271" si="128">D101-D237</f>
        <v>42.630067918887733</v>
      </c>
      <c r="E271" s="447">
        <f t="shared" si="128"/>
        <v>40.874131194589566</v>
      </c>
      <c r="F271" s="447">
        <f t="shared" si="128"/>
        <v>40.329778745261841</v>
      </c>
      <c r="G271" s="447">
        <f t="shared" si="128"/>
        <v>40.330097391374437</v>
      </c>
      <c r="H271" s="447">
        <f t="shared" si="128"/>
        <v>40.685003642047811</v>
      </c>
      <c r="I271" s="447">
        <f t="shared" si="128"/>
        <v>41.245437803672971</v>
      </c>
      <c r="J271" s="447">
        <f t="shared" si="128"/>
        <v>42.385851346420253</v>
      </c>
      <c r="K271" s="447">
        <f t="shared" si="128"/>
        <v>43.78085163117666</v>
      </c>
      <c r="L271" s="447">
        <f t="shared" si="128"/>
        <v>44.846263594953747</v>
      </c>
      <c r="M271" s="447">
        <f t="shared" si="128"/>
        <v>45.719429900679039</v>
      </c>
      <c r="N271" s="447">
        <f t="shared" si="128"/>
        <v>46.729614345255328</v>
      </c>
    </row>
    <row r="272" spans="1:14">
      <c r="B272" s="331" t="str">
        <f t="shared" si="117"/>
        <v>65 plus</v>
      </c>
      <c r="C272" s="447">
        <f t="shared" si="119"/>
        <v>10.584099762323357</v>
      </c>
      <c r="D272" s="447">
        <f t="shared" ref="D272:N272" si="129">D102-D238</f>
        <v>14.461188100557164</v>
      </c>
      <c r="E272" s="447">
        <f t="shared" si="129"/>
        <v>16.560107694664424</v>
      </c>
      <c r="F272" s="447">
        <f t="shared" si="129"/>
        <v>17.799143675288335</v>
      </c>
      <c r="G272" s="447">
        <f t="shared" si="129"/>
        <v>18.492268123340121</v>
      </c>
      <c r="H272" s="447">
        <f t="shared" si="129"/>
        <v>18.886422488080463</v>
      </c>
      <c r="I272" s="447">
        <f t="shared" si="129"/>
        <v>19.121657789443997</v>
      </c>
      <c r="J272" s="447">
        <f t="shared" si="129"/>
        <v>19.479952635106301</v>
      </c>
      <c r="K272" s="447">
        <f t="shared" si="129"/>
        <v>19.93304204399525</v>
      </c>
      <c r="L272" s="447">
        <f t="shared" si="129"/>
        <v>20.281873291877801</v>
      </c>
      <c r="M272" s="447">
        <f t="shared" si="129"/>
        <v>20.573864735806346</v>
      </c>
      <c r="N272" s="447">
        <f t="shared" si="129"/>
        <v>20.950992468331354</v>
      </c>
    </row>
    <row r="273" spans="1:14">
      <c r="B273" s="331" t="str">
        <f t="shared" si="117"/>
        <v>Total</v>
      </c>
      <c r="C273" s="447">
        <f>SUM(C263:C272)</f>
        <v>3345.6092885487888</v>
      </c>
      <c r="D273" s="447">
        <f t="shared" ref="D273:N273" si="130">SUM(D263:D272)</f>
        <v>3335.970011290523</v>
      </c>
      <c r="E273" s="447">
        <f t="shared" si="130"/>
        <v>3325.8429973090433</v>
      </c>
      <c r="F273" s="447">
        <f t="shared" si="130"/>
        <v>3336.8247407955073</v>
      </c>
      <c r="G273" s="447">
        <f t="shared" si="130"/>
        <v>3339.9836752771184</v>
      </c>
      <c r="H273" s="447">
        <f t="shared" si="130"/>
        <v>3332.4828758862686</v>
      </c>
      <c r="I273" s="447">
        <f t="shared" si="130"/>
        <v>3313.0891792500465</v>
      </c>
      <c r="J273" s="447">
        <f t="shared" si="130"/>
        <v>3316.7624829791421</v>
      </c>
      <c r="K273" s="447">
        <f t="shared" si="130"/>
        <v>3331.4349465319196</v>
      </c>
      <c r="L273" s="447">
        <f t="shared" si="130"/>
        <v>3322.7082171569036</v>
      </c>
      <c r="M273" s="447">
        <f t="shared" si="130"/>
        <v>3302.0918599055112</v>
      </c>
      <c r="N273" s="447">
        <f t="shared" si="130"/>
        <v>3295.8614273606713</v>
      </c>
    </row>
    <row r="274" spans="1:14">
      <c r="A274" s="302">
        <f>SUM(C274:N274)</f>
        <v>0</v>
      </c>
      <c r="C274" s="302">
        <f t="shared" ref="C274:N274" si="131">SUM(C263:C272)-C273</f>
        <v>0</v>
      </c>
      <c r="D274" s="302">
        <f t="shared" si="131"/>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209</v>
      </c>
      <c r="C279" s="447">
        <f>C223+C239</f>
        <v>488.78669511449357</v>
      </c>
      <c r="D279" s="447">
        <f t="shared" ref="D279:N279" si="133">D223+D239</f>
        <v>485.829943256251</v>
      </c>
      <c r="E279" s="447">
        <f t="shared" si="133"/>
        <v>494.22261401536866</v>
      </c>
      <c r="F279" s="447">
        <f t="shared" si="133"/>
        <v>500.52539973610862</v>
      </c>
      <c r="G279" s="447">
        <f t="shared" si="133"/>
        <v>503.33501230244144</v>
      </c>
      <c r="H279" s="447">
        <f t="shared" si="133"/>
        <v>504.8087795855796</v>
      </c>
      <c r="I279" s="447">
        <f t="shared" si="133"/>
        <v>504.63670211700332</v>
      </c>
      <c r="J279" s="447">
        <f t="shared" si="133"/>
        <v>508.25209756145068</v>
      </c>
      <c r="K279" s="447">
        <f t="shared" si="133"/>
        <v>513.51113217122122</v>
      </c>
      <c r="L279" s="447">
        <f t="shared" si="133"/>
        <v>514.81678310060943</v>
      </c>
      <c r="M279" s="447">
        <f t="shared" si="133"/>
        <v>514.01697508801772</v>
      </c>
      <c r="N279" s="447">
        <f t="shared" si="133"/>
        <v>515.26920646364317</v>
      </c>
    </row>
    <row r="280" spans="1:14">
      <c r="B280" s="319" t="s">
        <v>210</v>
      </c>
      <c r="C280" s="447">
        <f>C155+C171</f>
        <v>95.140433357687414</v>
      </c>
      <c r="D280" s="447">
        <f t="shared" ref="D280:N280" si="134">D155+D171</f>
        <v>92.798229583339634</v>
      </c>
      <c r="E280" s="447">
        <f t="shared" si="134"/>
        <v>91.583402958061043</v>
      </c>
      <c r="F280" s="447">
        <f t="shared" si="134"/>
        <v>91.712460360670434</v>
      </c>
      <c r="G280" s="447">
        <f t="shared" si="134"/>
        <v>92.392568522322918</v>
      </c>
      <c r="H280" s="447">
        <f t="shared" si="134"/>
        <v>93.41657249656086</v>
      </c>
      <c r="I280" s="447">
        <f t="shared" si="134"/>
        <v>94.576276547723523</v>
      </c>
      <c r="J280" s="447">
        <f t="shared" si="134"/>
        <v>96.538161606343706</v>
      </c>
      <c r="K280" s="447">
        <f t="shared" si="134"/>
        <v>98.825219282653961</v>
      </c>
      <c r="L280" s="447">
        <f t="shared" si="134"/>
        <v>100.47666138270198</v>
      </c>
      <c r="M280" s="447">
        <f t="shared" si="134"/>
        <v>101.70396199968455</v>
      </c>
      <c r="N280" s="447">
        <f t="shared" si="134"/>
        <v>103.08413767795336</v>
      </c>
    </row>
    <row r="281" spans="1:14">
      <c r="B281" s="319" t="s">
        <v>534</v>
      </c>
      <c r="C281" s="447">
        <f>C189+C205</f>
        <v>2.7827405632388205</v>
      </c>
      <c r="D281" s="447">
        <f t="shared" ref="D281:N281" si="135">D189+D205</f>
        <v>2.8134440988214982</v>
      </c>
      <c r="E281" s="447">
        <f t="shared" si="135"/>
        <v>2.8414005983733688</v>
      </c>
      <c r="F281" s="447">
        <f t="shared" si="135"/>
        <v>2.8760528154279763</v>
      </c>
      <c r="G281" s="447">
        <f t="shared" si="135"/>
        <v>2.9038882392077485</v>
      </c>
      <c r="H281" s="447">
        <f t="shared" si="135"/>
        <v>2.9242302433580107</v>
      </c>
      <c r="I281" s="447">
        <f t="shared" si="135"/>
        <v>2.9358521877157995</v>
      </c>
      <c r="J281" s="447">
        <f t="shared" si="135"/>
        <v>2.959855215545514</v>
      </c>
      <c r="K281" s="447">
        <f t="shared" si="135"/>
        <v>2.9887037364983158</v>
      </c>
      <c r="L281" s="447">
        <f t="shared" si="135"/>
        <v>3.0007525147098866</v>
      </c>
      <c r="M281" s="447">
        <f t="shared" si="135"/>
        <v>3.0024762640397715</v>
      </c>
      <c r="N281" s="447">
        <f t="shared" si="135"/>
        <v>3.0100193187013562</v>
      </c>
    </row>
    <row r="282" spans="1:14">
      <c r="B282" s="319" t="s">
        <v>211</v>
      </c>
      <c r="C282" s="447">
        <f>C121+C137</f>
        <v>390.86352119356729</v>
      </c>
      <c r="D282" s="447">
        <f t="shared" ref="D282:N282" si="136">D121+D137</f>
        <v>390.21826957408985</v>
      </c>
      <c r="E282" s="447">
        <f t="shared" si="136"/>
        <v>399.79781045893424</v>
      </c>
      <c r="F282" s="447">
        <f t="shared" si="136"/>
        <v>405.93688656001018</v>
      </c>
      <c r="G282" s="447">
        <f t="shared" si="136"/>
        <v>408.03855554091081</v>
      </c>
      <c r="H282" s="447">
        <f t="shared" si="136"/>
        <v>408.4679768456607</v>
      </c>
      <c r="I282" s="447">
        <f t="shared" si="136"/>
        <v>407.12457338156389</v>
      </c>
      <c r="J282" s="447">
        <f t="shared" si="136"/>
        <v>408.75408073956135</v>
      </c>
      <c r="K282" s="447">
        <f t="shared" si="136"/>
        <v>411.69720915206881</v>
      </c>
      <c r="L282" s="447">
        <f t="shared" si="136"/>
        <v>411.33936920319752</v>
      </c>
      <c r="M282" s="447">
        <f t="shared" si="136"/>
        <v>409.31053682429337</v>
      </c>
      <c r="N282" s="447">
        <f t="shared" si="136"/>
        <v>409.17504946698847</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4" ht="15.75">
      <c r="B291" s="333"/>
      <c r="H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468.76901163447405</v>
      </c>
      <c r="D294" s="447">
        <f>D36-D15+D279-D290</f>
        <v>476.88945248559162</v>
      </c>
      <c r="E294" s="447">
        <f>E36-E15+E279-E290</f>
        <v>515.14220287514286</v>
      </c>
      <c r="F294" s="447">
        <f t="shared" ref="F294:N294" si="141">F36-F15+F279-F290</f>
        <v>508.9564821067587</v>
      </c>
      <c r="G294" s="447">
        <f t="shared" si="141"/>
        <v>497.49914786373063</v>
      </c>
      <c r="H294" s="447">
        <f t="shared" si="141"/>
        <v>482.57546524310476</v>
      </c>
      <c r="I294" s="447">
        <f t="shared" si="141"/>
        <v>516.61910389095897</v>
      </c>
      <c r="J294" s="447">
        <f t="shared" si="141"/>
        <v>536.53435003899631</v>
      </c>
      <c r="K294" s="447">
        <f t="shared" si="141"/>
        <v>507.7480532230112</v>
      </c>
      <c r="L294" s="447">
        <f t="shared" si="141"/>
        <v>491.65207959071995</v>
      </c>
      <c r="M294" s="447">
        <f t="shared" si="141"/>
        <v>511.59981676510779</v>
      </c>
      <c r="N294" s="447">
        <f t="shared" si="141"/>
        <v>523.75023107301433</v>
      </c>
    </row>
    <row r="295" spans="2:14" ht="12.75" customHeight="1">
      <c r="B295" s="1327" t="s">
        <v>265</v>
      </c>
      <c r="C295" s="1327"/>
      <c r="D295" s="1327"/>
      <c r="E295" s="1327"/>
      <c r="F295" s="1327"/>
      <c r="G295" s="1327"/>
      <c r="H295" s="1327"/>
      <c r="I295" s="1327"/>
      <c r="J295" s="1327"/>
      <c r="K295" s="1327"/>
      <c r="L295" s="1327"/>
      <c r="M295" s="1327"/>
      <c r="N295" s="1327"/>
    </row>
    <row r="296" spans="2:14">
      <c r="B296" s="526" t="s">
        <v>6</v>
      </c>
      <c r="C296" s="527">
        <f>IF(C294&lt;0,0,C294)</f>
        <v>468.76901163447405</v>
      </c>
      <c r="D296" s="527">
        <f t="shared" ref="D296:N296" si="142">IF(D294&lt;0,0,D294)</f>
        <v>476.88945248559162</v>
      </c>
      <c r="E296" s="527">
        <f t="shared" si="142"/>
        <v>515.14220287514286</v>
      </c>
      <c r="F296" s="527">
        <f t="shared" si="142"/>
        <v>508.9564821067587</v>
      </c>
      <c r="G296" s="527">
        <f t="shared" si="142"/>
        <v>497.49914786373063</v>
      </c>
      <c r="H296" s="527">
        <f t="shared" si="142"/>
        <v>482.57546524310476</v>
      </c>
      <c r="I296" s="527">
        <f t="shared" si="142"/>
        <v>516.61910389095897</v>
      </c>
      <c r="J296" s="527">
        <f t="shared" si="142"/>
        <v>536.53435003899631</v>
      </c>
      <c r="K296" s="527">
        <f t="shared" si="142"/>
        <v>507.7480532230112</v>
      </c>
      <c r="L296" s="527">
        <f t="shared" si="142"/>
        <v>491.65207959071995</v>
      </c>
      <c r="M296" s="527">
        <f t="shared" si="142"/>
        <v>511.59981676510779</v>
      </c>
      <c r="N296" s="527">
        <f t="shared" si="142"/>
        <v>523.75023107301433</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27.509359636904207</v>
      </c>
      <c r="D303" s="447">
        <f>D$296*Entrant_age_breakdowns!$K76*$G$31</f>
        <v>27.985901648511817</v>
      </c>
      <c r="E303" s="447">
        <f>E$296*Entrant_age_breakdowns!$K76*$G$31</f>
        <v>30.230735759661293</v>
      </c>
      <c r="F303" s="447">
        <f>F$296*Entrant_age_breakdowns!$K76*$G$31</f>
        <v>29.86773135235709</v>
      </c>
      <c r="G303" s="447">
        <f>G$296*Entrant_age_breakdowns!$K76*$G$31</f>
        <v>29.195366242144893</v>
      </c>
      <c r="H303" s="447">
        <f>H$296*Entrant_age_breakdowns!$K76*$G$31</f>
        <v>28.319581064096614</v>
      </c>
      <c r="I303" s="447">
        <f>I$296*Entrant_age_breakdowns!$K76*$G$31</f>
        <v>30.317406593662312</v>
      </c>
      <c r="J303" s="447">
        <f>J$296*Entrant_age_breakdowns!$K76*$G$31</f>
        <v>31.486117952447749</v>
      </c>
      <c r="K303" s="447">
        <f>K$296*Entrant_age_breakdowns!$K76*$G$31</f>
        <v>29.796815605083779</v>
      </c>
      <c r="L303" s="447">
        <f>L$296*Entrant_age_breakdowns!$K76*$G$31</f>
        <v>28.85223540381805</v>
      </c>
      <c r="M303" s="447">
        <f>M$296*Entrant_age_breakdowns!$K76*$G$31</f>
        <v>30.022853474238985</v>
      </c>
      <c r="N303" s="447">
        <f>N$296*Entrant_age_breakdowns!$K76*$G$31</f>
        <v>30.735891470859428</v>
      </c>
    </row>
    <row r="304" spans="2:14">
      <c r="B304" s="331" t="str">
        <f t="shared" si="143"/>
        <v>25-29</v>
      </c>
      <c r="C304" s="447">
        <f>C$296*Entrant_age_breakdowns!$K77*$G$31</f>
        <v>28.081037701027793</v>
      </c>
      <c r="D304" s="447">
        <f>D$296*Entrant_age_breakdowns!$K77*$G$31</f>
        <v>28.567482837181561</v>
      </c>
      <c r="E304" s="447">
        <f>E$296*Entrant_age_breakdowns!$K77*$G$31</f>
        <v>30.858967340629476</v>
      </c>
      <c r="F304" s="447">
        <f>F$296*Entrant_age_breakdowns!$K77*$G$31</f>
        <v>30.488419258751424</v>
      </c>
      <c r="G304" s="447">
        <f>G$296*Entrant_age_breakdowns!$K77*$G$31</f>
        <v>29.80208158103261</v>
      </c>
      <c r="H304" s="447">
        <f>H$296*Entrant_age_breakdowns!$K77*$G$31</f>
        <v>28.908096518225722</v>
      </c>
      <c r="I304" s="447">
        <f>I$296*Entrant_age_breakdowns!$K77*$G$31</f>
        <v>30.947439300329229</v>
      </c>
      <c r="J304" s="447">
        <f>J$296*Entrant_age_breakdowns!$K77*$G$31</f>
        <v>32.140437907379557</v>
      </c>
      <c r="K304" s="447">
        <f>K$296*Entrant_age_breakdowns!$K77*$G$31</f>
        <v>30.416029795708194</v>
      </c>
      <c r="L304" s="447">
        <f>L$296*Entrant_age_breakdowns!$K77*$G$31</f>
        <v>29.451820065147839</v>
      </c>
      <c r="M304" s="447">
        <f>M$296*Entrant_age_breakdowns!$K77*$G$31</f>
        <v>30.646765007628296</v>
      </c>
      <c r="N304" s="447">
        <f>N$296*Entrant_age_breakdowns!$K77*$G$31</f>
        <v>31.374620803969801</v>
      </c>
    </row>
    <row r="305" spans="1:14">
      <c r="B305" s="331" t="str">
        <f t="shared" si="143"/>
        <v>30-34</v>
      </c>
      <c r="C305" s="447">
        <f>C$296*Entrant_age_breakdowns!$K78*$G$31</f>
        <v>13.946520855935955</v>
      </c>
      <c r="D305" s="447">
        <f>D$296*Entrant_age_breakdowns!$K78*$G$31</f>
        <v>14.188115105723554</v>
      </c>
      <c r="E305" s="447">
        <f>E$296*Entrant_age_breakdowns!$K78*$G$31</f>
        <v>15.326186880657309</v>
      </c>
      <c r="F305" s="447">
        <f>F$296*Entrant_age_breakdowns!$K78*$G$31</f>
        <v>15.142153206152106</v>
      </c>
      <c r="G305" s="447">
        <f>G$296*Entrant_age_breakdowns!$K78*$G$31</f>
        <v>14.801281802522684</v>
      </c>
      <c r="H305" s="447">
        <f>H$296*Entrant_age_breakdowns!$K78*$G$31</f>
        <v>14.357281781723055</v>
      </c>
      <c r="I305" s="447">
        <f>I$296*Entrant_age_breakdowns!$K78*$G$31</f>
        <v>15.370126710953288</v>
      </c>
      <c r="J305" s="447">
        <f>J$296*Entrant_age_breakdowns!$K78*$G$31</f>
        <v>15.962632590952193</v>
      </c>
      <c r="K305" s="447">
        <f>K$296*Entrant_age_breakdowns!$K78*$G$31</f>
        <v>15.106200789904843</v>
      </c>
      <c r="L305" s="447">
        <f>L$296*Entrant_age_breakdowns!$K78*$G$31</f>
        <v>14.627323504103394</v>
      </c>
      <c r="M305" s="447">
        <f>M$296*Entrant_age_breakdowns!$K78*$G$31</f>
        <v>15.220796036686796</v>
      </c>
      <c r="N305" s="447">
        <f>N$296*Entrant_age_breakdowns!$K78*$G$31</f>
        <v>15.582287522573697</v>
      </c>
    </row>
    <row r="306" spans="1:14">
      <c r="B306" s="331" t="str">
        <f t="shared" si="143"/>
        <v>35-39</v>
      </c>
      <c r="C306" s="447">
        <f>C$296*Entrant_age_breakdowns!$K79*$G$31</f>
        <v>10.394800370187291</v>
      </c>
      <c r="D306" s="447">
        <f>D$296*Entrant_age_breakdowns!$K79*$G$31</f>
        <v>10.574868504962167</v>
      </c>
      <c r="E306" s="447">
        <f>E$296*Entrant_age_breakdowns!$K79*$G$31</f>
        <v>11.423110803495423</v>
      </c>
      <c r="F306" s="447">
        <f>F$296*Entrant_age_breakdowns!$K79*$G$31</f>
        <v>11.285944457305257</v>
      </c>
      <c r="G306" s="447">
        <f>G$296*Entrant_age_breakdowns!$K79*$G$31</f>
        <v>11.031881796858636</v>
      </c>
      <c r="H306" s="447">
        <f>H$296*Entrant_age_breakdowns!$K79*$G$31</f>
        <v>10.700953988536696</v>
      </c>
      <c r="I306" s="447">
        <f>I$296*Entrant_age_breakdowns!$K79*$G$31</f>
        <v>11.455860603172681</v>
      </c>
      <c r="J306" s="447">
        <f>J$296*Entrant_age_breakdowns!$K79*$G$31</f>
        <v>11.897474709254869</v>
      </c>
      <c r="K306" s="447">
        <f>K$296*Entrant_age_breakdowns!$K79*$G$31</f>
        <v>11.259147939838531</v>
      </c>
      <c r="L306" s="447">
        <f>L$296*Entrant_age_breakdowns!$K79*$G$31</f>
        <v>10.902224959609773</v>
      </c>
      <c r="M306" s="447">
        <f>M$296*Entrant_age_breakdowns!$K79*$G$31</f>
        <v>11.344559543633878</v>
      </c>
      <c r="N306" s="447">
        <f>N$296*Entrant_age_breakdowns!$K79*$G$31</f>
        <v>11.613991029101266</v>
      </c>
    </row>
    <row r="307" spans="1:14">
      <c r="B307" s="331" t="str">
        <f t="shared" si="143"/>
        <v>40-44</v>
      </c>
      <c r="C307" s="447">
        <f>C$296*Entrant_age_breakdowns!$K80*$G$31</f>
        <v>8.9316940778104605</v>
      </c>
      <c r="D307" s="447">
        <f>D$296*Entrant_age_breakdowns!$K80*$G$31</f>
        <v>9.0864169619154609</v>
      </c>
      <c r="E307" s="447">
        <f>E$296*Entrant_age_breakdowns!$K80*$G$31</f>
        <v>9.8152660445863305</v>
      </c>
      <c r="F307" s="447">
        <f>F$296*Entrant_age_breakdowns!$K80*$G$31</f>
        <v>9.697406364908856</v>
      </c>
      <c r="G307" s="447">
        <f>G$296*Entrant_age_breakdowns!$K80*$G$31</f>
        <v>9.4791039561187791</v>
      </c>
      <c r="H307" s="447">
        <f>H$296*Entrant_age_breakdowns!$K80*$G$31</f>
        <v>9.194755451048005</v>
      </c>
      <c r="I307" s="447">
        <f>I$296*Entrant_age_breakdowns!$K80*$G$31</f>
        <v>9.843406189794484</v>
      </c>
      <c r="J307" s="447">
        <f>J$296*Entrant_age_breakdowns!$K80*$G$31</f>
        <v>10.222861490089086</v>
      </c>
      <c r="K307" s="447">
        <f>K$296*Entrant_age_breakdowns!$K80*$G$31</f>
        <v>9.674381555596506</v>
      </c>
      <c r="L307" s="447">
        <f>L$296*Entrant_age_breakdowns!$K80*$G$31</f>
        <v>9.367696794445461</v>
      </c>
      <c r="M307" s="447">
        <f>M$296*Entrant_age_breakdowns!$K80*$G$31</f>
        <v>9.7477711627680979</v>
      </c>
      <c r="N307" s="447">
        <f>N$296*Entrant_age_breakdowns!$K80*$G$31</f>
        <v>9.9792791780664629</v>
      </c>
    </row>
    <row r="308" spans="1:14">
      <c r="B308" s="331" t="str">
        <f t="shared" si="143"/>
        <v>45-49</v>
      </c>
      <c r="C308" s="447">
        <f>C$296*Entrant_age_breakdowns!$K81*$G$31</f>
        <v>7.1994534946898128</v>
      </c>
      <c r="D308" s="447">
        <f>D$296*Entrant_age_breakdowns!$K81*$G$31</f>
        <v>7.3241689404914805</v>
      </c>
      <c r="E308" s="447">
        <f>E$296*Entrant_age_breakdowns!$K81*$G$31</f>
        <v>7.9116627607704881</v>
      </c>
      <c r="F308" s="447">
        <f>F$296*Entrant_age_breakdowns!$K81*$G$31</f>
        <v>7.8166611546535627</v>
      </c>
      <c r="G308" s="447">
        <f>G$296*Entrant_age_breakdowns!$K81*$G$31</f>
        <v>7.6406969953159205</v>
      </c>
      <c r="H308" s="447">
        <f>H$296*Entrant_age_breakdowns!$K81*$G$31</f>
        <v>7.411495925428464</v>
      </c>
      <c r="I308" s="447">
        <f>I$296*Entrant_age_breakdowns!$K81*$G$31</f>
        <v>7.9343453185243682</v>
      </c>
      <c r="J308" s="447">
        <f>J$296*Entrant_age_breakdowns!$K81*$G$31</f>
        <v>8.2402078753904267</v>
      </c>
      <c r="K308" s="447">
        <f>K$296*Entrant_age_breakdowns!$K81*$G$31</f>
        <v>7.7981018486110285</v>
      </c>
      <c r="L308" s="447">
        <f>L$296*Entrant_age_breakdowns!$K81*$G$31</f>
        <v>7.5508964857535661</v>
      </c>
      <c r="M308" s="447">
        <f>M$296*Entrant_age_breakdowns!$K81*$G$31</f>
        <v>7.8572580466651134</v>
      </c>
      <c r="N308" s="447">
        <f>N$296*Entrant_age_breakdowns!$K81*$G$31</f>
        <v>8.043866676032442</v>
      </c>
    </row>
    <row r="309" spans="1:14">
      <c r="B309" s="331" t="str">
        <f t="shared" si="143"/>
        <v>50-54</v>
      </c>
      <c r="C309" s="447">
        <f>C$296*Entrant_age_breakdowns!$K82*$G$31</f>
        <v>5.3348237129978653</v>
      </c>
      <c r="D309" s="447">
        <f>D$296*Entrant_age_breakdowns!$K82*$G$31</f>
        <v>5.4272383550440395</v>
      </c>
      <c r="E309" s="447">
        <f>E$296*Entrant_age_breakdowns!$K82*$G$31</f>
        <v>5.8625736156962356</v>
      </c>
      <c r="F309" s="447">
        <f>F$296*Entrant_age_breakdowns!$K82*$G$31</f>
        <v>5.7921770471984635</v>
      </c>
      <c r="G309" s="447">
        <f>G$296*Entrant_age_breakdowns!$K82*$G$31</f>
        <v>5.6617869043126756</v>
      </c>
      <c r="H309" s="447">
        <f>H$296*Entrant_age_breakdowns!$K82*$G$31</f>
        <v>5.4919479986815807</v>
      </c>
      <c r="I309" s="447">
        <f>I$296*Entrant_age_breakdowns!$K82*$G$31</f>
        <v>5.879381481330217</v>
      </c>
      <c r="J309" s="447">
        <f>J$296*Entrant_age_breakdowns!$K82*$G$31</f>
        <v>6.1060268541339626</v>
      </c>
      <c r="K309" s="447">
        <f>K$296*Entrant_age_breakdowns!$K82*$G$31</f>
        <v>5.7784245275043613</v>
      </c>
      <c r="L309" s="447">
        <f>L$296*Entrant_age_breakdowns!$K82*$G$31</f>
        <v>5.5952443690763705</v>
      </c>
      <c r="M309" s="447">
        <f>M$296*Entrant_age_breakdowns!$K82*$G$31</f>
        <v>5.822259505865218</v>
      </c>
      <c r="N309" s="447">
        <f>N$296*Entrant_age_breakdowns!$K82*$G$31</f>
        <v>5.9605372434369857</v>
      </c>
    </row>
    <row r="310" spans="1:14">
      <c r="B310" s="331" t="str">
        <f t="shared" si="143"/>
        <v>55-59</v>
      </c>
      <c r="C310" s="447">
        <f>C$296*Entrant_age_breakdowns!$K83*$G$31</f>
        <v>3.4574225597358148</v>
      </c>
      <c r="D310" s="447">
        <f>D$296*Entrant_age_breakdowns!$K83*$G$31</f>
        <v>3.517315160775635</v>
      </c>
      <c r="E310" s="447">
        <f>E$296*Entrant_age_breakdowns!$K83*$G$31</f>
        <v>3.7994496852136646</v>
      </c>
      <c r="F310" s="447">
        <f>F$296*Entrant_age_breakdowns!$K83*$G$31</f>
        <v>3.7538266811284156</v>
      </c>
      <c r="G310" s="447">
        <f>G$296*Entrant_age_breakdowns!$K83*$G$31</f>
        <v>3.6693227038963037</v>
      </c>
      <c r="H310" s="447">
        <f>H$296*Entrant_age_breakdowns!$K83*$G$31</f>
        <v>3.5592525506091182</v>
      </c>
      <c r="I310" s="447">
        <f>I$296*Entrant_age_breakdowns!$K83*$G$31</f>
        <v>3.8103426213161922</v>
      </c>
      <c r="J310" s="447">
        <f>J$296*Entrant_age_breakdowns!$K83*$G$31</f>
        <v>3.9572282293789671</v>
      </c>
      <c r="K310" s="447">
        <f>K$296*Entrant_age_breakdowns!$K83*$G$31</f>
        <v>3.7449138708086007</v>
      </c>
      <c r="L310" s="447">
        <f>L$296*Entrant_age_breakdowns!$K83*$G$31</f>
        <v>3.6261974433656738</v>
      </c>
      <c r="M310" s="447">
        <f>M$296*Entrant_age_breakdowns!$K83*$G$31</f>
        <v>3.7733226901517982</v>
      </c>
      <c r="N310" s="447">
        <f>N$296*Entrant_age_breakdowns!$K83*$G$31</f>
        <v>3.8629385041148794</v>
      </c>
    </row>
    <row r="311" spans="1:14">
      <c r="B311" s="331" t="str">
        <f t="shared" si="143"/>
        <v>60-64</v>
      </c>
      <c r="C311" s="447">
        <f>C$296*Entrant_age_breakdowns!$K84*$G$31</f>
        <v>1.7631836463546477</v>
      </c>
      <c r="D311" s="447">
        <f>D$296*Entrant_age_breakdowns!$K84*$G$31</f>
        <v>1.7937271083893036</v>
      </c>
      <c r="E311" s="447">
        <f>E$296*Entrant_age_breakdowns!$K84*$G$31</f>
        <v>1.9376074038887321</v>
      </c>
      <c r="F311" s="447">
        <f>F$296*Entrant_age_breakdowns!$K84*$G$31</f>
        <v>1.9143410159043752</v>
      </c>
      <c r="G311" s="447">
        <f>G$296*Entrant_age_breakdowns!$K84*$G$31</f>
        <v>1.871246477087295</v>
      </c>
      <c r="H311" s="447">
        <f>H$296*Entrant_age_breakdowns!$K84*$G$31</f>
        <v>1.8151139416871251</v>
      </c>
      <c r="I311" s="447">
        <f>I$296*Entrant_age_breakdowns!$K84*$G$31</f>
        <v>1.9431624803842793</v>
      </c>
      <c r="J311" s="447">
        <f>J$296*Entrant_age_breakdowns!$K84*$G$31</f>
        <v>2.0180698131000505</v>
      </c>
      <c r="K311" s="447">
        <f>K$296*Entrant_age_breakdowns!$K84*$G$31</f>
        <v>1.9097957452215348</v>
      </c>
      <c r="L311" s="447">
        <f>L$296*Entrant_age_breakdowns!$K84*$G$31</f>
        <v>1.8492538647297818</v>
      </c>
      <c r="M311" s="447">
        <f>M$296*Entrant_age_breakdowns!$K84*$G$31</f>
        <v>1.9242834061344649</v>
      </c>
      <c r="N311" s="447">
        <f>N$296*Entrant_age_breakdowns!$K84*$G$31</f>
        <v>1.9699848310845414</v>
      </c>
    </row>
    <row r="312" spans="1:14">
      <c r="B312" s="331" t="str">
        <f t="shared" si="143"/>
        <v>65 plus</v>
      </c>
      <c r="C312" s="447">
        <f>C$296*Entrant_age_breakdowns!$K85*$G$31</f>
        <v>0.53089173659108879</v>
      </c>
      <c r="D312" s="447">
        <f>D$296*Entrant_age_breakdowns!$K85*$G$31</f>
        <v>0.54008832347788716</v>
      </c>
      <c r="E312" s="447">
        <f>E$296*Entrant_age_breakdowns!$K85*$G$31</f>
        <v>0.58341044712442558</v>
      </c>
      <c r="F312" s="447">
        <f>F$296*Entrant_age_breakdowns!$K85*$G$31</f>
        <v>0.57640497543305935</v>
      </c>
      <c r="G312" s="447">
        <f>G$296*Entrant_age_breakdowns!$K85*$G$31</f>
        <v>0.56342927968095047</v>
      </c>
      <c r="H312" s="447">
        <f>H$296*Entrant_age_breakdowns!$K85*$G$31</f>
        <v>0.54652786430118083</v>
      </c>
      <c r="I312" s="447">
        <f>I$296*Entrant_age_breakdowns!$K85*$G$31</f>
        <v>0.58508307164865736</v>
      </c>
      <c r="J312" s="447">
        <f>J$296*Entrant_age_breakdowns!$K85*$G$31</f>
        <v>0.60763754805337078</v>
      </c>
      <c r="K312" s="447">
        <f>K$296*Entrant_age_breakdowns!$K85*$G$31</f>
        <v>0.57503640180144788</v>
      </c>
      <c r="L312" s="447">
        <f>L$296*Entrant_age_breakdowns!$K85*$G$31</f>
        <v>0.55680733976516572</v>
      </c>
      <c r="M312" s="447">
        <f>M$296*Entrant_age_breakdowns!$K85*$G$31</f>
        <v>0.57939861300792672</v>
      </c>
      <c r="N312" s="447">
        <f>N$296*Entrant_age_breakdowns!$K85*$G$31</f>
        <v>0.59315923794713565</v>
      </c>
    </row>
    <row r="313" spans="1:14">
      <c r="B313" s="331" t="str">
        <f t="shared" si="143"/>
        <v>Total</v>
      </c>
      <c r="C313" s="447">
        <f>C$296*Entrant_age_breakdowns!$K86*$G$31</f>
        <v>107.14918779223494</v>
      </c>
      <c r="D313" s="447">
        <f>D$296*Entrant_age_breakdowns!$K86*$G$31</f>
        <v>109.0053229464729</v>
      </c>
      <c r="E313" s="447">
        <f>E$296*Entrant_age_breakdowns!$K86*$G$31</f>
        <v>117.74897074172338</v>
      </c>
      <c r="F313" s="447">
        <f>F$296*Entrant_age_breakdowns!$K86*$G$31</f>
        <v>116.33506551379261</v>
      </c>
      <c r="G313" s="447">
        <f>G$296*Entrant_age_breakdowns!$K86*$G$31</f>
        <v>113.71619773897075</v>
      </c>
      <c r="H313" s="447">
        <f>H$296*Entrant_age_breakdowns!$K86*$G$31</f>
        <v>110.30500708433756</v>
      </c>
      <c r="I313" s="447">
        <f>I$296*Entrant_age_breakdowns!$K86*$G$31</f>
        <v>118.08655437111571</v>
      </c>
      <c r="J313" s="447">
        <f>J$296*Entrant_age_breakdowns!$K86*$G$31</f>
        <v>122.63869497018024</v>
      </c>
      <c r="K313" s="447">
        <f>K$296*Entrant_age_breakdowns!$K86*$G$31</f>
        <v>116.05884808007883</v>
      </c>
      <c r="L313" s="447">
        <f>L$296*Entrant_age_breakdowns!$K86*$G$31</f>
        <v>112.37970022981509</v>
      </c>
      <c r="M313" s="447">
        <f>M$296*Entrant_age_breakdowns!$K86*$G$31</f>
        <v>116.93926748678058</v>
      </c>
      <c r="N313" s="447">
        <f>N$296*Entrant_age_breakdowns!$K86*$G$31</f>
        <v>119.71655649718664</v>
      </c>
    </row>
    <row r="314" spans="1:14">
      <c r="A314" s="302">
        <f>SUM(C314:N314)</f>
        <v>0</v>
      </c>
      <c r="C314" s="302">
        <f t="shared" ref="C314:N314" si="145">SUM(C303:C312)-C313</f>
        <v>0</v>
      </c>
      <c r="D314" s="302">
        <f t="shared" si="145"/>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92.841859008762611</v>
      </c>
      <c r="D319" s="447">
        <f>D$296*Entrant_age_breakdowns!$K76*$H$31</f>
        <v>94.450149671918311</v>
      </c>
      <c r="E319" s="447">
        <f>E$296*Entrant_age_breakdowns!$K76*$H$31</f>
        <v>102.026282842456</v>
      </c>
      <c r="F319" s="447">
        <f>F$296*Entrant_age_breakdowns!$K76*$H$31</f>
        <v>100.80117239105587</v>
      </c>
      <c r="G319" s="447">
        <f>G$296*Entrant_age_breakdowns!$K76*$H$31</f>
        <v>98.531994642512799</v>
      </c>
      <c r="H319" s="447">
        <f>H$296*Entrant_age_breakdowns!$K76*$H$31</f>
        <v>95.576290653196949</v>
      </c>
      <c r="I319" s="447">
        <f>I$296*Entrant_age_breakdowns!$K76*$H$31</f>
        <v>102.31878988212188</v>
      </c>
      <c r="J319" s="447">
        <f>J$296*Entrant_age_breakdowns!$K76*$H$31</f>
        <v>106.26309598835108</v>
      </c>
      <c r="K319" s="447">
        <f>K$296*Entrant_age_breakdowns!$K76*$H$31</f>
        <v>100.56183749207054</v>
      </c>
      <c r="L319" s="447">
        <f>L$296*Entrant_age_breakdowns!$K76*$H$31</f>
        <v>97.373955875562999</v>
      </c>
      <c r="M319" s="447">
        <f>M$296*Entrant_age_breakdowns!$K76*$H$31</f>
        <v>101.32469697901389</v>
      </c>
      <c r="N319" s="447">
        <f>N$296*Entrant_age_breakdowns!$K76*$H$31</f>
        <v>103.7311424224519</v>
      </c>
    </row>
    <row r="320" spans="1:14">
      <c r="B320" s="331" t="str">
        <f t="shared" si="146"/>
        <v>25-29</v>
      </c>
      <c r="C320" s="447">
        <f>C$296*Entrant_age_breakdowns!$K77*$H$31</f>
        <v>94.771226137925524</v>
      </c>
      <c r="D320" s="447">
        <f>D$296*Entrant_age_breakdowns!$K77*$H$31</f>
        <v>96.412939043728699</v>
      </c>
      <c r="E320" s="447">
        <f>E$296*Entrant_age_breakdowns!$K77*$H$31</f>
        <v>104.14651350703515</v>
      </c>
      <c r="F320" s="447">
        <f>F$296*Entrant_age_breakdowns!$K77*$H$31</f>
        <v>102.89594376539935</v>
      </c>
      <c r="G320" s="447">
        <f>G$296*Entrant_age_breakdowns!$K77*$H$31</f>
        <v>100.57960973406519</v>
      </c>
      <c r="H320" s="447">
        <f>H$296*Entrant_age_breakdowns!$K77*$H$31</f>
        <v>97.562482608877147</v>
      </c>
      <c r="I320" s="447">
        <f>I$296*Entrant_age_breakdowns!$K77*$H$31</f>
        <v>104.44509919994434</v>
      </c>
      <c r="J320" s="447">
        <f>J$296*Entrant_age_breakdowns!$K77*$H$31</f>
        <v>108.4713728004694</v>
      </c>
      <c r="K320" s="447">
        <f>K$296*Entrant_age_breakdowns!$K77*$H$31</f>
        <v>102.65163519514228</v>
      </c>
      <c r="L320" s="447">
        <f>L$296*Entrant_age_breakdowns!$K77*$H$31</f>
        <v>99.397505508333055</v>
      </c>
      <c r="M320" s="447">
        <f>M$296*Entrant_age_breakdowns!$K77*$H$31</f>
        <v>103.43034783317495</v>
      </c>
      <c r="N320" s="447">
        <f>N$296*Entrant_age_breakdowns!$K77*$H$31</f>
        <v>105.88680214961768</v>
      </c>
    </row>
    <row r="321" spans="1:14">
      <c r="B321" s="331" t="str">
        <f t="shared" si="146"/>
        <v>30-34</v>
      </c>
      <c r="C321" s="447">
        <f>C$296*Entrant_age_breakdowns!$K78*$H$31</f>
        <v>47.068377456251355</v>
      </c>
      <c r="D321" s="447">
        <f>D$296*Entrant_age_breakdowns!$K78*$H$31</f>
        <v>47.883738466909634</v>
      </c>
      <c r="E321" s="447">
        <f>E$296*Entrant_age_breakdowns!$K78*$H$31</f>
        <v>51.724638461124925</v>
      </c>
      <c r="F321" s="447">
        <f>F$296*Entrant_age_breakdowns!$K78*$H$31</f>
        <v>51.103539726483518</v>
      </c>
      <c r="G321" s="447">
        <f>G$296*Entrant_age_breakdowns!$K78*$H$31</f>
        <v>49.953126368499468</v>
      </c>
      <c r="H321" s="447">
        <f>H$296*Entrant_age_breakdowns!$K78*$H$31</f>
        <v>48.454662286635958</v>
      </c>
      <c r="I321" s="447">
        <f>I$296*Entrant_age_breakdowns!$K78*$H$31</f>
        <v>51.872931826839469</v>
      </c>
      <c r="J321" s="447">
        <f>J$296*Entrant_age_breakdowns!$K78*$H$31</f>
        <v>53.87259114638703</v>
      </c>
      <c r="K321" s="447">
        <f>K$296*Entrant_age_breakdowns!$K78*$H$31</f>
        <v>50.982203235765105</v>
      </c>
      <c r="L321" s="447">
        <f>L$296*Entrant_age_breakdowns!$K78*$H$31</f>
        <v>49.366031211490373</v>
      </c>
      <c r="M321" s="447">
        <f>M$296*Entrant_age_breakdowns!$K78*$H$31</f>
        <v>51.368952905158778</v>
      </c>
      <c r="N321" s="447">
        <f>N$296*Entrant_age_breakdowns!$K78*$H$31</f>
        <v>52.588957369405065</v>
      </c>
    </row>
    <row r="322" spans="1:14">
      <c r="B322" s="331" t="str">
        <f t="shared" si="146"/>
        <v>35-39</v>
      </c>
      <c r="C322" s="447">
        <f>C$296*Entrant_age_breakdowns!$K79*$H$31</f>
        <v>35.081608700862041</v>
      </c>
      <c r="D322" s="447">
        <f>D$296*Entrant_age_breakdowns!$K79*$H$31</f>
        <v>35.689324060339644</v>
      </c>
      <c r="E322" s="447">
        <f>E$296*Entrant_age_breakdowns!$K79*$H$31</f>
        <v>38.552073063775033</v>
      </c>
      <c r="F322" s="447">
        <f>F$296*Entrant_age_breakdowns!$K79*$H$31</f>
        <v>38.089147763374712</v>
      </c>
      <c r="G322" s="447">
        <f>G$296*Entrant_age_breakdowns!$K79*$H$31</f>
        <v>37.23170687736684</v>
      </c>
      <c r="H322" s="447">
        <f>H$296*Entrant_age_breakdowns!$K79*$H$31</f>
        <v>36.114852347569361</v>
      </c>
      <c r="I322" s="447">
        <f>I$296*Entrant_age_breakdowns!$K79*$H$31</f>
        <v>38.662600983157148</v>
      </c>
      <c r="J322" s="447">
        <f>J$296*Entrant_age_breakdowns!$K79*$H$31</f>
        <v>40.153012796239146</v>
      </c>
      <c r="K322" s="447">
        <f>K$296*Entrant_age_breakdowns!$K79*$H$31</f>
        <v>37.998711688911015</v>
      </c>
      <c r="L322" s="447">
        <f>L$296*Entrant_age_breakdowns!$K79*$H$31</f>
        <v>36.794125560961625</v>
      </c>
      <c r="M322" s="447">
        <f>M$296*Entrant_age_breakdowns!$K79*$H$31</f>
        <v>38.286968928699395</v>
      </c>
      <c r="N322" s="447">
        <f>N$296*Entrant_age_breakdowns!$K79*$H$31</f>
        <v>39.196278353435233</v>
      </c>
    </row>
    <row r="323" spans="1:14">
      <c r="B323" s="331" t="str">
        <f t="shared" si="146"/>
        <v>40-44</v>
      </c>
      <c r="C323" s="447">
        <f>C$296*Entrant_age_breakdowns!$K80*$H$31</f>
        <v>30.143743555885891</v>
      </c>
      <c r="D323" s="447">
        <f>D$296*Entrant_age_breakdowns!$K80*$H$31</f>
        <v>30.665920748707027</v>
      </c>
      <c r="E323" s="447">
        <f>E$296*Entrant_age_breakdowns!$K80*$H$31</f>
        <v>33.125727326000721</v>
      </c>
      <c r="F323" s="447">
        <f>F$296*Entrant_age_breakdowns!$K80*$H$31</f>
        <v>32.727960460182636</v>
      </c>
      <c r="G323" s="447">
        <f>G$296*Entrant_age_breakdowns!$K80*$H$31</f>
        <v>31.991207524975366</v>
      </c>
      <c r="H323" s="447">
        <f>H$296*Entrant_age_breakdowns!$K80*$H$31</f>
        <v>31.031554368174216</v>
      </c>
      <c r="I323" s="447">
        <f>I$296*Entrant_age_breakdowns!$K80*$H$31</f>
        <v>33.220698035184256</v>
      </c>
      <c r="J323" s="447">
        <f>J$296*Entrant_age_breakdowns!$K80*$H$31</f>
        <v>34.50132891700305</v>
      </c>
      <c r="K323" s="447">
        <f>K$296*Entrant_age_breakdowns!$K80*$H$31</f>
        <v>32.650253595024886</v>
      </c>
      <c r="L323" s="447">
        <f>L$296*Entrant_age_breakdowns!$K80*$H$31</f>
        <v>31.615217384413718</v>
      </c>
      <c r="M323" s="447">
        <f>M$296*Entrant_age_breakdowns!$K80*$H$31</f>
        <v>32.897937570648693</v>
      </c>
      <c r="N323" s="447">
        <f>N$296*Entrant_age_breakdowns!$K80*$H$31</f>
        <v>33.679258357443572</v>
      </c>
    </row>
    <row r="324" spans="1:14">
      <c r="B324" s="331" t="str">
        <f t="shared" si="146"/>
        <v>45-49</v>
      </c>
      <c r="C324" s="447">
        <f>C$296*Entrant_age_breakdowns!$K81*$H$31</f>
        <v>24.297571994276893</v>
      </c>
      <c r="D324" s="447">
        <f>D$296*Entrant_age_breakdowns!$K81*$H$31</f>
        <v>24.718476515071341</v>
      </c>
      <c r="E324" s="447">
        <f>E$296*Entrant_age_breakdowns!$K81*$H$31</f>
        <v>26.701220539315781</v>
      </c>
      <c r="F324" s="447">
        <f>F$296*Entrant_age_breakdowns!$K81*$H$31</f>
        <v>26.380597819007846</v>
      </c>
      <c r="G324" s="447">
        <f>G$296*Entrant_age_breakdowns!$K81*$H$31</f>
        <v>25.786733043983975</v>
      </c>
      <c r="H324" s="447">
        <f>H$296*Entrant_age_breakdowns!$K81*$H$31</f>
        <v>25.013198010961901</v>
      </c>
      <c r="I324" s="447">
        <f>I$296*Entrant_age_breakdowns!$K81*$H$31</f>
        <v>26.777772333204823</v>
      </c>
      <c r="J324" s="447">
        <f>J$296*Entrant_age_breakdowns!$K81*$H$31</f>
        <v>27.810033670997775</v>
      </c>
      <c r="K324" s="447">
        <f>K$296*Entrant_age_breakdowns!$K81*$H$31</f>
        <v>26.317961665435227</v>
      </c>
      <c r="L324" s="447">
        <f>L$296*Entrant_age_breakdowns!$K81*$H$31</f>
        <v>25.483663602973849</v>
      </c>
      <c r="M324" s="447">
        <f>M$296*Entrant_age_breakdowns!$K81*$H$31</f>
        <v>26.517609038973649</v>
      </c>
      <c r="N324" s="447">
        <f>N$296*Entrant_age_breakdowns!$K81*$H$31</f>
        <v>27.147398037562265</v>
      </c>
    </row>
    <row r="325" spans="1:14">
      <c r="B325" s="331" t="str">
        <f t="shared" si="146"/>
        <v>50-54</v>
      </c>
      <c r="C325" s="447">
        <f>C$296*Entrant_age_breakdowns!$K82*$H$31</f>
        <v>18.004597618270466</v>
      </c>
      <c r="D325" s="447">
        <f>D$296*Entrant_age_breakdowns!$K82*$H$31</f>
        <v>18.316489544525488</v>
      </c>
      <c r="E325" s="447">
        <f>E$296*Entrant_age_breakdowns!$K82*$H$31</f>
        <v>19.78571076321186</v>
      </c>
      <c r="F325" s="447">
        <f>F$296*Entrant_age_breakdowns!$K82*$H$31</f>
        <v>19.548128050512034</v>
      </c>
      <c r="G325" s="447">
        <f>G$296*Entrant_age_breakdowns!$K82*$H$31</f>
        <v>19.108071887020142</v>
      </c>
      <c r="H325" s="447">
        <f>H$296*Entrant_age_breakdowns!$K82*$H$31</f>
        <v>18.534879346774623</v>
      </c>
      <c r="I325" s="447">
        <f>I$296*Entrant_age_breakdowns!$K82*$H$31</f>
        <v>19.842435947368273</v>
      </c>
      <c r="J325" s="447">
        <f>J$296*Entrant_age_breakdowns!$K82*$H$31</f>
        <v>20.607345709884349</v>
      </c>
      <c r="K325" s="447">
        <f>K$296*Entrant_age_breakdowns!$K82*$H$31</f>
        <v>19.501714411252244</v>
      </c>
      <c r="L325" s="447">
        <f>L$296*Entrant_age_breakdowns!$K82*$H$31</f>
        <v>18.883496224189848</v>
      </c>
      <c r="M325" s="447">
        <f>M$296*Entrant_age_breakdowns!$K82*$H$31</f>
        <v>19.649653910184501</v>
      </c>
      <c r="N325" s="447">
        <f>N$296*Entrant_age_breakdowns!$K82*$H$31</f>
        <v>20.116330066414118</v>
      </c>
    </row>
    <row r="326" spans="1:14">
      <c r="B326" s="331" t="str">
        <f t="shared" si="146"/>
        <v>55-59</v>
      </c>
      <c r="C326" s="447">
        <f>C$296*Entrant_age_breakdowns!$K83*$H$31</f>
        <v>11.668520898395981</v>
      </c>
      <c r="D326" s="447">
        <f>D$296*Entrant_age_breakdowns!$K83*$H$31</f>
        <v>11.870653572322258</v>
      </c>
      <c r="E326" s="447">
        <f>E$296*Entrant_age_breakdowns!$K83*$H$31</f>
        <v>12.822834723941664</v>
      </c>
      <c r="F326" s="447">
        <f>F$296*Entrant_age_breakdowns!$K83*$H$31</f>
        <v>12.66886078311766</v>
      </c>
      <c r="G326" s="447">
        <f>G$296*Entrant_age_breakdowns!$K83*$H$31</f>
        <v>12.383666709412704</v>
      </c>
      <c r="H326" s="447">
        <f>H$296*Entrant_age_breakdowns!$K83*$H$31</f>
        <v>12.012188863783297</v>
      </c>
      <c r="I326" s="447">
        <f>I$296*Entrant_age_breakdowns!$K83*$H$31</f>
        <v>12.859597500362879</v>
      </c>
      <c r="J326" s="447">
        <f>J$296*Entrant_age_breakdowns!$K83*$H$31</f>
        <v>13.355324521790383</v>
      </c>
      <c r="K326" s="447">
        <f>K$296*Entrant_age_breakdowns!$K83*$H$31</f>
        <v>12.638780770714391</v>
      </c>
      <c r="L326" s="447">
        <f>L$296*Entrant_age_breakdowns!$K83*$H$31</f>
        <v>12.238122450631424</v>
      </c>
      <c r="M326" s="447">
        <f>M$296*Entrant_age_breakdowns!$K83*$H$31</f>
        <v>12.73465823332636</v>
      </c>
      <c r="N326" s="447">
        <f>N$296*Entrant_age_breakdowns!$K83*$H$31</f>
        <v>13.037104341659409</v>
      </c>
    </row>
    <row r="327" spans="1:14">
      <c r="B327" s="331" t="str">
        <f t="shared" si="146"/>
        <v>60-64</v>
      </c>
      <c r="C327" s="447">
        <f>C$296*Entrant_age_breakdowns!$K84*$H$31</f>
        <v>5.9506018919397858</v>
      </c>
      <c r="D327" s="447">
        <f>D$296*Entrant_age_breakdowns!$K84*$H$31</f>
        <v>6.0536836006123806</v>
      </c>
      <c r="E327" s="447">
        <f>E$296*Entrant_age_breakdowns!$K84*$H$31</f>
        <v>6.5392679357336148</v>
      </c>
      <c r="F327" s="447">
        <f>F$296*Entrant_age_breakdowns!$K84*$H$31</f>
        <v>6.4607457621389583</v>
      </c>
      <c r="G327" s="447">
        <f>G$296*Entrant_age_breakdowns!$K84*$H$31</f>
        <v>6.3153051866507655</v>
      </c>
      <c r="H327" s="447">
        <f>H$296*Entrant_age_breakdowns!$K84*$H$31</f>
        <v>6.1258624294869195</v>
      </c>
      <c r="I327" s="447">
        <f>I$296*Entrant_age_breakdowns!$K84*$H$31</f>
        <v>6.5580158686404433</v>
      </c>
      <c r="J327" s="447">
        <f>J$296*Entrant_age_breakdowns!$K84*$H$31</f>
        <v>6.8108220449569021</v>
      </c>
      <c r="K327" s="447">
        <f>K$296*Entrant_age_breakdowns!$K84*$H$31</f>
        <v>6.4454058420004019</v>
      </c>
      <c r="L327" s="447">
        <f>L$296*Entrant_age_breakdowns!$K84*$H$31</f>
        <v>6.2410819025510706</v>
      </c>
      <c r="M327" s="447">
        <f>M$296*Entrant_age_breakdowns!$K84*$H$31</f>
        <v>6.4943005232870066</v>
      </c>
      <c r="N327" s="447">
        <f>N$296*Entrant_age_breakdowns!$K84*$H$31</f>
        <v>6.6485391281734136</v>
      </c>
    </row>
    <row r="328" spans="1:14">
      <c r="B328" s="331" t="str">
        <f t="shared" si="146"/>
        <v>65 plus</v>
      </c>
      <c r="C328" s="447">
        <f>C$296*Entrant_age_breakdowns!$K85*$H$31</f>
        <v>1.7917165796685839</v>
      </c>
      <c r="D328" s="447">
        <f>D$296*Entrant_age_breakdowns!$K85*$H$31</f>
        <v>1.8227543149839687</v>
      </c>
      <c r="E328" s="447">
        <f>E$296*Entrant_age_breakdowns!$K85*$H$31</f>
        <v>1.9689629708247389</v>
      </c>
      <c r="F328" s="447">
        <f>F$296*Entrant_age_breakdowns!$K85*$H$31</f>
        <v>1.9453200716935217</v>
      </c>
      <c r="G328" s="447">
        <f>G$296*Entrant_age_breakdowns!$K85*$H$31</f>
        <v>1.9015281502726469</v>
      </c>
      <c r="H328" s="447">
        <f>H$296*Entrant_age_breakdowns!$K85*$H$31</f>
        <v>1.8444872433068573</v>
      </c>
      <c r="I328" s="447">
        <f>I$296*Entrant_age_breakdowns!$K85*$H$31</f>
        <v>1.9746079430197661</v>
      </c>
      <c r="J328" s="447">
        <f>J$296*Entrant_age_breakdowns!$K85*$H$31</f>
        <v>2.0507274727369804</v>
      </c>
      <c r="K328" s="447">
        <f>K$296*Entrant_age_breakdowns!$K85*$H$31</f>
        <v>1.9407012466163023</v>
      </c>
      <c r="L328" s="447">
        <f>L$296*Entrant_age_breakdowns!$K85*$H$31</f>
        <v>1.879179639796924</v>
      </c>
      <c r="M328" s="447">
        <f>M$296*Entrant_age_breakdowns!$K85*$H$31</f>
        <v>1.9554233558599883</v>
      </c>
      <c r="N328" s="447">
        <f>N$296*Entrant_age_breakdowns!$K85*$H$31</f>
        <v>2.0018643496650435</v>
      </c>
    </row>
    <row r="329" spans="1:14">
      <c r="B329" s="331" t="str">
        <f t="shared" si="146"/>
        <v>Total</v>
      </c>
      <c r="C329" s="447">
        <f>C$296*Entrant_age_breakdowns!$K86*$H$31</f>
        <v>361.61982384223916</v>
      </c>
      <c r="D329" s="447">
        <f>D$296*Entrant_age_breakdowns!$K86*$H$31</f>
        <v>367.88412953911876</v>
      </c>
      <c r="E329" s="447">
        <f>E$296*Entrant_age_breakdowns!$K86*$H$31</f>
        <v>397.39323213341953</v>
      </c>
      <c r="F329" s="447">
        <f>F$296*Entrant_age_breakdowns!$K86*$H$31</f>
        <v>392.62141659296611</v>
      </c>
      <c r="G329" s="447">
        <f>G$296*Entrant_age_breakdowns!$K86*$H$31</f>
        <v>383.78295012475991</v>
      </c>
      <c r="H329" s="447">
        <f>H$296*Entrant_age_breakdowns!$K86*$H$31</f>
        <v>372.27045815876721</v>
      </c>
      <c r="I329" s="447">
        <f>I$296*Entrant_age_breakdowns!$K86*$H$31</f>
        <v>398.53254951984331</v>
      </c>
      <c r="J329" s="447">
        <f>J$296*Entrant_age_breakdowns!$K86*$H$31</f>
        <v>413.8956550688161</v>
      </c>
      <c r="K329" s="447">
        <f>K$296*Entrant_age_breakdowns!$K86*$H$31</f>
        <v>391.68920514293239</v>
      </c>
      <c r="L329" s="447">
        <f>L$296*Entrant_age_breakdowns!$K86*$H$31</f>
        <v>379.27237936090489</v>
      </c>
      <c r="M329" s="447">
        <f>M$296*Entrant_age_breakdowns!$K86*$H$31</f>
        <v>394.66054927832727</v>
      </c>
      <c r="N329" s="447">
        <f>N$296*Entrant_age_breakdowns!$K86*$H$31</f>
        <v>404.03367457582772</v>
      </c>
    </row>
    <row r="330" spans="1:14">
      <c r="A330" s="302">
        <f>SUM(C330:N330)</f>
        <v>0</v>
      </c>
      <c r="C330" s="302">
        <f t="shared" ref="C330:N330" si="148">SUM(C319:C328)-C329</f>
        <v>0</v>
      </c>
      <c r="D330" s="302">
        <f t="shared" si="148"/>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468.76901163447405</v>
      </c>
      <c r="D331" s="322">
        <f t="shared" ref="D331:N331" si="149">D296</f>
        <v>476.88945248559162</v>
      </c>
      <c r="E331" s="322">
        <f t="shared" si="149"/>
        <v>515.14220287514286</v>
      </c>
      <c r="F331" s="322">
        <f t="shared" si="149"/>
        <v>508.9564821067587</v>
      </c>
      <c r="G331" s="322">
        <f t="shared" si="149"/>
        <v>497.49914786373063</v>
      </c>
      <c r="H331" s="322">
        <f t="shared" si="149"/>
        <v>482.57546524310476</v>
      </c>
      <c r="I331" s="322">
        <f t="shared" si="149"/>
        <v>516.61910389095897</v>
      </c>
      <c r="J331" s="322">
        <f t="shared" si="149"/>
        <v>536.53435003899631</v>
      </c>
      <c r="K331" s="322">
        <f t="shared" si="149"/>
        <v>507.7480532230112</v>
      </c>
      <c r="L331" s="322">
        <f t="shared" si="149"/>
        <v>491.65207959071995</v>
      </c>
      <c r="M331" s="322">
        <f t="shared" si="149"/>
        <v>511.59981676510779</v>
      </c>
      <c r="N331" s="322">
        <f t="shared" si="149"/>
        <v>523.75023107301433</v>
      </c>
    </row>
    <row r="332" spans="1:14">
      <c r="C332" s="322">
        <f>C313+C329</f>
        <v>468.76901163447411</v>
      </c>
      <c r="D332" s="322">
        <f t="shared" ref="D332:N332" si="150">D313+D329</f>
        <v>476.88945248559168</v>
      </c>
      <c r="E332" s="322">
        <f t="shared" si="150"/>
        <v>515.14220287514286</v>
      </c>
      <c r="F332" s="322">
        <f t="shared" si="150"/>
        <v>508.9564821067587</v>
      </c>
      <c r="G332" s="322">
        <f t="shared" si="150"/>
        <v>497.49914786373063</v>
      </c>
      <c r="H332" s="322">
        <f t="shared" si="150"/>
        <v>482.57546524310476</v>
      </c>
      <c r="I332" s="322">
        <f t="shared" si="150"/>
        <v>516.61910389095897</v>
      </c>
      <c r="J332" s="322">
        <f t="shared" si="150"/>
        <v>536.53435003899631</v>
      </c>
      <c r="K332" s="322">
        <f t="shared" si="150"/>
        <v>507.7480532230112</v>
      </c>
      <c r="L332" s="322">
        <f t="shared" si="150"/>
        <v>491.65207959071995</v>
      </c>
      <c r="M332" s="322">
        <f t="shared" si="150"/>
        <v>511.59981676510785</v>
      </c>
      <c r="N332" s="322">
        <f t="shared" si="150"/>
        <v>523.75023107301433</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50.69053277775771</v>
      </c>
      <c r="D340" s="447">
        <f t="shared" si="154"/>
        <v>63.751927303721516</v>
      </c>
      <c r="E340" s="447">
        <f t="shared" si="154"/>
        <v>74.986666251371418</v>
      </c>
      <c r="F340" s="447">
        <f t="shared" si="154"/>
        <v>82.648759474281832</v>
      </c>
      <c r="G340" s="447">
        <f t="shared" si="154"/>
        <v>87.369528611637918</v>
      </c>
      <c r="H340" s="447">
        <f t="shared" si="154"/>
        <v>89.816561489811036</v>
      </c>
      <c r="I340" s="447">
        <f t="shared" si="154"/>
        <v>93.53678538184252</v>
      </c>
      <c r="J340" s="447">
        <f t="shared" si="154"/>
        <v>97.324058835480088</v>
      </c>
      <c r="K340" s="447">
        <f t="shared" si="154"/>
        <v>98.300512903953688</v>
      </c>
      <c r="L340" s="447">
        <f t="shared" si="154"/>
        <v>98.043231554927985</v>
      </c>
      <c r="M340" s="447">
        <f t="shared" si="154"/>
        <v>99.032756441760114</v>
      </c>
      <c r="N340" s="447">
        <f t="shared" si="154"/>
        <v>100.44229347601147</v>
      </c>
    </row>
    <row r="341" spans="1:14">
      <c r="B341" s="331" t="str">
        <f t="shared" si="153"/>
        <v>25-29</v>
      </c>
      <c r="C341" s="447">
        <f t="shared" ref="C341:N341" si="155">C304+C248</f>
        <v>133.85693834871549</v>
      </c>
      <c r="D341" s="447">
        <f t="shared" si="155"/>
        <v>134.91071617236904</v>
      </c>
      <c r="E341" s="447">
        <f t="shared" si="155"/>
        <v>139.91685337672169</v>
      </c>
      <c r="F341" s="447">
        <f t="shared" si="155"/>
        <v>145.42542934548251</v>
      </c>
      <c r="G341" s="447">
        <f t="shared" si="155"/>
        <v>150.11716328448941</v>
      </c>
      <c r="H341" s="447">
        <f t="shared" si="155"/>
        <v>153.47684436887454</v>
      </c>
      <c r="I341" s="447">
        <f t="shared" si="155"/>
        <v>158.39312672415991</v>
      </c>
      <c r="J341" s="447">
        <f t="shared" si="155"/>
        <v>163.82125542075718</v>
      </c>
      <c r="K341" s="447">
        <f t="shared" si="155"/>
        <v>166.71490541606252</v>
      </c>
      <c r="L341" s="447">
        <f t="shared" si="155"/>
        <v>168.02371443999971</v>
      </c>
      <c r="M341" s="447">
        <f t="shared" si="155"/>
        <v>170.12017605618263</v>
      </c>
      <c r="N341" s="447">
        <f t="shared" si="155"/>
        <v>172.54592868478272</v>
      </c>
    </row>
    <row r="342" spans="1:14">
      <c r="B342" s="331" t="str">
        <f t="shared" si="153"/>
        <v>30-34</v>
      </c>
      <c r="C342" s="447">
        <f t="shared" ref="C342:N342" si="156">C305+C249</f>
        <v>186.10702576093948</v>
      </c>
      <c r="D342" s="447">
        <f t="shared" si="156"/>
        <v>177.74525296001082</v>
      </c>
      <c r="E342" s="447">
        <f t="shared" si="156"/>
        <v>172.41622159536436</v>
      </c>
      <c r="F342" s="447">
        <f t="shared" si="156"/>
        <v>169.42460058247886</v>
      </c>
      <c r="G342" s="447">
        <f t="shared" si="156"/>
        <v>167.88271206842788</v>
      </c>
      <c r="H342" s="447">
        <f t="shared" si="156"/>
        <v>167.16424465200461</v>
      </c>
      <c r="I342" s="447">
        <f t="shared" si="156"/>
        <v>168.26743893567101</v>
      </c>
      <c r="J342" s="447">
        <f t="shared" si="156"/>
        <v>170.59492771229023</v>
      </c>
      <c r="K342" s="447">
        <f t="shared" si="156"/>
        <v>172.4794285159534</v>
      </c>
      <c r="L342" s="447">
        <f t="shared" si="156"/>
        <v>173.94059030078361</v>
      </c>
      <c r="M342" s="447">
        <f t="shared" si="156"/>
        <v>175.86443532250647</v>
      </c>
      <c r="N342" s="447">
        <f t="shared" si="156"/>
        <v>178.0469761756471</v>
      </c>
    </row>
    <row r="343" spans="1:14">
      <c r="B343" s="331" t="str">
        <f t="shared" si="153"/>
        <v>35-39</v>
      </c>
      <c r="C343" s="447">
        <f t="shared" ref="C343:N343" si="157">C306+C250</f>
        <v>215.07180605976635</v>
      </c>
      <c r="D343" s="447">
        <f t="shared" si="157"/>
        <v>205.38078359342964</v>
      </c>
      <c r="E343" s="447">
        <f t="shared" si="157"/>
        <v>196.94325502548804</v>
      </c>
      <c r="F343" s="447">
        <f t="shared" si="157"/>
        <v>189.80642567228679</v>
      </c>
      <c r="G343" s="447">
        <f t="shared" si="157"/>
        <v>183.68857468735197</v>
      </c>
      <c r="H343" s="447">
        <f t="shared" si="157"/>
        <v>178.52119872363548</v>
      </c>
      <c r="I343" s="447">
        <f t="shared" si="157"/>
        <v>175.29960700049236</v>
      </c>
      <c r="J343" s="447">
        <f t="shared" si="157"/>
        <v>173.55046791644014</v>
      </c>
      <c r="K343" s="447">
        <f t="shared" si="157"/>
        <v>172.04405790742223</v>
      </c>
      <c r="L343" s="447">
        <f t="shared" si="157"/>
        <v>170.91720527536671</v>
      </c>
      <c r="M343" s="447">
        <f t="shared" si="157"/>
        <v>170.79317463891664</v>
      </c>
      <c r="N343" s="447">
        <f t="shared" si="157"/>
        <v>171.3280514057669</v>
      </c>
    </row>
    <row r="344" spans="1:14">
      <c r="B344" s="331" t="str">
        <f t="shared" si="153"/>
        <v>40-44</v>
      </c>
      <c r="C344" s="447">
        <f t="shared" ref="C344:N344" si="158">C307+C251</f>
        <v>165.92972761928635</v>
      </c>
      <c r="D344" s="447">
        <f t="shared" si="158"/>
        <v>171.32584687081834</v>
      </c>
      <c r="E344" s="447">
        <f t="shared" si="158"/>
        <v>173.74555897416661</v>
      </c>
      <c r="F344" s="447">
        <f t="shared" si="158"/>
        <v>174.1186317548148</v>
      </c>
      <c r="G344" s="447">
        <f t="shared" si="158"/>
        <v>172.8597918772758</v>
      </c>
      <c r="H344" s="447">
        <f t="shared" si="158"/>
        <v>170.51941452753277</v>
      </c>
      <c r="I344" s="447">
        <f t="shared" si="158"/>
        <v>168.48975058731102</v>
      </c>
      <c r="J344" s="447">
        <f t="shared" si="158"/>
        <v>166.77869787261301</v>
      </c>
      <c r="K344" s="447">
        <f t="shared" si="158"/>
        <v>164.64608435052003</v>
      </c>
      <c r="L344" s="447">
        <f t="shared" si="158"/>
        <v>162.48916264608062</v>
      </c>
      <c r="M344" s="447">
        <f t="shared" si="158"/>
        <v>161.07104496161836</v>
      </c>
      <c r="N344" s="447">
        <f t="shared" si="158"/>
        <v>160.23400199520731</v>
      </c>
    </row>
    <row r="345" spans="1:14">
      <c r="B345" s="331" t="str">
        <f t="shared" si="153"/>
        <v>45-49</v>
      </c>
      <c r="C345" s="447">
        <f t="shared" ref="C345:N345" si="159">C308+C252</f>
        <v>130.81858083402642</v>
      </c>
      <c r="D345" s="447">
        <f t="shared" si="159"/>
        <v>133.57830904621781</v>
      </c>
      <c r="E345" s="447">
        <f t="shared" si="159"/>
        <v>136.74458903242672</v>
      </c>
      <c r="F345" s="447">
        <f t="shared" si="159"/>
        <v>139.6327445788657</v>
      </c>
      <c r="G345" s="447">
        <f t="shared" si="159"/>
        <v>141.63791853585749</v>
      </c>
      <c r="H345" s="447">
        <f t="shared" si="159"/>
        <v>142.64542038283616</v>
      </c>
      <c r="I345" s="447">
        <f t="shared" si="159"/>
        <v>143.47729298079631</v>
      </c>
      <c r="J345" s="447">
        <f t="shared" si="159"/>
        <v>144.0205202153588</v>
      </c>
      <c r="K345" s="447">
        <f t="shared" si="159"/>
        <v>143.66288492309766</v>
      </c>
      <c r="L345" s="447">
        <f t="shared" si="159"/>
        <v>142.76399992789072</v>
      </c>
      <c r="M345" s="447">
        <f t="shared" si="159"/>
        <v>142.01827073184376</v>
      </c>
      <c r="N345" s="447">
        <f t="shared" si="159"/>
        <v>141.39995654053737</v>
      </c>
    </row>
    <row r="346" spans="1:14">
      <c r="B346" s="331" t="str">
        <f t="shared" si="153"/>
        <v>50-54</v>
      </c>
      <c r="C346" s="447">
        <f t="shared" ref="C346:N346" si="160">C309+C253</f>
        <v>110.72652436704075</v>
      </c>
      <c r="D346" s="447">
        <f t="shared" si="160"/>
        <v>107.31276380161984</v>
      </c>
      <c r="E346" s="447">
        <f t="shared" si="160"/>
        <v>105.46628095360187</v>
      </c>
      <c r="F346" s="447">
        <f t="shared" si="160"/>
        <v>104.82790946125417</v>
      </c>
      <c r="G346" s="447">
        <f t="shared" si="160"/>
        <v>104.7568527777004</v>
      </c>
      <c r="H346" s="447">
        <f t="shared" si="160"/>
        <v>104.89212003963851</v>
      </c>
      <c r="I346" s="447">
        <f t="shared" si="160"/>
        <v>105.55409914730538</v>
      </c>
      <c r="J346" s="447">
        <f t="shared" si="160"/>
        <v>106.39767517342739</v>
      </c>
      <c r="K346" s="447">
        <f t="shared" si="160"/>
        <v>106.76461069047518</v>
      </c>
      <c r="L346" s="447">
        <f t="shared" si="160"/>
        <v>106.77824099753614</v>
      </c>
      <c r="M346" s="447">
        <f t="shared" si="160"/>
        <v>106.85555915956436</v>
      </c>
      <c r="N346" s="447">
        <f t="shared" si="160"/>
        <v>106.91645765918612</v>
      </c>
    </row>
    <row r="347" spans="1:14">
      <c r="B347" s="331" t="str">
        <f t="shared" si="153"/>
        <v>55-59</v>
      </c>
      <c r="C347" s="447">
        <f t="shared" ref="C347:N347" si="161">C310+C254</f>
        <v>60.396458082747692</v>
      </c>
      <c r="D347" s="447">
        <f t="shared" si="161"/>
        <v>56.654295633042331</v>
      </c>
      <c r="E347" s="447">
        <f t="shared" si="161"/>
        <v>54.041326947889281</v>
      </c>
      <c r="F347" s="447">
        <f t="shared" si="161"/>
        <v>52.206643862504997</v>
      </c>
      <c r="G347" s="447">
        <f t="shared" si="161"/>
        <v>50.920413539897247</v>
      </c>
      <c r="H347" s="447">
        <f t="shared" si="161"/>
        <v>50.024572224699043</v>
      </c>
      <c r="I347" s="447">
        <f t="shared" si="161"/>
        <v>49.756216855939805</v>
      </c>
      <c r="J347" s="447">
        <f t="shared" si="161"/>
        <v>49.841119927135985</v>
      </c>
      <c r="K347" s="447">
        <f t="shared" si="161"/>
        <v>49.807049276353069</v>
      </c>
      <c r="L347" s="447">
        <f t="shared" si="161"/>
        <v>49.723080006407748</v>
      </c>
      <c r="M347" s="447">
        <f t="shared" si="161"/>
        <v>49.821659760424261</v>
      </c>
      <c r="N347" s="447">
        <f t="shared" si="161"/>
        <v>49.982326275766823</v>
      </c>
    </row>
    <row r="348" spans="1:14">
      <c r="B348" s="331" t="str">
        <f t="shared" si="153"/>
        <v>60-64</v>
      </c>
      <c r="C348" s="447">
        <f t="shared" ref="C348:N348" si="162">C311+C255</f>
        <v>25.210799792916355</v>
      </c>
      <c r="D348" s="447">
        <f t="shared" si="162"/>
        <v>22.470846308906431</v>
      </c>
      <c r="E348" s="447">
        <f t="shared" si="162"/>
        <v>20.672101969519076</v>
      </c>
      <c r="F348" s="447">
        <f t="shared" si="162"/>
        <v>19.422653025888057</v>
      </c>
      <c r="G348" s="447">
        <f t="shared" si="162"/>
        <v>18.504656097819971</v>
      </c>
      <c r="H348" s="447">
        <f t="shared" si="162"/>
        <v>17.813621224031571</v>
      </c>
      <c r="I348" s="447">
        <f t="shared" si="162"/>
        <v>17.47300736051054</v>
      </c>
      <c r="J348" s="447">
        <f t="shared" si="162"/>
        <v>17.339088538828054</v>
      </c>
      <c r="K348" s="447">
        <f t="shared" si="162"/>
        <v>17.173092859735693</v>
      </c>
      <c r="L348" s="447">
        <f t="shared" si="162"/>
        <v>17.023164890934183</v>
      </c>
      <c r="M348" s="447">
        <f t="shared" si="162"/>
        <v>17.010648714358148</v>
      </c>
      <c r="N348" s="447">
        <f t="shared" si="162"/>
        <v>17.062562515815852</v>
      </c>
    </row>
    <row r="349" spans="1:14">
      <c r="B349" s="331" t="str">
        <f t="shared" si="153"/>
        <v>65 plus</v>
      </c>
      <c r="C349" s="447">
        <f t="shared" ref="C349:N349" si="163">C312+C256</f>
        <v>8.76584723767626</v>
      </c>
      <c r="D349" s="447">
        <f t="shared" si="163"/>
        <v>8.8779799814643336</v>
      </c>
      <c r="E349" s="447">
        <f t="shared" si="163"/>
        <v>8.6133677920045155</v>
      </c>
      <c r="F349" s="447">
        <f t="shared" si="163"/>
        <v>8.25357858533547</v>
      </c>
      <c r="G349" s="447">
        <f t="shared" si="163"/>
        <v>7.8734324106186833</v>
      </c>
      <c r="H349" s="447">
        <f t="shared" si="163"/>
        <v>7.5170232723813548</v>
      </c>
      <c r="I349" s="447">
        <f t="shared" si="163"/>
        <v>7.2577029805174984</v>
      </c>
      <c r="J349" s="447">
        <f t="shared" si="163"/>
        <v>7.0830595416927791</v>
      </c>
      <c r="K349" s="447">
        <f t="shared" si="163"/>
        <v>6.929151735346271</v>
      </c>
      <c r="L349" s="447">
        <f t="shared" si="163"/>
        <v>6.7982401861467343</v>
      </c>
      <c r="M349" s="447">
        <f t="shared" si="163"/>
        <v>6.7239334499602643</v>
      </c>
      <c r="N349" s="447">
        <f t="shared" si="163"/>
        <v>6.6914363651234448</v>
      </c>
    </row>
    <row r="350" spans="1:14">
      <c r="B350" s="331" t="str">
        <f t="shared" si="153"/>
        <v>Total</v>
      </c>
      <c r="C350" s="447">
        <f t="shared" ref="C350:N350" si="164">SUM(C340:C349)</f>
        <v>1087.5742408808728</v>
      </c>
      <c r="D350" s="447">
        <f t="shared" si="164"/>
        <v>1082.0087216715999</v>
      </c>
      <c r="E350" s="447">
        <f t="shared" si="164"/>
        <v>1083.5462219185536</v>
      </c>
      <c r="F350" s="447">
        <f t="shared" si="164"/>
        <v>1085.7673763431933</v>
      </c>
      <c r="G350" s="447">
        <f t="shared" si="164"/>
        <v>1085.6110438910766</v>
      </c>
      <c r="H350" s="447">
        <f t="shared" si="164"/>
        <v>1082.391020905445</v>
      </c>
      <c r="I350" s="447">
        <f t="shared" si="164"/>
        <v>1087.5050279545462</v>
      </c>
      <c r="J350" s="447">
        <f t="shared" si="164"/>
        <v>1096.7508711540236</v>
      </c>
      <c r="K350" s="447">
        <f t="shared" si="164"/>
        <v>1098.52177857892</v>
      </c>
      <c r="L350" s="447">
        <f t="shared" si="164"/>
        <v>1096.500630226074</v>
      </c>
      <c r="M350" s="447">
        <f t="shared" si="164"/>
        <v>1099.3116592371348</v>
      </c>
      <c r="N350" s="447">
        <f t="shared" si="164"/>
        <v>1104.6499910938453</v>
      </c>
    </row>
    <row r="351" spans="1:14">
      <c r="A351" s="302">
        <f>SUM(C351:N351)</f>
        <v>0</v>
      </c>
      <c r="C351" s="302">
        <f t="shared" ref="C351:N351" si="165">SUM(C340:C349)-C350</f>
        <v>0</v>
      </c>
      <c r="D351" s="302">
        <f t="shared" si="165"/>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N356" si="168">C319+C263</f>
        <v>199.04817289352061</v>
      </c>
      <c r="D356" s="447">
        <f t="shared" si="168"/>
        <v>235.01291455440509</v>
      </c>
      <c r="E356" s="447">
        <f t="shared" si="168"/>
        <v>267.61937360942568</v>
      </c>
      <c r="F356" s="447">
        <f t="shared" si="168"/>
        <v>289.04102182815564</v>
      </c>
      <c r="G356" s="447">
        <f t="shared" si="168"/>
        <v>301.83954183632767</v>
      </c>
      <c r="H356" s="447">
        <f t="shared" si="168"/>
        <v>307.88614379692439</v>
      </c>
      <c r="I356" s="447">
        <f t="shared" si="168"/>
        <v>318.88174110061709</v>
      </c>
      <c r="J356" s="447">
        <f t="shared" si="168"/>
        <v>330.56020170023078</v>
      </c>
      <c r="K356" s="447">
        <f t="shared" si="168"/>
        <v>333.07341450802232</v>
      </c>
      <c r="L356" s="447">
        <f t="shared" si="168"/>
        <v>331.65329280426511</v>
      </c>
      <c r="M356" s="447">
        <f t="shared" si="168"/>
        <v>334.60513949998989</v>
      </c>
      <c r="N356" s="447">
        <f t="shared" si="168"/>
        <v>339.08787400303675</v>
      </c>
    </row>
    <row r="357" spans="1:14">
      <c r="B357" s="331" t="str">
        <f t="shared" si="166"/>
        <v>25-29</v>
      </c>
      <c r="C357" s="447">
        <f t="shared" ref="C357:N357" si="169">C320+C264</f>
        <v>592.00479642502683</v>
      </c>
      <c r="D357" s="447">
        <f t="shared" si="169"/>
        <v>561.74408682688625</v>
      </c>
      <c r="E357" s="447">
        <f t="shared" si="169"/>
        <v>553.28267772695608</v>
      </c>
      <c r="F357" s="447">
        <f t="shared" si="169"/>
        <v>551.20134771176777</v>
      </c>
      <c r="G357" s="447">
        <f t="shared" si="169"/>
        <v>551.25169895103727</v>
      </c>
      <c r="H357" s="447">
        <f t="shared" si="169"/>
        <v>550.58383572356786</v>
      </c>
      <c r="I357" s="447">
        <f t="shared" si="169"/>
        <v>558.07638782083757</v>
      </c>
      <c r="J357" s="447">
        <f t="shared" si="169"/>
        <v>569.50574171699827</v>
      </c>
      <c r="K357" s="447">
        <f t="shared" si="169"/>
        <v>574.05822242508759</v>
      </c>
      <c r="L357" s="447">
        <f t="shared" si="169"/>
        <v>574.54904623124594</v>
      </c>
      <c r="M357" s="447">
        <f t="shared" si="169"/>
        <v>578.68004742594292</v>
      </c>
      <c r="N357" s="447">
        <f t="shared" si="169"/>
        <v>584.65605396047215</v>
      </c>
    </row>
    <row r="358" spans="1:14">
      <c r="B358" s="331" t="str">
        <f t="shared" si="166"/>
        <v>30-34</v>
      </c>
      <c r="C358" s="447">
        <f t="shared" ref="C358:N358" si="170">C321+C265</f>
        <v>835.56120605435342</v>
      </c>
      <c r="D358" s="447">
        <f t="shared" si="170"/>
        <v>771.21958428024345</v>
      </c>
      <c r="E358" s="447">
        <f t="shared" si="170"/>
        <v>721.20058638491105</v>
      </c>
      <c r="F358" s="447">
        <f t="shared" si="170"/>
        <v>681.57069400540649</v>
      </c>
      <c r="G358" s="447">
        <f t="shared" si="170"/>
        <v>650.9697023696541</v>
      </c>
      <c r="H358" s="447">
        <f t="shared" si="170"/>
        <v>627.03434823584109</v>
      </c>
      <c r="I358" s="447">
        <f t="shared" si="170"/>
        <v>612.7733329861843</v>
      </c>
      <c r="J358" s="447">
        <f t="shared" si="170"/>
        <v>605.68636454759019</v>
      </c>
      <c r="K358" s="447">
        <f t="shared" si="170"/>
        <v>599.69350214973576</v>
      </c>
      <c r="L358" s="447">
        <f t="shared" si="170"/>
        <v>594.51632975227346</v>
      </c>
      <c r="M358" s="447">
        <f t="shared" si="170"/>
        <v>592.81175142195298</v>
      </c>
      <c r="N358" s="447">
        <f t="shared" si="170"/>
        <v>593.53896352718493</v>
      </c>
    </row>
    <row r="359" spans="1:14">
      <c r="B359" s="331" t="str">
        <f t="shared" si="166"/>
        <v>35-39</v>
      </c>
      <c r="C359" s="447">
        <f t="shared" ref="C359:N359" si="171">C322+C266</f>
        <v>763.83077417926154</v>
      </c>
      <c r="D359" s="447">
        <f t="shared" si="171"/>
        <v>752.3327299046548</v>
      </c>
      <c r="E359" s="447">
        <f t="shared" si="171"/>
        <v>733.88787713595013</v>
      </c>
      <c r="F359" s="447">
        <f t="shared" si="171"/>
        <v>709.90681627439562</v>
      </c>
      <c r="G359" s="447">
        <f t="shared" si="171"/>
        <v>684.14540018761909</v>
      </c>
      <c r="H359" s="447">
        <f t="shared" si="171"/>
        <v>658.47501222272319</v>
      </c>
      <c r="I359" s="447">
        <f t="shared" si="171"/>
        <v>637.760731502662</v>
      </c>
      <c r="J359" s="447">
        <f t="shared" si="171"/>
        <v>621.40862092571206</v>
      </c>
      <c r="K359" s="447">
        <f t="shared" si="171"/>
        <v>605.93547933889533</v>
      </c>
      <c r="L359" s="447">
        <f t="shared" si="171"/>
        <v>592.25899758294679</v>
      </c>
      <c r="M359" s="447">
        <f t="shared" si="171"/>
        <v>582.7501314576632</v>
      </c>
      <c r="N359" s="447">
        <f t="shared" si="171"/>
        <v>576.35840919403779</v>
      </c>
    </row>
    <row r="360" spans="1:14">
      <c r="B360" s="331" t="str">
        <f t="shared" si="166"/>
        <v>40-44</v>
      </c>
      <c r="C360" s="447">
        <f t="shared" ref="C360:N360" si="172">C323+C267</f>
        <v>544.19222704462743</v>
      </c>
      <c r="D360" s="447">
        <f t="shared" si="172"/>
        <v>571.64917081358203</v>
      </c>
      <c r="E360" s="447">
        <f t="shared" si="172"/>
        <v>591.3991403122767</v>
      </c>
      <c r="F360" s="447">
        <f t="shared" si="172"/>
        <v>601.48549142088598</v>
      </c>
      <c r="G360" s="447">
        <f t="shared" si="172"/>
        <v>603.75160681146872</v>
      </c>
      <c r="H360" s="447">
        <f t="shared" si="172"/>
        <v>599.72805098999231</v>
      </c>
      <c r="I360" s="447">
        <f t="shared" si="172"/>
        <v>594.2533597035623</v>
      </c>
      <c r="J360" s="447">
        <f t="shared" si="172"/>
        <v>587.71446729525451</v>
      </c>
      <c r="K360" s="447">
        <f t="shared" si="172"/>
        <v>578.06320335358225</v>
      </c>
      <c r="L360" s="447">
        <f t="shared" si="172"/>
        <v>567.10478065176119</v>
      </c>
      <c r="M360" s="447">
        <f t="shared" si="172"/>
        <v>557.83434453009386</v>
      </c>
      <c r="N360" s="447">
        <f t="shared" si="172"/>
        <v>550.06625615404982</v>
      </c>
    </row>
    <row r="361" spans="1:14">
      <c r="B361" s="331" t="str">
        <f t="shared" si="166"/>
        <v>45-49</v>
      </c>
      <c r="C361" s="447">
        <f t="shared" ref="C361:N361" si="173">C324+C268</f>
        <v>344.4815327880641</v>
      </c>
      <c r="D361" s="447">
        <f t="shared" si="173"/>
        <v>374.42672650446804</v>
      </c>
      <c r="E361" s="447">
        <f t="shared" si="173"/>
        <v>402.58847791910927</v>
      </c>
      <c r="F361" s="447">
        <f t="shared" si="173"/>
        <v>425.80809337260746</v>
      </c>
      <c r="G361" s="447">
        <f t="shared" si="173"/>
        <v>443.89342484925783</v>
      </c>
      <c r="H361" s="447">
        <f t="shared" si="173"/>
        <v>456.65467901526961</v>
      </c>
      <c r="I361" s="447">
        <f t="shared" si="173"/>
        <v>466.94957617487847</v>
      </c>
      <c r="J361" s="447">
        <f t="shared" si="173"/>
        <v>474.4591841503555</v>
      </c>
      <c r="K361" s="447">
        <f t="shared" si="173"/>
        <v>477.23024337929428</v>
      </c>
      <c r="L361" s="447">
        <f t="shared" si="173"/>
        <v>476.65590580864057</v>
      </c>
      <c r="M361" s="447">
        <f t="shared" si="173"/>
        <v>475.28507646755179</v>
      </c>
      <c r="N361" s="447">
        <f t="shared" si="173"/>
        <v>473.23833696099564</v>
      </c>
    </row>
    <row r="362" spans="1:14">
      <c r="B362" s="331" t="str">
        <f t="shared" si="166"/>
        <v>50-54</v>
      </c>
      <c r="C362" s="447">
        <f t="shared" ref="C362:N362" si="174">C325+C269</f>
        <v>237.1709225342708</v>
      </c>
      <c r="D362" s="447">
        <f t="shared" si="174"/>
        <v>247.45993840452581</v>
      </c>
      <c r="E362" s="447">
        <f t="shared" si="174"/>
        <v>261.13126984243229</v>
      </c>
      <c r="F362" s="447">
        <f t="shared" si="174"/>
        <v>275.21935387376811</v>
      </c>
      <c r="G362" s="447">
        <f t="shared" si="174"/>
        <v>288.83780631787027</v>
      </c>
      <c r="H362" s="447">
        <f t="shared" si="174"/>
        <v>301.0841223057655</v>
      </c>
      <c r="I362" s="447">
        <f t="shared" si="174"/>
        <v>313.30084902499129</v>
      </c>
      <c r="J362" s="447">
        <f t="shared" si="174"/>
        <v>324.51827019115194</v>
      </c>
      <c r="K362" s="447">
        <f t="shared" si="174"/>
        <v>332.66683866806756</v>
      </c>
      <c r="L362" s="447">
        <f t="shared" si="174"/>
        <v>338.29685029624</v>
      </c>
      <c r="M362" s="447">
        <f t="shared" si="174"/>
        <v>342.94030308358293</v>
      </c>
      <c r="N362" s="447">
        <f t="shared" si="174"/>
        <v>346.44634503428352</v>
      </c>
    </row>
    <row r="363" spans="1:14">
      <c r="B363" s="331" t="str">
        <f t="shared" si="166"/>
        <v>55-59</v>
      </c>
      <c r="C363" s="447">
        <f t="shared" ref="C363:N363" si="175">C326+C270</f>
        <v>127.05707146472129</v>
      </c>
      <c r="D363" s="447">
        <f t="shared" si="175"/>
        <v>125.04129560583515</v>
      </c>
      <c r="E363" s="447">
        <f t="shared" si="175"/>
        <v>126.18435671558905</v>
      </c>
      <c r="F363" s="447">
        <f t="shared" si="175"/>
        <v>128.67835064710346</v>
      </c>
      <c r="G363" s="447">
        <f t="shared" si="175"/>
        <v>132.03824522700586</v>
      </c>
      <c r="H363" s="447">
        <f t="shared" si="175"/>
        <v>135.76536595202961</v>
      </c>
      <c r="I363" s="447">
        <f t="shared" si="175"/>
        <v>140.72603105138003</v>
      </c>
      <c r="J363" s="447">
        <f t="shared" si="175"/>
        <v>146.07793402144486</v>
      </c>
      <c r="K363" s="447">
        <f t="shared" si="175"/>
        <v>150.30324708837867</v>
      </c>
      <c r="L363" s="447">
        <f t="shared" si="175"/>
        <v>153.69699496125625</v>
      </c>
      <c r="M363" s="447">
        <f t="shared" si="175"/>
        <v>157.10259678142813</v>
      </c>
      <c r="N363" s="447">
        <f t="shared" si="175"/>
        <v>160.1718528110132</v>
      </c>
    </row>
    <row r="364" spans="1:14">
      <c r="B364" s="331" t="str">
        <f t="shared" si="166"/>
        <v>60-64</v>
      </c>
      <c r="C364" s="447">
        <f t="shared" ref="C364:N364" si="176">C327+C271</f>
        <v>51.506592665190304</v>
      </c>
      <c r="D364" s="447">
        <f t="shared" si="176"/>
        <v>48.683751519500113</v>
      </c>
      <c r="E364" s="447">
        <f t="shared" si="176"/>
        <v>47.413399130323178</v>
      </c>
      <c r="F364" s="447">
        <f t="shared" si="176"/>
        <v>46.790524507400796</v>
      </c>
      <c r="G364" s="447">
        <f t="shared" si="176"/>
        <v>46.645402578025205</v>
      </c>
      <c r="H364" s="447">
        <f t="shared" si="176"/>
        <v>46.810866071534733</v>
      </c>
      <c r="I364" s="447">
        <f t="shared" si="176"/>
        <v>47.803453672313417</v>
      </c>
      <c r="J364" s="447">
        <f t="shared" si="176"/>
        <v>49.196673391377153</v>
      </c>
      <c r="K364" s="447">
        <f t="shared" si="176"/>
        <v>50.226257473177064</v>
      </c>
      <c r="L364" s="447">
        <f t="shared" si="176"/>
        <v>51.08734549750482</v>
      </c>
      <c r="M364" s="447">
        <f t="shared" si="176"/>
        <v>52.213730423966048</v>
      </c>
      <c r="N364" s="447">
        <f t="shared" si="176"/>
        <v>53.378153473428739</v>
      </c>
    </row>
    <row r="365" spans="1:14">
      <c r="B365" s="331" t="str">
        <f t="shared" si="166"/>
        <v>65 plus</v>
      </c>
      <c r="C365" s="447">
        <f t="shared" ref="C365:N365" si="177">C328+C272</f>
        <v>12.375816341991941</v>
      </c>
      <c r="D365" s="447">
        <f t="shared" si="177"/>
        <v>16.283942415541134</v>
      </c>
      <c r="E365" s="447">
        <f t="shared" si="177"/>
        <v>18.529070665489161</v>
      </c>
      <c r="F365" s="447">
        <f t="shared" si="177"/>
        <v>19.744463746981857</v>
      </c>
      <c r="G365" s="447">
        <f t="shared" si="177"/>
        <v>20.393796273612768</v>
      </c>
      <c r="H365" s="447">
        <f t="shared" si="177"/>
        <v>20.730909731387321</v>
      </c>
      <c r="I365" s="447">
        <f t="shared" si="177"/>
        <v>21.096265732463763</v>
      </c>
      <c r="J365" s="447">
        <f t="shared" si="177"/>
        <v>21.530680107843281</v>
      </c>
      <c r="K365" s="447">
        <f t="shared" si="177"/>
        <v>21.873743290611554</v>
      </c>
      <c r="L365" s="447">
        <f t="shared" si="177"/>
        <v>22.161052931674725</v>
      </c>
      <c r="M365" s="447">
        <f t="shared" si="177"/>
        <v>22.529288091666334</v>
      </c>
      <c r="N365" s="447">
        <f t="shared" si="177"/>
        <v>22.952856817996398</v>
      </c>
    </row>
    <row r="366" spans="1:14">
      <c r="B366" s="331" t="str">
        <f t="shared" si="166"/>
        <v>Total</v>
      </c>
      <c r="C366" s="447">
        <f t="shared" ref="C366:N366" si="178">SUM(C356:C365)</f>
        <v>3707.2291123910286</v>
      </c>
      <c r="D366" s="447">
        <f t="shared" si="178"/>
        <v>3703.8541408296428</v>
      </c>
      <c r="E366" s="447">
        <f t="shared" si="178"/>
        <v>3723.2362294424624</v>
      </c>
      <c r="F366" s="447">
        <f t="shared" si="178"/>
        <v>3729.4461573884723</v>
      </c>
      <c r="G366" s="447">
        <f t="shared" si="178"/>
        <v>3723.7666254018791</v>
      </c>
      <c r="H366" s="447">
        <f t="shared" si="178"/>
        <v>3704.7533340450359</v>
      </c>
      <c r="I366" s="447">
        <f t="shared" si="178"/>
        <v>3711.6217287698905</v>
      </c>
      <c r="J366" s="447">
        <f t="shared" si="178"/>
        <v>3730.6581380479588</v>
      </c>
      <c r="K366" s="447">
        <f t="shared" si="178"/>
        <v>3723.1241516748523</v>
      </c>
      <c r="L366" s="447">
        <f t="shared" si="178"/>
        <v>3701.9805965178089</v>
      </c>
      <c r="M366" s="447">
        <f t="shared" si="178"/>
        <v>3696.7524091838377</v>
      </c>
      <c r="N366" s="447">
        <f t="shared" si="178"/>
        <v>3699.895101936499</v>
      </c>
    </row>
    <row r="367" spans="1:14">
      <c r="A367" s="302">
        <f>SUM(C367:N367)</f>
        <v>0</v>
      </c>
      <c r="C367" s="302">
        <f t="shared" ref="C367:N367" si="179">SUM(C356:C365)-C366</f>
        <v>0</v>
      </c>
      <c r="D367" s="302">
        <f t="shared" si="179"/>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4">
      <c r="C368" s="322">
        <f>C350+C366</f>
        <v>4794.8033532719019</v>
      </c>
      <c r="D368" s="322">
        <f t="shared" ref="D368:N368" si="180">D350+D366</f>
        <v>4785.8628625012425</v>
      </c>
      <c r="E368" s="322">
        <f t="shared" si="180"/>
        <v>4806.7824513610158</v>
      </c>
      <c r="F368" s="322">
        <f t="shared" si="180"/>
        <v>4815.2135337316658</v>
      </c>
      <c r="G368" s="322">
        <f t="shared" si="180"/>
        <v>4809.3776692929559</v>
      </c>
      <c r="H368" s="322">
        <f t="shared" si="180"/>
        <v>4787.1443549504811</v>
      </c>
      <c r="I368" s="322">
        <f t="shared" si="180"/>
        <v>4799.1267567244367</v>
      </c>
      <c r="J368" s="322">
        <f t="shared" si="180"/>
        <v>4827.4090092019824</v>
      </c>
      <c r="K368" s="322">
        <f t="shared" si="180"/>
        <v>4821.6459302537723</v>
      </c>
      <c r="L368" s="322">
        <f t="shared" si="180"/>
        <v>4798.4812267438829</v>
      </c>
      <c r="M368" s="322">
        <f t="shared" si="180"/>
        <v>4796.064068420972</v>
      </c>
      <c r="N368" s="322">
        <f t="shared" si="180"/>
        <v>4804.5450930303441</v>
      </c>
    </row>
    <row r="369" spans="1:14">
      <c r="C369" s="322">
        <f t="shared" ref="C369:N369" si="181">C36</f>
        <v>4794.803353271901</v>
      </c>
      <c r="D369" s="322">
        <f t="shared" si="181"/>
        <v>4785.8628625012416</v>
      </c>
      <c r="E369" s="322">
        <f t="shared" si="181"/>
        <v>4806.7824513610158</v>
      </c>
      <c r="F369" s="322">
        <f t="shared" si="181"/>
        <v>4815.2135337316658</v>
      </c>
      <c r="G369" s="322">
        <f t="shared" si="181"/>
        <v>4809.377669292955</v>
      </c>
      <c r="H369" s="322">
        <f t="shared" si="181"/>
        <v>4787.1443549504802</v>
      </c>
      <c r="I369" s="322">
        <f t="shared" si="181"/>
        <v>4799.1267567244358</v>
      </c>
      <c r="J369" s="322">
        <f t="shared" si="181"/>
        <v>4827.4090092019815</v>
      </c>
      <c r="K369" s="322">
        <f t="shared" si="181"/>
        <v>4821.6459302537714</v>
      </c>
      <c r="L369" s="322">
        <f t="shared" si="181"/>
        <v>4798.481226743882</v>
      </c>
      <c r="M369" s="322">
        <f t="shared" si="181"/>
        <v>4796.064068420972</v>
      </c>
      <c r="N369" s="322">
        <f t="shared" si="181"/>
        <v>4804.5450930303432</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R371"/>
  <sheetViews>
    <sheetView showGridLines="0" workbookViewId="0"/>
  </sheetViews>
  <sheetFormatPr defaultColWidth="9.140625" defaultRowHeight="12.75"/>
  <cols>
    <col min="1" max="1" width="9.140625" style="302"/>
    <col min="2" max="2" width="28.7109375" style="302" customWidth="1"/>
    <col min="3" max="17" width="10.7109375" style="302" customWidth="1"/>
    <col min="18"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275</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Forecast_stock_figures!B24</f>
        <v>English</v>
      </c>
      <c r="C15" s="300">
        <f>Forecast_stock_figures!C48</f>
        <v>29670.50860019396</v>
      </c>
      <c r="D15" s="300">
        <f>Forecast_stock_figures!D48</f>
        <v>30334.045422360272</v>
      </c>
      <c r="E15" s="300">
        <f>Forecast_stock_figures!E48</f>
        <v>31134.668074249341</v>
      </c>
      <c r="F15" s="300">
        <f>Forecast_stock_figures!F48</f>
        <v>31550.424741367737</v>
      </c>
      <c r="G15" s="300">
        <f>Forecast_stock_figures!G48</f>
        <v>31856.821512469844</v>
      </c>
      <c r="H15" s="300">
        <f>Forecast_stock_figures!H48</f>
        <v>32164.831007781457</v>
      </c>
      <c r="I15" s="300">
        <f>Forecast_stock_figures!I48</f>
        <v>32472.152387487833</v>
      </c>
      <c r="J15" s="300">
        <f>Forecast_stock_figures!J48</f>
        <v>32827.766062176583</v>
      </c>
      <c r="K15" s="300">
        <f>Forecast_stock_figures!K48</f>
        <v>33010.891318920854</v>
      </c>
      <c r="L15" s="300">
        <f>Forecast_stock_figures!L48</f>
        <v>33087.00301484338</v>
      </c>
      <c r="M15" s="300">
        <f>Forecast_stock_figures!M48</f>
        <v>33063.748664034851</v>
      </c>
      <c r="N15" s="300">
        <f>Forecast_stock_figures!N48</f>
        <v>32971.683142454873</v>
      </c>
    </row>
    <row r="17" spans="1:9" ht="15.75">
      <c r="B17" s="333" t="s">
        <v>162</v>
      </c>
    </row>
    <row r="19" spans="1:9">
      <c r="B19" s="1327" t="str">
        <f>Stock_ages_breakdowns!B73</f>
        <v>Age group</v>
      </c>
      <c r="C19" s="1328" t="str">
        <f>Stock_ages_breakdowns!S73</f>
        <v>English</v>
      </c>
      <c r="D19" s="1329"/>
      <c r="H19" s="318" t="s">
        <v>133</v>
      </c>
    </row>
    <row r="20" spans="1:9">
      <c r="B20" s="1327"/>
      <c r="C20" s="356" t="str">
        <f>Stock_ages_breakdowns!S74</f>
        <v>Male</v>
      </c>
      <c r="D20" s="356" t="str">
        <f>Stock_ages_breakdowns!T74</f>
        <v>Female</v>
      </c>
    </row>
    <row r="21" spans="1:9">
      <c r="B21" s="356" t="str">
        <f>Stock_ages_breakdowns!B75</f>
        <v>20-24</v>
      </c>
      <c r="C21" s="324">
        <f>Stock_ages_breakdowns!S20</f>
        <v>287.95548097426826</v>
      </c>
      <c r="D21" s="324">
        <f>Stock_ages_breakdowns!T20</f>
        <v>1307.2156166531688</v>
      </c>
    </row>
    <row r="22" spans="1:9">
      <c r="B22" s="356" t="str">
        <f>Stock_ages_breakdowns!B76</f>
        <v>25-29</v>
      </c>
      <c r="C22" s="324">
        <f>Stock_ages_breakdowns!S21</f>
        <v>956.96172459085551</v>
      </c>
      <c r="D22" s="324">
        <f>Stock_ages_breakdowns!T21</f>
        <v>4516.8184572356195</v>
      </c>
    </row>
    <row r="23" spans="1:9">
      <c r="B23" s="356" t="str">
        <f>Stock_ages_breakdowns!B77</f>
        <v>30-34</v>
      </c>
      <c r="C23" s="324">
        <f>Stock_ages_breakdowns!S22</f>
        <v>1185.7888110371855</v>
      </c>
      <c r="D23" s="324">
        <f>Stock_ages_breakdowns!T22</f>
        <v>4344.8091266721876</v>
      </c>
    </row>
    <row r="24" spans="1:9">
      <c r="B24" s="356" t="str">
        <f>Stock_ages_breakdowns!B78</f>
        <v>35-39</v>
      </c>
      <c r="C24" s="324">
        <f>Stock_ages_breakdowns!S23</f>
        <v>1058.1227820215711</v>
      </c>
      <c r="D24" s="324">
        <f>Stock_ages_breakdowns!T23</f>
        <v>3847.8102173869411</v>
      </c>
    </row>
    <row r="25" spans="1:9">
      <c r="B25" s="356" t="str">
        <f>Stock_ages_breakdowns!B79</f>
        <v>40-44</v>
      </c>
      <c r="C25" s="324">
        <f>Stock_ages_breakdowns!S24</f>
        <v>898.13875357280153</v>
      </c>
      <c r="D25" s="324">
        <f>Stock_ages_breakdowns!T24</f>
        <v>3061.8916470275958</v>
      </c>
    </row>
    <row r="26" spans="1:9">
      <c r="B26" s="356" t="str">
        <f>Stock_ages_breakdowns!B80</f>
        <v>45-49</v>
      </c>
      <c r="C26" s="324">
        <f>Stock_ages_breakdowns!S25</f>
        <v>742.1811252510696</v>
      </c>
      <c r="D26" s="324">
        <f>Stock_ages_breakdowns!T25</f>
        <v>2460.8810608860467</v>
      </c>
    </row>
    <row r="27" spans="1:9">
      <c r="B27" s="356" t="str">
        <f>Stock_ages_breakdowns!B81</f>
        <v>50-54</v>
      </c>
      <c r="C27" s="324">
        <f>Stock_ages_breakdowns!S26</f>
        <v>543.83350848231635</v>
      </c>
      <c r="D27" s="324">
        <f>Stock_ages_breakdowns!T26</f>
        <v>1978.7950034347293</v>
      </c>
    </row>
    <row r="28" spans="1:9">
      <c r="B28" s="356" t="str">
        <f>Stock_ages_breakdowns!B82</f>
        <v>55-59</v>
      </c>
      <c r="C28" s="324">
        <f>Stock_ages_breakdowns!S27</f>
        <v>364.33631134649096</v>
      </c>
      <c r="D28" s="324">
        <f>Stock_ages_breakdowns!T27</f>
        <v>1442.5791166107051</v>
      </c>
    </row>
    <row r="29" spans="1:9">
      <c r="B29" s="356" t="str">
        <f>Stock_ages_breakdowns!B83</f>
        <v>60-64</v>
      </c>
      <c r="C29" s="324">
        <f>Stock_ages_breakdowns!S28</f>
        <v>136.46042949140207</v>
      </c>
      <c r="D29" s="324">
        <f>Stock_ages_breakdowns!T28</f>
        <v>439.43256636831768</v>
      </c>
      <c r="F29" s="318"/>
    </row>
    <row r="30" spans="1:9">
      <c r="B30" s="356" t="str">
        <f>Stock_ages_breakdowns!B84</f>
        <v>65 plus</v>
      </c>
      <c r="C30" s="324">
        <f>Stock_ages_breakdowns!S29</f>
        <v>25.331187115539237</v>
      </c>
      <c r="D30" s="324">
        <f>Stock_ages_breakdowns!T29</f>
        <v>71.165674035145088</v>
      </c>
      <c r="G30" s="319" t="s">
        <v>46</v>
      </c>
      <c r="H30" s="319" t="s">
        <v>47</v>
      </c>
    </row>
    <row r="31" spans="1:9">
      <c r="A31" s="302">
        <f>I31</f>
        <v>0</v>
      </c>
      <c r="B31" s="356" t="str">
        <f>Stock_ages_breakdowns!B85</f>
        <v>Total</v>
      </c>
      <c r="C31" s="324">
        <f>Stock_ages_breakdowns!S30</f>
        <v>6199.1101138835011</v>
      </c>
      <c r="D31" s="324">
        <f>Stock_ages_breakdowns!T30</f>
        <v>23471.39848631046</v>
      </c>
      <c r="E31" s="320">
        <f>SUM(C31:D31)</f>
        <v>29670.50860019396</v>
      </c>
      <c r="G31" s="359">
        <f>C31/$E$31</f>
        <v>0.20893171052157081</v>
      </c>
      <c r="H31" s="359">
        <f>D31/$E$31</f>
        <v>0.79106828947842922</v>
      </c>
      <c r="I31" s="302">
        <f>(G31+H31)-1</f>
        <v>0</v>
      </c>
    </row>
    <row r="33" spans="2:18" ht="15.75">
      <c r="B33" s="333" t="s">
        <v>263</v>
      </c>
      <c r="H33" s="318"/>
    </row>
    <row r="34" spans="2:18">
      <c r="H34" s="318"/>
    </row>
    <row r="35" spans="2:18">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8">
      <c r="B36" s="319" t="str">
        <f>B15</f>
        <v>English</v>
      </c>
      <c r="C36" s="300">
        <f>Teacher_need_by_subject!C631</f>
        <v>30334.045422360272</v>
      </c>
      <c r="D36" s="300">
        <f>Teacher_need_by_subject!D631</f>
        <v>31134.668074249341</v>
      </c>
      <c r="E36" s="300">
        <f>Teacher_need_by_subject!E631</f>
        <v>31550.424741367737</v>
      </c>
      <c r="F36" s="300">
        <f>Teacher_need_by_subject!F631</f>
        <v>31856.821512469844</v>
      </c>
      <c r="G36" s="300">
        <f>Teacher_need_by_subject!G631</f>
        <v>32164.831007781457</v>
      </c>
      <c r="H36" s="300">
        <f>Teacher_need_by_subject!H631</f>
        <v>32472.152387487833</v>
      </c>
      <c r="I36" s="300">
        <f>Teacher_need_by_subject!I631</f>
        <v>32827.766062176583</v>
      </c>
      <c r="J36" s="300">
        <f>Teacher_need_by_subject!J631</f>
        <v>33010.891318920854</v>
      </c>
      <c r="K36" s="300">
        <f>Teacher_need_by_subject!K631</f>
        <v>33087.00301484338</v>
      </c>
      <c r="L36" s="300">
        <f>Teacher_need_by_subject!L631</f>
        <v>33063.748664034851</v>
      </c>
      <c r="M36" s="300">
        <f>Teacher_need_by_subject!M631</f>
        <v>32971.683142454873</v>
      </c>
      <c r="N36" s="300">
        <f>Teacher_need_by_subject!N631</f>
        <v>32821.598064010017</v>
      </c>
    </row>
    <row r="37" spans="2:18">
      <c r="H37" s="318"/>
    </row>
    <row r="38" spans="2:18" ht="15.75">
      <c r="B38" s="333" t="s">
        <v>170</v>
      </c>
      <c r="H38" s="318"/>
    </row>
    <row r="39" spans="2:18">
      <c r="H39" s="318"/>
    </row>
    <row r="40" spans="2:18">
      <c r="B40" s="334" t="s">
        <v>46</v>
      </c>
      <c r="H40" s="318"/>
    </row>
    <row r="41" spans="2:18">
      <c r="H41" s="318"/>
    </row>
    <row r="42" spans="2:18">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8">
      <c r="B43" s="356" t="str">
        <f>B21</f>
        <v>20-24</v>
      </c>
      <c r="C43" s="300">
        <f>C21</f>
        <v>287.95548097426826</v>
      </c>
      <c r="D43" s="300">
        <f>C340</f>
        <v>415.00366978113374</v>
      </c>
      <c r="E43" s="300">
        <f t="shared" ref="E43:L43" si="2">D340</f>
        <v>514.31443831691911</v>
      </c>
      <c r="F43" s="300">
        <f t="shared" si="2"/>
        <v>567.58522449791042</v>
      </c>
      <c r="G43" s="300">
        <f t="shared" si="2"/>
        <v>602.49703158811531</v>
      </c>
      <c r="H43" s="300">
        <f t="shared" si="2"/>
        <v>628.1310545483359</v>
      </c>
      <c r="I43" s="300">
        <f t="shared" si="2"/>
        <v>647.43274408652064</v>
      </c>
      <c r="J43" s="300">
        <f t="shared" si="2"/>
        <v>665.13633432986933</v>
      </c>
      <c r="K43" s="300">
        <f t="shared" si="2"/>
        <v>670.31278732247767</v>
      </c>
      <c r="L43" s="300">
        <f t="shared" si="2"/>
        <v>669.32490562034991</v>
      </c>
      <c r="M43" s="300">
        <f>L340</f>
        <v>663.87123031383703</v>
      </c>
      <c r="N43" s="300">
        <f>M340</f>
        <v>656.38700223403498</v>
      </c>
      <c r="P43" s="269"/>
      <c r="Q43" s="269"/>
      <c r="R43" s="269"/>
    </row>
    <row r="44" spans="2:18">
      <c r="B44" s="356" t="str">
        <f t="shared" ref="B44:C53" si="3">B22</f>
        <v>25-29</v>
      </c>
      <c r="C44" s="300">
        <f t="shared" si="3"/>
        <v>956.96172459085551</v>
      </c>
      <c r="D44" s="300">
        <f t="shared" ref="D44:K53" si="4">C341</f>
        <v>937.21019968611085</v>
      </c>
      <c r="E44" s="300">
        <f t="shared" si="4"/>
        <v>959.82356082133822</v>
      </c>
      <c r="F44" s="300">
        <f t="shared" si="4"/>
        <v>975.1847574293862</v>
      </c>
      <c r="G44" s="300">
        <f t="shared" si="4"/>
        <v>994.30099473840448</v>
      </c>
      <c r="H44" s="300">
        <f t="shared" si="4"/>
        <v>1015.2800578795654</v>
      </c>
      <c r="I44" s="300">
        <f t="shared" si="4"/>
        <v>1036.0186569757393</v>
      </c>
      <c r="J44" s="300">
        <f t="shared" si="4"/>
        <v>1058.3186145898403</v>
      </c>
      <c r="K44" s="300">
        <f t="shared" si="4"/>
        <v>1069.7687191429497</v>
      </c>
      <c r="L44" s="300">
        <f t="shared" ref="L44:L53" si="5">K341</f>
        <v>1074.0032214814637</v>
      </c>
      <c r="M44" s="300">
        <f t="shared" ref="M44:M53" si="6">L341</f>
        <v>1071.9153336886427</v>
      </c>
      <c r="N44" s="300">
        <f t="shared" ref="N44:N53" si="7">M341</f>
        <v>1065.7128062256286</v>
      </c>
    </row>
    <row r="45" spans="2:18">
      <c r="B45" s="356" t="str">
        <f t="shared" si="3"/>
        <v>30-34</v>
      </c>
      <c r="C45" s="300">
        <f t="shared" si="3"/>
        <v>1185.7888110371855</v>
      </c>
      <c r="D45" s="300">
        <f t="shared" si="4"/>
        <v>1153.1784713108937</v>
      </c>
      <c r="E45" s="300">
        <f t="shared" si="4"/>
        <v>1134.2024215039273</v>
      </c>
      <c r="F45" s="300">
        <f t="shared" si="4"/>
        <v>1114.2386750669682</v>
      </c>
      <c r="G45" s="300">
        <f t="shared" si="4"/>
        <v>1102.6551861264445</v>
      </c>
      <c r="H45" s="300">
        <f t="shared" si="4"/>
        <v>1098.4342426156197</v>
      </c>
      <c r="I45" s="300">
        <f t="shared" si="4"/>
        <v>1099.99333233217</v>
      </c>
      <c r="J45" s="300">
        <f t="shared" si="4"/>
        <v>1107.1548238257619</v>
      </c>
      <c r="K45" s="300">
        <f t="shared" si="4"/>
        <v>1112.9201068224559</v>
      </c>
      <c r="L45" s="300">
        <f t="shared" si="5"/>
        <v>1116.9340469885269</v>
      </c>
      <c r="M45" s="300">
        <f t="shared" si="6"/>
        <v>1118.2353413151823</v>
      </c>
      <c r="N45" s="300">
        <f t="shared" si="7"/>
        <v>1116.9225046165295</v>
      </c>
      <c r="P45" s="269"/>
      <c r="Q45" s="269"/>
      <c r="R45" s="269"/>
    </row>
    <row r="46" spans="2:18">
      <c r="B46" s="356" t="str">
        <f t="shared" si="3"/>
        <v>35-39</v>
      </c>
      <c r="C46" s="300">
        <f t="shared" si="3"/>
        <v>1058.1227820215711</v>
      </c>
      <c r="D46" s="300">
        <f t="shared" si="4"/>
        <v>1085.0238520595742</v>
      </c>
      <c r="E46" s="300">
        <f t="shared" si="4"/>
        <v>1105.6455077608312</v>
      </c>
      <c r="F46" s="300">
        <f t="shared" si="4"/>
        <v>1109.4006115108994</v>
      </c>
      <c r="G46" s="300">
        <f t="shared" si="4"/>
        <v>1108.8983134428495</v>
      </c>
      <c r="H46" s="300">
        <f t="shared" si="4"/>
        <v>1106.9515012889456</v>
      </c>
      <c r="I46" s="300">
        <f t="shared" si="4"/>
        <v>1105.3274112726829</v>
      </c>
      <c r="J46" s="300">
        <f t="shared" si="4"/>
        <v>1106.0633762161949</v>
      </c>
      <c r="K46" s="300">
        <f t="shared" si="4"/>
        <v>1105.2720327861941</v>
      </c>
      <c r="L46" s="300">
        <f t="shared" si="5"/>
        <v>1104.0296432225359</v>
      </c>
      <c r="M46" s="300">
        <f t="shared" si="6"/>
        <v>1102.0495681243888</v>
      </c>
      <c r="N46" s="300">
        <f t="shared" si="7"/>
        <v>1099.4178160799397</v>
      </c>
    </row>
    <row r="47" spans="2:18">
      <c r="B47" s="356" t="str">
        <f t="shared" si="3"/>
        <v>40-44</v>
      </c>
      <c r="C47" s="300">
        <f t="shared" si="3"/>
        <v>898.13875357280153</v>
      </c>
      <c r="D47" s="300">
        <f t="shared" si="4"/>
        <v>930.39389219681198</v>
      </c>
      <c r="E47" s="300">
        <f t="shared" si="4"/>
        <v>965.08028639081431</v>
      </c>
      <c r="F47" s="300">
        <f t="shared" si="4"/>
        <v>987.61101776995815</v>
      </c>
      <c r="G47" s="300">
        <f t="shared" si="4"/>
        <v>1005.415664774715</v>
      </c>
      <c r="H47" s="300">
        <f t="shared" si="4"/>
        <v>1019.0052527529264</v>
      </c>
      <c r="I47" s="300">
        <f t="shared" si="4"/>
        <v>1029.2296152550796</v>
      </c>
      <c r="J47" s="300">
        <f t="shared" si="4"/>
        <v>1037.9221084018561</v>
      </c>
      <c r="K47" s="300">
        <f t="shared" si="4"/>
        <v>1042.207998351889</v>
      </c>
      <c r="L47" s="300">
        <f t="shared" si="5"/>
        <v>1043.7547463024084</v>
      </c>
      <c r="M47" s="300">
        <f t="shared" si="6"/>
        <v>1043.1213729588403</v>
      </c>
      <c r="N47" s="300">
        <f t="shared" si="7"/>
        <v>1041.0786392236037</v>
      </c>
      <c r="P47" s="269"/>
      <c r="Q47" s="269"/>
      <c r="R47" s="269"/>
    </row>
    <row r="48" spans="2:18">
      <c r="B48" s="356" t="str">
        <f t="shared" si="3"/>
        <v>45-49</v>
      </c>
      <c r="C48" s="300">
        <f t="shared" si="3"/>
        <v>742.1811252510696</v>
      </c>
      <c r="D48" s="300">
        <f t="shared" si="4"/>
        <v>759.50969068118877</v>
      </c>
      <c r="E48" s="300">
        <f t="shared" si="4"/>
        <v>783.1588570951784</v>
      </c>
      <c r="F48" s="300">
        <f t="shared" si="4"/>
        <v>800.58652931254824</v>
      </c>
      <c r="G48" s="300">
        <f t="shared" si="4"/>
        <v>817.9727285748944</v>
      </c>
      <c r="H48" s="300">
        <f t="shared" si="4"/>
        <v>834.2744185453123</v>
      </c>
      <c r="I48" s="300">
        <f t="shared" si="4"/>
        <v>849.03880921259781</v>
      </c>
      <c r="J48" s="300">
        <f t="shared" si="4"/>
        <v>862.79736668147018</v>
      </c>
      <c r="K48" s="300">
        <f t="shared" si="4"/>
        <v>872.5548803478797</v>
      </c>
      <c r="L48" s="300">
        <f t="shared" si="5"/>
        <v>879.24745471182143</v>
      </c>
      <c r="M48" s="300">
        <f t="shared" si="6"/>
        <v>883.15471360611639</v>
      </c>
      <c r="N48" s="300">
        <f t="shared" si="7"/>
        <v>884.91235434821522</v>
      </c>
    </row>
    <row r="49" spans="1:18">
      <c r="B49" s="356" t="str">
        <f t="shared" si="3"/>
        <v>50-54</v>
      </c>
      <c r="C49" s="300">
        <f t="shared" si="3"/>
        <v>543.83350848231635</v>
      </c>
      <c r="D49" s="300">
        <f t="shared" si="4"/>
        <v>569.14434565601812</v>
      </c>
      <c r="E49" s="300">
        <f t="shared" si="4"/>
        <v>593.99175126438513</v>
      </c>
      <c r="F49" s="300">
        <f t="shared" si="4"/>
        <v>612.14760560694015</v>
      </c>
      <c r="G49" s="300">
        <f t="shared" si="4"/>
        <v>628.65696125093052</v>
      </c>
      <c r="H49" s="300">
        <f t="shared" si="4"/>
        <v>644.04451923250406</v>
      </c>
      <c r="I49" s="300">
        <f t="shared" si="4"/>
        <v>658.43887938972807</v>
      </c>
      <c r="J49" s="300">
        <f t="shared" si="4"/>
        <v>672.37471025198829</v>
      </c>
      <c r="K49" s="300">
        <f t="shared" si="4"/>
        <v>683.5814550114402</v>
      </c>
      <c r="L49" s="300">
        <f t="shared" si="5"/>
        <v>692.57201989106954</v>
      </c>
      <c r="M49" s="300">
        <f t="shared" si="6"/>
        <v>699.36397791776301</v>
      </c>
      <c r="N49" s="300">
        <f t="shared" si="7"/>
        <v>704.26535839914504</v>
      </c>
      <c r="P49" s="269"/>
      <c r="Q49" s="269"/>
      <c r="R49" s="269"/>
    </row>
    <row r="50" spans="1:18">
      <c r="B50" s="356" t="str">
        <f t="shared" si="3"/>
        <v>55-59</v>
      </c>
      <c r="C50" s="300">
        <f t="shared" si="3"/>
        <v>364.33631134649096</v>
      </c>
      <c r="D50" s="300">
        <f t="shared" si="4"/>
        <v>325.76784363362816</v>
      </c>
      <c r="E50" s="300">
        <f t="shared" si="4"/>
        <v>308.57418067188576</v>
      </c>
      <c r="F50" s="300">
        <f t="shared" si="4"/>
        <v>299.5564516675957</v>
      </c>
      <c r="G50" s="300">
        <f t="shared" si="4"/>
        <v>296.90029178746448</v>
      </c>
      <c r="H50" s="300">
        <f t="shared" si="4"/>
        <v>297.97015661746627</v>
      </c>
      <c r="I50" s="300">
        <f t="shared" si="4"/>
        <v>301.10860386444404</v>
      </c>
      <c r="J50" s="300">
        <f t="shared" si="4"/>
        <v>305.68370146816648</v>
      </c>
      <c r="K50" s="300">
        <f t="shared" si="4"/>
        <v>309.61310466958832</v>
      </c>
      <c r="L50" s="300">
        <f t="shared" si="5"/>
        <v>313.0618033741307</v>
      </c>
      <c r="M50" s="300">
        <f t="shared" si="6"/>
        <v>315.86608063519947</v>
      </c>
      <c r="N50" s="300">
        <f t="shared" si="7"/>
        <v>318.08933053946987</v>
      </c>
    </row>
    <row r="51" spans="1:18">
      <c r="B51" s="356" t="str">
        <f t="shared" si="3"/>
        <v>60-64</v>
      </c>
      <c r="C51" s="300">
        <f t="shared" si="3"/>
        <v>136.46042949140207</v>
      </c>
      <c r="D51" s="300">
        <f t="shared" si="4"/>
        <v>133.00692561182109</v>
      </c>
      <c r="E51" s="300">
        <f t="shared" si="4"/>
        <v>127.04186885258864</v>
      </c>
      <c r="F51" s="300">
        <f t="shared" si="4"/>
        <v>120.56543208554051</v>
      </c>
      <c r="G51" s="300">
        <f t="shared" si="4"/>
        <v>115.91930436241485</v>
      </c>
      <c r="H51" s="300">
        <f t="shared" si="4"/>
        <v>113.23365484639677</v>
      </c>
      <c r="I51" s="300">
        <f t="shared" si="4"/>
        <v>112.06852717527433</v>
      </c>
      <c r="J51" s="300">
        <f t="shared" si="4"/>
        <v>112.14922251102736</v>
      </c>
      <c r="K51" s="300">
        <f t="shared" si="4"/>
        <v>112.3388908194319</v>
      </c>
      <c r="L51" s="300">
        <f t="shared" si="5"/>
        <v>112.66061159975801</v>
      </c>
      <c r="M51" s="300">
        <f t="shared" si="6"/>
        <v>112.97525105892987</v>
      </c>
      <c r="N51" s="300">
        <f t="shared" si="7"/>
        <v>113.26932442462464</v>
      </c>
    </row>
    <row r="52" spans="1:18">
      <c r="B52" s="356" t="str">
        <f t="shared" si="3"/>
        <v>65 plus</v>
      </c>
      <c r="C52" s="300">
        <f t="shared" si="3"/>
        <v>25.331187115539237</v>
      </c>
      <c r="D52" s="300">
        <f t="shared" si="4"/>
        <v>34.084222957523835</v>
      </c>
      <c r="E52" s="300">
        <f t="shared" si="4"/>
        <v>39.133669662157445</v>
      </c>
      <c r="F52" s="300">
        <f t="shared" si="4"/>
        <v>40.791384252562132</v>
      </c>
      <c r="G52" s="300">
        <f t="shared" si="4"/>
        <v>41.092262313878628</v>
      </c>
      <c r="H52" s="300">
        <f t="shared" si="4"/>
        <v>40.763044849090136</v>
      </c>
      <c r="I52" s="300">
        <f t="shared" si="4"/>
        <v>40.299513649859065</v>
      </c>
      <c r="J52" s="300">
        <f t="shared" si="4"/>
        <v>39.986432840260733</v>
      </c>
      <c r="K52" s="300">
        <f t="shared" si="4"/>
        <v>39.68090197316036</v>
      </c>
      <c r="L52" s="300">
        <f t="shared" si="5"/>
        <v>39.440151102832765</v>
      </c>
      <c r="M52" s="300">
        <f t="shared" si="6"/>
        <v>39.247423015491357</v>
      </c>
      <c r="N52" s="300">
        <f t="shared" si="7"/>
        <v>39.101633496445984</v>
      </c>
    </row>
    <row r="53" spans="1:18">
      <c r="B53" s="356" t="str">
        <f t="shared" si="3"/>
        <v>Total</v>
      </c>
      <c r="C53" s="300">
        <f t="shared" si="3"/>
        <v>6199.1101138835011</v>
      </c>
      <c r="D53" s="300">
        <f t="shared" si="4"/>
        <v>6342.3231135747046</v>
      </c>
      <c r="E53" s="300">
        <f t="shared" si="4"/>
        <v>6530.9665423400256</v>
      </c>
      <c r="F53" s="300">
        <f t="shared" si="4"/>
        <v>6627.6676892003097</v>
      </c>
      <c r="G53" s="300">
        <f t="shared" si="4"/>
        <v>6714.3087389601105</v>
      </c>
      <c r="H53" s="300">
        <f t="shared" si="4"/>
        <v>6798.0879031761615</v>
      </c>
      <c r="I53" s="300">
        <f t="shared" si="4"/>
        <v>6878.9560932140967</v>
      </c>
      <c r="J53" s="300">
        <f t="shared" si="4"/>
        <v>6967.5866911164376</v>
      </c>
      <c r="K53" s="300">
        <f t="shared" si="4"/>
        <v>7018.2508772474666</v>
      </c>
      <c r="L53" s="300">
        <f t="shared" si="5"/>
        <v>7045.0286042948983</v>
      </c>
      <c r="M53" s="300">
        <f t="shared" si="6"/>
        <v>7049.8002926343897</v>
      </c>
      <c r="N53" s="300">
        <f t="shared" si="7"/>
        <v>7039.1567695876383</v>
      </c>
    </row>
    <row r="54" spans="1:18">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8">
      <c r="B56" s="334" t="s">
        <v>47</v>
      </c>
      <c r="H56" s="318"/>
    </row>
    <row r="57" spans="1:18">
      <c r="H57" s="318"/>
    </row>
    <row r="58" spans="1:18">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8">
      <c r="B59" s="331" t="str">
        <f t="shared" si="9"/>
        <v>20-24</v>
      </c>
      <c r="C59" s="300">
        <f t="shared" ref="C59:C69" si="11">D21</f>
        <v>1307.2156166531688</v>
      </c>
      <c r="D59" s="300">
        <f>C356</f>
        <v>1740.816540805396</v>
      </c>
      <c r="E59" s="300">
        <f t="shared" ref="E59:L59" si="12">D356</f>
        <v>2083.7159544034312</v>
      </c>
      <c r="F59" s="300">
        <f t="shared" si="12"/>
        <v>2270.705903952653</v>
      </c>
      <c r="G59" s="300">
        <f t="shared" si="12"/>
        <v>2387.9008337674595</v>
      </c>
      <c r="H59" s="300">
        <f t="shared" si="12"/>
        <v>2475.7712781288869</v>
      </c>
      <c r="I59" s="300">
        <f t="shared" si="12"/>
        <v>2543.3825422254258</v>
      </c>
      <c r="J59" s="300">
        <f t="shared" si="12"/>
        <v>2607.3084075752731</v>
      </c>
      <c r="K59" s="300">
        <f t="shared" si="12"/>
        <v>2625.400601042214</v>
      </c>
      <c r="L59" s="300">
        <f t="shared" si="12"/>
        <v>2620.7994761816735</v>
      </c>
      <c r="M59" s="300">
        <f>L356</f>
        <v>2599.5100198694718</v>
      </c>
      <c r="N59" s="300">
        <f>M356</f>
        <v>2570.5181803124838</v>
      </c>
    </row>
    <row r="60" spans="1:18">
      <c r="B60" s="331" t="str">
        <f t="shared" si="9"/>
        <v>25-29</v>
      </c>
      <c r="C60" s="300">
        <f t="shared" si="11"/>
        <v>4516.8184572356195</v>
      </c>
      <c r="D60" s="300">
        <f t="shared" ref="D60:K69" si="13">C357</f>
        <v>4284.7573863196994</v>
      </c>
      <c r="E60" s="300">
        <f t="shared" si="13"/>
        <v>4233.9188215355525</v>
      </c>
      <c r="F60" s="300">
        <f t="shared" si="13"/>
        <v>4199.723838942482</v>
      </c>
      <c r="G60" s="300">
        <f t="shared" si="13"/>
        <v>4191.6652909222285</v>
      </c>
      <c r="H60" s="300">
        <f t="shared" si="13"/>
        <v>4212.5826358708973</v>
      </c>
      <c r="I60" s="300">
        <f t="shared" si="13"/>
        <v>4249.1344530899123</v>
      </c>
      <c r="J60" s="300">
        <f t="shared" si="13"/>
        <v>4303.9060918224859</v>
      </c>
      <c r="K60" s="300">
        <f t="shared" si="13"/>
        <v>4326.7863009057792</v>
      </c>
      <c r="L60" s="300">
        <f t="shared" ref="L60:L69" si="14">K357</f>
        <v>4328.56723296373</v>
      </c>
      <c r="M60" s="300">
        <f t="shared" ref="M60:M69" si="15">L357</f>
        <v>4310.5735048530532</v>
      </c>
      <c r="N60" s="300">
        <f t="shared" ref="N60:N69" si="16">M357</f>
        <v>4279.6849040687011</v>
      </c>
    </row>
    <row r="61" spans="1:18">
      <c r="B61" s="331" t="str">
        <f t="shared" si="9"/>
        <v>30-34</v>
      </c>
      <c r="C61" s="300">
        <f t="shared" si="11"/>
        <v>4344.8091266721876</v>
      </c>
      <c r="D61" s="300">
        <f t="shared" si="13"/>
        <v>4386.8166987846798</v>
      </c>
      <c r="E61" s="300">
        <f t="shared" si="13"/>
        <v>4392.6799996929749</v>
      </c>
      <c r="F61" s="300">
        <f t="shared" si="13"/>
        <v>4355.1035782885956</v>
      </c>
      <c r="G61" s="300">
        <f t="shared" si="13"/>
        <v>4310.7481640973965</v>
      </c>
      <c r="H61" s="300">
        <f t="shared" si="13"/>
        <v>4280.1443368982045</v>
      </c>
      <c r="I61" s="300">
        <f t="shared" si="13"/>
        <v>4264.8634086157672</v>
      </c>
      <c r="J61" s="300">
        <f t="shared" si="13"/>
        <v>4268.8122181115314</v>
      </c>
      <c r="K61" s="300">
        <f t="shared" si="13"/>
        <v>4268.0257764702901</v>
      </c>
      <c r="L61" s="300">
        <f t="shared" si="14"/>
        <v>4262.8317531415032</v>
      </c>
      <c r="M61" s="300">
        <f t="shared" si="15"/>
        <v>4250.2406657056563</v>
      </c>
      <c r="N61" s="300">
        <f t="shared" si="16"/>
        <v>4230.7533324297183</v>
      </c>
    </row>
    <row r="62" spans="1:18">
      <c r="B62" s="331" t="str">
        <f t="shared" si="9"/>
        <v>35-39</v>
      </c>
      <c r="C62" s="300">
        <f t="shared" si="11"/>
        <v>3847.8102173869411</v>
      </c>
      <c r="D62" s="300">
        <f t="shared" si="13"/>
        <v>3919.2448756104541</v>
      </c>
      <c r="E62" s="300">
        <f t="shared" si="13"/>
        <v>3992.0204058118939</v>
      </c>
      <c r="F62" s="300">
        <f t="shared" si="13"/>
        <v>4021.2751540355021</v>
      </c>
      <c r="G62" s="300">
        <f t="shared" si="13"/>
        <v>4026.9802399249347</v>
      </c>
      <c r="H62" s="300">
        <f t="shared" si="13"/>
        <v>4025.2259880718807</v>
      </c>
      <c r="I62" s="300">
        <f t="shared" si="13"/>
        <v>4020.6491082827752</v>
      </c>
      <c r="J62" s="300">
        <f t="shared" si="13"/>
        <v>4020.7790815780822</v>
      </c>
      <c r="K62" s="300">
        <f t="shared" si="13"/>
        <v>4011.5032359881857</v>
      </c>
      <c r="L62" s="300">
        <f t="shared" si="14"/>
        <v>3998.0673063638565</v>
      </c>
      <c r="M62" s="300">
        <f t="shared" si="15"/>
        <v>3980.4976657915408</v>
      </c>
      <c r="N62" s="300">
        <f t="shared" si="16"/>
        <v>3960.0740254478096</v>
      </c>
    </row>
    <row r="63" spans="1:18">
      <c r="B63" s="331" t="str">
        <f t="shared" si="9"/>
        <v>40-44</v>
      </c>
      <c r="C63" s="300">
        <f t="shared" si="11"/>
        <v>3061.8916470275958</v>
      </c>
      <c r="D63" s="300">
        <f t="shared" si="13"/>
        <v>3220.8350918696633</v>
      </c>
      <c r="E63" s="300">
        <f t="shared" si="13"/>
        <v>3361.7812335557751</v>
      </c>
      <c r="F63" s="300">
        <f t="shared" si="13"/>
        <v>3457.308269715802</v>
      </c>
      <c r="G63" s="300">
        <f t="shared" si="13"/>
        <v>3525.230599414364</v>
      </c>
      <c r="H63" s="300">
        <f t="shared" si="13"/>
        <v>3577.8580996382752</v>
      </c>
      <c r="I63" s="300">
        <f t="shared" si="13"/>
        <v>3618.0191912680916</v>
      </c>
      <c r="J63" s="300">
        <f t="shared" si="13"/>
        <v>3651.9513461995357</v>
      </c>
      <c r="K63" s="300">
        <f t="shared" si="13"/>
        <v>3668.1426635044731</v>
      </c>
      <c r="L63" s="300">
        <f t="shared" si="14"/>
        <v>3672.6867734341554</v>
      </c>
      <c r="M63" s="300">
        <f t="shared" si="15"/>
        <v>3667.6888780772488</v>
      </c>
      <c r="N63" s="300">
        <f t="shared" si="16"/>
        <v>3656.2460702526896</v>
      </c>
    </row>
    <row r="64" spans="1:18">
      <c r="B64" s="331" t="str">
        <f t="shared" si="9"/>
        <v>45-49</v>
      </c>
      <c r="C64" s="300">
        <f t="shared" si="11"/>
        <v>2460.8810608860467</v>
      </c>
      <c r="D64" s="300">
        <f t="shared" si="13"/>
        <v>2568.8800907102618</v>
      </c>
      <c r="E64" s="300">
        <f t="shared" si="13"/>
        <v>2685.5875756605265</v>
      </c>
      <c r="F64" s="300">
        <f t="shared" si="13"/>
        <v>2779.013979091751</v>
      </c>
      <c r="G64" s="300">
        <f t="shared" si="13"/>
        <v>2858.2065232295868</v>
      </c>
      <c r="H64" s="300">
        <f t="shared" si="13"/>
        <v>2929.6544070643895</v>
      </c>
      <c r="I64" s="300">
        <f t="shared" si="13"/>
        <v>2992.7648163479048</v>
      </c>
      <c r="J64" s="300">
        <f t="shared" si="13"/>
        <v>3050.2958730660835</v>
      </c>
      <c r="K64" s="300">
        <f t="shared" si="13"/>
        <v>3091.3174665984611</v>
      </c>
      <c r="L64" s="300">
        <f t="shared" si="14"/>
        <v>3119.5730843580782</v>
      </c>
      <c r="M64" s="300">
        <f t="shared" si="15"/>
        <v>3136.2209836545435</v>
      </c>
      <c r="N64" s="300">
        <f t="shared" si="16"/>
        <v>3143.7367321581778</v>
      </c>
    </row>
    <row r="65" spans="1:14">
      <c r="B65" s="331" t="str">
        <f t="shared" si="9"/>
        <v>50-54</v>
      </c>
      <c r="C65" s="300">
        <f t="shared" si="11"/>
        <v>1978.7950034347293</v>
      </c>
      <c r="D65" s="300">
        <f t="shared" si="13"/>
        <v>2004.442116469867</v>
      </c>
      <c r="E65" s="300">
        <f t="shared" si="13"/>
        <v>2048.4671572277794</v>
      </c>
      <c r="F65" s="300">
        <f t="shared" si="13"/>
        <v>2087.5785426112602</v>
      </c>
      <c r="G65" s="300">
        <f t="shared" si="13"/>
        <v>2127.2930812431523</v>
      </c>
      <c r="H65" s="300">
        <f t="shared" si="13"/>
        <v>2170.6043983232817</v>
      </c>
      <c r="I65" s="300">
        <f t="shared" si="13"/>
        <v>2215.149387805076</v>
      </c>
      <c r="J65" s="300">
        <f t="shared" si="13"/>
        <v>2261.1296124748224</v>
      </c>
      <c r="K65" s="300">
        <f t="shared" si="13"/>
        <v>2298.7508931016114</v>
      </c>
      <c r="L65" s="300">
        <f t="shared" si="14"/>
        <v>2329.3465484644644</v>
      </c>
      <c r="M65" s="300">
        <f t="shared" si="15"/>
        <v>2352.5454113761079</v>
      </c>
      <c r="N65" s="300">
        <f t="shared" si="16"/>
        <v>2369.2161994142189</v>
      </c>
    </row>
    <row r="66" spans="1:14">
      <c r="B66" s="331" t="str">
        <f t="shared" si="9"/>
        <v>55-59</v>
      </c>
      <c r="C66" s="300">
        <f t="shared" si="11"/>
        <v>1442.5791166107051</v>
      </c>
      <c r="D66" s="300">
        <f t="shared" si="13"/>
        <v>1290.3591214894077</v>
      </c>
      <c r="E66" s="300">
        <f t="shared" si="13"/>
        <v>1205.4622602318641</v>
      </c>
      <c r="F66" s="300">
        <f t="shared" si="13"/>
        <v>1152.5935223475121</v>
      </c>
      <c r="G66" s="300">
        <f t="shared" si="13"/>
        <v>1123.8975127179551</v>
      </c>
      <c r="H66" s="300">
        <f t="shared" si="13"/>
        <v>1113.1455000014194</v>
      </c>
      <c r="I66" s="300">
        <f t="shared" si="13"/>
        <v>1113.9504783428986</v>
      </c>
      <c r="J66" s="300">
        <f t="shared" si="13"/>
        <v>1123.3309237001927</v>
      </c>
      <c r="K66" s="300">
        <f t="shared" si="13"/>
        <v>1132.7378267812114</v>
      </c>
      <c r="L66" s="300">
        <f t="shared" si="14"/>
        <v>1142.0677618402053</v>
      </c>
      <c r="M66" s="300">
        <f t="shared" si="15"/>
        <v>1150.1780036494026</v>
      </c>
      <c r="N66" s="300">
        <f t="shared" si="16"/>
        <v>1156.9136701983159</v>
      </c>
    </row>
    <row r="67" spans="1:14">
      <c r="B67" s="331" t="str">
        <f t="shared" si="9"/>
        <v>60-64</v>
      </c>
      <c r="C67" s="300">
        <f t="shared" si="11"/>
        <v>439.43256636831768</v>
      </c>
      <c r="D67" s="300">
        <f t="shared" si="13"/>
        <v>459.91572068965365</v>
      </c>
      <c r="E67" s="300">
        <f t="shared" si="13"/>
        <v>453.26845100528863</v>
      </c>
      <c r="F67" s="300">
        <f t="shared" si="13"/>
        <v>435.28319452812713</v>
      </c>
      <c r="G67" s="300">
        <f t="shared" si="13"/>
        <v>418.30368026956074</v>
      </c>
      <c r="H67" s="300">
        <f t="shared" si="13"/>
        <v>406.41078411993692</v>
      </c>
      <c r="I67" s="300">
        <f t="shared" si="13"/>
        <v>399.39587445458119</v>
      </c>
      <c r="J67" s="300">
        <f t="shared" si="13"/>
        <v>396.99759599893065</v>
      </c>
      <c r="K67" s="300">
        <f t="shared" si="13"/>
        <v>395.25905213070808</v>
      </c>
      <c r="L67" s="300">
        <f t="shared" si="14"/>
        <v>394.46283145491742</v>
      </c>
      <c r="M67" s="300">
        <f t="shared" si="15"/>
        <v>394.08482217246245</v>
      </c>
      <c r="N67" s="300">
        <f t="shared" si="16"/>
        <v>394.02018242072722</v>
      </c>
    </row>
    <row r="68" spans="1:14">
      <c r="B68" s="331" t="str">
        <f t="shared" si="9"/>
        <v>65 plus</v>
      </c>
      <c r="C68" s="300">
        <f t="shared" si="11"/>
        <v>71.165674035145088</v>
      </c>
      <c r="D68" s="300">
        <f t="shared" si="13"/>
        <v>115.65466603648203</v>
      </c>
      <c r="E68" s="300">
        <f t="shared" si="13"/>
        <v>146.79967278422674</v>
      </c>
      <c r="F68" s="300">
        <f t="shared" si="13"/>
        <v>164.17106865373896</v>
      </c>
      <c r="G68" s="300">
        <f t="shared" si="13"/>
        <v>172.28684792309045</v>
      </c>
      <c r="H68" s="300">
        <f t="shared" si="13"/>
        <v>175.34567648811807</v>
      </c>
      <c r="I68" s="300">
        <f t="shared" si="13"/>
        <v>175.8870338412994</v>
      </c>
      <c r="J68" s="300">
        <f t="shared" si="13"/>
        <v>175.66822053320573</v>
      </c>
      <c r="K68" s="300">
        <f t="shared" si="13"/>
        <v>174.7166251504494</v>
      </c>
      <c r="L68" s="300">
        <f t="shared" si="14"/>
        <v>173.57164234589297</v>
      </c>
      <c r="M68" s="300">
        <f t="shared" si="15"/>
        <v>172.40841625096462</v>
      </c>
      <c r="N68" s="300">
        <f t="shared" si="16"/>
        <v>171.36307616438674</v>
      </c>
    </row>
    <row r="69" spans="1:14">
      <c r="B69" s="331" t="str">
        <f t="shared" si="9"/>
        <v>Total</v>
      </c>
      <c r="C69" s="300">
        <f t="shared" si="11"/>
        <v>23471.39848631046</v>
      </c>
      <c r="D69" s="300">
        <f t="shared" si="13"/>
        <v>23991.722308785567</v>
      </c>
      <c r="E69" s="300">
        <f t="shared" si="13"/>
        <v>24603.701531909315</v>
      </c>
      <c r="F69" s="300">
        <f t="shared" si="13"/>
        <v>24922.757052167424</v>
      </c>
      <c r="G69" s="300">
        <f t="shared" si="13"/>
        <v>25142.512773509727</v>
      </c>
      <c r="H69" s="300">
        <f t="shared" si="13"/>
        <v>25366.743104605295</v>
      </c>
      <c r="I69" s="300">
        <f t="shared" si="13"/>
        <v>25593.196294273737</v>
      </c>
      <c r="J69" s="300">
        <f t="shared" si="13"/>
        <v>25860.179371060145</v>
      </c>
      <c r="K69" s="300">
        <f t="shared" si="13"/>
        <v>25992.640441673386</v>
      </c>
      <c r="L69" s="300">
        <f t="shared" si="14"/>
        <v>26041.974410548479</v>
      </c>
      <c r="M69" s="300">
        <f t="shared" si="15"/>
        <v>26013.948371400453</v>
      </c>
      <c r="N69" s="300">
        <f t="shared" si="16"/>
        <v>25932.526372867229</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230.36438477941459</v>
      </c>
      <c r="D77" s="447">
        <f>D43-(0.2*D43)</f>
        <v>332.00293582490701</v>
      </c>
      <c r="E77" s="447">
        <f t="shared" ref="E77:N77" si="20">E43-(0.2*E43)</f>
        <v>411.45155065353526</v>
      </c>
      <c r="F77" s="447">
        <f t="shared" si="20"/>
        <v>454.06817959832836</v>
      </c>
      <c r="G77" s="447">
        <f t="shared" si="20"/>
        <v>481.99762527049222</v>
      </c>
      <c r="H77" s="447">
        <f t="shared" si="20"/>
        <v>502.50484363866872</v>
      </c>
      <c r="I77" s="447">
        <f t="shared" si="20"/>
        <v>517.94619526921656</v>
      </c>
      <c r="J77" s="447">
        <f t="shared" si="20"/>
        <v>532.10906746389549</v>
      </c>
      <c r="K77" s="447">
        <f t="shared" si="20"/>
        <v>536.25022985798216</v>
      </c>
      <c r="L77" s="447">
        <f t="shared" si="20"/>
        <v>535.45992449627988</v>
      </c>
      <c r="M77" s="447">
        <f t="shared" si="20"/>
        <v>531.09698425106967</v>
      </c>
      <c r="N77" s="447">
        <f t="shared" si="20"/>
        <v>525.10960178722803</v>
      </c>
    </row>
    <row r="78" spans="1:14">
      <c r="B78" s="331" t="str">
        <f t="shared" si="18"/>
        <v>25-29</v>
      </c>
      <c r="C78" s="447">
        <f t="shared" ref="C78:C85" si="21">C44+(0.2*C43)-(0.2*C44)</f>
        <v>823.16047586753803</v>
      </c>
      <c r="D78" s="447">
        <f t="shared" ref="D78:N78" si="22">D44+(0.2*D43)-(0.2*D44)</f>
        <v>832.76889370511549</v>
      </c>
      <c r="E78" s="447">
        <f t="shared" si="22"/>
        <v>870.72173632045428</v>
      </c>
      <c r="F78" s="447">
        <f t="shared" si="22"/>
        <v>893.66485084309113</v>
      </c>
      <c r="G78" s="447">
        <f t="shared" si="22"/>
        <v>915.94020210834663</v>
      </c>
      <c r="H78" s="447">
        <f t="shared" si="22"/>
        <v>937.85025721331954</v>
      </c>
      <c r="I78" s="447">
        <f t="shared" si="22"/>
        <v>958.3014743978955</v>
      </c>
      <c r="J78" s="447">
        <f t="shared" si="22"/>
        <v>979.68215853784614</v>
      </c>
      <c r="K78" s="447">
        <f t="shared" si="22"/>
        <v>989.87753277885531</v>
      </c>
      <c r="L78" s="447">
        <f t="shared" si="22"/>
        <v>993.06755830924101</v>
      </c>
      <c r="M78" s="447">
        <f t="shared" si="22"/>
        <v>990.30651301368152</v>
      </c>
      <c r="N78" s="447">
        <f t="shared" si="22"/>
        <v>983.84764542730977</v>
      </c>
    </row>
    <row r="79" spans="1:14">
      <c r="B79" s="331" t="str">
        <f t="shared" si="18"/>
        <v>30-34</v>
      </c>
      <c r="C79" s="447">
        <f t="shared" si="21"/>
        <v>1140.0233937479195</v>
      </c>
      <c r="D79" s="447">
        <f t="shared" ref="D79:N79" si="23">D45+(0.2*D44)-(0.2*D45)</f>
        <v>1109.9848169859372</v>
      </c>
      <c r="E79" s="447">
        <f t="shared" si="23"/>
        <v>1099.3266493674096</v>
      </c>
      <c r="F79" s="447">
        <f t="shared" si="23"/>
        <v>1086.4278915394518</v>
      </c>
      <c r="G79" s="447">
        <f t="shared" si="23"/>
        <v>1080.9843478488365</v>
      </c>
      <c r="H79" s="447">
        <f t="shared" si="23"/>
        <v>1081.8034056684089</v>
      </c>
      <c r="I79" s="447">
        <f t="shared" si="23"/>
        <v>1087.1983972608839</v>
      </c>
      <c r="J79" s="447">
        <f t="shared" si="23"/>
        <v>1097.3875819785776</v>
      </c>
      <c r="K79" s="447">
        <f t="shared" si="23"/>
        <v>1104.2898292865545</v>
      </c>
      <c r="L79" s="447">
        <f t="shared" si="23"/>
        <v>1108.3478818871145</v>
      </c>
      <c r="M79" s="447">
        <f t="shared" si="23"/>
        <v>1108.9713397898743</v>
      </c>
      <c r="N79" s="447">
        <f t="shared" si="23"/>
        <v>1106.6805649383493</v>
      </c>
    </row>
    <row r="80" spans="1:14">
      <c r="B80" s="331" t="str">
        <f t="shared" si="18"/>
        <v>35-39</v>
      </c>
      <c r="C80" s="447">
        <f t="shared" si="21"/>
        <v>1083.655987824694</v>
      </c>
      <c r="D80" s="447">
        <f t="shared" ref="D80:N80" si="24">D46+(0.2*D45)-(0.2*D46)</f>
        <v>1098.654775909838</v>
      </c>
      <c r="E80" s="447">
        <f t="shared" si="24"/>
        <v>1111.3568905094503</v>
      </c>
      <c r="F80" s="447">
        <f t="shared" si="24"/>
        <v>1110.3682242221132</v>
      </c>
      <c r="G80" s="447">
        <f t="shared" si="24"/>
        <v>1107.6496879795684</v>
      </c>
      <c r="H80" s="447">
        <f t="shared" si="24"/>
        <v>1105.2480495542804</v>
      </c>
      <c r="I80" s="447">
        <f t="shared" si="24"/>
        <v>1104.2605954845803</v>
      </c>
      <c r="J80" s="447">
        <f t="shared" si="24"/>
        <v>1106.2816657381081</v>
      </c>
      <c r="K80" s="447">
        <f t="shared" si="24"/>
        <v>1106.8016475934464</v>
      </c>
      <c r="L80" s="447">
        <f t="shared" si="24"/>
        <v>1106.6105239757339</v>
      </c>
      <c r="M80" s="447">
        <f t="shared" si="24"/>
        <v>1105.2867227625475</v>
      </c>
      <c r="N80" s="447">
        <f t="shared" si="24"/>
        <v>1102.9187537872576</v>
      </c>
    </row>
    <row r="81" spans="1:14">
      <c r="B81" s="331" t="str">
        <f t="shared" si="18"/>
        <v>40-44</v>
      </c>
      <c r="C81" s="447">
        <f t="shared" si="21"/>
        <v>930.13555926255549</v>
      </c>
      <c r="D81" s="447">
        <f t="shared" ref="D81:N81" si="25">D47+(0.2*D46)-(0.2*D47)</f>
        <v>961.31988416936451</v>
      </c>
      <c r="E81" s="447">
        <f t="shared" si="25"/>
        <v>993.19333066481772</v>
      </c>
      <c r="F81" s="447">
        <f t="shared" si="25"/>
        <v>1011.9689365181464</v>
      </c>
      <c r="G81" s="447">
        <f t="shared" si="25"/>
        <v>1026.1121945083419</v>
      </c>
      <c r="H81" s="447">
        <f t="shared" si="25"/>
        <v>1036.5945024601301</v>
      </c>
      <c r="I81" s="447">
        <f t="shared" si="25"/>
        <v>1044.4491744586003</v>
      </c>
      <c r="J81" s="447">
        <f t="shared" si="25"/>
        <v>1051.5503619647238</v>
      </c>
      <c r="K81" s="447">
        <f t="shared" si="25"/>
        <v>1054.8208052387499</v>
      </c>
      <c r="L81" s="447">
        <f t="shared" si="25"/>
        <v>1055.8097256864339</v>
      </c>
      <c r="M81" s="447">
        <f t="shared" si="25"/>
        <v>1054.9070119919502</v>
      </c>
      <c r="N81" s="447">
        <f t="shared" si="25"/>
        <v>1052.746474594871</v>
      </c>
    </row>
    <row r="82" spans="1:14">
      <c r="B82" s="331" t="str">
        <f t="shared" si="18"/>
        <v>45-49</v>
      </c>
      <c r="C82" s="447">
        <f t="shared" si="21"/>
        <v>773.37265091541599</v>
      </c>
      <c r="D82" s="447">
        <f t="shared" ref="D82:N82" si="26">D48+(0.2*D47)-(0.2*D48)</f>
        <v>793.68653098431344</v>
      </c>
      <c r="E82" s="447">
        <f t="shared" si="26"/>
        <v>819.54314295430561</v>
      </c>
      <c r="F82" s="447">
        <f t="shared" si="26"/>
        <v>837.99142700403024</v>
      </c>
      <c r="G82" s="447">
        <f t="shared" si="26"/>
        <v>855.46131581485861</v>
      </c>
      <c r="H82" s="447">
        <f t="shared" si="26"/>
        <v>871.22058538683495</v>
      </c>
      <c r="I82" s="447">
        <f t="shared" si="26"/>
        <v>885.0769704210943</v>
      </c>
      <c r="J82" s="447">
        <f t="shared" si="26"/>
        <v>897.82231502554737</v>
      </c>
      <c r="K82" s="447">
        <f t="shared" si="26"/>
        <v>906.48550394868153</v>
      </c>
      <c r="L82" s="447">
        <f t="shared" si="26"/>
        <v>912.14891302993874</v>
      </c>
      <c r="M82" s="447">
        <f t="shared" si="26"/>
        <v>915.1480454766612</v>
      </c>
      <c r="N82" s="447">
        <f t="shared" si="26"/>
        <v>916.14561132329277</v>
      </c>
    </row>
    <row r="83" spans="1:14">
      <c r="B83" s="331" t="str">
        <f t="shared" si="18"/>
        <v>50-54</v>
      </c>
      <c r="C83" s="447">
        <f t="shared" si="21"/>
        <v>583.50303183606695</v>
      </c>
      <c r="D83" s="447">
        <f t="shared" ref="D83:N83" si="27">D49+(0.2*D48)-(0.2*D49)</f>
        <v>607.2174146610522</v>
      </c>
      <c r="E83" s="447">
        <f t="shared" si="27"/>
        <v>631.82517243054372</v>
      </c>
      <c r="F83" s="447">
        <f t="shared" si="27"/>
        <v>649.83539034806176</v>
      </c>
      <c r="G83" s="447">
        <f t="shared" si="27"/>
        <v>666.52011471572325</v>
      </c>
      <c r="H83" s="447">
        <f t="shared" si="27"/>
        <v>682.09049909506575</v>
      </c>
      <c r="I83" s="447">
        <f t="shared" si="27"/>
        <v>696.55886535430204</v>
      </c>
      <c r="J83" s="447">
        <f t="shared" si="27"/>
        <v>710.45924153788474</v>
      </c>
      <c r="K83" s="447">
        <f t="shared" si="27"/>
        <v>721.3761400787281</v>
      </c>
      <c r="L83" s="447">
        <f t="shared" si="27"/>
        <v>729.90710685521981</v>
      </c>
      <c r="M83" s="447">
        <f t="shared" si="27"/>
        <v>736.12212505543368</v>
      </c>
      <c r="N83" s="447">
        <f t="shared" si="27"/>
        <v>740.39475758895912</v>
      </c>
    </row>
    <row r="84" spans="1:14">
      <c r="B84" s="331" t="str">
        <f t="shared" si="18"/>
        <v>55-59</v>
      </c>
      <c r="C84" s="447">
        <f t="shared" si="21"/>
        <v>400.23575077365604</v>
      </c>
      <c r="D84" s="447">
        <f t="shared" ref="D84:N84" si="28">D50+(0.2*D49)-(0.2*D50)</f>
        <v>374.4431440381062</v>
      </c>
      <c r="E84" s="447">
        <f t="shared" si="28"/>
        <v>365.65769479038562</v>
      </c>
      <c r="F84" s="447">
        <f t="shared" si="28"/>
        <v>362.0746824554646</v>
      </c>
      <c r="G84" s="447">
        <f t="shared" si="28"/>
        <v>363.2516256801577</v>
      </c>
      <c r="H84" s="447">
        <f t="shared" si="28"/>
        <v>367.18502914047383</v>
      </c>
      <c r="I84" s="447">
        <f t="shared" si="28"/>
        <v>372.57465896950083</v>
      </c>
      <c r="J84" s="447">
        <f t="shared" si="28"/>
        <v>379.02190322493084</v>
      </c>
      <c r="K84" s="447">
        <f t="shared" si="28"/>
        <v>384.4067747379587</v>
      </c>
      <c r="L84" s="447">
        <f t="shared" si="28"/>
        <v>388.96384667751846</v>
      </c>
      <c r="M84" s="447">
        <f t="shared" si="28"/>
        <v>392.56566009171218</v>
      </c>
      <c r="N84" s="447">
        <f t="shared" si="28"/>
        <v>395.32453611140488</v>
      </c>
    </row>
    <row r="85" spans="1:14">
      <c r="B85" s="331" t="str">
        <f t="shared" si="18"/>
        <v>60-64</v>
      </c>
      <c r="C85" s="447">
        <f t="shared" si="21"/>
        <v>182.03560586241983</v>
      </c>
      <c r="D85" s="447">
        <f t="shared" ref="D85:N85" si="29">D51+(0.2*D50)-(0.2*D51)</f>
        <v>171.55910921618249</v>
      </c>
      <c r="E85" s="447">
        <f t="shared" si="29"/>
        <v>163.34833121644806</v>
      </c>
      <c r="F85" s="447">
        <f t="shared" si="29"/>
        <v>156.36363600195156</v>
      </c>
      <c r="G85" s="447">
        <f t="shared" si="29"/>
        <v>152.11550184742478</v>
      </c>
      <c r="H85" s="447">
        <f t="shared" si="29"/>
        <v>150.18095520061067</v>
      </c>
      <c r="I85" s="447">
        <f t="shared" si="29"/>
        <v>149.87654251310829</v>
      </c>
      <c r="J85" s="447">
        <f t="shared" si="29"/>
        <v>150.85611830245517</v>
      </c>
      <c r="K85" s="447">
        <f t="shared" si="29"/>
        <v>151.79373358946319</v>
      </c>
      <c r="L85" s="447">
        <f t="shared" si="29"/>
        <v>152.74084995463255</v>
      </c>
      <c r="M85" s="447">
        <f t="shared" si="29"/>
        <v>153.55341697418379</v>
      </c>
      <c r="N85" s="447">
        <f t="shared" si="29"/>
        <v>154.23332564759369</v>
      </c>
    </row>
    <row r="86" spans="1:14">
      <c r="B86" s="331" t="str">
        <f t="shared" si="18"/>
        <v>65 plus</v>
      </c>
      <c r="C86" s="447">
        <f>C52+(0.2*C51)</f>
        <v>52.623273013819656</v>
      </c>
      <c r="D86" s="447">
        <f t="shared" ref="D86:N86" si="30">D52+(0.2*D51)</f>
        <v>60.685608079888055</v>
      </c>
      <c r="E86" s="447">
        <f t="shared" si="30"/>
        <v>64.542043432675172</v>
      </c>
      <c r="F86" s="447">
        <f t="shared" si="30"/>
        <v>64.904470669670232</v>
      </c>
      <c r="G86" s="447">
        <f t="shared" si="30"/>
        <v>64.276123186361602</v>
      </c>
      <c r="H86" s="447">
        <f t="shared" si="30"/>
        <v>63.409775818369496</v>
      </c>
      <c r="I86" s="447">
        <f t="shared" si="30"/>
        <v>62.713219084913931</v>
      </c>
      <c r="J86" s="447">
        <f t="shared" si="30"/>
        <v>62.416277342466202</v>
      </c>
      <c r="K86" s="447">
        <f t="shared" si="30"/>
        <v>62.148680137046739</v>
      </c>
      <c r="L86" s="447">
        <f t="shared" si="30"/>
        <v>61.972273422784369</v>
      </c>
      <c r="M86" s="447">
        <f t="shared" si="30"/>
        <v>61.842473227277331</v>
      </c>
      <c r="N86" s="447">
        <f t="shared" si="30"/>
        <v>61.755498381370913</v>
      </c>
    </row>
    <row r="87" spans="1:14">
      <c r="B87" s="331" t="str">
        <f t="shared" si="18"/>
        <v>Total</v>
      </c>
      <c r="C87" s="447">
        <f>SUM(C77:C86)</f>
        <v>6199.1101138835002</v>
      </c>
      <c r="D87" s="447">
        <f t="shared" ref="D87:N87" si="31">SUM(D77:D86)</f>
        <v>6342.3231135747037</v>
      </c>
      <c r="E87" s="447">
        <f t="shared" si="31"/>
        <v>6530.9665423400256</v>
      </c>
      <c r="F87" s="447">
        <f t="shared" si="31"/>
        <v>6627.6676892003097</v>
      </c>
      <c r="G87" s="447">
        <f t="shared" si="31"/>
        <v>6714.3087389601105</v>
      </c>
      <c r="H87" s="447">
        <f t="shared" si="31"/>
        <v>6798.0879031761624</v>
      </c>
      <c r="I87" s="447">
        <f t="shared" si="31"/>
        <v>6878.9560932140967</v>
      </c>
      <c r="J87" s="447">
        <f t="shared" si="31"/>
        <v>6967.5866911164348</v>
      </c>
      <c r="K87" s="447">
        <f t="shared" si="31"/>
        <v>7018.2508772474666</v>
      </c>
      <c r="L87" s="447">
        <f t="shared" si="31"/>
        <v>7045.0286042948974</v>
      </c>
      <c r="M87" s="447">
        <f t="shared" si="31"/>
        <v>7049.8002926343906</v>
      </c>
      <c r="N87" s="447">
        <f t="shared" si="31"/>
        <v>7039.1567695876365</v>
      </c>
    </row>
    <row r="88" spans="1:14">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1045.772493322535</v>
      </c>
      <c r="D93" s="447">
        <f t="shared" ref="D93:N93" si="35">D59-(0.2*D59)</f>
        <v>1392.6532326443169</v>
      </c>
      <c r="E93" s="447">
        <f t="shared" si="35"/>
        <v>1666.972763522745</v>
      </c>
      <c r="F93" s="447">
        <f t="shared" si="35"/>
        <v>1816.5647231621224</v>
      </c>
      <c r="G93" s="447">
        <f t="shared" si="35"/>
        <v>1910.3206670139675</v>
      </c>
      <c r="H93" s="447">
        <f t="shared" si="35"/>
        <v>1980.6170225031096</v>
      </c>
      <c r="I93" s="447">
        <f t="shared" si="35"/>
        <v>2034.7060337803407</v>
      </c>
      <c r="J93" s="447">
        <f t="shared" si="35"/>
        <v>2085.8467260602183</v>
      </c>
      <c r="K93" s="447">
        <f t="shared" si="35"/>
        <v>2100.3204808337714</v>
      </c>
      <c r="L93" s="447">
        <f t="shared" si="35"/>
        <v>2096.6395809453388</v>
      </c>
      <c r="M93" s="447">
        <f t="shared" si="35"/>
        <v>2079.6080158955774</v>
      </c>
      <c r="N93" s="447">
        <f t="shared" si="35"/>
        <v>2056.4145442499871</v>
      </c>
    </row>
    <row r="94" spans="1:14">
      <c r="B94" s="331" t="str">
        <f t="shared" si="33"/>
        <v>25-29</v>
      </c>
      <c r="C94" s="447">
        <f t="shared" ref="C94:C101" si="36">C60+(0.2*C59)-(0.2*C60)</f>
        <v>3874.8978891191296</v>
      </c>
      <c r="D94" s="447">
        <f t="shared" ref="D94:N94" si="37">D60+(0.2*D59)-(0.2*D60)</f>
        <v>3775.9692172168384</v>
      </c>
      <c r="E94" s="447">
        <f t="shared" si="37"/>
        <v>3803.8782481091284</v>
      </c>
      <c r="F94" s="447">
        <f t="shared" si="37"/>
        <v>3813.9202519445162</v>
      </c>
      <c r="G94" s="447">
        <f t="shared" si="37"/>
        <v>3830.9123994912743</v>
      </c>
      <c r="H94" s="447">
        <f t="shared" si="37"/>
        <v>3865.2203643224952</v>
      </c>
      <c r="I94" s="447">
        <f t="shared" si="37"/>
        <v>3907.9840709170153</v>
      </c>
      <c r="J94" s="447">
        <f t="shared" si="37"/>
        <v>3964.5865549730433</v>
      </c>
      <c r="K94" s="447">
        <f t="shared" si="37"/>
        <v>3986.5091609330666</v>
      </c>
      <c r="L94" s="447">
        <f t="shared" si="37"/>
        <v>3987.0136816073186</v>
      </c>
      <c r="M94" s="447">
        <f t="shared" si="37"/>
        <v>3968.360807856337</v>
      </c>
      <c r="N94" s="447">
        <f t="shared" si="37"/>
        <v>3937.8515593174575</v>
      </c>
    </row>
    <row r="95" spans="1:14">
      <c r="B95" s="331" t="str">
        <f t="shared" si="33"/>
        <v>30-34</v>
      </c>
      <c r="C95" s="447">
        <f t="shared" si="36"/>
        <v>4379.2109927848742</v>
      </c>
      <c r="D95" s="447">
        <f t="shared" ref="D95:N95" si="38">D61+(0.2*D60)-(0.2*D61)</f>
        <v>4366.4048362916838</v>
      </c>
      <c r="E95" s="447">
        <f t="shared" si="38"/>
        <v>4360.927764061491</v>
      </c>
      <c r="F95" s="447">
        <f t="shared" si="38"/>
        <v>4324.0276304193731</v>
      </c>
      <c r="G95" s="447">
        <f t="shared" si="38"/>
        <v>4286.9315894623633</v>
      </c>
      <c r="H95" s="447">
        <f t="shared" si="38"/>
        <v>4266.6319966927431</v>
      </c>
      <c r="I95" s="447">
        <f t="shared" si="38"/>
        <v>4261.717617510596</v>
      </c>
      <c r="J95" s="447">
        <f t="shared" si="38"/>
        <v>4275.8309928537219</v>
      </c>
      <c r="K95" s="447">
        <f t="shared" si="38"/>
        <v>4279.7778813573877</v>
      </c>
      <c r="L95" s="447">
        <f t="shared" si="38"/>
        <v>4275.9788491059489</v>
      </c>
      <c r="M95" s="447">
        <f t="shared" si="38"/>
        <v>4262.3072335351362</v>
      </c>
      <c r="N95" s="447">
        <f t="shared" si="38"/>
        <v>4240.5396467575147</v>
      </c>
    </row>
    <row r="96" spans="1:14">
      <c r="B96" s="331" t="str">
        <f t="shared" si="33"/>
        <v>35-39</v>
      </c>
      <c r="C96" s="447">
        <f t="shared" si="36"/>
        <v>3947.2099992439908</v>
      </c>
      <c r="D96" s="447">
        <f t="shared" ref="D96:N96" si="39">D62+(0.2*D61)-(0.2*D62)</f>
        <v>4012.7592402452997</v>
      </c>
      <c r="E96" s="447">
        <f t="shared" si="39"/>
        <v>4072.1523245881099</v>
      </c>
      <c r="F96" s="447">
        <f t="shared" si="39"/>
        <v>4088.0408388861206</v>
      </c>
      <c r="G96" s="447">
        <f t="shared" si="39"/>
        <v>4083.7338247594266</v>
      </c>
      <c r="H96" s="447">
        <f t="shared" si="39"/>
        <v>4076.2096578371452</v>
      </c>
      <c r="I96" s="447">
        <f t="shared" si="39"/>
        <v>4069.491968349374</v>
      </c>
      <c r="J96" s="447">
        <f t="shared" si="39"/>
        <v>4070.3857088847722</v>
      </c>
      <c r="K96" s="447">
        <f t="shared" si="39"/>
        <v>4062.8077440846059</v>
      </c>
      <c r="L96" s="447">
        <f t="shared" si="39"/>
        <v>4051.0201957193854</v>
      </c>
      <c r="M96" s="447">
        <f t="shared" si="39"/>
        <v>4034.4462657743643</v>
      </c>
      <c r="N96" s="447">
        <f t="shared" si="39"/>
        <v>4014.2098868441913</v>
      </c>
    </row>
    <row r="97" spans="1:14">
      <c r="B97" s="331" t="str">
        <f t="shared" si="33"/>
        <v>40-44</v>
      </c>
      <c r="C97" s="447">
        <f t="shared" si="36"/>
        <v>3219.0753610994648</v>
      </c>
      <c r="D97" s="447">
        <f t="shared" ref="D97:N97" si="40">D63+(0.2*D62)-(0.2*D63)</f>
        <v>3360.5170486178213</v>
      </c>
      <c r="E97" s="447">
        <f t="shared" si="40"/>
        <v>3487.8290680069986</v>
      </c>
      <c r="F97" s="447">
        <f t="shared" si="40"/>
        <v>3570.1016465797425</v>
      </c>
      <c r="G97" s="447">
        <f t="shared" si="40"/>
        <v>3625.580527516478</v>
      </c>
      <c r="H97" s="447">
        <f t="shared" si="40"/>
        <v>3667.3316773249962</v>
      </c>
      <c r="I97" s="447">
        <f t="shared" si="40"/>
        <v>3698.5451746710282</v>
      </c>
      <c r="J97" s="447">
        <f t="shared" si="40"/>
        <v>3725.7168932752456</v>
      </c>
      <c r="K97" s="447">
        <f t="shared" si="40"/>
        <v>3736.8147780012159</v>
      </c>
      <c r="L97" s="447">
        <f t="shared" si="40"/>
        <v>3737.7628800200955</v>
      </c>
      <c r="M97" s="447">
        <f t="shared" si="40"/>
        <v>3730.250635620107</v>
      </c>
      <c r="N97" s="447">
        <f t="shared" si="40"/>
        <v>3717.0116612917141</v>
      </c>
    </row>
    <row r="98" spans="1:14">
      <c r="B98" s="331" t="str">
        <f t="shared" si="33"/>
        <v>45-49</v>
      </c>
      <c r="C98" s="447">
        <f t="shared" si="36"/>
        <v>2581.0831781143565</v>
      </c>
      <c r="D98" s="447">
        <f t="shared" ref="D98:N98" si="41">D64+(0.2*D63)-(0.2*D64)</f>
        <v>2699.2710909421421</v>
      </c>
      <c r="E98" s="447">
        <f t="shared" si="41"/>
        <v>2820.8263072395762</v>
      </c>
      <c r="F98" s="447">
        <f t="shared" si="41"/>
        <v>2914.6728372165612</v>
      </c>
      <c r="G98" s="447">
        <f t="shared" si="41"/>
        <v>2991.6113384665423</v>
      </c>
      <c r="H98" s="447">
        <f t="shared" si="41"/>
        <v>3059.2951455791663</v>
      </c>
      <c r="I98" s="447">
        <f t="shared" si="41"/>
        <v>3117.8156913319422</v>
      </c>
      <c r="J98" s="447">
        <f t="shared" si="41"/>
        <v>3170.6269676927741</v>
      </c>
      <c r="K98" s="447">
        <f t="shared" si="41"/>
        <v>3206.6825059796633</v>
      </c>
      <c r="L98" s="447">
        <f t="shared" si="41"/>
        <v>3230.1958221732934</v>
      </c>
      <c r="M98" s="447">
        <f t="shared" si="41"/>
        <v>3242.5145625390846</v>
      </c>
      <c r="N98" s="447">
        <f t="shared" si="41"/>
        <v>3246.2385997770798</v>
      </c>
    </row>
    <row r="99" spans="1:14">
      <c r="B99" s="331" t="str">
        <f t="shared" si="33"/>
        <v>50-54</v>
      </c>
      <c r="C99" s="447">
        <f t="shared" si="36"/>
        <v>2075.2122149249926</v>
      </c>
      <c r="D99" s="447">
        <f t="shared" ref="D99:N99" si="42">D65+(0.2*D64)-(0.2*D65)</f>
        <v>2117.329711317946</v>
      </c>
      <c r="E99" s="447">
        <f t="shared" si="42"/>
        <v>2175.8912409143286</v>
      </c>
      <c r="F99" s="447">
        <f t="shared" si="42"/>
        <v>2225.8656299073582</v>
      </c>
      <c r="G99" s="447">
        <f t="shared" si="42"/>
        <v>2273.4757696404395</v>
      </c>
      <c r="H99" s="447">
        <f t="shared" si="42"/>
        <v>2322.4144000715032</v>
      </c>
      <c r="I99" s="447">
        <f t="shared" si="42"/>
        <v>2370.6724735136418</v>
      </c>
      <c r="J99" s="447">
        <f t="shared" si="42"/>
        <v>2418.9628645930748</v>
      </c>
      <c r="K99" s="447">
        <f t="shared" si="42"/>
        <v>2457.2642078009812</v>
      </c>
      <c r="L99" s="447">
        <f t="shared" si="42"/>
        <v>2487.3918556431872</v>
      </c>
      <c r="M99" s="447">
        <f t="shared" si="42"/>
        <v>2509.2805258317949</v>
      </c>
      <c r="N99" s="447">
        <f t="shared" si="42"/>
        <v>2524.1203059630107</v>
      </c>
    </row>
    <row r="100" spans="1:14">
      <c r="B100" s="331" t="str">
        <f t="shared" si="33"/>
        <v>55-59</v>
      </c>
      <c r="C100" s="447">
        <f t="shared" si="36"/>
        <v>1549.8222939755101</v>
      </c>
      <c r="D100" s="447">
        <f t="shared" ref="D100:N100" si="43">D66+(0.2*D65)-(0.2*D66)</f>
        <v>1433.1757204854994</v>
      </c>
      <c r="E100" s="447">
        <f t="shared" si="43"/>
        <v>1374.0632396310471</v>
      </c>
      <c r="F100" s="447">
        <f t="shared" si="43"/>
        <v>1339.5905264002618</v>
      </c>
      <c r="G100" s="447">
        <f t="shared" si="43"/>
        <v>1324.5766264229947</v>
      </c>
      <c r="H100" s="447">
        <f t="shared" si="43"/>
        <v>1324.6372796657918</v>
      </c>
      <c r="I100" s="447">
        <f t="shared" si="43"/>
        <v>1334.1902602353339</v>
      </c>
      <c r="J100" s="447">
        <f t="shared" si="43"/>
        <v>1350.8906614551186</v>
      </c>
      <c r="K100" s="447">
        <f t="shared" si="43"/>
        <v>1365.9404400452913</v>
      </c>
      <c r="L100" s="447">
        <f t="shared" si="43"/>
        <v>1379.5235191650572</v>
      </c>
      <c r="M100" s="447">
        <f t="shared" si="43"/>
        <v>1390.6514851947436</v>
      </c>
      <c r="N100" s="447">
        <f t="shared" si="43"/>
        <v>1399.3741760414964</v>
      </c>
    </row>
    <row r="101" spans="1:14">
      <c r="B101" s="331" t="str">
        <f t="shared" si="33"/>
        <v>60-64</v>
      </c>
      <c r="C101" s="447">
        <f t="shared" si="36"/>
        <v>640.06187641679514</v>
      </c>
      <c r="D101" s="447">
        <f t="shared" ref="D101:N101" si="44">D67+(0.2*D66)-(0.2*D67)</f>
        <v>626.00440084960451</v>
      </c>
      <c r="E101" s="447">
        <f t="shared" si="44"/>
        <v>603.7072128506037</v>
      </c>
      <c r="F101" s="447">
        <f t="shared" si="44"/>
        <v>578.74526009200417</v>
      </c>
      <c r="G101" s="447">
        <f t="shared" si="44"/>
        <v>559.42244675923962</v>
      </c>
      <c r="H101" s="447">
        <f t="shared" si="44"/>
        <v>547.75772729623338</v>
      </c>
      <c r="I101" s="447">
        <f t="shared" si="44"/>
        <v>542.30679523224467</v>
      </c>
      <c r="J101" s="447">
        <f t="shared" si="44"/>
        <v>542.26426153918305</v>
      </c>
      <c r="K101" s="447">
        <f t="shared" si="44"/>
        <v>542.75480706080873</v>
      </c>
      <c r="L101" s="447">
        <f t="shared" si="44"/>
        <v>543.98381753197498</v>
      </c>
      <c r="M101" s="447">
        <f t="shared" si="44"/>
        <v>545.30345846785053</v>
      </c>
      <c r="N101" s="447">
        <f t="shared" si="44"/>
        <v>546.59887997624492</v>
      </c>
    </row>
    <row r="102" spans="1:14">
      <c r="B102" s="331" t="str">
        <f t="shared" si="33"/>
        <v>65 plus</v>
      </c>
      <c r="C102" s="447">
        <f>C68+(0.2*C67)</f>
        <v>159.05218730880864</v>
      </c>
      <c r="D102" s="447">
        <f t="shared" ref="D102:N102" si="45">D68+(0.2*D67)</f>
        <v>207.63781017441278</v>
      </c>
      <c r="E102" s="447">
        <f t="shared" si="45"/>
        <v>237.45336298528446</v>
      </c>
      <c r="F102" s="447">
        <f t="shared" si="45"/>
        <v>251.22770755936438</v>
      </c>
      <c r="G102" s="447">
        <f t="shared" si="45"/>
        <v>255.94758397700261</v>
      </c>
      <c r="H102" s="447">
        <f t="shared" si="45"/>
        <v>256.62783331210545</v>
      </c>
      <c r="I102" s="447">
        <f t="shared" si="45"/>
        <v>255.76620873221566</v>
      </c>
      <c r="J102" s="447">
        <f t="shared" si="45"/>
        <v>255.06773973299187</v>
      </c>
      <c r="K102" s="447">
        <f t="shared" si="45"/>
        <v>253.76843557659103</v>
      </c>
      <c r="L102" s="447">
        <f t="shared" si="45"/>
        <v>252.46420863687646</v>
      </c>
      <c r="M102" s="447">
        <f t="shared" si="45"/>
        <v>251.22538068545711</v>
      </c>
      <c r="N102" s="447">
        <f t="shared" si="45"/>
        <v>250.1671126485322</v>
      </c>
    </row>
    <row r="103" spans="1:14">
      <c r="B103" s="331" t="str">
        <f t="shared" si="33"/>
        <v>Total</v>
      </c>
      <c r="C103" s="447">
        <f>SUM(C93:C102)</f>
        <v>23471.398486310456</v>
      </c>
      <c r="D103" s="447">
        <f t="shared" ref="D103:N103" si="46">SUM(D93:D102)</f>
        <v>23991.722308785567</v>
      </c>
      <c r="E103" s="447">
        <f t="shared" si="46"/>
        <v>24603.701531909315</v>
      </c>
      <c r="F103" s="447">
        <f t="shared" si="46"/>
        <v>24922.757052167424</v>
      </c>
      <c r="G103" s="447">
        <f t="shared" si="46"/>
        <v>25142.512773509727</v>
      </c>
      <c r="H103" s="447">
        <f t="shared" si="46"/>
        <v>25366.743104605288</v>
      </c>
      <c r="I103" s="447">
        <f t="shared" si="46"/>
        <v>25593.196294273734</v>
      </c>
      <c r="J103" s="447">
        <f t="shared" si="46"/>
        <v>25860.179371060145</v>
      </c>
      <c r="K103" s="447">
        <f t="shared" si="46"/>
        <v>25992.640441673386</v>
      </c>
      <c r="L103" s="447">
        <f t="shared" si="46"/>
        <v>26041.974410548479</v>
      </c>
      <c r="M103" s="447">
        <f t="shared" si="46"/>
        <v>26013.948371400449</v>
      </c>
      <c r="N103" s="447">
        <f t="shared" si="46"/>
        <v>25932.526372867225</v>
      </c>
    </row>
    <row r="104" spans="1:14">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4" ht="15.75">
      <c r="B106" s="333" t="s">
        <v>164</v>
      </c>
      <c r="H106" s="318"/>
    </row>
    <row r="107" spans="1:14">
      <c r="H107" s="318"/>
    </row>
    <row r="108" spans="1:14">
      <c r="B108" s="334" t="s">
        <v>46</v>
      </c>
      <c r="H108" s="318"/>
    </row>
    <row r="109" spans="1:14">
      <c r="H109" s="318"/>
    </row>
    <row r="110" spans="1:14">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4">
      <c r="B111" s="331" t="str">
        <f t="shared" si="48"/>
        <v>20-24</v>
      </c>
      <c r="C111" s="447">
        <f>C77*Group_2_rates!E74</f>
        <v>32.045098749635088</v>
      </c>
      <c r="D111" s="447">
        <f>D77*Group_2_rates!F74</f>
        <v>44.523133927337589</v>
      </c>
      <c r="E111" s="447">
        <f>E77*Group_2_rates!G74</f>
        <v>57.248215955150194</v>
      </c>
      <c r="F111" s="447">
        <f>F77*Group_2_rates!H74</f>
        <v>61.991448722906313</v>
      </c>
      <c r="G111" s="447">
        <f>G77*Group_2_rates!I74</f>
        <v>65.804503407285949</v>
      </c>
      <c r="H111" s="447">
        <f>H77*Group_2_rates!J74</f>
        <v>68.604241933436001</v>
      </c>
      <c r="I111" s="447">
        <f>I77*Group_2_rates!K74</f>
        <v>70.712365340507247</v>
      </c>
      <c r="J111" s="447">
        <f>J77*Group_2_rates!L74</f>
        <v>72.645944932457908</v>
      </c>
      <c r="K111" s="447">
        <f>K77*Group_2_rates!M74</f>
        <v>73.211315217672222</v>
      </c>
      <c r="L111" s="447">
        <f>L77*Group_2_rates!N74</f>
        <v>73.103419142794792</v>
      </c>
      <c r="M111" s="447">
        <f>M77*Group_2_rates!O74</f>
        <v>72.507770738779101</v>
      </c>
      <c r="N111" s="447">
        <f>N77*Group_2_rates!P74</f>
        <v>71.690346110345544</v>
      </c>
    </row>
    <row r="112" spans="1:14">
      <c r="B112" s="331" t="str">
        <f t="shared" si="48"/>
        <v>25-29</v>
      </c>
      <c r="C112" s="447">
        <f>C78*Group_2_rates!E75</f>
        <v>107.06297476138607</v>
      </c>
      <c r="D112" s="447">
        <f>D78*Group_2_rates!F75</f>
        <v>104.41834739706022</v>
      </c>
      <c r="E112" s="447">
        <f>E78*Group_2_rates!G75</f>
        <v>113.2742404107465</v>
      </c>
      <c r="F112" s="447">
        <f>F78*Group_2_rates!H75</f>
        <v>114.07590242812233</v>
      </c>
      <c r="G112" s="447">
        <f>G78*Group_2_rates!I75</f>
        <v>116.91934065341469</v>
      </c>
      <c r="H112" s="447">
        <f>H78*Group_2_rates!J75</f>
        <v>119.71614899380282</v>
      </c>
      <c r="I112" s="447">
        <f>I78*Group_2_rates!K75</f>
        <v>122.32673735238386</v>
      </c>
      <c r="J112" s="447">
        <f>J78*Group_2_rates!L75</f>
        <v>125.05597173537936</v>
      </c>
      <c r="K112" s="447">
        <f>K78*Group_2_rates!M75</f>
        <v>126.35740651379581</v>
      </c>
      <c r="L112" s="447">
        <f>L78*Group_2_rates!N75</f>
        <v>126.76461178857437</v>
      </c>
      <c r="M112" s="447">
        <f>M78*Group_2_rates!O75</f>
        <v>126.41216564118621</v>
      </c>
      <c r="N112" s="447">
        <f>N78*Group_2_rates!P75</f>
        <v>125.58769419880598</v>
      </c>
    </row>
    <row r="113" spans="1:14">
      <c r="B113" s="331" t="str">
        <f t="shared" si="48"/>
        <v>30-34</v>
      </c>
      <c r="C113" s="447">
        <f>C79*Group_2_rates!E76</f>
        <v>96.22911350827026</v>
      </c>
      <c r="D113" s="447">
        <f>D79*Group_2_rates!F76</f>
        <v>90.324857301715127</v>
      </c>
      <c r="E113" s="447">
        <f>E79*Group_2_rates!G76</f>
        <v>92.814633383949527</v>
      </c>
      <c r="F113" s="447">
        <f>F79*Group_2_rates!H76</f>
        <v>90.003224271610435</v>
      </c>
      <c r="G113" s="447">
        <f>G79*Group_2_rates!I76</f>
        <v>89.552263386461831</v>
      </c>
      <c r="H113" s="447">
        <f>H79*Group_2_rates!J76</f>
        <v>89.620116803334199</v>
      </c>
      <c r="I113" s="447">
        <f>I79*Group_2_rates!K76</f>
        <v>90.067055474572598</v>
      </c>
      <c r="J113" s="447">
        <f>J79*Group_2_rates!L76</f>
        <v>90.911160715641103</v>
      </c>
      <c r="K113" s="447">
        <f>K79*Group_2_rates!M76</f>
        <v>91.48296535843032</v>
      </c>
      <c r="L113" s="447">
        <f>L79*Group_2_rates!N76</f>
        <v>91.819147650102394</v>
      </c>
      <c r="M113" s="447">
        <f>M79*Group_2_rates!O76</f>
        <v>91.870796932933757</v>
      </c>
      <c r="N113" s="447">
        <f>N79*Group_2_rates!P76</f>
        <v>91.681021684780447</v>
      </c>
    </row>
    <row r="114" spans="1:14">
      <c r="B114" s="331" t="str">
        <f t="shared" si="48"/>
        <v>35-39</v>
      </c>
      <c r="C114" s="447">
        <f>C80*Group_2_rates!E77</f>
        <v>79.605012659949978</v>
      </c>
      <c r="D114" s="447">
        <f>D80*Group_2_rates!F77</f>
        <v>77.805044035313983</v>
      </c>
      <c r="E114" s="447">
        <f>E80*Group_2_rates!G77</f>
        <v>81.658143699469363</v>
      </c>
      <c r="F114" s="447">
        <f>F80*Group_2_rates!H77</f>
        <v>80.053522288358053</v>
      </c>
      <c r="G114" s="447">
        <f>G80*Group_2_rates!I77</f>
        <v>79.857525683865219</v>
      </c>
      <c r="H114" s="447">
        <f>H80*Group_2_rates!J77</f>
        <v>79.684376262787296</v>
      </c>
      <c r="I114" s="447">
        <f>I80*Group_2_rates!K77</f>
        <v>79.613184405299805</v>
      </c>
      <c r="J114" s="447">
        <f>J80*Group_2_rates!L77</f>
        <v>79.758896241299496</v>
      </c>
      <c r="K114" s="447">
        <f>K80*Group_2_rates!M77</f>
        <v>79.796385047389052</v>
      </c>
      <c r="L114" s="447">
        <f>L80*Group_2_rates!N77</f>
        <v>79.78260572764934</v>
      </c>
      <c r="M114" s="447">
        <f>M80*Group_2_rates!O77</f>
        <v>79.687164460857488</v>
      </c>
      <c r="N114" s="447">
        <f>N80*Group_2_rates!P77</f>
        <v>79.516442485024371</v>
      </c>
    </row>
    <row r="115" spans="1:14">
      <c r="B115" s="331" t="str">
        <f t="shared" si="48"/>
        <v>40-44</v>
      </c>
      <c r="C115" s="447">
        <f>C81*Group_2_rates!E78</f>
        <v>68.798041538870308</v>
      </c>
      <c r="D115" s="447">
        <f>D81*Group_2_rates!F78</f>
        <v>68.548077209927186</v>
      </c>
      <c r="E115" s="447">
        <f>E81*Group_2_rates!G78</f>
        <v>73.47855347210151</v>
      </c>
      <c r="F115" s="447">
        <f>F81*Group_2_rates!H78</f>
        <v>73.461780265562822</v>
      </c>
      <c r="G115" s="447">
        <f>G81*Group_2_rates!I78</f>
        <v>74.488480664381115</v>
      </c>
      <c r="H115" s="447">
        <f>H81*Group_2_rates!J78</f>
        <v>75.249422009161634</v>
      </c>
      <c r="I115" s="447">
        <f>I81*Group_2_rates!K78</f>
        <v>75.81961558683706</v>
      </c>
      <c r="J115" s="447">
        <f>J81*Group_2_rates!L78</f>
        <v>76.335111524878698</v>
      </c>
      <c r="K115" s="447">
        <f>K81*Group_2_rates!M78</f>
        <v>76.572522552527545</v>
      </c>
      <c r="L115" s="447">
        <f>L81*Group_2_rates!N78</f>
        <v>76.644311175682162</v>
      </c>
      <c r="M115" s="447">
        <f>M81*Group_2_rates!O78</f>
        <v>76.578780552484346</v>
      </c>
      <c r="N115" s="447">
        <f>N81*Group_2_rates!P78</f>
        <v>76.421940833603387</v>
      </c>
    </row>
    <row r="116" spans="1:14">
      <c r="B116" s="331" t="str">
        <f t="shared" si="48"/>
        <v>45-49</v>
      </c>
      <c r="C116" s="447">
        <f>C82*Group_2_rates!E79</f>
        <v>68.634517175757665</v>
      </c>
      <c r="D116" s="447">
        <f>D82*Group_2_rates!F79</f>
        <v>67.904773902716983</v>
      </c>
      <c r="E116" s="447">
        <f>E82*Group_2_rates!G79</f>
        <v>72.748253220228634</v>
      </c>
      <c r="F116" s="447">
        <f>F82*Group_2_rates!H79</f>
        <v>72.989062979952138</v>
      </c>
      <c r="G116" s="447">
        <f>G82*Group_2_rates!I79</f>
        <v>74.510690497342225</v>
      </c>
      <c r="H116" s="447">
        <f>H82*Group_2_rates!J79</f>
        <v>75.883323059252064</v>
      </c>
      <c r="I116" s="447">
        <f>I82*Group_2_rates!K79</f>
        <v>77.09021435592777</v>
      </c>
      <c r="J116" s="447">
        <f>J82*Group_2_rates!L79</f>
        <v>78.200334018322764</v>
      </c>
      <c r="K116" s="447">
        <f>K82*Group_2_rates!M79</f>
        <v>78.954897873681659</v>
      </c>
      <c r="L116" s="447">
        <f>L82*Group_2_rates!N79</f>
        <v>79.448180870133044</v>
      </c>
      <c r="M116" s="447">
        <f>M82*Group_2_rates!O79</f>
        <v>79.709405340915112</v>
      </c>
      <c r="N116" s="447">
        <f>N82*Group_2_rates!P79</f>
        <v>79.796293337689448</v>
      </c>
    </row>
    <row r="117" spans="1:14">
      <c r="B117" s="331" t="str">
        <f t="shared" si="48"/>
        <v>50-54</v>
      </c>
      <c r="C117" s="447">
        <f>C83*Group_2_rates!E80</f>
        <v>38.913059628495319</v>
      </c>
      <c r="D117" s="447">
        <f>D83*Group_2_rates!F80</f>
        <v>39.038579375688677</v>
      </c>
      <c r="E117" s="447">
        <f>E83*Group_2_rates!G80</f>
        <v>42.145010174651162</v>
      </c>
      <c r="F117" s="447">
        <f>F83*Group_2_rates!H80</f>
        <v>42.532416863382061</v>
      </c>
      <c r="G117" s="447">
        <f>G83*Group_2_rates!I80</f>
        <v>43.624449803717788</v>
      </c>
      <c r="H117" s="447">
        <f>H83*Group_2_rates!J80</f>
        <v>44.6435480076346</v>
      </c>
      <c r="I117" s="447">
        <f>I83*Group_2_rates!K80</f>
        <v>45.59051795450118</v>
      </c>
      <c r="J117" s="447">
        <f>J83*Group_2_rates!L80</f>
        <v>46.500312347326265</v>
      </c>
      <c r="K117" s="447">
        <f>K83*Group_2_rates!M80</f>
        <v>47.214834957961088</v>
      </c>
      <c r="L117" s="447">
        <f>L83*Group_2_rates!N80</f>
        <v>47.773195799144368</v>
      </c>
      <c r="M117" s="447">
        <f>M83*Group_2_rates!O80</f>
        <v>48.179975344905053</v>
      </c>
      <c r="N117" s="447">
        <f>N83*Group_2_rates!P80</f>
        <v>48.459623684652477</v>
      </c>
    </row>
    <row r="118" spans="1:14">
      <c r="B118" s="331" t="str">
        <f t="shared" si="48"/>
        <v>55-59</v>
      </c>
      <c r="C118" s="447">
        <f>C84*Group_2_rates!E81</f>
        <v>22.869143112587192</v>
      </c>
      <c r="D118" s="447">
        <f>D84*Group_2_rates!F81</f>
        <v>20.62611432305653</v>
      </c>
      <c r="E118" s="447">
        <f>E84*Group_2_rates!G81</f>
        <v>20.898047216064718</v>
      </c>
      <c r="F118" s="447">
        <f>F84*Group_2_rates!H81</f>
        <v>20.304701593531021</v>
      </c>
      <c r="G118" s="447">
        <f>G84*Group_2_rates!I81</f>
        <v>20.370703117879142</v>
      </c>
      <c r="H118" s="447">
        <f>H84*Group_2_rates!J81</f>
        <v>20.591283532303741</v>
      </c>
      <c r="I118" s="447">
        <f>I84*Group_2_rates!K81</f>
        <v>20.893527325313066</v>
      </c>
      <c r="J118" s="447">
        <f>J84*Group_2_rates!L81</f>
        <v>21.255080830847703</v>
      </c>
      <c r="K118" s="447">
        <f>K84*Group_2_rates!M81</f>
        <v>21.557057783364908</v>
      </c>
      <c r="L118" s="447">
        <f>L84*Group_2_rates!N81</f>
        <v>21.812612756845816</v>
      </c>
      <c r="M118" s="447">
        <f>M84*Group_2_rates!O81</f>
        <v>22.014598010481375</v>
      </c>
      <c r="N118" s="447">
        <f>N84*Group_2_rates!P81</f>
        <v>22.169312374748749</v>
      </c>
    </row>
    <row r="119" spans="1:14">
      <c r="B119" s="331" t="str">
        <f t="shared" si="48"/>
        <v>60-64</v>
      </c>
      <c r="C119" s="447">
        <f>C85*Group_2_rates!E82</f>
        <v>7.0793553269013447</v>
      </c>
      <c r="D119" s="447">
        <f>D85*Group_2_rates!F82</f>
        <v>6.4320390762505184</v>
      </c>
      <c r="E119" s="447">
        <f>E85*Group_2_rates!G82</f>
        <v>6.3540268444999954</v>
      </c>
      <c r="F119" s="447">
        <f>F85*Group_2_rates!H82</f>
        <v>5.9681202879059763</v>
      </c>
      <c r="G119" s="447">
        <f>G85*Group_2_rates!I82</f>
        <v>5.8059766061546698</v>
      </c>
      <c r="H119" s="447">
        <f>H85*Group_2_rates!J82</f>
        <v>5.7321384211011601</v>
      </c>
      <c r="I119" s="447">
        <f>I85*Group_2_rates!K82</f>
        <v>5.7205195333429071</v>
      </c>
      <c r="J119" s="447">
        <f>J85*Group_2_rates!L82</f>
        <v>5.7579081889883268</v>
      </c>
      <c r="K119" s="447">
        <f>K85*Group_2_rates!M82</f>
        <v>5.7936952873170799</v>
      </c>
      <c r="L119" s="447">
        <f>L85*Group_2_rates!N82</f>
        <v>5.829845024804027</v>
      </c>
      <c r="M119" s="447">
        <f>M85*Group_2_rates!O82</f>
        <v>5.8608592544463107</v>
      </c>
      <c r="N119" s="447">
        <f>N85*Group_2_rates!P82</f>
        <v>5.8868101523114014</v>
      </c>
    </row>
    <row r="120" spans="1:14">
      <c r="B120" s="331" t="str">
        <f t="shared" si="48"/>
        <v>65 plus</v>
      </c>
      <c r="C120" s="447">
        <f>C86*Group_2_rates!E83</f>
        <v>6.5658328545298827</v>
      </c>
      <c r="D120" s="447">
        <f>D86*Group_2_rates!F83</f>
        <v>7.2995350546132984</v>
      </c>
      <c r="E120" s="447">
        <f>E86*Group_2_rates!G83</f>
        <v>8.0547423575422581</v>
      </c>
      <c r="F120" s="447">
        <f>F86*Group_2_rates!H83</f>
        <v>7.947874820581311</v>
      </c>
      <c r="G120" s="447">
        <f>G86*Group_2_rates!I83</f>
        <v>7.8709305501845721</v>
      </c>
      <c r="H120" s="447">
        <f>H86*Group_2_rates!J83</f>
        <v>7.7648420117388071</v>
      </c>
      <c r="I120" s="447">
        <f>I86*Group_2_rates!K83</f>
        <v>7.6795451798593222</v>
      </c>
      <c r="J120" s="447">
        <f>J86*Group_2_rates!L83</f>
        <v>7.6431831885568844</v>
      </c>
      <c r="K120" s="447">
        <f>K86*Group_2_rates!M83</f>
        <v>7.6104145815708462</v>
      </c>
      <c r="L120" s="447">
        <f>L86*Group_2_rates!N83</f>
        <v>7.5888127031794008</v>
      </c>
      <c r="M120" s="447">
        <f>M86*Group_2_rates!O83</f>
        <v>7.5729180245088443</v>
      </c>
      <c r="N120" s="447">
        <f>N86*Group_2_rates!P83</f>
        <v>7.562267522614734</v>
      </c>
    </row>
    <row r="121" spans="1:14">
      <c r="B121" s="331" t="str">
        <f t="shared" si="48"/>
        <v>Total</v>
      </c>
      <c r="C121" s="447">
        <f>SUM(C111:C120)</f>
        <v>527.80214931638307</v>
      </c>
      <c r="D121" s="447">
        <f t="shared" ref="D121:N121" si="50">SUM(D111:D120)</f>
        <v>526.92050160368024</v>
      </c>
      <c r="E121" s="447">
        <f t="shared" si="50"/>
        <v>568.67386673440387</v>
      </c>
      <c r="F121" s="447">
        <f t="shared" si="50"/>
        <v>569.32805452191258</v>
      </c>
      <c r="G121" s="447">
        <f t="shared" si="50"/>
        <v>578.80486437068714</v>
      </c>
      <c r="H121" s="447">
        <f t="shared" si="50"/>
        <v>587.48944103455221</v>
      </c>
      <c r="I121" s="447">
        <f t="shared" si="50"/>
        <v>595.51328250854476</v>
      </c>
      <c r="J121" s="447">
        <f t="shared" si="50"/>
        <v>604.06390372369856</v>
      </c>
      <c r="K121" s="447">
        <f t="shared" si="50"/>
        <v>608.55149517371058</v>
      </c>
      <c r="L121" s="447">
        <f t="shared" si="50"/>
        <v>610.56674263890977</v>
      </c>
      <c r="M121" s="447">
        <f t="shared" si="50"/>
        <v>610.39443430149743</v>
      </c>
      <c r="N121" s="447">
        <f t="shared" si="50"/>
        <v>608.77175238457664</v>
      </c>
    </row>
    <row r="122" spans="1:14">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4">
      <c r="B127" s="331" t="str">
        <f t="shared" si="52"/>
        <v>20-24</v>
      </c>
      <c r="C127" s="447">
        <f>C93*Group_2_rates!E89</f>
        <v>125.37782329474008</v>
      </c>
      <c r="D127" s="447">
        <f>D93*Group_2_rates!F89</f>
        <v>167.79057235676464</v>
      </c>
      <c r="E127" s="447">
        <f>E93*Group_2_rates!G89</f>
        <v>204.18465313048011</v>
      </c>
      <c r="F127" s="447">
        <f>F93*Group_2_rates!H89</f>
        <v>225.36835776276803</v>
      </c>
      <c r="G127" s="447">
        <f>G93*Group_2_rates!I89</f>
        <v>236.99999567083438</v>
      </c>
      <c r="H127" s="447">
        <f>H93*Group_2_rates!J89</f>
        <v>245.72116810762941</v>
      </c>
      <c r="I127" s="447">
        <f>I93*Group_2_rates!K89</f>
        <v>252.43160979414537</v>
      </c>
      <c r="J127" s="447">
        <f>J93*Group_2_rates!L89</f>
        <v>258.77627436183798</v>
      </c>
      <c r="K127" s="447">
        <f>K93*Group_2_rates!M89</f>
        <v>260.5719309120206</v>
      </c>
      <c r="L127" s="447">
        <f>L93*Group_2_rates!N89</f>
        <v>260.11526765506756</v>
      </c>
      <c r="M127" s="447">
        <f>M93*Group_2_rates!O89</f>
        <v>258.0022816455666</v>
      </c>
      <c r="N127" s="447">
        <f>N93*Group_2_rates!P89</f>
        <v>255.12483139623822</v>
      </c>
    </row>
    <row r="128" spans="1:14">
      <c r="B128" s="331" t="str">
        <f t="shared" si="52"/>
        <v>25-29</v>
      </c>
      <c r="C128" s="447">
        <f>C94*Group_2_rates!E90</f>
        <v>427.1584722475169</v>
      </c>
      <c r="D128" s="447">
        <f>D94*Group_2_rates!F90</f>
        <v>418.31001259755578</v>
      </c>
      <c r="E128" s="447">
        <f>E94*Group_2_rates!G90</f>
        <v>428.41675898787315</v>
      </c>
      <c r="F128" s="447">
        <f>F94*Group_2_rates!H90</f>
        <v>435.06978439891981</v>
      </c>
      <c r="G128" s="447">
        <f>G94*Group_2_rates!I90</f>
        <v>437.00814951441311</v>
      </c>
      <c r="H128" s="447">
        <f>H94*Group_2_rates!J90</f>
        <v>440.92180210184591</v>
      </c>
      <c r="I128" s="447">
        <f>I94*Group_2_rates!K90</f>
        <v>445.80003640648056</v>
      </c>
      <c r="J128" s="447">
        <f>J94*Group_2_rates!L90</f>
        <v>452.25691775373576</v>
      </c>
      <c r="K128" s="447">
        <f>K94*Group_2_rates!M90</f>
        <v>454.75772081683778</v>
      </c>
      <c r="L128" s="447">
        <f>L94*Group_2_rates!N90</f>
        <v>454.81527359363213</v>
      </c>
      <c r="M128" s="447">
        <f>M94*Group_2_rates!O90</f>
        <v>452.68746251600874</v>
      </c>
      <c r="N128" s="447">
        <f>N94*Group_2_rates!P90</f>
        <v>449.2071453339135</v>
      </c>
    </row>
    <row r="129" spans="1:14">
      <c r="B129" s="331" t="str">
        <f t="shared" si="52"/>
        <v>30-34</v>
      </c>
      <c r="C129" s="447">
        <f>C95*Group_2_rates!E91</f>
        <v>407.56216691416984</v>
      </c>
      <c r="D129" s="447">
        <f>D95*Group_2_rates!F91</f>
        <v>408.37866439116789</v>
      </c>
      <c r="E129" s="447">
        <f>E95*Group_2_rates!G91</f>
        <v>414.65601225427832</v>
      </c>
      <c r="F129" s="447">
        <f>F95*Group_2_rates!H91</f>
        <v>416.43287331112907</v>
      </c>
      <c r="G129" s="447">
        <f>G95*Group_2_rates!I91</f>
        <v>412.86027566732156</v>
      </c>
      <c r="H129" s="447">
        <f>H95*Group_2_rates!J91</f>
        <v>410.90528868143156</v>
      </c>
      <c r="I129" s="447">
        <f>I95*Group_2_rates!K91</f>
        <v>410.43200099266545</v>
      </c>
      <c r="J129" s="447">
        <f>J95*Group_2_rates!L91</f>
        <v>411.79121373333112</v>
      </c>
      <c r="K129" s="447">
        <f>K95*Group_2_rates!M91</f>
        <v>412.17132557828268</v>
      </c>
      <c r="L129" s="447">
        <f>L95*Group_2_rates!N91</f>
        <v>411.80545328247706</v>
      </c>
      <c r="M129" s="447">
        <f>M95*Group_2_rates!O91</f>
        <v>410.48878497191714</v>
      </c>
      <c r="N129" s="447">
        <f>N95*Group_2_rates!P91</f>
        <v>408.392420313402</v>
      </c>
    </row>
    <row r="130" spans="1:14">
      <c r="B130" s="331" t="str">
        <f t="shared" si="52"/>
        <v>35-39</v>
      </c>
      <c r="C130" s="447">
        <f>C96*Group_2_rates!E92</f>
        <v>334.98377776013081</v>
      </c>
      <c r="D130" s="447">
        <f>D96*Group_2_rates!F92</f>
        <v>342.22970258041892</v>
      </c>
      <c r="E130" s="447">
        <f>E96*Group_2_rates!G92</f>
        <v>353.07635961953065</v>
      </c>
      <c r="F130" s="447">
        <f>F96*Group_2_rates!H92</f>
        <v>359.01064173880633</v>
      </c>
      <c r="G130" s="447">
        <f>G96*Group_2_rates!I92</f>
        <v>358.63240092210651</v>
      </c>
      <c r="H130" s="447">
        <f>H96*Group_2_rates!J92</f>
        <v>357.97163061628584</v>
      </c>
      <c r="I130" s="447">
        <f>I96*Group_2_rates!K92</f>
        <v>357.38168494082538</v>
      </c>
      <c r="J130" s="447">
        <f>J96*Group_2_rates!L92</f>
        <v>357.46017299312393</v>
      </c>
      <c r="K130" s="447">
        <f>K96*Group_2_rates!M92</f>
        <v>356.79467817220552</v>
      </c>
      <c r="L130" s="447">
        <f>L96*Group_2_rates!N92</f>
        <v>355.75949886018128</v>
      </c>
      <c r="M130" s="447">
        <f>M96*Group_2_rates!O92</f>
        <v>354.30398081126737</v>
      </c>
      <c r="N130" s="447">
        <f>N96*Group_2_rates!P92</f>
        <v>352.52682748219968</v>
      </c>
    </row>
    <row r="131" spans="1:14">
      <c r="B131" s="331" t="str">
        <f t="shared" si="52"/>
        <v>40-44</v>
      </c>
      <c r="C131" s="447">
        <f>C97*Group_2_rates!E93</f>
        <v>261.01496458943626</v>
      </c>
      <c r="D131" s="447">
        <f>D97*Group_2_rates!F93</f>
        <v>273.83024745976007</v>
      </c>
      <c r="E131" s="447">
        <f>E97*Group_2_rates!G93</f>
        <v>288.93525572323881</v>
      </c>
      <c r="F131" s="447">
        <f>F97*Group_2_rates!H93</f>
        <v>299.55280953510561</v>
      </c>
      <c r="G131" s="447">
        <f>G97*Group_2_rates!I93</f>
        <v>304.20781835548024</v>
      </c>
      <c r="H131" s="447">
        <f>H97*Group_2_rates!J93</f>
        <v>307.71098870314933</v>
      </c>
      <c r="I131" s="447">
        <f>I97*Group_2_rates!K93</f>
        <v>310.32998719423654</v>
      </c>
      <c r="J131" s="447">
        <f>J97*Group_2_rates!L93</f>
        <v>312.60985635582989</v>
      </c>
      <c r="K131" s="447">
        <f>K97*Group_2_rates!M93</f>
        <v>313.54103503886427</v>
      </c>
      <c r="L131" s="447">
        <f>L97*Group_2_rates!N93</f>
        <v>313.62058644988736</v>
      </c>
      <c r="M131" s="447">
        <f>M97*Group_2_rates!O93</f>
        <v>312.99026436421599</v>
      </c>
      <c r="N131" s="447">
        <f>N97*Group_2_rates!P93</f>
        <v>311.87943550049653</v>
      </c>
    </row>
    <row r="132" spans="1:14">
      <c r="B132" s="331" t="str">
        <f t="shared" si="52"/>
        <v>45-49</v>
      </c>
      <c r="C132" s="447">
        <f>C98*Group_2_rates!E94</f>
        <v>222.08593899491768</v>
      </c>
      <c r="D132" s="447">
        <f>D98*Group_2_rates!F94</f>
        <v>233.40309926365447</v>
      </c>
      <c r="E132" s="447">
        <f>E98*Group_2_rates!G94</f>
        <v>247.9741950169562</v>
      </c>
      <c r="F132" s="447">
        <f>F98*Group_2_rates!H94</f>
        <v>259.51796603514106</v>
      </c>
      <c r="G132" s="447">
        <f>G98*Group_2_rates!I94</f>
        <v>266.36845131061887</v>
      </c>
      <c r="H132" s="447">
        <f>H98*Group_2_rates!J94</f>
        <v>272.39491291931085</v>
      </c>
      <c r="I132" s="447">
        <f>I98*Group_2_rates!K94</f>
        <v>277.60549189445589</v>
      </c>
      <c r="J132" s="447">
        <f>J98*Group_2_rates!L94</f>
        <v>282.30772634419645</v>
      </c>
      <c r="K132" s="447">
        <f>K98*Group_2_rates!M94</f>
        <v>285.51805576471946</v>
      </c>
      <c r="L132" s="447">
        <f>L98*Group_2_rates!N94</f>
        <v>287.61164510874323</v>
      </c>
      <c r="M132" s="447">
        <f>M98*Group_2_rates!O94</f>
        <v>288.70848671752498</v>
      </c>
      <c r="N132" s="447">
        <f>N98*Group_2_rates!P94</f>
        <v>289.04006923927608</v>
      </c>
    </row>
    <row r="133" spans="1:14">
      <c r="B133" s="331" t="str">
        <f t="shared" si="52"/>
        <v>50-54</v>
      </c>
      <c r="C133" s="447">
        <f>C99*Group_2_rates!E95</f>
        <v>174.51657847945924</v>
      </c>
      <c r="D133" s="447">
        <f>D99*Group_2_rates!F95</f>
        <v>178.93846981518098</v>
      </c>
      <c r="E133" s="447">
        <f>E99*Group_2_rates!G95</f>
        <v>186.94869594081743</v>
      </c>
      <c r="F133" s="447">
        <f>F99*Group_2_rates!H95</f>
        <v>193.70091440111071</v>
      </c>
      <c r="G133" s="447">
        <f>G99*Group_2_rates!I95</f>
        <v>197.84407896466359</v>
      </c>
      <c r="H133" s="447">
        <f>H99*Group_2_rates!J95</f>
        <v>202.10285242190486</v>
      </c>
      <c r="I133" s="447">
        <f>I99*Group_2_rates!K95</f>
        <v>206.30240194878587</v>
      </c>
      <c r="J133" s="447">
        <f>J99*Group_2_rates!L95</f>
        <v>210.50476384484639</v>
      </c>
      <c r="K133" s="447">
        <f>K99*Group_2_rates!M95</f>
        <v>213.8378514771268</v>
      </c>
      <c r="L133" s="447">
        <f>L99*Group_2_rates!N95</f>
        <v>216.45964178530136</v>
      </c>
      <c r="M133" s="447">
        <f>M99*Group_2_rates!O95</f>
        <v>218.36445372614349</v>
      </c>
      <c r="N133" s="447">
        <f>N99*Group_2_rates!P95</f>
        <v>219.6558519769209</v>
      </c>
    </row>
    <row r="134" spans="1:14">
      <c r="B134" s="331" t="str">
        <f t="shared" si="52"/>
        <v>55-59</v>
      </c>
      <c r="C134" s="447">
        <f>C100*Group_2_rates!E96</f>
        <v>80.838825735030881</v>
      </c>
      <c r="D134" s="447">
        <f>D100*Group_2_rates!F96</f>
        <v>75.123979812566262</v>
      </c>
      <c r="E134" s="447">
        <f>E100*Group_2_rates!G96</f>
        <v>73.224412346789649</v>
      </c>
      <c r="F134" s="447">
        <f>F100*Group_2_rates!H96</f>
        <v>72.305063641271289</v>
      </c>
      <c r="G134" s="447">
        <f>G100*Group_2_rates!I96</f>
        <v>71.494680937030211</v>
      </c>
      <c r="H134" s="447">
        <f>H100*Group_2_rates!J96</f>
        <v>71.497954725918731</v>
      </c>
      <c r="I134" s="447">
        <f>I100*Group_2_rates!K96</f>
        <v>72.013581594302678</v>
      </c>
      <c r="J134" s="447">
        <f>J100*Group_2_rates!L96</f>
        <v>72.914994040295511</v>
      </c>
      <c r="K134" s="447">
        <f>K100*Group_2_rates!M96</f>
        <v>73.727313310478493</v>
      </c>
      <c r="L134" s="447">
        <f>L100*Group_2_rates!N96</f>
        <v>74.460466748669973</v>
      </c>
      <c r="M134" s="447">
        <f>M100*Group_2_rates!O96</f>
        <v>75.061104239095144</v>
      </c>
      <c r="N134" s="447">
        <f>N100*Group_2_rates!P96</f>
        <v>75.531915807531945</v>
      </c>
    </row>
    <row r="135" spans="1:14">
      <c r="B135" s="331" t="str">
        <f t="shared" si="52"/>
        <v>60-64</v>
      </c>
      <c r="C135" s="447">
        <f>C101*Group_2_rates!E97</f>
        <v>34.011243298485766</v>
      </c>
      <c r="D135" s="447">
        <f>D101*Group_2_rates!F97</f>
        <v>33.428661436453936</v>
      </c>
      <c r="E135" s="447">
        <f>E101*Group_2_rates!G97</f>
        <v>32.774644813108758</v>
      </c>
      <c r="F135" s="447">
        <f>F101*Group_2_rates!H97</f>
        <v>31.823397798050621</v>
      </c>
      <c r="G135" s="447">
        <f>G101*Group_2_rates!I97</f>
        <v>30.760896525611194</v>
      </c>
      <c r="H135" s="447">
        <f>H101*Group_2_rates!J97</f>
        <v>30.119489963396067</v>
      </c>
      <c r="I135" s="447">
        <f>I101*Group_2_rates!K97</f>
        <v>29.819760200745595</v>
      </c>
      <c r="J135" s="447">
        <f>J101*Group_2_rates!L97</f>
        <v>29.817421405549407</v>
      </c>
      <c r="K135" s="447">
        <f>K101*Group_2_rates!M97</f>
        <v>29.844394974663849</v>
      </c>
      <c r="L135" s="447">
        <f>L101*Group_2_rates!N97</f>
        <v>29.911974429423747</v>
      </c>
      <c r="M135" s="447">
        <f>M101*Group_2_rates!O97</f>
        <v>29.98453737092634</v>
      </c>
      <c r="N135" s="447">
        <f>N101*Group_2_rates!P97</f>
        <v>30.055768561608112</v>
      </c>
    </row>
    <row r="136" spans="1:14">
      <c r="B136" s="331" t="str">
        <f t="shared" si="52"/>
        <v>65 plus</v>
      </c>
      <c r="C136" s="447">
        <f>C102*Group_2_rates!E98</f>
        <v>13.820118177081669</v>
      </c>
      <c r="D136" s="447">
        <f>D102*Group_2_rates!F98</f>
        <v>18.130910057159898</v>
      </c>
      <c r="E136" s="447">
        <f>E102*Group_2_rates!G98</f>
        <v>21.079558811694067</v>
      </c>
      <c r="F136" s="447">
        <f>F102*Group_2_rates!H98</f>
        <v>22.589062078637269</v>
      </c>
      <c r="G136" s="447">
        <f>G102*Group_2_rates!I98</f>
        <v>23.013448315479131</v>
      </c>
      <c r="H136" s="447">
        <f>H102*Group_2_rates!J98</f>
        <v>23.074612725284361</v>
      </c>
      <c r="I136" s="447">
        <f>I102*Group_2_rates!K98</f>
        <v>22.997140016112699</v>
      </c>
      <c r="J136" s="447">
        <f>J102*Group_2_rates!L98</f>
        <v>22.934337390810146</v>
      </c>
      <c r="K136" s="447">
        <f>K102*Group_2_rates!M98</f>
        <v>22.817510857092586</v>
      </c>
      <c r="L136" s="447">
        <f>L102*Group_2_rates!N98</f>
        <v>22.700241692827007</v>
      </c>
      <c r="M136" s="447">
        <f>M102*Group_2_rates!O98</f>
        <v>22.588852858485357</v>
      </c>
      <c r="N136" s="447">
        <f>N102*Group_2_rates!P98</f>
        <v>22.493699013337579</v>
      </c>
    </row>
    <row r="137" spans="1:14">
      <c r="B137" s="331" t="str">
        <f t="shared" si="52"/>
        <v>Total</v>
      </c>
      <c r="C137" s="447">
        <f>SUM(C127:C136)</f>
        <v>2081.3699094909693</v>
      </c>
      <c r="D137" s="447">
        <f t="shared" ref="D137:N137" si="54">SUM(D127:D136)</f>
        <v>2149.5643197706831</v>
      </c>
      <c r="E137" s="447">
        <f t="shared" si="54"/>
        <v>2251.2705466447669</v>
      </c>
      <c r="F137" s="447">
        <f t="shared" si="54"/>
        <v>2315.37087070094</v>
      </c>
      <c r="G137" s="447">
        <f t="shared" si="54"/>
        <v>2339.1901961835588</v>
      </c>
      <c r="H137" s="447">
        <f t="shared" si="54"/>
        <v>2362.4207009661568</v>
      </c>
      <c r="I137" s="447">
        <f t="shared" si="54"/>
        <v>2385.113694982756</v>
      </c>
      <c r="J137" s="447">
        <f t="shared" si="54"/>
        <v>2411.3736782235565</v>
      </c>
      <c r="K137" s="447">
        <f t="shared" si="54"/>
        <v>2423.5818169022918</v>
      </c>
      <c r="L137" s="447">
        <f t="shared" si="54"/>
        <v>2427.2600496062114</v>
      </c>
      <c r="M137" s="447">
        <f t="shared" si="54"/>
        <v>2423.1802092211515</v>
      </c>
      <c r="N137" s="447">
        <f t="shared" si="54"/>
        <v>2413.9079646249243</v>
      </c>
    </row>
    <row r="138" spans="1:14">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0.15590384490902681</v>
      </c>
      <c r="D147" s="447">
        <f>D79*Calc_SEC_retirement_rates!$G126</f>
        <v>0.15179592077477566</v>
      </c>
      <c r="E147" s="447">
        <f>E79*Calc_SEC_retirement_rates!$G126</f>
        <v>0.15033836356978661</v>
      </c>
      <c r="F147" s="447">
        <f>F79*Calc_SEC_retirement_rates!$G126</f>
        <v>0.14857439455743346</v>
      </c>
      <c r="G147" s="447">
        <f>G79*Calc_SEC_retirement_rates!$G126</f>
        <v>0.14782996299931681</v>
      </c>
      <c r="H147" s="447">
        <f>H79*Calc_SEC_retirement_rates!$G126</f>
        <v>0.14794197321241806</v>
      </c>
      <c r="I147" s="447">
        <f>I79*Calc_SEC_retirement_rates!$G126</f>
        <v>0.14867976503066624</v>
      </c>
      <c r="J147" s="447">
        <f>J79*Calc_SEC_retirement_rates!$G126</f>
        <v>0.1500731865013909</v>
      </c>
      <c r="K147" s="447">
        <f>K79*Calc_SEC_retirement_rates!$G126</f>
        <v>0.15101710300321711</v>
      </c>
      <c r="L147" s="447">
        <f>L79*Calc_SEC_retirement_rates!$G126</f>
        <v>0.15157206179330862</v>
      </c>
      <c r="M147" s="447">
        <f>M79*Calc_SEC_retirement_rates!$G126</f>
        <v>0.15165732274910323</v>
      </c>
      <c r="N147" s="447">
        <f>N79*Calc_SEC_retirement_rates!$G126</f>
        <v>0.1513440479433999</v>
      </c>
    </row>
    <row r="148" spans="1:14">
      <c r="B148" s="331" t="str">
        <f t="shared" si="56"/>
        <v>35-39</v>
      </c>
      <c r="C148" s="447">
        <f>C80*Calc_SEC_retirement_rates!$G127</f>
        <v>0.31892253157585748</v>
      </c>
      <c r="D148" s="447">
        <f>D80*Calc_SEC_retirement_rates!$G127</f>
        <v>0.3233367105407946</v>
      </c>
      <c r="E148" s="447">
        <f>E80*Calc_SEC_retirement_rates!$G127</f>
        <v>0.32707497304290739</v>
      </c>
      <c r="F148" s="447">
        <f>F80*Calc_SEC_retirement_rates!$G127</f>
        <v>0.3267840062058448</v>
      </c>
      <c r="G148" s="447">
        <f>G80*Calc_SEC_retirement_rates!$G127</f>
        <v>0.32598393453144425</v>
      </c>
      <c r="H148" s="447">
        <f>H80*Calc_SEC_retirement_rates!$G127</f>
        <v>0.32527712663749236</v>
      </c>
      <c r="I148" s="447">
        <f>I80*Calc_SEC_retirement_rates!$G127</f>
        <v>0.32498651655896016</v>
      </c>
      <c r="J148" s="447">
        <f>J80*Calc_SEC_retirement_rates!$G127</f>
        <v>0.32558132233587617</v>
      </c>
      <c r="K148" s="447">
        <f>K80*Calc_SEC_retirement_rates!$G127</f>
        <v>0.32573435423118352</v>
      </c>
      <c r="L148" s="447">
        <f>L80*Calc_SEC_retirement_rates!$G127</f>
        <v>0.32567810609645292</v>
      </c>
      <c r="M148" s="447">
        <f>M80*Calc_SEC_retirement_rates!$G127</f>
        <v>0.32528850825455835</v>
      </c>
      <c r="N148" s="447">
        <f>N80*Calc_SEC_retirement_rates!$G127</f>
        <v>0.32459160935972692</v>
      </c>
    </row>
    <row r="149" spans="1:14">
      <c r="B149" s="331" t="str">
        <f t="shared" si="56"/>
        <v>40-44</v>
      </c>
      <c r="C149" s="447">
        <f>C81*Calc_SEC_retirement_rates!$G128</f>
        <v>0.54578494983270809</v>
      </c>
      <c r="D149" s="447">
        <f>D81*Calc_SEC_retirement_rates!$G128</f>
        <v>0.56408328821504417</v>
      </c>
      <c r="E149" s="447">
        <f>E81*Calc_SEC_retirement_rates!$G128</f>
        <v>0.58278598936788328</v>
      </c>
      <c r="F149" s="447">
        <f>F81*Calc_SEC_retirement_rates!$G128</f>
        <v>0.59380313949905583</v>
      </c>
      <c r="G149" s="447">
        <f>G81*Calc_SEC_retirement_rates!$G128</f>
        <v>0.60210212051938139</v>
      </c>
      <c r="H149" s="447">
        <f>H81*Calc_SEC_retirement_rates!$G128</f>
        <v>0.60825292925110397</v>
      </c>
      <c r="I149" s="447">
        <f>I81*Calc_SEC_retirement_rates!$G128</f>
        <v>0.6128618937401471</v>
      </c>
      <c r="J149" s="447">
        <f>J81*Calc_SEC_retirement_rates!$G128</f>
        <v>0.61702872859361202</v>
      </c>
      <c r="K149" s="447">
        <f>K81*Calc_SEC_retirement_rates!$G128</f>
        <v>0.61894775932033774</v>
      </c>
      <c r="L149" s="447">
        <f>L81*Calc_SEC_retirement_rates!$G128</f>
        <v>0.61952803806740087</v>
      </c>
      <c r="M149" s="447">
        <f>M81*Calc_SEC_retirement_rates!$G128</f>
        <v>0.61899834371957085</v>
      </c>
      <c r="N149" s="447">
        <f>N81*Calc_SEC_retirement_rates!$G128</f>
        <v>0.61773058357091948</v>
      </c>
    </row>
    <row r="150" spans="1:14">
      <c r="B150" s="331" t="str">
        <f t="shared" si="56"/>
        <v>45-49</v>
      </c>
      <c r="C150" s="447">
        <f>C82*Calc_SEC_retirement_rates!$G129</f>
        <v>0.98873515419022673</v>
      </c>
      <c r="D150" s="447">
        <f>D82*Calc_SEC_retirement_rates!$G129</f>
        <v>1.0147058777713478</v>
      </c>
      <c r="E150" s="447">
        <f>E82*Calc_SEC_retirement_rates!$G129</f>
        <v>1.0477628279915634</v>
      </c>
      <c r="F150" s="447">
        <f>F82*Calc_SEC_retirement_rates!$G129</f>
        <v>1.0713484396017734</v>
      </c>
      <c r="G150" s="447">
        <f>G82*Calc_SEC_retirement_rates!$G129</f>
        <v>1.0936832004529813</v>
      </c>
      <c r="H150" s="447">
        <f>H82*Calc_SEC_retirement_rates!$G129</f>
        <v>1.1138309827824053</v>
      </c>
      <c r="I150" s="447">
        <f>I82*Calc_SEC_retirement_rates!$G129</f>
        <v>1.1315459808200925</v>
      </c>
      <c r="J150" s="447">
        <f>J82*Calc_SEC_retirement_rates!$G129</f>
        <v>1.1478405449578017</v>
      </c>
      <c r="K150" s="447">
        <f>K82*Calc_SEC_retirement_rates!$G129</f>
        <v>1.1589161880201149</v>
      </c>
      <c r="L150" s="447">
        <f>L82*Calc_SEC_retirement_rates!$G129</f>
        <v>1.1661566970354922</v>
      </c>
      <c r="M150" s="447">
        <f>M82*Calc_SEC_retirement_rates!$G129</f>
        <v>1.1699910034059553</v>
      </c>
      <c r="N150" s="447">
        <f>N82*Calc_SEC_retirement_rates!$G129</f>
        <v>1.1712663632470575</v>
      </c>
    </row>
    <row r="151" spans="1:14">
      <c r="B151" s="331" t="str">
        <f t="shared" si="56"/>
        <v>50-54</v>
      </c>
      <c r="C151" s="447">
        <f>C83*Calc_SEC_retirement_rates!$G130</f>
        <v>16.639639498448133</v>
      </c>
      <c r="D151" s="447">
        <f>D83*Calc_SEC_retirement_rates!$G130</f>
        <v>17.315897820353147</v>
      </c>
      <c r="E151" s="447">
        <f>E83*Calc_SEC_retirement_rates!$G130</f>
        <v>18.017632337243388</v>
      </c>
      <c r="F151" s="447">
        <f>F83*Calc_SEC_retirement_rates!$G130</f>
        <v>18.531226126967152</v>
      </c>
      <c r="G151" s="447">
        <f>G83*Calc_SEC_retirement_rates!$G130</f>
        <v>19.007021081682758</v>
      </c>
      <c r="H151" s="447">
        <f>H83*Calc_SEC_retirement_rates!$G130</f>
        <v>19.451038625360777</v>
      </c>
      <c r="I151" s="447">
        <f>I83*Calc_SEC_retirement_rates!$G130</f>
        <v>19.863630138257733</v>
      </c>
      <c r="J151" s="447">
        <f>J83*Calc_SEC_retirement_rates!$G130</f>
        <v>20.260024391531488</v>
      </c>
      <c r="K151" s="447">
        <f>K83*Calc_SEC_retirement_rates!$G130</f>
        <v>20.571339408334694</v>
      </c>
      <c r="L151" s="447">
        <f>L83*Calc_SEC_retirement_rates!$G130</f>
        <v>20.814615285218128</v>
      </c>
      <c r="M151" s="447">
        <f>M83*Calc_SEC_retirement_rates!$G130</f>
        <v>20.991847718788254</v>
      </c>
      <c r="N151" s="447">
        <f>N83*Calc_SEC_retirement_rates!$G130</f>
        <v>21.11368952797902</v>
      </c>
    </row>
    <row r="152" spans="1:14">
      <c r="B152" s="331" t="str">
        <f t="shared" si="56"/>
        <v>55-59</v>
      </c>
      <c r="C152" s="447">
        <f>C84*Calc_SEC_retirement_rates!$G131</f>
        <v>78.040076733346666</v>
      </c>
      <c r="D152" s="447">
        <f>D84*Calc_SEC_retirement_rates!$G131</f>
        <v>73.010898293128648</v>
      </c>
      <c r="E152" s="447">
        <f>E84*Calc_SEC_retirement_rates!$G131</f>
        <v>71.297865081818216</v>
      </c>
      <c r="F152" s="447">
        <f>F84*Calc_SEC_retirement_rates!$G131</f>
        <v>70.599230447072912</v>
      </c>
      <c r="G152" s="447">
        <f>G84*Calc_SEC_retirement_rates!$G131</f>
        <v>70.828717041881845</v>
      </c>
      <c r="H152" s="447">
        <f>H84*Calc_SEC_retirement_rates!$G131</f>
        <v>71.595672785522751</v>
      </c>
      <c r="I152" s="447">
        <f>I84*Calc_SEC_retirement_rates!$G131</f>
        <v>72.646571223777116</v>
      </c>
      <c r="J152" s="447">
        <f>J84*Calc_SEC_retirement_rates!$G131</f>
        <v>73.903688898647019</v>
      </c>
      <c r="K152" s="447">
        <f>K84*Calc_SEC_retirement_rates!$G131</f>
        <v>74.953659535361979</v>
      </c>
      <c r="L152" s="447">
        <f>L84*Calc_SEC_retirement_rates!$G131</f>
        <v>75.842221447073214</v>
      </c>
      <c r="M152" s="447">
        <f>M84*Calc_SEC_retirement_rates!$G131</f>
        <v>76.544522015374625</v>
      </c>
      <c r="N152" s="447">
        <f>N84*Calc_SEC_retirement_rates!$G131</f>
        <v>77.082462206520532</v>
      </c>
    </row>
    <row r="153" spans="1:14">
      <c r="B153" s="331" t="str">
        <f t="shared" si="56"/>
        <v>60-64</v>
      </c>
      <c r="C153" s="447">
        <f>C85*Calc_SEC_retirement_rates!$G132</f>
        <v>55.242347643968102</v>
      </c>
      <c r="D153" s="447">
        <f>D85*Calc_SEC_retirement_rates!$G132</f>
        <v>52.063045072471638</v>
      </c>
      <c r="E153" s="447">
        <f>E85*Calc_SEC_retirement_rates!$G132</f>
        <v>49.571320167666002</v>
      </c>
      <c r="F153" s="447">
        <f>F85*Calc_SEC_retirement_rates!$G132</f>
        <v>47.451674621409531</v>
      </c>
      <c r="G153" s="447">
        <f>G85*Calc_SEC_retirement_rates!$G132</f>
        <v>46.162493295092808</v>
      </c>
      <c r="H153" s="447">
        <f>H85*Calc_SEC_retirement_rates!$G132</f>
        <v>45.575416399391713</v>
      </c>
      <c r="I153" s="447">
        <f>I85*Calc_SEC_retirement_rates!$G132</f>
        <v>45.483036277214126</v>
      </c>
      <c r="J153" s="447">
        <f>J85*Calc_SEC_retirement_rates!$G132</f>
        <v>45.780308154561098</v>
      </c>
      <c r="K153" s="447">
        <f>K85*Calc_SEC_retirement_rates!$G132</f>
        <v>46.064846277725543</v>
      </c>
      <c r="L153" s="447">
        <f>L85*Calc_SEC_retirement_rates!$G132</f>
        <v>46.352267693201377</v>
      </c>
      <c r="M153" s="447">
        <f>M85*Calc_SEC_retirement_rates!$G132</f>
        <v>46.59885741703814</v>
      </c>
      <c r="N153" s="447">
        <f>N85*Calc_SEC_retirement_rates!$G132</f>
        <v>46.805189310871299</v>
      </c>
    </row>
    <row r="154" spans="1:14">
      <c r="B154" s="331" t="str">
        <f t="shared" si="56"/>
        <v>65 plus</v>
      </c>
      <c r="C154" s="447">
        <f>C86*Calc_SEC_retirement_rates!$G133</f>
        <v>15.976211775638362</v>
      </c>
      <c r="D154" s="447">
        <f>D86*Calc_SEC_retirement_rates!$G133</f>
        <v>18.423903928649022</v>
      </c>
      <c r="E154" s="447">
        <f>E86*Calc_SEC_retirement_rates!$G133</f>
        <v>19.594702025510191</v>
      </c>
      <c r="F154" s="447">
        <f>F86*Calc_SEC_retirement_rates!$G133</f>
        <v>19.704733461410651</v>
      </c>
      <c r="G154" s="447">
        <f>G86*Calc_SEC_retirement_rates!$G133</f>
        <v>19.513969719683832</v>
      </c>
      <c r="H154" s="447">
        <f>H86*Calc_SEC_retirement_rates!$G133</f>
        <v>19.250950180426479</v>
      </c>
      <c r="I154" s="447">
        <f>I86*Calc_SEC_retirement_rates!$G133</f>
        <v>19.039478387622744</v>
      </c>
      <c r="J154" s="447">
        <f>J86*Calc_SEC_retirement_rates!$G133</f>
        <v>18.949328081671112</v>
      </c>
      <c r="K154" s="447">
        <f>K86*Calc_SEC_retirement_rates!$G133</f>
        <v>18.868086657876976</v>
      </c>
      <c r="L154" s="447">
        <f>L86*Calc_SEC_retirement_rates!$G133</f>
        <v>18.814530296512679</v>
      </c>
      <c r="M154" s="447">
        <f>M86*Calc_SEC_retirement_rates!$G133</f>
        <v>18.775123484788992</v>
      </c>
      <c r="N154" s="447">
        <f>N86*Calc_SEC_retirement_rates!$G133</f>
        <v>18.748718275120837</v>
      </c>
    </row>
    <row r="155" spans="1:14">
      <c r="B155" s="331" t="str">
        <f t="shared" si="56"/>
        <v>Total</v>
      </c>
      <c r="C155" s="447">
        <f>SUM(C145:C154)</f>
        <v>167.90762213190908</v>
      </c>
      <c r="D155" s="447">
        <f t="shared" ref="D155:N155" si="58">SUM(D145:D154)</f>
        <v>162.86766691190442</v>
      </c>
      <c r="E155" s="447">
        <f t="shared" si="58"/>
        <v>160.58948176620996</v>
      </c>
      <c r="F155" s="447">
        <f t="shared" si="58"/>
        <v>158.42737463672435</v>
      </c>
      <c r="G155" s="447">
        <f t="shared" si="58"/>
        <v>157.68180035684438</v>
      </c>
      <c r="H155" s="447">
        <f t="shared" si="58"/>
        <v>158.06838100258514</v>
      </c>
      <c r="I155" s="447">
        <f t="shared" si="58"/>
        <v>159.25079018302159</v>
      </c>
      <c r="J155" s="447">
        <f t="shared" si="58"/>
        <v>161.13387330879942</v>
      </c>
      <c r="K155" s="447">
        <f t="shared" si="58"/>
        <v>162.71254728387404</v>
      </c>
      <c r="L155" s="447">
        <f t="shared" si="58"/>
        <v>164.08656962499805</v>
      </c>
      <c r="M155" s="447">
        <f t="shared" si="58"/>
        <v>165.17628581411921</v>
      </c>
      <c r="N155" s="447">
        <f t="shared" si="58"/>
        <v>166.01499192461279</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0.36518275883436924</v>
      </c>
      <c r="D163" s="447">
        <f>D95*Calc_SEC_retirement_rates!$G142</f>
        <v>0.36411485240877045</v>
      </c>
      <c r="E163" s="447">
        <f>E95*Calc_SEC_retirement_rates!$G142</f>
        <v>0.36365811891256478</v>
      </c>
      <c r="F163" s="447">
        <f>F95*Calc_SEC_retirement_rates!$G142</f>
        <v>0.36058101378404112</v>
      </c>
      <c r="G163" s="447">
        <f>G95*Calc_SEC_retirement_rates!$G142</f>
        <v>0.35748757192868563</v>
      </c>
      <c r="H163" s="447">
        <f>H95*Calc_SEC_retirement_rates!$G142</f>
        <v>0.35579478724600244</v>
      </c>
      <c r="I163" s="447">
        <f>I95*Calc_SEC_retirement_rates!$G142</f>
        <v>0.35538497676857816</v>
      </c>
      <c r="J163" s="447">
        <f>J95*Calc_SEC_retirement_rates!$G142</f>
        <v>0.35656189227978768</v>
      </c>
      <c r="K163" s="447">
        <f>K95*Calc_SEC_retirement_rates!$G142</f>
        <v>0.35689102363129255</v>
      </c>
      <c r="L163" s="447">
        <f>L95*Calc_SEC_retirement_rates!$G142</f>
        <v>0.35657422202461803</v>
      </c>
      <c r="M163" s="447">
        <f>M95*Calc_SEC_retirement_rates!$G142</f>
        <v>0.35543414489654673</v>
      </c>
      <c r="N163" s="447">
        <f>N95*Calc_SEC_retirement_rates!$G142</f>
        <v>0.35361894407481986</v>
      </c>
    </row>
    <row r="164" spans="1:14">
      <c r="B164" s="331" t="str">
        <f t="shared" si="60"/>
        <v>35-39</v>
      </c>
      <c r="C164" s="447">
        <f>C96*Calc_SEC_retirement_rates!$G143</f>
        <v>1.2267380588861945</v>
      </c>
      <c r="D164" s="447">
        <f>D96*Calc_SEC_retirement_rates!$G143</f>
        <v>1.2471098528071691</v>
      </c>
      <c r="E164" s="447">
        <f>E96*Calc_SEC_retirement_rates!$G143</f>
        <v>1.265568398719831</v>
      </c>
      <c r="F164" s="447">
        <f>F96*Calc_SEC_retirement_rates!$G143</f>
        <v>1.2705063283441125</v>
      </c>
      <c r="G164" s="447">
        <f>G96*Calc_SEC_retirement_rates!$G143</f>
        <v>1.2691677681584654</v>
      </c>
      <c r="H164" s="447">
        <f>H96*Calc_SEC_retirement_rates!$G143</f>
        <v>1.2668293615556387</v>
      </c>
      <c r="I164" s="447">
        <f>I96*Calc_SEC_retirement_rates!$G143</f>
        <v>1.2647415969411371</v>
      </c>
      <c r="J164" s="447">
        <f>J96*Calc_SEC_retirement_rates!$G143</f>
        <v>1.2650193590895287</v>
      </c>
      <c r="K164" s="447">
        <f>K96*Calc_SEC_retirement_rates!$G143</f>
        <v>1.2626642328532645</v>
      </c>
      <c r="L164" s="447">
        <f>L96*Calc_SEC_retirement_rates!$G143</f>
        <v>1.2590008264970414</v>
      </c>
      <c r="M164" s="447">
        <f>M96*Calc_SEC_retirement_rates!$G143</f>
        <v>1.2538498792069896</v>
      </c>
      <c r="N164" s="447">
        <f>N96*Calc_SEC_retirement_rates!$G143</f>
        <v>1.2475606936271899</v>
      </c>
    </row>
    <row r="165" spans="1:14">
      <c r="B165" s="331" t="str">
        <f t="shared" si="60"/>
        <v>40-44</v>
      </c>
      <c r="C165" s="447">
        <f>C97*Calc_SEC_retirement_rates!$G144</f>
        <v>2.3378839586128439</v>
      </c>
      <c r="D165" s="447">
        <f>D97*Calc_SEC_retirement_rates!$G144</f>
        <v>2.4406073233169732</v>
      </c>
      <c r="E165" s="447">
        <f>E97*Calc_SEC_retirement_rates!$G144</f>
        <v>2.5330688827651828</v>
      </c>
      <c r="F165" s="447">
        <f>F97*Calc_SEC_retirement_rates!$G144</f>
        <v>2.5928201218953033</v>
      </c>
      <c r="G165" s="447">
        <f>G97*Calc_SEC_retirement_rates!$G144</f>
        <v>2.6331121844394638</v>
      </c>
      <c r="H165" s="447">
        <f>H97*Calc_SEC_retirement_rates!$G144</f>
        <v>2.6634343522801194</v>
      </c>
      <c r="I165" s="447">
        <f>I97*Calc_SEC_retirement_rates!$G144</f>
        <v>2.6861034502513355</v>
      </c>
      <c r="J165" s="447">
        <f>J97*Calc_SEC_retirement_rates!$G144</f>
        <v>2.7058371681444902</v>
      </c>
      <c r="K165" s="447">
        <f>K97*Calc_SEC_retirement_rates!$G144</f>
        <v>2.713897111999461</v>
      </c>
      <c r="L165" s="447">
        <f>L97*Calc_SEC_retirement_rates!$G144</f>
        <v>2.714585680067128</v>
      </c>
      <c r="M165" s="447">
        <f>M97*Calc_SEC_retirement_rates!$G144</f>
        <v>2.7091298414470857</v>
      </c>
      <c r="N165" s="447">
        <f>N97*Calc_SEC_retirement_rates!$G144</f>
        <v>2.6995149109969128</v>
      </c>
    </row>
    <row r="166" spans="1:14">
      <c r="B166" s="331" t="str">
        <f t="shared" si="60"/>
        <v>45-49</v>
      </c>
      <c r="C166" s="447">
        <f>C98*Calc_SEC_retirement_rates!$G145</f>
        <v>2.8604564072288365</v>
      </c>
      <c r="D166" s="447">
        <f>D98*Calc_SEC_retirement_rates!$G145</f>
        <v>2.991436832568025</v>
      </c>
      <c r="E166" s="447">
        <f>E98*Calc_SEC_retirement_rates!$G145</f>
        <v>3.1261490341112941</v>
      </c>
      <c r="F166" s="447">
        <f>F98*Calc_SEC_retirement_rates!$G145</f>
        <v>3.2301533956309312</v>
      </c>
      <c r="G166" s="447">
        <f>G98*Calc_SEC_retirement_rates!$G145</f>
        <v>3.3154196244488161</v>
      </c>
      <c r="H166" s="447">
        <f>H98*Calc_SEC_retirement_rates!$G145</f>
        <v>3.3904294425602912</v>
      </c>
      <c r="I166" s="447">
        <f>I98*Calc_SEC_retirement_rates!$G145</f>
        <v>3.4552841793128466</v>
      </c>
      <c r="J166" s="447">
        <f>J98*Calc_SEC_retirement_rates!$G145</f>
        <v>3.5138116824639218</v>
      </c>
      <c r="K166" s="447">
        <f>K98*Calc_SEC_retirement_rates!$G145</f>
        <v>3.5537698273169536</v>
      </c>
      <c r="L166" s="447">
        <f>L98*Calc_SEC_retirement_rates!$G145</f>
        <v>3.5798281955755087</v>
      </c>
      <c r="M166" s="447">
        <f>M98*Calc_SEC_retirement_rates!$G145</f>
        <v>3.593480301058626</v>
      </c>
      <c r="N166" s="447">
        <f>N98*Calc_SEC_retirement_rates!$G145</f>
        <v>3.5976074234499174</v>
      </c>
    </row>
    <row r="167" spans="1:14">
      <c r="B167" s="331" t="str">
        <f t="shared" si="60"/>
        <v>50-54</v>
      </c>
      <c r="C167" s="447">
        <f>C99*Calc_SEC_retirement_rates!$G146</f>
        <v>52.727063792433576</v>
      </c>
      <c r="D167" s="447">
        <f>D99*Calc_SEC_retirement_rates!$G146</f>
        <v>53.797186598726476</v>
      </c>
      <c r="E167" s="447">
        <f>E99*Calc_SEC_retirement_rates!$G146</f>
        <v>55.285119969879347</v>
      </c>
      <c r="F167" s="447">
        <f>F99*Calc_SEC_retirement_rates!$G146</f>
        <v>56.554870975329457</v>
      </c>
      <c r="G167" s="447">
        <f>G99*Calc_SEC_retirement_rates!$G146</f>
        <v>57.764551053741869</v>
      </c>
      <c r="H167" s="447">
        <f>H99*Calc_SEC_retirement_rates!$G146</f>
        <v>59.007985469795692</v>
      </c>
      <c r="I167" s="447">
        <f>I99*Calc_SEC_retirement_rates!$G146</f>
        <v>60.234128270316724</v>
      </c>
      <c r="J167" s="447">
        <f>J99*Calc_SEC_retirement_rates!$G146</f>
        <v>61.461092198484842</v>
      </c>
      <c r="K167" s="447">
        <f>K99*Calc_SEC_retirement_rates!$G146</f>
        <v>62.434254052551978</v>
      </c>
      <c r="L167" s="447">
        <f>L99*Calc_SEC_retirement_rates!$G146</f>
        <v>63.19973837182647</v>
      </c>
      <c r="M167" s="447">
        <f>M99*Calc_SEC_retirement_rates!$G146</f>
        <v>63.755886461677598</v>
      </c>
      <c r="N167" s="447">
        <f>N99*Calc_SEC_retirement_rates!$G146</f>
        <v>64.132936108945884</v>
      </c>
    </row>
    <row r="168" spans="1:14">
      <c r="B168" s="331" t="str">
        <f t="shared" si="60"/>
        <v>55-59</v>
      </c>
      <c r="C168" s="447">
        <f>C100*Calc_SEC_retirement_rates!$G147</f>
        <v>278.91683451172747</v>
      </c>
      <c r="D168" s="447">
        <f>D100*Calc_SEC_retirement_rates!$G147</f>
        <v>257.92430319962631</v>
      </c>
      <c r="E168" s="447">
        <f>E100*Calc_SEC_retirement_rates!$G147</f>
        <v>247.28600866473076</v>
      </c>
      <c r="F168" s="447">
        <f>F100*Calc_SEC_retirement_rates!$G147</f>
        <v>241.08205864495312</v>
      </c>
      <c r="G168" s="447">
        <f>G100*Calc_SEC_retirement_rates!$G147</f>
        <v>238.38005243971705</v>
      </c>
      <c r="H168" s="447">
        <f>H100*Calc_SEC_retirement_rates!$G147</f>
        <v>238.39096802052242</v>
      </c>
      <c r="I168" s="447">
        <f>I100*Calc_SEC_retirement_rates!$G147</f>
        <v>240.11018906345498</v>
      </c>
      <c r="J168" s="447">
        <f>J100*Calc_SEC_retirement_rates!$G147</f>
        <v>243.11570980051295</v>
      </c>
      <c r="K168" s="447">
        <f>K100*Calc_SEC_retirement_rates!$G147</f>
        <v>245.8241729712845</v>
      </c>
      <c r="L168" s="447">
        <f>L100*Calc_SEC_retirement_rates!$G147</f>
        <v>248.26867867089558</v>
      </c>
      <c r="M168" s="447">
        <f>M100*Calc_SEC_retirement_rates!$G147</f>
        <v>250.27134508730938</v>
      </c>
      <c r="N168" s="447">
        <f>N100*Calc_SEC_retirement_rates!$G147</f>
        <v>251.84114139805931</v>
      </c>
    </row>
    <row r="169" spans="1:14">
      <c r="B169" s="331" t="str">
        <f t="shared" si="60"/>
        <v>60-64</v>
      </c>
      <c r="C169" s="447">
        <f>C101*Calc_SEC_retirement_rates!$G148</f>
        <v>197.57205268080097</v>
      </c>
      <c r="D169" s="447">
        <f>D101*Calc_SEC_retirement_rates!$G148</f>
        <v>193.23284048014884</v>
      </c>
      <c r="E169" s="447">
        <f>E101*Calc_SEC_retirement_rates!$G148</f>
        <v>186.35022277663219</v>
      </c>
      <c r="F169" s="447">
        <f>F101*Calc_SEC_retirement_rates!$G148</f>
        <v>178.64505484342098</v>
      </c>
      <c r="G169" s="447">
        <f>G101*Calc_SEC_retirement_rates!$G148</f>
        <v>172.6805566685035</v>
      </c>
      <c r="H169" s="447">
        <f>H101*Calc_SEC_retirement_rates!$G148</f>
        <v>169.0799320208466</v>
      </c>
      <c r="I169" s="447">
        <f>I101*Calc_SEC_retirement_rates!$G148</f>
        <v>167.39735745018967</v>
      </c>
      <c r="J169" s="447">
        <f>J101*Calc_SEC_retirement_rates!$G148</f>
        <v>167.38422829915615</v>
      </c>
      <c r="K169" s="447">
        <f>K101*Calc_SEC_retirement_rates!$G148</f>
        <v>167.53564816840932</v>
      </c>
      <c r="L169" s="447">
        <f>L101*Calc_SEC_retirement_rates!$G148</f>
        <v>167.91501480545051</v>
      </c>
      <c r="M169" s="447">
        <f>M101*Calc_SEC_retirement_rates!$G148</f>
        <v>168.32235693612409</v>
      </c>
      <c r="N169" s="447">
        <f>N101*Calc_SEC_retirement_rates!$G148</f>
        <v>168.72222309896</v>
      </c>
    </row>
    <row r="170" spans="1:14">
      <c r="B170" s="331" t="str">
        <f t="shared" si="60"/>
        <v>65 plus</v>
      </c>
      <c r="C170" s="447">
        <f>C102*Calc_SEC_retirement_rates!$G149</f>
        <v>44.321321665590808</v>
      </c>
      <c r="D170" s="447">
        <f>D102*Calc_SEC_retirement_rates!$G149</f>
        <v>57.860142198556005</v>
      </c>
      <c r="E170" s="447">
        <f>E102*Calc_SEC_retirement_rates!$G149</f>
        <v>66.168513992289064</v>
      </c>
      <c r="F170" s="447">
        <f>F102*Calc_SEC_retirement_rates!$G149</f>
        <v>70.006858921272453</v>
      </c>
      <c r="G170" s="447">
        <f>G102*Calc_SEC_retirement_rates!$G149</f>
        <v>71.32209491058849</v>
      </c>
      <c r="H170" s="447">
        <f>H102*Calc_SEC_retirement_rates!$G149</f>
        <v>71.511652502370367</v>
      </c>
      <c r="I170" s="447">
        <f>I102*Calc_SEC_retirement_rates!$G149</f>
        <v>71.271553068301415</v>
      </c>
      <c r="J170" s="447">
        <f>J102*Calc_SEC_retirement_rates!$G149</f>
        <v>71.076918403341182</v>
      </c>
      <c r="K170" s="447">
        <f>K102*Calc_SEC_retirement_rates!$G149</f>
        <v>70.714855621108129</v>
      </c>
      <c r="L170" s="447">
        <f>L102*Calc_SEC_retirement_rates!$G149</f>
        <v>70.351421061055291</v>
      </c>
      <c r="M170" s="447">
        <f>M102*Calc_SEC_retirement_rates!$G149</f>
        <v>70.00621051694263</v>
      </c>
      <c r="N170" s="447">
        <f>N102*Calc_SEC_retirement_rates!$G149</f>
        <v>69.711314616002298</v>
      </c>
    </row>
    <row r="171" spans="1:14">
      <c r="B171" s="331" t="str">
        <f t="shared" si="60"/>
        <v>Total</v>
      </c>
      <c r="C171" s="447">
        <f>SUM(C161:C170)</f>
        <v>580.32753383411512</v>
      </c>
      <c r="D171" s="447">
        <f t="shared" ref="D171:N171" si="62">SUM(D161:D170)</f>
        <v>569.85774133815858</v>
      </c>
      <c r="E171" s="447">
        <f t="shared" si="62"/>
        <v>562.3783098380402</v>
      </c>
      <c r="F171" s="447">
        <f t="shared" si="62"/>
        <v>553.74290424463038</v>
      </c>
      <c r="G171" s="447">
        <f t="shared" si="62"/>
        <v>547.72244222152631</v>
      </c>
      <c r="H171" s="447">
        <f t="shared" si="62"/>
        <v>545.66702595717709</v>
      </c>
      <c r="I171" s="447">
        <f t="shared" si="62"/>
        <v>546.77474205553665</v>
      </c>
      <c r="J171" s="447">
        <f t="shared" si="62"/>
        <v>550.87917880347288</v>
      </c>
      <c r="K171" s="447">
        <f t="shared" si="62"/>
        <v>554.39615300915489</v>
      </c>
      <c r="L171" s="447">
        <f t="shared" si="62"/>
        <v>557.64484183339209</v>
      </c>
      <c r="M171" s="447">
        <f t="shared" si="62"/>
        <v>560.26769316866296</v>
      </c>
      <c r="N171" s="447">
        <f t="shared" si="62"/>
        <v>562.30591719411632</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7.4651095131515369E-2</v>
      </c>
      <c r="D180" s="447">
        <f>D78*Calc_SEC_death_rates!$G125</f>
        <v>7.5522467039040933E-2</v>
      </c>
      <c r="E180" s="447">
        <f>E78*Calc_SEC_death_rates!$G125</f>
        <v>7.8964349087135038E-2</v>
      </c>
      <c r="F180" s="447">
        <f>F78*Calc_SEC_death_rates!$G125</f>
        <v>8.1045023117356854E-2</v>
      </c>
      <c r="G180" s="447">
        <f>G78*Calc_SEC_death_rates!$G125</f>
        <v>8.3065138775410025E-2</v>
      </c>
      <c r="H180" s="447">
        <f>H78*Calc_SEC_death_rates!$G125</f>
        <v>8.5052126314205889E-2</v>
      </c>
      <c r="I180" s="447">
        <f>I78*Calc_SEC_death_rates!$G125</f>
        <v>8.690681419628872E-2</v>
      </c>
      <c r="J180" s="447">
        <f>J78*Calc_SEC_death_rates!$G125</f>
        <v>8.8845793936571077E-2</v>
      </c>
      <c r="K180" s="447">
        <f>K78*Calc_SEC_death_rates!$G125</f>
        <v>8.977039597308753E-2</v>
      </c>
      <c r="L180" s="447">
        <f>L78*Calc_SEC_death_rates!$G125</f>
        <v>9.0059694240341936E-2</v>
      </c>
      <c r="M180" s="447">
        <f>M78*Calc_SEC_death_rates!$G125</f>
        <v>8.9809299498291167E-2</v>
      </c>
      <c r="N180" s="447">
        <f>N78*Calc_SEC_death_rates!$G125</f>
        <v>8.9223555220270603E-2</v>
      </c>
    </row>
    <row r="181" spans="1:14">
      <c r="B181" s="331" t="str">
        <f t="shared" si="64"/>
        <v>30-34</v>
      </c>
      <c r="C181" s="447">
        <f>C79*Calc_SEC_death_rates!$G126</f>
        <v>0.31318109721632126</v>
      </c>
      <c r="D181" s="447">
        <f>D79*Calc_SEC_death_rates!$G126</f>
        <v>0.3049290609153763</v>
      </c>
      <c r="E181" s="447">
        <f>E79*Calc_SEC_death_rates!$G126</f>
        <v>0.30200110641251982</v>
      </c>
      <c r="F181" s="447">
        <f>F79*Calc_SEC_death_rates!$G126</f>
        <v>0.29845762901421247</v>
      </c>
      <c r="G181" s="447">
        <f>G79*Calc_SEC_death_rates!$G126</f>
        <v>0.29696220795959077</v>
      </c>
      <c r="H181" s="447">
        <f>H79*Calc_SEC_death_rates!$G126</f>
        <v>0.29718721511999124</v>
      </c>
      <c r="I181" s="447">
        <f>I79*Calc_SEC_death_rates!$G126</f>
        <v>0.29866929820325971</v>
      </c>
      <c r="J181" s="447">
        <f>J79*Calc_SEC_death_rates!$G126</f>
        <v>0.30146841624515908</v>
      </c>
      <c r="K181" s="447">
        <f>K79*Calc_SEC_death_rates!$G126</f>
        <v>0.30336456451459415</v>
      </c>
      <c r="L181" s="447">
        <f>L79*Calc_SEC_death_rates!$G126</f>
        <v>0.30447937090626537</v>
      </c>
      <c r="M181" s="447">
        <f>M79*Calc_SEC_death_rates!$G126</f>
        <v>0.30465064390919261</v>
      </c>
      <c r="N181" s="447">
        <f>N79*Calc_SEC_death_rates!$G126</f>
        <v>0.30402133455869096</v>
      </c>
    </row>
    <row r="182" spans="1:14">
      <c r="B182" s="331" t="str">
        <f t="shared" si="64"/>
        <v>35-39</v>
      </c>
      <c r="C182" s="447">
        <f>C80*Calc_SEC_death_rates!$G127</f>
        <v>0.58545770213742254</v>
      </c>
      <c r="D182" s="447">
        <f>D80*Calc_SEC_death_rates!$G127</f>
        <v>0.59356097116913953</v>
      </c>
      <c r="E182" s="447">
        <f>E80*Calc_SEC_death_rates!$G127</f>
        <v>0.60042343574214774</v>
      </c>
      <c r="F182" s="447">
        <f>F80*Calc_SEC_death_rates!$G127</f>
        <v>0.59988929732620355</v>
      </c>
      <c r="G182" s="447">
        <f>G80*Calc_SEC_death_rates!$G127</f>
        <v>0.59842057662552028</v>
      </c>
      <c r="H182" s="447">
        <f>H80*Calc_SEC_death_rates!$G127</f>
        <v>0.59712306364203505</v>
      </c>
      <c r="I182" s="447">
        <f>I80*Calc_SEC_death_rates!$G127</f>
        <v>0.59658958014071339</v>
      </c>
      <c r="J182" s="447">
        <f>J80*Calc_SEC_death_rates!$G127</f>
        <v>0.59768148676032606</v>
      </c>
      <c r="K182" s="447">
        <f>K80*Calc_SEC_death_rates!$G127</f>
        <v>0.59796241298193131</v>
      </c>
      <c r="L182" s="447">
        <f>L80*Calc_SEC_death_rates!$G127</f>
        <v>0.59785915623319619</v>
      </c>
      <c r="M182" s="447">
        <f>M80*Calc_SEC_death_rates!$G127</f>
        <v>0.59714395729085046</v>
      </c>
      <c r="N182" s="447">
        <f>N80*Calc_SEC_death_rates!$G127</f>
        <v>0.5958646346178047</v>
      </c>
    </row>
    <row r="183" spans="1:14">
      <c r="B183" s="331" t="str">
        <f t="shared" si="64"/>
        <v>40-44</v>
      </c>
      <c r="C183" s="447">
        <f>C81*Calc_SEC_death_rates!$G128</f>
        <v>0.75057334329755887</v>
      </c>
      <c r="D183" s="447">
        <f>D81*Calc_SEC_death_rates!$G128</f>
        <v>0.77573754949384521</v>
      </c>
      <c r="E183" s="447">
        <f>E81*Calc_SEC_death_rates!$G128</f>
        <v>0.80145784269226394</v>
      </c>
      <c r="F183" s="447">
        <f>F81*Calc_SEC_death_rates!$G128</f>
        <v>0.81660882699496407</v>
      </c>
      <c r="G183" s="447">
        <f>G81*Calc_SEC_death_rates!$G128</f>
        <v>0.82802173592969752</v>
      </c>
      <c r="H183" s="447">
        <f>H81*Calc_SEC_death_rates!$G128</f>
        <v>0.83648043944500672</v>
      </c>
      <c r="I183" s="447">
        <f>I81*Calc_SEC_death_rates!$G128</f>
        <v>0.84281877084593892</v>
      </c>
      <c r="J183" s="447">
        <f>J81*Calc_SEC_death_rates!$G128</f>
        <v>0.84854907756819753</v>
      </c>
      <c r="K183" s="447">
        <f>K81*Calc_SEC_death_rates!$G128</f>
        <v>0.85118816336360237</v>
      </c>
      <c r="L183" s="447">
        <f>L81*Calc_SEC_death_rates!$G128</f>
        <v>0.85198617320128889</v>
      </c>
      <c r="M183" s="447">
        <f>M81*Calc_SEC_death_rates!$G128</f>
        <v>0.85125772794515187</v>
      </c>
      <c r="N183" s="447">
        <f>N81*Calc_SEC_death_rates!$G128</f>
        <v>0.84951428123859773</v>
      </c>
    </row>
    <row r="184" spans="1:14">
      <c r="B184" s="331" t="str">
        <f t="shared" si="64"/>
        <v>45-49</v>
      </c>
      <c r="C184" s="447">
        <f>C82*Calc_SEC_death_rates!$G129</f>
        <v>0.94801243895192866</v>
      </c>
      <c r="D184" s="447">
        <f>D82*Calc_SEC_death_rates!$G129</f>
        <v>0.97291351473460286</v>
      </c>
      <c r="E184" s="447">
        <f>E82*Calc_SEC_death_rates!$G129</f>
        <v>1.0046089590300424</v>
      </c>
      <c r="F184" s="447">
        <f>F82*Calc_SEC_death_rates!$G129</f>
        <v>1.0272231576776878</v>
      </c>
      <c r="G184" s="447">
        <f>G82*Calc_SEC_death_rates!$G129</f>
        <v>1.0486380239522695</v>
      </c>
      <c r="H184" s="447">
        <f>H82*Calc_SEC_death_rates!$G129</f>
        <v>1.0679559860826167</v>
      </c>
      <c r="I184" s="447">
        <f>I82*Calc_SEC_death_rates!$G129</f>
        <v>1.0849413622215796</v>
      </c>
      <c r="J184" s="447">
        <f>J82*Calc_SEC_death_rates!$G129</f>
        <v>1.1005648074125214</v>
      </c>
      <c r="K184" s="447">
        <f>K82*Calc_SEC_death_rates!$G129</f>
        <v>1.1111842815436541</v>
      </c>
      <c r="L184" s="447">
        <f>L82*Calc_SEC_death_rates!$G129</f>
        <v>1.1181265780543337</v>
      </c>
      <c r="M184" s="447">
        <f>M82*Calc_SEC_death_rates!$G129</f>
        <v>1.1218029620875574</v>
      </c>
      <c r="N184" s="447">
        <f>N82*Calc_SEC_death_rates!$G129</f>
        <v>1.1230257940950779</v>
      </c>
    </row>
    <row r="185" spans="1:14">
      <c r="B185" s="331" t="str">
        <f t="shared" si="64"/>
        <v>50-54</v>
      </c>
      <c r="C185" s="447">
        <f>C83*Calc_SEC_death_rates!$G130</f>
        <v>0.82706656679569956</v>
      </c>
      <c r="D185" s="447">
        <f>D83*Calc_SEC_death_rates!$G130</f>
        <v>0.86067971380030639</v>
      </c>
      <c r="E185" s="447">
        <f>E83*Calc_SEC_death_rates!$G130</f>
        <v>0.8955591447964274</v>
      </c>
      <c r="F185" s="447">
        <f>F83*Calc_SEC_death_rates!$G130</f>
        <v>0.92108711686782008</v>
      </c>
      <c r="G185" s="447">
        <f>G83*Calc_SEC_death_rates!$G130</f>
        <v>0.94473631309782569</v>
      </c>
      <c r="H185" s="447">
        <f>H83*Calc_SEC_death_rates!$G130</f>
        <v>0.96680602593511922</v>
      </c>
      <c r="I185" s="447">
        <f>I83*Calc_SEC_death_rates!$G130</f>
        <v>0.98731372059356137</v>
      </c>
      <c r="J185" s="447">
        <f>J83*Calc_SEC_death_rates!$G130</f>
        <v>1.0070163369983967</v>
      </c>
      <c r="K185" s="447">
        <f>K83*Calc_SEC_death_rates!$G130</f>
        <v>1.022490124285879</v>
      </c>
      <c r="L185" s="447">
        <f>L83*Calc_SEC_death_rates!$G130</f>
        <v>1.034582053578996</v>
      </c>
      <c r="M185" s="447">
        <f>M83*Calc_SEC_death_rates!$G130</f>
        <v>1.0433913201722635</v>
      </c>
      <c r="N185" s="447">
        <f>N83*Calc_SEC_death_rates!$G130</f>
        <v>1.0494474181321372</v>
      </c>
    </row>
    <row r="186" spans="1:14">
      <c r="B186" s="331" t="str">
        <f t="shared" si="64"/>
        <v>55-59</v>
      </c>
      <c r="C186" s="447">
        <f>C84*Calc_SEC_death_rates!$G131</f>
        <v>0.79194486943078446</v>
      </c>
      <c r="D186" s="447">
        <f>D84*Calc_SEC_death_rates!$G131</f>
        <v>0.74090914227752425</v>
      </c>
      <c r="E186" s="447">
        <f>E84*Calc_SEC_death_rates!$G131</f>
        <v>0.723525409205384</v>
      </c>
      <c r="F186" s="447">
        <f>F84*Calc_SEC_death_rates!$G131</f>
        <v>0.71643571711700127</v>
      </c>
      <c r="G186" s="447">
        <f>G84*Calc_SEC_death_rates!$G131</f>
        <v>0.71876452993945739</v>
      </c>
      <c r="H186" s="447">
        <f>H84*Calc_SEC_death_rates!$G131</f>
        <v>0.72654753953761864</v>
      </c>
      <c r="I186" s="447">
        <f>I84*Calc_SEC_death_rates!$G131</f>
        <v>0.73721197839141528</v>
      </c>
      <c r="J186" s="447">
        <f>J84*Calc_SEC_death_rates!$G131</f>
        <v>0.74996911465469329</v>
      </c>
      <c r="K186" s="447">
        <f>K84*Calc_SEC_death_rates!$G131</f>
        <v>0.76062413824777075</v>
      </c>
      <c r="L186" s="447">
        <f>L84*Calc_SEC_death_rates!$G131</f>
        <v>0.76964119815605048</v>
      </c>
      <c r="M186" s="447">
        <f>M84*Calc_SEC_death_rates!$G131</f>
        <v>0.77676809186433093</v>
      </c>
      <c r="N186" s="447">
        <f>N84*Calc_SEC_death_rates!$G131</f>
        <v>0.78222706874225323</v>
      </c>
    </row>
    <row r="187" spans="1:14">
      <c r="B187" s="331" t="str">
        <f t="shared" si="64"/>
        <v>60-64</v>
      </c>
      <c r="C187" s="447">
        <f>C85*Calc_SEC_death_rates!$G132</f>
        <v>0.59513632427103325</v>
      </c>
      <c r="D187" s="447">
        <f>D85*Calc_SEC_death_rates!$G132</f>
        <v>0.5608850926191784</v>
      </c>
      <c r="E187" s="447">
        <f>E85*Calc_SEC_death_rates!$G132</f>
        <v>0.53404126602263546</v>
      </c>
      <c r="F187" s="447">
        <f>F85*Calc_SEC_death_rates!$G132</f>
        <v>0.5112059211657034</v>
      </c>
      <c r="G187" s="447">
        <f>G85*Calc_SEC_death_rates!$G132</f>
        <v>0.49731732539479639</v>
      </c>
      <c r="H187" s="447">
        <f>H85*Calc_SEC_death_rates!$G132</f>
        <v>0.49099263427153367</v>
      </c>
      <c r="I187" s="447">
        <f>I85*Calc_SEC_death_rates!$G132</f>
        <v>0.48999740563456823</v>
      </c>
      <c r="J187" s="447">
        <f>J85*Calc_SEC_death_rates!$G132</f>
        <v>0.49319997214266892</v>
      </c>
      <c r="K187" s="447">
        <f>K85*Calc_SEC_death_rates!$G132</f>
        <v>0.49626535549361628</v>
      </c>
      <c r="L187" s="447">
        <f>L85*Calc_SEC_death_rates!$G132</f>
        <v>0.49936180110134998</v>
      </c>
      <c r="M187" s="447">
        <f>M85*Calc_SEC_death_rates!$G132</f>
        <v>0.50201835912442749</v>
      </c>
      <c r="N187" s="447">
        <f>N85*Calc_SEC_death_rates!$G132</f>
        <v>0.50424121188345861</v>
      </c>
    </row>
    <row r="188" spans="1:14">
      <c r="B188" s="331" t="str">
        <f t="shared" si="64"/>
        <v>65 plus</v>
      </c>
      <c r="C188" s="447">
        <f>C86*Calc_SEC_death_rates!$G133</f>
        <v>0.1787075922370277</v>
      </c>
      <c r="D188" s="447">
        <f>D86*Calc_SEC_death_rates!$G133</f>
        <v>0.20608712233746188</v>
      </c>
      <c r="E188" s="447">
        <f>E86*Calc_SEC_death_rates!$G133</f>
        <v>0.21918350036650144</v>
      </c>
      <c r="F188" s="447">
        <f>F86*Calc_SEC_death_rates!$G133</f>
        <v>0.22041429608054788</v>
      </c>
      <c r="G188" s="447">
        <f>G86*Calc_SEC_death_rates!$G133</f>
        <v>0.21828044048017897</v>
      </c>
      <c r="H188" s="447">
        <f>H86*Calc_SEC_death_rates!$G133</f>
        <v>0.21533834198824184</v>
      </c>
      <c r="I188" s="447">
        <f>I86*Calc_SEC_death_rates!$G133</f>
        <v>0.21297284912618358</v>
      </c>
      <c r="J188" s="447">
        <f>J86*Calc_SEC_death_rates!$G133</f>
        <v>0.21196444085379115</v>
      </c>
      <c r="K188" s="447">
        <f>K86*Calc_SEC_death_rates!$G133</f>
        <v>0.21105568604758002</v>
      </c>
      <c r="L188" s="447">
        <f>L86*Calc_SEC_death_rates!$G133</f>
        <v>0.21045661234207341</v>
      </c>
      <c r="M188" s="447">
        <f>M86*Calc_SEC_death_rates!$G133</f>
        <v>0.21001581345058551</v>
      </c>
      <c r="N188" s="447">
        <f>N86*Calc_SEC_death_rates!$G133</f>
        <v>0.20972044859760419</v>
      </c>
    </row>
    <row r="189" spans="1:14">
      <c r="B189" s="331" t="str">
        <f t="shared" si="64"/>
        <v>Total</v>
      </c>
      <c r="C189" s="447">
        <f>SUM(C179:C188)</f>
        <v>5.0647310294692911</v>
      </c>
      <c r="D189" s="447">
        <f t="shared" ref="D189:N189" si="66">SUM(D179:D188)</f>
        <v>5.0912246343864753</v>
      </c>
      <c r="E189" s="447">
        <f t="shared" si="66"/>
        <v>5.1597650133550568</v>
      </c>
      <c r="F189" s="447">
        <f t="shared" si="66"/>
        <v>5.1923669853614971</v>
      </c>
      <c r="G189" s="447">
        <f t="shared" si="66"/>
        <v>5.2342062921547461</v>
      </c>
      <c r="H189" s="447">
        <f t="shared" si="66"/>
        <v>5.2834833723363692</v>
      </c>
      <c r="I189" s="447">
        <f t="shared" si="66"/>
        <v>5.3374217793535088</v>
      </c>
      <c r="J189" s="447">
        <f t="shared" si="66"/>
        <v>5.3992594465723247</v>
      </c>
      <c r="K189" s="447">
        <f t="shared" si="66"/>
        <v>5.4439051224517145</v>
      </c>
      <c r="L189" s="447">
        <f t="shared" si="66"/>
        <v>5.4765526378138967</v>
      </c>
      <c r="M189" s="447">
        <f t="shared" si="66"/>
        <v>5.4968581753426511</v>
      </c>
      <c r="N189" s="447">
        <f t="shared" si="66"/>
        <v>5.5072857470858949</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0.45326900078473165</v>
      </c>
      <c r="D196" s="447">
        <f>D94*Calc_SEC_death_rates!$G141</f>
        <v>0.44169674738728648</v>
      </c>
      <c r="E196" s="447">
        <f>E94*Calc_SEC_death_rates!$G141</f>
        <v>0.44496142658849613</v>
      </c>
      <c r="F196" s="447">
        <f>F94*Calc_SEC_death_rates!$G141</f>
        <v>0.44613609729585185</v>
      </c>
      <c r="G196" s="447">
        <f>G94*Calc_SEC_death_rates!$G141</f>
        <v>0.44812376612225713</v>
      </c>
      <c r="H196" s="447">
        <f>H94*Calc_SEC_death_rates!$G141</f>
        <v>0.45213696527820713</v>
      </c>
      <c r="I196" s="447">
        <f>I94*Calc_SEC_death_rates!$G141</f>
        <v>0.45713928098112644</v>
      </c>
      <c r="J196" s="447">
        <f>J94*Calc_SEC_death_rates!$G141</f>
        <v>0.46376039774966193</v>
      </c>
      <c r="K196" s="447">
        <f>K94*Calc_SEC_death_rates!$G141</f>
        <v>0.4663248105374157</v>
      </c>
      <c r="L196" s="447">
        <f>L94*Calc_SEC_death_rates!$G141</f>
        <v>0.46638382721048355</v>
      </c>
      <c r="M196" s="447">
        <f>M94*Calc_SEC_death_rates!$G141</f>
        <v>0.46420189372763937</v>
      </c>
      <c r="N196" s="447">
        <f>N94*Calc_SEC_death_rates!$G141</f>
        <v>0.46063305217474504</v>
      </c>
    </row>
    <row r="197" spans="1:14">
      <c r="B197" s="331" t="str">
        <f t="shared" si="68"/>
        <v>30-34</v>
      </c>
      <c r="C197" s="447">
        <f>C95*Calc_SEC_death_rates!$G142</f>
        <v>0.39922637552025675</v>
      </c>
      <c r="D197" s="447">
        <f>D95*Calc_SEC_death_rates!$G142</f>
        <v>0.39805891511482189</v>
      </c>
      <c r="E197" s="447">
        <f>E95*Calc_SEC_death_rates!$G142</f>
        <v>0.39755960332132184</v>
      </c>
      <c r="F197" s="447">
        <f>F95*Calc_SEC_death_rates!$G142</f>
        <v>0.39419563966795429</v>
      </c>
      <c r="G197" s="447">
        <f>G95*Calc_SEC_death_rates!$G142</f>
        <v>0.39081381632082207</v>
      </c>
      <c r="H197" s="447">
        <f>H95*Calc_SEC_death_rates!$G142</f>
        <v>0.38896322431707869</v>
      </c>
      <c r="I197" s="447">
        <f>I95*Calc_SEC_death_rates!$G142</f>
        <v>0.3885152098706286</v>
      </c>
      <c r="J197" s="447">
        <f>J95*Calc_SEC_death_rates!$G142</f>
        <v>0.38980184157069425</v>
      </c>
      <c r="K197" s="447">
        <f>K95*Calc_SEC_death_rates!$G142</f>
        <v>0.39016165570033934</v>
      </c>
      <c r="L197" s="447">
        <f>L95*Calc_SEC_death_rates!$G142</f>
        <v>0.38981532073755149</v>
      </c>
      <c r="M197" s="447">
        <f>M95*Calc_SEC_death_rates!$G142</f>
        <v>0.38856896162381283</v>
      </c>
      <c r="N197" s="447">
        <f>N95*Calc_SEC_death_rates!$G142</f>
        <v>0.38658454141949511</v>
      </c>
    </row>
    <row r="198" spans="1:14">
      <c r="B198" s="331" t="str">
        <f t="shared" si="68"/>
        <v>35-39</v>
      </c>
      <c r="C198" s="447">
        <f>C96*Calc_SEC_death_rates!$G143</f>
        <v>1.7626079508865657</v>
      </c>
      <c r="D198" s="447">
        <f>D96*Calc_SEC_death_rates!$G143</f>
        <v>1.7918786543418204</v>
      </c>
      <c r="E198" s="447">
        <f>E96*Calc_SEC_death_rates!$G143</f>
        <v>1.818400355166039</v>
      </c>
      <c r="F198" s="447">
        <f>F96*Calc_SEC_death_rates!$G143</f>
        <v>1.8254952960571527</v>
      </c>
      <c r="G198" s="447">
        <f>G96*Calc_SEC_death_rates!$G143</f>
        <v>1.8235720192753888</v>
      </c>
      <c r="H198" s="447">
        <f>H96*Calc_SEC_death_rates!$G143</f>
        <v>1.820212138133126</v>
      </c>
      <c r="I198" s="447">
        <f>I96*Calc_SEC_death_rates!$G143</f>
        <v>1.8172123856737941</v>
      </c>
      <c r="J198" s="447">
        <f>J96*Calc_SEC_death_rates!$G143</f>
        <v>1.8176114812815838</v>
      </c>
      <c r="K198" s="447">
        <f>K96*Calc_SEC_death_rates!$G143</f>
        <v>1.8142275769514697</v>
      </c>
      <c r="L198" s="447">
        <f>L96*Calc_SEC_death_rates!$G143</f>
        <v>1.8089639029959474</v>
      </c>
      <c r="M198" s="447">
        <f>M96*Calc_SEC_death_rates!$G143</f>
        <v>1.8015628929903671</v>
      </c>
      <c r="N198" s="447">
        <f>N96*Calc_SEC_death_rates!$G143</f>
        <v>1.7925264337175371</v>
      </c>
    </row>
    <row r="199" spans="1:14">
      <c r="B199" s="331" t="str">
        <f t="shared" si="68"/>
        <v>40-44</v>
      </c>
      <c r="C199" s="447">
        <f>C97*Calc_SEC_death_rates!$G144</f>
        <v>1.2606573273697788</v>
      </c>
      <c r="D199" s="447">
        <f>D97*Calc_SEC_death_rates!$G144</f>
        <v>1.3160488543654878</v>
      </c>
      <c r="E199" s="447">
        <f>E97*Calc_SEC_death_rates!$G144</f>
        <v>1.3659069074091397</v>
      </c>
      <c r="F199" s="447">
        <f>F97*Calc_SEC_death_rates!$G144</f>
        <v>1.3981265721839062</v>
      </c>
      <c r="G199" s="447">
        <f>G97*Calc_SEC_death_rates!$G144</f>
        <v>1.4198532638334249</v>
      </c>
      <c r="H199" s="447">
        <f>H97*Calc_SEC_death_rates!$G144</f>
        <v>1.4362038884780883</v>
      </c>
      <c r="I199" s="447">
        <f>I97*Calc_SEC_death_rates!$G144</f>
        <v>1.4484277477320924</v>
      </c>
      <c r="J199" s="447">
        <f>J97*Calc_SEC_death_rates!$G144</f>
        <v>1.4590687617852511</v>
      </c>
      <c r="K199" s="447">
        <f>K97*Calc_SEC_death_rates!$G144</f>
        <v>1.4634149258630382</v>
      </c>
      <c r="L199" s="447">
        <f>L97*Calc_SEC_death_rates!$G144</f>
        <v>1.4637862224693985</v>
      </c>
      <c r="M199" s="447">
        <f>M97*Calc_SEC_death_rates!$G144</f>
        <v>1.4608442702360704</v>
      </c>
      <c r="N199" s="447">
        <f>N97*Calc_SEC_death_rates!$G144</f>
        <v>1.4556596106298882</v>
      </c>
    </row>
    <row r="200" spans="1:14">
      <c r="B200" s="331" t="str">
        <f t="shared" si="68"/>
        <v>45-49</v>
      </c>
      <c r="C200" s="447">
        <f>C98*Calc_SEC_death_rates!$G145</f>
        <v>1.9686730386126952</v>
      </c>
      <c r="D200" s="447">
        <f>D98*Calc_SEC_death_rates!$G145</f>
        <v>2.0588186640798884</v>
      </c>
      <c r="E200" s="447">
        <f>E98*Calc_SEC_death_rates!$G145</f>
        <v>2.1515326374444812</v>
      </c>
      <c r="F200" s="447">
        <f>F98*Calc_SEC_death_rates!$G145</f>
        <v>2.2231123272815294</v>
      </c>
      <c r="G200" s="447">
        <f>G98*Calc_SEC_death_rates!$G145</f>
        <v>2.2817957336616224</v>
      </c>
      <c r="H200" s="447">
        <f>H98*Calc_SEC_death_rates!$G145</f>
        <v>2.3334202947540823</v>
      </c>
      <c r="I200" s="447">
        <f>I98*Calc_SEC_death_rates!$G145</f>
        <v>2.3780557492040844</v>
      </c>
      <c r="J200" s="447">
        <f>J98*Calc_SEC_death_rates!$G145</f>
        <v>2.4183365649437185</v>
      </c>
      <c r="K200" s="447">
        <f>K98*Calc_SEC_death_rates!$G145</f>
        <v>2.4458372540807201</v>
      </c>
      <c r="L200" s="447">
        <f>L98*Calc_SEC_death_rates!$G145</f>
        <v>2.4637715973174199</v>
      </c>
      <c r="M200" s="447">
        <f>M98*Calc_SEC_death_rates!$G145</f>
        <v>2.4731674866996136</v>
      </c>
      <c r="N200" s="447">
        <f>N98*Calc_SEC_death_rates!$G145</f>
        <v>2.4760079266232067</v>
      </c>
    </row>
    <row r="201" spans="1:14">
      <c r="B201" s="331" t="str">
        <f t="shared" si="68"/>
        <v>50-54</v>
      </c>
      <c r="C201" s="447">
        <f>C99*Calc_SEC_death_rates!$G146</f>
        <v>2.6288892698564594</v>
      </c>
      <c r="D201" s="447">
        <f>D99*Calc_SEC_death_rates!$G146</f>
        <v>2.6822439260908122</v>
      </c>
      <c r="E201" s="447">
        <f>E99*Calc_SEC_death_rates!$G146</f>
        <v>2.7564299662823095</v>
      </c>
      <c r="F201" s="447">
        <f>F99*Calc_SEC_death_rates!$G146</f>
        <v>2.8197377735737952</v>
      </c>
      <c r="G201" s="447">
        <f>G99*Calc_SEC_death_rates!$G146</f>
        <v>2.8800505380132564</v>
      </c>
      <c r="H201" s="447">
        <f>H99*Calc_SEC_death_rates!$G146</f>
        <v>2.9420462411497401</v>
      </c>
      <c r="I201" s="447">
        <f>I99*Calc_SEC_death_rates!$G146</f>
        <v>3.0031798112702148</v>
      </c>
      <c r="J201" s="447">
        <f>J99*Calc_SEC_death_rates!$G146</f>
        <v>3.0643543215361357</v>
      </c>
      <c r="K201" s="447">
        <f>K99*Calc_SEC_death_rates!$G146</f>
        <v>3.1128746557247018</v>
      </c>
      <c r="L201" s="447">
        <f>L99*Calc_SEC_death_rates!$G146</f>
        <v>3.1510405115194802</v>
      </c>
      <c r="M201" s="447">
        <f>M99*Calc_SEC_death_rates!$G146</f>
        <v>3.1787691889898646</v>
      </c>
      <c r="N201" s="447">
        <f>N99*Calc_SEC_death_rates!$G146</f>
        <v>3.1975682970875359</v>
      </c>
    </row>
    <row r="202" spans="1:14">
      <c r="B202" s="331" t="str">
        <f t="shared" si="68"/>
        <v>55-59</v>
      </c>
      <c r="C202" s="447">
        <f>C100*Calc_SEC_death_rates!$G147</f>
        <v>2.8195120083926475</v>
      </c>
      <c r="D202" s="447">
        <f>D100*Calc_SEC_death_rates!$G147</f>
        <v>2.6073028951469599</v>
      </c>
      <c r="E202" s="447">
        <f>E100*Calc_SEC_death_rates!$G147</f>
        <v>2.4997625982607397</v>
      </c>
      <c r="F202" s="447">
        <f>F100*Calc_SEC_death_rates!$G147</f>
        <v>2.4370481636485279</v>
      </c>
      <c r="G202" s="447">
        <f>G100*Calc_SEC_death_rates!$G147</f>
        <v>2.4097341474266272</v>
      </c>
      <c r="H202" s="447">
        <f>H100*Calc_SEC_death_rates!$G147</f>
        <v>2.4098444907524903</v>
      </c>
      <c r="I202" s="447">
        <f>I100*Calc_SEC_death_rates!$G147</f>
        <v>2.427223737093485</v>
      </c>
      <c r="J202" s="447">
        <f>J100*Calc_SEC_death_rates!$G147</f>
        <v>2.4576059183069026</v>
      </c>
      <c r="K202" s="447">
        <f>K100*Calc_SEC_death_rates!$G147</f>
        <v>2.4849852066444034</v>
      </c>
      <c r="L202" s="447">
        <f>L100*Calc_SEC_death_rates!$G147</f>
        <v>2.509696204052299</v>
      </c>
      <c r="M202" s="447">
        <f>M100*Calc_SEC_death_rates!$G147</f>
        <v>2.5299407404560204</v>
      </c>
      <c r="N202" s="447">
        <f>N100*Calc_SEC_death_rates!$G147</f>
        <v>2.5458094833973997</v>
      </c>
    </row>
    <row r="203" spans="1:14">
      <c r="B203" s="331" t="str">
        <f t="shared" si="68"/>
        <v>60-64</v>
      </c>
      <c r="C203" s="447">
        <f>C101*Calc_SEC_death_rates!$G148</f>
        <v>1.1469418479040383</v>
      </c>
      <c r="D203" s="447">
        <f>D101*Calc_SEC_death_rates!$G148</f>
        <v>1.1217519286197339</v>
      </c>
      <c r="E203" s="447">
        <f>E101*Calc_SEC_death_rates!$G148</f>
        <v>1.0817970758954878</v>
      </c>
      <c r="F203" s="447">
        <f>F101*Calc_SEC_death_rates!$G148</f>
        <v>1.0370671688675643</v>
      </c>
      <c r="G203" s="447">
        <f>G101*Calc_SEC_death_rates!$G148</f>
        <v>1.0024421676807194</v>
      </c>
      <c r="H203" s="447">
        <f>H101*Calc_SEC_death_rates!$G148</f>
        <v>0.981539884027958</v>
      </c>
      <c r="I203" s="447">
        <f>I101*Calc_SEC_death_rates!$G148</f>
        <v>0.97177223136089064</v>
      </c>
      <c r="J203" s="447">
        <f>J101*Calc_SEC_death_rates!$G148</f>
        <v>0.97169601424139684</v>
      </c>
      <c r="K203" s="447">
        <f>K101*Calc_SEC_death_rates!$G148</f>
        <v>0.97257503423584513</v>
      </c>
      <c r="L203" s="447">
        <f>L101*Calc_SEC_death_rates!$G148</f>
        <v>0.97477732684665341</v>
      </c>
      <c r="M203" s="447">
        <f>M101*Calc_SEC_death_rates!$G148</f>
        <v>0.97714202230709257</v>
      </c>
      <c r="N203" s="447">
        <f>N101*Calc_SEC_death_rates!$G148</f>
        <v>0.97946331840891654</v>
      </c>
    </row>
    <row r="204" spans="1:14">
      <c r="B204" s="331" t="str">
        <f t="shared" si="68"/>
        <v>65 plus</v>
      </c>
      <c r="C204" s="447">
        <f>C102*Calc_SEC_death_rates!$G149</f>
        <v>1.0890632752266891</v>
      </c>
      <c r="D204" s="447">
        <f>D102*Calc_SEC_death_rates!$G149</f>
        <v>1.4217390998238721</v>
      </c>
      <c r="E204" s="447">
        <f>E102*Calc_SEC_death_rates!$G149</f>
        <v>1.625892366410882</v>
      </c>
      <c r="F204" s="447">
        <f>F102*Calc_SEC_death_rates!$G149</f>
        <v>1.7202081571571162</v>
      </c>
      <c r="G204" s="447">
        <f>G102*Calc_SEC_death_rates!$G149</f>
        <v>1.7525261287426201</v>
      </c>
      <c r="H204" s="447">
        <f>H102*Calc_SEC_death_rates!$G149</f>
        <v>1.757183936858264</v>
      </c>
      <c r="I204" s="447">
        <f>I102*Calc_SEC_death_rates!$G149</f>
        <v>1.75128421486847</v>
      </c>
      <c r="J204" s="447">
        <f>J102*Calc_SEC_death_rates!$G149</f>
        <v>1.7465016529382649</v>
      </c>
      <c r="K204" s="447">
        <f>K102*Calc_SEC_death_rates!$G149</f>
        <v>1.7376050482198513</v>
      </c>
      <c r="L204" s="447">
        <f>L102*Calc_SEC_death_rates!$G149</f>
        <v>1.7286747361843011</v>
      </c>
      <c r="M204" s="447">
        <f>M102*Calc_SEC_death_rates!$G149</f>
        <v>1.7201922245694456</v>
      </c>
      <c r="N204" s="447">
        <f>N102*Calc_SEC_death_rates!$G149</f>
        <v>1.7129460440933264</v>
      </c>
    </row>
    <row r="205" spans="1:14">
      <c r="B205" s="331" t="str">
        <f t="shared" si="68"/>
        <v>Total</v>
      </c>
      <c r="C205" s="447">
        <f>SUM(C195:C204)</f>
        <v>13.528840094553862</v>
      </c>
      <c r="D205" s="447">
        <f t="shared" ref="D205:N205" si="70">SUM(D195:D204)</f>
        <v>13.839539684970683</v>
      </c>
      <c r="E205" s="447">
        <f t="shared" si="70"/>
        <v>14.142242936778896</v>
      </c>
      <c r="F205" s="447">
        <f t="shared" si="70"/>
        <v>14.301127195733397</v>
      </c>
      <c r="G205" s="447">
        <f t="shared" si="70"/>
        <v>14.408911581076739</v>
      </c>
      <c r="H205" s="447">
        <f t="shared" si="70"/>
        <v>14.521551063749035</v>
      </c>
      <c r="I205" s="447">
        <f t="shared" si="70"/>
        <v>14.642810368054786</v>
      </c>
      <c r="J205" s="447">
        <f t="shared" si="70"/>
        <v>14.78873695435361</v>
      </c>
      <c r="K205" s="447">
        <f t="shared" si="70"/>
        <v>14.888006167957784</v>
      </c>
      <c r="L205" s="447">
        <f t="shared" si="70"/>
        <v>14.956909649333534</v>
      </c>
      <c r="M205" s="447">
        <f t="shared" si="70"/>
        <v>14.994389681599927</v>
      </c>
      <c r="N205" s="447">
        <f t="shared" si="70"/>
        <v>15.00719870755205</v>
      </c>
    </row>
    <row r="206" spans="1:14">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32.045098749635088</v>
      </c>
      <c r="D213" s="447">
        <f t="shared" ref="D213:N213" si="75">D111+D145+D179</f>
        <v>44.523133927337589</v>
      </c>
      <c r="E213" s="447">
        <f t="shared" si="75"/>
        <v>57.248215955150194</v>
      </c>
      <c r="F213" s="447">
        <f t="shared" si="75"/>
        <v>61.991448722906313</v>
      </c>
      <c r="G213" s="447">
        <f t="shared" si="75"/>
        <v>65.804503407285949</v>
      </c>
      <c r="H213" s="447">
        <f t="shared" si="75"/>
        <v>68.604241933436001</v>
      </c>
      <c r="I213" s="447">
        <f t="shared" si="75"/>
        <v>70.712365340507247</v>
      </c>
      <c r="J213" s="447">
        <f t="shared" si="75"/>
        <v>72.645944932457908</v>
      </c>
      <c r="K213" s="447">
        <f t="shared" si="75"/>
        <v>73.211315217672222</v>
      </c>
      <c r="L213" s="447">
        <f t="shared" si="75"/>
        <v>73.103419142794792</v>
      </c>
      <c r="M213" s="447">
        <f t="shared" si="75"/>
        <v>72.507770738779101</v>
      </c>
      <c r="N213" s="447">
        <f t="shared" si="75"/>
        <v>71.690346110345544</v>
      </c>
    </row>
    <row r="214" spans="1:14">
      <c r="B214" s="331" t="str">
        <f t="shared" si="72"/>
        <v>25-29</v>
      </c>
      <c r="C214" s="447">
        <f t="shared" si="74"/>
        <v>107.13762585651759</v>
      </c>
      <c r="D214" s="447">
        <f t="shared" ref="D214:N214" si="76">D112+D146+D180</f>
        <v>104.49386986409925</v>
      </c>
      <c r="E214" s="447">
        <f t="shared" si="76"/>
        <v>113.35320475983363</v>
      </c>
      <c r="F214" s="447">
        <f t="shared" si="76"/>
        <v>114.15694745123969</v>
      </c>
      <c r="G214" s="447">
        <f t="shared" si="76"/>
        <v>117.0024057921901</v>
      </c>
      <c r="H214" s="447">
        <f t="shared" si="76"/>
        <v>119.80120112011703</v>
      </c>
      <c r="I214" s="447">
        <f t="shared" si="76"/>
        <v>122.41364416658014</v>
      </c>
      <c r="J214" s="447">
        <f t="shared" si="76"/>
        <v>125.14481752931593</v>
      </c>
      <c r="K214" s="447">
        <f t="shared" si="76"/>
        <v>126.4471769097689</v>
      </c>
      <c r="L214" s="447">
        <f t="shared" si="76"/>
        <v>126.85467148281471</v>
      </c>
      <c r="M214" s="447">
        <f t="shared" si="76"/>
        <v>126.50197494068449</v>
      </c>
      <c r="N214" s="447">
        <f t="shared" si="76"/>
        <v>125.67691775402625</v>
      </c>
    </row>
    <row r="215" spans="1:14">
      <c r="B215" s="331" t="str">
        <f t="shared" si="72"/>
        <v>30-34</v>
      </c>
      <c r="C215" s="447">
        <f t="shared" si="74"/>
        <v>96.698198450395608</v>
      </c>
      <c r="D215" s="447">
        <f t="shared" ref="D215:N215" si="77">D113+D147+D181</f>
        <v>90.781582283405271</v>
      </c>
      <c r="E215" s="447">
        <f t="shared" si="77"/>
        <v>93.266972853931833</v>
      </c>
      <c r="F215" s="447">
        <f t="shared" si="77"/>
        <v>90.450256295182072</v>
      </c>
      <c r="G215" s="447">
        <f t="shared" si="77"/>
        <v>89.997055557420737</v>
      </c>
      <c r="H215" s="447">
        <f t="shared" si="77"/>
        <v>90.0652459916666</v>
      </c>
      <c r="I215" s="447">
        <f t="shared" si="77"/>
        <v>90.514404537806527</v>
      </c>
      <c r="J215" s="447">
        <f t="shared" si="77"/>
        <v>91.362702318387647</v>
      </c>
      <c r="K215" s="447">
        <f t="shared" si="77"/>
        <v>91.937347025948128</v>
      </c>
      <c r="L215" s="447">
        <f t="shared" si="77"/>
        <v>92.275199082801961</v>
      </c>
      <c r="M215" s="447">
        <f t="shared" si="77"/>
        <v>92.327104899592058</v>
      </c>
      <c r="N215" s="447">
        <f t="shared" si="77"/>
        <v>92.136387067282541</v>
      </c>
    </row>
    <row r="216" spans="1:14">
      <c r="B216" s="331" t="str">
        <f t="shared" si="72"/>
        <v>35-39</v>
      </c>
      <c r="C216" s="447">
        <f t="shared" si="74"/>
        <v>80.509392893663247</v>
      </c>
      <c r="D216" s="447">
        <f t="shared" ref="D216:N216" si="78">D114+D148+D182</f>
        <v>78.721941717023924</v>
      </c>
      <c r="E216" s="447">
        <f t="shared" si="78"/>
        <v>82.585642108254419</v>
      </c>
      <c r="F216" s="447">
        <f t="shared" si="78"/>
        <v>80.980195591890094</v>
      </c>
      <c r="G216" s="447">
        <f t="shared" si="78"/>
        <v>80.781930195022184</v>
      </c>
      <c r="H216" s="447">
        <f t="shared" si="78"/>
        <v>80.606776453066814</v>
      </c>
      <c r="I216" s="447">
        <f t="shared" si="78"/>
        <v>80.534760501999486</v>
      </c>
      <c r="J216" s="447">
        <f t="shared" si="78"/>
        <v>80.682159050395697</v>
      </c>
      <c r="K216" s="447">
        <f t="shared" si="78"/>
        <v>80.720081814602167</v>
      </c>
      <c r="L216" s="447">
        <f t="shared" si="78"/>
        <v>80.706142989978986</v>
      </c>
      <c r="M216" s="447">
        <f t="shared" si="78"/>
        <v>80.609596926402901</v>
      </c>
      <c r="N216" s="447">
        <f t="shared" si="78"/>
        <v>80.436898729001911</v>
      </c>
    </row>
    <row r="217" spans="1:14">
      <c r="B217" s="331" t="str">
        <f t="shared" si="72"/>
        <v>40-44</v>
      </c>
      <c r="C217" s="447">
        <f t="shared" si="74"/>
        <v>70.094399832000576</v>
      </c>
      <c r="D217" s="447">
        <f t="shared" ref="D217:N217" si="79">D115+D149+D183</f>
        <v>69.887898047636071</v>
      </c>
      <c r="E217" s="447">
        <f t="shared" si="79"/>
        <v>74.862797304161646</v>
      </c>
      <c r="F217" s="447">
        <f t="shared" si="79"/>
        <v>74.872192232056847</v>
      </c>
      <c r="G217" s="447">
        <f t="shared" si="79"/>
        <v>75.918604520830186</v>
      </c>
      <c r="H217" s="447">
        <f t="shared" si="79"/>
        <v>76.694155377857754</v>
      </c>
      <c r="I217" s="447">
        <f t="shared" si="79"/>
        <v>77.275296251423143</v>
      </c>
      <c r="J217" s="447">
        <f t="shared" si="79"/>
        <v>77.800689331040502</v>
      </c>
      <c r="K217" s="447">
        <f t="shared" si="79"/>
        <v>78.042658475211482</v>
      </c>
      <c r="L217" s="447">
        <f t="shared" si="79"/>
        <v>78.115825386950846</v>
      </c>
      <c r="M217" s="447">
        <f t="shared" si="79"/>
        <v>78.049036624149068</v>
      </c>
      <c r="N217" s="447">
        <f t="shared" si="79"/>
        <v>77.889185698412902</v>
      </c>
    </row>
    <row r="218" spans="1:14">
      <c r="B218" s="331" t="str">
        <f t="shared" si="72"/>
        <v>45-49</v>
      </c>
      <c r="C218" s="447">
        <f t="shared" si="74"/>
        <v>70.571264768899823</v>
      </c>
      <c r="D218" s="447">
        <f t="shared" ref="D218:N218" si="80">D116+D150+D184</f>
        <v>69.892393295222931</v>
      </c>
      <c r="E218" s="447">
        <f t="shared" si="80"/>
        <v>74.800625007250233</v>
      </c>
      <c r="F218" s="447">
        <f t="shared" si="80"/>
        <v>75.087634577231597</v>
      </c>
      <c r="G218" s="447">
        <f t="shared" si="80"/>
        <v>76.653011721747475</v>
      </c>
      <c r="H218" s="447">
        <f t="shared" si="80"/>
        <v>78.06511002811709</v>
      </c>
      <c r="I218" s="447">
        <f t="shared" si="80"/>
        <v>79.306701698969448</v>
      </c>
      <c r="J218" s="447">
        <f t="shared" si="80"/>
        <v>80.44873937069309</v>
      </c>
      <c r="K218" s="447">
        <f t="shared" si="80"/>
        <v>81.224998343245431</v>
      </c>
      <c r="L218" s="447">
        <f t="shared" si="80"/>
        <v>81.732464145222863</v>
      </c>
      <c r="M218" s="447">
        <f t="shared" si="80"/>
        <v>82.001199306408623</v>
      </c>
      <c r="N218" s="447">
        <f t="shared" si="80"/>
        <v>82.090585495031576</v>
      </c>
    </row>
    <row r="219" spans="1:14">
      <c r="B219" s="331" t="str">
        <f t="shared" si="72"/>
        <v>50-54</v>
      </c>
      <c r="C219" s="447">
        <f t="shared" si="74"/>
        <v>56.379765693739152</v>
      </c>
      <c r="D219" s="447">
        <f t="shared" ref="D219:N219" si="81">D117+D151+D185</f>
        <v>57.215156909842136</v>
      </c>
      <c r="E219" s="447">
        <f t="shared" si="81"/>
        <v>61.058201656690976</v>
      </c>
      <c r="F219" s="447">
        <f t="shared" si="81"/>
        <v>61.984730107217025</v>
      </c>
      <c r="G219" s="447">
        <f t="shared" si="81"/>
        <v>63.576207198498373</v>
      </c>
      <c r="H219" s="447">
        <f t="shared" si="81"/>
        <v>65.061392658930487</v>
      </c>
      <c r="I219" s="447">
        <f t="shared" si="81"/>
        <v>66.441461813352475</v>
      </c>
      <c r="J219" s="447">
        <f t="shared" si="81"/>
        <v>67.767353075856136</v>
      </c>
      <c r="K219" s="447">
        <f t="shared" si="81"/>
        <v>68.808664490581663</v>
      </c>
      <c r="L219" s="447">
        <f t="shared" si="81"/>
        <v>69.622393137941501</v>
      </c>
      <c r="M219" s="447">
        <f t="shared" si="81"/>
        <v>70.215214383865572</v>
      </c>
      <c r="N219" s="447">
        <f t="shared" si="81"/>
        <v>70.622760630763622</v>
      </c>
    </row>
    <row r="220" spans="1:14">
      <c r="B220" s="331" t="str">
        <f t="shared" si="72"/>
        <v>55-59</v>
      </c>
      <c r="C220" s="447">
        <f t="shared" si="74"/>
        <v>101.70116471536464</v>
      </c>
      <c r="D220" s="447">
        <f t="shared" ref="D220:N220" si="82">D118+D152+D186</f>
        <v>94.377921758462705</v>
      </c>
      <c r="E220" s="447">
        <f t="shared" si="82"/>
        <v>92.919437707088306</v>
      </c>
      <c r="F220" s="447">
        <f t="shared" si="82"/>
        <v>91.620367757720942</v>
      </c>
      <c r="G220" s="447">
        <f t="shared" si="82"/>
        <v>91.918184689700453</v>
      </c>
      <c r="H220" s="447">
        <f t="shared" si="82"/>
        <v>92.913503857364105</v>
      </c>
      <c r="I220" s="447">
        <f t="shared" si="82"/>
        <v>94.277310527481589</v>
      </c>
      <c r="J220" s="447">
        <f t="shared" si="82"/>
        <v>95.908738844149411</v>
      </c>
      <c r="K220" s="447">
        <f t="shared" si="82"/>
        <v>97.271341456974667</v>
      </c>
      <c r="L220" s="447">
        <f t="shared" si="82"/>
        <v>98.424475402075075</v>
      </c>
      <c r="M220" s="447">
        <f t="shared" si="82"/>
        <v>99.33588811772033</v>
      </c>
      <c r="N220" s="447">
        <f t="shared" si="82"/>
        <v>100.03400165001153</v>
      </c>
    </row>
    <row r="221" spans="1:14">
      <c r="B221" s="331" t="str">
        <f t="shared" si="72"/>
        <v>60-64</v>
      </c>
      <c r="C221" s="447">
        <f t="shared" si="74"/>
        <v>62.916839295140477</v>
      </c>
      <c r="D221" s="447">
        <f t="shared" ref="D221:N221" si="83">D119+D153+D187</f>
        <v>59.055969241341337</v>
      </c>
      <c r="E221" s="447">
        <f t="shared" si="83"/>
        <v>56.459388278188634</v>
      </c>
      <c r="F221" s="447">
        <f t="shared" si="83"/>
        <v>53.93100083048121</v>
      </c>
      <c r="G221" s="447">
        <f t="shared" si="83"/>
        <v>52.465787226642277</v>
      </c>
      <c r="H221" s="447">
        <f t="shared" si="83"/>
        <v>51.79854745476441</v>
      </c>
      <c r="I221" s="447">
        <f t="shared" si="83"/>
        <v>51.693553216191603</v>
      </c>
      <c r="J221" s="447">
        <f t="shared" si="83"/>
        <v>52.031416315692091</v>
      </c>
      <c r="K221" s="447">
        <f t="shared" si="83"/>
        <v>52.354806920536241</v>
      </c>
      <c r="L221" s="447">
        <f t="shared" si="83"/>
        <v>52.681474519106757</v>
      </c>
      <c r="M221" s="447">
        <f t="shared" si="83"/>
        <v>52.961735030608878</v>
      </c>
      <c r="N221" s="447">
        <f t="shared" si="83"/>
        <v>53.196240675066157</v>
      </c>
    </row>
    <row r="222" spans="1:14">
      <c r="B222" s="331" t="str">
        <f t="shared" si="72"/>
        <v>65 plus</v>
      </c>
      <c r="C222" s="447">
        <f t="shared" si="74"/>
        <v>22.720752222405274</v>
      </c>
      <c r="D222" s="447">
        <f t="shared" ref="D222:N222" si="84">D120+D154+D188</f>
        <v>25.929526105599781</v>
      </c>
      <c r="E222" s="447">
        <f t="shared" si="84"/>
        <v>27.868627883418949</v>
      </c>
      <c r="F222" s="447">
        <f t="shared" si="84"/>
        <v>27.873022578072511</v>
      </c>
      <c r="G222" s="447">
        <f t="shared" si="84"/>
        <v>27.603180710348582</v>
      </c>
      <c r="H222" s="447">
        <f t="shared" si="84"/>
        <v>27.231130534153529</v>
      </c>
      <c r="I222" s="447">
        <f t="shared" si="84"/>
        <v>26.93199641660825</v>
      </c>
      <c r="J222" s="447">
        <f t="shared" si="84"/>
        <v>26.804475711081786</v>
      </c>
      <c r="K222" s="447">
        <f t="shared" si="84"/>
        <v>26.689556925495403</v>
      </c>
      <c r="L222" s="447">
        <f t="shared" si="84"/>
        <v>26.613799612034153</v>
      </c>
      <c r="M222" s="447">
        <f t="shared" si="84"/>
        <v>26.558057322748422</v>
      </c>
      <c r="N222" s="447">
        <f t="shared" si="84"/>
        <v>26.520706246333173</v>
      </c>
    </row>
    <row r="223" spans="1:14">
      <c r="B223" s="331" t="str">
        <f t="shared" si="72"/>
        <v>Total</v>
      </c>
      <c r="C223" s="447">
        <f>SUM(C213:C222)</f>
        <v>700.77450247776142</v>
      </c>
      <c r="D223" s="447">
        <f t="shared" ref="D223:K223" si="85">SUM(D213:D222)</f>
        <v>694.87939314997095</v>
      </c>
      <c r="E223" s="447">
        <f t="shared" si="85"/>
        <v>734.4231135139687</v>
      </c>
      <c r="F223" s="447">
        <f t="shared" si="85"/>
        <v>732.9477961439984</v>
      </c>
      <c r="G223" s="447">
        <f t="shared" si="85"/>
        <v>741.72087101968634</v>
      </c>
      <c r="H223" s="447">
        <f t="shared" si="85"/>
        <v>750.84130540947376</v>
      </c>
      <c r="I223" s="447">
        <f t="shared" si="85"/>
        <v>760.10149447091999</v>
      </c>
      <c r="J223" s="447">
        <f t="shared" si="85"/>
        <v>770.5970364790702</v>
      </c>
      <c r="K223" s="447">
        <f t="shared" si="85"/>
        <v>776.70794758003638</v>
      </c>
      <c r="L223" s="447">
        <f>SUM(L213:L222)</f>
        <v>780.1298649017217</v>
      </c>
      <c r="M223" s="447">
        <f>SUM(M213:M222)</f>
        <v>781.06757829095932</v>
      </c>
      <c r="N223" s="447">
        <f>SUM(N213:N222)</f>
        <v>780.29403005627523</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125.37782329474008</v>
      </c>
      <c r="D229" s="447">
        <f t="shared" ref="D229:N229" si="90">D195+D161+D127</f>
        <v>167.79057235676464</v>
      </c>
      <c r="E229" s="447">
        <f t="shared" si="90"/>
        <v>204.18465313048011</v>
      </c>
      <c r="F229" s="447">
        <f t="shared" si="90"/>
        <v>225.36835776276803</v>
      </c>
      <c r="G229" s="447">
        <f t="shared" si="90"/>
        <v>236.99999567083438</v>
      </c>
      <c r="H229" s="447">
        <f t="shared" si="90"/>
        <v>245.72116810762941</v>
      </c>
      <c r="I229" s="447">
        <f t="shared" si="90"/>
        <v>252.43160979414537</v>
      </c>
      <c r="J229" s="447">
        <f t="shared" si="90"/>
        <v>258.77627436183798</v>
      </c>
      <c r="K229" s="447">
        <f t="shared" si="90"/>
        <v>260.5719309120206</v>
      </c>
      <c r="L229" s="447">
        <f t="shared" si="90"/>
        <v>260.11526765506756</v>
      </c>
      <c r="M229" s="447">
        <f t="shared" si="90"/>
        <v>258.0022816455666</v>
      </c>
      <c r="N229" s="447">
        <f t="shared" si="90"/>
        <v>255.12483139623822</v>
      </c>
    </row>
    <row r="230" spans="1:14">
      <c r="B230" s="331" t="str">
        <f t="shared" si="87"/>
        <v>25-29</v>
      </c>
      <c r="C230" s="447">
        <f t="shared" si="89"/>
        <v>427.61174124830166</v>
      </c>
      <c r="D230" s="447">
        <f t="shared" ref="D230:N230" si="91">D196+D162+D128</f>
        <v>418.75170934494309</v>
      </c>
      <c r="E230" s="447">
        <f t="shared" si="91"/>
        <v>428.86172041446167</v>
      </c>
      <c r="F230" s="447">
        <f t="shared" si="91"/>
        <v>435.51592049621564</v>
      </c>
      <c r="G230" s="447">
        <f t="shared" si="91"/>
        <v>437.45627328053536</v>
      </c>
      <c r="H230" s="447">
        <f t="shared" si="91"/>
        <v>441.37393906712413</v>
      </c>
      <c r="I230" s="447">
        <f t="shared" si="91"/>
        <v>446.25717568746171</v>
      </c>
      <c r="J230" s="447">
        <f t="shared" si="91"/>
        <v>452.7206781514854</v>
      </c>
      <c r="K230" s="447">
        <f t="shared" si="91"/>
        <v>455.22404562737518</v>
      </c>
      <c r="L230" s="447">
        <f t="shared" si="91"/>
        <v>455.28165742084263</v>
      </c>
      <c r="M230" s="447">
        <f t="shared" si="91"/>
        <v>453.15166440973638</v>
      </c>
      <c r="N230" s="447">
        <f t="shared" si="91"/>
        <v>449.66777838608823</v>
      </c>
    </row>
    <row r="231" spans="1:14">
      <c r="B231" s="331" t="str">
        <f t="shared" si="87"/>
        <v>30-34</v>
      </c>
      <c r="C231" s="447">
        <f t="shared" si="89"/>
        <v>408.32657604852449</v>
      </c>
      <c r="D231" s="447">
        <f t="shared" ref="D231:N231" si="92">D197+D163+D129</f>
        <v>409.14083815869151</v>
      </c>
      <c r="E231" s="447">
        <f t="shared" si="92"/>
        <v>415.4172299765122</v>
      </c>
      <c r="F231" s="447">
        <f t="shared" si="92"/>
        <v>417.18764996458106</v>
      </c>
      <c r="G231" s="447">
        <f t="shared" si="92"/>
        <v>413.60857705557106</v>
      </c>
      <c r="H231" s="447">
        <f t="shared" si="92"/>
        <v>411.65004669299464</v>
      </c>
      <c r="I231" s="447">
        <f t="shared" si="92"/>
        <v>411.17590117930467</v>
      </c>
      <c r="J231" s="447">
        <f t="shared" si="92"/>
        <v>412.53757746718162</v>
      </c>
      <c r="K231" s="447">
        <f t="shared" si="92"/>
        <v>412.91837825761434</v>
      </c>
      <c r="L231" s="447">
        <f t="shared" si="92"/>
        <v>412.55184282523925</v>
      </c>
      <c r="M231" s="447">
        <f t="shared" si="92"/>
        <v>411.23278807843752</v>
      </c>
      <c r="N231" s="447">
        <f t="shared" si="92"/>
        <v>409.1326237988963</v>
      </c>
    </row>
    <row r="232" spans="1:14">
      <c r="B232" s="331" t="str">
        <f t="shared" si="87"/>
        <v>35-39</v>
      </c>
      <c r="C232" s="447">
        <f t="shared" si="89"/>
        <v>337.97312376990357</v>
      </c>
      <c r="D232" s="447">
        <f t="shared" ref="D232:N232" si="93">D198+D164+D130</f>
        <v>345.2686910875679</v>
      </c>
      <c r="E232" s="447">
        <f t="shared" si="93"/>
        <v>356.16032837341652</v>
      </c>
      <c r="F232" s="447">
        <f t="shared" si="93"/>
        <v>362.10664336320758</v>
      </c>
      <c r="G232" s="447">
        <f t="shared" si="93"/>
        <v>361.72514070954037</v>
      </c>
      <c r="H232" s="447">
        <f t="shared" si="93"/>
        <v>361.05867211597462</v>
      </c>
      <c r="I232" s="447">
        <f t="shared" si="93"/>
        <v>360.46363892344033</v>
      </c>
      <c r="J232" s="447">
        <f t="shared" si="93"/>
        <v>360.54280383349504</v>
      </c>
      <c r="K232" s="447">
        <f t="shared" si="93"/>
        <v>359.87156998201027</v>
      </c>
      <c r="L232" s="447">
        <f t="shared" si="93"/>
        <v>358.82746358967427</v>
      </c>
      <c r="M232" s="447">
        <f t="shared" si="93"/>
        <v>357.35939358346474</v>
      </c>
      <c r="N232" s="447">
        <f t="shared" si="93"/>
        <v>355.56691460954443</v>
      </c>
    </row>
    <row r="233" spans="1:14">
      <c r="B233" s="331" t="str">
        <f t="shared" si="87"/>
        <v>40-44</v>
      </c>
      <c r="C233" s="447">
        <f t="shared" si="89"/>
        <v>264.61350587541887</v>
      </c>
      <c r="D233" s="447">
        <f t="shared" ref="D233:N233" si="94">D199+D165+D131</f>
        <v>277.58690363744256</v>
      </c>
      <c r="E233" s="447">
        <f t="shared" si="94"/>
        <v>292.83423151341316</v>
      </c>
      <c r="F233" s="447">
        <f t="shared" si="94"/>
        <v>303.54375622918479</v>
      </c>
      <c r="G233" s="447">
        <f t="shared" si="94"/>
        <v>308.26078380375316</v>
      </c>
      <c r="H233" s="447">
        <f t="shared" si="94"/>
        <v>311.81062694390755</v>
      </c>
      <c r="I233" s="447">
        <f t="shared" si="94"/>
        <v>314.46451839221999</v>
      </c>
      <c r="J233" s="447">
        <f t="shared" si="94"/>
        <v>316.77476228575961</v>
      </c>
      <c r="K233" s="447">
        <f t="shared" si="94"/>
        <v>317.71834707672679</v>
      </c>
      <c r="L233" s="447">
        <f t="shared" si="94"/>
        <v>317.79895835242388</v>
      </c>
      <c r="M233" s="447">
        <f t="shared" si="94"/>
        <v>317.16023847589912</v>
      </c>
      <c r="N233" s="447">
        <f t="shared" si="94"/>
        <v>316.03461002212333</v>
      </c>
    </row>
    <row r="234" spans="1:14">
      <c r="B234" s="331" t="str">
        <f t="shared" si="87"/>
        <v>45-49</v>
      </c>
      <c r="C234" s="447">
        <f t="shared" si="89"/>
        <v>226.91506844075923</v>
      </c>
      <c r="D234" s="447">
        <f t="shared" ref="D234:N234" si="95">D200+D166+D132</f>
        <v>238.45335476030237</v>
      </c>
      <c r="E234" s="447">
        <f t="shared" si="95"/>
        <v>253.25187668851197</v>
      </c>
      <c r="F234" s="447">
        <f t="shared" si="95"/>
        <v>264.97123175805353</v>
      </c>
      <c r="G234" s="447">
        <f t="shared" si="95"/>
        <v>271.96566666872928</v>
      </c>
      <c r="H234" s="447">
        <f t="shared" si="95"/>
        <v>278.11876265662522</v>
      </c>
      <c r="I234" s="447">
        <f t="shared" si="95"/>
        <v>283.43883182297282</v>
      </c>
      <c r="J234" s="447">
        <f t="shared" si="95"/>
        <v>288.23987459160412</v>
      </c>
      <c r="K234" s="447">
        <f t="shared" si="95"/>
        <v>291.51766284611716</v>
      </c>
      <c r="L234" s="447">
        <f t="shared" si="95"/>
        <v>293.65524490163614</v>
      </c>
      <c r="M234" s="447">
        <f t="shared" si="95"/>
        <v>294.77513450528323</v>
      </c>
      <c r="N234" s="447">
        <f t="shared" si="95"/>
        <v>295.11368458934919</v>
      </c>
    </row>
    <row r="235" spans="1:14">
      <c r="B235" s="331" t="str">
        <f t="shared" si="87"/>
        <v>50-54</v>
      </c>
      <c r="C235" s="447">
        <f t="shared" si="89"/>
        <v>229.87253154174928</v>
      </c>
      <c r="D235" s="447">
        <f t="shared" ref="D235:N235" si="96">D201+D167+D133</f>
        <v>235.41790033999825</v>
      </c>
      <c r="E235" s="447">
        <f t="shared" si="96"/>
        <v>244.99024587697909</v>
      </c>
      <c r="F235" s="447">
        <f t="shared" si="96"/>
        <v>253.07552315001396</v>
      </c>
      <c r="G235" s="447">
        <f t="shared" si="96"/>
        <v>258.48868055641873</v>
      </c>
      <c r="H235" s="447">
        <f t="shared" si="96"/>
        <v>264.05288413285029</v>
      </c>
      <c r="I235" s="447">
        <f t="shared" si="96"/>
        <v>269.53971003037282</v>
      </c>
      <c r="J235" s="447">
        <f t="shared" si="96"/>
        <v>275.03021036486734</v>
      </c>
      <c r="K235" s="447">
        <f t="shared" si="96"/>
        <v>279.38498018540349</v>
      </c>
      <c r="L235" s="447">
        <f t="shared" si="96"/>
        <v>282.81042066864734</v>
      </c>
      <c r="M235" s="447">
        <f t="shared" si="96"/>
        <v>285.29910937681097</v>
      </c>
      <c r="N235" s="447">
        <f t="shared" si="96"/>
        <v>286.98635638295434</v>
      </c>
    </row>
    <row r="236" spans="1:14">
      <c r="B236" s="331" t="str">
        <f t="shared" si="87"/>
        <v>55-59</v>
      </c>
      <c r="C236" s="447">
        <f t="shared" si="89"/>
        <v>362.57517225515096</v>
      </c>
      <c r="D236" s="447">
        <f t="shared" ref="D236:N236" si="97">D202+D168+D134</f>
        <v>335.65558590733951</v>
      </c>
      <c r="E236" s="447">
        <f t="shared" si="97"/>
        <v>323.01018360978117</v>
      </c>
      <c r="F236" s="447">
        <f t="shared" si="97"/>
        <v>315.82417044987295</v>
      </c>
      <c r="G236" s="447">
        <f t="shared" si="97"/>
        <v>312.28446752417392</v>
      </c>
      <c r="H236" s="447">
        <f t="shared" si="97"/>
        <v>312.2987672371936</v>
      </c>
      <c r="I236" s="447">
        <f t="shared" si="97"/>
        <v>314.55099439485116</v>
      </c>
      <c r="J236" s="447">
        <f t="shared" si="97"/>
        <v>318.4883097591154</v>
      </c>
      <c r="K236" s="447">
        <f t="shared" si="97"/>
        <v>322.03647148840741</v>
      </c>
      <c r="L236" s="447">
        <f t="shared" si="97"/>
        <v>325.23884162361787</v>
      </c>
      <c r="M236" s="447">
        <f t="shared" si="97"/>
        <v>327.86239006686054</v>
      </c>
      <c r="N236" s="447">
        <f t="shared" si="97"/>
        <v>329.91886668898866</v>
      </c>
    </row>
    <row r="237" spans="1:14">
      <c r="B237" s="331" t="str">
        <f t="shared" si="87"/>
        <v>60-64</v>
      </c>
      <c r="C237" s="447">
        <f t="shared" si="89"/>
        <v>232.73023782719076</v>
      </c>
      <c r="D237" s="447">
        <f t="shared" ref="D237:N237" si="98">D203+D169+D135</f>
        <v>227.78325384522253</v>
      </c>
      <c r="E237" s="447">
        <f t="shared" si="98"/>
        <v>220.20666466563642</v>
      </c>
      <c r="F237" s="447">
        <f t="shared" si="98"/>
        <v>211.50551981033917</v>
      </c>
      <c r="G237" s="447">
        <f t="shared" si="98"/>
        <v>204.44389536179543</v>
      </c>
      <c r="H237" s="447">
        <f t="shared" si="98"/>
        <v>200.18096186827063</v>
      </c>
      <c r="I237" s="447">
        <f t="shared" si="98"/>
        <v>198.18888988229617</v>
      </c>
      <c r="J237" s="447">
        <f t="shared" si="98"/>
        <v>198.17334571894693</v>
      </c>
      <c r="K237" s="447">
        <f t="shared" si="98"/>
        <v>198.35261817730901</v>
      </c>
      <c r="L237" s="447">
        <f t="shared" si="98"/>
        <v>198.80176656172091</v>
      </c>
      <c r="M237" s="447">
        <f t="shared" si="98"/>
        <v>199.28403632935755</v>
      </c>
      <c r="N237" s="447">
        <f t="shared" si="98"/>
        <v>199.75745497897702</v>
      </c>
    </row>
    <row r="238" spans="1:14">
      <c r="B238" s="331" t="str">
        <f t="shared" si="87"/>
        <v>65 plus</v>
      </c>
      <c r="C238" s="447">
        <f t="shared" si="89"/>
        <v>59.230503117899168</v>
      </c>
      <c r="D238" s="447">
        <f t="shared" ref="D238:N238" si="99">D204+D170+D136</f>
        <v>77.412791355539781</v>
      </c>
      <c r="E238" s="447">
        <f t="shared" si="99"/>
        <v>88.873965170394015</v>
      </c>
      <c r="F238" s="447">
        <f t="shared" si="99"/>
        <v>94.31612915706684</v>
      </c>
      <c r="G238" s="447">
        <f t="shared" si="99"/>
        <v>96.088069354810244</v>
      </c>
      <c r="H238" s="447">
        <f t="shared" si="99"/>
        <v>96.343449164513004</v>
      </c>
      <c r="I238" s="447">
        <f t="shared" si="99"/>
        <v>96.019977299282587</v>
      </c>
      <c r="J238" s="447">
        <f t="shared" si="99"/>
        <v>95.757757447089588</v>
      </c>
      <c r="K238" s="447">
        <f t="shared" si="99"/>
        <v>95.269971526420562</v>
      </c>
      <c r="L238" s="447">
        <f t="shared" si="99"/>
        <v>94.7803374900666</v>
      </c>
      <c r="M238" s="447">
        <f t="shared" si="99"/>
        <v>94.315255599997428</v>
      </c>
      <c r="N238" s="447">
        <f t="shared" si="99"/>
        <v>93.917959673433202</v>
      </c>
    </row>
    <row r="239" spans="1:14">
      <c r="B239" s="331" t="str">
        <f t="shared" si="87"/>
        <v>Total</v>
      </c>
      <c r="C239" s="447">
        <f>SUM(C229:C238)</f>
        <v>2675.2262834196385</v>
      </c>
      <c r="D239" s="447">
        <f t="shared" ref="D239:N239" si="100">SUM(D229:D238)</f>
        <v>2733.2616007938122</v>
      </c>
      <c r="E239" s="447">
        <f t="shared" si="100"/>
        <v>2827.7910994195863</v>
      </c>
      <c r="F239" s="447">
        <f t="shared" si="100"/>
        <v>2883.4149021413032</v>
      </c>
      <c r="G239" s="447">
        <f t="shared" si="100"/>
        <v>2901.3215499861617</v>
      </c>
      <c r="H239" s="447">
        <f t="shared" si="100"/>
        <v>2922.6092779870828</v>
      </c>
      <c r="I239" s="447">
        <f t="shared" si="100"/>
        <v>2946.5312474063476</v>
      </c>
      <c r="J239" s="447">
        <f t="shared" si="100"/>
        <v>2977.0415939813834</v>
      </c>
      <c r="K239" s="447">
        <f t="shared" si="100"/>
        <v>2992.8659760794048</v>
      </c>
      <c r="L239" s="447">
        <f t="shared" si="100"/>
        <v>2999.8618010889368</v>
      </c>
      <c r="M239" s="447">
        <f t="shared" si="100"/>
        <v>2998.4422920714137</v>
      </c>
      <c r="N239" s="447">
        <f t="shared" si="100"/>
        <v>2991.2210805265931</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198.31928602977951</v>
      </c>
      <c r="D247" s="447">
        <f t="shared" ref="D247:N247" si="105">D77-D213</f>
        <v>287.47980189756942</v>
      </c>
      <c r="E247" s="447">
        <f t="shared" si="105"/>
        <v>354.20333469838505</v>
      </c>
      <c r="F247" s="447">
        <f t="shared" si="105"/>
        <v>392.07673087542207</v>
      </c>
      <c r="G247" s="447">
        <f t="shared" si="105"/>
        <v>416.19312186320627</v>
      </c>
      <c r="H247" s="447">
        <f t="shared" si="105"/>
        <v>433.9006017052327</v>
      </c>
      <c r="I247" s="447">
        <f t="shared" si="105"/>
        <v>447.23382992870933</v>
      </c>
      <c r="J247" s="447">
        <f t="shared" si="105"/>
        <v>459.46312253143759</v>
      </c>
      <c r="K247" s="447">
        <f t="shared" si="105"/>
        <v>463.03891464030994</v>
      </c>
      <c r="L247" s="447">
        <f t="shared" si="105"/>
        <v>462.35650535348509</v>
      </c>
      <c r="M247" s="447">
        <f t="shared" si="105"/>
        <v>458.5892135122906</v>
      </c>
      <c r="N247" s="447">
        <f t="shared" si="105"/>
        <v>453.41925567688247</v>
      </c>
    </row>
    <row r="248" spans="2:14">
      <c r="B248" s="331" t="str">
        <f t="shared" si="102"/>
        <v>25-29</v>
      </c>
      <c r="C248" s="447">
        <f t="shared" si="104"/>
        <v>716.02285001102041</v>
      </c>
      <c r="D248" s="447">
        <f t="shared" ref="D248:N248" si="106">D78-D214</f>
        <v>728.27502384101626</v>
      </c>
      <c r="E248" s="447">
        <f t="shared" si="106"/>
        <v>757.36853156062068</v>
      </c>
      <c r="F248" s="447">
        <f t="shared" si="106"/>
        <v>779.50790339185141</v>
      </c>
      <c r="G248" s="447">
        <f t="shared" si="106"/>
        <v>798.93779631615655</v>
      </c>
      <c r="H248" s="447">
        <f t="shared" si="106"/>
        <v>818.04905609320247</v>
      </c>
      <c r="I248" s="447">
        <f t="shared" si="106"/>
        <v>835.88783023131532</v>
      </c>
      <c r="J248" s="447">
        <f t="shared" si="106"/>
        <v>854.53734100853023</v>
      </c>
      <c r="K248" s="447">
        <f t="shared" si="106"/>
        <v>863.43035586908638</v>
      </c>
      <c r="L248" s="447">
        <f t="shared" si="106"/>
        <v>866.21288682642626</v>
      </c>
      <c r="M248" s="447">
        <f t="shared" si="106"/>
        <v>863.80453807299705</v>
      </c>
      <c r="N248" s="447">
        <f t="shared" si="106"/>
        <v>858.17072767328352</v>
      </c>
    </row>
    <row r="249" spans="2:14">
      <c r="B249" s="331" t="str">
        <f t="shared" si="102"/>
        <v>30-34</v>
      </c>
      <c r="C249" s="447">
        <f t="shared" si="104"/>
        <v>1043.3251952975238</v>
      </c>
      <c r="D249" s="447">
        <f t="shared" ref="D249:N249" si="107">D79-D215</f>
        <v>1019.203234702532</v>
      </c>
      <c r="E249" s="447">
        <f t="shared" si="107"/>
        <v>1006.0596765134777</v>
      </c>
      <c r="F249" s="447">
        <f t="shared" si="107"/>
        <v>995.97763524426978</v>
      </c>
      <c r="G249" s="447">
        <f t="shared" si="107"/>
        <v>990.98729229141577</v>
      </c>
      <c r="H249" s="447">
        <f t="shared" si="107"/>
        <v>991.73815967674227</v>
      </c>
      <c r="I249" s="447">
        <f t="shared" si="107"/>
        <v>996.68399272307738</v>
      </c>
      <c r="J249" s="447">
        <f t="shared" si="107"/>
        <v>1006.02487966019</v>
      </c>
      <c r="K249" s="447">
        <f t="shared" si="107"/>
        <v>1012.3524822606064</v>
      </c>
      <c r="L249" s="447">
        <f t="shared" si="107"/>
        <v>1016.0726828043125</v>
      </c>
      <c r="M249" s="447">
        <f t="shared" si="107"/>
        <v>1016.6442348902822</v>
      </c>
      <c r="N249" s="447">
        <f t="shared" si="107"/>
        <v>1014.5441778710668</v>
      </c>
    </row>
    <row r="250" spans="2:14">
      <c r="B250" s="331" t="str">
        <f t="shared" si="102"/>
        <v>35-39</v>
      </c>
      <c r="C250" s="447">
        <f t="shared" si="104"/>
        <v>1003.1465949310307</v>
      </c>
      <c r="D250" s="447">
        <f t="shared" ref="D250:N250" si="108">D80-D216</f>
        <v>1019.9328341928141</v>
      </c>
      <c r="E250" s="447">
        <f t="shared" si="108"/>
        <v>1028.7712484011959</v>
      </c>
      <c r="F250" s="447">
        <f t="shared" si="108"/>
        <v>1029.3880286302231</v>
      </c>
      <c r="G250" s="447">
        <f t="shared" si="108"/>
        <v>1026.8677577845463</v>
      </c>
      <c r="H250" s="447">
        <f t="shared" si="108"/>
        <v>1024.6412731012135</v>
      </c>
      <c r="I250" s="447">
        <f t="shared" si="108"/>
        <v>1023.7258349825809</v>
      </c>
      <c r="J250" s="447">
        <f t="shared" si="108"/>
        <v>1025.5995066877124</v>
      </c>
      <c r="K250" s="447">
        <f t="shared" si="108"/>
        <v>1026.0815657788444</v>
      </c>
      <c r="L250" s="447">
        <f t="shared" si="108"/>
        <v>1025.9043809857549</v>
      </c>
      <c r="M250" s="447">
        <f t="shared" si="108"/>
        <v>1024.6771258361446</v>
      </c>
      <c r="N250" s="447">
        <f t="shared" si="108"/>
        <v>1022.4818550582557</v>
      </c>
    </row>
    <row r="251" spans="2:14">
      <c r="B251" s="331" t="str">
        <f t="shared" si="102"/>
        <v>40-44</v>
      </c>
      <c r="C251" s="447">
        <f t="shared" si="104"/>
        <v>860.0411594305549</v>
      </c>
      <c r="D251" s="447">
        <f t="shared" ref="D251:N251" si="109">D81-D217</f>
        <v>891.43198612172841</v>
      </c>
      <c r="E251" s="447">
        <f t="shared" si="109"/>
        <v>918.33053336065609</v>
      </c>
      <c r="F251" s="447">
        <f t="shared" si="109"/>
        <v>937.09674428608957</v>
      </c>
      <c r="G251" s="447">
        <f t="shared" si="109"/>
        <v>950.1935899875117</v>
      </c>
      <c r="H251" s="447">
        <f t="shared" si="109"/>
        <v>959.90034708227233</v>
      </c>
      <c r="I251" s="447">
        <f t="shared" si="109"/>
        <v>967.17387820717715</v>
      </c>
      <c r="J251" s="447">
        <f t="shared" si="109"/>
        <v>973.7496726336833</v>
      </c>
      <c r="K251" s="447">
        <f t="shared" si="109"/>
        <v>976.77814676353842</v>
      </c>
      <c r="L251" s="447">
        <f t="shared" si="109"/>
        <v>977.69390029948306</v>
      </c>
      <c r="M251" s="447">
        <f t="shared" si="109"/>
        <v>976.85797536780115</v>
      </c>
      <c r="N251" s="447">
        <f t="shared" si="109"/>
        <v>974.85728889645804</v>
      </c>
    </row>
    <row r="252" spans="2:14">
      <c r="B252" s="331" t="str">
        <f t="shared" si="102"/>
        <v>45-49</v>
      </c>
      <c r="C252" s="447">
        <f t="shared" si="104"/>
        <v>702.80138614651617</v>
      </c>
      <c r="D252" s="447">
        <f t="shared" ref="D252:N252" si="110">D82-D218</f>
        <v>723.79413768909046</v>
      </c>
      <c r="E252" s="447">
        <f t="shared" si="110"/>
        <v>744.74251794705538</v>
      </c>
      <c r="F252" s="447">
        <f t="shared" si="110"/>
        <v>762.90379242679865</v>
      </c>
      <c r="G252" s="447">
        <f t="shared" si="110"/>
        <v>778.80830409311113</v>
      </c>
      <c r="H252" s="447">
        <f t="shared" si="110"/>
        <v>793.15547535871792</v>
      </c>
      <c r="I252" s="447">
        <f t="shared" si="110"/>
        <v>805.77026872212491</v>
      </c>
      <c r="J252" s="447">
        <f t="shared" si="110"/>
        <v>817.37357565485422</v>
      </c>
      <c r="K252" s="447">
        <f t="shared" si="110"/>
        <v>825.26050560543604</v>
      </c>
      <c r="L252" s="447">
        <f t="shared" si="110"/>
        <v>830.41644888471592</v>
      </c>
      <c r="M252" s="447">
        <f t="shared" si="110"/>
        <v>833.14684617025262</v>
      </c>
      <c r="N252" s="447">
        <f t="shared" si="110"/>
        <v>834.05502582826125</v>
      </c>
    </row>
    <row r="253" spans="2:14">
      <c r="B253" s="331" t="str">
        <f t="shared" si="102"/>
        <v>50-54</v>
      </c>
      <c r="C253" s="447">
        <f t="shared" si="104"/>
        <v>527.12326614232779</v>
      </c>
      <c r="D253" s="447">
        <f t="shared" ref="D253:N253" si="111">D83-D219</f>
        <v>550.0022577512101</v>
      </c>
      <c r="E253" s="447">
        <f t="shared" si="111"/>
        <v>570.76697077385279</v>
      </c>
      <c r="F253" s="447">
        <f t="shared" si="111"/>
        <v>587.85066024084472</v>
      </c>
      <c r="G253" s="447">
        <f t="shared" si="111"/>
        <v>602.94390751722483</v>
      </c>
      <c r="H253" s="447">
        <f t="shared" si="111"/>
        <v>617.02910643613529</v>
      </c>
      <c r="I253" s="447">
        <f t="shared" si="111"/>
        <v>630.11740354094957</v>
      </c>
      <c r="J253" s="447">
        <f t="shared" si="111"/>
        <v>642.6918884620286</v>
      </c>
      <c r="K253" s="447">
        <f t="shared" si="111"/>
        <v>652.56747558814641</v>
      </c>
      <c r="L253" s="447">
        <f t="shared" si="111"/>
        <v>660.28471371727835</v>
      </c>
      <c r="M253" s="447">
        <f t="shared" si="111"/>
        <v>665.90691067156808</v>
      </c>
      <c r="N253" s="447">
        <f t="shared" si="111"/>
        <v>669.77199695819547</v>
      </c>
    </row>
    <row r="254" spans="2:14">
      <c r="B254" s="331" t="str">
        <f t="shared" si="102"/>
        <v>55-59</v>
      </c>
      <c r="C254" s="447">
        <f t="shared" si="104"/>
        <v>298.53458605829138</v>
      </c>
      <c r="D254" s="447">
        <f t="shared" ref="D254:N254" si="112">D84-D220</f>
        <v>280.06522227964348</v>
      </c>
      <c r="E254" s="447">
        <f t="shared" si="112"/>
        <v>272.7382570832973</v>
      </c>
      <c r="F254" s="447">
        <f t="shared" si="112"/>
        <v>270.45431469774365</v>
      </c>
      <c r="G254" s="447">
        <f t="shared" si="112"/>
        <v>271.33344099045723</v>
      </c>
      <c r="H254" s="447">
        <f t="shared" si="112"/>
        <v>274.27152528310972</v>
      </c>
      <c r="I254" s="447">
        <f t="shared" si="112"/>
        <v>278.29734844201926</v>
      </c>
      <c r="J254" s="447">
        <f t="shared" si="112"/>
        <v>283.11316438078143</v>
      </c>
      <c r="K254" s="447">
        <f t="shared" si="112"/>
        <v>287.13543328098405</v>
      </c>
      <c r="L254" s="447">
        <f t="shared" si="112"/>
        <v>290.53937127544339</v>
      </c>
      <c r="M254" s="447">
        <f t="shared" si="112"/>
        <v>293.22977197399183</v>
      </c>
      <c r="N254" s="447">
        <f t="shared" si="112"/>
        <v>295.29053446139335</v>
      </c>
    </row>
    <row r="255" spans="2:14">
      <c r="B255" s="331" t="str">
        <f t="shared" si="102"/>
        <v>60-64</v>
      </c>
      <c r="C255" s="447">
        <f t="shared" si="104"/>
        <v>119.11876656727935</v>
      </c>
      <c r="D255" s="447">
        <f t="shared" ref="D255:N255" si="113">D85-D221</f>
        <v>112.50313997484116</v>
      </c>
      <c r="E255" s="447">
        <f t="shared" si="113"/>
        <v>106.88894293825942</v>
      </c>
      <c r="F255" s="447">
        <f t="shared" si="113"/>
        <v>102.43263517147035</v>
      </c>
      <c r="G255" s="447">
        <f t="shared" si="113"/>
        <v>99.649714620782504</v>
      </c>
      <c r="H255" s="447">
        <f t="shared" si="113"/>
        <v>98.382407745846251</v>
      </c>
      <c r="I255" s="447">
        <f t="shared" si="113"/>
        <v>98.182989296916688</v>
      </c>
      <c r="J255" s="447">
        <f t="shared" si="113"/>
        <v>98.824701986763074</v>
      </c>
      <c r="K255" s="447">
        <f t="shared" si="113"/>
        <v>99.438926668926939</v>
      </c>
      <c r="L255" s="447">
        <f t="shared" si="113"/>
        <v>100.05937543552579</v>
      </c>
      <c r="M255" s="447">
        <f t="shared" si="113"/>
        <v>100.59168194357491</v>
      </c>
      <c r="N255" s="447">
        <f t="shared" si="113"/>
        <v>101.03708497252754</v>
      </c>
    </row>
    <row r="256" spans="2:14">
      <c r="B256" s="331" t="str">
        <f t="shared" si="102"/>
        <v>65 plus</v>
      </c>
      <c r="C256" s="447">
        <f t="shared" si="104"/>
        <v>29.902520791414382</v>
      </c>
      <c r="D256" s="447">
        <f t="shared" ref="D256:N256" si="114">D86-D222</f>
        <v>34.756081974288279</v>
      </c>
      <c r="E256" s="447">
        <f t="shared" si="114"/>
        <v>36.673415549256219</v>
      </c>
      <c r="F256" s="447">
        <f t="shared" si="114"/>
        <v>37.031448091597724</v>
      </c>
      <c r="G256" s="447">
        <f t="shared" si="114"/>
        <v>36.67294247601302</v>
      </c>
      <c r="H256" s="447">
        <f t="shared" si="114"/>
        <v>36.178645284215968</v>
      </c>
      <c r="I256" s="447">
        <f t="shared" si="114"/>
        <v>35.781222668305681</v>
      </c>
      <c r="J256" s="447">
        <f t="shared" si="114"/>
        <v>35.611801631384417</v>
      </c>
      <c r="K256" s="447">
        <f t="shared" si="114"/>
        <v>35.459123211551336</v>
      </c>
      <c r="L256" s="447">
        <f t="shared" si="114"/>
        <v>35.358473810750212</v>
      </c>
      <c r="M256" s="447">
        <f t="shared" si="114"/>
        <v>35.284415904528913</v>
      </c>
      <c r="N256" s="447">
        <f t="shared" si="114"/>
        <v>35.234792135037736</v>
      </c>
    </row>
    <row r="257" spans="1:14">
      <c r="B257" s="331" t="str">
        <f t="shared" si="102"/>
        <v>Total</v>
      </c>
      <c r="C257" s="447">
        <f>SUM(C247:C256)</f>
        <v>5498.3356114057378</v>
      </c>
      <c r="D257" s="447">
        <f t="shared" ref="D257:N257" si="115">SUM(D247:D256)</f>
        <v>5647.4437204247333</v>
      </c>
      <c r="E257" s="447">
        <f t="shared" si="115"/>
        <v>5796.5434288260558</v>
      </c>
      <c r="F257" s="447">
        <f t="shared" si="115"/>
        <v>5894.7198930563109</v>
      </c>
      <c r="G257" s="447">
        <f t="shared" si="115"/>
        <v>5972.5878679404259</v>
      </c>
      <c r="H257" s="447">
        <f t="shared" si="115"/>
        <v>6047.2465977666889</v>
      </c>
      <c r="I257" s="447">
        <f t="shared" si="115"/>
        <v>6118.8545987431744</v>
      </c>
      <c r="J257" s="447">
        <f t="shared" si="115"/>
        <v>6196.9896546373639</v>
      </c>
      <c r="K257" s="447">
        <f t="shared" si="115"/>
        <v>6241.5429296674311</v>
      </c>
      <c r="L257" s="447">
        <f t="shared" si="115"/>
        <v>6264.8987393931757</v>
      </c>
      <c r="M257" s="447">
        <f t="shared" si="115"/>
        <v>6268.7327143434313</v>
      </c>
      <c r="N257" s="447">
        <f t="shared" si="115"/>
        <v>6258.8627395313624</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920.39467002779486</v>
      </c>
      <c r="D263" s="447">
        <f t="shared" ref="D263:N263" si="120">D93-D229</f>
        <v>1224.8626602875522</v>
      </c>
      <c r="E263" s="447">
        <f t="shared" si="120"/>
        <v>1462.788110392265</v>
      </c>
      <c r="F263" s="447">
        <f t="shared" si="120"/>
        <v>1591.1963653993544</v>
      </c>
      <c r="G263" s="447">
        <f t="shared" si="120"/>
        <v>1673.3206713431332</v>
      </c>
      <c r="H263" s="447">
        <f t="shared" si="120"/>
        <v>1734.8958543954802</v>
      </c>
      <c r="I263" s="447">
        <f t="shared" si="120"/>
        <v>1782.2744239861954</v>
      </c>
      <c r="J263" s="447">
        <f t="shared" si="120"/>
        <v>1827.0704516983803</v>
      </c>
      <c r="K263" s="447">
        <f t="shared" si="120"/>
        <v>1839.7485499217507</v>
      </c>
      <c r="L263" s="447">
        <f t="shared" si="120"/>
        <v>1836.5243132902713</v>
      </c>
      <c r="M263" s="447">
        <f t="shared" si="120"/>
        <v>1821.6057342500108</v>
      </c>
      <c r="N263" s="447">
        <f t="shared" si="120"/>
        <v>1801.2897128537488</v>
      </c>
    </row>
    <row r="264" spans="1:14">
      <c r="B264" s="331" t="str">
        <f t="shared" si="117"/>
        <v>25-29</v>
      </c>
      <c r="C264" s="447">
        <f t="shared" si="119"/>
        <v>3447.2861478708278</v>
      </c>
      <c r="D264" s="447">
        <f t="shared" ref="D264:N264" si="121">D94-D230</f>
        <v>3357.2175078718951</v>
      </c>
      <c r="E264" s="447">
        <f t="shared" si="121"/>
        <v>3375.0165276946668</v>
      </c>
      <c r="F264" s="447">
        <f t="shared" si="121"/>
        <v>3378.4043314483006</v>
      </c>
      <c r="G264" s="447">
        <f t="shared" si="121"/>
        <v>3393.4561262107391</v>
      </c>
      <c r="H264" s="447">
        <f t="shared" si="121"/>
        <v>3423.8464252553713</v>
      </c>
      <c r="I264" s="447">
        <f t="shared" si="121"/>
        <v>3461.7268952295535</v>
      </c>
      <c r="J264" s="447">
        <f t="shared" si="121"/>
        <v>3511.8658768215578</v>
      </c>
      <c r="K264" s="447">
        <f t="shared" si="121"/>
        <v>3531.2851153056913</v>
      </c>
      <c r="L264" s="447">
        <f t="shared" si="121"/>
        <v>3531.7320241864759</v>
      </c>
      <c r="M264" s="447">
        <f t="shared" si="121"/>
        <v>3515.2091434466006</v>
      </c>
      <c r="N264" s="447">
        <f t="shared" si="121"/>
        <v>3488.1837809313693</v>
      </c>
    </row>
    <row r="265" spans="1:14">
      <c r="B265" s="331" t="str">
        <f t="shared" si="117"/>
        <v>30-34</v>
      </c>
      <c r="C265" s="447">
        <f t="shared" si="119"/>
        <v>3970.8844167363495</v>
      </c>
      <c r="D265" s="447">
        <f t="shared" ref="D265:N265" si="122">D95-D231</f>
        <v>3957.2639981329921</v>
      </c>
      <c r="E265" s="447">
        <f t="shared" si="122"/>
        <v>3945.5105340849786</v>
      </c>
      <c r="F265" s="447">
        <f t="shared" si="122"/>
        <v>3906.8399804547921</v>
      </c>
      <c r="G265" s="447">
        <f t="shared" si="122"/>
        <v>3873.3230124067923</v>
      </c>
      <c r="H265" s="447">
        <f t="shared" si="122"/>
        <v>3854.9819499997484</v>
      </c>
      <c r="I265" s="447">
        <f t="shared" si="122"/>
        <v>3850.5417163312914</v>
      </c>
      <c r="J265" s="447">
        <f t="shared" si="122"/>
        <v>3863.2934153865403</v>
      </c>
      <c r="K265" s="447">
        <f t="shared" si="122"/>
        <v>3866.8595030997735</v>
      </c>
      <c r="L265" s="447">
        <f t="shared" si="122"/>
        <v>3863.4270062807095</v>
      </c>
      <c r="M265" s="447">
        <f t="shared" si="122"/>
        <v>3851.0744454566989</v>
      </c>
      <c r="N265" s="447">
        <f t="shared" si="122"/>
        <v>3831.4070229586182</v>
      </c>
    </row>
    <row r="266" spans="1:14">
      <c r="B266" s="331" t="str">
        <f t="shared" si="117"/>
        <v>35-39</v>
      </c>
      <c r="C266" s="447">
        <f t="shared" si="119"/>
        <v>3609.2368754740874</v>
      </c>
      <c r="D266" s="447">
        <f t="shared" ref="D266:N266" si="123">D96-D232</f>
        <v>3667.4905491577319</v>
      </c>
      <c r="E266" s="447">
        <f t="shared" si="123"/>
        <v>3715.9919962146932</v>
      </c>
      <c r="F266" s="447">
        <f t="shared" si="123"/>
        <v>3725.9341955229129</v>
      </c>
      <c r="G266" s="447">
        <f t="shared" si="123"/>
        <v>3722.0086840498861</v>
      </c>
      <c r="H266" s="447">
        <f t="shared" si="123"/>
        <v>3715.1509857211704</v>
      </c>
      <c r="I266" s="447">
        <f t="shared" si="123"/>
        <v>3709.0283294259339</v>
      </c>
      <c r="J266" s="447">
        <f t="shared" si="123"/>
        <v>3709.8429050512773</v>
      </c>
      <c r="K266" s="447">
        <f t="shared" si="123"/>
        <v>3702.9361741025955</v>
      </c>
      <c r="L266" s="447">
        <f t="shared" si="123"/>
        <v>3692.1927321297112</v>
      </c>
      <c r="M266" s="447">
        <f t="shared" si="123"/>
        <v>3677.0868721908996</v>
      </c>
      <c r="N266" s="447">
        <f t="shared" si="123"/>
        <v>3658.642972234647</v>
      </c>
    </row>
    <row r="267" spans="1:14">
      <c r="B267" s="331" t="str">
        <f t="shared" si="117"/>
        <v>40-44</v>
      </c>
      <c r="C267" s="447">
        <f t="shared" si="119"/>
        <v>2954.4618552240458</v>
      </c>
      <c r="D267" s="447">
        <f t="shared" ref="D267:N267" si="124">D97-D233</f>
        <v>3082.9301449803788</v>
      </c>
      <c r="E267" s="447">
        <f t="shared" si="124"/>
        <v>3194.9948364935854</v>
      </c>
      <c r="F267" s="447">
        <f t="shared" si="124"/>
        <v>3266.5578903505575</v>
      </c>
      <c r="G267" s="447">
        <f t="shared" si="124"/>
        <v>3317.3197437127246</v>
      </c>
      <c r="H267" s="447">
        <f t="shared" si="124"/>
        <v>3355.5210503810886</v>
      </c>
      <c r="I267" s="447">
        <f t="shared" si="124"/>
        <v>3384.0806562788084</v>
      </c>
      <c r="J267" s="447">
        <f t="shared" si="124"/>
        <v>3408.942130989486</v>
      </c>
      <c r="K267" s="447">
        <f t="shared" si="124"/>
        <v>3419.0964309244891</v>
      </c>
      <c r="L267" s="447">
        <f t="shared" si="124"/>
        <v>3419.9639216676715</v>
      </c>
      <c r="M267" s="447">
        <f t="shared" si="124"/>
        <v>3413.0903971442081</v>
      </c>
      <c r="N267" s="447">
        <f t="shared" si="124"/>
        <v>3400.9770512695909</v>
      </c>
    </row>
    <row r="268" spans="1:14">
      <c r="B268" s="331" t="str">
        <f t="shared" si="117"/>
        <v>45-49</v>
      </c>
      <c r="C268" s="447">
        <f t="shared" si="119"/>
        <v>2354.1681096735974</v>
      </c>
      <c r="D268" s="447">
        <f t="shared" ref="D268:N268" si="125">D98-D234</f>
        <v>2460.8177361818398</v>
      </c>
      <c r="E268" s="447">
        <f t="shared" si="125"/>
        <v>2567.5744305510643</v>
      </c>
      <c r="F268" s="447">
        <f t="shared" si="125"/>
        <v>2649.7016054585079</v>
      </c>
      <c r="G268" s="447">
        <f t="shared" si="125"/>
        <v>2719.6456717978131</v>
      </c>
      <c r="H268" s="447">
        <f t="shared" si="125"/>
        <v>2781.1763829225411</v>
      </c>
      <c r="I268" s="447">
        <f t="shared" si="125"/>
        <v>2834.3768595089696</v>
      </c>
      <c r="J268" s="447">
        <f t="shared" si="125"/>
        <v>2882.3870931011697</v>
      </c>
      <c r="K268" s="447">
        <f t="shared" si="125"/>
        <v>2915.1648431335461</v>
      </c>
      <c r="L268" s="447">
        <f t="shared" si="125"/>
        <v>2936.5405772716572</v>
      </c>
      <c r="M268" s="447">
        <f t="shared" si="125"/>
        <v>2947.7394280338012</v>
      </c>
      <c r="N268" s="447">
        <f t="shared" si="125"/>
        <v>2951.1249151877305</v>
      </c>
    </row>
    <row r="269" spans="1:14">
      <c r="B269" s="331" t="str">
        <f t="shared" si="117"/>
        <v>50-54</v>
      </c>
      <c r="C269" s="447">
        <f t="shared" si="119"/>
        <v>1845.3396833832433</v>
      </c>
      <c r="D269" s="447">
        <f t="shared" ref="D269:N269" si="126">D99-D235</f>
        <v>1881.9118109779479</v>
      </c>
      <c r="E269" s="447">
        <f t="shared" si="126"/>
        <v>1930.9009950373495</v>
      </c>
      <c r="F269" s="447">
        <f t="shared" si="126"/>
        <v>1972.7901067573443</v>
      </c>
      <c r="G269" s="447">
        <f t="shared" si="126"/>
        <v>2014.9870890840207</v>
      </c>
      <c r="H269" s="447">
        <f t="shared" si="126"/>
        <v>2058.3615159386527</v>
      </c>
      <c r="I269" s="447">
        <f t="shared" si="126"/>
        <v>2101.1327634832687</v>
      </c>
      <c r="J269" s="447">
        <f t="shared" si="126"/>
        <v>2143.9326542282074</v>
      </c>
      <c r="K269" s="447">
        <f t="shared" si="126"/>
        <v>2177.8792276155777</v>
      </c>
      <c r="L269" s="447">
        <f t="shared" si="126"/>
        <v>2204.5814349745397</v>
      </c>
      <c r="M269" s="447">
        <f t="shared" si="126"/>
        <v>2223.9814164549839</v>
      </c>
      <c r="N269" s="447">
        <f t="shared" si="126"/>
        <v>2237.1339495800562</v>
      </c>
    </row>
    <row r="270" spans="1:14">
      <c r="B270" s="331" t="str">
        <f t="shared" si="117"/>
        <v>55-59</v>
      </c>
      <c r="C270" s="447">
        <f t="shared" si="119"/>
        <v>1187.2471217203592</v>
      </c>
      <c r="D270" s="447">
        <f t="shared" ref="D270:N270" si="127">D100-D236</f>
        <v>1097.5201345781597</v>
      </c>
      <c r="E270" s="447">
        <f t="shared" si="127"/>
        <v>1051.053056021266</v>
      </c>
      <c r="F270" s="447">
        <f t="shared" si="127"/>
        <v>1023.7663559503887</v>
      </c>
      <c r="G270" s="447">
        <f t="shared" si="127"/>
        <v>1012.2921588988207</v>
      </c>
      <c r="H270" s="447">
        <f t="shared" si="127"/>
        <v>1012.3385124285982</v>
      </c>
      <c r="I270" s="447">
        <f t="shared" si="127"/>
        <v>1019.6392658404827</v>
      </c>
      <c r="J270" s="447">
        <f t="shared" si="127"/>
        <v>1032.4023516960033</v>
      </c>
      <c r="K270" s="447">
        <f t="shared" si="127"/>
        <v>1043.9039685568839</v>
      </c>
      <c r="L270" s="447">
        <f t="shared" si="127"/>
        <v>1054.2846775414394</v>
      </c>
      <c r="M270" s="447">
        <f t="shared" si="127"/>
        <v>1062.789095127883</v>
      </c>
      <c r="N270" s="447">
        <f t="shared" si="127"/>
        <v>1069.4553093525078</v>
      </c>
    </row>
    <row r="271" spans="1:14">
      <c r="B271" s="331" t="str">
        <f t="shared" si="117"/>
        <v>60-64</v>
      </c>
      <c r="C271" s="447">
        <f t="shared" si="119"/>
        <v>407.33163858960438</v>
      </c>
      <c r="D271" s="447">
        <f t="shared" ref="D271:N271" si="128">D101-D237</f>
        <v>398.22114700438198</v>
      </c>
      <c r="E271" s="447">
        <f t="shared" si="128"/>
        <v>383.50054818496727</v>
      </c>
      <c r="F271" s="447">
        <f t="shared" si="128"/>
        <v>367.23974028166504</v>
      </c>
      <c r="G271" s="447">
        <f t="shared" si="128"/>
        <v>354.97855139744422</v>
      </c>
      <c r="H271" s="447">
        <f t="shared" si="128"/>
        <v>347.57676542796275</v>
      </c>
      <c r="I271" s="447">
        <f t="shared" si="128"/>
        <v>344.1179053499485</v>
      </c>
      <c r="J271" s="447">
        <f t="shared" si="128"/>
        <v>344.09091582023609</v>
      </c>
      <c r="K271" s="447">
        <f t="shared" si="128"/>
        <v>344.40218888349972</v>
      </c>
      <c r="L271" s="447">
        <f t="shared" si="128"/>
        <v>345.18205097025407</v>
      </c>
      <c r="M271" s="447">
        <f t="shared" si="128"/>
        <v>346.01942213849298</v>
      </c>
      <c r="N271" s="447">
        <f t="shared" si="128"/>
        <v>346.84142499726789</v>
      </c>
    </row>
    <row r="272" spans="1:14">
      <c r="B272" s="331" t="str">
        <f t="shared" si="117"/>
        <v>65 plus</v>
      </c>
      <c r="C272" s="447">
        <f t="shared" si="119"/>
        <v>99.82168419090948</v>
      </c>
      <c r="D272" s="447">
        <f t="shared" ref="D272:N272" si="129">D102-D238</f>
        <v>130.225018818873</v>
      </c>
      <c r="E272" s="447">
        <f t="shared" si="129"/>
        <v>148.57939781489046</v>
      </c>
      <c r="F272" s="447">
        <f t="shared" si="129"/>
        <v>156.91157840229755</v>
      </c>
      <c r="G272" s="447">
        <f t="shared" si="129"/>
        <v>159.85951462219236</v>
      </c>
      <c r="H272" s="447">
        <f t="shared" si="129"/>
        <v>160.28438414759245</v>
      </c>
      <c r="I272" s="447">
        <f t="shared" si="129"/>
        <v>159.74623143293309</v>
      </c>
      <c r="J272" s="447">
        <f t="shared" si="129"/>
        <v>159.30998228590227</v>
      </c>
      <c r="K272" s="447">
        <f t="shared" si="129"/>
        <v>158.49846405017047</v>
      </c>
      <c r="L272" s="447">
        <f t="shared" si="129"/>
        <v>157.68387114680985</v>
      </c>
      <c r="M272" s="447">
        <f t="shared" si="129"/>
        <v>156.9101250854597</v>
      </c>
      <c r="N272" s="447">
        <f t="shared" si="129"/>
        <v>156.24915297509898</v>
      </c>
    </row>
    <row r="273" spans="1:14">
      <c r="B273" s="331" t="str">
        <f t="shared" si="117"/>
        <v>Total</v>
      </c>
      <c r="C273" s="447">
        <f>SUM(C263:C272)</f>
        <v>20796.172202890823</v>
      </c>
      <c r="D273" s="447">
        <f t="shared" ref="D273:N273" si="130">SUM(D263:D272)</f>
        <v>21258.460707991751</v>
      </c>
      <c r="E273" s="447">
        <f t="shared" si="130"/>
        <v>21775.910432489723</v>
      </c>
      <c r="F273" s="447">
        <f t="shared" si="130"/>
        <v>22039.342150026121</v>
      </c>
      <c r="G273" s="447">
        <f t="shared" si="130"/>
        <v>22241.191223523569</v>
      </c>
      <c r="H273" s="447">
        <f t="shared" si="130"/>
        <v>22444.13382661821</v>
      </c>
      <c r="I273" s="447">
        <f t="shared" si="130"/>
        <v>22646.665046867383</v>
      </c>
      <c r="J273" s="447">
        <f t="shared" si="130"/>
        <v>22883.137777078762</v>
      </c>
      <c r="K273" s="447">
        <f t="shared" si="130"/>
        <v>22999.774465593975</v>
      </c>
      <c r="L273" s="447">
        <f t="shared" si="130"/>
        <v>23042.112609459538</v>
      </c>
      <c r="M273" s="447">
        <f t="shared" si="130"/>
        <v>23015.506079329036</v>
      </c>
      <c r="N273" s="447">
        <f t="shared" si="130"/>
        <v>22941.305292340632</v>
      </c>
    </row>
    <row r="274" spans="1:14">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213</v>
      </c>
      <c r="C279" s="447">
        <f>C223+C239</f>
        <v>3376.0007858974</v>
      </c>
      <c r="D279" s="447">
        <f t="shared" ref="D279:K279" si="133">D223+D239</f>
        <v>3428.1409939437831</v>
      </c>
      <c r="E279" s="447">
        <f t="shared" si="133"/>
        <v>3562.2142129335552</v>
      </c>
      <c r="F279" s="447">
        <f t="shared" si="133"/>
        <v>3616.3626982853016</v>
      </c>
      <c r="G279" s="447">
        <f t="shared" si="133"/>
        <v>3643.0424210058482</v>
      </c>
      <c r="H279" s="447">
        <f t="shared" si="133"/>
        <v>3673.4505833965568</v>
      </c>
      <c r="I279" s="447">
        <f t="shared" si="133"/>
        <v>3706.6327418772676</v>
      </c>
      <c r="J279" s="447">
        <f t="shared" si="133"/>
        <v>3747.6386304604534</v>
      </c>
      <c r="K279" s="447">
        <f t="shared" si="133"/>
        <v>3769.5739236594413</v>
      </c>
      <c r="L279" s="447">
        <f>L223+L239</f>
        <v>3779.9916659906585</v>
      </c>
      <c r="M279" s="447">
        <f>M223+M239</f>
        <v>3779.509870362373</v>
      </c>
      <c r="N279" s="447">
        <f>N223+N239</f>
        <v>3771.5151105828681</v>
      </c>
    </row>
    <row r="280" spans="1:14">
      <c r="B280" s="319" t="s">
        <v>214</v>
      </c>
      <c r="C280" s="447">
        <f>C155+C171</f>
        <v>748.23515596602419</v>
      </c>
      <c r="D280" s="447">
        <f t="shared" ref="D280:N280" si="134">D155+D171</f>
        <v>732.72540825006297</v>
      </c>
      <c r="E280" s="447">
        <f t="shared" si="134"/>
        <v>722.96779160425012</v>
      </c>
      <c r="F280" s="447">
        <f t="shared" si="134"/>
        <v>712.17027888135476</v>
      </c>
      <c r="G280" s="447">
        <f t="shared" si="134"/>
        <v>705.40424257837071</v>
      </c>
      <c r="H280" s="447">
        <f t="shared" si="134"/>
        <v>703.73540695976226</v>
      </c>
      <c r="I280" s="447">
        <f t="shared" si="134"/>
        <v>706.0255322385583</v>
      </c>
      <c r="J280" s="447">
        <f t="shared" si="134"/>
        <v>712.01305211227236</v>
      </c>
      <c r="K280" s="447">
        <f t="shared" si="134"/>
        <v>717.10870029302896</v>
      </c>
      <c r="L280" s="447">
        <f t="shared" si="134"/>
        <v>721.73141145839008</v>
      </c>
      <c r="M280" s="447">
        <f t="shared" si="134"/>
        <v>725.44397898278214</v>
      </c>
      <c r="N280" s="447">
        <f t="shared" si="134"/>
        <v>728.32090911872911</v>
      </c>
    </row>
    <row r="281" spans="1:14">
      <c r="B281" s="319" t="s">
        <v>535</v>
      </c>
      <c r="C281" s="447">
        <f>C189+C205</f>
        <v>18.593571124023153</v>
      </c>
      <c r="D281" s="447">
        <f t="shared" ref="D281:N281" si="135">D189+D205</f>
        <v>18.930764319357159</v>
      </c>
      <c r="E281" s="447">
        <f t="shared" si="135"/>
        <v>19.302007950133952</v>
      </c>
      <c r="F281" s="447">
        <f t="shared" si="135"/>
        <v>19.493494181094896</v>
      </c>
      <c r="G281" s="447">
        <f t="shared" si="135"/>
        <v>19.643117873231486</v>
      </c>
      <c r="H281" s="447">
        <f t="shared" si="135"/>
        <v>19.805034436085403</v>
      </c>
      <c r="I281" s="447">
        <f t="shared" si="135"/>
        <v>19.980232147408294</v>
      </c>
      <c r="J281" s="447">
        <f t="shared" si="135"/>
        <v>20.187996400925933</v>
      </c>
      <c r="K281" s="447">
        <f t="shared" si="135"/>
        <v>20.331911290409497</v>
      </c>
      <c r="L281" s="447">
        <f t="shared" si="135"/>
        <v>20.433462287147432</v>
      </c>
      <c r="M281" s="447">
        <f t="shared" si="135"/>
        <v>20.491247856942579</v>
      </c>
      <c r="N281" s="447">
        <f t="shared" si="135"/>
        <v>20.514484454637945</v>
      </c>
    </row>
    <row r="282" spans="1:14">
      <c r="B282" s="319" t="s">
        <v>215</v>
      </c>
      <c r="C282" s="447">
        <f>C121+C137</f>
        <v>2609.1720588073522</v>
      </c>
      <c r="D282" s="447">
        <f t="shared" ref="D282:N282" si="136">D121+D137</f>
        <v>2676.4848213743635</v>
      </c>
      <c r="E282" s="447">
        <f t="shared" si="136"/>
        <v>2819.9444133791708</v>
      </c>
      <c r="F282" s="447">
        <f t="shared" si="136"/>
        <v>2884.6989252228527</v>
      </c>
      <c r="G282" s="447">
        <f t="shared" si="136"/>
        <v>2917.9950605542458</v>
      </c>
      <c r="H282" s="447">
        <f t="shared" si="136"/>
        <v>2949.9101420007091</v>
      </c>
      <c r="I282" s="447">
        <f t="shared" si="136"/>
        <v>2980.6269774913007</v>
      </c>
      <c r="J282" s="447">
        <f t="shared" si="136"/>
        <v>3015.4375819472552</v>
      </c>
      <c r="K282" s="447">
        <f t="shared" si="136"/>
        <v>3032.1333120760023</v>
      </c>
      <c r="L282" s="447">
        <f t="shared" si="136"/>
        <v>3037.8267922451214</v>
      </c>
      <c r="M282" s="447">
        <f t="shared" si="136"/>
        <v>3033.5746435226488</v>
      </c>
      <c r="N282" s="447">
        <f t="shared" si="136"/>
        <v>3022.679717009501</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306">
        <f>C53+C69-C15</f>
        <v>0</v>
      </c>
      <c r="D290" s="306">
        <f>D53+D69-D15</f>
        <v>0</v>
      </c>
      <c r="E290" s="306">
        <f>E53+E69-E15</f>
        <v>0</v>
      </c>
      <c r="F290" s="306">
        <f t="shared" ref="F290:N290" si="139">F53+F69-F15</f>
        <v>0</v>
      </c>
      <c r="G290" s="306">
        <f t="shared" si="139"/>
        <v>0</v>
      </c>
      <c r="H290" s="306">
        <f t="shared" si="139"/>
        <v>0</v>
      </c>
      <c r="I290" s="306">
        <f t="shared" si="139"/>
        <v>0</v>
      </c>
      <c r="J290" s="306">
        <f t="shared" si="139"/>
        <v>0</v>
      </c>
      <c r="K290" s="306">
        <f t="shared" si="139"/>
        <v>0</v>
      </c>
      <c r="L290" s="306">
        <f t="shared" si="139"/>
        <v>0</v>
      </c>
      <c r="M290" s="306">
        <f t="shared" si="139"/>
        <v>0</v>
      </c>
      <c r="N290" s="306">
        <f t="shared" si="139"/>
        <v>0</v>
      </c>
    </row>
    <row r="291" spans="2:14" ht="15.75">
      <c r="B291" s="333"/>
      <c r="H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4039.537608063712</v>
      </c>
      <c r="D294" s="447">
        <f t="shared" ref="D294:N294" si="141">D36-D15+D279-D290</f>
        <v>4228.7636458328525</v>
      </c>
      <c r="E294" s="447">
        <f t="shared" si="141"/>
        <v>3977.9708800519511</v>
      </c>
      <c r="F294" s="447">
        <f t="shared" si="141"/>
        <v>3922.7594693874084</v>
      </c>
      <c r="G294" s="447">
        <f t="shared" si="141"/>
        <v>3951.0519163174613</v>
      </c>
      <c r="H294" s="447">
        <f t="shared" si="141"/>
        <v>3980.7719631029331</v>
      </c>
      <c r="I294" s="447">
        <f t="shared" si="141"/>
        <v>4062.2464165660172</v>
      </c>
      <c r="J294" s="447">
        <f t="shared" si="141"/>
        <v>3930.7638872047251</v>
      </c>
      <c r="K294" s="447">
        <f t="shared" si="141"/>
        <v>3845.6856195819669</v>
      </c>
      <c r="L294" s="447">
        <f t="shared" si="141"/>
        <v>3756.7373151821294</v>
      </c>
      <c r="M294" s="447">
        <f t="shared" si="141"/>
        <v>3687.4443487823951</v>
      </c>
      <c r="N294" s="447">
        <f t="shared" si="141"/>
        <v>3621.4300321380124</v>
      </c>
    </row>
    <row r="295" spans="2:14" ht="12.75" customHeight="1">
      <c r="B295" s="1327" t="s">
        <v>265</v>
      </c>
      <c r="C295" s="1327"/>
      <c r="D295" s="1327"/>
      <c r="E295" s="1327"/>
      <c r="F295" s="1327"/>
      <c r="G295" s="1327"/>
      <c r="H295" s="1327"/>
      <c r="I295" s="1327"/>
      <c r="J295" s="1327"/>
      <c r="K295" s="1327"/>
      <c r="L295" s="1327"/>
      <c r="M295" s="1327"/>
      <c r="N295" s="1327"/>
    </row>
    <row r="296" spans="2:14">
      <c r="B296" s="319" t="s">
        <v>1</v>
      </c>
      <c r="C296" s="276">
        <f>IF(C294&lt;0,0,C294)</f>
        <v>4039.537608063712</v>
      </c>
      <c r="D296" s="276">
        <f t="shared" ref="D296:N296" si="142">IF(D294&lt;0,0,D294)</f>
        <v>4228.7636458328525</v>
      </c>
      <c r="E296" s="276">
        <f t="shared" si="142"/>
        <v>3977.9708800519511</v>
      </c>
      <c r="F296" s="276">
        <f t="shared" si="142"/>
        <v>3922.7594693874084</v>
      </c>
      <c r="G296" s="276">
        <f t="shared" si="142"/>
        <v>3951.0519163174613</v>
      </c>
      <c r="H296" s="276">
        <f t="shared" si="142"/>
        <v>3980.7719631029331</v>
      </c>
      <c r="I296" s="276">
        <f t="shared" si="142"/>
        <v>4062.2464165660172</v>
      </c>
      <c r="J296" s="276">
        <f t="shared" si="142"/>
        <v>3930.7638872047251</v>
      </c>
      <c r="K296" s="276">
        <f t="shared" si="142"/>
        <v>3845.6856195819669</v>
      </c>
      <c r="L296" s="276">
        <f t="shared" si="142"/>
        <v>3756.7373151821294</v>
      </c>
      <c r="M296" s="276">
        <f t="shared" si="142"/>
        <v>3687.4443487823951</v>
      </c>
      <c r="N296" s="276">
        <f t="shared" si="142"/>
        <v>3621.4300321380124</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216.68438375135423</v>
      </c>
      <c r="D303" s="447">
        <f>D$296*Entrant_age_breakdowns!$K76*$G$31</f>
        <v>226.83463641934969</v>
      </c>
      <c r="E303" s="447">
        <f>E$296*Entrant_age_breakdowns!$K76*$G$31</f>
        <v>213.38188979952537</v>
      </c>
      <c r="F303" s="447">
        <f>F$296*Entrant_age_breakdowns!$K76*$G$31</f>
        <v>210.42030071269326</v>
      </c>
      <c r="G303" s="447">
        <f>G$296*Entrant_age_breakdowns!$K76*$G$31</f>
        <v>211.9379326851296</v>
      </c>
      <c r="H303" s="447">
        <f>H$296*Entrant_age_breakdowns!$K76*$G$31</f>
        <v>213.53214238128791</v>
      </c>
      <c r="I303" s="447">
        <f>I$296*Entrant_age_breakdowns!$K76*$G$31</f>
        <v>217.90250440116003</v>
      </c>
      <c r="J303" s="447">
        <f>J$296*Entrant_age_breakdowns!$K76*$G$31</f>
        <v>210.84966479104008</v>
      </c>
      <c r="K303" s="447">
        <f>K$296*Entrant_age_breakdowns!$K76*$G$31</f>
        <v>206.28599098004003</v>
      </c>
      <c r="L303" s="447">
        <f>L$296*Entrant_age_breakdowns!$K76*$G$31</f>
        <v>201.51472496035191</v>
      </c>
      <c r="M303" s="447">
        <f>M$296*Entrant_age_breakdowns!$K76*$G$31</f>
        <v>197.79778872174444</v>
      </c>
      <c r="N303" s="447">
        <f>N$296*Entrant_age_breakdowns!$K76*$G$31</f>
        <v>194.25672216692377</v>
      </c>
    </row>
    <row r="304" spans="2:14">
      <c r="B304" s="331" t="str">
        <f t="shared" si="143"/>
        <v>25-29</v>
      </c>
      <c r="C304" s="447">
        <f>C$296*Entrant_age_breakdowns!$K77*$G$31</f>
        <v>221.1873496750905</v>
      </c>
      <c r="D304" s="447">
        <f>D$296*Entrant_age_breakdowns!$K77*$G$31</f>
        <v>231.54853698032196</v>
      </c>
      <c r="E304" s="447">
        <f>E$296*Entrant_age_breakdowns!$K77*$G$31</f>
        <v>217.81622586876554</v>
      </c>
      <c r="F304" s="447">
        <f>F$296*Entrant_age_breakdowns!$K77*$G$31</f>
        <v>214.79309134655304</v>
      </c>
      <c r="G304" s="447">
        <f>G$296*Entrant_age_breakdowns!$K77*$G$31</f>
        <v>216.3422615634089</v>
      </c>
      <c r="H304" s="447">
        <f>H$296*Entrant_age_breakdowns!$K77*$G$31</f>
        <v>217.96960088253689</v>
      </c>
      <c r="I304" s="447">
        <f>I$296*Entrant_age_breakdowns!$K77*$G$31</f>
        <v>222.4307843585249</v>
      </c>
      <c r="J304" s="447">
        <f>J$296*Entrant_age_breakdowns!$K77*$G$31</f>
        <v>215.23137813441957</v>
      </c>
      <c r="K304" s="447">
        <f>K$296*Entrant_age_breakdowns!$K77*$G$31</f>
        <v>210.5728656123772</v>
      </c>
      <c r="L304" s="447">
        <f>L$296*Entrant_age_breakdowns!$K77*$G$31</f>
        <v>205.70244686221639</v>
      </c>
      <c r="M304" s="447">
        <f>M$296*Entrant_age_breakdowns!$K77*$G$31</f>
        <v>201.90826815263159</v>
      </c>
      <c r="N304" s="447">
        <f>N$296*Entrant_age_breakdowns!$K77*$G$31</f>
        <v>198.29361391348414</v>
      </c>
    </row>
    <row r="305" spans="1:14">
      <c r="B305" s="331" t="str">
        <f t="shared" si="143"/>
        <v>30-34</v>
      </c>
      <c r="C305" s="447">
        <f>C$296*Entrant_age_breakdowns!$K78*$G$31</f>
        <v>109.85327601336976</v>
      </c>
      <c r="D305" s="447">
        <f>D$296*Entrant_age_breakdowns!$K78*$G$31</f>
        <v>114.99918680139525</v>
      </c>
      <c r="E305" s="447">
        <f>E$296*Entrant_age_breakdowns!$K78*$G$31</f>
        <v>108.17899855349043</v>
      </c>
      <c r="F305" s="447">
        <f>F$296*Entrant_age_breakdowns!$K78*$G$31</f>
        <v>106.6775508821747</v>
      </c>
      <c r="G305" s="447">
        <f>G$296*Entrant_age_breakdowns!$K78*$G$31</f>
        <v>107.44695032420402</v>
      </c>
      <c r="H305" s="447">
        <f>H$296*Entrant_age_breakdowns!$K78*$G$31</f>
        <v>108.25517265542764</v>
      </c>
      <c r="I305" s="447">
        <f>I$296*Entrant_age_breakdowns!$K78*$G$31</f>
        <v>110.47083110268463</v>
      </c>
      <c r="J305" s="447">
        <f>J$296*Entrant_age_breakdowns!$K78*$G$31</f>
        <v>106.89522716226595</v>
      </c>
      <c r="K305" s="447">
        <f>K$296*Entrant_age_breakdowns!$K78*$G$31</f>
        <v>104.58156472792062</v>
      </c>
      <c r="L305" s="447">
        <f>L$296*Entrant_age_breakdowns!$K78*$G$31</f>
        <v>102.16265851086965</v>
      </c>
      <c r="M305" s="447">
        <f>M$296*Entrant_age_breakdowns!$K78*$G$31</f>
        <v>100.27826972624736</v>
      </c>
      <c r="N305" s="447">
        <f>N$296*Entrant_age_breakdowns!$K78*$G$31</f>
        <v>98.483042239642657</v>
      </c>
    </row>
    <row r="306" spans="1:14">
      <c r="B306" s="331" t="str">
        <f t="shared" si="143"/>
        <v>35-39</v>
      </c>
      <c r="C306" s="447">
        <f>C$296*Entrant_age_breakdowns!$K79*$G$31</f>
        <v>81.877257128543505</v>
      </c>
      <c r="D306" s="447">
        <f>D$296*Entrant_age_breakdowns!$K79*$G$31</f>
        <v>85.712673568017095</v>
      </c>
      <c r="E306" s="447">
        <f>E$296*Entrant_age_breakdowns!$K79*$G$31</f>
        <v>80.629363109703476</v>
      </c>
      <c r="F306" s="447">
        <f>F$296*Entrant_age_breakdowns!$K79*$G$31</f>
        <v>79.510284812626494</v>
      </c>
      <c r="G306" s="447">
        <f>G$296*Entrant_age_breakdowns!$K79*$G$31</f>
        <v>80.083743504399393</v>
      </c>
      <c r="H306" s="447">
        <f>H$296*Entrant_age_breakdowns!$K79*$G$31</f>
        <v>80.686138171469423</v>
      </c>
      <c r="I306" s="447">
        <f>I$296*Entrant_age_breakdowns!$K79*$G$31</f>
        <v>82.337541233613976</v>
      </c>
      <c r="J306" s="447">
        <f>J$296*Entrant_age_breakdowns!$K79*$G$31</f>
        <v>79.672526098481697</v>
      </c>
      <c r="K306" s="447">
        <f>K$296*Entrant_age_breakdowns!$K79*$G$31</f>
        <v>77.948077443691574</v>
      </c>
      <c r="L306" s="447">
        <f>L$296*Entrant_age_breakdowns!$K79*$G$31</f>
        <v>76.145187138634014</v>
      </c>
      <c r="M306" s="447">
        <f>M$296*Entrant_age_breakdowns!$K79*$G$31</f>
        <v>74.740690243795086</v>
      </c>
      <c r="N306" s="447">
        <f>N$296*Entrant_age_breakdowns!$K79*$G$31</f>
        <v>73.402648194807199</v>
      </c>
    </row>
    <row r="307" spans="1:14">
      <c r="B307" s="331" t="str">
        <f t="shared" si="143"/>
        <v>40-44</v>
      </c>
      <c r="C307" s="447">
        <f>C$296*Entrant_age_breakdowns!$K80*$G$31</f>
        <v>70.352732766257034</v>
      </c>
      <c r="D307" s="447">
        <f>D$296*Entrant_age_breakdowns!$K80*$G$31</f>
        <v>73.648300269085951</v>
      </c>
      <c r="E307" s="447">
        <f>E$296*Entrant_age_breakdowns!$K80*$G$31</f>
        <v>69.280484409302034</v>
      </c>
      <c r="F307" s="447">
        <f>F$296*Entrant_age_breakdowns!$K80*$G$31</f>
        <v>68.318920488625366</v>
      </c>
      <c r="G307" s="447">
        <f>G$296*Entrant_age_breakdowns!$K80*$G$31</f>
        <v>68.811662765414709</v>
      </c>
      <c r="H307" s="447">
        <f>H$296*Entrant_age_breakdowns!$K80*$G$31</f>
        <v>69.329268172807161</v>
      </c>
      <c r="I307" s="447">
        <f>I$296*Entrant_age_breakdowns!$K80*$G$31</f>
        <v>70.748230194678939</v>
      </c>
      <c r="J307" s="447">
        <f>J$296*Entrant_age_breakdowns!$K80*$G$31</f>
        <v>68.458325718205842</v>
      </c>
      <c r="K307" s="447">
        <f>K$296*Entrant_age_breakdowns!$K80*$G$31</f>
        <v>66.976599538869934</v>
      </c>
      <c r="L307" s="447">
        <f>L$296*Entrant_age_breakdowns!$K80*$G$31</f>
        <v>65.427472659357349</v>
      </c>
      <c r="M307" s="447">
        <f>M$296*Entrant_age_breakdowns!$K80*$G$31</f>
        <v>64.220663855802613</v>
      </c>
      <c r="N307" s="447">
        <f>N$296*Entrant_age_breakdowns!$K80*$G$31</f>
        <v>63.070956134711359</v>
      </c>
    </row>
    <row r="308" spans="1:14">
      <c r="B308" s="331" t="str">
        <f t="shared" si="143"/>
        <v>45-49</v>
      </c>
      <c r="C308" s="447">
        <f>C$296*Entrant_age_breakdowns!$K81*$G$31</f>
        <v>56.708304534672649</v>
      </c>
      <c r="D308" s="447">
        <f>D$296*Entrant_age_breakdowns!$K81*$G$31</f>
        <v>59.364719406087964</v>
      </c>
      <c r="E308" s="447">
        <f>E$296*Entrant_age_breakdowns!$K81*$G$31</f>
        <v>55.844011365492875</v>
      </c>
      <c r="F308" s="447">
        <f>F$296*Entrant_age_breakdowns!$K81*$G$31</f>
        <v>55.068936148095766</v>
      </c>
      <c r="G308" s="447">
        <f>G$296*Entrant_age_breakdowns!$K81*$G$31</f>
        <v>55.466114452201118</v>
      </c>
      <c r="H308" s="447">
        <f>H$296*Entrant_age_breakdowns!$K81*$G$31</f>
        <v>55.883333853879883</v>
      </c>
      <c r="I308" s="447">
        <f>I$296*Entrant_age_breakdowns!$K81*$G$31</f>
        <v>57.027097959345227</v>
      </c>
      <c r="J308" s="447">
        <f>J$296*Entrant_age_breakdowns!$K81*$G$31</f>
        <v>55.181304693025524</v>
      </c>
      <c r="K308" s="447">
        <f>K$296*Entrant_age_breakdowns!$K81*$G$31</f>
        <v>53.98694910638541</v>
      </c>
      <c r="L308" s="447">
        <f>L$296*Entrant_age_breakdowns!$K81*$G$31</f>
        <v>52.738264721400419</v>
      </c>
      <c r="M308" s="447">
        <f>M$296*Entrant_age_breakdowns!$K81*$G$31</f>
        <v>51.765508177962644</v>
      </c>
      <c r="N308" s="447">
        <f>N$296*Entrant_age_breakdowns!$K81*$G$31</f>
        <v>50.838778355112353</v>
      </c>
    </row>
    <row r="309" spans="1:14">
      <c r="B309" s="331" t="str">
        <f t="shared" si="143"/>
        <v>50-54</v>
      </c>
      <c r="C309" s="447">
        <f>C$296*Entrant_age_breakdowns!$K82*$G$31</f>
        <v>42.021079513690289</v>
      </c>
      <c r="D309" s="447">
        <f>D$296*Entrant_age_breakdowns!$K82*$G$31</f>
        <v>43.989493513175006</v>
      </c>
      <c r="E309" s="447">
        <f>E$296*Entrant_age_breakdowns!$K82*$G$31</f>
        <v>41.380634833087342</v>
      </c>
      <c r="F309" s="447">
        <f>F$296*Entrant_age_breakdowns!$K82*$G$31</f>
        <v>40.806301010085797</v>
      </c>
      <c r="G309" s="447">
        <f>G$296*Entrant_age_breakdowns!$K82*$G$31</f>
        <v>41.100611715279221</v>
      </c>
      <c r="H309" s="447">
        <f>H$296*Entrant_age_breakdowns!$K82*$G$31</f>
        <v>41.409772953592721</v>
      </c>
      <c r="I309" s="447">
        <f>I$296*Entrant_age_breakdowns!$K82*$G$31</f>
        <v>42.25730671103873</v>
      </c>
      <c r="J309" s="447">
        <f>J$296*Entrant_age_breakdowns!$K82*$G$31</f>
        <v>40.88956654941159</v>
      </c>
      <c r="K309" s="447">
        <f>K$296*Entrant_age_breakdowns!$K82*$G$31</f>
        <v>40.004544302923186</v>
      </c>
      <c r="L309" s="447">
        <f>L$296*Entrant_age_breakdowns!$K82*$G$31</f>
        <v>39.079264200484651</v>
      </c>
      <c r="M309" s="447">
        <f>M$296*Entrant_age_breakdowns!$K82*$G$31</f>
        <v>38.358447727576902</v>
      </c>
      <c r="N309" s="447">
        <f>N$296*Entrant_age_breakdowns!$K82*$G$31</f>
        <v>37.671737237936185</v>
      </c>
    </row>
    <row r="310" spans="1:14">
      <c r="B310" s="331" t="str">
        <f t="shared" si="143"/>
        <v>55-59</v>
      </c>
      <c r="C310" s="447">
        <f>C$296*Entrant_age_breakdowns!$K83*$G$31</f>
        <v>27.233257575336758</v>
      </c>
      <c r="D310" s="447">
        <f>D$296*Entrant_age_breakdowns!$K83*$G$31</f>
        <v>28.508958392242267</v>
      </c>
      <c r="E310" s="447">
        <f>E$296*Entrant_age_breakdowns!$K83*$G$31</f>
        <v>26.818194584298375</v>
      </c>
      <c r="F310" s="447">
        <f>F$296*Entrant_age_breakdowns!$K83*$G$31</f>
        <v>26.445977089720841</v>
      </c>
      <c r="G310" s="447">
        <f>G$296*Entrant_age_breakdowns!$K83*$G$31</f>
        <v>26.636715627009021</v>
      </c>
      <c r="H310" s="447">
        <f>H$296*Entrant_age_breakdowns!$K83*$G$31</f>
        <v>26.837078581334328</v>
      </c>
      <c r="I310" s="447">
        <f>I$296*Entrant_age_breakdowns!$K83*$G$31</f>
        <v>27.386353026147212</v>
      </c>
      <c r="J310" s="447">
        <f>J$296*Entrant_age_breakdowns!$K83*$G$31</f>
        <v>26.499940288806908</v>
      </c>
      <c r="K310" s="447">
        <f>K$296*Entrant_age_breakdowns!$K83*$G$31</f>
        <v>25.926370093146666</v>
      </c>
      <c r="L310" s="447">
        <f>L$296*Entrant_age_breakdowns!$K83*$G$31</f>
        <v>25.326709359756105</v>
      </c>
      <c r="M310" s="447">
        <f>M$296*Entrant_age_breakdowns!$K83*$G$31</f>
        <v>24.859558565478032</v>
      </c>
      <c r="N310" s="447">
        <f>N$296*Entrant_age_breakdowns!$K83*$G$31</f>
        <v>24.414511368678181</v>
      </c>
    </row>
    <row r="311" spans="1:14">
      <c r="B311" s="331" t="str">
        <f t="shared" si="143"/>
        <v>60-64</v>
      </c>
      <c r="C311" s="447">
        <f>C$296*Entrant_age_breakdowns!$K84*$G$31</f>
        <v>13.888159044541737</v>
      </c>
      <c r="D311" s="447">
        <f>D$296*Entrant_age_breakdowns!$K84*$G$31</f>
        <v>14.538728877747468</v>
      </c>
      <c r="E311" s="447">
        <f>E$296*Entrant_age_breakdowns!$K84*$G$31</f>
        <v>13.676489147281085</v>
      </c>
      <c r="F311" s="447">
        <f>F$296*Entrant_age_breakdowns!$K84*$G$31</f>
        <v>13.486669190944497</v>
      </c>
      <c r="G311" s="447">
        <f>G$296*Entrant_age_breakdowns!$K84*$G$31</f>
        <v>13.583940225614271</v>
      </c>
      <c r="H311" s="447">
        <f>H$296*Entrant_age_breakdowns!$K84*$G$31</f>
        <v>13.686119429428071</v>
      </c>
      <c r="I311" s="447">
        <f>I$296*Entrant_age_breakdowns!$K84*$G$31</f>
        <v>13.966233214110671</v>
      </c>
      <c r="J311" s="447">
        <f>J$296*Entrant_age_breakdowns!$K84*$G$31</f>
        <v>13.51418883266882</v>
      </c>
      <c r="K311" s="447">
        <f>K$296*Entrant_age_breakdowns!$K84*$G$31</f>
        <v>13.221684930831076</v>
      </c>
      <c r="L311" s="447">
        <f>L$296*Entrant_age_breakdowns!$K84*$G$31</f>
        <v>12.915875623404082</v>
      </c>
      <c r="M311" s="447">
        <f>M$296*Entrant_age_breakdowns!$K84*$G$31</f>
        <v>12.677642481049732</v>
      </c>
      <c r="N311" s="447">
        <f>N$296*Entrant_age_breakdowns!$K84*$G$31</f>
        <v>12.450681522215289</v>
      </c>
    </row>
    <row r="312" spans="1:14">
      <c r="B312" s="331" t="str">
        <f t="shared" si="143"/>
        <v>65 plus</v>
      </c>
      <c r="C312" s="447">
        <f>C$296*Entrant_age_breakdowns!$K85*$G$31</f>
        <v>4.1817021661094556</v>
      </c>
      <c r="D312" s="447">
        <f>D$296*Entrant_age_breakdowns!$K85*$G$31</f>
        <v>4.3775876878691644</v>
      </c>
      <c r="E312" s="447">
        <f>E$296*Entrant_age_breakdowns!$K85*$G$31</f>
        <v>4.1179687033059098</v>
      </c>
      <c r="F312" s="447">
        <f>F$296*Entrant_age_breakdowns!$K85*$G$31</f>
        <v>4.0608142222809036</v>
      </c>
      <c r="G312" s="447">
        <f>G$296*Entrant_age_breakdowns!$K85*$G$31</f>
        <v>4.0901023730771149</v>
      </c>
      <c r="H312" s="447">
        <f>H$296*Entrant_age_breakdowns!$K85*$G$31</f>
        <v>4.1208683656430951</v>
      </c>
      <c r="I312" s="447">
        <f>I$296*Entrant_age_breakdowns!$K85*$G$31</f>
        <v>4.2052101719550485</v>
      </c>
      <c r="J312" s="447">
        <f>J$296*Entrant_age_breakdowns!$K85*$G$31</f>
        <v>4.0691003417759424</v>
      </c>
      <c r="K312" s="447">
        <f>K$296*Entrant_age_breakdowns!$K85*$G$31</f>
        <v>3.9810278912814256</v>
      </c>
      <c r="L312" s="447">
        <f>L$296*Entrant_age_breakdowns!$K85*$G$31</f>
        <v>3.8889492047411478</v>
      </c>
      <c r="M312" s="447">
        <f>M$296*Entrant_age_breakdowns!$K85*$G$31</f>
        <v>3.8172175919170725</v>
      </c>
      <c r="N312" s="447">
        <f>N$296*Entrant_age_breakdowns!$K85*$G$31</f>
        <v>3.7488800152709243</v>
      </c>
    </row>
    <row r="313" spans="1:14">
      <c r="B313" s="331" t="str">
        <f t="shared" si="143"/>
        <v>Total</v>
      </c>
      <c r="C313" s="447">
        <f>C$296*Entrant_age_breakdowns!$K86*$G$31</f>
        <v>843.98750216896599</v>
      </c>
      <c r="D313" s="447">
        <f>D$296*Entrant_age_breakdowns!$K86*$G$31</f>
        <v>883.52282191529196</v>
      </c>
      <c r="E313" s="447">
        <f>E$296*Entrant_age_breakdowns!$K86*$G$31</f>
        <v>831.12426037425246</v>
      </c>
      <c r="F313" s="447">
        <f>F$296*Entrant_age_breakdowns!$K86*$G$31</f>
        <v>819.58884590380069</v>
      </c>
      <c r="G313" s="447">
        <f>G$296*Entrant_age_breakdowns!$K86*$G$31</f>
        <v>825.50003523573741</v>
      </c>
      <c r="H313" s="447">
        <f>H$296*Entrant_age_breakdowns!$K86*$G$31</f>
        <v>831.70949544740722</v>
      </c>
      <c r="I313" s="447">
        <f>I$296*Entrant_age_breakdowns!$K86*$G$31</f>
        <v>848.73209237325943</v>
      </c>
      <c r="J313" s="447">
        <f>J$296*Entrant_age_breakdowns!$K86*$G$31</f>
        <v>821.26122261010198</v>
      </c>
      <c r="K313" s="447">
        <f>K$296*Entrant_age_breakdowns!$K86*$G$31</f>
        <v>803.48567462746723</v>
      </c>
      <c r="L313" s="447">
        <f>L$296*Entrant_age_breakdowns!$K86*$G$31</f>
        <v>784.90155324121577</v>
      </c>
      <c r="M313" s="447">
        <f>M$296*Entrant_age_breakdowns!$K86*$G$31</f>
        <v>770.42405524420553</v>
      </c>
      <c r="N313" s="447">
        <f>N$296*Entrant_age_breakdowns!$K86*$G$31</f>
        <v>756.63157114878209</v>
      </c>
    </row>
    <row r="314" spans="1:14">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820.42187077760116</v>
      </c>
      <c r="D319" s="447">
        <f>D$296*Entrant_age_breakdowns!$K76*$H$31</f>
        <v>858.85329411587918</v>
      </c>
      <c r="E319" s="447">
        <f>E$296*Entrant_age_breakdowns!$K76*$H$31</f>
        <v>807.91779356038819</v>
      </c>
      <c r="F319" s="447">
        <f>F$296*Entrant_age_breakdowns!$K76*$H$31</f>
        <v>796.70446836810538</v>
      </c>
      <c r="G319" s="447">
        <f>G$296*Entrant_age_breakdowns!$K76*$H$31</f>
        <v>802.45060678575373</v>
      </c>
      <c r="H319" s="447">
        <f>H$296*Entrant_age_breakdowns!$K76*$H$31</f>
        <v>808.48668782994582</v>
      </c>
      <c r="I319" s="447">
        <f>I$296*Entrant_age_breakdowns!$K76*$H$31</f>
        <v>825.03398358907759</v>
      </c>
      <c r="J319" s="447">
        <f>J$296*Entrant_age_breakdowns!$K76*$H$31</f>
        <v>798.3301493438338</v>
      </c>
      <c r="K319" s="447">
        <f>K$296*Entrant_age_breakdowns!$K76*$H$31</f>
        <v>781.0509262599229</v>
      </c>
      <c r="L319" s="447">
        <f>L$296*Entrant_age_breakdowns!$K76*$H$31</f>
        <v>762.98570657920061</v>
      </c>
      <c r="M319" s="447">
        <f>M$296*Entrant_age_breakdowns!$K76*$H$31</f>
        <v>748.91244606247301</v>
      </c>
      <c r="N319" s="447">
        <f>N$296*Entrant_age_breakdowns!$K76*$H$31</f>
        <v>735.50507264147154</v>
      </c>
    </row>
    <row r="320" spans="1:14">
      <c r="B320" s="331" t="str">
        <f t="shared" si="146"/>
        <v>25-29</v>
      </c>
      <c r="C320" s="447">
        <f>C$296*Entrant_age_breakdowns!$K77*$H$31</f>
        <v>837.47123844887165</v>
      </c>
      <c r="D320" s="447">
        <f>D$296*Entrant_age_breakdowns!$K77*$H$31</f>
        <v>876.70131366365729</v>
      </c>
      <c r="E320" s="447">
        <f>E$296*Entrant_age_breakdowns!$K77*$H$31</f>
        <v>824.70731124781537</v>
      </c>
      <c r="F320" s="447">
        <f>F$296*Entrant_age_breakdowns!$K77*$H$31</f>
        <v>813.26095947392832</v>
      </c>
      <c r="G320" s="447">
        <f>G$296*Entrant_age_breakdowns!$K77*$H$31</f>
        <v>819.12650966015792</v>
      </c>
      <c r="H320" s="447">
        <f>H$296*Entrant_age_breakdowns!$K77*$H$31</f>
        <v>825.28802783454091</v>
      </c>
      <c r="I320" s="447">
        <f>I$296*Entrant_age_breakdowns!$K77*$H$31</f>
        <v>842.1791965929325</v>
      </c>
      <c r="J320" s="447">
        <f>J$296*Entrant_age_breakdowns!$K77*$H$31</f>
        <v>814.92042408422151</v>
      </c>
      <c r="K320" s="447">
        <f>K$296*Entrant_age_breakdowns!$K77*$H$31</f>
        <v>797.28211765803906</v>
      </c>
      <c r="L320" s="447">
        <f>L$296*Entrant_age_breakdowns!$K77*$H$31</f>
        <v>778.8414806665777</v>
      </c>
      <c r="M320" s="447">
        <f>M$296*Entrant_age_breakdowns!$K77*$H$31</f>
        <v>764.47576062210021</v>
      </c>
      <c r="N320" s="447">
        <f>N$296*Entrant_age_breakdowns!$K77*$H$31</f>
        <v>750.78976561980903</v>
      </c>
    </row>
    <row r="321" spans="1:14">
      <c r="B321" s="331" t="str">
        <f t="shared" si="146"/>
        <v>30-34</v>
      </c>
      <c r="C321" s="447">
        <f>C$296*Entrant_age_breakdowns!$K78*$H$31</f>
        <v>415.93228204833076</v>
      </c>
      <c r="D321" s="447">
        <f>D$296*Entrant_age_breakdowns!$K78*$H$31</f>
        <v>435.41600155998253</v>
      </c>
      <c r="E321" s="447">
        <f>E$296*Entrant_age_breakdowns!$K78*$H$31</f>
        <v>409.59304420361735</v>
      </c>
      <c r="F321" s="447">
        <f>F$296*Entrant_age_breakdowns!$K78*$H$31</f>
        <v>403.90818364260423</v>
      </c>
      <c r="G321" s="447">
        <f>G$296*Entrant_age_breakdowns!$K78*$H$31</f>
        <v>406.82132449141255</v>
      </c>
      <c r="H321" s="447">
        <f>H$296*Entrant_age_breakdowns!$K78*$H$31</f>
        <v>409.88145861601845</v>
      </c>
      <c r="I321" s="447">
        <f>I$296*Entrant_age_breakdowns!$K78*$H$31</f>
        <v>418.27050178023961</v>
      </c>
      <c r="J321" s="447">
        <f>J$296*Entrant_age_breakdowns!$K78*$H$31</f>
        <v>404.73236108374965</v>
      </c>
      <c r="K321" s="447">
        <f>K$296*Entrant_age_breakdowns!$K78*$H$31</f>
        <v>395.97225004173004</v>
      </c>
      <c r="L321" s="447">
        <f>L$296*Entrant_age_breakdowns!$K78*$H$31</f>
        <v>386.81365942494716</v>
      </c>
      <c r="M321" s="447">
        <f>M$296*Entrant_age_breakdowns!$K78*$H$31</f>
        <v>379.67888697301925</v>
      </c>
      <c r="N321" s="447">
        <f>N$296*Entrant_age_breakdowns!$K78*$H$31</f>
        <v>372.88170174197973</v>
      </c>
    </row>
    <row r="322" spans="1:14">
      <c r="B322" s="331" t="str">
        <f t="shared" si="146"/>
        <v>35-39</v>
      </c>
      <c r="C322" s="447">
        <f>C$296*Entrant_age_breakdowns!$K79*$H$31</f>
        <v>310.00800013636666</v>
      </c>
      <c r="D322" s="447">
        <f>D$296*Entrant_age_breakdowns!$K79*$H$31</f>
        <v>324.52985665416207</v>
      </c>
      <c r="E322" s="447">
        <f>E$296*Entrant_age_breakdowns!$K79*$H$31</f>
        <v>305.28315782080904</v>
      </c>
      <c r="F322" s="447">
        <f>F$296*Entrant_age_breakdowns!$K79*$H$31</f>
        <v>301.04604440202183</v>
      </c>
      <c r="G322" s="447">
        <f>G$296*Entrant_age_breakdowns!$K79*$H$31</f>
        <v>303.21730402199455</v>
      </c>
      <c r="H322" s="447">
        <f>H$296*Entrant_age_breakdowns!$K79*$H$31</f>
        <v>305.49812256160453</v>
      </c>
      <c r="I322" s="447">
        <f>I$296*Entrant_age_breakdowns!$K79*$H$31</f>
        <v>311.75075215214844</v>
      </c>
      <c r="J322" s="447">
        <f>J$296*Entrant_age_breakdowns!$K79*$H$31</f>
        <v>301.66033093690857</v>
      </c>
      <c r="K322" s="447">
        <f>K$296*Entrant_age_breakdowns!$K79*$H$31</f>
        <v>295.13113226126109</v>
      </c>
      <c r="L322" s="447">
        <f>L$296*Entrant_age_breakdowns!$K79*$H$31</f>
        <v>288.30493366182981</v>
      </c>
      <c r="M322" s="447">
        <f>M$296*Entrant_age_breakdowns!$K79*$H$31</f>
        <v>282.98715325690995</v>
      </c>
      <c r="N322" s="447">
        <f>N$296*Entrant_age_breakdowns!$K79*$H$31</f>
        <v>277.92098770309957</v>
      </c>
    </row>
    <row r="323" spans="1:14">
      <c r="B323" s="331" t="str">
        <f t="shared" si="146"/>
        <v>40-44</v>
      </c>
      <c r="C323" s="447">
        <f>C$296*Entrant_age_breakdowns!$K80*$H$31</f>
        <v>266.37323664561734</v>
      </c>
      <c r="D323" s="447">
        <f>D$296*Entrant_age_breakdowns!$K80*$H$31</f>
        <v>278.85108857539609</v>
      </c>
      <c r="E323" s="447">
        <f>E$296*Entrant_age_breakdowns!$K80*$H$31</f>
        <v>262.31343322221659</v>
      </c>
      <c r="F323" s="447">
        <f>F$296*Entrant_age_breakdowns!$K80*$H$31</f>
        <v>258.67270906380628</v>
      </c>
      <c r="G323" s="447">
        <f>G$296*Entrant_age_breakdowns!$K80*$H$31</f>
        <v>260.53835592555066</v>
      </c>
      <c r="H323" s="447">
        <f>H$296*Entrant_age_breakdowns!$K80*$H$31</f>
        <v>262.49814088700322</v>
      </c>
      <c r="I323" s="447">
        <f>I$296*Entrant_age_breakdowns!$K80*$H$31</f>
        <v>267.87068992072722</v>
      </c>
      <c r="J323" s="447">
        <f>J$296*Entrant_age_breakdowns!$K80*$H$31</f>
        <v>259.20053251498695</v>
      </c>
      <c r="K323" s="447">
        <f>K$296*Entrant_age_breakdowns!$K80*$H$31</f>
        <v>253.59034250966627</v>
      </c>
      <c r="L323" s="447">
        <f>L$296*Entrant_age_breakdowns!$K80*$H$31</f>
        <v>247.72495640957712</v>
      </c>
      <c r="M323" s="447">
        <f>M$296*Entrant_age_breakdowns!$K80*$H$31</f>
        <v>243.15567310848152</v>
      </c>
      <c r="N323" s="447">
        <f>N$296*Entrant_age_breakdowns!$K80*$H$31</f>
        <v>238.80258894498445</v>
      </c>
    </row>
    <row r="324" spans="1:14">
      <c r="B324" s="331" t="str">
        <f t="shared" si="146"/>
        <v>45-49</v>
      </c>
      <c r="C324" s="447">
        <f>C$296*Entrant_age_breakdowns!$K81*$H$31</f>
        <v>214.7119810366643</v>
      </c>
      <c r="D324" s="447">
        <f>D$296*Entrant_age_breakdowns!$K81*$H$31</f>
        <v>224.76983947868675</v>
      </c>
      <c r="E324" s="447">
        <f>E$296*Entrant_age_breakdowns!$K81*$H$31</f>
        <v>211.43954854068687</v>
      </c>
      <c r="F324" s="447">
        <f>F$296*Entrant_age_breakdowns!$K81*$H$31</f>
        <v>208.50491777107879</v>
      </c>
      <c r="G324" s="447">
        <f>G$296*Entrant_age_breakdowns!$K81*$H$31</f>
        <v>210.00873526657631</v>
      </c>
      <c r="H324" s="447">
        <f>H$296*Entrant_age_breakdowns!$K81*$H$31</f>
        <v>211.58843342536375</v>
      </c>
      <c r="I324" s="447">
        <f>I$296*Entrant_age_breakdowns!$K81*$H$31</f>
        <v>215.91901355711394</v>
      </c>
      <c r="J324" s="447">
        <f>J$296*Entrant_age_breakdowns!$K81*$H$31</f>
        <v>208.93037349729124</v>
      </c>
      <c r="K324" s="447">
        <f>K$296*Entrant_age_breakdowns!$K81*$H$31</f>
        <v>204.40824122453193</v>
      </c>
      <c r="L324" s="447">
        <f>L$296*Entrant_age_breakdowns!$K81*$H$31</f>
        <v>199.6804063828863</v>
      </c>
      <c r="M324" s="447">
        <f>M$296*Entrant_age_breakdowns!$K81*$H$31</f>
        <v>195.99730412437671</v>
      </c>
      <c r="N324" s="447">
        <f>N$296*Entrant_age_breakdowns!$K81*$H$31</f>
        <v>192.4884706689825</v>
      </c>
    </row>
    <row r="325" spans="1:14">
      <c r="B325" s="331" t="str">
        <f t="shared" si="146"/>
        <v>50-54</v>
      </c>
      <c r="C325" s="447">
        <f>C$296*Entrant_age_breakdowns!$K82*$H$31</f>
        <v>159.10243308662365</v>
      </c>
      <c r="D325" s="447">
        <f>D$296*Entrant_age_breakdowns!$K82*$H$31</f>
        <v>166.55534624983159</v>
      </c>
      <c r="E325" s="447">
        <f>E$296*Entrant_age_breakdowns!$K82*$H$31</f>
        <v>156.67754757391052</v>
      </c>
      <c r="F325" s="447">
        <f>F$296*Entrant_age_breakdowns!$K82*$H$31</f>
        <v>154.50297448580795</v>
      </c>
      <c r="G325" s="447">
        <f>G$296*Entrant_age_breakdowns!$K82*$H$31</f>
        <v>155.61730923926089</v>
      </c>
      <c r="H325" s="447">
        <f>H$296*Entrant_age_breakdowns!$K82*$H$31</f>
        <v>156.78787186642342</v>
      </c>
      <c r="I325" s="447">
        <f>I$296*Entrant_age_breakdowns!$K82*$H$31</f>
        <v>159.99684899155361</v>
      </c>
      <c r="J325" s="447">
        <f>J$296*Entrant_age_breakdowns!$K82*$H$31</f>
        <v>154.81823887340389</v>
      </c>
      <c r="K325" s="447">
        <f>K$296*Entrant_age_breakdowns!$K82*$H$31</f>
        <v>151.46732084888671</v>
      </c>
      <c r="L325" s="447">
        <f>L$296*Entrant_age_breakdowns!$K82*$H$31</f>
        <v>147.96397640156832</v>
      </c>
      <c r="M325" s="447">
        <f>M$296*Entrant_age_breakdowns!$K82*$H$31</f>
        <v>145.23478295923474</v>
      </c>
      <c r="N325" s="447">
        <f>N$296*Entrant_age_breakdowns!$K82*$H$31</f>
        <v>142.63472339407414</v>
      </c>
    </row>
    <row r="326" spans="1:14">
      <c r="B326" s="331" t="str">
        <f t="shared" si="146"/>
        <v>55-59</v>
      </c>
      <c r="C326" s="447">
        <f>C$296*Entrant_age_breakdowns!$K83*$H$31</f>
        <v>103.11199976904854</v>
      </c>
      <c r="D326" s="447">
        <f>D$296*Entrant_age_breakdowns!$K83*$H$31</f>
        <v>107.94212565370445</v>
      </c>
      <c r="E326" s="447">
        <f>E$296*Entrant_age_breakdowns!$K83*$H$31</f>
        <v>101.54046632624625</v>
      </c>
      <c r="F326" s="447">
        <f>F$296*Entrant_age_breakdowns!$K83*$H$31</f>
        <v>100.13115676756632</v>
      </c>
      <c r="G326" s="447">
        <f>G$296*Entrant_age_breakdowns!$K83*$H$31</f>
        <v>100.85334110259861</v>
      </c>
      <c r="H326" s="447">
        <f>H$296*Entrant_age_breakdowns!$K83*$H$31</f>
        <v>101.61196591430043</v>
      </c>
      <c r="I326" s="447">
        <f>I$296*Entrant_age_breakdowns!$K83*$H$31</f>
        <v>103.69165785970993</v>
      </c>
      <c r="J326" s="447">
        <f>J$296*Entrant_age_breakdowns!$K83*$H$31</f>
        <v>100.33547508520816</v>
      </c>
      <c r="K326" s="447">
        <f>K$296*Entrant_age_breakdowns!$K83*$H$31</f>
        <v>98.163793283321468</v>
      </c>
      <c r="L326" s="447">
        <f>L$296*Entrant_age_breakdowns!$K83*$H$31</f>
        <v>95.893326107963347</v>
      </c>
      <c r="M326" s="447">
        <f>M$296*Entrant_age_breakdowns!$K83*$H$31</f>
        <v>94.124575070432869</v>
      </c>
      <c r="N326" s="447">
        <f>N$296*Entrant_age_breakdowns!$K83*$H$31</f>
        <v>92.439513842384969</v>
      </c>
    </row>
    <row r="327" spans="1:14">
      <c r="B327" s="331" t="str">
        <f t="shared" si="146"/>
        <v>60-64</v>
      </c>
      <c r="C327" s="447">
        <f>C$296*Entrant_age_breakdowns!$K84*$H$31</f>
        <v>52.584082100049272</v>
      </c>
      <c r="D327" s="447">
        <f>D$296*Entrant_age_breakdowns!$K84*$H$31</f>
        <v>55.047304000906642</v>
      </c>
      <c r="E327" s="447">
        <f>E$296*Entrant_age_breakdowns!$K84*$H$31</f>
        <v>51.782646343159847</v>
      </c>
      <c r="F327" s="447">
        <f>F$296*Entrant_age_breakdowns!$K84*$H$31</f>
        <v>51.063939987895722</v>
      </c>
      <c r="G327" s="447">
        <f>G$296*Entrant_age_breakdowns!$K84*$H$31</f>
        <v>51.432232722492714</v>
      </c>
      <c r="H327" s="447">
        <f>H$296*Entrant_age_breakdowns!$K84*$H$31</f>
        <v>51.819109026618442</v>
      </c>
      <c r="I327" s="447">
        <f>I$296*Entrant_age_breakdowns!$K84*$H$31</f>
        <v>52.879690648982148</v>
      </c>
      <c r="J327" s="447">
        <f>J$296*Entrant_age_breakdowns!$K84*$H$31</f>
        <v>51.168136310472008</v>
      </c>
      <c r="K327" s="447">
        <f>K$296*Entrant_age_breakdowns!$K84*$H$31</f>
        <v>50.060642571417681</v>
      </c>
      <c r="L327" s="447">
        <f>L$296*Entrant_age_breakdowns!$K84*$H$31</f>
        <v>48.902771202208363</v>
      </c>
      <c r="M327" s="447">
        <f>M$296*Entrant_age_breakdowns!$K84*$H$31</f>
        <v>48.000760282234253</v>
      </c>
      <c r="N327" s="447">
        <f>N$296*Entrant_age_breakdowns!$K84*$H$31</f>
        <v>47.141428699511152</v>
      </c>
    </row>
    <row r="328" spans="1:14">
      <c r="B328" s="331" t="str">
        <f t="shared" si="146"/>
        <v>65 plus</v>
      </c>
      <c r="C328" s="447">
        <f>C$296*Entrant_age_breakdowns!$K85*$H$31</f>
        <v>15.832981845572546</v>
      </c>
      <c r="D328" s="447">
        <f>D$296*Entrant_age_breakdowns!$K85*$H$31</f>
        <v>16.574653965353733</v>
      </c>
      <c r="E328" s="447">
        <f>E$296*Entrant_age_breakdowns!$K85*$H$31</f>
        <v>15.591670838848497</v>
      </c>
      <c r="F328" s="447">
        <f>F$296*Entrant_age_breakdowns!$K85*$H$31</f>
        <v>15.375269520792898</v>
      </c>
      <c r="G328" s="447">
        <f>G$296*Entrant_age_breakdowns!$K85*$H$31</f>
        <v>15.486161865925704</v>
      </c>
      <c r="H328" s="447">
        <f>H$296*Entrant_age_breakdowns!$K85*$H$31</f>
        <v>15.602649693706937</v>
      </c>
      <c r="I328" s="447">
        <f>I$296*Entrant_age_breakdowns!$K85*$H$31</f>
        <v>15.921989100272651</v>
      </c>
      <c r="J328" s="447">
        <f>J$296*Entrant_age_breakdowns!$K85*$H$31</f>
        <v>15.406642864547136</v>
      </c>
      <c r="K328" s="447">
        <f>K$296*Entrant_age_breakdowns!$K85*$H$31</f>
        <v>15.073178295722492</v>
      </c>
      <c r="L328" s="447">
        <f>L$296*Entrant_age_breakdowns!$K85*$H$31</f>
        <v>14.724545104154773</v>
      </c>
      <c r="M328" s="447">
        <f>M$296*Entrant_age_breakdowns!$K85*$H$31</f>
        <v>14.452951078927033</v>
      </c>
      <c r="N328" s="447">
        <f>N$296*Entrant_age_breakdowns!$K85*$H$31</f>
        <v>14.194207732933183</v>
      </c>
    </row>
    <row r="329" spans="1:14">
      <c r="B329" s="331" t="str">
        <f t="shared" si="146"/>
        <v>Total</v>
      </c>
      <c r="C329" s="447">
        <f>C$296*Entrant_age_breakdowns!$K86*$H$31</f>
        <v>3195.5501058947461</v>
      </c>
      <c r="D329" s="447">
        <f>D$296*Entrant_age_breakdowns!$K86*$H$31</f>
        <v>3345.2408239175606</v>
      </c>
      <c r="E329" s="447">
        <f>E$296*Entrant_age_breakdowns!$K86*$H$31</f>
        <v>3146.8466196776985</v>
      </c>
      <c r="F329" s="447">
        <f>F$296*Entrant_age_breakdowns!$K86*$H$31</f>
        <v>3103.1706234836079</v>
      </c>
      <c r="G329" s="447">
        <f>G$296*Entrant_age_breakdowns!$K86*$H$31</f>
        <v>3125.5518810817239</v>
      </c>
      <c r="H329" s="447">
        <f>H$296*Entrant_age_breakdowns!$K86*$H$31</f>
        <v>3149.0624676555262</v>
      </c>
      <c r="I329" s="447">
        <f>I$296*Entrant_age_breakdowns!$K86*$H$31</f>
        <v>3213.5143241927576</v>
      </c>
      <c r="J329" s="447">
        <f>J$296*Entrant_age_breakdowns!$K86*$H$31</f>
        <v>3109.5026645946232</v>
      </c>
      <c r="K329" s="447">
        <f>K$296*Entrant_age_breakdowns!$K86*$H$31</f>
        <v>3042.1999449544996</v>
      </c>
      <c r="L329" s="447">
        <f>L$296*Entrant_age_breakdowns!$K86*$H$31</f>
        <v>2971.8357619409135</v>
      </c>
      <c r="M329" s="447">
        <f>M$296*Entrant_age_breakdowns!$K86*$H$31</f>
        <v>2917.0202935381894</v>
      </c>
      <c r="N329" s="447">
        <f>N$296*Entrant_age_breakdowns!$K86*$H$31</f>
        <v>2864.7984609892305</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4039.537608063712</v>
      </c>
      <c r="D331" s="322">
        <f t="shared" ref="D331:N331" si="149">D296</f>
        <v>4228.7636458328525</v>
      </c>
      <c r="E331" s="322">
        <f t="shared" si="149"/>
        <v>3977.9708800519511</v>
      </c>
      <c r="F331" s="322">
        <f t="shared" si="149"/>
        <v>3922.7594693874084</v>
      </c>
      <c r="G331" s="322">
        <f t="shared" si="149"/>
        <v>3951.0519163174613</v>
      </c>
      <c r="H331" s="322">
        <f t="shared" si="149"/>
        <v>3980.7719631029331</v>
      </c>
      <c r="I331" s="322">
        <f t="shared" si="149"/>
        <v>4062.2464165660172</v>
      </c>
      <c r="J331" s="322">
        <f t="shared" si="149"/>
        <v>3930.7638872047251</v>
      </c>
      <c r="K331" s="322">
        <f t="shared" si="149"/>
        <v>3845.6856195819669</v>
      </c>
      <c r="L331" s="322">
        <f t="shared" si="149"/>
        <v>3756.7373151821294</v>
      </c>
      <c r="M331" s="322">
        <f t="shared" si="149"/>
        <v>3687.4443487823951</v>
      </c>
      <c r="N331" s="322">
        <f t="shared" si="149"/>
        <v>3621.4300321380124</v>
      </c>
    </row>
    <row r="332" spans="1:14">
      <c r="C332" s="322">
        <f>C313+C329</f>
        <v>4039.537608063712</v>
      </c>
      <c r="D332" s="322">
        <f t="shared" ref="D332:N332" si="150">D313+D329</f>
        <v>4228.7636458328525</v>
      </c>
      <c r="E332" s="322">
        <f t="shared" si="150"/>
        <v>3977.9708800519511</v>
      </c>
      <c r="F332" s="322">
        <f t="shared" si="150"/>
        <v>3922.7594693874084</v>
      </c>
      <c r="G332" s="322">
        <f t="shared" si="150"/>
        <v>3951.0519163174613</v>
      </c>
      <c r="H332" s="322">
        <f t="shared" si="150"/>
        <v>3980.7719631029336</v>
      </c>
      <c r="I332" s="322">
        <f t="shared" si="150"/>
        <v>4062.2464165660172</v>
      </c>
      <c r="J332" s="322">
        <f t="shared" si="150"/>
        <v>3930.7638872047251</v>
      </c>
      <c r="K332" s="322">
        <f t="shared" si="150"/>
        <v>3845.6856195819669</v>
      </c>
      <c r="L332" s="322">
        <f t="shared" si="150"/>
        <v>3756.7373151821294</v>
      </c>
      <c r="M332" s="322">
        <f t="shared" si="150"/>
        <v>3687.4443487823951</v>
      </c>
      <c r="N332" s="322">
        <f t="shared" si="150"/>
        <v>3621.4300321380124</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415.00366978113374</v>
      </c>
      <c r="D340" s="447">
        <f t="shared" si="154"/>
        <v>514.31443831691911</v>
      </c>
      <c r="E340" s="447">
        <f t="shared" si="154"/>
        <v>567.58522449791042</v>
      </c>
      <c r="F340" s="447">
        <f t="shared" si="154"/>
        <v>602.49703158811531</v>
      </c>
      <c r="G340" s="447">
        <f t="shared" si="154"/>
        <v>628.1310545483359</v>
      </c>
      <c r="H340" s="447">
        <f t="shared" si="154"/>
        <v>647.43274408652064</v>
      </c>
      <c r="I340" s="447">
        <f t="shared" si="154"/>
        <v>665.13633432986933</v>
      </c>
      <c r="J340" s="447">
        <f t="shared" si="154"/>
        <v>670.31278732247767</v>
      </c>
      <c r="K340" s="447">
        <f t="shared" si="154"/>
        <v>669.32490562034991</v>
      </c>
      <c r="L340" s="447">
        <f t="shared" si="154"/>
        <v>663.87123031383703</v>
      </c>
      <c r="M340" s="447">
        <f t="shared" si="154"/>
        <v>656.38700223403498</v>
      </c>
      <c r="N340" s="447">
        <f t="shared" si="154"/>
        <v>647.67597784380621</v>
      </c>
    </row>
    <row r="341" spans="1:14">
      <c r="B341" s="331" t="str">
        <f t="shared" si="153"/>
        <v>25-29</v>
      </c>
      <c r="C341" s="447">
        <f t="shared" ref="C341:N341" si="155">C304+C248</f>
        <v>937.21019968611085</v>
      </c>
      <c r="D341" s="447">
        <f t="shared" si="155"/>
        <v>959.82356082133822</v>
      </c>
      <c r="E341" s="447">
        <f t="shared" si="155"/>
        <v>975.1847574293862</v>
      </c>
      <c r="F341" s="447">
        <f t="shared" si="155"/>
        <v>994.30099473840448</v>
      </c>
      <c r="G341" s="447">
        <f t="shared" si="155"/>
        <v>1015.2800578795654</v>
      </c>
      <c r="H341" s="447">
        <f t="shared" si="155"/>
        <v>1036.0186569757393</v>
      </c>
      <c r="I341" s="447">
        <f t="shared" si="155"/>
        <v>1058.3186145898403</v>
      </c>
      <c r="J341" s="447">
        <f t="shared" si="155"/>
        <v>1069.7687191429497</v>
      </c>
      <c r="K341" s="447">
        <f t="shared" si="155"/>
        <v>1074.0032214814637</v>
      </c>
      <c r="L341" s="447">
        <f t="shared" si="155"/>
        <v>1071.9153336886427</v>
      </c>
      <c r="M341" s="447">
        <f t="shared" si="155"/>
        <v>1065.7128062256286</v>
      </c>
      <c r="N341" s="447">
        <f t="shared" si="155"/>
        <v>1056.4643415867677</v>
      </c>
    </row>
    <row r="342" spans="1:14">
      <c r="B342" s="331" t="str">
        <f t="shared" si="153"/>
        <v>30-34</v>
      </c>
      <c r="C342" s="447">
        <f t="shared" ref="C342:N342" si="156">C305+C249</f>
        <v>1153.1784713108937</v>
      </c>
      <c r="D342" s="447">
        <f t="shared" si="156"/>
        <v>1134.2024215039273</v>
      </c>
      <c r="E342" s="447">
        <f t="shared" si="156"/>
        <v>1114.2386750669682</v>
      </c>
      <c r="F342" s="447">
        <f t="shared" si="156"/>
        <v>1102.6551861264445</v>
      </c>
      <c r="G342" s="447">
        <f t="shared" si="156"/>
        <v>1098.4342426156197</v>
      </c>
      <c r="H342" s="447">
        <f t="shared" si="156"/>
        <v>1099.99333233217</v>
      </c>
      <c r="I342" s="447">
        <f t="shared" si="156"/>
        <v>1107.1548238257619</v>
      </c>
      <c r="J342" s="447">
        <f t="shared" si="156"/>
        <v>1112.9201068224559</v>
      </c>
      <c r="K342" s="447">
        <f t="shared" si="156"/>
        <v>1116.9340469885269</v>
      </c>
      <c r="L342" s="447">
        <f t="shared" si="156"/>
        <v>1118.2353413151823</v>
      </c>
      <c r="M342" s="447">
        <f t="shared" si="156"/>
        <v>1116.9225046165295</v>
      </c>
      <c r="N342" s="447">
        <f t="shared" si="156"/>
        <v>1113.0272201107095</v>
      </c>
    </row>
    <row r="343" spans="1:14">
      <c r="B343" s="331" t="str">
        <f t="shared" si="153"/>
        <v>35-39</v>
      </c>
      <c r="C343" s="447">
        <f t="shared" ref="C343:N343" si="157">C306+C250</f>
        <v>1085.0238520595742</v>
      </c>
      <c r="D343" s="447">
        <f t="shared" si="157"/>
        <v>1105.6455077608312</v>
      </c>
      <c r="E343" s="447">
        <f t="shared" si="157"/>
        <v>1109.4006115108994</v>
      </c>
      <c r="F343" s="447">
        <f t="shared" si="157"/>
        <v>1108.8983134428495</v>
      </c>
      <c r="G343" s="447">
        <f t="shared" si="157"/>
        <v>1106.9515012889456</v>
      </c>
      <c r="H343" s="447">
        <f t="shared" si="157"/>
        <v>1105.3274112726829</v>
      </c>
      <c r="I343" s="447">
        <f t="shared" si="157"/>
        <v>1106.0633762161949</v>
      </c>
      <c r="J343" s="447">
        <f t="shared" si="157"/>
        <v>1105.2720327861941</v>
      </c>
      <c r="K343" s="447">
        <f t="shared" si="157"/>
        <v>1104.0296432225359</v>
      </c>
      <c r="L343" s="447">
        <f t="shared" si="157"/>
        <v>1102.0495681243888</v>
      </c>
      <c r="M343" s="447">
        <f t="shared" si="157"/>
        <v>1099.4178160799397</v>
      </c>
      <c r="N343" s="447">
        <f t="shared" si="157"/>
        <v>1095.884503253063</v>
      </c>
    </row>
    <row r="344" spans="1:14">
      <c r="B344" s="331" t="str">
        <f t="shared" si="153"/>
        <v>40-44</v>
      </c>
      <c r="C344" s="447">
        <f t="shared" ref="C344:N344" si="158">C307+C251</f>
        <v>930.39389219681198</v>
      </c>
      <c r="D344" s="447">
        <f t="shared" si="158"/>
        <v>965.08028639081431</v>
      </c>
      <c r="E344" s="447">
        <f t="shared" si="158"/>
        <v>987.61101776995815</v>
      </c>
      <c r="F344" s="447">
        <f t="shared" si="158"/>
        <v>1005.415664774715</v>
      </c>
      <c r="G344" s="447">
        <f t="shared" si="158"/>
        <v>1019.0052527529264</v>
      </c>
      <c r="H344" s="447">
        <f t="shared" si="158"/>
        <v>1029.2296152550796</v>
      </c>
      <c r="I344" s="447">
        <f t="shared" si="158"/>
        <v>1037.9221084018561</v>
      </c>
      <c r="J344" s="447">
        <f t="shared" si="158"/>
        <v>1042.207998351889</v>
      </c>
      <c r="K344" s="447">
        <f t="shared" si="158"/>
        <v>1043.7547463024084</v>
      </c>
      <c r="L344" s="447">
        <f t="shared" si="158"/>
        <v>1043.1213729588403</v>
      </c>
      <c r="M344" s="447">
        <f t="shared" si="158"/>
        <v>1041.0786392236037</v>
      </c>
      <c r="N344" s="447">
        <f t="shared" si="158"/>
        <v>1037.9282450311694</v>
      </c>
    </row>
    <row r="345" spans="1:14">
      <c r="B345" s="331" t="str">
        <f t="shared" si="153"/>
        <v>45-49</v>
      </c>
      <c r="C345" s="447">
        <f t="shared" ref="C345:N345" si="159">C308+C252</f>
        <v>759.50969068118877</v>
      </c>
      <c r="D345" s="447">
        <f t="shared" si="159"/>
        <v>783.1588570951784</v>
      </c>
      <c r="E345" s="447">
        <f t="shared" si="159"/>
        <v>800.58652931254824</v>
      </c>
      <c r="F345" s="447">
        <f t="shared" si="159"/>
        <v>817.9727285748944</v>
      </c>
      <c r="G345" s="447">
        <f t="shared" si="159"/>
        <v>834.2744185453123</v>
      </c>
      <c r="H345" s="447">
        <f t="shared" si="159"/>
        <v>849.03880921259781</v>
      </c>
      <c r="I345" s="447">
        <f t="shared" si="159"/>
        <v>862.79736668147018</v>
      </c>
      <c r="J345" s="447">
        <f t="shared" si="159"/>
        <v>872.5548803478797</v>
      </c>
      <c r="K345" s="447">
        <f t="shared" si="159"/>
        <v>879.24745471182143</v>
      </c>
      <c r="L345" s="447">
        <f t="shared" si="159"/>
        <v>883.15471360611639</v>
      </c>
      <c r="M345" s="447">
        <f t="shared" si="159"/>
        <v>884.91235434821522</v>
      </c>
      <c r="N345" s="447">
        <f t="shared" si="159"/>
        <v>884.89380418337362</v>
      </c>
    </row>
    <row r="346" spans="1:14">
      <c r="B346" s="331" t="str">
        <f t="shared" si="153"/>
        <v>50-54</v>
      </c>
      <c r="C346" s="447">
        <f t="shared" ref="C346:N346" si="160">C309+C253</f>
        <v>569.14434565601812</v>
      </c>
      <c r="D346" s="447">
        <f t="shared" si="160"/>
        <v>593.99175126438513</v>
      </c>
      <c r="E346" s="447">
        <f t="shared" si="160"/>
        <v>612.14760560694015</v>
      </c>
      <c r="F346" s="447">
        <f t="shared" si="160"/>
        <v>628.65696125093052</v>
      </c>
      <c r="G346" s="447">
        <f t="shared" si="160"/>
        <v>644.04451923250406</v>
      </c>
      <c r="H346" s="447">
        <f t="shared" si="160"/>
        <v>658.43887938972807</v>
      </c>
      <c r="I346" s="447">
        <f t="shared" si="160"/>
        <v>672.37471025198829</v>
      </c>
      <c r="J346" s="447">
        <f t="shared" si="160"/>
        <v>683.5814550114402</v>
      </c>
      <c r="K346" s="447">
        <f t="shared" si="160"/>
        <v>692.57201989106954</v>
      </c>
      <c r="L346" s="447">
        <f t="shared" si="160"/>
        <v>699.36397791776301</v>
      </c>
      <c r="M346" s="447">
        <f t="shared" si="160"/>
        <v>704.26535839914504</v>
      </c>
      <c r="N346" s="447">
        <f t="shared" si="160"/>
        <v>707.44373419613169</v>
      </c>
    </row>
    <row r="347" spans="1:14">
      <c r="B347" s="331" t="str">
        <f t="shared" si="153"/>
        <v>55-59</v>
      </c>
      <c r="C347" s="447">
        <f t="shared" ref="C347:N347" si="161">C310+C254</f>
        <v>325.76784363362816</v>
      </c>
      <c r="D347" s="447">
        <f t="shared" si="161"/>
        <v>308.57418067188576</v>
      </c>
      <c r="E347" s="447">
        <f t="shared" si="161"/>
        <v>299.5564516675957</v>
      </c>
      <c r="F347" s="447">
        <f t="shared" si="161"/>
        <v>296.90029178746448</v>
      </c>
      <c r="G347" s="447">
        <f t="shared" si="161"/>
        <v>297.97015661746627</v>
      </c>
      <c r="H347" s="447">
        <f t="shared" si="161"/>
        <v>301.10860386444404</v>
      </c>
      <c r="I347" s="447">
        <f t="shared" si="161"/>
        <v>305.68370146816648</v>
      </c>
      <c r="J347" s="447">
        <f t="shared" si="161"/>
        <v>309.61310466958832</v>
      </c>
      <c r="K347" s="447">
        <f t="shared" si="161"/>
        <v>313.0618033741307</v>
      </c>
      <c r="L347" s="447">
        <f t="shared" si="161"/>
        <v>315.86608063519947</v>
      </c>
      <c r="M347" s="447">
        <f t="shared" si="161"/>
        <v>318.08933053946987</v>
      </c>
      <c r="N347" s="447">
        <f t="shared" si="161"/>
        <v>319.70504583007153</v>
      </c>
    </row>
    <row r="348" spans="1:14">
      <c r="B348" s="331" t="str">
        <f t="shared" si="153"/>
        <v>60-64</v>
      </c>
      <c r="C348" s="447">
        <f t="shared" ref="C348:N348" si="162">C311+C255</f>
        <v>133.00692561182109</v>
      </c>
      <c r="D348" s="447">
        <f t="shared" si="162"/>
        <v>127.04186885258864</v>
      </c>
      <c r="E348" s="447">
        <f t="shared" si="162"/>
        <v>120.56543208554051</v>
      </c>
      <c r="F348" s="447">
        <f t="shared" si="162"/>
        <v>115.91930436241485</v>
      </c>
      <c r="G348" s="447">
        <f t="shared" si="162"/>
        <v>113.23365484639677</v>
      </c>
      <c r="H348" s="447">
        <f t="shared" si="162"/>
        <v>112.06852717527433</v>
      </c>
      <c r="I348" s="447">
        <f t="shared" si="162"/>
        <v>112.14922251102736</v>
      </c>
      <c r="J348" s="447">
        <f t="shared" si="162"/>
        <v>112.3388908194319</v>
      </c>
      <c r="K348" s="447">
        <f t="shared" si="162"/>
        <v>112.66061159975801</v>
      </c>
      <c r="L348" s="447">
        <f t="shared" si="162"/>
        <v>112.97525105892987</v>
      </c>
      <c r="M348" s="447">
        <f t="shared" si="162"/>
        <v>113.26932442462464</v>
      </c>
      <c r="N348" s="447">
        <f t="shared" si="162"/>
        <v>113.48776649474283</v>
      </c>
    </row>
    <row r="349" spans="1:14">
      <c r="B349" s="331" t="str">
        <f t="shared" si="153"/>
        <v>65 plus</v>
      </c>
      <c r="C349" s="447">
        <f t="shared" ref="C349:N349" si="163">C312+C256</f>
        <v>34.084222957523835</v>
      </c>
      <c r="D349" s="447">
        <f t="shared" si="163"/>
        <v>39.133669662157445</v>
      </c>
      <c r="E349" s="447">
        <f t="shared" si="163"/>
        <v>40.791384252562132</v>
      </c>
      <c r="F349" s="447">
        <f t="shared" si="163"/>
        <v>41.092262313878628</v>
      </c>
      <c r="G349" s="447">
        <f t="shared" si="163"/>
        <v>40.763044849090136</v>
      </c>
      <c r="H349" s="447">
        <f t="shared" si="163"/>
        <v>40.299513649859065</v>
      </c>
      <c r="I349" s="447">
        <f t="shared" si="163"/>
        <v>39.986432840260733</v>
      </c>
      <c r="J349" s="447">
        <f t="shared" si="163"/>
        <v>39.68090197316036</v>
      </c>
      <c r="K349" s="447">
        <f t="shared" si="163"/>
        <v>39.440151102832765</v>
      </c>
      <c r="L349" s="447">
        <f t="shared" si="163"/>
        <v>39.247423015491357</v>
      </c>
      <c r="M349" s="447">
        <f t="shared" si="163"/>
        <v>39.101633496445984</v>
      </c>
      <c r="N349" s="447">
        <f t="shared" si="163"/>
        <v>38.983672150308664</v>
      </c>
    </row>
    <row r="350" spans="1:14">
      <c r="B350" s="331" t="str">
        <f t="shared" si="153"/>
        <v>Total</v>
      </c>
      <c r="C350" s="447">
        <f t="shared" ref="C350:N350" si="164">SUM(C340:C349)</f>
        <v>6342.3231135747046</v>
      </c>
      <c r="D350" s="447">
        <f t="shared" si="164"/>
        <v>6530.9665423400256</v>
      </c>
      <c r="E350" s="447">
        <f t="shared" si="164"/>
        <v>6627.6676892003097</v>
      </c>
      <c r="F350" s="447">
        <f t="shared" si="164"/>
        <v>6714.3087389601105</v>
      </c>
      <c r="G350" s="447">
        <f t="shared" si="164"/>
        <v>6798.0879031761615</v>
      </c>
      <c r="H350" s="447">
        <f t="shared" si="164"/>
        <v>6878.9560932140967</v>
      </c>
      <c r="I350" s="447">
        <f t="shared" si="164"/>
        <v>6967.5866911164376</v>
      </c>
      <c r="J350" s="447">
        <f t="shared" si="164"/>
        <v>7018.2508772474666</v>
      </c>
      <c r="K350" s="447">
        <f t="shared" si="164"/>
        <v>7045.0286042948983</v>
      </c>
      <c r="L350" s="447">
        <f t="shared" si="164"/>
        <v>7049.8002926343897</v>
      </c>
      <c r="M350" s="447">
        <f t="shared" si="164"/>
        <v>7039.1567695876383</v>
      </c>
      <c r="N350" s="447">
        <f t="shared" si="164"/>
        <v>7015.4943106801447</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N356" si="168">C319+C263</f>
        <v>1740.816540805396</v>
      </c>
      <c r="D356" s="447">
        <f t="shared" si="168"/>
        <v>2083.7159544034312</v>
      </c>
      <c r="E356" s="447">
        <f t="shared" si="168"/>
        <v>2270.705903952653</v>
      </c>
      <c r="F356" s="447">
        <f t="shared" si="168"/>
        <v>2387.9008337674595</v>
      </c>
      <c r="G356" s="447">
        <f t="shared" si="168"/>
        <v>2475.7712781288869</v>
      </c>
      <c r="H356" s="447">
        <f t="shared" si="168"/>
        <v>2543.3825422254258</v>
      </c>
      <c r="I356" s="447">
        <f t="shared" si="168"/>
        <v>2607.3084075752731</v>
      </c>
      <c r="J356" s="447">
        <f t="shared" si="168"/>
        <v>2625.400601042214</v>
      </c>
      <c r="K356" s="447">
        <f t="shared" si="168"/>
        <v>2620.7994761816735</v>
      </c>
      <c r="L356" s="447">
        <f t="shared" si="168"/>
        <v>2599.5100198694718</v>
      </c>
      <c r="M356" s="447">
        <f t="shared" si="168"/>
        <v>2570.5181803124838</v>
      </c>
      <c r="N356" s="447">
        <f t="shared" si="168"/>
        <v>2536.7947854952204</v>
      </c>
    </row>
    <row r="357" spans="1:14">
      <c r="B357" s="331" t="str">
        <f t="shared" si="166"/>
        <v>25-29</v>
      </c>
      <c r="C357" s="447">
        <f t="shared" ref="C357:N357" si="169">C320+C264</f>
        <v>4284.7573863196994</v>
      </c>
      <c r="D357" s="447">
        <f t="shared" si="169"/>
        <v>4233.9188215355525</v>
      </c>
      <c r="E357" s="447">
        <f t="shared" si="169"/>
        <v>4199.723838942482</v>
      </c>
      <c r="F357" s="447">
        <f t="shared" si="169"/>
        <v>4191.6652909222285</v>
      </c>
      <c r="G357" s="447">
        <f t="shared" si="169"/>
        <v>4212.5826358708973</v>
      </c>
      <c r="H357" s="447">
        <f t="shared" si="169"/>
        <v>4249.1344530899123</v>
      </c>
      <c r="I357" s="447">
        <f t="shared" si="169"/>
        <v>4303.9060918224859</v>
      </c>
      <c r="J357" s="447">
        <f t="shared" si="169"/>
        <v>4326.7863009057792</v>
      </c>
      <c r="K357" s="447">
        <f t="shared" si="169"/>
        <v>4328.56723296373</v>
      </c>
      <c r="L357" s="447">
        <f t="shared" si="169"/>
        <v>4310.5735048530532</v>
      </c>
      <c r="M357" s="447">
        <f t="shared" si="169"/>
        <v>4279.6849040687011</v>
      </c>
      <c r="N357" s="447">
        <f t="shared" si="169"/>
        <v>4238.9735465511785</v>
      </c>
    </row>
    <row r="358" spans="1:14">
      <c r="B358" s="331" t="str">
        <f t="shared" si="166"/>
        <v>30-34</v>
      </c>
      <c r="C358" s="447">
        <f t="shared" ref="C358:N358" si="170">C321+C265</f>
        <v>4386.8166987846798</v>
      </c>
      <c r="D358" s="447">
        <f t="shared" si="170"/>
        <v>4392.6799996929749</v>
      </c>
      <c r="E358" s="447">
        <f t="shared" si="170"/>
        <v>4355.1035782885956</v>
      </c>
      <c r="F358" s="447">
        <f t="shared" si="170"/>
        <v>4310.7481640973965</v>
      </c>
      <c r="G358" s="447">
        <f t="shared" si="170"/>
        <v>4280.1443368982045</v>
      </c>
      <c r="H358" s="447">
        <f t="shared" si="170"/>
        <v>4264.8634086157672</v>
      </c>
      <c r="I358" s="447">
        <f t="shared" si="170"/>
        <v>4268.8122181115314</v>
      </c>
      <c r="J358" s="447">
        <f t="shared" si="170"/>
        <v>4268.0257764702901</v>
      </c>
      <c r="K358" s="447">
        <f t="shared" si="170"/>
        <v>4262.8317531415032</v>
      </c>
      <c r="L358" s="447">
        <f t="shared" si="170"/>
        <v>4250.2406657056563</v>
      </c>
      <c r="M358" s="447">
        <f t="shared" si="170"/>
        <v>4230.7533324297183</v>
      </c>
      <c r="N358" s="447">
        <f t="shared" si="170"/>
        <v>4204.2887247005983</v>
      </c>
    </row>
    <row r="359" spans="1:14">
      <c r="B359" s="331" t="str">
        <f t="shared" si="166"/>
        <v>35-39</v>
      </c>
      <c r="C359" s="447">
        <f t="shared" ref="C359:N359" si="171">C322+C266</f>
        <v>3919.2448756104541</v>
      </c>
      <c r="D359" s="447">
        <f t="shared" si="171"/>
        <v>3992.0204058118939</v>
      </c>
      <c r="E359" s="447">
        <f t="shared" si="171"/>
        <v>4021.2751540355021</v>
      </c>
      <c r="F359" s="447">
        <f t="shared" si="171"/>
        <v>4026.9802399249347</v>
      </c>
      <c r="G359" s="447">
        <f t="shared" si="171"/>
        <v>4025.2259880718807</v>
      </c>
      <c r="H359" s="447">
        <f t="shared" si="171"/>
        <v>4020.6491082827752</v>
      </c>
      <c r="I359" s="447">
        <f t="shared" si="171"/>
        <v>4020.7790815780822</v>
      </c>
      <c r="J359" s="447">
        <f t="shared" si="171"/>
        <v>4011.5032359881857</v>
      </c>
      <c r="K359" s="447">
        <f t="shared" si="171"/>
        <v>3998.0673063638565</v>
      </c>
      <c r="L359" s="447">
        <f t="shared" si="171"/>
        <v>3980.4976657915408</v>
      </c>
      <c r="M359" s="447">
        <f t="shared" si="171"/>
        <v>3960.0740254478096</v>
      </c>
      <c r="N359" s="447">
        <f t="shared" si="171"/>
        <v>3936.5639599377464</v>
      </c>
    </row>
    <row r="360" spans="1:14">
      <c r="B360" s="331" t="str">
        <f t="shared" si="166"/>
        <v>40-44</v>
      </c>
      <c r="C360" s="447">
        <f t="shared" ref="C360:N360" si="172">C323+C267</f>
        <v>3220.8350918696633</v>
      </c>
      <c r="D360" s="447">
        <f t="shared" si="172"/>
        <v>3361.7812335557751</v>
      </c>
      <c r="E360" s="447">
        <f t="shared" si="172"/>
        <v>3457.308269715802</v>
      </c>
      <c r="F360" s="447">
        <f t="shared" si="172"/>
        <v>3525.230599414364</v>
      </c>
      <c r="G360" s="447">
        <f t="shared" si="172"/>
        <v>3577.8580996382752</v>
      </c>
      <c r="H360" s="447">
        <f t="shared" si="172"/>
        <v>3618.0191912680916</v>
      </c>
      <c r="I360" s="447">
        <f t="shared" si="172"/>
        <v>3651.9513461995357</v>
      </c>
      <c r="J360" s="447">
        <f t="shared" si="172"/>
        <v>3668.1426635044731</v>
      </c>
      <c r="K360" s="447">
        <f t="shared" si="172"/>
        <v>3672.6867734341554</v>
      </c>
      <c r="L360" s="447">
        <f t="shared" si="172"/>
        <v>3667.6888780772488</v>
      </c>
      <c r="M360" s="447">
        <f t="shared" si="172"/>
        <v>3656.2460702526896</v>
      </c>
      <c r="N360" s="447">
        <f t="shared" si="172"/>
        <v>3639.7796402145755</v>
      </c>
    </row>
    <row r="361" spans="1:14">
      <c r="B361" s="331" t="str">
        <f t="shared" si="166"/>
        <v>45-49</v>
      </c>
      <c r="C361" s="447">
        <f t="shared" ref="C361:N361" si="173">C324+C268</f>
        <v>2568.8800907102618</v>
      </c>
      <c r="D361" s="447">
        <f t="shared" si="173"/>
        <v>2685.5875756605265</v>
      </c>
      <c r="E361" s="447">
        <f t="shared" si="173"/>
        <v>2779.013979091751</v>
      </c>
      <c r="F361" s="447">
        <f t="shared" si="173"/>
        <v>2858.2065232295868</v>
      </c>
      <c r="G361" s="447">
        <f t="shared" si="173"/>
        <v>2929.6544070643895</v>
      </c>
      <c r="H361" s="447">
        <f t="shared" si="173"/>
        <v>2992.7648163479048</v>
      </c>
      <c r="I361" s="447">
        <f t="shared" si="173"/>
        <v>3050.2958730660835</v>
      </c>
      <c r="J361" s="447">
        <f t="shared" si="173"/>
        <v>3091.3174665984611</v>
      </c>
      <c r="K361" s="447">
        <f t="shared" si="173"/>
        <v>3119.5730843580782</v>
      </c>
      <c r="L361" s="447">
        <f t="shared" si="173"/>
        <v>3136.2209836545435</v>
      </c>
      <c r="M361" s="447">
        <f t="shared" si="173"/>
        <v>3143.7367321581778</v>
      </c>
      <c r="N361" s="447">
        <f t="shared" si="173"/>
        <v>3143.6133858567132</v>
      </c>
    </row>
    <row r="362" spans="1:14">
      <c r="B362" s="331" t="str">
        <f t="shared" si="166"/>
        <v>50-54</v>
      </c>
      <c r="C362" s="447">
        <f t="shared" ref="C362:N362" si="174">C325+C269</f>
        <v>2004.442116469867</v>
      </c>
      <c r="D362" s="447">
        <f t="shared" si="174"/>
        <v>2048.4671572277794</v>
      </c>
      <c r="E362" s="447">
        <f t="shared" si="174"/>
        <v>2087.5785426112602</v>
      </c>
      <c r="F362" s="447">
        <f t="shared" si="174"/>
        <v>2127.2930812431523</v>
      </c>
      <c r="G362" s="447">
        <f t="shared" si="174"/>
        <v>2170.6043983232817</v>
      </c>
      <c r="H362" s="447">
        <f t="shared" si="174"/>
        <v>2215.149387805076</v>
      </c>
      <c r="I362" s="447">
        <f t="shared" si="174"/>
        <v>2261.1296124748224</v>
      </c>
      <c r="J362" s="447">
        <f t="shared" si="174"/>
        <v>2298.7508931016114</v>
      </c>
      <c r="K362" s="447">
        <f t="shared" si="174"/>
        <v>2329.3465484644644</v>
      </c>
      <c r="L362" s="447">
        <f t="shared" si="174"/>
        <v>2352.5454113761079</v>
      </c>
      <c r="M362" s="447">
        <f t="shared" si="174"/>
        <v>2369.2161994142189</v>
      </c>
      <c r="N362" s="447">
        <f t="shared" si="174"/>
        <v>2379.7686729741304</v>
      </c>
    </row>
    <row r="363" spans="1:14">
      <c r="B363" s="331" t="str">
        <f t="shared" si="166"/>
        <v>55-59</v>
      </c>
      <c r="C363" s="447">
        <f t="shared" ref="C363:N363" si="175">C326+C270</f>
        <v>1290.3591214894077</v>
      </c>
      <c r="D363" s="447">
        <f t="shared" si="175"/>
        <v>1205.4622602318641</v>
      </c>
      <c r="E363" s="447">
        <f t="shared" si="175"/>
        <v>1152.5935223475121</v>
      </c>
      <c r="F363" s="447">
        <f t="shared" si="175"/>
        <v>1123.8975127179551</v>
      </c>
      <c r="G363" s="447">
        <f t="shared" si="175"/>
        <v>1113.1455000014194</v>
      </c>
      <c r="H363" s="447">
        <f t="shared" si="175"/>
        <v>1113.9504783428986</v>
      </c>
      <c r="I363" s="447">
        <f t="shared" si="175"/>
        <v>1123.3309237001927</v>
      </c>
      <c r="J363" s="447">
        <f t="shared" si="175"/>
        <v>1132.7378267812114</v>
      </c>
      <c r="K363" s="447">
        <f t="shared" si="175"/>
        <v>1142.0677618402053</v>
      </c>
      <c r="L363" s="447">
        <f t="shared" si="175"/>
        <v>1150.1780036494026</v>
      </c>
      <c r="M363" s="447">
        <f t="shared" si="175"/>
        <v>1156.9136701983159</v>
      </c>
      <c r="N363" s="447">
        <f t="shared" si="175"/>
        <v>1161.8948231948928</v>
      </c>
    </row>
    <row r="364" spans="1:14">
      <c r="B364" s="331" t="str">
        <f t="shared" si="166"/>
        <v>60-64</v>
      </c>
      <c r="C364" s="447">
        <f t="shared" ref="C364:N364" si="176">C327+C271</f>
        <v>459.91572068965365</v>
      </c>
      <c r="D364" s="447">
        <f t="shared" si="176"/>
        <v>453.26845100528863</v>
      </c>
      <c r="E364" s="447">
        <f t="shared" si="176"/>
        <v>435.28319452812713</v>
      </c>
      <c r="F364" s="447">
        <f t="shared" si="176"/>
        <v>418.30368026956074</v>
      </c>
      <c r="G364" s="447">
        <f t="shared" si="176"/>
        <v>406.41078411993692</v>
      </c>
      <c r="H364" s="447">
        <f t="shared" si="176"/>
        <v>399.39587445458119</v>
      </c>
      <c r="I364" s="447">
        <f t="shared" si="176"/>
        <v>396.99759599893065</v>
      </c>
      <c r="J364" s="447">
        <f t="shared" si="176"/>
        <v>395.25905213070808</v>
      </c>
      <c r="K364" s="447">
        <f t="shared" si="176"/>
        <v>394.46283145491742</v>
      </c>
      <c r="L364" s="447">
        <f t="shared" si="176"/>
        <v>394.08482217246245</v>
      </c>
      <c r="M364" s="447">
        <f t="shared" si="176"/>
        <v>394.02018242072722</v>
      </c>
      <c r="N364" s="447">
        <f t="shared" si="176"/>
        <v>393.98285369677905</v>
      </c>
    </row>
    <row r="365" spans="1:14">
      <c r="B365" s="331" t="str">
        <f t="shared" si="166"/>
        <v>65 plus</v>
      </c>
      <c r="C365" s="447">
        <f t="shared" ref="C365:N365" si="177">C328+C272</f>
        <v>115.65466603648203</v>
      </c>
      <c r="D365" s="447">
        <f t="shared" si="177"/>
        <v>146.79967278422674</v>
      </c>
      <c r="E365" s="447">
        <f t="shared" si="177"/>
        <v>164.17106865373896</v>
      </c>
      <c r="F365" s="447">
        <f t="shared" si="177"/>
        <v>172.28684792309045</v>
      </c>
      <c r="G365" s="447">
        <f t="shared" si="177"/>
        <v>175.34567648811807</v>
      </c>
      <c r="H365" s="447">
        <f t="shared" si="177"/>
        <v>175.8870338412994</v>
      </c>
      <c r="I365" s="447">
        <f t="shared" si="177"/>
        <v>175.66822053320573</v>
      </c>
      <c r="J365" s="447">
        <f t="shared" si="177"/>
        <v>174.7166251504494</v>
      </c>
      <c r="K365" s="447">
        <f t="shared" si="177"/>
        <v>173.57164234589297</v>
      </c>
      <c r="L365" s="447">
        <f t="shared" si="177"/>
        <v>172.40841625096462</v>
      </c>
      <c r="M365" s="447">
        <f t="shared" si="177"/>
        <v>171.36307616438674</v>
      </c>
      <c r="N365" s="447">
        <f t="shared" si="177"/>
        <v>170.44336070803217</v>
      </c>
    </row>
    <row r="366" spans="1:14">
      <c r="B366" s="331" t="str">
        <f t="shared" si="166"/>
        <v>Total</v>
      </c>
      <c r="C366" s="447">
        <f t="shared" ref="C366:N366" si="178">SUM(C356:C365)</f>
        <v>23991.722308785567</v>
      </c>
      <c r="D366" s="447">
        <f t="shared" si="178"/>
        <v>24603.701531909315</v>
      </c>
      <c r="E366" s="447">
        <f t="shared" si="178"/>
        <v>24922.757052167424</v>
      </c>
      <c r="F366" s="447">
        <f t="shared" si="178"/>
        <v>25142.512773509727</v>
      </c>
      <c r="G366" s="447">
        <f t="shared" si="178"/>
        <v>25366.743104605295</v>
      </c>
      <c r="H366" s="447">
        <f t="shared" si="178"/>
        <v>25593.196294273737</v>
      </c>
      <c r="I366" s="447">
        <f t="shared" si="178"/>
        <v>25860.179371060145</v>
      </c>
      <c r="J366" s="447">
        <f t="shared" si="178"/>
        <v>25992.640441673386</v>
      </c>
      <c r="K366" s="447">
        <f t="shared" si="178"/>
        <v>26041.974410548479</v>
      </c>
      <c r="L366" s="447">
        <f t="shared" si="178"/>
        <v>26013.948371400453</v>
      </c>
      <c r="M366" s="447">
        <f t="shared" si="178"/>
        <v>25932.526372867229</v>
      </c>
      <c r="N366" s="447">
        <f t="shared" si="178"/>
        <v>25806.103753329862</v>
      </c>
    </row>
    <row r="367" spans="1:14">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4">
      <c r="C368" s="322">
        <f>C350+C366</f>
        <v>30334.045422360272</v>
      </c>
      <c r="D368" s="322">
        <f t="shared" ref="D368:N368" si="180">D350+D366</f>
        <v>31134.668074249341</v>
      </c>
      <c r="E368" s="322">
        <f t="shared" si="180"/>
        <v>31550.424741367733</v>
      </c>
      <c r="F368" s="322">
        <f t="shared" si="180"/>
        <v>31856.821512469836</v>
      </c>
      <c r="G368" s="322">
        <f t="shared" si="180"/>
        <v>32164.831007781457</v>
      </c>
      <c r="H368" s="322">
        <f t="shared" si="180"/>
        <v>32472.152387487833</v>
      </c>
      <c r="I368" s="322">
        <f t="shared" si="180"/>
        <v>32827.766062176583</v>
      </c>
      <c r="J368" s="322">
        <f t="shared" si="180"/>
        <v>33010.891318920854</v>
      </c>
      <c r="K368" s="322">
        <f t="shared" si="180"/>
        <v>33087.00301484338</v>
      </c>
      <c r="L368" s="322">
        <f t="shared" si="180"/>
        <v>33063.748664034843</v>
      </c>
      <c r="M368" s="322">
        <f t="shared" si="180"/>
        <v>32971.683142454865</v>
      </c>
      <c r="N368" s="322">
        <f t="shared" si="180"/>
        <v>32821.59806401001</v>
      </c>
    </row>
    <row r="369" spans="1:14">
      <c r="C369" s="322">
        <f t="shared" ref="C369:N369" si="181">C36</f>
        <v>30334.045422360272</v>
      </c>
      <c r="D369" s="322">
        <f t="shared" si="181"/>
        <v>31134.668074249341</v>
      </c>
      <c r="E369" s="322">
        <f t="shared" si="181"/>
        <v>31550.424741367737</v>
      </c>
      <c r="F369" s="322">
        <f t="shared" si="181"/>
        <v>31856.821512469844</v>
      </c>
      <c r="G369" s="322">
        <f t="shared" si="181"/>
        <v>32164.831007781457</v>
      </c>
      <c r="H369" s="322">
        <f t="shared" si="181"/>
        <v>32472.152387487833</v>
      </c>
      <c r="I369" s="322">
        <f t="shared" si="181"/>
        <v>32827.766062176583</v>
      </c>
      <c r="J369" s="322">
        <f t="shared" si="181"/>
        <v>33010.891318920854</v>
      </c>
      <c r="K369" s="322">
        <f t="shared" si="181"/>
        <v>33087.00301484338</v>
      </c>
      <c r="L369" s="322">
        <f t="shared" si="181"/>
        <v>33063.748664034851</v>
      </c>
      <c r="M369" s="322">
        <f t="shared" si="181"/>
        <v>32971.683142454873</v>
      </c>
      <c r="N369" s="322">
        <f t="shared" si="181"/>
        <v>32821.598064010017</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546" customFormat="1">
      <c r="A5" s="682" t="s">
        <v>401</v>
      </c>
      <c r="B5" s="682"/>
      <c r="C5" s="682"/>
      <c r="D5" s="682"/>
      <c r="E5" s="682"/>
      <c r="F5" s="682"/>
      <c r="G5" s="682"/>
      <c r="H5" s="682"/>
      <c r="I5" s="682"/>
      <c r="J5" s="682"/>
      <c r="K5" s="682"/>
      <c r="L5" s="682"/>
      <c r="M5" s="682"/>
      <c r="N5" s="682"/>
      <c r="O5" s="545"/>
      <c r="P5" s="545"/>
      <c r="Q5" s="545"/>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Forecast_stock_figures!B25</f>
        <v>Food</v>
      </c>
      <c r="C15" s="300">
        <f>Forecast_stock_figures!C49</f>
        <v>1998.2378986711567</v>
      </c>
      <c r="D15" s="300">
        <f>Forecast_stock_figures!D49</f>
        <v>1956.2535049672433</v>
      </c>
      <c r="E15" s="300">
        <f>Forecast_stock_figures!E49</f>
        <v>1959.5361842003301</v>
      </c>
      <c r="F15" s="300">
        <f>Forecast_stock_figures!F49</f>
        <v>1973.050169889354</v>
      </c>
      <c r="G15" s="300">
        <f>Forecast_stock_figures!G49</f>
        <v>1977.0348444722242</v>
      </c>
      <c r="H15" s="300">
        <f>Forecast_stock_figures!H49</f>
        <v>1977.4852088545217</v>
      </c>
      <c r="I15" s="300">
        <f>Forecast_stock_figures!I49</f>
        <v>1974.7794548706556</v>
      </c>
      <c r="J15" s="300">
        <f>Forecast_stock_figures!J49</f>
        <v>1978.0669447893681</v>
      </c>
      <c r="K15" s="300">
        <f>Forecast_stock_figures!K49</f>
        <v>1987.8032804778159</v>
      </c>
      <c r="L15" s="300">
        <f>Forecast_stock_figures!L49</f>
        <v>1996.0406566594697</v>
      </c>
      <c r="M15" s="300">
        <f>Forecast_stock_figures!M49</f>
        <v>1999.9762782551843</v>
      </c>
      <c r="N15" s="300">
        <f>Forecast_stock_figures!N49</f>
        <v>1994.0423995431088</v>
      </c>
    </row>
    <row r="17" spans="1:9" ht="15.75">
      <c r="B17" s="333" t="s">
        <v>162</v>
      </c>
    </row>
    <row r="19" spans="1:9">
      <c r="B19" s="1327" t="str">
        <f>Stock_ages_breakdowns!B73</f>
        <v>Age group</v>
      </c>
      <c r="C19" s="1328" t="str">
        <f>Stock_ages_breakdowns!U73</f>
        <v>Food</v>
      </c>
      <c r="D19" s="1329"/>
      <c r="H19" s="318" t="s">
        <v>133</v>
      </c>
    </row>
    <row r="20" spans="1:9">
      <c r="B20" s="1327"/>
      <c r="C20" s="356" t="str">
        <f>Stock_ages_breakdowns!S74</f>
        <v>Male</v>
      </c>
      <c r="D20" s="356" t="str">
        <f>Stock_ages_breakdowns!T74</f>
        <v>Female</v>
      </c>
    </row>
    <row r="21" spans="1:9">
      <c r="B21" s="356" t="str">
        <f>Stock_ages_breakdowns!B75</f>
        <v>20-24</v>
      </c>
      <c r="C21" s="324">
        <f>Stock_ages_breakdowns!U20</f>
        <v>5.3841822637082801</v>
      </c>
      <c r="D21" s="324">
        <f>Stock_ages_breakdowns!V20</f>
        <v>32.073284195807958</v>
      </c>
    </row>
    <row r="22" spans="1:9">
      <c r="B22" s="356" t="str">
        <f>Stock_ages_breakdowns!B76</f>
        <v>25-29</v>
      </c>
      <c r="C22" s="324">
        <f>Stock_ages_breakdowns!U21</f>
        <v>15.050383662755035</v>
      </c>
      <c r="D22" s="324">
        <f>Stock_ages_breakdowns!V21</f>
        <v>199.15350658912959</v>
      </c>
    </row>
    <row r="23" spans="1:9">
      <c r="B23" s="356" t="str">
        <f>Stock_ages_breakdowns!B77</f>
        <v>30-34</v>
      </c>
      <c r="C23" s="324">
        <f>Stock_ages_breakdowns!U22</f>
        <v>35.87740604275362</v>
      </c>
      <c r="D23" s="324">
        <f>Stock_ages_breakdowns!V22</f>
        <v>203.72642999413424</v>
      </c>
    </row>
    <row r="24" spans="1:9">
      <c r="B24" s="356" t="str">
        <f>Stock_ages_breakdowns!B78</f>
        <v>35-39</v>
      </c>
      <c r="C24" s="324">
        <f>Stock_ages_breakdowns!U23</f>
        <v>32.931829126403038</v>
      </c>
      <c r="D24" s="324">
        <f>Stock_ages_breakdowns!V23</f>
        <v>239.50711262426566</v>
      </c>
    </row>
    <row r="25" spans="1:9">
      <c r="B25" s="356" t="str">
        <f>Stock_ages_breakdowns!B79</f>
        <v>40-44</v>
      </c>
      <c r="C25" s="324">
        <f>Stock_ages_breakdowns!U24</f>
        <v>43.123684800749473</v>
      </c>
      <c r="D25" s="324">
        <f>Stock_ages_breakdowns!V24</f>
        <v>242.61921335409983</v>
      </c>
    </row>
    <row r="26" spans="1:9">
      <c r="B26" s="356" t="str">
        <f>Stock_ages_breakdowns!B80</f>
        <v>45-49</v>
      </c>
      <c r="C26" s="324">
        <f>Stock_ages_breakdowns!U25</f>
        <v>30.094941405679467</v>
      </c>
      <c r="D26" s="324">
        <f>Stock_ages_breakdowns!V25</f>
        <v>286.65030336604741</v>
      </c>
    </row>
    <row r="27" spans="1:9">
      <c r="B27" s="356" t="str">
        <f>Stock_ages_breakdowns!B81</f>
        <v>50-54</v>
      </c>
      <c r="C27" s="324">
        <f>Stock_ages_breakdowns!U26</f>
        <v>20.419888756677949</v>
      </c>
      <c r="D27" s="324">
        <f>Stock_ages_breakdowns!V26</f>
        <v>287.82594154626992</v>
      </c>
    </row>
    <row r="28" spans="1:9">
      <c r="B28" s="356" t="str">
        <f>Stock_ages_breakdowns!B82</f>
        <v>55-59</v>
      </c>
      <c r="C28" s="324">
        <f>Stock_ages_breakdowns!U27</f>
        <v>5.5825978896848891</v>
      </c>
      <c r="D28" s="324">
        <f>Stock_ages_breakdowns!V27</f>
        <v>237.67734497311355</v>
      </c>
    </row>
    <row r="29" spans="1:9">
      <c r="B29" s="356" t="str">
        <f>Stock_ages_breakdowns!B83</f>
        <v>60-64</v>
      </c>
      <c r="C29" s="324">
        <f>Stock_ages_breakdowns!U28</f>
        <v>5.5059744204091645</v>
      </c>
      <c r="D29" s="324">
        <f>Stock_ages_breakdowns!V28</f>
        <v>55.541176113990467</v>
      </c>
      <c r="F29" s="318"/>
    </row>
    <row r="30" spans="1:9">
      <c r="B30" s="356" t="str">
        <f>Stock_ages_breakdowns!B84</f>
        <v>65 plus</v>
      </c>
      <c r="C30" s="324">
        <f>Stock_ages_breakdowns!U29</f>
        <v>5.8098246794774271</v>
      </c>
      <c r="D30" s="324">
        <f>Stock_ages_breakdowns!V29</f>
        <v>13.68287286599959</v>
      </c>
      <c r="G30" s="319" t="s">
        <v>46</v>
      </c>
      <c r="H30" s="319" t="s">
        <v>47</v>
      </c>
    </row>
    <row r="31" spans="1:9">
      <c r="A31" s="302">
        <f>I31</f>
        <v>0</v>
      </c>
      <c r="B31" s="356" t="str">
        <f>Stock_ages_breakdowns!B85</f>
        <v>Total</v>
      </c>
      <c r="C31" s="324">
        <f>Stock_ages_breakdowns!U30</f>
        <v>199.78071304829831</v>
      </c>
      <c r="D31" s="324">
        <f>Stock_ages_breakdowns!V30</f>
        <v>1798.4571856228583</v>
      </c>
      <c r="E31" s="320">
        <f>SUM(C31:D31)</f>
        <v>1998.2378986711567</v>
      </c>
      <c r="G31" s="359">
        <f>C31/$E$31</f>
        <v>9.9978442597427455E-2</v>
      </c>
      <c r="H31" s="359">
        <f>D31/$E$31</f>
        <v>0.9000215574025725</v>
      </c>
      <c r="I31" s="302">
        <f>(G31+H31)-1</f>
        <v>0</v>
      </c>
    </row>
    <row r="33" spans="2:15" ht="15.75">
      <c r="B33" s="333" t="s">
        <v>263</v>
      </c>
      <c r="H33" s="318"/>
    </row>
    <row r="34" spans="2:15">
      <c r="H34" s="318"/>
    </row>
    <row r="35" spans="2:15">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5">
      <c r="B36" s="319" t="str">
        <f>B15</f>
        <v>Food</v>
      </c>
      <c r="C36" s="300">
        <f>Teacher_need_by_subject!C632</f>
        <v>1956.2535049672433</v>
      </c>
      <c r="D36" s="300">
        <f>Teacher_need_by_subject!D632</f>
        <v>1959.5361842003301</v>
      </c>
      <c r="E36" s="300">
        <f>Teacher_need_by_subject!E632</f>
        <v>1973.050169889354</v>
      </c>
      <c r="F36" s="300">
        <f>Teacher_need_by_subject!F632</f>
        <v>1977.0348444722242</v>
      </c>
      <c r="G36" s="300">
        <f>Teacher_need_by_subject!G632</f>
        <v>1977.4852088545217</v>
      </c>
      <c r="H36" s="300">
        <f>Teacher_need_by_subject!H632</f>
        <v>1974.7794548706556</v>
      </c>
      <c r="I36" s="300">
        <f>Teacher_need_by_subject!I632</f>
        <v>1978.0669447893681</v>
      </c>
      <c r="J36" s="300">
        <f>Teacher_need_by_subject!J632</f>
        <v>1987.8032804778159</v>
      </c>
      <c r="K36" s="300">
        <f>Teacher_need_by_subject!K632</f>
        <v>1996.0406566594697</v>
      </c>
      <c r="L36" s="300">
        <f>Teacher_need_by_subject!L632</f>
        <v>1999.9762782551843</v>
      </c>
      <c r="M36" s="300">
        <f>Teacher_need_by_subject!M632</f>
        <v>1994.0423995431088</v>
      </c>
      <c r="N36" s="300">
        <f>Teacher_need_by_subject!N632</f>
        <v>1978.4589946281467</v>
      </c>
    </row>
    <row r="37" spans="2:15">
      <c r="H37" s="318"/>
    </row>
    <row r="38" spans="2:15" ht="15.75">
      <c r="B38" s="333" t="s">
        <v>170</v>
      </c>
      <c r="H38" s="318"/>
    </row>
    <row r="39" spans="2:15">
      <c r="H39" s="318"/>
    </row>
    <row r="40" spans="2:15">
      <c r="B40" s="334" t="s">
        <v>46</v>
      </c>
      <c r="H40" s="318"/>
    </row>
    <row r="41" spans="2:15">
      <c r="H41" s="318"/>
    </row>
    <row r="42" spans="2:15">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5">
      <c r="B43" s="356" t="str">
        <f>B21</f>
        <v>20-24</v>
      </c>
      <c r="C43" s="300">
        <f>C21</f>
        <v>5.3841822637082801</v>
      </c>
      <c r="D43" s="300">
        <f t="shared" ref="D43:N43" si="2">C340</f>
        <v>9.2128296392112414</v>
      </c>
      <c r="E43" s="300">
        <f t="shared" si="2"/>
        <v>12.853627678701663</v>
      </c>
      <c r="F43" s="300">
        <f t="shared" si="2"/>
        <v>15.592978150026818</v>
      </c>
      <c r="G43" s="300">
        <f t="shared" si="2"/>
        <v>17.254379107023674</v>
      </c>
      <c r="H43" s="300">
        <f t="shared" si="2"/>
        <v>18.231716625719429</v>
      </c>
      <c r="I43" s="300">
        <f t="shared" si="2"/>
        <v>18.741597626519351</v>
      </c>
      <c r="J43" s="300">
        <f t="shared" si="2"/>
        <v>19.162393803796515</v>
      </c>
      <c r="K43" s="300">
        <f t="shared" si="2"/>
        <v>19.561880203136965</v>
      </c>
      <c r="L43" s="300">
        <f t="shared" si="2"/>
        <v>19.771454647077189</v>
      </c>
      <c r="M43" s="300">
        <f t="shared" si="2"/>
        <v>19.780366837728486</v>
      </c>
      <c r="N43" s="300">
        <f t="shared" si="2"/>
        <v>19.501059054022889</v>
      </c>
      <c r="O43" s="320"/>
    </row>
    <row r="44" spans="2:15">
      <c r="B44" s="356" t="str">
        <f t="shared" ref="B44:C53" si="3">B22</f>
        <v>25-29</v>
      </c>
      <c r="C44" s="300">
        <f t="shared" si="3"/>
        <v>15.050383662755035</v>
      </c>
      <c r="D44" s="300">
        <f t="shared" ref="D44:K53" si="4">C341</f>
        <v>17.400019590470382</v>
      </c>
      <c r="E44" s="300">
        <f t="shared" si="4"/>
        <v>20.784840482937938</v>
      </c>
      <c r="F44" s="300">
        <f t="shared" si="4"/>
        <v>24.055653455268864</v>
      </c>
      <c r="G44" s="300">
        <f t="shared" si="4"/>
        <v>26.659406555169934</v>
      </c>
      <c r="H44" s="300">
        <f t="shared" si="4"/>
        <v>28.650399041573522</v>
      </c>
      <c r="I44" s="300">
        <f t="shared" si="4"/>
        <v>30.087946543604865</v>
      </c>
      <c r="J44" s="300">
        <f t="shared" si="4"/>
        <v>31.284848398829048</v>
      </c>
      <c r="K44" s="300">
        <f t="shared" si="4"/>
        <v>32.333546150126175</v>
      </c>
      <c r="L44" s="300">
        <f t="shared" ref="L44:N53" si="5">K341</f>
        <v>33.092477036137026</v>
      </c>
      <c r="M44" s="300">
        <f t="shared" si="5"/>
        <v>33.538724677613033</v>
      </c>
      <c r="N44" s="300">
        <f t="shared" si="5"/>
        <v>33.572088190201335</v>
      </c>
      <c r="O44" s="320"/>
    </row>
    <row r="45" spans="2:15">
      <c r="B45" s="356" t="str">
        <f t="shared" si="3"/>
        <v>30-34</v>
      </c>
      <c r="C45" s="300">
        <f t="shared" si="3"/>
        <v>35.87740604275362</v>
      </c>
      <c r="D45" s="300">
        <f t="shared" si="4"/>
        <v>32.200891975286481</v>
      </c>
      <c r="E45" s="300">
        <f t="shared" si="4"/>
        <v>30.447457885276712</v>
      </c>
      <c r="F45" s="300">
        <f t="shared" si="4"/>
        <v>29.807923522813663</v>
      </c>
      <c r="G45" s="300">
        <f t="shared" si="4"/>
        <v>29.831279156177729</v>
      </c>
      <c r="H45" s="300">
        <f t="shared" si="4"/>
        <v>30.235511919344621</v>
      </c>
      <c r="I45" s="300">
        <f t="shared" si="4"/>
        <v>30.816238343351408</v>
      </c>
      <c r="J45" s="300">
        <f t="shared" si="4"/>
        <v>31.546977353061489</v>
      </c>
      <c r="K45" s="300">
        <f t="shared" si="4"/>
        <v>32.36554302424922</v>
      </c>
      <c r="L45" s="300">
        <f t="shared" si="5"/>
        <v>33.133204851920816</v>
      </c>
      <c r="M45" s="300">
        <f t="shared" si="5"/>
        <v>33.775147921650223</v>
      </c>
      <c r="N45" s="300">
        <f t="shared" si="5"/>
        <v>34.190901890766646</v>
      </c>
      <c r="O45" s="320"/>
    </row>
    <row r="46" spans="2:15">
      <c r="B46" s="356" t="str">
        <f t="shared" si="3"/>
        <v>35-39</v>
      </c>
      <c r="C46" s="300">
        <f t="shared" si="3"/>
        <v>32.931829126403038</v>
      </c>
      <c r="D46" s="300">
        <f t="shared" si="4"/>
        <v>33.170223840856636</v>
      </c>
      <c r="E46" s="300">
        <f t="shared" si="4"/>
        <v>33.096512174620003</v>
      </c>
      <c r="F46" s="300">
        <f t="shared" si="4"/>
        <v>32.713320656560278</v>
      </c>
      <c r="G46" s="300">
        <f t="shared" si="4"/>
        <v>32.243059401553765</v>
      </c>
      <c r="H46" s="300">
        <f t="shared" si="4"/>
        <v>31.825094953290513</v>
      </c>
      <c r="I46" s="300">
        <f t="shared" si="4"/>
        <v>31.522140526369526</v>
      </c>
      <c r="J46" s="300">
        <f t="shared" si="4"/>
        <v>31.428198383440748</v>
      </c>
      <c r="K46" s="300">
        <f t="shared" si="4"/>
        <v>31.533228505850872</v>
      </c>
      <c r="L46" s="300">
        <f t="shared" si="5"/>
        <v>31.736467789257581</v>
      </c>
      <c r="M46" s="300">
        <f t="shared" si="5"/>
        <v>31.977967409894426</v>
      </c>
      <c r="N46" s="300">
        <f t="shared" si="5"/>
        <v>32.169008663681907</v>
      </c>
      <c r="O46" s="320"/>
    </row>
    <row r="47" spans="2:15">
      <c r="B47" s="356" t="str">
        <f t="shared" si="3"/>
        <v>40-44</v>
      </c>
      <c r="C47" s="300">
        <f t="shared" si="3"/>
        <v>43.123684800749473</v>
      </c>
      <c r="D47" s="300">
        <f t="shared" si="4"/>
        <v>39.573374775482115</v>
      </c>
      <c r="E47" s="300">
        <f t="shared" si="4"/>
        <v>37.410169278214944</v>
      </c>
      <c r="F47" s="300">
        <f t="shared" si="4"/>
        <v>35.765667002663847</v>
      </c>
      <c r="G47" s="300">
        <f t="shared" si="4"/>
        <v>34.441899156067898</v>
      </c>
      <c r="H47" s="300">
        <f t="shared" si="4"/>
        <v>33.316730897099653</v>
      </c>
      <c r="I47" s="300">
        <f t="shared" si="4"/>
        <v>32.352203331547628</v>
      </c>
      <c r="J47" s="300">
        <f t="shared" si="4"/>
        <v>31.605234752410833</v>
      </c>
      <c r="K47" s="300">
        <f t="shared" si="4"/>
        <v>31.070659160625322</v>
      </c>
      <c r="L47" s="300">
        <f t="shared" si="5"/>
        <v>30.672586199417427</v>
      </c>
      <c r="M47" s="300">
        <f t="shared" si="5"/>
        <v>30.371521632090513</v>
      </c>
      <c r="N47" s="300">
        <f t="shared" si="5"/>
        <v>30.101320812462152</v>
      </c>
      <c r="O47" s="320"/>
    </row>
    <row r="48" spans="2:15">
      <c r="B48" s="356" t="str">
        <f t="shared" si="3"/>
        <v>45-49</v>
      </c>
      <c r="C48" s="300">
        <f t="shared" si="3"/>
        <v>30.094941405679467</v>
      </c>
      <c r="D48" s="300">
        <f t="shared" si="4"/>
        <v>31.27428651235763</v>
      </c>
      <c r="E48" s="300">
        <f t="shared" si="4"/>
        <v>31.828428894276001</v>
      </c>
      <c r="F48" s="300">
        <f t="shared" si="4"/>
        <v>31.793916324070796</v>
      </c>
      <c r="G48" s="300">
        <f t="shared" si="4"/>
        <v>31.444243072261795</v>
      </c>
      <c r="H48" s="300">
        <f t="shared" si="4"/>
        <v>30.896053137083051</v>
      </c>
      <c r="I48" s="300">
        <f t="shared" si="4"/>
        <v>30.242629365903444</v>
      </c>
      <c r="J48" s="300">
        <f t="shared" si="4"/>
        <v>29.604395037533795</v>
      </c>
      <c r="K48" s="300">
        <f t="shared" si="4"/>
        <v>29.027896511946299</v>
      </c>
      <c r="L48" s="300">
        <f t="shared" si="5"/>
        <v>28.489631581633603</v>
      </c>
      <c r="M48" s="300">
        <f t="shared" si="5"/>
        <v>27.986771433438001</v>
      </c>
      <c r="N48" s="300">
        <f t="shared" si="5"/>
        <v>27.489088962829598</v>
      </c>
      <c r="O48" s="320"/>
    </row>
    <row r="49" spans="1:16">
      <c r="B49" s="356" t="str">
        <f t="shared" si="3"/>
        <v>50-54</v>
      </c>
      <c r="C49" s="300">
        <f t="shared" si="3"/>
        <v>20.419888756677949</v>
      </c>
      <c r="D49" s="300">
        <f t="shared" si="4"/>
        <v>20.834694845541698</v>
      </c>
      <c r="E49" s="300">
        <f t="shared" si="4"/>
        <v>21.585762288190931</v>
      </c>
      <c r="F49" s="300">
        <f t="shared" si="4"/>
        <v>22.186734320367218</v>
      </c>
      <c r="G49" s="300">
        <f t="shared" si="4"/>
        <v>22.5883032705147</v>
      </c>
      <c r="H49" s="300">
        <f t="shared" si="4"/>
        <v>22.773837012352676</v>
      </c>
      <c r="I49" s="300">
        <f t="shared" si="4"/>
        <v>22.773694656526381</v>
      </c>
      <c r="J49" s="300">
        <f t="shared" si="4"/>
        <v>22.669753529764066</v>
      </c>
      <c r="K49" s="300">
        <f t="shared" si="4"/>
        <v>22.502923079704985</v>
      </c>
      <c r="L49" s="300">
        <f t="shared" si="5"/>
        <v>22.268518862531284</v>
      </c>
      <c r="M49" s="300">
        <f t="shared" si="5"/>
        <v>21.979981622690566</v>
      </c>
      <c r="N49" s="300">
        <f t="shared" si="5"/>
        <v>21.630829022151772</v>
      </c>
      <c r="O49" s="320"/>
    </row>
    <row r="50" spans="1:16">
      <c r="B50" s="356" t="str">
        <f t="shared" si="3"/>
        <v>55-59</v>
      </c>
      <c r="C50" s="300">
        <f t="shared" si="3"/>
        <v>5.5825978896848891</v>
      </c>
      <c r="D50" s="300">
        <f t="shared" si="4"/>
        <v>7.1149560846305882</v>
      </c>
      <c r="E50" s="300">
        <f t="shared" si="4"/>
        <v>8.2332619768641688</v>
      </c>
      <c r="F50" s="300">
        <f t="shared" si="4"/>
        <v>9.0283428538873256</v>
      </c>
      <c r="G50" s="300">
        <f t="shared" si="4"/>
        <v>9.5718776573671764</v>
      </c>
      <c r="H50" s="300">
        <f t="shared" si="4"/>
        <v>9.9357597470626846</v>
      </c>
      <c r="I50" s="300">
        <f t="shared" si="4"/>
        <v>10.160604416588734</v>
      </c>
      <c r="J50" s="300">
        <f t="shared" si="4"/>
        <v>10.303851964309468</v>
      </c>
      <c r="K50" s="300">
        <f t="shared" si="4"/>
        <v>10.3874956513101</v>
      </c>
      <c r="L50" s="300">
        <f t="shared" si="5"/>
        <v>10.403765385884929</v>
      </c>
      <c r="M50" s="300">
        <f t="shared" si="5"/>
        <v>10.360837388761787</v>
      </c>
      <c r="N50" s="300">
        <f t="shared" si="5"/>
        <v>10.255609968916168</v>
      </c>
      <c r="O50" s="320"/>
    </row>
    <row r="51" spans="1:16">
      <c r="B51" s="356" t="str">
        <f t="shared" si="3"/>
        <v>60-64</v>
      </c>
      <c r="C51" s="300">
        <f t="shared" si="3"/>
        <v>5.5059744204091645</v>
      </c>
      <c r="D51" s="300">
        <f t="shared" si="4"/>
        <v>3.8777037365397509</v>
      </c>
      <c r="E51" s="300">
        <f t="shared" si="4"/>
        <v>3.30869974097061</v>
      </c>
      <c r="F51" s="300">
        <f t="shared" si="4"/>
        <v>3.165693844788207</v>
      </c>
      <c r="G51" s="300">
        <f t="shared" si="4"/>
        <v>3.179999241629802</v>
      </c>
      <c r="H51" s="300">
        <f t="shared" si="4"/>
        <v>3.2446154671505587</v>
      </c>
      <c r="I51" s="300">
        <f t="shared" si="4"/>
        <v>3.312896047993565</v>
      </c>
      <c r="J51" s="300">
        <f t="shared" si="4"/>
        <v>3.3806287187934241</v>
      </c>
      <c r="K51" s="300">
        <f t="shared" si="4"/>
        <v>3.4402853365143704</v>
      </c>
      <c r="L51" s="300">
        <f t="shared" si="5"/>
        <v>3.4769622388370918</v>
      </c>
      <c r="M51" s="300">
        <f t="shared" si="5"/>
        <v>3.4889480567814335</v>
      </c>
      <c r="N51" s="300">
        <f t="shared" si="5"/>
        <v>3.4712862607177364</v>
      </c>
      <c r="O51" s="320"/>
    </row>
    <row r="52" spans="1:16">
      <c r="B52" s="356" t="str">
        <f t="shared" si="3"/>
        <v>65 plus</v>
      </c>
      <c r="C52" s="300">
        <f t="shared" si="3"/>
        <v>5.8098246794774271</v>
      </c>
      <c r="D52" s="300">
        <f t="shared" si="4"/>
        <v>4.2550466847219726</v>
      </c>
      <c r="E52" s="300">
        <f t="shared" si="4"/>
        <v>3.1603026850902851</v>
      </c>
      <c r="F52" s="300">
        <f t="shared" si="4"/>
        <v>2.4219098213787729</v>
      </c>
      <c r="G52" s="300">
        <f t="shared" si="4"/>
        <v>1.9610336300369358</v>
      </c>
      <c r="H52" s="300">
        <f t="shared" si="4"/>
        <v>1.6814937589140388</v>
      </c>
      <c r="I52" s="300">
        <f t="shared" si="4"/>
        <v>1.5174917845372276</v>
      </c>
      <c r="J52" s="300">
        <f t="shared" si="4"/>
        <v>1.428142817248454</v>
      </c>
      <c r="K52" s="300">
        <f t="shared" si="4"/>
        <v>1.3844854207715658</v>
      </c>
      <c r="L52" s="300">
        <f t="shared" si="5"/>
        <v>1.3639968178208997</v>
      </c>
      <c r="M52" s="300">
        <f t="shared" si="5"/>
        <v>1.353400665606165</v>
      </c>
      <c r="N52" s="300">
        <f t="shared" si="5"/>
        <v>1.3429516355695406</v>
      </c>
      <c r="O52" s="320"/>
    </row>
    <row r="53" spans="1:16">
      <c r="B53" s="356" t="str">
        <f t="shared" si="3"/>
        <v>Total</v>
      </c>
      <c r="C53" s="300">
        <f t="shared" si="3"/>
        <v>199.78071304829831</v>
      </c>
      <c r="D53" s="300">
        <f t="shared" si="4"/>
        <v>198.91402768509849</v>
      </c>
      <c r="E53" s="300">
        <f t="shared" si="4"/>
        <v>202.70906308514324</v>
      </c>
      <c r="F53" s="300">
        <f t="shared" si="4"/>
        <v>206.53213995182577</v>
      </c>
      <c r="G53" s="300">
        <f t="shared" si="4"/>
        <v>209.17548024780339</v>
      </c>
      <c r="H53" s="300">
        <f t="shared" si="4"/>
        <v>210.79121255959075</v>
      </c>
      <c r="I53" s="300">
        <f t="shared" si="4"/>
        <v>211.52744264294213</v>
      </c>
      <c r="J53" s="300">
        <f t="shared" si="4"/>
        <v>212.41442475918785</v>
      </c>
      <c r="K53" s="300">
        <f t="shared" si="4"/>
        <v>213.6079430442359</v>
      </c>
      <c r="L53" s="300">
        <f t="shared" si="5"/>
        <v>214.40906541051785</v>
      </c>
      <c r="M53" s="300">
        <f t="shared" si="5"/>
        <v>214.61366764625461</v>
      </c>
      <c r="N53" s="300">
        <f t="shared" si="5"/>
        <v>213.72414446131972</v>
      </c>
      <c r="O53" s="320"/>
    </row>
    <row r="54" spans="1:16">
      <c r="A54" s="302">
        <f>SUM(C54:N54)</f>
        <v>0</v>
      </c>
      <c r="C54" s="302">
        <f>SUM(C43:C52)-C53</f>
        <v>0</v>
      </c>
      <c r="D54" s="302">
        <f t="shared" ref="D54:N54" si="6">SUM(D43:D52)-D53</f>
        <v>0</v>
      </c>
      <c r="E54" s="302">
        <f t="shared" si="6"/>
        <v>0</v>
      </c>
      <c r="F54" s="302">
        <f t="shared" si="6"/>
        <v>0</v>
      </c>
      <c r="G54" s="302">
        <f t="shared" si="6"/>
        <v>0</v>
      </c>
      <c r="H54" s="302">
        <f t="shared" si="6"/>
        <v>0</v>
      </c>
      <c r="I54" s="302">
        <f t="shared" si="6"/>
        <v>0</v>
      </c>
      <c r="J54" s="302">
        <f t="shared" si="6"/>
        <v>0</v>
      </c>
      <c r="K54" s="302">
        <f t="shared" si="6"/>
        <v>0</v>
      </c>
      <c r="L54" s="302">
        <f t="shared" si="6"/>
        <v>0</v>
      </c>
      <c r="M54" s="302">
        <f t="shared" si="6"/>
        <v>0</v>
      </c>
      <c r="N54" s="302">
        <f t="shared" si="6"/>
        <v>0</v>
      </c>
    </row>
    <row r="56" spans="1:16">
      <c r="B56" s="334" t="s">
        <v>47</v>
      </c>
      <c r="H56" s="318"/>
    </row>
    <row r="57" spans="1:16">
      <c r="H57" s="318"/>
    </row>
    <row r="58" spans="1:16">
      <c r="B58" s="331" t="str">
        <f t="shared" ref="B58:B69" si="7">B42</f>
        <v>Age group</v>
      </c>
      <c r="C58" s="331" t="str">
        <f t="shared" ref="C58:N58" si="8">C42</f>
        <v>2017/18</v>
      </c>
      <c r="D58" s="331" t="str">
        <f t="shared" si="8"/>
        <v>2018/19</v>
      </c>
      <c r="E58" s="331" t="str">
        <f t="shared" si="8"/>
        <v>2019/20</v>
      </c>
      <c r="F58" s="331" t="str">
        <f t="shared" si="8"/>
        <v>2020/21</v>
      </c>
      <c r="G58" s="331" t="str">
        <f t="shared" si="8"/>
        <v>2021/22</v>
      </c>
      <c r="H58" s="331" t="str">
        <f t="shared" si="8"/>
        <v>2022/23</v>
      </c>
      <c r="I58" s="331" t="str">
        <f t="shared" si="8"/>
        <v>2023/24</v>
      </c>
      <c r="J58" s="331" t="str">
        <f t="shared" si="8"/>
        <v>2024/25</v>
      </c>
      <c r="K58" s="331" t="str">
        <f t="shared" si="8"/>
        <v>2025/26</v>
      </c>
      <c r="L58" s="331" t="str">
        <f t="shared" si="8"/>
        <v>2026/27</v>
      </c>
      <c r="M58" s="331" t="str">
        <f t="shared" si="8"/>
        <v>2027/28</v>
      </c>
      <c r="N58" s="331" t="str">
        <f t="shared" si="8"/>
        <v>2028/29</v>
      </c>
    </row>
    <row r="59" spans="1:16">
      <c r="B59" s="331" t="str">
        <f t="shared" si="7"/>
        <v>20-24</v>
      </c>
      <c r="C59" s="300">
        <f t="shared" ref="C59:C69" si="9">D21</f>
        <v>32.073284195807958</v>
      </c>
      <c r="D59" s="300">
        <f t="shared" ref="D59:N59" si="10">C356</f>
        <v>71.57141643598753</v>
      </c>
      <c r="E59" s="300">
        <f t="shared" si="10"/>
        <v>107.73509767779834</v>
      </c>
      <c r="F59" s="300">
        <f t="shared" si="10"/>
        <v>135.04949968052568</v>
      </c>
      <c r="G59" s="300">
        <f t="shared" si="10"/>
        <v>151.5157714497476</v>
      </c>
      <c r="H59" s="300">
        <f t="shared" si="10"/>
        <v>161.36882271953129</v>
      </c>
      <c r="I59" s="300">
        <f t="shared" si="10"/>
        <v>166.69658470147118</v>
      </c>
      <c r="J59" s="300">
        <f t="shared" si="10"/>
        <v>171.00134007231492</v>
      </c>
      <c r="K59" s="300">
        <f t="shared" si="10"/>
        <v>174.95916663582375</v>
      </c>
      <c r="L59" s="300">
        <f t="shared" si="10"/>
        <v>177.09837765872132</v>
      </c>
      <c r="M59" s="300">
        <f t="shared" si="10"/>
        <v>177.35535805142752</v>
      </c>
      <c r="N59" s="300">
        <f t="shared" si="10"/>
        <v>174.96527137391791</v>
      </c>
      <c r="O59" s="320"/>
      <c r="P59" s="320"/>
    </row>
    <row r="60" spans="1:16">
      <c r="B60" s="331" t="str">
        <f t="shared" si="7"/>
        <v>25-29</v>
      </c>
      <c r="C60" s="300">
        <f t="shared" si="9"/>
        <v>199.15350658912959</v>
      </c>
      <c r="D60" s="300">
        <f t="shared" ref="D60:K69" si="11">C357</f>
        <v>200.21564578655753</v>
      </c>
      <c r="E60" s="300">
        <f t="shared" si="11"/>
        <v>216.52744452206127</v>
      </c>
      <c r="F60" s="300">
        <f t="shared" si="11"/>
        <v>236.59209689716371</v>
      </c>
      <c r="G60" s="300">
        <f t="shared" si="11"/>
        <v>253.12538643333781</v>
      </c>
      <c r="H60" s="300">
        <f t="shared" si="11"/>
        <v>266.28719642136673</v>
      </c>
      <c r="I60" s="300">
        <f t="shared" si="11"/>
        <v>275.94580421749203</v>
      </c>
      <c r="J60" s="300">
        <f t="shared" si="11"/>
        <v>284.45923320162808</v>
      </c>
      <c r="K60" s="300">
        <f t="shared" si="11"/>
        <v>292.34037728299137</v>
      </c>
      <c r="L60" s="300">
        <f t="shared" ref="L60:N69" si="12">K357</f>
        <v>298.0944641211762</v>
      </c>
      <c r="M60" s="300">
        <f t="shared" si="12"/>
        <v>301.36677621468993</v>
      </c>
      <c r="N60" s="300">
        <f t="shared" si="12"/>
        <v>301.1543534657315</v>
      </c>
      <c r="O60" s="320"/>
      <c r="P60" s="320"/>
    </row>
    <row r="61" spans="1:16">
      <c r="B61" s="331" t="str">
        <f t="shared" si="7"/>
        <v>30-34</v>
      </c>
      <c r="C61" s="300">
        <f t="shared" si="9"/>
        <v>203.72642999413424</v>
      </c>
      <c r="D61" s="300">
        <f t="shared" si="11"/>
        <v>211.31602558965662</v>
      </c>
      <c r="E61" s="300">
        <f t="shared" si="11"/>
        <v>221.21328002036134</v>
      </c>
      <c r="F61" s="300">
        <f t="shared" si="11"/>
        <v>232.18160158276831</v>
      </c>
      <c r="G61" s="300">
        <f t="shared" si="11"/>
        <v>242.34916563272131</v>
      </c>
      <c r="H61" s="300">
        <f t="shared" si="11"/>
        <v>251.96239513095571</v>
      </c>
      <c r="I61" s="300">
        <f t="shared" si="11"/>
        <v>260.61482315979578</v>
      </c>
      <c r="J61" s="300">
        <f t="shared" si="11"/>
        <v>269.0151594528665</v>
      </c>
      <c r="K61" s="300">
        <f t="shared" si="11"/>
        <v>277.2095028600653</v>
      </c>
      <c r="L61" s="300">
        <f t="shared" si="12"/>
        <v>284.3385258009161</v>
      </c>
      <c r="M61" s="300">
        <f t="shared" si="12"/>
        <v>289.99034568280325</v>
      </c>
      <c r="N61" s="300">
        <f t="shared" si="12"/>
        <v>293.43272856885466</v>
      </c>
      <c r="O61" s="320"/>
      <c r="P61" s="320"/>
    </row>
    <row r="62" spans="1:16">
      <c r="B62" s="331" t="str">
        <f t="shared" si="7"/>
        <v>35-39</v>
      </c>
      <c r="C62" s="300">
        <f t="shared" si="9"/>
        <v>239.50711262426566</v>
      </c>
      <c r="D62" s="300">
        <f t="shared" si="11"/>
        <v>232.54788129801665</v>
      </c>
      <c r="E62" s="300">
        <f t="shared" si="11"/>
        <v>231.86007838971153</v>
      </c>
      <c r="F62" s="300">
        <f t="shared" si="11"/>
        <v>233.61164164356634</v>
      </c>
      <c r="G62" s="300">
        <f t="shared" si="11"/>
        <v>235.69097228875404</v>
      </c>
      <c r="H62" s="300">
        <f t="shared" si="11"/>
        <v>238.43364597181562</v>
      </c>
      <c r="I62" s="300">
        <f t="shared" si="11"/>
        <v>241.60970150975899</v>
      </c>
      <c r="J62" s="300">
        <f t="shared" si="11"/>
        <v>245.74391643559537</v>
      </c>
      <c r="K62" s="300">
        <f t="shared" si="11"/>
        <v>250.67675580106953</v>
      </c>
      <c r="L62" s="300">
        <f t="shared" si="12"/>
        <v>255.56366132700083</v>
      </c>
      <c r="M62" s="300">
        <f t="shared" si="12"/>
        <v>259.99322301661948</v>
      </c>
      <c r="N62" s="300">
        <f t="shared" si="12"/>
        <v>263.3153369333927</v>
      </c>
      <c r="O62" s="320"/>
      <c r="P62" s="320"/>
    </row>
    <row r="63" spans="1:16">
      <c r="B63" s="331" t="str">
        <f t="shared" si="7"/>
        <v>40-44</v>
      </c>
      <c r="C63" s="300">
        <f t="shared" si="9"/>
        <v>242.61921335409983</v>
      </c>
      <c r="D63" s="300">
        <f t="shared" si="11"/>
        <v>238.57440292949283</v>
      </c>
      <c r="E63" s="300">
        <f t="shared" si="11"/>
        <v>236.91380884175615</v>
      </c>
      <c r="F63" s="300">
        <f t="shared" si="11"/>
        <v>235.88635565538544</v>
      </c>
      <c r="G63" s="300">
        <f t="shared" si="11"/>
        <v>234.36118125658334</v>
      </c>
      <c r="H63" s="300">
        <f t="shared" si="11"/>
        <v>233.06185573088013</v>
      </c>
      <c r="I63" s="300">
        <f t="shared" si="11"/>
        <v>232.09105436151185</v>
      </c>
      <c r="J63" s="300">
        <f t="shared" si="11"/>
        <v>232.1422284991319</v>
      </c>
      <c r="K63" s="300">
        <f t="shared" si="11"/>
        <v>233.24034660219976</v>
      </c>
      <c r="L63" s="300">
        <f t="shared" si="12"/>
        <v>234.74223711653954</v>
      </c>
      <c r="M63" s="300">
        <f t="shared" si="12"/>
        <v>236.33627441865951</v>
      </c>
      <c r="N63" s="300">
        <f t="shared" si="12"/>
        <v>237.48443263060278</v>
      </c>
      <c r="O63" s="320"/>
      <c r="P63" s="320"/>
    </row>
    <row r="64" spans="1:16">
      <c r="B64" s="331" t="str">
        <f t="shared" si="7"/>
        <v>45-49</v>
      </c>
      <c r="C64" s="300">
        <f t="shared" si="9"/>
        <v>286.65030336604741</v>
      </c>
      <c r="D64" s="300">
        <f t="shared" si="11"/>
        <v>265.67366674899699</v>
      </c>
      <c r="E64" s="300">
        <f t="shared" si="11"/>
        <v>251.71954858244357</v>
      </c>
      <c r="F64" s="300">
        <f t="shared" si="11"/>
        <v>241.40499633286572</v>
      </c>
      <c r="G64" s="300">
        <f t="shared" si="11"/>
        <v>232.76213917798538</v>
      </c>
      <c r="H64" s="300">
        <f t="shared" si="11"/>
        <v>225.76121000478108</v>
      </c>
      <c r="I64" s="300">
        <f t="shared" si="11"/>
        <v>220.02579349660672</v>
      </c>
      <c r="J64" s="300">
        <f t="shared" si="11"/>
        <v>215.83359683180552</v>
      </c>
      <c r="K64" s="300">
        <f t="shared" si="11"/>
        <v>213.04416660099747</v>
      </c>
      <c r="L64" s="300">
        <f t="shared" si="12"/>
        <v>211.05050363352561</v>
      </c>
      <c r="M64" s="300">
        <f t="shared" si="12"/>
        <v>209.54972034140536</v>
      </c>
      <c r="N64" s="300">
        <f t="shared" si="12"/>
        <v>208.07703787962421</v>
      </c>
      <c r="O64" s="320"/>
      <c r="P64" s="320"/>
    </row>
    <row r="65" spans="1:16">
      <c r="B65" s="331" t="str">
        <f t="shared" si="7"/>
        <v>50-54</v>
      </c>
      <c r="C65" s="300">
        <f t="shared" si="9"/>
        <v>287.82594154626992</v>
      </c>
      <c r="D65" s="300">
        <f t="shared" si="11"/>
        <v>264.40743061995289</v>
      </c>
      <c r="E65" s="300">
        <f t="shared" si="11"/>
        <v>245.57514093915532</v>
      </c>
      <c r="F65" s="300">
        <f t="shared" si="11"/>
        <v>229.77281108490652</v>
      </c>
      <c r="G65" s="300">
        <f t="shared" si="11"/>
        <v>215.99414856693647</v>
      </c>
      <c r="H65" s="300">
        <f t="shared" si="11"/>
        <v>204.39436304335737</v>
      </c>
      <c r="I65" s="300">
        <f t="shared" si="11"/>
        <v>194.64899977553978</v>
      </c>
      <c r="J65" s="300">
        <f t="shared" si="11"/>
        <v>186.85664339521765</v>
      </c>
      <c r="K65" s="300">
        <f t="shared" si="11"/>
        <v>180.78940632679294</v>
      </c>
      <c r="L65" s="300">
        <f t="shared" si="12"/>
        <v>175.88380228862465</v>
      </c>
      <c r="M65" s="300">
        <f t="shared" si="12"/>
        <v>171.82277936911697</v>
      </c>
      <c r="N65" s="300">
        <f t="shared" si="12"/>
        <v>168.18911626870249</v>
      </c>
      <c r="O65" s="320"/>
      <c r="P65" s="320"/>
    </row>
    <row r="66" spans="1:16">
      <c r="B66" s="331" t="str">
        <f t="shared" si="7"/>
        <v>55-59</v>
      </c>
      <c r="C66" s="300">
        <f t="shared" si="9"/>
        <v>237.67734497311355</v>
      </c>
      <c r="D66" s="300">
        <f t="shared" si="11"/>
        <v>194.26002818627347</v>
      </c>
      <c r="E66" s="300">
        <f t="shared" si="11"/>
        <v>165.30647734184643</v>
      </c>
      <c r="F66" s="300">
        <f t="shared" si="11"/>
        <v>144.92974242681407</v>
      </c>
      <c r="G66" s="300">
        <f t="shared" si="11"/>
        <v>129.72127327042361</v>
      </c>
      <c r="H66" s="300">
        <f t="shared" si="11"/>
        <v>118.20206838034466</v>
      </c>
      <c r="I66" s="300">
        <f t="shared" si="11"/>
        <v>109.26410490071933</v>
      </c>
      <c r="J66" s="300">
        <f t="shared" si="11"/>
        <v>102.44248174509404</v>
      </c>
      <c r="K66" s="300">
        <f t="shared" si="11"/>
        <v>97.245808551630603</v>
      </c>
      <c r="L66" s="300">
        <f t="shared" si="12"/>
        <v>93.097102748374326</v>
      </c>
      <c r="M66" s="300">
        <f t="shared" si="12"/>
        <v>89.683524245803127</v>
      </c>
      <c r="N66" s="300">
        <f t="shared" si="12"/>
        <v>86.676996582199223</v>
      </c>
      <c r="O66" s="320"/>
      <c r="P66" s="320"/>
    </row>
    <row r="67" spans="1:16">
      <c r="B67" s="331" t="str">
        <f t="shared" si="7"/>
        <v>60-64</v>
      </c>
      <c r="C67" s="300">
        <f t="shared" si="9"/>
        <v>55.541176113990467</v>
      </c>
      <c r="D67" s="300">
        <f t="shared" si="11"/>
        <v>62.010508817239042</v>
      </c>
      <c r="E67" s="300">
        <f t="shared" si="11"/>
        <v>60.274276085845017</v>
      </c>
      <c r="F67" s="300">
        <f t="shared" si="11"/>
        <v>55.737304895902284</v>
      </c>
      <c r="G67" s="300">
        <f t="shared" si="11"/>
        <v>50.59779861878387</v>
      </c>
      <c r="H67" s="300">
        <f t="shared" si="11"/>
        <v>45.91990125054361</v>
      </c>
      <c r="I67" s="300">
        <f t="shared" si="11"/>
        <v>41.956963899091875</v>
      </c>
      <c r="J67" s="300">
        <f t="shared" si="11"/>
        <v>38.827249926216808</v>
      </c>
      <c r="K67" s="300">
        <f t="shared" si="11"/>
        <v>36.417240034487477</v>
      </c>
      <c r="L67" s="300">
        <f t="shared" si="12"/>
        <v>34.481400466239776</v>
      </c>
      <c r="M67" s="300">
        <f t="shared" si="12"/>
        <v>32.882915816787836</v>
      </c>
      <c r="N67" s="300">
        <f t="shared" si="12"/>
        <v>31.465805082337255</v>
      </c>
      <c r="O67" s="320"/>
      <c r="P67" s="320"/>
    </row>
    <row r="68" spans="1:16">
      <c r="B68" s="331" t="str">
        <f t="shared" si="7"/>
        <v>65 plus</v>
      </c>
      <c r="C68" s="300">
        <f t="shared" si="9"/>
        <v>13.68287286599959</v>
      </c>
      <c r="D68" s="300">
        <f t="shared" si="11"/>
        <v>16.762470869971029</v>
      </c>
      <c r="E68" s="300">
        <f t="shared" si="11"/>
        <v>19.701968714207503</v>
      </c>
      <c r="F68" s="300">
        <f t="shared" si="11"/>
        <v>21.351979737629815</v>
      </c>
      <c r="G68" s="300">
        <f t="shared" si="11"/>
        <v>21.741527529146975</v>
      </c>
      <c r="H68" s="300">
        <f t="shared" si="11"/>
        <v>21.302537641354419</v>
      </c>
      <c r="I68" s="300">
        <f t="shared" si="11"/>
        <v>20.398182205725618</v>
      </c>
      <c r="J68" s="300">
        <f t="shared" si="11"/>
        <v>19.330670470309084</v>
      </c>
      <c r="K68" s="300">
        <f t="shared" si="11"/>
        <v>18.272566737521291</v>
      </c>
      <c r="L68" s="300">
        <f t="shared" si="12"/>
        <v>17.28151608783303</v>
      </c>
      <c r="M68" s="300">
        <f t="shared" si="12"/>
        <v>16.381693451616165</v>
      </c>
      <c r="N68" s="300">
        <f t="shared" si="12"/>
        <v>15.557176296425819</v>
      </c>
      <c r="O68" s="320"/>
      <c r="P68" s="320"/>
    </row>
    <row r="69" spans="1:16">
      <c r="B69" s="331" t="str">
        <f t="shared" si="7"/>
        <v>Total</v>
      </c>
      <c r="C69" s="300">
        <f t="shared" si="9"/>
        <v>1798.4571856228583</v>
      </c>
      <c r="D69" s="300">
        <f t="shared" si="11"/>
        <v>1757.3394772821448</v>
      </c>
      <c r="E69" s="300">
        <f t="shared" si="11"/>
        <v>1756.8271211151862</v>
      </c>
      <c r="F69" s="300">
        <f t="shared" si="11"/>
        <v>1766.5180299375279</v>
      </c>
      <c r="G69" s="300">
        <f t="shared" si="11"/>
        <v>1767.85936422442</v>
      </c>
      <c r="H69" s="300">
        <f t="shared" si="11"/>
        <v>1766.6939962949305</v>
      </c>
      <c r="I69" s="300">
        <f t="shared" si="11"/>
        <v>1763.2520122277131</v>
      </c>
      <c r="J69" s="300">
        <f t="shared" si="11"/>
        <v>1765.6525200301799</v>
      </c>
      <c r="K69" s="300">
        <f t="shared" si="11"/>
        <v>1774.1953374335794</v>
      </c>
      <c r="L69" s="300">
        <f t="shared" si="12"/>
        <v>1781.6315912489513</v>
      </c>
      <c r="M69" s="300">
        <f t="shared" si="12"/>
        <v>1785.3626106089291</v>
      </c>
      <c r="N69" s="300">
        <f t="shared" si="12"/>
        <v>1780.3182550817887</v>
      </c>
      <c r="O69" s="320"/>
      <c r="P69" s="320"/>
    </row>
    <row r="70" spans="1:16">
      <c r="A70" s="302">
        <f>SUM(C70:N70)</f>
        <v>0</v>
      </c>
      <c r="C70" s="302">
        <f>SUM(C59:C68)-C69</f>
        <v>0</v>
      </c>
      <c r="D70" s="302">
        <f t="shared" ref="D70:N70" si="13">SUM(D59:D68)-D69</f>
        <v>0</v>
      </c>
      <c r="E70" s="302">
        <f t="shared" si="13"/>
        <v>0</v>
      </c>
      <c r="F70" s="302">
        <f t="shared" si="13"/>
        <v>0</v>
      </c>
      <c r="G70" s="302">
        <f t="shared" si="13"/>
        <v>0</v>
      </c>
      <c r="H70" s="302">
        <f t="shared" si="13"/>
        <v>0</v>
      </c>
      <c r="I70" s="302">
        <f t="shared" si="13"/>
        <v>0</v>
      </c>
      <c r="J70" s="302">
        <f t="shared" si="13"/>
        <v>0</v>
      </c>
      <c r="K70" s="302">
        <f t="shared" si="13"/>
        <v>0</v>
      </c>
      <c r="L70" s="302">
        <f t="shared" si="13"/>
        <v>0</v>
      </c>
      <c r="M70" s="302">
        <f t="shared" si="13"/>
        <v>0</v>
      </c>
      <c r="N70" s="302">
        <f t="shared" si="13"/>
        <v>0</v>
      </c>
    </row>
    <row r="72" spans="1:16" ht="15.75">
      <c r="B72" s="333" t="s">
        <v>163</v>
      </c>
      <c r="H72" s="318"/>
    </row>
    <row r="73" spans="1:16">
      <c r="H73" s="318"/>
    </row>
    <row r="74" spans="1:16">
      <c r="B74" s="334" t="s">
        <v>46</v>
      </c>
      <c r="C74" s="256" t="s">
        <v>456</v>
      </c>
      <c r="H74" s="318"/>
    </row>
    <row r="75" spans="1:16">
      <c r="H75" s="318"/>
    </row>
    <row r="76" spans="1:16">
      <c r="B76" s="331" t="str">
        <f t="shared" ref="B76:B87" si="14">B42</f>
        <v>Age group</v>
      </c>
      <c r="C76" s="331" t="str">
        <f t="shared" ref="C76:N76" si="15">C42</f>
        <v>2017/18</v>
      </c>
      <c r="D76" s="331" t="str">
        <f t="shared" si="15"/>
        <v>2018/19</v>
      </c>
      <c r="E76" s="331" t="str">
        <f t="shared" si="15"/>
        <v>2019/20</v>
      </c>
      <c r="F76" s="331" t="str">
        <f t="shared" si="15"/>
        <v>2020/21</v>
      </c>
      <c r="G76" s="331" t="str">
        <f t="shared" si="15"/>
        <v>2021/22</v>
      </c>
      <c r="H76" s="331" t="str">
        <f t="shared" si="15"/>
        <v>2022/23</v>
      </c>
      <c r="I76" s="331" t="str">
        <f t="shared" si="15"/>
        <v>2023/24</v>
      </c>
      <c r="J76" s="331" t="str">
        <f t="shared" si="15"/>
        <v>2024/25</v>
      </c>
      <c r="K76" s="331" t="str">
        <f t="shared" si="15"/>
        <v>2025/26</v>
      </c>
      <c r="L76" s="331" t="str">
        <f t="shared" si="15"/>
        <v>2026/27</v>
      </c>
      <c r="M76" s="331" t="str">
        <f t="shared" si="15"/>
        <v>2027/28</v>
      </c>
      <c r="N76" s="331" t="str">
        <f t="shared" si="15"/>
        <v>2028/29</v>
      </c>
    </row>
    <row r="77" spans="1:16">
      <c r="B77" s="331" t="str">
        <f t="shared" si="14"/>
        <v>20-24</v>
      </c>
      <c r="C77" s="447">
        <f>C43-(0.2*C43)</f>
        <v>4.3073458109666243</v>
      </c>
      <c r="D77" s="447">
        <f>D43-(0.2*D43)</f>
        <v>7.3702637113689935</v>
      </c>
      <c r="E77" s="447">
        <f t="shared" ref="E77:N77" si="16">E43-(0.2*E43)</f>
        <v>10.28290214296133</v>
      </c>
      <c r="F77" s="447">
        <f t="shared" si="16"/>
        <v>12.474382520021454</v>
      </c>
      <c r="G77" s="447">
        <f t="shared" si="16"/>
        <v>13.803503285618939</v>
      </c>
      <c r="H77" s="447">
        <f t="shared" si="16"/>
        <v>14.585373300575544</v>
      </c>
      <c r="I77" s="447">
        <f t="shared" si="16"/>
        <v>14.993278101215481</v>
      </c>
      <c r="J77" s="447">
        <f t="shared" si="16"/>
        <v>15.329915043037213</v>
      </c>
      <c r="K77" s="447">
        <f t="shared" si="16"/>
        <v>15.649504162509572</v>
      </c>
      <c r="L77" s="447">
        <f t="shared" si="16"/>
        <v>15.817163717661751</v>
      </c>
      <c r="M77" s="447">
        <f t="shared" si="16"/>
        <v>15.82429347018279</v>
      </c>
      <c r="N77" s="447">
        <f t="shared" si="16"/>
        <v>15.600847243218311</v>
      </c>
    </row>
    <row r="78" spans="1:16">
      <c r="B78" s="331" t="str">
        <f t="shared" si="14"/>
        <v>25-29</v>
      </c>
      <c r="C78" s="447">
        <f t="shared" ref="C78:C85" si="17">C44+(0.2*C43)-(0.2*C44)</f>
        <v>13.117143382945684</v>
      </c>
      <c r="D78" s="447">
        <f t="shared" ref="D78:N78" si="18">D44+(0.2*D43)-(0.2*D44)</f>
        <v>15.762581600218553</v>
      </c>
      <c r="E78" s="447">
        <f t="shared" si="18"/>
        <v>19.198597922090684</v>
      </c>
      <c r="F78" s="447">
        <f t="shared" si="18"/>
        <v>22.363118394220454</v>
      </c>
      <c r="G78" s="447">
        <f t="shared" si="18"/>
        <v>24.778401065540685</v>
      </c>
      <c r="H78" s="447">
        <f t="shared" si="18"/>
        <v>26.566662558402705</v>
      </c>
      <c r="I78" s="447">
        <f t="shared" si="18"/>
        <v>27.818676760187763</v>
      </c>
      <c r="J78" s="447">
        <f t="shared" si="18"/>
        <v>28.86035747982254</v>
      </c>
      <c r="K78" s="447">
        <f t="shared" si="18"/>
        <v>29.779212960728334</v>
      </c>
      <c r="L78" s="447">
        <f t="shared" si="18"/>
        <v>30.428272558325055</v>
      </c>
      <c r="M78" s="447">
        <f t="shared" si="18"/>
        <v>30.787053109636126</v>
      </c>
      <c r="N78" s="447">
        <f t="shared" si="18"/>
        <v>30.757882362965645</v>
      </c>
    </row>
    <row r="79" spans="1:16">
      <c r="B79" s="331" t="str">
        <f t="shared" si="14"/>
        <v>30-34</v>
      </c>
      <c r="C79" s="447">
        <f t="shared" si="17"/>
        <v>31.712001566753901</v>
      </c>
      <c r="D79" s="447">
        <f t="shared" ref="D79:N79" si="19">D45+(0.2*D44)-(0.2*D45)</f>
        <v>29.240717498323264</v>
      </c>
      <c r="E79" s="447">
        <f t="shared" si="19"/>
        <v>28.514934404808962</v>
      </c>
      <c r="F79" s="447">
        <f t="shared" si="19"/>
        <v>28.657469509304704</v>
      </c>
      <c r="G79" s="447">
        <f t="shared" si="19"/>
        <v>29.196904635976171</v>
      </c>
      <c r="H79" s="447">
        <f t="shared" si="19"/>
        <v>29.918489343790398</v>
      </c>
      <c r="I79" s="447">
        <f t="shared" si="19"/>
        <v>30.670579983402099</v>
      </c>
      <c r="J79" s="447">
        <f t="shared" si="19"/>
        <v>31.494551562214998</v>
      </c>
      <c r="K79" s="447">
        <f t="shared" si="19"/>
        <v>32.35914364942461</v>
      </c>
      <c r="L79" s="447">
        <f t="shared" si="19"/>
        <v>33.125059288764056</v>
      </c>
      <c r="M79" s="447">
        <f t="shared" si="19"/>
        <v>33.727863272842782</v>
      </c>
      <c r="N79" s="447">
        <f t="shared" si="19"/>
        <v>34.067139150653581</v>
      </c>
    </row>
    <row r="80" spans="1:16">
      <c r="B80" s="331" t="str">
        <f t="shared" si="14"/>
        <v>35-39</v>
      </c>
      <c r="C80" s="447">
        <f t="shared" si="17"/>
        <v>33.520944509673157</v>
      </c>
      <c r="D80" s="447">
        <f t="shared" ref="D80:N80" si="20">D46+(0.2*D45)-(0.2*D46)</f>
        <v>32.976357467742602</v>
      </c>
      <c r="E80" s="447">
        <f t="shared" si="20"/>
        <v>32.566701316751342</v>
      </c>
      <c r="F80" s="447">
        <f t="shared" si="20"/>
        <v>32.132241229810951</v>
      </c>
      <c r="G80" s="447">
        <f t="shared" si="20"/>
        <v>31.760703352478554</v>
      </c>
      <c r="H80" s="447">
        <f t="shared" si="20"/>
        <v>31.50717834650133</v>
      </c>
      <c r="I80" s="447">
        <f t="shared" si="20"/>
        <v>31.3809600897659</v>
      </c>
      <c r="J80" s="447">
        <f t="shared" si="20"/>
        <v>31.451954177364897</v>
      </c>
      <c r="K80" s="447">
        <f t="shared" si="20"/>
        <v>31.699691409530537</v>
      </c>
      <c r="L80" s="447">
        <f t="shared" si="20"/>
        <v>32.015815201790232</v>
      </c>
      <c r="M80" s="447">
        <f t="shared" si="20"/>
        <v>32.337403512245587</v>
      </c>
      <c r="N80" s="447">
        <f t="shared" si="20"/>
        <v>32.573387309098855</v>
      </c>
    </row>
    <row r="81" spans="1:15">
      <c r="B81" s="331" t="str">
        <f t="shared" si="14"/>
        <v>40-44</v>
      </c>
      <c r="C81" s="447">
        <f t="shared" si="17"/>
        <v>41.085313665880186</v>
      </c>
      <c r="D81" s="447">
        <f t="shared" ref="D81:N81" si="21">D47+(0.2*D46)-(0.2*D47)</f>
        <v>38.292744588557021</v>
      </c>
      <c r="E81" s="447">
        <f t="shared" si="21"/>
        <v>36.547437857495957</v>
      </c>
      <c r="F81" s="447">
        <f t="shared" si="21"/>
        <v>35.155197733443131</v>
      </c>
      <c r="G81" s="447">
        <f t="shared" si="21"/>
        <v>34.002131205165071</v>
      </c>
      <c r="H81" s="447">
        <f t="shared" si="21"/>
        <v>33.018403708337821</v>
      </c>
      <c r="I81" s="447">
        <f t="shared" si="21"/>
        <v>32.186190770512006</v>
      </c>
      <c r="J81" s="447">
        <f t="shared" si="21"/>
        <v>31.569827478616819</v>
      </c>
      <c r="K81" s="447">
        <f t="shared" si="21"/>
        <v>31.163173029670428</v>
      </c>
      <c r="L81" s="447">
        <f t="shared" si="21"/>
        <v>30.88536251738546</v>
      </c>
      <c r="M81" s="447">
        <f t="shared" si="21"/>
        <v>30.692810787651297</v>
      </c>
      <c r="N81" s="447">
        <f t="shared" si="21"/>
        <v>30.514858382706102</v>
      </c>
    </row>
    <row r="82" spans="1:15">
      <c r="B82" s="331" t="str">
        <f t="shared" si="14"/>
        <v>45-49</v>
      </c>
      <c r="C82" s="447">
        <f t="shared" si="17"/>
        <v>32.700690084693463</v>
      </c>
      <c r="D82" s="447">
        <f t="shared" ref="D82:N82" si="22">D48+(0.2*D47)-(0.2*D48)</f>
        <v>32.934104164982521</v>
      </c>
      <c r="E82" s="447">
        <f t="shared" si="22"/>
        <v>32.944776971063789</v>
      </c>
      <c r="F82" s="447">
        <f t="shared" si="22"/>
        <v>32.588266459789409</v>
      </c>
      <c r="G82" s="447">
        <f t="shared" si="22"/>
        <v>32.04377428902302</v>
      </c>
      <c r="H82" s="447">
        <f t="shared" si="22"/>
        <v>31.380188689086374</v>
      </c>
      <c r="I82" s="447">
        <f t="shared" si="22"/>
        <v>30.664544159032278</v>
      </c>
      <c r="J82" s="447">
        <f t="shared" si="22"/>
        <v>30.004562980509203</v>
      </c>
      <c r="K82" s="447">
        <f t="shared" si="22"/>
        <v>29.436449041682103</v>
      </c>
      <c r="L82" s="447">
        <f t="shared" si="22"/>
        <v>28.926222505190367</v>
      </c>
      <c r="M82" s="447">
        <f t="shared" si="22"/>
        <v>28.463721473168501</v>
      </c>
      <c r="N82" s="447">
        <f t="shared" si="22"/>
        <v>28.011535332756111</v>
      </c>
    </row>
    <row r="83" spans="1:15">
      <c r="B83" s="331" t="str">
        <f t="shared" si="14"/>
        <v>50-54</v>
      </c>
      <c r="C83" s="447">
        <f t="shared" si="17"/>
        <v>22.354899286478251</v>
      </c>
      <c r="D83" s="447">
        <f t="shared" ref="D83:N83" si="23">D49+(0.2*D48)-(0.2*D49)</f>
        <v>22.922613178904886</v>
      </c>
      <c r="E83" s="447">
        <f t="shared" si="23"/>
        <v>23.634295609407946</v>
      </c>
      <c r="F83" s="447">
        <f t="shared" si="23"/>
        <v>24.108170721107935</v>
      </c>
      <c r="G83" s="447">
        <f t="shared" si="23"/>
        <v>24.359491230864119</v>
      </c>
      <c r="H83" s="447">
        <f t="shared" si="23"/>
        <v>24.398280237298753</v>
      </c>
      <c r="I83" s="447">
        <f t="shared" si="23"/>
        <v>24.267481598401794</v>
      </c>
      <c r="J83" s="447">
        <f t="shared" si="23"/>
        <v>24.056681831318009</v>
      </c>
      <c r="K83" s="447">
        <f t="shared" si="23"/>
        <v>23.807917766153249</v>
      </c>
      <c r="L83" s="447">
        <f t="shared" si="23"/>
        <v>23.512741406351751</v>
      </c>
      <c r="M83" s="447">
        <f t="shared" si="23"/>
        <v>23.181339584840053</v>
      </c>
      <c r="N83" s="447">
        <f t="shared" si="23"/>
        <v>22.802481010287337</v>
      </c>
    </row>
    <row r="84" spans="1:15">
      <c r="B84" s="331" t="str">
        <f t="shared" si="14"/>
        <v>55-59</v>
      </c>
      <c r="C84" s="447">
        <f t="shared" si="17"/>
        <v>8.5500560630835007</v>
      </c>
      <c r="D84" s="447">
        <f t="shared" ref="D84:N84" si="24">D50+(0.2*D49)-(0.2*D50)</f>
        <v>9.8589038368128108</v>
      </c>
      <c r="E84" s="447">
        <f t="shared" si="24"/>
        <v>10.90376203912952</v>
      </c>
      <c r="F84" s="447">
        <f t="shared" si="24"/>
        <v>11.660021147183304</v>
      </c>
      <c r="G84" s="447">
        <f t="shared" si="24"/>
        <v>12.175162779996681</v>
      </c>
      <c r="H84" s="447">
        <f t="shared" si="24"/>
        <v>12.503375200120683</v>
      </c>
      <c r="I84" s="447">
        <f t="shared" si="24"/>
        <v>12.683222464576263</v>
      </c>
      <c r="J84" s="447">
        <f t="shared" si="24"/>
        <v>12.777032277400387</v>
      </c>
      <c r="K84" s="447">
        <f t="shared" si="24"/>
        <v>12.810581136989079</v>
      </c>
      <c r="L84" s="447">
        <f t="shared" si="24"/>
        <v>12.7767160812142</v>
      </c>
      <c r="M84" s="447">
        <f t="shared" si="24"/>
        <v>12.684666235547544</v>
      </c>
      <c r="N84" s="447">
        <f t="shared" si="24"/>
        <v>12.53065377956329</v>
      </c>
    </row>
    <row r="85" spans="1:15">
      <c r="B85" s="331" t="str">
        <f t="shared" si="14"/>
        <v>60-64</v>
      </c>
      <c r="C85" s="447">
        <f t="shared" si="17"/>
        <v>5.5212991142643091</v>
      </c>
      <c r="D85" s="447">
        <f t="shared" ref="D85:N85" si="25">D51+(0.2*D50)-(0.2*D51)</f>
        <v>4.525154206157918</v>
      </c>
      <c r="E85" s="447">
        <f t="shared" si="25"/>
        <v>4.2936121881493214</v>
      </c>
      <c r="F85" s="447">
        <f t="shared" si="25"/>
        <v>4.3382236466080304</v>
      </c>
      <c r="G85" s="447">
        <f t="shared" si="25"/>
        <v>4.458374924777277</v>
      </c>
      <c r="H85" s="447">
        <f t="shared" si="25"/>
        <v>4.5828443231329841</v>
      </c>
      <c r="I85" s="447">
        <f t="shared" si="25"/>
        <v>4.6824377217125992</v>
      </c>
      <c r="J85" s="447">
        <f t="shared" si="25"/>
        <v>4.7652733678966328</v>
      </c>
      <c r="K85" s="447">
        <f t="shared" si="25"/>
        <v>4.8297273994735166</v>
      </c>
      <c r="L85" s="447">
        <f t="shared" si="25"/>
        <v>4.8623228682466584</v>
      </c>
      <c r="M85" s="447">
        <f t="shared" si="25"/>
        <v>4.8633259231775039</v>
      </c>
      <c r="N85" s="447">
        <f t="shared" si="25"/>
        <v>4.8281510023574228</v>
      </c>
    </row>
    <row r="86" spans="1:15">
      <c r="B86" s="331" t="str">
        <f t="shared" si="14"/>
        <v>65 plus</v>
      </c>
      <c r="C86" s="447">
        <f>C52+(0.2*C51)</f>
        <v>6.9110195635592602</v>
      </c>
      <c r="D86" s="447">
        <f t="shared" ref="D86:N86" si="26">D52+(0.2*D51)</f>
        <v>5.0305874320299226</v>
      </c>
      <c r="E86" s="447">
        <f t="shared" si="26"/>
        <v>3.8220426332844073</v>
      </c>
      <c r="F86" s="447">
        <f t="shared" si="26"/>
        <v>3.0550485903364142</v>
      </c>
      <c r="G86" s="447">
        <f t="shared" si="26"/>
        <v>2.5970334783628961</v>
      </c>
      <c r="H86" s="447">
        <f t="shared" si="26"/>
        <v>2.3304168523441504</v>
      </c>
      <c r="I86" s="447">
        <f t="shared" si="26"/>
        <v>2.1800709941359404</v>
      </c>
      <c r="J86" s="447">
        <f t="shared" si="26"/>
        <v>2.1042685610071388</v>
      </c>
      <c r="K86" s="447">
        <f t="shared" si="26"/>
        <v>2.0725424880744399</v>
      </c>
      <c r="L86" s="447">
        <f t="shared" si="26"/>
        <v>2.0593892655883179</v>
      </c>
      <c r="M86" s="447">
        <f t="shared" si="26"/>
        <v>2.0511902769624517</v>
      </c>
      <c r="N86" s="447">
        <f t="shared" si="26"/>
        <v>2.0372088877130876</v>
      </c>
    </row>
    <row r="87" spans="1:15">
      <c r="B87" s="331" t="str">
        <f t="shared" si="14"/>
        <v>Total</v>
      </c>
      <c r="C87" s="447">
        <f>SUM(C77:C86)</f>
        <v>199.78071304829834</v>
      </c>
      <c r="D87" s="447">
        <f t="shared" ref="D87:N87" si="27">SUM(D77:D86)</f>
        <v>198.91402768509849</v>
      </c>
      <c r="E87" s="447">
        <f t="shared" si="27"/>
        <v>202.7090630851433</v>
      </c>
      <c r="F87" s="447">
        <f t="shared" si="27"/>
        <v>206.53213995182577</v>
      </c>
      <c r="G87" s="447">
        <f t="shared" si="27"/>
        <v>209.17548024780339</v>
      </c>
      <c r="H87" s="447">
        <f t="shared" si="27"/>
        <v>210.79121255959072</v>
      </c>
      <c r="I87" s="447">
        <f t="shared" si="27"/>
        <v>211.52744264294213</v>
      </c>
      <c r="J87" s="447">
        <f t="shared" si="27"/>
        <v>212.41442475918785</v>
      </c>
      <c r="K87" s="447">
        <f t="shared" si="27"/>
        <v>213.60794304423584</v>
      </c>
      <c r="L87" s="447">
        <f t="shared" si="27"/>
        <v>214.40906541051783</v>
      </c>
      <c r="M87" s="447">
        <f t="shared" si="27"/>
        <v>214.61366764625464</v>
      </c>
      <c r="N87" s="447">
        <f t="shared" si="27"/>
        <v>213.72414446131978</v>
      </c>
    </row>
    <row r="88" spans="1:15">
      <c r="A88" s="302">
        <f>SUM(C88:N88)</f>
        <v>0</v>
      </c>
      <c r="C88" s="302">
        <f>SUM(C77:C86)-C87</f>
        <v>0</v>
      </c>
      <c r="D88" s="302">
        <f t="shared" ref="D88:N88" si="28">SUM(D77:D86)-D87</f>
        <v>0</v>
      </c>
      <c r="E88" s="302">
        <f t="shared" si="28"/>
        <v>0</v>
      </c>
      <c r="F88" s="302">
        <f t="shared" si="28"/>
        <v>0</v>
      </c>
      <c r="G88" s="302">
        <f t="shared" si="28"/>
        <v>0</v>
      </c>
      <c r="H88" s="302">
        <f t="shared" si="28"/>
        <v>0</v>
      </c>
      <c r="I88" s="302">
        <f t="shared" si="28"/>
        <v>0</v>
      </c>
      <c r="J88" s="302">
        <f t="shared" si="28"/>
        <v>0</v>
      </c>
      <c r="K88" s="302">
        <f t="shared" si="28"/>
        <v>0</v>
      </c>
      <c r="L88" s="302">
        <f t="shared" si="28"/>
        <v>0</v>
      </c>
      <c r="M88" s="302">
        <f t="shared" si="28"/>
        <v>0</v>
      </c>
      <c r="N88" s="302">
        <f t="shared" si="28"/>
        <v>0</v>
      </c>
    </row>
    <row r="90" spans="1:15">
      <c r="B90" s="334" t="s">
        <v>47</v>
      </c>
      <c r="H90" s="318"/>
    </row>
    <row r="91" spans="1:15">
      <c r="H91" s="318"/>
    </row>
    <row r="92" spans="1:15">
      <c r="B92" s="331" t="str">
        <f t="shared" ref="B92:B103" si="29">B76</f>
        <v>Age group</v>
      </c>
      <c r="C92" s="331" t="str">
        <f t="shared" ref="C92:N92" si="30">C76</f>
        <v>2017/18</v>
      </c>
      <c r="D92" s="331" t="str">
        <f t="shared" si="30"/>
        <v>2018/19</v>
      </c>
      <c r="E92" s="331" t="str">
        <f t="shared" si="30"/>
        <v>2019/20</v>
      </c>
      <c r="F92" s="331" t="str">
        <f t="shared" si="30"/>
        <v>2020/21</v>
      </c>
      <c r="G92" s="331" t="str">
        <f t="shared" si="30"/>
        <v>2021/22</v>
      </c>
      <c r="H92" s="331" t="str">
        <f t="shared" si="30"/>
        <v>2022/23</v>
      </c>
      <c r="I92" s="331" t="str">
        <f t="shared" si="30"/>
        <v>2023/24</v>
      </c>
      <c r="J92" s="331" t="str">
        <f t="shared" si="30"/>
        <v>2024/25</v>
      </c>
      <c r="K92" s="331" t="str">
        <f t="shared" si="30"/>
        <v>2025/26</v>
      </c>
      <c r="L92" s="331" t="str">
        <f t="shared" si="30"/>
        <v>2026/27</v>
      </c>
      <c r="M92" s="331" t="str">
        <f t="shared" si="30"/>
        <v>2027/28</v>
      </c>
      <c r="N92" s="331" t="str">
        <f t="shared" si="30"/>
        <v>2028/29</v>
      </c>
    </row>
    <row r="93" spans="1:15">
      <c r="B93" s="331" t="str">
        <f t="shared" si="29"/>
        <v>20-24</v>
      </c>
      <c r="C93" s="447">
        <f>C59-(0.2*C59)</f>
        <v>25.658627356646367</v>
      </c>
      <c r="D93" s="447">
        <f t="shared" ref="D93:N93" si="31">D59-(0.2*D59)</f>
        <v>57.257133148790025</v>
      </c>
      <c r="E93" s="447">
        <f t="shared" si="31"/>
        <v>86.188078142238666</v>
      </c>
      <c r="F93" s="447">
        <f t="shared" si="31"/>
        <v>108.03959974442054</v>
      </c>
      <c r="G93" s="447">
        <f t="shared" si="31"/>
        <v>121.21261715979809</v>
      </c>
      <c r="H93" s="447">
        <f t="shared" si="31"/>
        <v>129.09505817562504</v>
      </c>
      <c r="I93" s="447">
        <f t="shared" si="31"/>
        <v>133.35726776117696</v>
      </c>
      <c r="J93" s="447">
        <f t="shared" si="31"/>
        <v>136.80107205785194</v>
      </c>
      <c r="K93" s="447">
        <f t="shared" si="31"/>
        <v>139.96733330865899</v>
      </c>
      <c r="L93" s="447">
        <f t="shared" si="31"/>
        <v>141.67870212697704</v>
      </c>
      <c r="M93" s="447">
        <f t="shared" si="31"/>
        <v>141.88428644114202</v>
      </c>
      <c r="N93" s="447">
        <f t="shared" si="31"/>
        <v>139.97221709913433</v>
      </c>
      <c r="O93" s="320"/>
    </row>
    <row r="94" spans="1:15">
      <c r="B94" s="331" t="str">
        <f t="shared" si="29"/>
        <v>25-29</v>
      </c>
      <c r="C94" s="447">
        <f t="shared" ref="C94:C101" si="32">C60+(0.2*C59)-(0.2*C60)</f>
        <v>165.73746211046526</v>
      </c>
      <c r="D94" s="447">
        <f t="shared" ref="D94:N94" si="33">D60+(0.2*D59)-(0.2*D60)</f>
        <v>174.48679991644352</v>
      </c>
      <c r="E94" s="447">
        <f t="shared" si="33"/>
        <v>194.76897515320871</v>
      </c>
      <c r="F94" s="447">
        <f t="shared" si="33"/>
        <v>216.2835774538361</v>
      </c>
      <c r="G94" s="447">
        <f t="shared" si="33"/>
        <v>232.80346343661975</v>
      </c>
      <c r="H94" s="447">
        <f t="shared" si="33"/>
        <v>245.30352168099967</v>
      </c>
      <c r="I94" s="447">
        <f t="shared" si="33"/>
        <v>254.09596031428785</v>
      </c>
      <c r="J94" s="447">
        <f t="shared" si="33"/>
        <v>261.76765457576545</v>
      </c>
      <c r="K94" s="447">
        <f t="shared" si="33"/>
        <v>268.86413515355781</v>
      </c>
      <c r="L94" s="447">
        <f t="shared" si="33"/>
        <v>273.89524682868523</v>
      </c>
      <c r="M94" s="447">
        <f t="shared" si="33"/>
        <v>276.56449258203742</v>
      </c>
      <c r="N94" s="447">
        <f t="shared" si="33"/>
        <v>275.91653704736876</v>
      </c>
      <c r="O94" s="320"/>
    </row>
    <row r="95" spans="1:15">
      <c r="B95" s="331" t="str">
        <f t="shared" si="29"/>
        <v>30-34</v>
      </c>
      <c r="C95" s="447">
        <f t="shared" si="32"/>
        <v>202.81184531313329</v>
      </c>
      <c r="D95" s="447">
        <f t="shared" ref="D95:N95" si="34">D61+(0.2*D60)-(0.2*D61)</f>
        <v>209.0959496290368</v>
      </c>
      <c r="E95" s="447">
        <f t="shared" si="34"/>
        <v>220.27611292070134</v>
      </c>
      <c r="F95" s="447">
        <f t="shared" si="34"/>
        <v>233.0637006456474</v>
      </c>
      <c r="G95" s="447">
        <f t="shared" si="34"/>
        <v>244.5044097928446</v>
      </c>
      <c r="H95" s="447">
        <f t="shared" si="34"/>
        <v>254.8273553890379</v>
      </c>
      <c r="I95" s="447">
        <f t="shared" si="34"/>
        <v>263.68101937133503</v>
      </c>
      <c r="J95" s="447">
        <f t="shared" si="34"/>
        <v>272.10397420261882</v>
      </c>
      <c r="K95" s="447">
        <f t="shared" si="34"/>
        <v>280.2356777446505</v>
      </c>
      <c r="L95" s="447">
        <f t="shared" si="34"/>
        <v>287.08971346496816</v>
      </c>
      <c r="M95" s="447">
        <f t="shared" si="34"/>
        <v>292.26563178918059</v>
      </c>
      <c r="N95" s="447">
        <f t="shared" si="34"/>
        <v>294.97705354823</v>
      </c>
      <c r="O95" s="320"/>
    </row>
    <row r="96" spans="1:15">
      <c r="B96" s="331" t="str">
        <f t="shared" si="29"/>
        <v>35-39</v>
      </c>
      <c r="C96" s="447">
        <f t="shared" si="32"/>
        <v>232.35097609823939</v>
      </c>
      <c r="D96" s="447">
        <f t="shared" ref="D96:N96" si="35">D62+(0.2*D61)-(0.2*D62)</f>
        <v>228.30151015634462</v>
      </c>
      <c r="E96" s="447">
        <f t="shared" si="35"/>
        <v>229.7307187158415</v>
      </c>
      <c r="F96" s="447">
        <f t="shared" si="35"/>
        <v>233.32563363140673</v>
      </c>
      <c r="G96" s="447">
        <f t="shared" si="35"/>
        <v>237.02261095754747</v>
      </c>
      <c r="H96" s="447">
        <f t="shared" si="35"/>
        <v>241.13939580364365</v>
      </c>
      <c r="I96" s="447">
        <f t="shared" si="35"/>
        <v>245.41072583976634</v>
      </c>
      <c r="J96" s="447">
        <f t="shared" si="35"/>
        <v>250.39816503904959</v>
      </c>
      <c r="K96" s="447">
        <f t="shared" si="35"/>
        <v>255.98330521286871</v>
      </c>
      <c r="L96" s="447">
        <f t="shared" si="35"/>
        <v>261.3186342217839</v>
      </c>
      <c r="M96" s="447">
        <f t="shared" si="35"/>
        <v>265.99264754985626</v>
      </c>
      <c r="N96" s="447">
        <f t="shared" si="35"/>
        <v>269.33881526048509</v>
      </c>
      <c r="O96" s="320"/>
    </row>
    <row r="97" spans="1:15">
      <c r="B97" s="331" t="str">
        <f t="shared" si="29"/>
        <v>40-44</v>
      </c>
      <c r="C97" s="447">
        <f t="shared" si="32"/>
        <v>241.99679320813297</v>
      </c>
      <c r="D97" s="447">
        <f t="shared" ref="D97:N97" si="36">D63+(0.2*D62)-(0.2*D63)</f>
        <v>237.36909860319759</v>
      </c>
      <c r="E97" s="447">
        <f t="shared" si="36"/>
        <v>235.90306275134722</v>
      </c>
      <c r="F97" s="447">
        <f t="shared" si="36"/>
        <v>235.43141285302164</v>
      </c>
      <c r="G97" s="447">
        <f t="shared" si="36"/>
        <v>234.6271394630175</v>
      </c>
      <c r="H97" s="447">
        <f t="shared" si="36"/>
        <v>234.13621377906719</v>
      </c>
      <c r="I97" s="447">
        <f t="shared" si="36"/>
        <v>233.9947837911613</v>
      </c>
      <c r="J97" s="447">
        <f t="shared" si="36"/>
        <v>234.86256608642458</v>
      </c>
      <c r="K97" s="447">
        <f t="shared" si="36"/>
        <v>236.72762844197371</v>
      </c>
      <c r="L97" s="447">
        <f t="shared" si="36"/>
        <v>238.9065219586318</v>
      </c>
      <c r="M97" s="447">
        <f t="shared" si="36"/>
        <v>241.0676641382515</v>
      </c>
      <c r="N97" s="447">
        <f t="shared" si="36"/>
        <v>242.65061349116078</v>
      </c>
      <c r="O97" s="320"/>
    </row>
    <row r="98" spans="1:15">
      <c r="B98" s="331" t="str">
        <f t="shared" si="29"/>
        <v>45-49</v>
      </c>
      <c r="C98" s="447">
        <f t="shared" si="32"/>
        <v>277.84408536365788</v>
      </c>
      <c r="D98" s="447">
        <f t="shared" ref="D98:N98" si="37">D64+(0.2*D63)-(0.2*D64)</f>
        <v>260.25381398509614</v>
      </c>
      <c r="E98" s="447">
        <f t="shared" si="37"/>
        <v>248.7584006343061</v>
      </c>
      <c r="F98" s="447">
        <f t="shared" si="37"/>
        <v>240.30126819736967</v>
      </c>
      <c r="G98" s="447">
        <f t="shared" si="37"/>
        <v>233.08194759370497</v>
      </c>
      <c r="H98" s="447">
        <f t="shared" si="37"/>
        <v>227.22133915000086</v>
      </c>
      <c r="I98" s="447">
        <f t="shared" si="37"/>
        <v>222.43884566958772</v>
      </c>
      <c r="J98" s="447">
        <f t="shared" si="37"/>
        <v>219.09532316527077</v>
      </c>
      <c r="K98" s="447">
        <f t="shared" si="37"/>
        <v>217.08340260123794</v>
      </c>
      <c r="L98" s="447">
        <f t="shared" si="37"/>
        <v>215.78885033012838</v>
      </c>
      <c r="M98" s="447">
        <f t="shared" si="37"/>
        <v>214.90703115685622</v>
      </c>
      <c r="N98" s="447">
        <f t="shared" si="37"/>
        <v>213.95851682981993</v>
      </c>
      <c r="O98" s="320"/>
    </row>
    <row r="99" spans="1:15">
      <c r="B99" s="331" t="str">
        <f t="shared" si="29"/>
        <v>50-54</v>
      </c>
      <c r="C99" s="447">
        <f t="shared" si="32"/>
        <v>287.59081391022545</v>
      </c>
      <c r="D99" s="447">
        <f t="shared" ref="D99:N99" si="38">D65+(0.2*D64)-(0.2*D65)</f>
        <v>264.66067784576171</v>
      </c>
      <c r="E99" s="447">
        <f t="shared" si="38"/>
        <v>246.80402246781296</v>
      </c>
      <c r="F99" s="447">
        <f t="shared" si="38"/>
        <v>232.09924813449837</v>
      </c>
      <c r="G99" s="447">
        <f t="shared" si="38"/>
        <v>219.34774668914628</v>
      </c>
      <c r="H99" s="447">
        <f t="shared" si="38"/>
        <v>208.66773243564211</v>
      </c>
      <c r="I99" s="447">
        <f t="shared" si="38"/>
        <v>199.72435851975317</v>
      </c>
      <c r="J99" s="447">
        <f t="shared" si="38"/>
        <v>192.65203408253524</v>
      </c>
      <c r="K99" s="447">
        <f t="shared" si="38"/>
        <v>187.24035838163385</v>
      </c>
      <c r="L99" s="447">
        <f t="shared" si="38"/>
        <v>182.91714255760485</v>
      </c>
      <c r="M99" s="447">
        <f t="shared" si="38"/>
        <v>179.36816756357464</v>
      </c>
      <c r="N99" s="447">
        <f t="shared" si="38"/>
        <v>176.16670059088685</v>
      </c>
      <c r="O99" s="320"/>
    </row>
    <row r="100" spans="1:15">
      <c r="B100" s="331" t="str">
        <f t="shared" si="29"/>
        <v>55-59</v>
      </c>
      <c r="C100" s="447">
        <f t="shared" si="32"/>
        <v>247.7070642877448</v>
      </c>
      <c r="D100" s="447">
        <f t="shared" ref="D100:N100" si="39">D66+(0.2*D65)-(0.2*D66)</f>
        <v>208.28950867300935</v>
      </c>
      <c r="E100" s="447">
        <f t="shared" si="39"/>
        <v>181.36021006130821</v>
      </c>
      <c r="F100" s="447">
        <f t="shared" si="39"/>
        <v>161.89835615843256</v>
      </c>
      <c r="G100" s="447">
        <f t="shared" si="39"/>
        <v>146.9758483297262</v>
      </c>
      <c r="H100" s="447">
        <f t="shared" si="39"/>
        <v>135.44052731294721</v>
      </c>
      <c r="I100" s="447">
        <f t="shared" si="39"/>
        <v>126.34108387568344</v>
      </c>
      <c r="J100" s="447">
        <f t="shared" si="39"/>
        <v>119.32531407511874</v>
      </c>
      <c r="K100" s="447">
        <f t="shared" si="39"/>
        <v>113.95452810666306</v>
      </c>
      <c r="L100" s="447">
        <f t="shared" si="39"/>
        <v>109.65444265642439</v>
      </c>
      <c r="M100" s="447">
        <f t="shared" si="39"/>
        <v>106.11137527046589</v>
      </c>
      <c r="N100" s="447">
        <f t="shared" si="39"/>
        <v>102.97942051949987</v>
      </c>
      <c r="O100" s="320"/>
    </row>
    <row r="101" spans="1:15">
      <c r="B101" s="331" t="str">
        <f t="shared" si="29"/>
        <v>60-64</v>
      </c>
      <c r="C101" s="447">
        <f t="shared" si="32"/>
        <v>91.968409885815078</v>
      </c>
      <c r="D101" s="447">
        <f t="shared" ref="D101:N101" si="40">D67+(0.2*D66)-(0.2*D67)</f>
        <v>88.460412691045946</v>
      </c>
      <c r="E101" s="447">
        <f t="shared" si="40"/>
        <v>81.280716337045305</v>
      </c>
      <c r="F101" s="447">
        <f t="shared" si="40"/>
        <v>73.57579240208463</v>
      </c>
      <c r="G101" s="447">
        <f t="shared" si="40"/>
        <v>66.42249354911182</v>
      </c>
      <c r="H101" s="447">
        <f t="shared" si="40"/>
        <v>60.376334676503809</v>
      </c>
      <c r="I101" s="447">
        <f t="shared" si="40"/>
        <v>55.418392099417368</v>
      </c>
      <c r="J101" s="447">
        <f t="shared" si="40"/>
        <v>51.550296289992254</v>
      </c>
      <c r="K101" s="447">
        <f t="shared" si="40"/>
        <v>48.582953737916107</v>
      </c>
      <c r="L101" s="447">
        <f t="shared" si="40"/>
        <v>46.204540922666695</v>
      </c>
      <c r="M101" s="447">
        <f t="shared" si="40"/>
        <v>44.243037502590894</v>
      </c>
      <c r="N101" s="447">
        <f t="shared" si="40"/>
        <v>42.508043382309651</v>
      </c>
      <c r="O101" s="320"/>
    </row>
    <row r="102" spans="1:15">
      <c r="B102" s="331" t="str">
        <f t="shared" si="29"/>
        <v>65 plus</v>
      </c>
      <c r="C102" s="447">
        <f>C68+(0.2*C67)</f>
        <v>24.791108088797685</v>
      </c>
      <c r="D102" s="447">
        <f t="shared" ref="D102:N102" si="41">D68+(0.2*D67)</f>
        <v>29.164572633418839</v>
      </c>
      <c r="E102" s="447">
        <f t="shared" si="41"/>
        <v>31.756823931376509</v>
      </c>
      <c r="F102" s="447">
        <f t="shared" si="41"/>
        <v>32.49944071681027</v>
      </c>
      <c r="G102" s="447">
        <f t="shared" si="41"/>
        <v>31.861087252903751</v>
      </c>
      <c r="H102" s="447">
        <f t="shared" si="41"/>
        <v>30.486517891463144</v>
      </c>
      <c r="I102" s="447">
        <f t="shared" si="41"/>
        <v>28.789574985543993</v>
      </c>
      <c r="J102" s="447">
        <f t="shared" si="41"/>
        <v>27.096120455552445</v>
      </c>
      <c r="K102" s="447">
        <f t="shared" si="41"/>
        <v>25.556014744418789</v>
      </c>
      <c r="L102" s="447">
        <f t="shared" si="41"/>
        <v>24.177796181080986</v>
      </c>
      <c r="M102" s="447">
        <f t="shared" si="41"/>
        <v>22.958276614973734</v>
      </c>
      <c r="N102" s="447">
        <f t="shared" si="41"/>
        <v>21.85033731289327</v>
      </c>
      <c r="O102" s="320"/>
    </row>
    <row r="103" spans="1:15">
      <c r="B103" s="331" t="str">
        <f t="shared" si="29"/>
        <v>Total</v>
      </c>
      <c r="C103" s="447">
        <f>SUM(C93:C102)</f>
        <v>1798.4571856228583</v>
      </c>
      <c r="D103" s="447">
        <f t="shared" ref="D103:N103" si="42">SUM(D93:D102)</f>
        <v>1757.3394772821446</v>
      </c>
      <c r="E103" s="447">
        <f t="shared" si="42"/>
        <v>1756.8271211151864</v>
      </c>
      <c r="F103" s="447">
        <f t="shared" si="42"/>
        <v>1766.5180299375277</v>
      </c>
      <c r="G103" s="447">
        <f t="shared" si="42"/>
        <v>1767.8593642244202</v>
      </c>
      <c r="H103" s="447">
        <f t="shared" si="42"/>
        <v>1766.6939962949305</v>
      </c>
      <c r="I103" s="447">
        <f t="shared" si="42"/>
        <v>1763.2520122277131</v>
      </c>
      <c r="J103" s="447">
        <f t="shared" si="42"/>
        <v>1765.6525200301799</v>
      </c>
      <c r="K103" s="447">
        <f t="shared" si="42"/>
        <v>1774.1953374335792</v>
      </c>
      <c r="L103" s="447">
        <f t="shared" si="42"/>
        <v>1781.6315912489513</v>
      </c>
      <c r="M103" s="447">
        <f t="shared" si="42"/>
        <v>1785.3626106089291</v>
      </c>
      <c r="N103" s="447">
        <f t="shared" si="42"/>
        <v>1780.3182550817885</v>
      </c>
      <c r="O103" s="320"/>
    </row>
    <row r="104" spans="1:15">
      <c r="A104" s="302">
        <f>SUM(C104:N104)</f>
        <v>0</v>
      </c>
      <c r="C104" s="302">
        <f>SUM(C93:C102)-C103</f>
        <v>0</v>
      </c>
      <c r="D104" s="302">
        <f t="shared" ref="D104:N104" si="43">SUM(D93:D102)-D103</f>
        <v>0</v>
      </c>
      <c r="E104" s="302">
        <f t="shared" si="43"/>
        <v>0</v>
      </c>
      <c r="F104" s="302">
        <f t="shared" si="43"/>
        <v>0</v>
      </c>
      <c r="G104" s="302">
        <f t="shared" si="43"/>
        <v>0</v>
      </c>
      <c r="H104" s="302">
        <f t="shared" si="43"/>
        <v>0</v>
      </c>
      <c r="I104" s="302">
        <f t="shared" si="43"/>
        <v>0</v>
      </c>
      <c r="J104" s="302">
        <f t="shared" si="43"/>
        <v>0</v>
      </c>
      <c r="K104" s="302">
        <f t="shared" si="43"/>
        <v>0</v>
      </c>
      <c r="L104" s="302">
        <f t="shared" si="43"/>
        <v>0</v>
      </c>
      <c r="M104" s="302">
        <f t="shared" si="43"/>
        <v>0</v>
      </c>
      <c r="N104" s="302">
        <f t="shared" si="43"/>
        <v>0</v>
      </c>
    </row>
    <row r="106" spans="1:15" ht="15.75">
      <c r="B106" s="333" t="s">
        <v>164</v>
      </c>
      <c r="H106" s="318"/>
    </row>
    <row r="107" spans="1:15">
      <c r="H107" s="318"/>
    </row>
    <row r="108" spans="1:15">
      <c r="B108" s="334" t="s">
        <v>46</v>
      </c>
      <c r="H108" s="318"/>
    </row>
    <row r="109" spans="1:15">
      <c r="H109" s="318"/>
    </row>
    <row r="110" spans="1:15">
      <c r="B110" s="331" t="str">
        <f t="shared" ref="B110:B121" si="44">B76</f>
        <v>Age group</v>
      </c>
      <c r="C110" s="331" t="str">
        <f t="shared" ref="C110:N110" si="45">C76</f>
        <v>2017/18</v>
      </c>
      <c r="D110" s="331" t="str">
        <f t="shared" si="45"/>
        <v>2018/19</v>
      </c>
      <c r="E110" s="331" t="str">
        <f t="shared" si="45"/>
        <v>2019/20</v>
      </c>
      <c r="F110" s="331" t="str">
        <f t="shared" si="45"/>
        <v>2020/21</v>
      </c>
      <c r="G110" s="331" t="str">
        <f t="shared" si="45"/>
        <v>2021/22</v>
      </c>
      <c r="H110" s="331" t="str">
        <f t="shared" si="45"/>
        <v>2022/23</v>
      </c>
      <c r="I110" s="331" t="str">
        <f t="shared" si="45"/>
        <v>2023/24</v>
      </c>
      <c r="J110" s="331" t="str">
        <f t="shared" si="45"/>
        <v>2024/25</v>
      </c>
      <c r="K110" s="331" t="str">
        <f t="shared" si="45"/>
        <v>2025/26</v>
      </c>
      <c r="L110" s="331" t="str">
        <f t="shared" si="45"/>
        <v>2026/27</v>
      </c>
      <c r="M110" s="331" t="str">
        <f t="shared" si="45"/>
        <v>2027/28</v>
      </c>
      <c r="N110" s="331" t="str">
        <f t="shared" si="45"/>
        <v>2028/29</v>
      </c>
    </row>
    <row r="111" spans="1:15">
      <c r="B111" s="331" t="str">
        <f t="shared" si="44"/>
        <v>20-24</v>
      </c>
      <c r="C111" s="447">
        <f>C77*Group_3_rates!E74</f>
        <v>0.52735663474073091</v>
      </c>
      <c r="D111" s="447">
        <f>D77*Group_3_rates!F74</f>
        <v>0.86991180783389566</v>
      </c>
      <c r="E111" s="447">
        <f>E77*Group_3_rates!G74</f>
        <v>1.2592366431935864</v>
      </c>
      <c r="F111" s="447">
        <f>F77*Group_3_rates!H74</f>
        <v>1.4989190225217044</v>
      </c>
      <c r="G111" s="447">
        <f>G77*Group_3_rates!I74</f>
        <v>1.6586258773968949</v>
      </c>
      <c r="H111" s="447">
        <f>H77*Group_3_rates!J74</f>
        <v>1.7525752040811442</v>
      </c>
      <c r="I111" s="447">
        <f>I77*Group_3_rates!K74</f>
        <v>1.8015889539862637</v>
      </c>
      <c r="J111" s="447">
        <f>J77*Group_3_rates!L74</f>
        <v>1.8420391738645026</v>
      </c>
      <c r="K111" s="447">
        <f>K77*Group_3_rates!M74</f>
        <v>1.8804409312099442</v>
      </c>
      <c r="L111" s="447">
        <f>L77*Group_3_rates!N74</f>
        <v>1.9005868659784007</v>
      </c>
      <c r="M111" s="447">
        <f>M77*Group_3_rates!O74</f>
        <v>1.9014435754517958</v>
      </c>
      <c r="N111" s="447">
        <f>N77*Group_3_rates!P74</f>
        <v>1.8745943266356562</v>
      </c>
    </row>
    <row r="112" spans="1:15">
      <c r="B112" s="331" t="str">
        <f t="shared" si="44"/>
        <v>25-29</v>
      </c>
      <c r="C112" s="447">
        <f>C78*Group_3_rates!E75</f>
        <v>1.2616757376483099</v>
      </c>
      <c r="D112" s="447">
        <f>D78*Group_3_rates!F75</f>
        <v>1.4616162331465454</v>
      </c>
      <c r="E112" s="447">
        <f>E78*Group_3_rates!G75</f>
        <v>1.8470343609087299</v>
      </c>
      <c r="F112" s="447">
        <f>F78*Group_3_rates!H75</f>
        <v>2.1110829022569773</v>
      </c>
      <c r="G112" s="447">
        <f>G78*Group_3_rates!I75</f>
        <v>2.3390860752339382</v>
      </c>
      <c r="H112" s="447">
        <f>H78*Group_3_rates!J75</f>
        <v>2.5078983220680469</v>
      </c>
      <c r="I112" s="447">
        <f>I78*Group_3_rates!K75</f>
        <v>2.6260887160988919</v>
      </c>
      <c r="J112" s="447">
        <f>J78*Group_3_rates!L75</f>
        <v>2.7244235868475104</v>
      </c>
      <c r="K112" s="447">
        <f>K78*Group_3_rates!M75</f>
        <v>2.8111637302027708</v>
      </c>
      <c r="L112" s="447">
        <f>L78*Group_3_rates!N75</f>
        <v>2.8724350875724278</v>
      </c>
      <c r="M112" s="447">
        <f>M78*Group_3_rates!O75</f>
        <v>2.9063040442261152</v>
      </c>
      <c r="N112" s="447">
        <f>N78*Group_3_rates!P75</f>
        <v>2.9035503198368531</v>
      </c>
    </row>
    <row r="113" spans="1:16">
      <c r="B113" s="331" t="str">
        <f t="shared" si="44"/>
        <v>30-34</v>
      </c>
      <c r="C113" s="447">
        <f>C79*Group_3_rates!E76</f>
        <v>2.2523681043727786</v>
      </c>
      <c r="D113" s="447">
        <f>D79*Group_3_rates!F76</f>
        <v>2.0021714470686875</v>
      </c>
      <c r="E113" s="447">
        <f>E79*Group_3_rates!G76</f>
        <v>2.0257463598549506</v>
      </c>
      <c r="F113" s="447">
        <f>F79*Group_3_rates!H76</f>
        <v>1.9976435303025619</v>
      </c>
      <c r="G113" s="447">
        <f>G79*Group_3_rates!I76</f>
        <v>2.0352462603853181</v>
      </c>
      <c r="H113" s="447">
        <f>H79*Group_3_rates!J76</f>
        <v>2.0855462013016761</v>
      </c>
      <c r="I113" s="447">
        <f>I79*Group_3_rates!K76</f>
        <v>2.1379726376251491</v>
      </c>
      <c r="J113" s="447">
        <f>J79*Group_3_rates!L76</f>
        <v>2.1954097219788231</v>
      </c>
      <c r="K113" s="447">
        <f>K79*Group_3_rates!M76</f>
        <v>2.2556783646377392</v>
      </c>
      <c r="L113" s="447">
        <f>L79*Group_3_rates!N76</f>
        <v>2.3090685085646903</v>
      </c>
      <c r="M113" s="447">
        <f>M79*Group_3_rates!O76</f>
        <v>2.3510885298524911</v>
      </c>
      <c r="N113" s="447">
        <f>N79*Group_3_rates!P76</f>
        <v>2.3747386383198981</v>
      </c>
    </row>
    <row r="114" spans="1:16">
      <c r="B114" s="331" t="str">
        <f t="shared" si="44"/>
        <v>35-39</v>
      </c>
      <c r="C114" s="447">
        <f>C80*Group_3_rates!E77</f>
        <v>2.3756208560748733</v>
      </c>
      <c r="D114" s="447">
        <f>D80*Group_3_rates!F77</f>
        <v>2.2529994657117962</v>
      </c>
      <c r="E114" s="447">
        <f>E80*Group_3_rates!G77</f>
        <v>2.3085093038699189</v>
      </c>
      <c r="F114" s="447">
        <f>F80*Group_3_rates!H77</f>
        <v>2.2349424302048195</v>
      </c>
      <c r="G114" s="447">
        <f>G80*Group_3_rates!I77</f>
        <v>2.2091002936249402</v>
      </c>
      <c r="H114" s="447">
        <f>H80*Group_3_rates!J77</f>
        <v>2.191466484986321</v>
      </c>
      <c r="I114" s="447">
        <f>I80*Group_3_rates!K77</f>
        <v>2.182687435450779</v>
      </c>
      <c r="J114" s="447">
        <f>J80*Group_3_rates!L77</f>
        <v>2.1876253947276898</v>
      </c>
      <c r="K114" s="447">
        <f>K80*Group_3_rates!M77</f>
        <v>2.2048566375703089</v>
      </c>
      <c r="L114" s="447">
        <f>L80*Group_3_rates!N77</f>
        <v>2.2268444743808629</v>
      </c>
      <c r="M114" s="447">
        <f>M80*Group_3_rates!O77</f>
        <v>2.249212393100076</v>
      </c>
      <c r="N114" s="447">
        <f>N80*Group_3_rates!P77</f>
        <v>2.2656261314588835</v>
      </c>
    </row>
    <row r="115" spans="1:16">
      <c r="B115" s="331" t="str">
        <f t="shared" si="44"/>
        <v>40-44</v>
      </c>
      <c r="C115" s="447">
        <f>C81*Group_3_rates!E78</f>
        <v>3.2186028280037173</v>
      </c>
      <c r="D115" s="447">
        <f>D81*Group_3_rates!F78</f>
        <v>2.8919767745211944</v>
      </c>
      <c r="E115" s="447">
        <f>E81*Group_3_rates!G78</f>
        <v>2.8637473069344894</v>
      </c>
      <c r="F115" s="447">
        <f>F81*Group_3_rates!H78</f>
        <v>2.7029297988268115</v>
      </c>
      <c r="G115" s="447">
        <f>G81*Group_3_rates!I78</f>
        <v>2.6142755434036462</v>
      </c>
      <c r="H115" s="447">
        <f>H81*Group_3_rates!J78</f>
        <v>2.5386410274137039</v>
      </c>
      <c r="I115" s="447">
        <f>I81*Group_3_rates!K78</f>
        <v>2.4746558049247196</v>
      </c>
      <c r="J115" s="447">
        <f>J81*Group_3_rates!L78</f>
        <v>2.4272663201265261</v>
      </c>
      <c r="K115" s="447">
        <f>K81*Group_3_rates!M78</f>
        <v>2.3960004334654172</v>
      </c>
      <c r="L115" s="447">
        <f>L81*Group_3_rates!N78</f>
        <v>2.3746407950479083</v>
      </c>
      <c r="M115" s="447">
        <f>M81*Group_3_rates!O78</f>
        <v>2.359836332502701</v>
      </c>
      <c r="N115" s="447">
        <f>N81*Group_3_rates!P78</f>
        <v>2.3461543483549714</v>
      </c>
    </row>
    <row r="116" spans="1:16">
      <c r="B116" s="331" t="str">
        <f t="shared" si="44"/>
        <v>45-49</v>
      </c>
      <c r="C116" s="447">
        <f>C82*Group_3_rates!E79</f>
        <v>2.7663361645205069</v>
      </c>
      <c r="D116" s="447">
        <f>D82*Group_3_rates!F79</f>
        <v>2.6859097492689235</v>
      </c>
      <c r="E116" s="447">
        <f>E82*Group_3_rates!G79</f>
        <v>2.787607243316967</v>
      </c>
      <c r="F116" s="447">
        <f>F82*Group_3_rates!H79</f>
        <v>2.7056632010479786</v>
      </c>
      <c r="G116" s="447">
        <f>G82*Group_3_rates!I79</f>
        <v>2.6604563646696415</v>
      </c>
      <c r="H116" s="447">
        <f>H82*Group_3_rates!J79</f>
        <v>2.6053617145534926</v>
      </c>
      <c r="I116" s="447">
        <f>I82*Group_3_rates!K79</f>
        <v>2.5459448360156967</v>
      </c>
      <c r="J116" s="447">
        <f>J82*Group_3_rates!L79</f>
        <v>2.49114944546255</v>
      </c>
      <c r="K116" s="447">
        <f>K82*Group_3_rates!M79</f>
        <v>2.4439813955700047</v>
      </c>
      <c r="L116" s="447">
        <f>L82*Group_3_rates!N79</f>
        <v>2.4016194870073861</v>
      </c>
      <c r="M116" s="447">
        <f>M82*Group_3_rates!O79</f>
        <v>2.3632200212262795</v>
      </c>
      <c r="N116" s="447">
        <f>N82*Group_3_rates!P79</f>
        <v>2.3256769564042412</v>
      </c>
    </row>
    <row r="117" spans="1:16">
      <c r="B117" s="331" t="str">
        <f t="shared" si="44"/>
        <v>50-54</v>
      </c>
      <c r="C117" s="447">
        <f>C83*Group_3_rates!E80</f>
        <v>1.904605683890255</v>
      </c>
      <c r="D117" s="447">
        <f>D83*Group_3_rates!F80</f>
        <v>1.8827558614874969</v>
      </c>
      <c r="E117" s="447">
        <f>E83*Group_3_rates!G80</f>
        <v>2.0140581136048934</v>
      </c>
      <c r="F117" s="447">
        <f>F83*Group_3_rates!H80</f>
        <v>2.0158631978277102</v>
      </c>
      <c r="G117" s="447">
        <f>G83*Group_3_rates!I80</f>
        <v>2.0368779721271641</v>
      </c>
      <c r="H117" s="447">
        <f>H83*Group_3_rates!J80</f>
        <v>2.0401214090289703</v>
      </c>
      <c r="I117" s="447">
        <f>I83*Group_3_rates!K80</f>
        <v>2.0291843634302564</v>
      </c>
      <c r="J117" s="447">
        <f>J83*Group_3_rates!L80</f>
        <v>2.0115578293605108</v>
      </c>
      <c r="K117" s="447">
        <f>K83*Group_3_rates!M80</f>
        <v>1.990756818379259</v>
      </c>
      <c r="L117" s="447">
        <f>L83*Group_3_rates!N80</f>
        <v>1.9660749307538488</v>
      </c>
      <c r="M117" s="447">
        <f>M83*Group_3_rates!O80</f>
        <v>1.9383639632396865</v>
      </c>
      <c r="N117" s="447">
        <f>N83*Group_3_rates!P80</f>
        <v>1.9066847841573182</v>
      </c>
    </row>
    <row r="118" spans="1:16">
      <c r="B118" s="331" t="str">
        <f t="shared" si="44"/>
        <v>55-59</v>
      </c>
      <c r="C118" s="447">
        <f>C84*Group_3_rates!E81</f>
        <v>0.43385553122037257</v>
      </c>
      <c r="D118" s="447">
        <f>D84*Group_3_rates!F81</f>
        <v>0.48228341890852688</v>
      </c>
      <c r="E118" s="447">
        <f>E84*Group_3_rates!G81</f>
        <v>0.55341320428833929</v>
      </c>
      <c r="F118" s="447">
        <f>F84*Group_3_rates!H81</f>
        <v>0.58068412590452179</v>
      </c>
      <c r="G118" s="447">
        <f>G84*Group_3_rates!I81</f>
        <v>0.60633884513627256</v>
      </c>
      <c r="H118" s="447">
        <f>H84*Group_3_rates!J81</f>
        <v>0.62268424793485611</v>
      </c>
      <c r="I118" s="447">
        <f>I84*Group_3_rates!K81</f>
        <v>0.6316408741912275</v>
      </c>
      <c r="J118" s="447">
        <f>J84*Group_3_rates!L81</f>
        <v>0.63631272413673157</v>
      </c>
      <c r="K118" s="447">
        <f>K84*Group_3_rates!M81</f>
        <v>0.63798350071247201</v>
      </c>
      <c r="L118" s="447">
        <f>L84*Group_3_rates!N81</f>
        <v>0.63629697715791622</v>
      </c>
      <c r="M118" s="447">
        <f>M84*Group_3_rates!O81</f>
        <v>0.63171277585194341</v>
      </c>
      <c r="N118" s="447">
        <f>N84*Group_3_rates!P81</f>
        <v>0.6240427564538028</v>
      </c>
    </row>
    <row r="119" spans="1:16">
      <c r="B119" s="331" t="str">
        <f t="shared" si="44"/>
        <v>60-64</v>
      </c>
      <c r="C119" s="447">
        <f>C85*Group_3_rates!E82</f>
        <v>0.29820788933274711</v>
      </c>
      <c r="D119" s="447">
        <f>D85*Group_3_rates!F82</f>
        <v>0.23561816048699696</v>
      </c>
      <c r="E119" s="447">
        <f>E85*Group_3_rates!G82</f>
        <v>0.23195174511492736</v>
      </c>
      <c r="F119" s="447">
        <f>F85*Group_3_rates!H82</f>
        <v>0.22996102209603161</v>
      </c>
      <c r="G119" s="447">
        <f>G85*Group_3_rates!I82</f>
        <v>0.23633001387347213</v>
      </c>
      <c r="H119" s="447">
        <f>H85*Group_3_rates!J82</f>
        <v>0.24292790102664744</v>
      </c>
      <c r="I119" s="447">
        <f>I85*Group_3_rates!K82</f>
        <v>0.24820715852857289</v>
      </c>
      <c r="J119" s="447">
        <f>J85*Group_3_rates!L82</f>
        <v>0.25259811930288878</v>
      </c>
      <c r="K119" s="447">
        <f>K85*Group_3_rates!M82</f>
        <v>0.2560147054881628</v>
      </c>
      <c r="L119" s="447">
        <f>L85*Group_3_rates!N82</f>
        <v>0.25774252957593929</v>
      </c>
      <c r="M119" s="447">
        <f>M85*Group_3_rates!O82</f>
        <v>0.2577956996187738</v>
      </c>
      <c r="N119" s="447">
        <f>N85*Group_3_rates!P82</f>
        <v>0.25593114366157749</v>
      </c>
    </row>
    <row r="120" spans="1:16">
      <c r="B120" s="331" t="str">
        <f t="shared" si="44"/>
        <v>65 plus</v>
      </c>
      <c r="C120" s="447">
        <f>C86*Group_3_rates!E83</f>
        <v>0.63919188455006826</v>
      </c>
      <c r="D120" s="447">
        <f>D86*Group_3_rates!F83</f>
        <v>0.44854431398286077</v>
      </c>
      <c r="E120" s="447">
        <f>E86*Group_3_rates!G83</f>
        <v>0.3535750675146348</v>
      </c>
      <c r="F120" s="447">
        <f>F86*Group_3_rates!H83</f>
        <v>0.27731393391891485</v>
      </c>
      <c r="G120" s="447">
        <f>G86*Group_3_rates!I83</f>
        <v>0.23573882676760693</v>
      </c>
      <c r="H120" s="447">
        <f>H86*Group_3_rates!J83</f>
        <v>0.211537409597576</v>
      </c>
      <c r="I120" s="447">
        <f>I86*Group_3_rates!K83</f>
        <v>0.19789016303003681</v>
      </c>
      <c r="J120" s="447">
        <f>J86*Group_3_rates!L83</f>
        <v>0.19100939818784532</v>
      </c>
      <c r="K120" s="447">
        <f>K86*Group_3_rates!M83</f>
        <v>0.18812954805367893</v>
      </c>
      <c r="L120" s="447">
        <f>L86*Group_3_rates!N83</f>
        <v>0.18693559916433064</v>
      </c>
      <c r="M120" s="447">
        <f>M86*Group_3_rates!O83</f>
        <v>0.18619135771521347</v>
      </c>
      <c r="N120" s="447">
        <f>N86*Group_3_rates!P83</f>
        <v>0.18492223418419759</v>
      </c>
    </row>
    <row r="121" spans="1:16">
      <c r="B121" s="331" t="str">
        <f t="shared" si="44"/>
        <v>Total</v>
      </c>
      <c r="C121" s="447">
        <f>SUM(C111:C120)</f>
        <v>15.677821314354359</v>
      </c>
      <c r="D121" s="447">
        <f t="shared" ref="D121:N121" si="46">SUM(D111:D120)</f>
        <v>15.213787232416923</v>
      </c>
      <c r="E121" s="447">
        <f t="shared" si="46"/>
        <v>16.244879348601433</v>
      </c>
      <c r="F121" s="447">
        <f t="shared" si="46"/>
        <v>16.35500316490803</v>
      </c>
      <c r="G121" s="447">
        <f t="shared" si="46"/>
        <v>16.632076072618897</v>
      </c>
      <c r="H121" s="447">
        <f t="shared" si="46"/>
        <v>16.798759921992431</v>
      </c>
      <c r="I121" s="447">
        <f t="shared" si="46"/>
        <v>16.875860943281594</v>
      </c>
      <c r="J121" s="447">
        <f t="shared" si="46"/>
        <v>16.959391713995579</v>
      </c>
      <c r="K121" s="447">
        <f t="shared" si="46"/>
        <v>17.065006065289758</v>
      </c>
      <c r="L121" s="447">
        <f t="shared" si="46"/>
        <v>17.132245255203706</v>
      </c>
      <c r="M121" s="447">
        <f t="shared" si="46"/>
        <v>17.145168692785077</v>
      </c>
      <c r="N121" s="447">
        <f t="shared" si="46"/>
        <v>17.0619216394674</v>
      </c>
    </row>
    <row r="122" spans="1:16">
      <c r="A122" s="302">
        <f>SUM(C122:N122)</f>
        <v>0</v>
      </c>
      <c r="C122" s="302">
        <f>SUM(C111:C120)-C121</f>
        <v>0</v>
      </c>
      <c r="D122" s="302">
        <f t="shared" ref="D122:N122" si="47">SUM(D111:D120)-D121</f>
        <v>0</v>
      </c>
      <c r="E122" s="302">
        <f t="shared" si="47"/>
        <v>0</v>
      </c>
      <c r="F122" s="302">
        <f t="shared" si="47"/>
        <v>0</v>
      </c>
      <c r="G122" s="302">
        <f t="shared" si="47"/>
        <v>0</v>
      </c>
      <c r="H122" s="302">
        <f t="shared" si="47"/>
        <v>0</v>
      </c>
      <c r="I122" s="302">
        <f t="shared" si="47"/>
        <v>0</v>
      </c>
      <c r="J122" s="302">
        <f t="shared" si="47"/>
        <v>0</v>
      </c>
      <c r="K122" s="302">
        <f t="shared" si="47"/>
        <v>0</v>
      </c>
      <c r="L122" s="302">
        <f t="shared" si="47"/>
        <v>0</v>
      </c>
      <c r="M122" s="302">
        <f t="shared" si="47"/>
        <v>0</v>
      </c>
      <c r="N122" s="302">
        <f t="shared" si="47"/>
        <v>0</v>
      </c>
    </row>
    <row r="124" spans="1:16">
      <c r="B124" s="334" t="s">
        <v>47</v>
      </c>
      <c r="C124" s="322"/>
      <c r="D124" s="322"/>
      <c r="E124" s="322"/>
      <c r="F124" s="322"/>
      <c r="G124" s="322"/>
      <c r="H124" s="332"/>
      <c r="I124" s="322"/>
      <c r="J124" s="322"/>
      <c r="K124" s="322"/>
      <c r="L124" s="322"/>
    </row>
    <row r="125" spans="1:16">
      <c r="C125" s="322"/>
      <c r="D125" s="322"/>
      <c r="E125" s="322"/>
      <c r="F125" s="322"/>
      <c r="G125" s="322"/>
      <c r="H125" s="332"/>
      <c r="I125" s="322"/>
      <c r="J125" s="322"/>
      <c r="K125" s="322"/>
      <c r="L125" s="322"/>
    </row>
    <row r="126" spans="1:16">
      <c r="B126" s="331" t="str">
        <f t="shared" ref="B126:B137" si="48">B110</f>
        <v>Age group</v>
      </c>
      <c r="C126" s="331" t="str">
        <f t="shared" ref="C126:N126" si="49">C110</f>
        <v>2017/18</v>
      </c>
      <c r="D126" s="331" t="str">
        <f t="shared" si="49"/>
        <v>2018/19</v>
      </c>
      <c r="E126" s="331" t="str">
        <f t="shared" si="49"/>
        <v>2019/20</v>
      </c>
      <c r="F126" s="331" t="str">
        <f t="shared" si="49"/>
        <v>2020/21</v>
      </c>
      <c r="G126" s="331" t="str">
        <f t="shared" si="49"/>
        <v>2021/22</v>
      </c>
      <c r="H126" s="331" t="str">
        <f t="shared" si="49"/>
        <v>2022/23</v>
      </c>
      <c r="I126" s="331" t="str">
        <f t="shared" si="49"/>
        <v>2023/24</v>
      </c>
      <c r="J126" s="331" t="str">
        <f t="shared" si="49"/>
        <v>2024/25</v>
      </c>
      <c r="K126" s="331" t="str">
        <f t="shared" si="49"/>
        <v>2025/26</v>
      </c>
      <c r="L126" s="331" t="str">
        <f t="shared" si="49"/>
        <v>2026/27</v>
      </c>
      <c r="M126" s="331" t="str">
        <f t="shared" si="49"/>
        <v>2027/28</v>
      </c>
      <c r="N126" s="331" t="str">
        <f t="shared" si="49"/>
        <v>2028/29</v>
      </c>
    </row>
    <row r="127" spans="1:16">
      <c r="B127" s="331" t="str">
        <f t="shared" si="48"/>
        <v>20-24</v>
      </c>
      <c r="C127" s="447">
        <f>C93*Group_3_rates!E89</f>
        <v>2.9944894057269948</v>
      </c>
      <c r="D127" s="447">
        <f>D93*Group_3_rates!F89</f>
        <v>6.7152164129858791</v>
      </c>
      <c r="E127" s="447">
        <f>E93*Group_3_rates!G89</f>
        <v>10.276557099347096</v>
      </c>
      <c r="F127" s="447">
        <f>F93*Group_3_rates!H89</f>
        <v>13.047607410116534</v>
      </c>
      <c r="G127" s="447">
        <f>G93*Group_3_rates!I89</f>
        <v>14.638471871379499</v>
      </c>
      <c r="H127" s="447">
        <f>H93*Group_3_rates!J89</f>
        <v>15.590409827936226</v>
      </c>
      <c r="I127" s="447">
        <f>I93*Group_3_rates!K89</f>
        <v>16.105143661673786</v>
      </c>
      <c r="J127" s="447">
        <f>J93*Group_3_rates!L89</f>
        <v>16.52104122670163</v>
      </c>
      <c r="K127" s="447">
        <f>K93*Group_3_rates!M89</f>
        <v>16.903420778792931</v>
      </c>
      <c r="L127" s="447">
        <f>L93*Group_3_rates!N89</f>
        <v>17.110097483706234</v>
      </c>
      <c r="M127" s="447">
        <f>M93*Group_3_rates!O89</f>
        <v>17.134925263772509</v>
      </c>
      <c r="N127" s="447">
        <f>N93*Group_3_rates!P89</f>
        <v>16.90401057902309</v>
      </c>
      <c r="O127" s="320"/>
      <c r="P127" s="320"/>
    </row>
    <row r="128" spans="1:16">
      <c r="B128" s="331" t="str">
        <f t="shared" si="48"/>
        <v>25-29</v>
      </c>
      <c r="C128" s="447">
        <f>C94*Group_3_rates!E90</f>
        <v>15.426060479319466</v>
      </c>
      <c r="D128" s="447">
        <f>D94*Group_3_rates!F90</f>
        <v>16.320669711264543</v>
      </c>
      <c r="E128" s="447">
        <f>E94*Group_3_rates!G90</f>
        <v>18.521033015793922</v>
      </c>
      <c r="F128" s="447">
        <f>F94*Group_3_rates!H90</f>
        <v>20.831303315501362</v>
      </c>
      <c r="G128" s="447">
        <f>G94*Group_3_rates!I90</f>
        <v>22.422412357140541</v>
      </c>
      <c r="H128" s="447">
        <f>H94*Group_3_rates!J90</f>
        <v>23.626352609172343</v>
      </c>
      <c r="I128" s="447">
        <f>I94*Group_3_rates!K90</f>
        <v>24.473194326001501</v>
      </c>
      <c r="J128" s="447">
        <f>J94*Group_3_rates!L90</f>
        <v>25.212091804885404</v>
      </c>
      <c r="K128" s="447">
        <f>K94*Group_3_rates!M90</f>
        <v>25.895587709331082</v>
      </c>
      <c r="L128" s="447">
        <f>L94*Group_3_rates!N90</f>
        <v>26.380158080103268</v>
      </c>
      <c r="M128" s="447">
        <f>M94*Group_3_rates!O90</f>
        <v>26.637245874591784</v>
      </c>
      <c r="N128" s="447">
        <f>N94*Group_3_rates!P90</f>
        <v>26.574838185406406</v>
      </c>
      <c r="O128" s="320"/>
      <c r="P128" s="320"/>
    </row>
    <row r="129" spans="1:16">
      <c r="B129" s="331" t="str">
        <f t="shared" si="48"/>
        <v>30-34</v>
      </c>
      <c r="C129" s="447">
        <f>C95*Group_3_rates!E91</f>
        <v>16.255120270379454</v>
      </c>
      <c r="D129" s="447">
        <f>D95*Group_3_rates!F91</f>
        <v>16.841607569645944</v>
      </c>
      <c r="E129" s="447">
        <f>E95*Group_3_rates!G91</f>
        <v>18.037458969773873</v>
      </c>
      <c r="F129" s="447">
        <f>F95*Group_3_rates!H91</f>
        <v>19.329920208378475</v>
      </c>
      <c r="G129" s="447">
        <f>G95*Group_3_rates!I91</f>
        <v>20.278793818168204</v>
      </c>
      <c r="H129" s="447">
        <f>H95*Group_3_rates!J91</f>
        <v>21.13496195648003</v>
      </c>
      <c r="I129" s="447">
        <f>I95*Group_3_rates!K91</f>
        <v>21.869270293022758</v>
      </c>
      <c r="J129" s="447">
        <f>J95*Group_3_rates!L91</f>
        <v>22.567856320604278</v>
      </c>
      <c r="K129" s="447">
        <f>K95*Group_3_rates!M91</f>
        <v>23.24228644503042</v>
      </c>
      <c r="L129" s="447">
        <f>L95*Group_3_rates!N91</f>
        <v>23.810748900625562</v>
      </c>
      <c r="M129" s="447">
        <f>M95*Group_3_rates!O91</f>
        <v>24.240031057971155</v>
      </c>
      <c r="N129" s="447">
        <f>N95*Group_3_rates!P91</f>
        <v>24.464911921479683</v>
      </c>
      <c r="O129" s="320"/>
      <c r="P129" s="320"/>
    </row>
    <row r="130" spans="1:16">
      <c r="B130" s="331" t="str">
        <f t="shared" si="48"/>
        <v>35-39</v>
      </c>
      <c r="C130" s="447">
        <f>C96*Group_3_rates!E92</f>
        <v>18.107434570145827</v>
      </c>
      <c r="D130" s="447">
        <f>D96*Group_3_rates!F92</f>
        <v>17.879783684740442</v>
      </c>
      <c r="E130" s="447">
        <f>E96*Group_3_rates!G92</f>
        <v>18.291215903951372</v>
      </c>
      <c r="F130" s="447">
        <f>F96*Group_3_rates!H92</f>
        <v>18.816265392547184</v>
      </c>
      <c r="G130" s="447">
        <f>G96*Group_3_rates!I92</f>
        <v>19.114403687239594</v>
      </c>
      <c r="H130" s="447">
        <f>H96*Group_3_rates!J92</f>
        <v>19.446396854996433</v>
      </c>
      <c r="I130" s="447">
        <f>I96*Group_3_rates!K92</f>
        <v>19.790853133922933</v>
      </c>
      <c r="J130" s="447">
        <f>J96*Group_3_rates!L92</f>
        <v>20.193059175935264</v>
      </c>
      <c r="K130" s="447">
        <f>K96*Group_3_rates!M92</f>
        <v>20.643466094924605</v>
      </c>
      <c r="L130" s="447">
        <f>L96*Group_3_rates!N92</f>
        <v>21.073727292658649</v>
      </c>
      <c r="M130" s="447">
        <f>M96*Group_3_rates!O92</f>
        <v>21.450657481856148</v>
      </c>
      <c r="N130" s="447">
        <f>N96*Group_3_rates!P92</f>
        <v>21.720505156589685</v>
      </c>
      <c r="O130" s="320"/>
      <c r="P130" s="320"/>
    </row>
    <row r="131" spans="1:16">
      <c r="B131" s="331" t="str">
        <f t="shared" si="48"/>
        <v>40-44</v>
      </c>
      <c r="C131" s="447">
        <f>C97*Group_3_rates!E93</f>
        <v>19.031002319177006</v>
      </c>
      <c r="D131" s="447">
        <f>D97*Group_3_rates!F93</f>
        <v>18.759328324200958</v>
      </c>
      <c r="E131" s="447">
        <f>E97*Group_3_rates!G93</f>
        <v>18.953818259483931</v>
      </c>
      <c r="F131" s="447">
        <f>F97*Group_3_rates!H93</f>
        <v>19.159095965461969</v>
      </c>
      <c r="G131" s="447">
        <f>G97*Group_3_rates!I93</f>
        <v>19.093645264237246</v>
      </c>
      <c r="H131" s="447">
        <f>H97*Group_3_rates!J93</f>
        <v>19.053694383525393</v>
      </c>
      <c r="I131" s="447">
        <f>I97*Group_3_rates!K93</f>
        <v>19.042184998784222</v>
      </c>
      <c r="J131" s="447">
        <f>J97*Group_3_rates!L93</f>
        <v>19.112803970443952</v>
      </c>
      <c r="K131" s="447">
        <f>K97*Group_3_rates!M93</f>
        <v>19.264580270040152</v>
      </c>
      <c r="L131" s="447">
        <f>L97*Group_3_rates!N93</f>
        <v>19.441895733080067</v>
      </c>
      <c r="M131" s="447">
        <f>M97*Group_3_rates!O93</f>
        <v>19.617766615867449</v>
      </c>
      <c r="N131" s="447">
        <f>N97*Group_3_rates!P93</f>
        <v>19.746584933666817</v>
      </c>
      <c r="O131" s="320"/>
      <c r="P131" s="320"/>
    </row>
    <row r="132" spans="1:16">
      <c r="B132" s="331" t="str">
        <f t="shared" si="48"/>
        <v>45-49</v>
      </c>
      <c r="C132" s="447">
        <f>C98*Group_3_rates!E94</f>
        <v>24.450067128549865</v>
      </c>
      <c r="D132" s="447">
        <f>D98*Group_3_rates!F94</f>
        <v>23.015321990254751</v>
      </c>
      <c r="E132" s="447">
        <f>E98*Group_3_rates!G94</f>
        <v>22.364939982872226</v>
      </c>
      <c r="F132" s="447">
        <f>F98*Group_3_rates!H94</f>
        <v>21.882327582893264</v>
      </c>
      <c r="G132" s="447">
        <f>G98*Group_3_rates!I94</f>
        <v>21.224921404555619</v>
      </c>
      <c r="H132" s="447">
        <f>H98*Group_3_rates!J94</f>
        <v>20.691242349250462</v>
      </c>
      <c r="I132" s="447">
        <f>I98*Group_3_rates!K94</f>
        <v>20.255738659292838</v>
      </c>
      <c r="J132" s="447">
        <f>J98*Group_3_rates!L94</f>
        <v>19.951270625190968</v>
      </c>
      <c r="K132" s="447">
        <f>K98*Group_3_rates!M94</f>
        <v>19.768061001774559</v>
      </c>
      <c r="L132" s="447">
        <f>L98*Group_3_rates!N94</f>
        <v>19.650176410144642</v>
      </c>
      <c r="M132" s="447">
        <f>M98*Group_3_rates!O94</f>
        <v>19.569876143054213</v>
      </c>
      <c r="N132" s="447">
        <f>N98*Group_3_rates!P94</f>
        <v>19.483502478125288</v>
      </c>
      <c r="O132" s="320"/>
      <c r="P132" s="320"/>
    </row>
    <row r="133" spans="1:16">
      <c r="B133" s="331" t="str">
        <f t="shared" si="48"/>
        <v>50-54</v>
      </c>
      <c r="C133" s="447">
        <f>C99*Group_3_rates!E95</f>
        <v>24.996414911341539</v>
      </c>
      <c r="D133" s="447">
        <f>D99*Group_3_rates!F95</f>
        <v>23.117091293403753</v>
      </c>
      <c r="E133" s="447">
        <f>E99*Group_3_rates!G95</f>
        <v>21.91623911131768</v>
      </c>
      <c r="F133" s="447">
        <f>F99*Group_3_rates!H95</f>
        <v>20.875409390078335</v>
      </c>
      <c r="G133" s="447">
        <f>G99*Group_3_rates!I95</f>
        <v>19.728517208611013</v>
      </c>
      <c r="H133" s="447">
        <f>H99*Group_3_rates!J95</f>
        <v>18.767938182070715</v>
      </c>
      <c r="I133" s="447">
        <f>I99*Group_3_rates!K95</f>
        <v>17.963555602965844</v>
      </c>
      <c r="J133" s="447">
        <f>J99*Group_3_rates!L95</f>
        <v>17.32745846282851</v>
      </c>
      <c r="K133" s="447">
        <f>K99*Group_3_rates!M95</f>
        <v>16.840722953555378</v>
      </c>
      <c r="L133" s="447">
        <f>L99*Group_3_rates!N95</f>
        <v>16.451885415589842</v>
      </c>
      <c r="M133" s="447">
        <f>M99*Group_3_rates!O95</f>
        <v>16.132684442251925</v>
      </c>
      <c r="N133" s="447">
        <f>N99*Group_3_rates!P95</f>
        <v>15.844738943760071</v>
      </c>
      <c r="O133" s="320"/>
      <c r="P133" s="320"/>
    </row>
    <row r="134" spans="1:16">
      <c r="B134" s="331" t="str">
        <f t="shared" si="48"/>
        <v>55-59</v>
      </c>
      <c r="C134" s="447">
        <f>C100*Group_3_rates!E96</f>
        <v>14.564052583165651</v>
      </c>
      <c r="D134" s="447">
        <f>D100*Group_3_rates!F96</f>
        <v>12.307002653297982</v>
      </c>
      <c r="E134" s="447">
        <f>E100*Group_3_rates!G96</f>
        <v>10.894239976125476</v>
      </c>
      <c r="F134" s="447">
        <f>F100*Group_3_rates!H96</f>
        <v>9.8501952205797103</v>
      </c>
      <c r="G134" s="447">
        <f>G100*Group_3_rates!I96</f>
        <v>8.9422822634552812</v>
      </c>
      <c r="H134" s="447">
        <f>H100*Group_3_rates!J96</f>
        <v>8.2404520124048233</v>
      </c>
      <c r="I134" s="447">
        <f>I100*Group_3_rates!K96</f>
        <v>7.6868250554519157</v>
      </c>
      <c r="J134" s="447">
        <f>J100*Group_3_rates!L96</f>
        <v>7.2599726537475862</v>
      </c>
      <c r="K134" s="447">
        <f>K100*Group_3_rates!M96</f>
        <v>6.9332041087633005</v>
      </c>
      <c r="L134" s="447">
        <f>L100*Group_3_rates!N96</f>
        <v>6.6715789622511554</v>
      </c>
      <c r="M134" s="447">
        <f>M100*Group_3_rates!O96</f>
        <v>6.4560121939437147</v>
      </c>
      <c r="N134" s="447">
        <f>N100*Group_3_rates!P96</f>
        <v>6.2654582781964336</v>
      </c>
      <c r="O134" s="320"/>
      <c r="P134" s="320"/>
    </row>
    <row r="135" spans="1:16">
      <c r="B135" s="331" t="str">
        <f t="shared" si="48"/>
        <v>60-64</v>
      </c>
      <c r="C135" s="447">
        <f>C101*Group_3_rates!E97</f>
        <v>4.5392757564370729</v>
      </c>
      <c r="D135" s="447">
        <f>D101*Group_3_rates!F97</f>
        <v>4.3877098678923803</v>
      </c>
      <c r="E135" s="447">
        <f>E101*Group_3_rates!G97</f>
        <v>4.0987034065951642</v>
      </c>
      <c r="F135" s="447">
        <f>F101*Group_3_rates!H97</f>
        <v>3.7578668641694817</v>
      </c>
      <c r="G135" s="447">
        <f>G101*Group_3_rates!I97</f>
        <v>3.3925137520727038</v>
      </c>
      <c r="H135" s="447">
        <f>H101*Group_3_rates!J97</f>
        <v>3.083707562684872</v>
      </c>
      <c r="I135" s="447">
        <f>I101*Group_3_rates!K97</f>
        <v>2.8304817731062837</v>
      </c>
      <c r="J135" s="447">
        <f>J101*Group_3_rates!L97</f>
        <v>2.6329196593306712</v>
      </c>
      <c r="K135" s="447">
        <f>K101*Group_3_rates!M97</f>
        <v>2.4813633133228898</v>
      </c>
      <c r="L135" s="447">
        <f>L101*Group_3_rates!N97</f>
        <v>2.3598864196878497</v>
      </c>
      <c r="M135" s="447">
        <f>M101*Group_3_rates!O97</f>
        <v>2.2597030785968588</v>
      </c>
      <c r="N135" s="447">
        <f>N101*Group_3_rates!P97</f>
        <v>2.1710886484796368</v>
      </c>
      <c r="O135" s="320"/>
      <c r="P135" s="320"/>
    </row>
    <row r="136" spans="1:16">
      <c r="B136" s="331" t="str">
        <f t="shared" si="48"/>
        <v>65 plus</v>
      </c>
      <c r="C136" s="447">
        <f>C102*Group_3_rates!E98</f>
        <v>1.8944635662920559</v>
      </c>
      <c r="D136" s="447">
        <f>D102*Group_3_rates!F98</f>
        <v>2.239685241134199</v>
      </c>
      <c r="E136" s="447">
        <f>E102*Group_3_rates!G98</f>
        <v>2.479353554037671</v>
      </c>
      <c r="F136" s="447">
        <f>F102*Group_3_rates!H98</f>
        <v>2.5699505008535088</v>
      </c>
      <c r="G136" s="447">
        <f>G102*Group_3_rates!I98</f>
        <v>2.5194715766596056</v>
      </c>
      <c r="H136" s="447">
        <f>H102*Group_3_rates!J98</f>
        <v>2.4107750840130424</v>
      </c>
      <c r="I136" s="447">
        <f>I102*Group_3_rates!K98</f>
        <v>2.2765863356900295</v>
      </c>
      <c r="J136" s="447">
        <f>J102*Group_3_rates!L98</f>
        <v>2.1426734368359481</v>
      </c>
      <c r="K136" s="447">
        <f>K102*Group_3_rates!M98</f>
        <v>2.0208868658551125</v>
      </c>
      <c r="L136" s="447">
        <f>L102*Group_3_rates!N98</f>
        <v>1.9119018061428839</v>
      </c>
      <c r="M136" s="447">
        <f>M102*Group_3_rates!O98</f>
        <v>1.8154661490795032</v>
      </c>
      <c r="N136" s="447">
        <f>N102*Group_3_rates!P98</f>
        <v>1.7278538978685405</v>
      </c>
      <c r="O136" s="320"/>
      <c r="P136" s="320"/>
    </row>
    <row r="137" spans="1:16">
      <c r="B137" s="331" t="str">
        <f t="shared" si="48"/>
        <v>Total</v>
      </c>
      <c r="C137" s="447">
        <f>SUM(C127:C136)</f>
        <v>142.2583809905349</v>
      </c>
      <c r="D137" s="447">
        <f t="shared" ref="D137:N137" si="50">SUM(D127:D136)</f>
        <v>141.58341674882084</v>
      </c>
      <c r="E137" s="447">
        <f t="shared" si="50"/>
        <v>145.83355927929841</v>
      </c>
      <c r="F137" s="447">
        <f t="shared" si="50"/>
        <v>150.11994185057983</v>
      </c>
      <c r="G137" s="447">
        <f t="shared" si="50"/>
        <v>151.35543320351931</v>
      </c>
      <c r="H137" s="447">
        <f t="shared" si="50"/>
        <v>152.04593082253436</v>
      </c>
      <c r="I137" s="447">
        <f t="shared" si="50"/>
        <v>152.29383383991211</v>
      </c>
      <c r="J137" s="447">
        <f t="shared" si="50"/>
        <v>152.92114733650419</v>
      </c>
      <c r="K137" s="447">
        <f t="shared" si="50"/>
        <v>153.99357954139046</v>
      </c>
      <c r="L137" s="447">
        <f t="shared" si="50"/>
        <v>154.86205650399012</v>
      </c>
      <c r="M137" s="447">
        <f t="shared" si="50"/>
        <v>155.31436830098525</v>
      </c>
      <c r="N137" s="447">
        <f t="shared" si="50"/>
        <v>154.90349302259565</v>
      </c>
      <c r="O137" s="320"/>
      <c r="P137" s="320"/>
    </row>
    <row r="138" spans="1:16">
      <c r="A138" s="302">
        <f>SUM(C138:N138)</f>
        <v>0</v>
      </c>
      <c r="C138" s="302">
        <f>SUM(C127:C136)-C137</f>
        <v>0</v>
      </c>
      <c r="D138" s="302">
        <f t="shared" ref="D138:N138" si="51">SUM(D127:D136)-D137</f>
        <v>0</v>
      </c>
      <c r="E138" s="302">
        <f t="shared" si="51"/>
        <v>0</v>
      </c>
      <c r="F138" s="302">
        <f t="shared" si="51"/>
        <v>0</v>
      </c>
      <c r="G138" s="302">
        <f t="shared" si="51"/>
        <v>0</v>
      </c>
      <c r="H138" s="302">
        <f t="shared" si="51"/>
        <v>0</v>
      </c>
      <c r="I138" s="302">
        <f t="shared" si="51"/>
        <v>0</v>
      </c>
      <c r="J138" s="302">
        <f t="shared" si="51"/>
        <v>0</v>
      </c>
      <c r="K138" s="302">
        <f t="shared" si="51"/>
        <v>0</v>
      </c>
      <c r="L138" s="302">
        <f t="shared" si="51"/>
        <v>0</v>
      </c>
      <c r="M138" s="302">
        <f t="shared" si="51"/>
        <v>0</v>
      </c>
      <c r="N138" s="302">
        <f t="shared" si="51"/>
        <v>0</v>
      </c>
    </row>
    <row r="140" spans="1:16" ht="15.75">
      <c r="B140" s="333" t="s">
        <v>165</v>
      </c>
      <c r="H140" s="318"/>
    </row>
    <row r="141" spans="1:16">
      <c r="H141" s="318"/>
    </row>
    <row r="142" spans="1:16">
      <c r="B142" s="334" t="s">
        <v>46</v>
      </c>
      <c r="H142" s="318"/>
    </row>
    <row r="143" spans="1:16">
      <c r="H143" s="318"/>
    </row>
    <row r="144" spans="1:16">
      <c r="B144" s="331" t="str">
        <f t="shared" ref="B144:B155" si="52">B110</f>
        <v>Age group</v>
      </c>
      <c r="C144" s="331" t="str">
        <f t="shared" ref="C144:N144" si="53">C110</f>
        <v>2017/18</v>
      </c>
      <c r="D144" s="331" t="str">
        <f t="shared" si="53"/>
        <v>2018/19</v>
      </c>
      <c r="E144" s="331" t="str">
        <f t="shared" si="53"/>
        <v>2019/20</v>
      </c>
      <c r="F144" s="331" t="str">
        <f t="shared" si="53"/>
        <v>2020/21</v>
      </c>
      <c r="G144" s="331" t="str">
        <f t="shared" si="53"/>
        <v>2021/22</v>
      </c>
      <c r="H144" s="331" t="str">
        <f t="shared" si="53"/>
        <v>2022/23</v>
      </c>
      <c r="I144" s="331" t="str">
        <f t="shared" si="53"/>
        <v>2023/24</v>
      </c>
      <c r="J144" s="331" t="str">
        <f t="shared" si="53"/>
        <v>2024/25</v>
      </c>
      <c r="K144" s="331" t="str">
        <f t="shared" si="53"/>
        <v>2025/26</v>
      </c>
      <c r="L144" s="331" t="str">
        <f t="shared" si="53"/>
        <v>2026/27</v>
      </c>
      <c r="M144" s="331" t="str">
        <f t="shared" si="53"/>
        <v>2027/28</v>
      </c>
      <c r="N144" s="331" t="str">
        <f t="shared" si="53"/>
        <v>2028/29</v>
      </c>
    </row>
    <row r="145" spans="1:17">
      <c r="B145" s="331" t="str">
        <f t="shared" si="52"/>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c r="P145" s="320"/>
      <c r="Q145" s="320"/>
    </row>
    <row r="146" spans="1:17">
      <c r="B146" s="331" t="str">
        <f t="shared" si="52"/>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c r="P146" s="320"/>
      <c r="Q146" s="320"/>
    </row>
    <row r="147" spans="1:17">
      <c r="B147" s="331" t="str">
        <f t="shared" si="52"/>
        <v>30-34</v>
      </c>
      <c r="C147" s="447">
        <f>C79*Calc_SEC_retirement_rates!$G126</f>
        <v>4.3367732637171058E-3</v>
      </c>
      <c r="D147" s="447">
        <f>D79*Calc_SEC_retirement_rates!$G126</f>
        <v>3.9988129286540582E-3</v>
      </c>
      <c r="E147" s="447">
        <f>E79*Calc_SEC_retirement_rates!$G126</f>
        <v>3.899558496271886E-3</v>
      </c>
      <c r="F147" s="447">
        <f>F79*Calc_SEC_retirement_rates!$G126</f>
        <v>3.9190508776977976E-3</v>
      </c>
      <c r="G147" s="447">
        <f>G79*Calc_SEC_retirement_rates!$G126</f>
        <v>3.9928213027507287E-3</v>
      </c>
      <c r="H147" s="447">
        <f>H79*Calc_SEC_retirement_rates!$G126</f>
        <v>4.0915015850964695E-3</v>
      </c>
      <c r="I147" s="447">
        <f>I79*Calc_SEC_retirement_rates!$G126</f>
        <v>4.1943537046920795E-3</v>
      </c>
      <c r="J147" s="447">
        <f>J79*Calc_SEC_retirement_rates!$G126</f>
        <v>4.3070358987042289E-3</v>
      </c>
      <c r="K147" s="447">
        <f>K79*Calc_SEC_retirement_rates!$G126</f>
        <v>4.425273148407286E-3</v>
      </c>
      <c r="L147" s="447">
        <f>L79*Calc_SEC_retirement_rates!$G126</f>
        <v>4.5300159051821333E-3</v>
      </c>
      <c r="M147" s="447">
        <f>M79*Calc_SEC_retirement_rates!$G126</f>
        <v>4.6124523353113329E-3</v>
      </c>
      <c r="N147" s="447">
        <f>N79*Calc_SEC_retirement_rates!$G126</f>
        <v>4.6588499918205507E-3</v>
      </c>
      <c r="O147" s="320"/>
      <c r="P147" s="320"/>
      <c r="Q147" s="320"/>
    </row>
    <row r="148" spans="1:17">
      <c r="B148" s="331" t="str">
        <f t="shared" si="52"/>
        <v>35-39</v>
      </c>
      <c r="C148" s="447">
        <f>C80*Calc_SEC_retirement_rates!$G127</f>
        <v>9.8652936023533033E-3</v>
      </c>
      <c r="D148" s="447">
        <f>D80*Calc_SEC_retirement_rates!$G127</f>
        <v>9.7050203421791565E-3</v>
      </c>
      <c r="E148" s="447">
        <f>E80*Calc_SEC_retirement_rates!$G127</f>
        <v>9.5844575637534912E-3</v>
      </c>
      <c r="F148" s="447">
        <f>F80*Calc_SEC_retirement_rates!$G127</f>
        <v>9.456594928053173E-3</v>
      </c>
      <c r="G148" s="447">
        <f>G80*Calc_SEC_retirement_rates!$G127</f>
        <v>9.3472504481199922E-3</v>
      </c>
      <c r="H148" s="447">
        <f>H80*Calc_SEC_retirement_rates!$G127</f>
        <v>9.272637436580836E-3</v>
      </c>
      <c r="I148" s="447">
        <f>I80*Calc_SEC_retirement_rates!$G127</f>
        <v>9.2354911037764928E-3</v>
      </c>
      <c r="J148" s="447">
        <f>J80*Calc_SEC_retirement_rates!$G127</f>
        <v>9.2563848324121283E-3</v>
      </c>
      <c r="K148" s="447">
        <f>K80*Calc_SEC_retirement_rates!$G127</f>
        <v>9.3292944883689617E-3</v>
      </c>
      <c r="L148" s="447">
        <f>L80*Calc_SEC_retirement_rates!$G127</f>
        <v>9.422330471422222E-3</v>
      </c>
      <c r="M148" s="447">
        <f>M80*Calc_SEC_retirement_rates!$G127</f>
        <v>9.516974675162106E-3</v>
      </c>
      <c r="N148" s="447">
        <f>N80*Calc_SEC_retirement_rates!$G127</f>
        <v>9.5864252671847665E-3</v>
      </c>
      <c r="O148" s="320"/>
      <c r="P148" s="320"/>
      <c r="Q148" s="320"/>
    </row>
    <row r="149" spans="1:17">
      <c r="B149" s="331" t="str">
        <f t="shared" si="52"/>
        <v>40-44</v>
      </c>
      <c r="C149" s="447">
        <f>C81*Calc_SEC_retirement_rates!$G128</f>
        <v>2.4108040634175772E-2</v>
      </c>
      <c r="D149" s="447">
        <f>D81*Calc_SEC_retirement_rates!$G128</f>
        <v>2.2469416931863401E-2</v>
      </c>
      <c r="E149" s="447">
        <f>E81*Calc_SEC_retirement_rates!$G128</f>
        <v>2.1445305836261298E-2</v>
      </c>
      <c r="F149" s="447">
        <f>F81*Calc_SEC_retirement_rates!$G128</f>
        <v>2.0628367166736931E-2</v>
      </c>
      <c r="G149" s="447">
        <f>G81*Calc_SEC_retirement_rates!$G128</f>
        <v>1.99517707813789E-2</v>
      </c>
      <c r="H149" s="447">
        <f>H81*Calc_SEC_retirement_rates!$G128</f>
        <v>1.9374539154055039E-2</v>
      </c>
      <c r="I149" s="447">
        <f>I81*Calc_SEC_retirement_rates!$G128</f>
        <v>1.8886213240699456E-2</v>
      </c>
      <c r="J149" s="447">
        <f>J81*Calc_SEC_retirement_rates!$G128</f>
        <v>1.8524543584060967E-2</v>
      </c>
      <c r="K149" s="447">
        <f>K81*Calc_SEC_retirement_rates!$G128</f>
        <v>1.8285926883723845E-2</v>
      </c>
      <c r="L149" s="447">
        <f>L81*Calc_SEC_retirement_rates!$G128</f>
        <v>1.8122913229423106E-2</v>
      </c>
      <c r="M149" s="447">
        <f>M81*Calc_SEC_retirement_rates!$G128</f>
        <v>1.8009927724131295E-2</v>
      </c>
      <c r="N149" s="447">
        <f>N81*Calc_SEC_retirement_rates!$G128</f>
        <v>1.7905508810739115E-2</v>
      </c>
      <c r="O149" s="320"/>
      <c r="P149" s="320"/>
      <c r="Q149" s="320"/>
    </row>
    <row r="150" spans="1:17">
      <c r="B150" s="331" t="str">
        <f t="shared" si="52"/>
        <v>45-49</v>
      </c>
      <c r="C150" s="447">
        <f>C82*Calc_SEC_retirement_rates!$G129</f>
        <v>4.1806911344415262E-2</v>
      </c>
      <c r="D150" s="447">
        <f>D82*Calc_SEC_retirement_rates!$G129</f>
        <v>4.2105324672571616E-2</v>
      </c>
      <c r="E150" s="447">
        <f>E82*Calc_SEC_retirement_rates!$G129</f>
        <v>4.2118969554575024E-2</v>
      </c>
      <c r="F150" s="447">
        <f>F82*Calc_SEC_retirement_rates!$G129</f>
        <v>4.1663180906090912E-2</v>
      </c>
      <c r="G150" s="447">
        <f>G82*Calc_SEC_retirement_rates!$G129</f>
        <v>4.096706299995493E-2</v>
      </c>
      <c r="H150" s="447">
        <f>H82*Calc_SEC_retirement_rates!$G129</f>
        <v>4.0118687498577735E-2</v>
      </c>
      <c r="I150" s="447">
        <f>I82*Calc_SEC_retirement_rates!$G129</f>
        <v>3.9203756121148126E-2</v>
      </c>
      <c r="J150" s="447">
        <f>J82*Calc_SEC_retirement_rates!$G129</f>
        <v>3.8359988771039147E-2</v>
      </c>
      <c r="K150" s="447">
        <f>K82*Calc_SEC_retirement_rates!$G129</f>
        <v>3.7633671099682464E-2</v>
      </c>
      <c r="L150" s="447">
        <f>L82*Calc_SEC_retirement_rates!$G129</f>
        <v>3.6981360841965218E-2</v>
      </c>
      <c r="M150" s="447">
        <f>M82*Calc_SEC_retirement_rates!$G129</f>
        <v>3.6390066297649494E-2</v>
      </c>
      <c r="N150" s="447">
        <f>N82*Calc_SEC_retirement_rates!$G129</f>
        <v>3.5811959051764701E-2</v>
      </c>
      <c r="O150" s="320"/>
      <c r="P150" s="320"/>
      <c r="Q150" s="320"/>
    </row>
    <row r="151" spans="1:17">
      <c r="B151" s="331" t="str">
        <f t="shared" si="52"/>
        <v>50-54</v>
      </c>
      <c r="C151" s="447">
        <f>C83*Calc_SEC_retirement_rates!$G130</f>
        <v>0.6374902011745146</v>
      </c>
      <c r="D151" s="447">
        <f>D83*Calc_SEC_retirement_rates!$G130</f>
        <v>0.65367958493575262</v>
      </c>
      <c r="E151" s="447">
        <f>E83*Calc_SEC_retirement_rates!$G130</f>
        <v>0.67397449076286975</v>
      </c>
      <c r="F151" s="447">
        <f>F83*Calc_SEC_retirement_rates!$G130</f>
        <v>0.68748789274325561</v>
      </c>
      <c r="G151" s="447">
        <f>G83*Calc_SEC_retirement_rates!$G130</f>
        <v>0.69465474955932094</v>
      </c>
      <c r="H151" s="447">
        <f>H83*Calc_SEC_retirement_rates!$G130</f>
        <v>0.69576088791398272</v>
      </c>
      <c r="I151" s="447">
        <f>I83*Calc_SEC_retirement_rates!$G130</f>
        <v>0.69203092923444576</v>
      </c>
      <c r="J151" s="447">
        <f>J83*Calc_SEC_retirement_rates!$G130</f>
        <v>0.68601959434970006</v>
      </c>
      <c r="K151" s="447">
        <f>K83*Calc_SEC_retirement_rates!$G130</f>
        <v>0.67892563915381166</v>
      </c>
      <c r="L151" s="447">
        <f>L83*Calc_SEC_retirement_rates!$G130</f>
        <v>0.67050815381512185</v>
      </c>
      <c r="M151" s="447">
        <f>M83*Calc_SEC_retirement_rates!$G130</f>
        <v>0.66105763421502328</v>
      </c>
      <c r="N151" s="447">
        <f>N83*Calc_SEC_retirement_rates!$G130</f>
        <v>0.6502537998602701</v>
      </c>
      <c r="O151" s="320"/>
      <c r="P151" s="320"/>
      <c r="Q151" s="320"/>
    </row>
    <row r="152" spans="1:17">
      <c r="B152" s="331" t="str">
        <f t="shared" si="52"/>
        <v>55-59</v>
      </c>
      <c r="C152" s="447">
        <f>C84*Calc_SEC_retirement_rates!$G131</f>
        <v>1.6671350071743047</v>
      </c>
      <c r="D152" s="447">
        <f>D84*Calc_SEC_retirement_rates!$G131</f>
        <v>1.9223410463566206</v>
      </c>
      <c r="E152" s="447">
        <f>E84*Calc_SEC_retirement_rates!$G131</f>
        <v>2.1260730071488392</v>
      </c>
      <c r="F152" s="447">
        <f>F84*Calc_SEC_retirement_rates!$G131</f>
        <v>2.2735323950439157</v>
      </c>
      <c r="G152" s="447">
        <f>G84*Calc_SEC_retirement_rates!$G131</f>
        <v>2.3739774264425035</v>
      </c>
      <c r="H152" s="447">
        <f>H84*Calc_SEC_retirement_rates!$G131</f>
        <v>2.43797401445795</v>
      </c>
      <c r="I152" s="447">
        <f>I84*Calc_SEC_retirement_rates!$G131</f>
        <v>2.4730415822383538</v>
      </c>
      <c r="J152" s="447">
        <f>J84*Calc_SEC_retirement_rates!$G131</f>
        <v>2.4913331141092181</v>
      </c>
      <c r="K152" s="447">
        <f>K84*Calc_SEC_retirement_rates!$G131</f>
        <v>2.4978746476217961</v>
      </c>
      <c r="L152" s="447">
        <f>L84*Calc_SEC_retirement_rates!$G131</f>
        <v>2.4912714605098452</v>
      </c>
      <c r="M152" s="447">
        <f>M84*Calc_SEC_retirement_rates!$G131</f>
        <v>2.4733230963139117</v>
      </c>
      <c r="N152" s="447">
        <f>N84*Calc_SEC_retirement_rates!$G131</f>
        <v>2.4432929356906552</v>
      </c>
      <c r="O152" s="320"/>
      <c r="P152" s="320"/>
      <c r="Q152" s="320"/>
    </row>
    <row r="153" spans="1:17">
      <c r="B153" s="331" t="str">
        <f t="shared" si="52"/>
        <v>60-64</v>
      </c>
      <c r="C153" s="447">
        <f>C85*Calc_SEC_retirement_rates!$G132</f>
        <v>1.6755487129646736</v>
      </c>
      <c r="D153" s="447">
        <f>D85*Calc_SEC_retirement_rates!$G132</f>
        <v>1.3732486049354102</v>
      </c>
      <c r="E153" s="447">
        <f>E85*Calc_SEC_retirement_rates!$G132</f>
        <v>1.3029825457629864</v>
      </c>
      <c r="F153" s="447">
        <f>F85*Calc_SEC_retirement_rates!$G132</f>
        <v>1.3165207856331744</v>
      </c>
      <c r="G153" s="447">
        <f>G85*Calc_SEC_retirement_rates!$G132</f>
        <v>1.3529830955590092</v>
      </c>
      <c r="H153" s="447">
        <f>H85*Calc_SEC_retirement_rates!$G132</f>
        <v>1.3907558254731684</v>
      </c>
      <c r="I153" s="447">
        <f>I85*Calc_SEC_retirement_rates!$G132</f>
        <v>1.4209794354164755</v>
      </c>
      <c r="J153" s="447">
        <f>J85*Calc_SEC_retirement_rates!$G132</f>
        <v>1.4461175700255346</v>
      </c>
      <c r="K153" s="447">
        <f>K85*Calc_SEC_retirement_rates!$G132</f>
        <v>1.46567743581419</v>
      </c>
      <c r="L153" s="447">
        <f>L85*Calc_SEC_retirement_rates!$G132</f>
        <v>1.4755691831405064</v>
      </c>
      <c r="M153" s="447">
        <f>M85*Calc_SEC_retirement_rates!$G132</f>
        <v>1.475873580233225</v>
      </c>
      <c r="N153" s="447">
        <f>N85*Calc_SEC_retirement_rates!$G132</f>
        <v>1.4651990465611664</v>
      </c>
      <c r="O153" s="320"/>
      <c r="P153" s="320"/>
      <c r="Q153" s="320"/>
    </row>
    <row r="154" spans="1:17">
      <c r="B154" s="331" t="str">
        <f t="shared" si="52"/>
        <v>65 plus</v>
      </c>
      <c r="C154" s="447">
        <f>C86*Calc_SEC_retirement_rates!$G133</f>
        <v>2.0981574464972321</v>
      </c>
      <c r="D154" s="447">
        <f>D86*Calc_SEC_retirement_rates!$G133</f>
        <v>1.5272658952412275</v>
      </c>
      <c r="E154" s="447">
        <f>E86*Calc_SEC_retirement_rates!$G133</f>
        <v>1.1603566070250795</v>
      </c>
      <c r="F154" s="447">
        <f>F86*Calc_SEC_retirement_rates!$G133</f>
        <v>0.92750033338409532</v>
      </c>
      <c r="G154" s="447">
        <f>G86*Calc_SEC_retirement_rates!$G133</f>
        <v>0.78844880720080379</v>
      </c>
      <c r="H154" s="447">
        <f>H86*Calc_SEC_retirement_rates!$G133</f>
        <v>0.70750508332671036</v>
      </c>
      <c r="I154" s="447">
        <f>I86*Calc_SEC_retirement_rates!$G133</f>
        <v>0.66186069192419017</v>
      </c>
      <c r="J154" s="447">
        <f>J86*Calc_SEC_retirement_rates!$G133</f>
        <v>0.63884738135993924</v>
      </c>
      <c r="K154" s="447">
        <f>K86*Calc_SEC_retirement_rates!$G133</f>
        <v>0.62921547458270322</v>
      </c>
      <c r="L154" s="447">
        <f>L86*Calc_SEC_retirement_rates!$G133</f>
        <v>0.6252222097032043</v>
      </c>
      <c r="M154" s="447">
        <f>M86*Calc_SEC_retirement_rates!$G133</f>
        <v>0.62273303008492986</v>
      </c>
      <c r="N154" s="447">
        <f>N86*Calc_SEC_retirement_rates!$G133</f>
        <v>0.61848833714257312</v>
      </c>
      <c r="O154" s="320"/>
      <c r="P154" s="320"/>
      <c r="Q154" s="320"/>
    </row>
    <row r="155" spans="1:17">
      <c r="B155" s="331" t="str">
        <f t="shared" si="52"/>
        <v>Total</v>
      </c>
      <c r="C155" s="447">
        <f>SUM(C145:C154)</f>
        <v>6.1584483866553867</v>
      </c>
      <c r="D155" s="447">
        <f t="shared" ref="D155:N155" si="54">SUM(D145:D154)</f>
        <v>5.5548137063442793</v>
      </c>
      <c r="E155" s="447">
        <f t="shared" si="54"/>
        <v>5.3404349421506367</v>
      </c>
      <c r="F155" s="447">
        <f t="shared" si="54"/>
        <v>5.2807086006830204</v>
      </c>
      <c r="G155" s="447">
        <f t="shared" si="54"/>
        <v>5.2843229842938415</v>
      </c>
      <c r="H155" s="447">
        <f t="shared" si="54"/>
        <v>5.3048531768461213</v>
      </c>
      <c r="I155" s="447">
        <f t="shared" si="54"/>
        <v>5.3194324529837811</v>
      </c>
      <c r="J155" s="447">
        <f t="shared" si="54"/>
        <v>5.3327656129306087</v>
      </c>
      <c r="K155" s="447">
        <f t="shared" si="54"/>
        <v>5.3413673627926839</v>
      </c>
      <c r="L155" s="447">
        <f t="shared" si="54"/>
        <v>5.3316276276166699</v>
      </c>
      <c r="M155" s="447">
        <f t="shared" si="54"/>
        <v>5.3015167618793448</v>
      </c>
      <c r="N155" s="447">
        <f t="shared" si="54"/>
        <v>5.245196862376174</v>
      </c>
      <c r="O155" s="320"/>
      <c r="P155" s="320"/>
      <c r="Q155" s="320"/>
    </row>
    <row r="156" spans="1:17">
      <c r="A156" s="302">
        <f>SUM(C156:N156)</f>
        <v>0</v>
      </c>
      <c r="C156" s="302">
        <f>SUM(C145:C154)-C155</f>
        <v>0</v>
      </c>
      <c r="D156" s="302">
        <f t="shared" ref="D156:N156" si="55">SUM(D145:D154)-D155</f>
        <v>0</v>
      </c>
      <c r="E156" s="302">
        <f t="shared" si="55"/>
        <v>0</v>
      </c>
      <c r="F156" s="302">
        <f t="shared" si="55"/>
        <v>0</v>
      </c>
      <c r="G156" s="302">
        <f t="shared" si="55"/>
        <v>0</v>
      </c>
      <c r="H156" s="302">
        <f t="shared" si="55"/>
        <v>0</v>
      </c>
      <c r="I156" s="302">
        <f t="shared" si="55"/>
        <v>0</v>
      </c>
      <c r="J156" s="302">
        <f t="shared" si="55"/>
        <v>0</v>
      </c>
      <c r="K156" s="302">
        <f t="shared" si="55"/>
        <v>0</v>
      </c>
      <c r="L156" s="302">
        <f t="shared" si="55"/>
        <v>0</v>
      </c>
      <c r="M156" s="302">
        <f t="shared" si="55"/>
        <v>0</v>
      </c>
      <c r="N156" s="302">
        <f t="shared" si="55"/>
        <v>0</v>
      </c>
    </row>
    <row r="158" spans="1:17">
      <c r="B158" s="334" t="s">
        <v>47</v>
      </c>
      <c r="C158" s="322"/>
      <c r="D158" s="322"/>
      <c r="E158" s="322"/>
      <c r="F158" s="322"/>
      <c r="G158" s="322"/>
      <c r="H158" s="332"/>
      <c r="I158" s="322"/>
      <c r="J158" s="322"/>
      <c r="K158" s="322"/>
      <c r="L158" s="322"/>
    </row>
    <row r="159" spans="1:17">
      <c r="C159" s="322"/>
      <c r="D159" s="322"/>
      <c r="E159" s="322"/>
      <c r="F159" s="322"/>
      <c r="G159" s="322"/>
      <c r="H159" s="332"/>
      <c r="I159" s="322"/>
      <c r="J159" s="322"/>
      <c r="K159" s="322"/>
      <c r="L159" s="322"/>
    </row>
    <row r="160" spans="1:17">
      <c r="B160" s="331" t="str">
        <f t="shared" ref="B160:B171" si="56">B144</f>
        <v>Age group</v>
      </c>
      <c r="C160" s="331" t="str">
        <f t="shared" ref="C160:N160" si="57">C144</f>
        <v>2017/18</v>
      </c>
      <c r="D160" s="331" t="str">
        <f t="shared" si="57"/>
        <v>2018/19</v>
      </c>
      <c r="E160" s="331" t="str">
        <f t="shared" si="57"/>
        <v>2019/20</v>
      </c>
      <c r="F160" s="331" t="str">
        <f t="shared" si="57"/>
        <v>2020/21</v>
      </c>
      <c r="G160" s="331" t="str">
        <f t="shared" si="57"/>
        <v>2021/22</v>
      </c>
      <c r="H160" s="331" t="str">
        <f t="shared" si="57"/>
        <v>2022/23</v>
      </c>
      <c r="I160" s="331" t="str">
        <f t="shared" si="57"/>
        <v>2023/24</v>
      </c>
      <c r="J160" s="331" t="str">
        <f t="shared" si="57"/>
        <v>2024/25</v>
      </c>
      <c r="K160" s="331" t="str">
        <f t="shared" si="57"/>
        <v>2025/26</v>
      </c>
      <c r="L160" s="331" t="str">
        <f t="shared" si="57"/>
        <v>2026/27</v>
      </c>
      <c r="M160" s="331" t="str">
        <f t="shared" si="57"/>
        <v>2027/28</v>
      </c>
      <c r="N160" s="331" t="str">
        <f t="shared" si="57"/>
        <v>2028/29</v>
      </c>
    </row>
    <row r="161" spans="1:15">
      <c r="B161" s="331" t="str">
        <f t="shared" si="56"/>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row>
    <row r="162" spans="1:15">
      <c r="B162" s="331" t="str">
        <f t="shared" si="56"/>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row>
    <row r="163" spans="1:15">
      <c r="B163" s="331" t="str">
        <f t="shared" si="56"/>
        <v>30-34</v>
      </c>
      <c r="C163" s="447">
        <f>C95*Calc_SEC_retirement_rates!$G142</f>
        <v>1.6912496182021178E-2</v>
      </c>
      <c r="D163" s="447">
        <f>D95*Calc_SEC_retirement_rates!$G142</f>
        <v>1.7436528149118804E-2</v>
      </c>
      <c r="E163" s="447">
        <f>E95*Calc_SEC_retirement_rates!$G142</f>
        <v>1.8368842870148592E-2</v>
      </c>
      <c r="F163" s="447">
        <f>F95*Calc_SEC_retirement_rates!$G142</f>
        <v>1.9435200844661858E-2</v>
      </c>
      <c r="G163" s="447">
        <f>G95*Calc_SEC_retirement_rates!$G142</f>
        <v>2.0389242505654812E-2</v>
      </c>
      <c r="H163" s="447">
        <f>H95*Calc_SEC_retirement_rates!$G142</f>
        <v>2.1250073773736201E-2</v>
      </c>
      <c r="I163" s="447">
        <f>I95*Calc_SEC_retirement_rates!$G142</f>
        <v>2.198838152921424E-2</v>
      </c>
      <c r="J163" s="447">
        <f>J95*Calc_SEC_retirement_rates!$G142</f>
        <v>2.2690772413757901E-2</v>
      </c>
      <c r="K163" s="447">
        <f>K95*Calc_SEC_retirement_rates!$G142</f>
        <v>2.3368875829737391E-2</v>
      </c>
      <c r="L163" s="447">
        <f>L95*Calc_SEC_retirement_rates!$G142</f>
        <v>2.3940434422739368E-2</v>
      </c>
      <c r="M163" s="447">
        <f>M95*Calc_SEC_retirement_rates!$G142</f>
        <v>2.4372054670371065E-2</v>
      </c>
      <c r="N163" s="447">
        <f>N95*Calc_SEC_retirement_rates!$G142</f>
        <v>2.4598160350130405E-2</v>
      </c>
      <c r="O163" s="320"/>
    </row>
    <row r="164" spans="1:15">
      <c r="B164" s="331" t="str">
        <f t="shared" si="56"/>
        <v>35-39</v>
      </c>
      <c r="C164" s="447">
        <f>C96*Calc_SEC_retirement_rates!$G143</f>
        <v>7.2211457068070681E-2</v>
      </c>
      <c r="D164" s="447">
        <f>D96*Calc_SEC_retirement_rates!$G143</f>
        <v>7.0952939282080782E-2</v>
      </c>
      <c r="E164" s="447">
        <f>E96*Calc_SEC_retirement_rates!$G143</f>
        <v>7.1397117457135201E-2</v>
      </c>
      <c r="F164" s="447">
        <f>F96*Calc_SEC_retirement_rates!$G143</f>
        <v>7.2514367095797991E-2</v>
      </c>
      <c r="G164" s="447">
        <f>G96*Calc_SEC_retirement_rates!$G143</f>
        <v>7.3663336314482783E-2</v>
      </c>
      <c r="H164" s="447">
        <f>H96*Calc_SEC_retirement_rates!$G143</f>
        <v>7.4942775881143633E-2</v>
      </c>
      <c r="I164" s="447">
        <f>I96*Calc_SEC_retirement_rates!$G143</f>
        <v>7.6270245946931631E-2</v>
      </c>
      <c r="J164" s="447">
        <f>J96*Calc_SEC_retirement_rates!$G143</f>
        <v>7.78202727971153E-2</v>
      </c>
      <c r="K164" s="447">
        <f>K96*Calc_SEC_retirement_rates!$G143</f>
        <v>7.9556056810823825E-2</v>
      </c>
      <c r="L164" s="447">
        <f>L96*Calc_SEC_retirement_rates!$G143</f>
        <v>8.1214202983226458E-2</v>
      </c>
      <c r="M164" s="447">
        <f>M96*Calc_SEC_retirement_rates!$G143</f>
        <v>8.2666821424704343E-2</v>
      </c>
      <c r="N164" s="447">
        <f>N96*Calc_SEC_retirement_rates!$G143</f>
        <v>8.370676388604556E-2</v>
      </c>
      <c r="O164" s="320"/>
    </row>
    <row r="165" spans="1:15">
      <c r="B165" s="331" t="str">
        <f t="shared" si="56"/>
        <v>40-44</v>
      </c>
      <c r="C165" s="447">
        <f>C97*Calc_SEC_retirement_rates!$G144</f>
        <v>0.17575246224860361</v>
      </c>
      <c r="D165" s="447">
        <f>D97*Calc_SEC_retirement_rates!$G144</f>
        <v>0.17239155522760663</v>
      </c>
      <c r="E165" s="447">
        <f>E97*Calc_SEC_retirement_rates!$G144</f>
        <v>0.17132683281004207</v>
      </c>
      <c r="F165" s="447">
        <f>F97*Calc_SEC_retirement_rates!$G144</f>
        <v>0.17098429260588849</v>
      </c>
      <c r="G165" s="447">
        <f>G97*Calc_SEC_retirement_rates!$G144</f>
        <v>0.17040018144168523</v>
      </c>
      <c r="H165" s="447">
        <f>H97*Calc_SEC_retirement_rates!$G144</f>
        <v>0.17004364201572211</v>
      </c>
      <c r="I165" s="447">
        <f>I97*Calc_SEC_retirement_rates!$G144</f>
        <v>0.16994092714797229</v>
      </c>
      <c r="J165" s="447">
        <f>J97*Calc_SEC_retirement_rates!$G144</f>
        <v>0.17057116225591065</v>
      </c>
      <c r="K165" s="447">
        <f>K97*Calc_SEC_retirement_rates!$G144</f>
        <v>0.17192568144969608</v>
      </c>
      <c r="L165" s="447">
        <f>L97*Calc_SEC_retirement_rates!$G144</f>
        <v>0.17350812349553271</v>
      </c>
      <c r="M165" s="447">
        <f>M97*Calc_SEC_retirement_rates!$G144</f>
        <v>0.17507767346477879</v>
      </c>
      <c r="N165" s="447">
        <f>N97*Calc_SEC_retirement_rates!$G144</f>
        <v>0.17622730541940293</v>
      </c>
      <c r="O165" s="320"/>
    </row>
    <row r="166" spans="1:15">
      <c r="B166" s="331" t="str">
        <f t="shared" si="56"/>
        <v>45-49</v>
      </c>
      <c r="C166" s="447">
        <f>C98*Calc_SEC_retirement_rates!$G145</f>
        <v>0.30791758317906431</v>
      </c>
      <c r="D166" s="447">
        <f>D98*Calc_SEC_retirement_rates!$G145</f>
        <v>0.28842336273070973</v>
      </c>
      <c r="E166" s="447">
        <f>E98*Calc_SEC_retirement_rates!$G145</f>
        <v>0.27568370015345262</v>
      </c>
      <c r="F166" s="447">
        <f>F98*Calc_SEC_retirement_rates!$G145</f>
        <v>0.26631117823275618</v>
      </c>
      <c r="G166" s="447">
        <f>G98*Calc_SEC_retirement_rates!$G145</f>
        <v>0.25831044735678405</v>
      </c>
      <c r="H166" s="447">
        <f>H98*Calc_SEC_retirement_rates!$G145</f>
        <v>0.25181549395303515</v>
      </c>
      <c r="I166" s="447">
        <f>I98*Calc_SEC_retirement_rates!$G145</f>
        <v>0.24651534933368502</v>
      </c>
      <c r="J166" s="447">
        <f>J98*Calc_SEC_retirement_rates!$G145</f>
        <v>0.24280992811701027</v>
      </c>
      <c r="K166" s="447">
        <f>K98*Calc_SEC_retirement_rates!$G145</f>
        <v>0.24058023977646342</v>
      </c>
      <c r="L166" s="447">
        <f>L98*Calc_SEC_retirement_rates!$G145</f>
        <v>0.23914556677956555</v>
      </c>
      <c r="M166" s="447">
        <f>M98*Calc_SEC_retirement_rates!$G145</f>
        <v>0.23816830059706059</v>
      </c>
      <c r="N166" s="447">
        <f>N98*Calc_SEC_retirement_rates!$G145</f>
        <v>0.23711712026039999</v>
      </c>
      <c r="O166" s="320"/>
    </row>
    <row r="167" spans="1:15">
      <c r="B167" s="331" t="str">
        <f t="shared" si="56"/>
        <v>50-54</v>
      </c>
      <c r="C167" s="447">
        <f>C99*Calc_SEC_retirement_rates!$G146</f>
        <v>7.3071173550847854</v>
      </c>
      <c r="D167" s="447">
        <f>D99*Calc_SEC_retirement_rates!$G146</f>
        <v>6.72450766420849</v>
      </c>
      <c r="E167" s="447">
        <f>E99*Calc_SEC_retirement_rates!$G146</f>
        <v>6.2708051462389545</v>
      </c>
      <c r="F167" s="447">
        <f>F99*Calc_SEC_retirement_rates!$G146</f>
        <v>5.8971857309571094</v>
      </c>
      <c r="G167" s="447">
        <f>G99*Calc_SEC_retirement_rates!$G146</f>
        <v>5.5731951408271794</v>
      </c>
      <c r="H167" s="447">
        <f>H99*Calc_SEC_retirement_rates!$G146</f>
        <v>5.3018369689743947</v>
      </c>
      <c r="I167" s="447">
        <f>I99*Calc_SEC_retirement_rates!$G146</f>
        <v>5.074603414935341</v>
      </c>
      <c r="J167" s="447">
        <f>J99*Calc_SEC_retirement_rates!$G146</f>
        <v>4.8949095508186744</v>
      </c>
      <c r="K167" s="447">
        <f>K99*Calc_SEC_retirement_rates!$G146</f>
        <v>4.7574095072794149</v>
      </c>
      <c r="L167" s="447">
        <f>L99*Calc_SEC_retirement_rates!$G146</f>
        <v>4.6475650899698948</v>
      </c>
      <c r="M167" s="447">
        <f>M99*Calc_SEC_retirement_rates!$G146</f>
        <v>4.5573926104701314</v>
      </c>
      <c r="N167" s="447">
        <f>N99*Calc_SEC_retirement_rates!$G146</f>
        <v>4.4760496268059855</v>
      </c>
      <c r="O167" s="320"/>
    </row>
    <row r="168" spans="1:15">
      <c r="B168" s="331" t="str">
        <f t="shared" si="56"/>
        <v>55-59</v>
      </c>
      <c r="C168" s="447">
        <f>C100*Calc_SEC_retirement_rates!$G147</f>
        <v>44.579091761614897</v>
      </c>
      <c r="D168" s="447">
        <f>D100*Calc_SEC_retirement_rates!$G147</f>
        <v>37.485233401860448</v>
      </c>
      <c r="E168" s="447">
        <f>E100*Calc_SEC_retirement_rates!$G147</f>
        <v>32.638848914042889</v>
      </c>
      <c r="F168" s="447">
        <f>F100*Calc_SEC_retirement_rates!$G147</f>
        <v>29.136357883025653</v>
      </c>
      <c r="G168" s="447">
        <f>G100*Calc_SEC_retirement_rates!$G147</f>
        <v>26.450799246568835</v>
      </c>
      <c r="H168" s="447">
        <f>H100*Calc_SEC_retirement_rates!$G147</f>
        <v>24.374822384199966</v>
      </c>
      <c r="I168" s="447">
        <f>I100*Calc_SEC_retirement_rates!$G147</f>
        <v>22.737223048323958</v>
      </c>
      <c r="J168" s="447">
        <f>J100*Calc_SEC_retirement_rates!$G147</f>
        <v>21.474616159751612</v>
      </c>
      <c r="K168" s="447">
        <f>K100*Calc_SEC_retirement_rates!$G147</f>
        <v>20.508052040120145</v>
      </c>
      <c r="L168" s="447">
        <f>L100*Calc_SEC_retirement_rates!$G147</f>
        <v>19.734178656976347</v>
      </c>
      <c r="M168" s="447">
        <f>M100*Calc_SEC_retirement_rates!$G147</f>
        <v>19.096543527068413</v>
      </c>
      <c r="N168" s="447">
        <f>N100*Calc_SEC_retirement_rates!$G147</f>
        <v>18.532895095652048</v>
      </c>
      <c r="O168" s="320"/>
    </row>
    <row r="169" spans="1:15">
      <c r="B169" s="331" t="str">
        <f t="shared" si="56"/>
        <v>60-64</v>
      </c>
      <c r="C169" s="447">
        <f>C101*Calc_SEC_retirement_rates!$G148</f>
        <v>28.388485851792197</v>
      </c>
      <c r="D169" s="447">
        <f>D101*Calc_SEC_retirement_rates!$G148</f>
        <v>27.30564959469616</v>
      </c>
      <c r="E169" s="447">
        <f>E101*Calc_SEC_retirement_rates!$G148</f>
        <v>25.089446132890433</v>
      </c>
      <c r="F169" s="447">
        <f>F101*Calc_SEC_retirement_rates!$G148</f>
        <v>22.711117265528962</v>
      </c>
      <c r="G169" s="447">
        <f>G101*Calc_SEC_retirement_rates!$G148</f>
        <v>20.503062091655817</v>
      </c>
      <c r="H169" s="447">
        <f>H101*Calc_SEC_retirement_rates!$G148</f>
        <v>18.636754999624713</v>
      </c>
      <c r="I169" s="447">
        <f>I101*Calc_SEC_retirement_rates!$G148</f>
        <v>17.106354692841489</v>
      </c>
      <c r="J169" s="447">
        <f>J101*Calc_SEC_retirement_rates!$G148</f>
        <v>15.912364459721474</v>
      </c>
      <c r="K169" s="447">
        <f>K101*Calc_SEC_retirement_rates!$G148</f>
        <v>14.996415579430705</v>
      </c>
      <c r="L169" s="447">
        <f>L101*Calc_SEC_retirement_rates!$G148</f>
        <v>14.262255462502957</v>
      </c>
      <c r="M169" s="447">
        <f>M101*Calc_SEC_retirement_rates!$G148</f>
        <v>13.656785473860124</v>
      </c>
      <c r="N169" s="447">
        <f>N101*Calc_SEC_retirement_rates!$G148</f>
        <v>13.121233580577433</v>
      </c>
      <c r="O169" s="320"/>
    </row>
    <row r="170" spans="1:15">
      <c r="B170" s="331" t="str">
        <f t="shared" si="56"/>
        <v>65 plus</v>
      </c>
      <c r="C170" s="447">
        <f>C102*Calc_SEC_retirement_rates!$G149</f>
        <v>6.9082651087136604</v>
      </c>
      <c r="D170" s="447">
        <f>D102*Calc_SEC_retirement_rates!$G149</f>
        <v>8.1269703158219659</v>
      </c>
      <c r="E170" s="447">
        <f>E102*Calc_SEC_retirement_rates!$G149</f>
        <v>8.8493244409605154</v>
      </c>
      <c r="F170" s="447">
        <f>F102*Calc_SEC_retirement_rates!$G149</f>
        <v>9.0562612833792429</v>
      </c>
      <c r="G170" s="447">
        <f>G102*Calc_SEC_retirement_rates!$G149</f>
        <v>8.8783783526955347</v>
      </c>
      <c r="H170" s="447">
        <f>H102*Calc_SEC_retirement_rates!$G149</f>
        <v>8.4953422445419893</v>
      </c>
      <c r="I170" s="447">
        <f>I102*Calc_SEC_retirement_rates!$G149</f>
        <v>8.0224738505012372</v>
      </c>
      <c r="J170" s="447">
        <f>J102*Calc_SEC_retirement_rates!$G149</f>
        <v>7.550577523768669</v>
      </c>
      <c r="K170" s="447">
        <f>K102*Calc_SEC_retirement_rates!$G149</f>
        <v>7.1214132238169894</v>
      </c>
      <c r="L170" s="447">
        <f>L102*Calc_SEC_retirement_rates!$G149</f>
        <v>6.7373602327532183</v>
      </c>
      <c r="M170" s="447">
        <f>M102*Calc_SEC_retirement_rates!$G149</f>
        <v>6.3975301437650121</v>
      </c>
      <c r="N170" s="447">
        <f>N102*Calc_SEC_retirement_rates!$G149</f>
        <v>6.088792898309106</v>
      </c>
      <c r="O170" s="320"/>
    </row>
    <row r="171" spans="1:15">
      <c r="B171" s="331" t="str">
        <f t="shared" si="56"/>
        <v>Total</v>
      </c>
      <c r="C171" s="447">
        <f>SUM(C161:C170)</f>
        <v>87.755754075883303</v>
      </c>
      <c r="D171" s="447">
        <f t="shared" ref="D171:N171" si="58">SUM(D161:D170)</f>
        <v>80.191565361976572</v>
      </c>
      <c r="E171" s="447">
        <f t="shared" si="58"/>
        <v>73.385201127423571</v>
      </c>
      <c r="F171" s="447">
        <f t="shared" si="58"/>
        <v>67.330167201670065</v>
      </c>
      <c r="G171" s="447">
        <f t="shared" si="58"/>
        <v>61.928198039365967</v>
      </c>
      <c r="H171" s="447">
        <f t="shared" si="58"/>
        <v>57.326808582964702</v>
      </c>
      <c r="I171" s="447">
        <f t="shared" si="58"/>
        <v>53.455369910559831</v>
      </c>
      <c r="J171" s="447">
        <f t="shared" si="58"/>
        <v>50.346359829644221</v>
      </c>
      <c r="K171" s="447">
        <f t="shared" si="58"/>
        <v>47.898721204513969</v>
      </c>
      <c r="L171" s="447">
        <f t="shared" si="58"/>
        <v>45.899167769883476</v>
      </c>
      <c r="M171" s="447">
        <f t="shared" si="58"/>
        <v>44.228536605320592</v>
      </c>
      <c r="N171" s="447">
        <f t="shared" si="58"/>
        <v>42.740620551260555</v>
      </c>
      <c r="O171" s="320"/>
    </row>
    <row r="172" spans="1:15">
      <c r="A172" s="302">
        <f>SUM(C172:N172)</f>
        <v>0</v>
      </c>
      <c r="C172" s="302">
        <f>SUM(C161:C170)-C171</f>
        <v>0</v>
      </c>
      <c r="D172" s="302">
        <f t="shared" ref="D172:N172" si="59">SUM(D161:D170)-D171</f>
        <v>0</v>
      </c>
      <c r="E172" s="302">
        <f t="shared" si="59"/>
        <v>0</v>
      </c>
      <c r="F172" s="302">
        <f t="shared" si="59"/>
        <v>0</v>
      </c>
      <c r="G172" s="302">
        <f t="shared" si="59"/>
        <v>0</v>
      </c>
      <c r="H172" s="302">
        <f t="shared" si="59"/>
        <v>0</v>
      </c>
      <c r="I172" s="302">
        <f t="shared" si="59"/>
        <v>0</v>
      </c>
      <c r="J172" s="302">
        <f t="shared" si="59"/>
        <v>0</v>
      </c>
      <c r="K172" s="302">
        <f t="shared" si="59"/>
        <v>0</v>
      </c>
      <c r="L172" s="302">
        <f t="shared" si="59"/>
        <v>0</v>
      </c>
      <c r="M172" s="302">
        <f t="shared" si="59"/>
        <v>0</v>
      </c>
      <c r="N172" s="302">
        <f t="shared" si="59"/>
        <v>0</v>
      </c>
    </row>
    <row r="174" spans="1:15" ht="15.75">
      <c r="B174" s="333" t="s">
        <v>527</v>
      </c>
      <c r="H174" s="318"/>
    </row>
    <row r="175" spans="1:15">
      <c r="H175" s="318"/>
    </row>
    <row r="176" spans="1:15">
      <c r="B176" s="334" t="s">
        <v>46</v>
      </c>
      <c r="H176" s="318"/>
    </row>
    <row r="177" spans="1:15">
      <c r="H177" s="318"/>
    </row>
    <row r="178" spans="1:15">
      <c r="B178" s="331" t="str">
        <f t="shared" ref="B178:B189" si="60">B144</f>
        <v>Age group</v>
      </c>
      <c r="C178" s="331" t="str">
        <f t="shared" ref="C178:N178" si="61">C144</f>
        <v>2017/18</v>
      </c>
      <c r="D178" s="331" t="str">
        <f t="shared" si="61"/>
        <v>2018/19</v>
      </c>
      <c r="E178" s="331" t="str">
        <f t="shared" si="61"/>
        <v>2019/20</v>
      </c>
      <c r="F178" s="331" t="str">
        <f t="shared" si="61"/>
        <v>2020/21</v>
      </c>
      <c r="G178" s="331" t="str">
        <f t="shared" si="61"/>
        <v>2021/22</v>
      </c>
      <c r="H178" s="331" t="str">
        <f t="shared" si="61"/>
        <v>2022/23</v>
      </c>
      <c r="I178" s="331" t="str">
        <f t="shared" si="61"/>
        <v>2023/24</v>
      </c>
      <c r="J178" s="331" t="str">
        <f t="shared" si="61"/>
        <v>2024/25</v>
      </c>
      <c r="K178" s="331" t="str">
        <f t="shared" si="61"/>
        <v>2025/26</v>
      </c>
      <c r="L178" s="331" t="str">
        <f t="shared" si="61"/>
        <v>2026/27</v>
      </c>
      <c r="M178" s="331" t="str">
        <f t="shared" si="61"/>
        <v>2027/28</v>
      </c>
      <c r="N178" s="331" t="str">
        <f t="shared" si="61"/>
        <v>2028/29</v>
      </c>
    </row>
    <row r="179" spans="1:15">
      <c r="B179" s="331" t="str">
        <f t="shared" si="60"/>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row>
    <row r="180" spans="1:15">
      <c r="B180" s="331" t="str">
        <f t="shared" si="60"/>
        <v>25-29</v>
      </c>
      <c r="C180" s="447">
        <f>C78*Calc_SEC_death_rates!$G125</f>
        <v>1.1895725648173355E-3</v>
      </c>
      <c r="D180" s="447">
        <f>D78*Calc_SEC_death_rates!$G125</f>
        <v>1.4294830875061853E-3</v>
      </c>
      <c r="E180" s="447">
        <f>E78*Calc_SEC_death_rates!$G125</f>
        <v>1.7410898626579992E-3</v>
      </c>
      <c r="F180" s="447">
        <f>F78*Calc_SEC_death_rates!$G125</f>
        <v>2.0280751173394956E-3</v>
      </c>
      <c r="G180" s="447">
        <f>G78*Calc_SEC_death_rates!$G125</f>
        <v>2.2471132049933073E-3</v>
      </c>
      <c r="H180" s="447">
        <f>H78*Calc_SEC_death_rates!$G125</f>
        <v>2.4092877538660234E-3</v>
      </c>
      <c r="I180" s="447">
        <f>I78*Calc_SEC_death_rates!$G125</f>
        <v>2.522830901312409E-3</v>
      </c>
      <c r="J180" s="447">
        <f>J78*Calc_SEC_death_rates!$G125</f>
        <v>2.6172992447009401E-3</v>
      </c>
      <c r="K180" s="447">
        <f>K78*Calc_SEC_death_rates!$G125</f>
        <v>2.7006287654057835E-3</v>
      </c>
      <c r="L180" s="447">
        <f>L78*Calc_SEC_death_rates!$G125</f>
        <v>2.7594909328527211E-3</v>
      </c>
      <c r="M180" s="447">
        <f>M78*Calc_SEC_death_rates!$G125</f>
        <v>2.792028162047348E-3</v>
      </c>
      <c r="N180" s="447">
        <f>N78*Calc_SEC_death_rates!$G125</f>
        <v>2.7893827141078557E-3</v>
      </c>
      <c r="O180" s="320"/>
    </row>
    <row r="181" spans="1:15">
      <c r="B181" s="331" t="str">
        <f t="shared" si="60"/>
        <v>30-34</v>
      </c>
      <c r="C181" s="447">
        <f>C79*Calc_SEC_death_rates!$G126</f>
        <v>8.7117505658815889E-3</v>
      </c>
      <c r="D181" s="447">
        <f>D79*Calc_SEC_death_rates!$G126</f>
        <v>8.0328526938476929E-3</v>
      </c>
      <c r="E181" s="447">
        <f>E79*Calc_SEC_death_rates!$G126</f>
        <v>7.8334694646837785E-3</v>
      </c>
      <c r="F181" s="447">
        <f>F79*Calc_SEC_death_rates!$G126</f>
        <v>7.8726259422285637E-3</v>
      </c>
      <c r="G181" s="447">
        <f>G79*Calc_SEC_death_rates!$G126</f>
        <v>8.0208166598704084E-3</v>
      </c>
      <c r="H181" s="447">
        <f>H79*Calc_SEC_death_rates!$G126</f>
        <v>8.2190465310880752E-3</v>
      </c>
      <c r="I181" s="447">
        <f>I79*Calc_SEC_death_rates!$G126</f>
        <v>8.4256568278692299E-3</v>
      </c>
      <c r="J181" s="447">
        <f>J79*Calc_SEC_death_rates!$G126</f>
        <v>8.6520138697886249E-3</v>
      </c>
      <c r="K181" s="447">
        <f>K79*Calc_SEC_death_rates!$G126</f>
        <v>8.8895299593722468E-3</v>
      </c>
      <c r="L181" s="447">
        <f>L79*Calc_SEC_death_rates!$G126</f>
        <v>9.0999381857463351E-3</v>
      </c>
      <c r="M181" s="447">
        <f>M79*Calc_SEC_death_rates!$G126</f>
        <v>9.2655372551825269E-3</v>
      </c>
      <c r="N181" s="447">
        <f>N79*Calc_SEC_death_rates!$G126</f>
        <v>9.3587413001648811E-3</v>
      </c>
      <c r="O181" s="320"/>
    </row>
    <row r="182" spans="1:15">
      <c r="B182" s="331" t="str">
        <f t="shared" si="60"/>
        <v>35-39</v>
      </c>
      <c r="C182" s="447">
        <f>C80*Calc_SEC_death_rates!$G127</f>
        <v>1.8110078628831516E-2</v>
      </c>
      <c r="D182" s="447">
        <f>D80*Calc_SEC_death_rates!$G127</f>
        <v>1.7815859170105967E-2</v>
      </c>
      <c r="E182" s="447">
        <f>E80*Calc_SEC_death_rates!$G127</f>
        <v>1.759453768845454E-2</v>
      </c>
      <c r="F182" s="447">
        <f>F80*Calc_SEC_death_rates!$G127</f>
        <v>1.7359815593040166E-2</v>
      </c>
      <c r="G182" s="447">
        <f>G80*Calc_SEC_death_rates!$G127</f>
        <v>1.7159087950352855E-2</v>
      </c>
      <c r="H182" s="447">
        <f>H80*Calc_SEC_death_rates!$G127</f>
        <v>1.7022118128655332E-2</v>
      </c>
      <c r="I182" s="447">
        <f>I80*Calc_SEC_death_rates!$G127</f>
        <v>1.6953927253150224E-2</v>
      </c>
      <c r="J182" s="447">
        <f>J80*Calc_SEC_death_rates!$G127</f>
        <v>1.6992282631478808E-2</v>
      </c>
      <c r="K182" s="447">
        <f>K80*Calc_SEC_death_rates!$G127</f>
        <v>1.7126125541320272E-2</v>
      </c>
      <c r="L182" s="447">
        <f>L80*Calc_SEC_death_rates!$G127</f>
        <v>1.7296915082546216E-2</v>
      </c>
      <c r="M182" s="447">
        <f>M80*Calc_SEC_death_rates!$G127</f>
        <v>1.7470656893036639E-2</v>
      </c>
      <c r="N182" s="447">
        <f>N80*Calc_SEC_death_rates!$G127</f>
        <v>1.7598149873280962E-2</v>
      </c>
      <c r="O182" s="320"/>
    </row>
    <row r="183" spans="1:15">
      <c r="B183" s="331" t="str">
        <f t="shared" si="60"/>
        <v>40-44</v>
      </c>
      <c r="C183" s="447">
        <f>C81*Calc_SEC_death_rates!$G128</f>
        <v>3.3153813905445861E-2</v>
      </c>
      <c r="D183" s="447">
        <f>D81*Calc_SEC_death_rates!$G128</f>
        <v>3.0900348926193127E-2</v>
      </c>
      <c r="E183" s="447">
        <f>E81*Calc_SEC_death_rates!$G128</f>
        <v>2.9491972808145521E-2</v>
      </c>
      <c r="F183" s="447">
        <f>F81*Calc_SEC_death_rates!$G128</f>
        <v>2.8368503960860686E-2</v>
      </c>
      <c r="G183" s="447">
        <f>G81*Calc_SEC_death_rates!$G128</f>
        <v>2.7438036363363026E-2</v>
      </c>
      <c r="H183" s="447">
        <f>H81*Calc_SEC_death_rates!$G128</f>
        <v>2.6644216979903733E-2</v>
      </c>
      <c r="I183" s="447">
        <f>I81*Calc_SEC_death_rates!$G128</f>
        <v>2.5972662343744419E-2</v>
      </c>
      <c r="J183" s="447">
        <f>J81*Calc_SEC_death_rates!$G128</f>
        <v>2.5475287684667364E-2</v>
      </c>
      <c r="K183" s="447">
        <f>K81*Calc_SEC_death_rates!$G128</f>
        <v>2.5147137678710692E-2</v>
      </c>
      <c r="L183" s="447">
        <f>L81*Calc_SEC_death_rates!$G128</f>
        <v>2.4922958350297255E-2</v>
      </c>
      <c r="M183" s="447">
        <f>M81*Calc_SEC_death_rates!$G128</f>
        <v>2.4767578638055222E-2</v>
      </c>
      <c r="N183" s="447">
        <f>N81*Calc_SEC_death_rates!$G128</f>
        <v>2.4623979858073675E-2</v>
      </c>
      <c r="O183" s="320"/>
    </row>
    <row r="184" spans="1:15">
      <c r="B184" s="331" t="str">
        <f t="shared" si="60"/>
        <v>45-49</v>
      </c>
      <c r="C184" s="447">
        <f>C82*Calc_SEC_death_rates!$G129</f>
        <v>4.0085023598787635E-2</v>
      </c>
      <c r="D184" s="447">
        <f>D82*Calc_SEC_death_rates!$G129</f>
        <v>4.0371146273643833E-2</v>
      </c>
      <c r="E184" s="447">
        <f>E82*Calc_SEC_death_rates!$G129</f>
        <v>4.0384229168302171E-2</v>
      </c>
      <c r="F184" s="447">
        <f>F82*Calc_SEC_death_rates!$G129</f>
        <v>3.9947212939573144E-2</v>
      </c>
      <c r="G184" s="447">
        <f>G82*Calc_SEC_death_rates!$G129</f>
        <v>3.9279765816653191E-2</v>
      </c>
      <c r="H184" s="447">
        <f>H82*Calc_SEC_death_rates!$G129</f>
        <v>3.8466332082857858E-2</v>
      </c>
      <c r="I184" s="447">
        <f>I82*Calc_SEC_death_rates!$G129</f>
        <v>3.7589083688366352E-2</v>
      </c>
      <c r="J184" s="447">
        <f>J82*Calc_SEC_death_rates!$G129</f>
        <v>3.6780068311402292E-2</v>
      </c>
      <c r="K184" s="447">
        <f>K82*Calc_SEC_death_rates!$G129</f>
        <v>3.608366525123128E-2</v>
      </c>
      <c r="L184" s="447">
        <f>L82*Calc_SEC_death_rates!$G129</f>
        <v>3.5458221485273195E-2</v>
      </c>
      <c r="M184" s="447">
        <f>M82*Calc_SEC_death_rates!$G129</f>
        <v>3.4891280398248917E-2</v>
      </c>
      <c r="N184" s="447">
        <f>N82*Calc_SEC_death_rates!$G129</f>
        <v>3.4336983468657212E-2</v>
      </c>
      <c r="O184" s="320"/>
    </row>
    <row r="185" spans="1:15">
      <c r="B185" s="331" t="str">
        <f t="shared" si="60"/>
        <v>50-54</v>
      </c>
      <c r="C185" s="447">
        <f>C83*Calc_SEC_death_rates!$G130</f>
        <v>3.1686193207519808E-2</v>
      </c>
      <c r="D185" s="447">
        <f>D83*Calc_SEC_death_rates!$G130</f>
        <v>3.2490879994585956E-2</v>
      </c>
      <c r="E185" s="447">
        <f>E83*Calc_SEC_death_rates!$G130</f>
        <v>3.3499630099264682E-2</v>
      </c>
      <c r="F185" s="447">
        <f>F83*Calc_SEC_death_rates!$G130</f>
        <v>3.417130829173335E-2</v>
      </c>
      <c r="G185" s="447">
        <f>G83*Calc_SEC_death_rates!$G130</f>
        <v>3.4527534017785431E-2</v>
      </c>
      <c r="H185" s="447">
        <f>H83*Calc_SEC_death_rates!$G130</f>
        <v>3.45825141783518E-2</v>
      </c>
      <c r="I185" s="447">
        <f>I83*Calc_SEC_death_rates!$G130</f>
        <v>3.4397118087308949E-2</v>
      </c>
      <c r="J185" s="447">
        <f>J83*Calc_SEC_death_rates!$G130</f>
        <v>3.4098327112573622E-2</v>
      </c>
      <c r="K185" s="447">
        <f>K83*Calc_SEC_death_rates!$G130</f>
        <v>3.3745724932134971E-2</v>
      </c>
      <c r="L185" s="447">
        <f>L83*Calc_SEC_death_rates!$G130</f>
        <v>3.3327337220023019E-2</v>
      </c>
      <c r="M185" s="447">
        <f>M83*Calc_SEC_death_rates!$G130</f>
        <v>3.2857602956800673E-2</v>
      </c>
      <c r="N185" s="447">
        <f>N83*Calc_SEC_death_rates!$G130</f>
        <v>3.2320602729791641E-2</v>
      </c>
      <c r="O185" s="320"/>
    </row>
    <row r="186" spans="1:15">
      <c r="B186" s="331" t="str">
        <f t="shared" si="60"/>
        <v>55-59</v>
      </c>
      <c r="C186" s="447">
        <f>C84*Calc_SEC_death_rates!$G131</f>
        <v>1.6917961524965892E-2</v>
      </c>
      <c r="D186" s="447">
        <f>D84*Calc_SEC_death_rates!$G131</f>
        <v>1.9507773347790833E-2</v>
      </c>
      <c r="E186" s="447">
        <f>E84*Calc_SEC_death_rates!$G131</f>
        <v>2.1575230068006081E-2</v>
      </c>
      <c r="F186" s="447">
        <f>F84*Calc_SEC_death_rates!$G131</f>
        <v>2.3071636921781116E-2</v>
      </c>
      <c r="G186" s="447">
        <f>G84*Calc_SEC_death_rates!$G131</f>
        <v>2.4090945597600697E-2</v>
      </c>
      <c r="H186" s="447">
        <f>H84*Calc_SEC_death_rates!$G131</f>
        <v>2.474037819251064E-2</v>
      </c>
      <c r="I186" s="447">
        <f>I84*Calc_SEC_death_rates!$G131</f>
        <v>2.5096241250949176E-2</v>
      </c>
      <c r="J186" s="447">
        <f>J84*Calc_SEC_death_rates!$G131</f>
        <v>2.5281862350075682E-2</v>
      </c>
      <c r="K186" s="447">
        <f>K84*Calc_SEC_death_rates!$G131</f>
        <v>2.5348245343536812E-2</v>
      </c>
      <c r="L186" s="447">
        <f>L84*Calc_SEC_death_rates!$G131</f>
        <v>2.5281236693954507E-2</v>
      </c>
      <c r="M186" s="447">
        <f>M84*Calc_SEC_death_rates!$G131</f>
        <v>2.5099098034760042E-2</v>
      </c>
      <c r="N186" s="447">
        <f>N84*Calc_SEC_death_rates!$G131</f>
        <v>2.4794354207879517E-2</v>
      </c>
      <c r="O186" s="320"/>
    </row>
    <row r="187" spans="1:15">
      <c r="B187" s="331" t="str">
        <f t="shared" si="60"/>
        <v>60-64</v>
      </c>
      <c r="C187" s="447">
        <f>C85*Calc_SEC_death_rates!$G132</f>
        <v>1.8051005156362831E-2</v>
      </c>
      <c r="D187" s="447">
        <f>D85*Calc_SEC_death_rates!$G132</f>
        <v>1.4794268562205498E-2</v>
      </c>
      <c r="E187" s="447">
        <f>E85*Calc_SEC_death_rates!$G132</f>
        <v>1.4037278934494532E-2</v>
      </c>
      <c r="F187" s="447">
        <f>F85*Calc_SEC_death_rates!$G132</f>
        <v>1.4183128969061681E-2</v>
      </c>
      <c r="G187" s="447">
        <f>G85*Calc_SEC_death_rates!$G132</f>
        <v>1.4575944372989612E-2</v>
      </c>
      <c r="H187" s="447">
        <f>H85*Calc_SEC_death_rates!$G132</f>
        <v>1.4982877180836162E-2</v>
      </c>
      <c r="I187" s="447">
        <f>I85*Calc_SEC_death_rates!$G132</f>
        <v>1.5308481882573078E-2</v>
      </c>
      <c r="J187" s="447">
        <f>J85*Calc_SEC_death_rates!$G132</f>
        <v>1.5579299790723646E-2</v>
      </c>
      <c r="K187" s="447">
        <f>K85*Calc_SEC_death_rates!$G132</f>
        <v>1.5790021947278594E-2</v>
      </c>
      <c r="L187" s="447">
        <f>L85*Calc_SEC_death_rates!$G132</f>
        <v>1.5896587623711149E-2</v>
      </c>
      <c r="M187" s="447">
        <f>M85*Calc_SEC_death_rates!$G132</f>
        <v>1.5899866951520437E-2</v>
      </c>
      <c r="N187" s="447">
        <f>N85*Calc_SEC_death_rates!$G132</f>
        <v>1.5784868168814106E-2</v>
      </c>
      <c r="O187" s="320"/>
    </row>
    <row r="188" spans="1:15">
      <c r="B188" s="331" t="str">
        <f t="shared" si="60"/>
        <v>65 plus</v>
      </c>
      <c r="C188" s="447">
        <f>C86*Calc_SEC_death_rates!$G133</f>
        <v>2.346968547133749E-2</v>
      </c>
      <c r="D188" s="447">
        <f>D86*Calc_SEC_death_rates!$G133</f>
        <v>1.7083775220135544E-2</v>
      </c>
      <c r="E188" s="447">
        <f>E86*Calc_SEC_death_rates!$G133</f>
        <v>1.2979581035222801E-2</v>
      </c>
      <c r="F188" s="447">
        <f>F86*Calc_SEC_death_rates!$G133</f>
        <v>1.0374884466094855E-2</v>
      </c>
      <c r="G188" s="447">
        <f>G86*Calc_SEC_death_rates!$G133</f>
        <v>8.8194742230363367E-3</v>
      </c>
      <c r="H188" s="447">
        <f>H86*Calc_SEC_death_rates!$G133</f>
        <v>7.9140494450363544E-3</v>
      </c>
      <c r="I188" s="447">
        <f>I86*Calc_SEC_death_rates!$G133</f>
        <v>7.4034778902008569E-3</v>
      </c>
      <c r="J188" s="447">
        <f>J86*Calc_SEC_death_rates!$G133</f>
        <v>7.1460543295911059E-3</v>
      </c>
      <c r="K188" s="447">
        <f>K86*Calc_SEC_death_rates!$G133</f>
        <v>7.038313214676988E-3</v>
      </c>
      <c r="L188" s="447">
        <f>L86*Calc_SEC_death_rates!$G133</f>
        <v>6.9936451317921498E-3</v>
      </c>
      <c r="M188" s="447">
        <f>M86*Calc_SEC_death_rates!$G133</f>
        <v>6.96580152891092E-3</v>
      </c>
      <c r="N188" s="447">
        <f>N86*Calc_SEC_death_rates!$G133</f>
        <v>6.9183210081111904E-3</v>
      </c>
      <c r="O188" s="320"/>
    </row>
    <row r="189" spans="1:15">
      <c r="B189" s="331" t="str">
        <f t="shared" si="60"/>
        <v>Total</v>
      </c>
      <c r="C189" s="447">
        <f>SUM(C179:C188)</f>
        <v>0.19137508462394995</v>
      </c>
      <c r="D189" s="447">
        <f t="shared" ref="D189:N189" si="62">SUM(D179:D188)</f>
        <v>0.18242638727601465</v>
      </c>
      <c r="E189" s="447">
        <f t="shared" si="62"/>
        <v>0.17913701912923208</v>
      </c>
      <c r="F189" s="447">
        <f t="shared" si="62"/>
        <v>0.17737719220171308</v>
      </c>
      <c r="G189" s="447">
        <f t="shared" si="62"/>
        <v>0.17615871820664486</v>
      </c>
      <c r="H189" s="447">
        <f t="shared" si="62"/>
        <v>0.17498082047310598</v>
      </c>
      <c r="I189" s="447">
        <f t="shared" si="62"/>
        <v>0.17366948012547467</v>
      </c>
      <c r="J189" s="447">
        <f t="shared" si="62"/>
        <v>0.1726224953250021</v>
      </c>
      <c r="K189" s="447">
        <f t="shared" si="62"/>
        <v>0.17186939263366766</v>
      </c>
      <c r="L189" s="447">
        <f t="shared" si="62"/>
        <v>0.17103633070619656</v>
      </c>
      <c r="M189" s="447">
        <f t="shared" si="62"/>
        <v>0.1700094508185627</v>
      </c>
      <c r="N189" s="447">
        <f t="shared" si="62"/>
        <v>0.16852538332888103</v>
      </c>
      <c r="O189" s="320"/>
    </row>
    <row r="190" spans="1:15">
      <c r="A190" s="302">
        <f>SUM(C190:N190)</f>
        <v>0</v>
      </c>
      <c r="C190" s="302">
        <f>SUM(C179:C188)-C189</f>
        <v>0</v>
      </c>
      <c r="D190" s="302">
        <f t="shared" ref="D190:N190" si="63">SUM(D179:D188)-D189</f>
        <v>0</v>
      </c>
      <c r="E190" s="302">
        <f t="shared" si="63"/>
        <v>0</v>
      </c>
      <c r="F190" s="302">
        <f t="shared" si="63"/>
        <v>0</v>
      </c>
      <c r="G190" s="302">
        <f t="shared" si="63"/>
        <v>0</v>
      </c>
      <c r="H190" s="302">
        <f t="shared" si="63"/>
        <v>0</v>
      </c>
      <c r="I190" s="302">
        <f t="shared" si="63"/>
        <v>0</v>
      </c>
      <c r="J190" s="302">
        <f t="shared" si="63"/>
        <v>0</v>
      </c>
      <c r="K190" s="302">
        <f t="shared" si="63"/>
        <v>0</v>
      </c>
      <c r="L190" s="302">
        <f t="shared" si="63"/>
        <v>0</v>
      </c>
      <c r="M190" s="302">
        <f t="shared" si="63"/>
        <v>0</v>
      </c>
      <c r="N190" s="302">
        <f t="shared" si="63"/>
        <v>0</v>
      </c>
    </row>
    <row r="192" spans="1:15">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4">B178</f>
        <v>Age group</v>
      </c>
      <c r="C194" s="331" t="str">
        <f t="shared" ref="C194:N194" si="65">C178</f>
        <v>2017/18</v>
      </c>
      <c r="D194" s="331" t="str">
        <f t="shared" si="65"/>
        <v>2018/19</v>
      </c>
      <c r="E194" s="331" t="str">
        <f t="shared" si="65"/>
        <v>2019/20</v>
      </c>
      <c r="F194" s="331" t="str">
        <f t="shared" si="65"/>
        <v>2020/21</v>
      </c>
      <c r="G194" s="331" t="str">
        <f t="shared" si="65"/>
        <v>2021/22</v>
      </c>
      <c r="H194" s="331" t="str">
        <f t="shared" si="65"/>
        <v>2022/23</v>
      </c>
      <c r="I194" s="331" t="str">
        <f t="shared" si="65"/>
        <v>2023/24</v>
      </c>
      <c r="J194" s="331" t="str">
        <f t="shared" si="65"/>
        <v>2024/25</v>
      </c>
      <c r="K194" s="331" t="str">
        <f t="shared" si="65"/>
        <v>2025/26</v>
      </c>
      <c r="L194" s="331" t="str">
        <f t="shared" si="65"/>
        <v>2026/27</v>
      </c>
      <c r="M194" s="331" t="str">
        <f t="shared" si="65"/>
        <v>2027/28</v>
      </c>
      <c r="N194" s="331" t="str">
        <f t="shared" si="65"/>
        <v>2028/29</v>
      </c>
    </row>
    <row r="195" spans="1:14">
      <c r="B195" s="331" t="str">
        <f t="shared" si="64"/>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4"/>
        <v>25-29</v>
      </c>
      <c r="C196" s="447">
        <f>C94*Calc_SEC_death_rates!$G141</f>
        <v>1.9387260256420739E-2</v>
      </c>
      <c r="D196" s="447">
        <f>D94*Calc_SEC_death_rates!$G141</f>
        <v>2.0410720414165792E-2</v>
      </c>
      <c r="E196" s="447">
        <f>E94*Calc_SEC_death_rates!$G141</f>
        <v>2.2783242624137955E-2</v>
      </c>
      <c r="F196" s="447">
        <f>F94*Calc_SEC_death_rates!$G141</f>
        <v>2.5299928886883098E-2</v>
      </c>
      <c r="G196" s="447">
        <f>G94*Calc_SEC_death_rates!$G141</f>
        <v>2.7232354573123892E-2</v>
      </c>
      <c r="H196" s="447">
        <f>H94*Calc_SEC_death_rates!$G141</f>
        <v>2.8694557983977912E-2</v>
      </c>
      <c r="I196" s="447">
        <f>I94*Calc_SEC_death_rates!$G141</f>
        <v>2.972305989236693E-2</v>
      </c>
      <c r="J196" s="447">
        <f>J94*Calc_SEC_death_rates!$G141</f>
        <v>3.0620461912169938E-2</v>
      </c>
      <c r="K196" s="447">
        <f>K94*Calc_SEC_death_rates!$G141</f>
        <v>3.1450577892675274E-2</v>
      </c>
      <c r="L196" s="447">
        <f>L94*Calc_SEC_death_rates!$G141</f>
        <v>3.2039095842586934E-2</v>
      </c>
      <c r="M196" s="447">
        <f>M94*Calc_SEC_death_rates!$G141</f>
        <v>3.23513328072998E-2</v>
      </c>
      <c r="N196" s="447">
        <f>N94*Calc_SEC_death_rates!$G141</f>
        <v>3.227553773704081E-2</v>
      </c>
    </row>
    <row r="197" spans="1:14">
      <c r="B197" s="331" t="str">
        <f t="shared" si="64"/>
        <v>30-34</v>
      </c>
      <c r="C197" s="447">
        <f>C95*Calc_SEC_death_rates!$G142</f>
        <v>1.8489138351711905E-2</v>
      </c>
      <c r="D197" s="447">
        <f>D95*Calc_SEC_death_rates!$G142</f>
        <v>1.9062022415430868E-2</v>
      </c>
      <c r="E197" s="447">
        <f>E95*Calc_SEC_death_rates!$G142</f>
        <v>2.0081250782369504E-2</v>
      </c>
      <c r="F197" s="447">
        <f>F95*Calc_SEC_death_rates!$G142</f>
        <v>2.1247018384681588E-2</v>
      </c>
      <c r="G197" s="447">
        <f>G95*Calc_SEC_death_rates!$G142</f>
        <v>2.228999915307622E-2</v>
      </c>
      <c r="H197" s="447">
        <f>H95*Calc_SEC_death_rates!$G142</f>
        <v>2.3231080129044509E-2</v>
      </c>
      <c r="I197" s="447">
        <f>I95*Calc_SEC_death_rates!$G142</f>
        <v>2.4038215521139182E-2</v>
      </c>
      <c r="J197" s="447">
        <f>J95*Calc_SEC_death_rates!$G142</f>
        <v>2.480608574570807E-2</v>
      </c>
      <c r="K197" s="447">
        <f>K95*Calc_SEC_death_rates!$G142</f>
        <v>2.5547404338769526E-2</v>
      </c>
      <c r="L197" s="447">
        <f>L95*Calc_SEC_death_rates!$G142</f>
        <v>2.6172245627032891E-2</v>
      </c>
      <c r="M197" s="447">
        <f>M95*Calc_SEC_death_rates!$G142</f>
        <v>2.664410302690897E-2</v>
      </c>
      <c r="N197" s="447">
        <f>N95*Calc_SEC_death_rates!$G142</f>
        <v>2.6891287070599835E-2</v>
      </c>
    </row>
    <row r="198" spans="1:14">
      <c r="B198" s="331" t="str">
        <f t="shared" si="64"/>
        <v>35-39</v>
      </c>
      <c r="C198" s="447">
        <f>C96*Calc_SEC_death_rates!$G143</f>
        <v>0.10375522912270972</v>
      </c>
      <c r="D198" s="447">
        <f>D96*Calc_SEC_death_rates!$G143</f>
        <v>0.10194695926440597</v>
      </c>
      <c r="E198" s="447">
        <f>E96*Calc_SEC_death_rates!$G143</f>
        <v>0.10258516558505444</v>
      </c>
      <c r="F198" s="447">
        <f>F96*Calc_SEC_death_rates!$G143</f>
        <v>0.10419045783303456</v>
      </c>
      <c r="G198" s="447">
        <f>G96*Calc_SEC_death_rates!$G143</f>
        <v>0.10584132556759925</v>
      </c>
      <c r="H198" s="447">
        <f>H96*Calc_SEC_death_rates!$G143</f>
        <v>0.10767965636408797</v>
      </c>
      <c r="I198" s="447">
        <f>I96*Calc_SEC_death_rates!$G143</f>
        <v>0.10958699858402875</v>
      </c>
      <c r="J198" s="447">
        <f>J96*Calc_SEC_death_rates!$G143</f>
        <v>0.11181411596286181</v>
      </c>
      <c r="K198" s="447">
        <f>K96*Calc_SEC_death_rates!$G143</f>
        <v>0.11430813388414673</v>
      </c>
      <c r="L198" s="447">
        <f>L96*Calc_SEC_death_rates!$G143</f>
        <v>0.11669059981160203</v>
      </c>
      <c r="M198" s="447">
        <f>M96*Calc_SEC_death_rates!$G143</f>
        <v>0.1187777583504657</v>
      </c>
      <c r="N198" s="447">
        <f>N96*Calc_SEC_death_rates!$G143</f>
        <v>0.12027197371090609</v>
      </c>
    </row>
    <row r="199" spans="1:14">
      <c r="B199" s="331" t="str">
        <f t="shared" si="64"/>
        <v>40-44</v>
      </c>
      <c r="C199" s="447">
        <f>C97*Calc_SEC_death_rates!$G144</f>
        <v>9.47710122740415E-2</v>
      </c>
      <c r="D199" s="447">
        <f>D97*Calc_SEC_death_rates!$G144</f>
        <v>9.2958710150568113E-2</v>
      </c>
      <c r="E199" s="447">
        <f>E97*Calc_SEC_death_rates!$G144</f>
        <v>9.2384579808310233E-2</v>
      </c>
      <c r="F199" s="447">
        <f>F97*Calc_SEC_death_rates!$G144</f>
        <v>9.2199871830527982E-2</v>
      </c>
      <c r="G199" s="447">
        <f>G97*Calc_SEC_death_rates!$G144</f>
        <v>9.1884901527387597E-2</v>
      </c>
      <c r="H199" s="447">
        <f>H97*Calc_SEC_death_rates!$G144</f>
        <v>9.1692644748268701E-2</v>
      </c>
      <c r="I199" s="447">
        <f>I97*Calc_SEC_death_rates!$G144</f>
        <v>9.163725780308625E-2</v>
      </c>
      <c r="J199" s="447">
        <f>J97*Calc_SEC_death_rates!$G144</f>
        <v>9.1977099523570791E-2</v>
      </c>
      <c r="K199" s="447">
        <f>K97*Calc_SEC_death_rates!$G144</f>
        <v>9.2707497001348851E-2</v>
      </c>
      <c r="L199" s="447">
        <f>L97*Calc_SEC_death_rates!$G144</f>
        <v>9.3560797334272819E-2</v>
      </c>
      <c r="M199" s="447">
        <f>M97*Calc_SEC_death_rates!$G144</f>
        <v>9.4407145871852546E-2</v>
      </c>
      <c r="N199" s="447">
        <f>N97*Calc_SEC_death_rates!$G144</f>
        <v>9.5027061989603451E-2</v>
      </c>
    </row>
    <row r="200" spans="1:14">
      <c r="B200" s="331" t="str">
        <f t="shared" si="64"/>
        <v>45-49</v>
      </c>
      <c r="C200" s="447">
        <f>C98*Calc_SEC_death_rates!$G145</f>
        <v>0.21192039234979004</v>
      </c>
      <c r="D200" s="447">
        <f>D98*Calc_SEC_death_rates!$G145</f>
        <v>0.19850374103901977</v>
      </c>
      <c r="E200" s="447">
        <f>E98*Calc_SEC_death_rates!$G145</f>
        <v>0.18973582897663444</v>
      </c>
      <c r="F200" s="447">
        <f>F98*Calc_SEC_death_rates!$G145</f>
        <v>0.18328530899581885</v>
      </c>
      <c r="G200" s="447">
        <f>G98*Calc_SEC_death_rates!$G145</f>
        <v>0.17777890689686793</v>
      </c>
      <c r="H200" s="447">
        <f>H98*Calc_SEC_death_rates!$G145</f>
        <v>0.17330883714831563</v>
      </c>
      <c r="I200" s="447">
        <f>I98*Calc_SEC_death_rates!$G145</f>
        <v>0.1696610794735286</v>
      </c>
      <c r="J200" s="447">
        <f>J98*Calc_SEC_death_rates!$G145</f>
        <v>0.16711087006375192</v>
      </c>
      <c r="K200" s="447">
        <f>K98*Calc_SEC_death_rates!$G145</f>
        <v>0.16557631519011334</v>
      </c>
      <c r="L200" s="447">
        <f>L98*Calc_SEC_death_rates!$G145</f>
        <v>0.1645889195978992</v>
      </c>
      <c r="M200" s="447">
        <f>M98*Calc_SEC_death_rates!$G145</f>
        <v>0.16391632847566309</v>
      </c>
      <c r="N200" s="447">
        <f>N98*Calc_SEC_death_rates!$G145</f>
        <v>0.16319286686923071</v>
      </c>
    </row>
    <row r="201" spans="1:14">
      <c r="B201" s="331" t="str">
        <f t="shared" si="64"/>
        <v>50-54</v>
      </c>
      <c r="C201" s="447">
        <f>C99*Calc_SEC_death_rates!$G146</f>
        <v>0.36432148932064967</v>
      </c>
      <c r="D201" s="447">
        <f>D99*Calc_SEC_death_rates!$G146</f>
        <v>0.33527347764132553</v>
      </c>
      <c r="E201" s="447">
        <f>E99*Calc_SEC_death_rates!$G146</f>
        <v>0.31265257680959496</v>
      </c>
      <c r="F201" s="447">
        <f>F99*Calc_SEC_death_rates!$G146</f>
        <v>0.29402449473563291</v>
      </c>
      <c r="G201" s="447">
        <f>G99*Calc_SEC_death_rates!$G146</f>
        <v>0.27787082857891315</v>
      </c>
      <c r="H201" s="447">
        <f>H99*Calc_SEC_death_rates!$G146</f>
        <v>0.26434133281408317</v>
      </c>
      <c r="I201" s="447">
        <f>I99*Calc_SEC_death_rates!$G146</f>
        <v>0.25301182176229692</v>
      </c>
      <c r="J201" s="447">
        <f>J99*Calc_SEC_death_rates!$G146</f>
        <v>0.24405256559937102</v>
      </c>
      <c r="K201" s="447">
        <f>K99*Calc_SEC_death_rates!$G146</f>
        <v>0.23719702760681116</v>
      </c>
      <c r="L201" s="447">
        <f>L99*Calc_SEC_death_rates!$G146</f>
        <v>0.23172035606000538</v>
      </c>
      <c r="M201" s="447">
        <f>M99*Calc_SEC_death_rates!$G146</f>
        <v>0.22722449669020492</v>
      </c>
      <c r="N201" s="447">
        <f>N99*Calc_SEC_death_rates!$G146</f>
        <v>0.22316886222941654</v>
      </c>
    </row>
    <row r="202" spans="1:14">
      <c r="B202" s="331" t="str">
        <f t="shared" si="64"/>
        <v>55-59</v>
      </c>
      <c r="C202" s="447">
        <f>C100*Calc_SEC_death_rates!$G147</f>
        <v>0.45064072509336489</v>
      </c>
      <c r="D202" s="447">
        <f>D100*Calc_SEC_death_rates!$G147</f>
        <v>0.37893039299319459</v>
      </c>
      <c r="E202" s="447">
        <f>E100*Calc_SEC_death_rates!$G147</f>
        <v>0.32993930471912009</v>
      </c>
      <c r="F202" s="447">
        <f>F100*Calc_SEC_death_rates!$G147</f>
        <v>0.29453335463178171</v>
      </c>
      <c r="G202" s="447">
        <f>G100*Calc_SEC_death_rates!$G147</f>
        <v>0.26738560344642182</v>
      </c>
      <c r="H202" s="447">
        <f>H100*Calc_SEC_death_rates!$G147</f>
        <v>0.24639998706065933</v>
      </c>
      <c r="I202" s="447">
        <f>I100*Calc_SEC_death_rates!$G147</f>
        <v>0.22984583750378096</v>
      </c>
      <c r="J202" s="447">
        <f>J100*Calc_SEC_death_rates!$G147</f>
        <v>0.21708240825276051</v>
      </c>
      <c r="K202" s="447">
        <f>K100*Calc_SEC_death_rates!$G147</f>
        <v>0.20731161350330338</v>
      </c>
      <c r="L202" s="447">
        <f>L100*Calc_SEC_death_rates!$G147</f>
        <v>0.19948868915178802</v>
      </c>
      <c r="M202" s="447">
        <f>M100*Calc_SEC_death_rates!$G147</f>
        <v>0.19304296883915181</v>
      </c>
      <c r="N202" s="447">
        <f>N100*Calc_SEC_death_rates!$G147</f>
        <v>0.18734516460416473</v>
      </c>
    </row>
    <row r="203" spans="1:14">
      <c r="B203" s="331" t="str">
        <f t="shared" si="64"/>
        <v>60-64</v>
      </c>
      <c r="C203" s="447">
        <f>C101*Calc_SEC_death_rates!$G148</f>
        <v>0.16480034488813203</v>
      </c>
      <c r="D203" s="447">
        <f>D101*Calc_SEC_death_rates!$G148</f>
        <v>0.15851428266000037</v>
      </c>
      <c r="E203" s="447">
        <f>E101*Calc_SEC_death_rates!$G148</f>
        <v>0.14564881682449868</v>
      </c>
      <c r="F203" s="447">
        <f>F101*Calc_SEC_death_rates!$G148</f>
        <v>0.13184218340118678</v>
      </c>
      <c r="G203" s="447">
        <f>G101*Calc_SEC_death_rates!$G148</f>
        <v>0.11902401986523527</v>
      </c>
      <c r="H203" s="447">
        <f>H101*Calc_SEC_death_rates!$G148</f>
        <v>0.10818976635697794</v>
      </c>
      <c r="I203" s="447">
        <f>I101*Calc_SEC_death_rates!$G148</f>
        <v>9.9305513082904293E-2</v>
      </c>
      <c r="J203" s="447">
        <f>J101*Calc_SEC_death_rates!$G148</f>
        <v>9.2374181724179591E-2</v>
      </c>
      <c r="K203" s="447">
        <f>K101*Calc_SEC_death_rates!$G148</f>
        <v>8.7056931196628565E-2</v>
      </c>
      <c r="L203" s="447">
        <f>L101*Calc_SEC_death_rates!$G148</f>
        <v>8.2794997640029025E-2</v>
      </c>
      <c r="M203" s="447">
        <f>M101*Calc_SEC_death_rates!$G148</f>
        <v>7.9280133780481085E-2</v>
      </c>
      <c r="N203" s="447">
        <f>N101*Calc_SEC_death_rates!$G148</f>
        <v>7.617115723346643E-2</v>
      </c>
    </row>
    <row r="204" spans="1:14">
      <c r="B204" s="331" t="str">
        <f t="shared" si="64"/>
        <v>65 plus</v>
      </c>
      <c r="C204" s="447">
        <f>C102*Calc_SEC_death_rates!$G149</f>
        <v>0.16974985272767515</v>
      </c>
      <c r="D204" s="447">
        <f>D102*Calc_SEC_death_rates!$G149</f>
        <v>0.19969587045709702</v>
      </c>
      <c r="E204" s="447">
        <f>E102*Calc_SEC_death_rates!$G149</f>
        <v>0.21744555209638919</v>
      </c>
      <c r="F204" s="447">
        <f>F102*Calc_SEC_death_rates!$G149</f>
        <v>0.2225304030642829</v>
      </c>
      <c r="G204" s="447">
        <f>G102*Calc_SEC_death_rates!$G149</f>
        <v>0.21815946465772987</v>
      </c>
      <c r="H204" s="447">
        <f>H102*Calc_SEC_death_rates!$G149</f>
        <v>0.2087475034887189</v>
      </c>
      <c r="I204" s="447">
        <f>I102*Calc_SEC_death_rates!$G149</f>
        <v>0.19712818387882974</v>
      </c>
      <c r="J204" s="447">
        <f>J102*Calc_SEC_death_rates!$G149</f>
        <v>0.18553274990155724</v>
      </c>
      <c r="K204" s="447">
        <f>K102*Calc_SEC_death_rates!$G149</f>
        <v>0.17498732705423714</v>
      </c>
      <c r="L204" s="447">
        <f>L102*Calc_SEC_death_rates!$G149</f>
        <v>0.16555037904387951</v>
      </c>
      <c r="M204" s="447">
        <f>M102*Calc_SEC_death_rates!$G149</f>
        <v>0.15720007594311705</v>
      </c>
      <c r="N204" s="447">
        <f>N102*Calc_SEC_death_rates!$G149</f>
        <v>0.14961378602474323</v>
      </c>
    </row>
    <row r="205" spans="1:14">
      <c r="B205" s="331" t="str">
        <f t="shared" si="64"/>
        <v>Total</v>
      </c>
      <c r="C205" s="447">
        <f>SUM(C195:C204)</f>
        <v>1.5978354443844955</v>
      </c>
      <c r="D205" s="447">
        <f t="shared" ref="D205:N205" si="66">SUM(D195:D204)</f>
        <v>1.505296177035208</v>
      </c>
      <c r="E205" s="447">
        <f t="shared" si="66"/>
        <v>1.4332563182261095</v>
      </c>
      <c r="F205" s="447">
        <f t="shared" si="66"/>
        <v>1.3691530217638304</v>
      </c>
      <c r="G205" s="447">
        <f t="shared" si="66"/>
        <v>1.307467404266355</v>
      </c>
      <c r="H205" s="447">
        <f t="shared" si="66"/>
        <v>1.252285366094134</v>
      </c>
      <c r="I205" s="447">
        <f t="shared" si="66"/>
        <v>1.2039379675019615</v>
      </c>
      <c r="J205" s="447">
        <f t="shared" si="66"/>
        <v>1.1653705386859308</v>
      </c>
      <c r="K205" s="447">
        <f t="shared" si="66"/>
        <v>1.1361428276680341</v>
      </c>
      <c r="L205" s="447">
        <f t="shared" si="66"/>
        <v>1.1126060801090958</v>
      </c>
      <c r="M205" s="447">
        <f t="shared" si="66"/>
        <v>1.0928443437851449</v>
      </c>
      <c r="N205" s="447">
        <f t="shared" si="66"/>
        <v>1.0739576974691718</v>
      </c>
    </row>
    <row r="206" spans="1:14">
      <c r="A206" s="302">
        <f>SUM(C206:N206)</f>
        <v>0</v>
      </c>
      <c r="C206" s="302">
        <f>SUM(C195:C204)-C205</f>
        <v>0</v>
      </c>
      <c r="D206" s="302">
        <f t="shared" ref="D206:N206" si="67">SUM(D195:D204)-D205</f>
        <v>0</v>
      </c>
      <c r="E206" s="302">
        <f t="shared" si="67"/>
        <v>0</v>
      </c>
      <c r="F206" s="302">
        <f t="shared" si="67"/>
        <v>0</v>
      </c>
      <c r="G206" s="302">
        <f t="shared" si="67"/>
        <v>0</v>
      </c>
      <c r="H206" s="302">
        <f t="shared" si="67"/>
        <v>0</v>
      </c>
      <c r="I206" s="302">
        <f t="shared" si="67"/>
        <v>0</v>
      </c>
      <c r="J206" s="302">
        <f t="shared" si="67"/>
        <v>0</v>
      </c>
      <c r="K206" s="302">
        <f t="shared" si="67"/>
        <v>0</v>
      </c>
      <c r="L206" s="302">
        <f t="shared" si="67"/>
        <v>0</v>
      </c>
      <c r="M206" s="302">
        <f t="shared" si="67"/>
        <v>0</v>
      </c>
      <c r="N206" s="302">
        <f t="shared" si="67"/>
        <v>0</v>
      </c>
    </row>
    <row r="208" spans="1:14" ht="15.75">
      <c r="B208" s="333" t="s">
        <v>166</v>
      </c>
      <c r="C208" s="322"/>
      <c r="D208" s="322"/>
      <c r="E208" s="322"/>
      <c r="F208" s="322"/>
      <c r="G208" s="322"/>
      <c r="H208" s="332"/>
      <c r="I208" s="322"/>
      <c r="J208" s="322"/>
      <c r="K208" s="322"/>
      <c r="L208" s="322"/>
    </row>
    <row r="209" spans="1:19">
      <c r="C209" s="322"/>
      <c r="D209" s="322"/>
      <c r="E209" s="322"/>
      <c r="F209" s="322"/>
      <c r="G209" s="322"/>
      <c r="H209" s="332"/>
      <c r="I209" s="322"/>
      <c r="J209" s="322"/>
      <c r="K209" s="322"/>
      <c r="L209" s="322"/>
    </row>
    <row r="210" spans="1:19">
      <c r="B210" s="334" t="s">
        <v>46</v>
      </c>
      <c r="C210" s="322"/>
      <c r="D210" s="322"/>
      <c r="E210" s="322"/>
      <c r="F210" s="322"/>
      <c r="G210" s="322"/>
      <c r="H210" s="332"/>
      <c r="I210" s="322"/>
      <c r="J210" s="322"/>
      <c r="K210" s="322"/>
      <c r="L210" s="322"/>
    </row>
    <row r="211" spans="1:19">
      <c r="C211" s="322"/>
      <c r="D211" s="322"/>
      <c r="E211" s="322"/>
      <c r="F211" s="322"/>
      <c r="G211" s="322"/>
      <c r="H211" s="332"/>
      <c r="I211" s="322"/>
      <c r="J211" s="322"/>
      <c r="K211" s="322"/>
      <c r="L211" s="322"/>
    </row>
    <row r="212" spans="1:19">
      <c r="B212" s="331" t="str">
        <f t="shared" ref="B212:B223" si="68">B178</f>
        <v>Age group</v>
      </c>
      <c r="C212" s="331" t="str">
        <f t="shared" ref="C212:N212" si="69">C178</f>
        <v>2017/18</v>
      </c>
      <c r="D212" s="331" t="str">
        <f t="shared" si="69"/>
        <v>2018/19</v>
      </c>
      <c r="E212" s="331" t="str">
        <f t="shared" si="69"/>
        <v>2019/20</v>
      </c>
      <c r="F212" s="331" t="str">
        <f t="shared" si="69"/>
        <v>2020/21</v>
      </c>
      <c r="G212" s="331" t="str">
        <f t="shared" si="69"/>
        <v>2021/22</v>
      </c>
      <c r="H212" s="331" t="str">
        <f t="shared" si="69"/>
        <v>2022/23</v>
      </c>
      <c r="I212" s="331" t="str">
        <f t="shared" si="69"/>
        <v>2023/24</v>
      </c>
      <c r="J212" s="331" t="str">
        <f t="shared" si="69"/>
        <v>2024/25</v>
      </c>
      <c r="K212" s="331" t="str">
        <f t="shared" si="69"/>
        <v>2025/26</v>
      </c>
      <c r="L212" s="331" t="str">
        <f t="shared" si="69"/>
        <v>2026/27</v>
      </c>
      <c r="M212" s="331" t="str">
        <f t="shared" si="69"/>
        <v>2027/28</v>
      </c>
      <c r="N212" s="331" t="str">
        <f t="shared" si="69"/>
        <v>2028/29</v>
      </c>
    </row>
    <row r="213" spans="1:19">
      <c r="B213" s="331" t="str">
        <f t="shared" si="68"/>
        <v>20-24</v>
      </c>
      <c r="C213" s="447">
        <f t="shared" ref="C213:C222" si="70">C111+C145+C179</f>
        <v>0.52735663474073091</v>
      </c>
      <c r="D213" s="447">
        <f t="shared" ref="D213:N213" si="71">D111+D145+D179</f>
        <v>0.86991180783389566</v>
      </c>
      <c r="E213" s="447">
        <f t="shared" si="71"/>
        <v>1.2592366431935864</v>
      </c>
      <c r="F213" s="447">
        <f t="shared" si="71"/>
        <v>1.4989190225217044</v>
      </c>
      <c r="G213" s="447">
        <f t="shared" si="71"/>
        <v>1.6586258773968949</v>
      </c>
      <c r="H213" s="447">
        <f t="shared" si="71"/>
        <v>1.7525752040811442</v>
      </c>
      <c r="I213" s="447">
        <f t="shared" si="71"/>
        <v>1.8015889539862637</v>
      </c>
      <c r="J213" s="447">
        <f t="shared" si="71"/>
        <v>1.8420391738645026</v>
      </c>
      <c r="K213" s="447">
        <f t="shared" si="71"/>
        <v>1.8804409312099442</v>
      </c>
      <c r="L213" s="447">
        <f t="shared" si="71"/>
        <v>1.9005868659784007</v>
      </c>
      <c r="M213" s="447">
        <f t="shared" si="71"/>
        <v>1.9014435754517958</v>
      </c>
      <c r="N213" s="447">
        <f t="shared" si="71"/>
        <v>1.8745943266356562</v>
      </c>
      <c r="O213" s="320"/>
      <c r="P213" s="320"/>
      <c r="Q213" s="320"/>
      <c r="R213" s="320"/>
      <c r="S213" s="320"/>
    </row>
    <row r="214" spans="1:19">
      <c r="B214" s="331" t="str">
        <f t="shared" si="68"/>
        <v>25-29</v>
      </c>
      <c r="C214" s="447">
        <f t="shared" si="70"/>
        <v>1.2628653102131273</v>
      </c>
      <c r="D214" s="447">
        <f t="shared" ref="D214:N214" si="72">D112+D146+D180</f>
        <v>1.4630457162340516</v>
      </c>
      <c r="E214" s="447">
        <f t="shared" si="72"/>
        <v>1.8487754507713878</v>
      </c>
      <c r="F214" s="447">
        <f t="shared" si="72"/>
        <v>2.1131109773743169</v>
      </c>
      <c r="G214" s="447">
        <f t="shared" si="72"/>
        <v>2.3413331884389317</v>
      </c>
      <c r="H214" s="447">
        <f t="shared" si="72"/>
        <v>2.510307609821913</v>
      </c>
      <c r="I214" s="447">
        <f t="shared" si="72"/>
        <v>2.6286115470002045</v>
      </c>
      <c r="J214" s="447">
        <f t="shared" si="72"/>
        <v>2.7270408860922113</v>
      </c>
      <c r="K214" s="447">
        <f t="shared" si="72"/>
        <v>2.8138643589681767</v>
      </c>
      <c r="L214" s="447">
        <f t="shared" si="72"/>
        <v>2.8751945785052806</v>
      </c>
      <c r="M214" s="447">
        <f t="shared" si="72"/>
        <v>2.9090960723881625</v>
      </c>
      <c r="N214" s="447">
        <f t="shared" si="72"/>
        <v>2.906339702550961</v>
      </c>
      <c r="O214" s="320"/>
      <c r="P214" s="320"/>
      <c r="Q214" s="320"/>
      <c r="R214" s="320"/>
      <c r="S214" s="320"/>
    </row>
    <row r="215" spans="1:19">
      <c r="B215" s="331" t="str">
        <f t="shared" si="68"/>
        <v>30-34</v>
      </c>
      <c r="C215" s="447">
        <f t="shared" si="70"/>
        <v>2.2654166282023773</v>
      </c>
      <c r="D215" s="447">
        <f t="shared" ref="D215:N215" si="73">D113+D147+D181</f>
        <v>2.014203112691189</v>
      </c>
      <c r="E215" s="447">
        <f t="shared" si="73"/>
        <v>2.0374793878159063</v>
      </c>
      <c r="F215" s="447">
        <f t="shared" si="73"/>
        <v>2.0094352071224884</v>
      </c>
      <c r="G215" s="447">
        <f t="shared" si="73"/>
        <v>2.0472598983479395</v>
      </c>
      <c r="H215" s="447">
        <f t="shared" si="73"/>
        <v>2.0978567494178608</v>
      </c>
      <c r="I215" s="447">
        <f t="shared" si="73"/>
        <v>2.1505926481577107</v>
      </c>
      <c r="J215" s="447">
        <f t="shared" si="73"/>
        <v>2.2083687717473159</v>
      </c>
      <c r="K215" s="447">
        <f t="shared" si="73"/>
        <v>2.2689931677455188</v>
      </c>
      <c r="L215" s="447">
        <f t="shared" si="73"/>
        <v>2.3226984626556186</v>
      </c>
      <c r="M215" s="447">
        <f t="shared" si="73"/>
        <v>2.364966519442985</v>
      </c>
      <c r="N215" s="447">
        <f t="shared" si="73"/>
        <v>2.3887562296118836</v>
      </c>
      <c r="O215" s="320"/>
      <c r="P215" s="320"/>
      <c r="Q215" s="320"/>
      <c r="R215" s="320"/>
      <c r="S215" s="320"/>
    </row>
    <row r="216" spans="1:19">
      <c r="B216" s="331" t="str">
        <f t="shared" si="68"/>
        <v>35-39</v>
      </c>
      <c r="C216" s="447">
        <f t="shared" si="70"/>
        <v>2.4035962283060579</v>
      </c>
      <c r="D216" s="447">
        <f t="shared" ref="D216:N216" si="74">D114+D148+D182</f>
        <v>2.2805203452240814</v>
      </c>
      <c r="E216" s="447">
        <f t="shared" si="74"/>
        <v>2.3356882991221268</v>
      </c>
      <c r="F216" s="447">
        <f t="shared" si="74"/>
        <v>2.2617588407259128</v>
      </c>
      <c r="G216" s="447">
        <f t="shared" si="74"/>
        <v>2.2356066320234129</v>
      </c>
      <c r="H216" s="447">
        <f t="shared" si="74"/>
        <v>2.2177612405515572</v>
      </c>
      <c r="I216" s="447">
        <f t="shared" si="74"/>
        <v>2.2088768538077059</v>
      </c>
      <c r="J216" s="447">
        <f t="shared" si="74"/>
        <v>2.2138740621915809</v>
      </c>
      <c r="K216" s="447">
        <f t="shared" si="74"/>
        <v>2.2313120575999981</v>
      </c>
      <c r="L216" s="447">
        <f t="shared" si="74"/>
        <v>2.2535637199348311</v>
      </c>
      <c r="M216" s="447">
        <f t="shared" si="74"/>
        <v>2.2762000246682748</v>
      </c>
      <c r="N216" s="447">
        <f t="shared" si="74"/>
        <v>2.292810706599349</v>
      </c>
      <c r="O216" s="320"/>
      <c r="P216" s="320"/>
      <c r="Q216" s="320"/>
      <c r="R216" s="320"/>
      <c r="S216" s="320"/>
    </row>
    <row r="217" spans="1:19">
      <c r="B217" s="331" t="str">
        <f t="shared" si="68"/>
        <v>40-44</v>
      </c>
      <c r="C217" s="447">
        <f t="shared" si="70"/>
        <v>3.2758646825433386</v>
      </c>
      <c r="D217" s="447">
        <f t="shared" ref="D217:N217" si="75">D115+D149+D183</f>
        <v>2.9453465403792509</v>
      </c>
      <c r="E217" s="447">
        <f t="shared" si="75"/>
        <v>2.9146845855788959</v>
      </c>
      <c r="F217" s="447">
        <f t="shared" si="75"/>
        <v>2.7519266699544089</v>
      </c>
      <c r="G217" s="447">
        <f t="shared" si="75"/>
        <v>2.6616653505483883</v>
      </c>
      <c r="H217" s="447">
        <f t="shared" si="75"/>
        <v>2.584659783547663</v>
      </c>
      <c r="I217" s="447">
        <f t="shared" si="75"/>
        <v>2.5195146805091637</v>
      </c>
      <c r="J217" s="447">
        <f t="shared" si="75"/>
        <v>2.4712661513952545</v>
      </c>
      <c r="K217" s="447">
        <f t="shared" si="75"/>
        <v>2.4394334980278516</v>
      </c>
      <c r="L217" s="447">
        <f t="shared" si="75"/>
        <v>2.4176866666276289</v>
      </c>
      <c r="M217" s="447">
        <f t="shared" si="75"/>
        <v>2.4026138388648874</v>
      </c>
      <c r="N217" s="447">
        <f t="shared" si="75"/>
        <v>2.3886838370237844</v>
      </c>
      <c r="O217" s="320"/>
      <c r="P217" s="320"/>
      <c r="Q217" s="320"/>
      <c r="R217" s="320"/>
      <c r="S217" s="320"/>
    </row>
    <row r="218" spans="1:19">
      <c r="B218" s="331" t="str">
        <f t="shared" si="68"/>
        <v>45-49</v>
      </c>
      <c r="C218" s="447">
        <f t="shared" si="70"/>
        <v>2.8482280994637099</v>
      </c>
      <c r="D218" s="447">
        <f t="shared" ref="D218:N218" si="76">D116+D150+D184</f>
        <v>2.768386220215139</v>
      </c>
      <c r="E218" s="447">
        <f t="shared" si="76"/>
        <v>2.8701104420398442</v>
      </c>
      <c r="F218" s="447">
        <f t="shared" si="76"/>
        <v>2.7872735948936427</v>
      </c>
      <c r="G218" s="447">
        <f t="shared" si="76"/>
        <v>2.7407031934862496</v>
      </c>
      <c r="H218" s="447">
        <f t="shared" si="76"/>
        <v>2.6839467341349281</v>
      </c>
      <c r="I218" s="447">
        <f t="shared" si="76"/>
        <v>2.6227376758252112</v>
      </c>
      <c r="J218" s="447">
        <f t="shared" si="76"/>
        <v>2.5662895025449912</v>
      </c>
      <c r="K218" s="447">
        <f t="shared" si="76"/>
        <v>2.5176987319209183</v>
      </c>
      <c r="L218" s="447">
        <f t="shared" si="76"/>
        <v>2.4740590693346243</v>
      </c>
      <c r="M218" s="447">
        <f t="shared" si="76"/>
        <v>2.4345013679221781</v>
      </c>
      <c r="N218" s="447">
        <f t="shared" si="76"/>
        <v>2.395825898924663</v>
      </c>
      <c r="O218" s="320"/>
      <c r="P218" s="320"/>
      <c r="Q218" s="320"/>
      <c r="R218" s="320"/>
      <c r="S218" s="320"/>
    </row>
    <row r="219" spans="1:19">
      <c r="B219" s="331" t="str">
        <f t="shared" si="68"/>
        <v>50-54</v>
      </c>
      <c r="C219" s="447">
        <f t="shared" si="70"/>
        <v>2.5737820782722896</v>
      </c>
      <c r="D219" s="447">
        <f t="shared" ref="D219:N219" si="77">D117+D151+D185</f>
        <v>2.5689263264178352</v>
      </c>
      <c r="E219" s="447">
        <f t="shared" si="77"/>
        <v>2.7215322344670279</v>
      </c>
      <c r="F219" s="447">
        <f t="shared" si="77"/>
        <v>2.7375223988626991</v>
      </c>
      <c r="G219" s="447">
        <f t="shared" si="77"/>
        <v>2.7660602557042706</v>
      </c>
      <c r="H219" s="447">
        <f t="shared" si="77"/>
        <v>2.7704648111213048</v>
      </c>
      <c r="I219" s="447">
        <f t="shared" si="77"/>
        <v>2.7556124107520112</v>
      </c>
      <c r="J219" s="447">
        <f t="shared" si="77"/>
        <v>2.7316757508227845</v>
      </c>
      <c r="K219" s="447">
        <f t="shared" si="77"/>
        <v>2.7034281824652058</v>
      </c>
      <c r="L219" s="447">
        <f t="shared" si="77"/>
        <v>2.6699104217889933</v>
      </c>
      <c r="M219" s="447">
        <f t="shared" si="77"/>
        <v>2.6322792004115105</v>
      </c>
      <c r="N219" s="447">
        <f t="shared" si="77"/>
        <v>2.58925918674738</v>
      </c>
      <c r="O219" s="320"/>
      <c r="P219" s="320"/>
      <c r="Q219" s="320"/>
      <c r="R219" s="320"/>
      <c r="S219" s="320"/>
    </row>
    <row r="220" spans="1:19">
      <c r="B220" s="331" t="str">
        <f t="shared" si="68"/>
        <v>55-59</v>
      </c>
      <c r="C220" s="447">
        <f t="shared" si="70"/>
        <v>2.1179084999196429</v>
      </c>
      <c r="D220" s="447">
        <f t="shared" ref="D220:N220" si="78">D118+D152+D186</f>
        <v>2.424132238612938</v>
      </c>
      <c r="E220" s="447">
        <f t="shared" si="78"/>
        <v>2.7010614415051846</v>
      </c>
      <c r="F220" s="447">
        <f t="shared" si="78"/>
        <v>2.8772881578702183</v>
      </c>
      <c r="G220" s="447">
        <f t="shared" si="78"/>
        <v>3.0044072171763769</v>
      </c>
      <c r="H220" s="447">
        <f t="shared" si="78"/>
        <v>3.0853986405853169</v>
      </c>
      <c r="I220" s="447">
        <f t="shared" si="78"/>
        <v>3.1297786976805302</v>
      </c>
      <c r="J220" s="447">
        <f t="shared" si="78"/>
        <v>3.1529277005960257</v>
      </c>
      <c r="K220" s="447">
        <f t="shared" si="78"/>
        <v>3.161206393677805</v>
      </c>
      <c r="L220" s="447">
        <f t="shared" si="78"/>
        <v>3.1528496743617156</v>
      </c>
      <c r="M220" s="447">
        <f t="shared" si="78"/>
        <v>3.1301349702006149</v>
      </c>
      <c r="N220" s="447">
        <f t="shared" si="78"/>
        <v>3.0921300463523376</v>
      </c>
      <c r="O220" s="320"/>
      <c r="P220" s="320"/>
      <c r="Q220" s="320"/>
      <c r="R220" s="320"/>
      <c r="S220" s="320"/>
    </row>
    <row r="221" spans="1:19">
      <c r="B221" s="331" t="str">
        <f t="shared" si="68"/>
        <v>60-64</v>
      </c>
      <c r="C221" s="447">
        <f t="shared" si="70"/>
        <v>1.9918076074537836</v>
      </c>
      <c r="D221" s="447">
        <f t="shared" ref="D221:N221" si="79">D119+D153+D187</f>
        <v>1.6236610339846127</v>
      </c>
      <c r="E221" s="447">
        <f t="shared" si="79"/>
        <v>1.5489715698124082</v>
      </c>
      <c r="F221" s="447">
        <f t="shared" si="79"/>
        <v>1.5606649366982677</v>
      </c>
      <c r="G221" s="447">
        <f t="shared" si="79"/>
        <v>1.6038890538054709</v>
      </c>
      <c r="H221" s="447">
        <f t="shared" si="79"/>
        <v>1.6486666036806521</v>
      </c>
      <c r="I221" s="447">
        <f t="shared" si="79"/>
        <v>1.6844950758276216</v>
      </c>
      <c r="J221" s="447">
        <f t="shared" si="79"/>
        <v>1.714294989119147</v>
      </c>
      <c r="K221" s="447">
        <f t="shared" si="79"/>
        <v>1.7374821632496313</v>
      </c>
      <c r="L221" s="447">
        <f t="shared" si="79"/>
        <v>1.7492083003401568</v>
      </c>
      <c r="M221" s="447">
        <f t="shared" si="79"/>
        <v>1.7495691468035193</v>
      </c>
      <c r="N221" s="447">
        <f t="shared" si="79"/>
        <v>1.736915058391558</v>
      </c>
      <c r="O221" s="320"/>
      <c r="P221" s="320"/>
      <c r="Q221" s="320"/>
      <c r="R221" s="320"/>
      <c r="S221" s="320"/>
    </row>
    <row r="222" spans="1:19">
      <c r="B222" s="331" t="str">
        <f t="shared" si="68"/>
        <v>65 plus</v>
      </c>
      <c r="C222" s="447">
        <f t="shared" si="70"/>
        <v>2.7608190165186377</v>
      </c>
      <c r="D222" s="447">
        <f t="shared" ref="D222:N222" si="80">D120+D154+D188</f>
        <v>1.9928939844442239</v>
      </c>
      <c r="E222" s="447">
        <f t="shared" si="80"/>
        <v>1.5269112555749371</v>
      </c>
      <c r="F222" s="447">
        <f t="shared" si="80"/>
        <v>1.2151891517691051</v>
      </c>
      <c r="G222" s="447">
        <f t="shared" si="80"/>
        <v>1.0330071081914469</v>
      </c>
      <c r="H222" s="447">
        <f t="shared" si="80"/>
        <v>0.92695654236932279</v>
      </c>
      <c r="I222" s="447">
        <f t="shared" si="80"/>
        <v>0.86715433284442789</v>
      </c>
      <c r="J222" s="447">
        <f t="shared" si="80"/>
        <v>0.83700283387737573</v>
      </c>
      <c r="K222" s="447">
        <f t="shared" si="80"/>
        <v>0.82438333585105905</v>
      </c>
      <c r="L222" s="447">
        <f t="shared" si="80"/>
        <v>0.81915145399932709</v>
      </c>
      <c r="M222" s="447">
        <f t="shared" si="80"/>
        <v>0.81589018932905422</v>
      </c>
      <c r="N222" s="447">
        <f t="shared" si="80"/>
        <v>0.81032889233488192</v>
      </c>
      <c r="O222" s="320"/>
      <c r="P222" s="320"/>
      <c r="Q222" s="320"/>
      <c r="R222" s="320"/>
      <c r="S222" s="320"/>
    </row>
    <row r="223" spans="1:19">
      <c r="B223" s="331" t="str">
        <f t="shared" si="68"/>
        <v>Total</v>
      </c>
      <c r="C223" s="447">
        <f>SUM(C213:C222)</f>
        <v>22.027644785633694</v>
      </c>
      <c r="D223" s="447">
        <f t="shared" ref="D223:K223" si="81">SUM(D213:D222)</f>
        <v>20.951027326037213</v>
      </c>
      <c r="E223" s="447">
        <f t="shared" si="81"/>
        <v>21.764451309881306</v>
      </c>
      <c r="F223" s="447">
        <f t="shared" si="81"/>
        <v>21.813088957792765</v>
      </c>
      <c r="G223" s="447">
        <f t="shared" si="81"/>
        <v>22.092557775119385</v>
      </c>
      <c r="H223" s="447">
        <f t="shared" si="81"/>
        <v>22.27859391931166</v>
      </c>
      <c r="I223" s="447">
        <f t="shared" si="81"/>
        <v>22.368962876390846</v>
      </c>
      <c r="J223" s="447">
        <f t="shared" si="81"/>
        <v>22.464779822251185</v>
      </c>
      <c r="K223" s="447">
        <f t="shared" si="81"/>
        <v>22.578242820716106</v>
      </c>
      <c r="L223" s="447">
        <f>SUM(L213:L222)</f>
        <v>22.63490921352658</v>
      </c>
      <c r="M223" s="447">
        <f>SUM(M213:M222)</f>
        <v>22.61669490548298</v>
      </c>
      <c r="N223" s="447">
        <f>SUM(N213:N222)</f>
        <v>22.475643885172456</v>
      </c>
      <c r="O223" s="320"/>
      <c r="P223" s="320"/>
      <c r="Q223" s="320"/>
      <c r="R223" s="320"/>
      <c r="S223" s="320"/>
    </row>
    <row r="224" spans="1:19">
      <c r="A224" s="302">
        <f>SUM(C224:N224)</f>
        <v>0</v>
      </c>
      <c r="C224" s="302">
        <f>SUM(C213:C222)-C223</f>
        <v>0</v>
      </c>
      <c r="D224" s="302">
        <f t="shared" ref="D224:N224" si="82">SUM(D213:D222)-D223</f>
        <v>0</v>
      </c>
      <c r="E224" s="302">
        <f t="shared" si="82"/>
        <v>0</v>
      </c>
      <c r="F224" s="302">
        <f t="shared" si="82"/>
        <v>0</v>
      </c>
      <c r="G224" s="302">
        <f t="shared" si="82"/>
        <v>0</v>
      </c>
      <c r="H224" s="302">
        <f t="shared" si="82"/>
        <v>0</v>
      </c>
      <c r="I224" s="302">
        <f t="shared" si="82"/>
        <v>0</v>
      </c>
      <c r="J224" s="302">
        <f t="shared" si="82"/>
        <v>0</v>
      </c>
      <c r="K224" s="302">
        <f t="shared" si="82"/>
        <v>0</v>
      </c>
      <c r="L224" s="302">
        <f t="shared" si="82"/>
        <v>0</v>
      </c>
      <c r="M224" s="302">
        <f t="shared" si="82"/>
        <v>0</v>
      </c>
      <c r="N224" s="302">
        <f t="shared" si="82"/>
        <v>0</v>
      </c>
    </row>
    <row r="226" spans="1:15">
      <c r="B226" s="334" t="s">
        <v>47</v>
      </c>
      <c r="C226" s="322"/>
      <c r="D226" s="322"/>
      <c r="E226" s="322"/>
      <c r="F226" s="322"/>
      <c r="G226" s="322"/>
      <c r="H226" s="332"/>
      <c r="I226" s="322"/>
      <c r="J226" s="322"/>
      <c r="K226" s="322"/>
      <c r="L226" s="322"/>
    </row>
    <row r="227" spans="1:15">
      <c r="C227" s="322"/>
      <c r="D227" s="322"/>
      <c r="E227" s="322"/>
      <c r="F227" s="322"/>
      <c r="G227" s="322"/>
      <c r="H227" s="332"/>
      <c r="I227" s="322"/>
      <c r="J227" s="322"/>
      <c r="K227" s="322"/>
      <c r="L227" s="322"/>
    </row>
    <row r="228" spans="1:15">
      <c r="B228" s="331" t="str">
        <f t="shared" ref="B228:B239" si="83">B212</f>
        <v>Age group</v>
      </c>
      <c r="C228" s="331" t="str">
        <f t="shared" ref="C228:N228" si="84">C212</f>
        <v>2017/18</v>
      </c>
      <c r="D228" s="331" t="str">
        <f t="shared" si="84"/>
        <v>2018/19</v>
      </c>
      <c r="E228" s="331" t="str">
        <f t="shared" si="84"/>
        <v>2019/20</v>
      </c>
      <c r="F228" s="331" t="str">
        <f t="shared" si="84"/>
        <v>2020/21</v>
      </c>
      <c r="G228" s="331" t="str">
        <f t="shared" si="84"/>
        <v>2021/22</v>
      </c>
      <c r="H228" s="331" t="str">
        <f t="shared" si="84"/>
        <v>2022/23</v>
      </c>
      <c r="I228" s="331" t="str">
        <f t="shared" si="84"/>
        <v>2023/24</v>
      </c>
      <c r="J228" s="331" t="str">
        <f t="shared" si="84"/>
        <v>2024/25</v>
      </c>
      <c r="K228" s="331" t="str">
        <f t="shared" si="84"/>
        <v>2025/26</v>
      </c>
      <c r="L228" s="331" t="str">
        <f t="shared" si="84"/>
        <v>2026/27</v>
      </c>
      <c r="M228" s="331" t="str">
        <f t="shared" si="84"/>
        <v>2027/28</v>
      </c>
      <c r="N228" s="331" t="str">
        <f t="shared" si="84"/>
        <v>2028/29</v>
      </c>
    </row>
    <row r="229" spans="1:15">
      <c r="B229" s="331" t="str">
        <f t="shared" si="83"/>
        <v>20-24</v>
      </c>
      <c r="C229" s="447">
        <f t="shared" ref="C229:C238" si="85">C195+C161+C127</f>
        <v>2.9944894057269948</v>
      </c>
      <c r="D229" s="447">
        <f t="shared" ref="D229:N229" si="86">D195+D161+D127</f>
        <v>6.7152164129858791</v>
      </c>
      <c r="E229" s="447">
        <f t="shared" si="86"/>
        <v>10.276557099347096</v>
      </c>
      <c r="F229" s="447">
        <f t="shared" si="86"/>
        <v>13.047607410116534</v>
      </c>
      <c r="G229" s="447">
        <f t="shared" si="86"/>
        <v>14.638471871379499</v>
      </c>
      <c r="H229" s="447">
        <f t="shared" si="86"/>
        <v>15.590409827936226</v>
      </c>
      <c r="I229" s="447">
        <f t="shared" si="86"/>
        <v>16.105143661673786</v>
      </c>
      <c r="J229" s="447">
        <f t="shared" si="86"/>
        <v>16.52104122670163</v>
      </c>
      <c r="K229" s="447">
        <f t="shared" si="86"/>
        <v>16.903420778792931</v>
      </c>
      <c r="L229" s="447">
        <f t="shared" si="86"/>
        <v>17.110097483706234</v>
      </c>
      <c r="M229" s="447">
        <f t="shared" si="86"/>
        <v>17.134925263772509</v>
      </c>
      <c r="N229" s="447">
        <f t="shared" si="86"/>
        <v>16.90401057902309</v>
      </c>
      <c r="O229" s="320"/>
    </row>
    <row r="230" spans="1:15">
      <c r="B230" s="331" t="str">
        <f t="shared" si="83"/>
        <v>25-29</v>
      </c>
      <c r="C230" s="447">
        <f t="shared" si="85"/>
        <v>15.445447739575886</v>
      </c>
      <c r="D230" s="447">
        <f t="shared" ref="D230:N230" si="87">D196+D162+D128</f>
        <v>16.341080431678709</v>
      </c>
      <c r="E230" s="447">
        <f t="shared" si="87"/>
        <v>18.543816258418058</v>
      </c>
      <c r="F230" s="447">
        <f t="shared" si="87"/>
        <v>20.856603244388246</v>
      </c>
      <c r="G230" s="447">
        <f t="shared" si="87"/>
        <v>22.449644711713663</v>
      </c>
      <c r="H230" s="447">
        <f t="shared" si="87"/>
        <v>23.655047167156322</v>
      </c>
      <c r="I230" s="447">
        <f t="shared" si="87"/>
        <v>24.502917385893866</v>
      </c>
      <c r="J230" s="447">
        <f t="shared" si="87"/>
        <v>25.242712266797575</v>
      </c>
      <c r="K230" s="447">
        <f t="shared" si="87"/>
        <v>25.927038287223755</v>
      </c>
      <c r="L230" s="447">
        <f t="shared" si="87"/>
        <v>26.412197175945856</v>
      </c>
      <c r="M230" s="447">
        <f t="shared" si="87"/>
        <v>26.669597207399082</v>
      </c>
      <c r="N230" s="447">
        <f t="shared" si="87"/>
        <v>26.607113723143446</v>
      </c>
      <c r="O230" s="320"/>
    </row>
    <row r="231" spans="1:15">
      <c r="B231" s="331" t="str">
        <f t="shared" si="83"/>
        <v>30-34</v>
      </c>
      <c r="C231" s="447">
        <f t="shared" si="85"/>
        <v>16.290521904913188</v>
      </c>
      <c r="D231" s="447">
        <f t="shared" ref="D231:N231" si="88">D197+D163+D129</f>
        <v>16.878106120210493</v>
      </c>
      <c r="E231" s="447">
        <f t="shared" si="88"/>
        <v>18.075909063426391</v>
      </c>
      <c r="F231" s="447">
        <f t="shared" si="88"/>
        <v>19.370602427607817</v>
      </c>
      <c r="G231" s="447">
        <f t="shared" si="88"/>
        <v>20.321473059826936</v>
      </c>
      <c r="H231" s="447">
        <f t="shared" si="88"/>
        <v>21.17944311038281</v>
      </c>
      <c r="I231" s="447">
        <f t="shared" si="88"/>
        <v>21.915296890073112</v>
      </c>
      <c r="J231" s="447">
        <f t="shared" si="88"/>
        <v>22.615353178763744</v>
      </c>
      <c r="K231" s="447">
        <f t="shared" si="88"/>
        <v>23.291202725198925</v>
      </c>
      <c r="L231" s="447">
        <f t="shared" si="88"/>
        <v>23.860861580675333</v>
      </c>
      <c r="M231" s="447">
        <f t="shared" si="88"/>
        <v>24.291047215668435</v>
      </c>
      <c r="N231" s="447">
        <f t="shared" si="88"/>
        <v>24.516401368900414</v>
      </c>
      <c r="O231" s="320"/>
    </row>
    <row r="232" spans="1:15">
      <c r="B232" s="331" t="str">
        <f t="shared" si="83"/>
        <v>35-39</v>
      </c>
      <c r="C232" s="447">
        <f t="shared" si="85"/>
        <v>18.283401256336607</v>
      </c>
      <c r="D232" s="447">
        <f t="shared" ref="D232:N232" si="89">D198+D164+D130</f>
        <v>18.052683583286928</v>
      </c>
      <c r="E232" s="447">
        <f t="shared" si="89"/>
        <v>18.465198186993561</v>
      </c>
      <c r="F232" s="447">
        <f t="shared" si="89"/>
        <v>18.992970217476017</v>
      </c>
      <c r="G232" s="447">
        <f t="shared" si="89"/>
        <v>19.293908349121676</v>
      </c>
      <c r="H232" s="447">
        <f t="shared" si="89"/>
        <v>19.629019287241665</v>
      </c>
      <c r="I232" s="447">
        <f t="shared" si="89"/>
        <v>19.976710378453895</v>
      </c>
      <c r="J232" s="447">
        <f t="shared" si="89"/>
        <v>20.382693564695241</v>
      </c>
      <c r="K232" s="447">
        <f t="shared" si="89"/>
        <v>20.837330285619576</v>
      </c>
      <c r="L232" s="447">
        <f t="shared" si="89"/>
        <v>21.271632095453477</v>
      </c>
      <c r="M232" s="447">
        <f t="shared" si="89"/>
        <v>21.652102061631318</v>
      </c>
      <c r="N232" s="447">
        <f t="shared" si="89"/>
        <v>21.924483894186636</v>
      </c>
      <c r="O232" s="320"/>
    </row>
    <row r="233" spans="1:15">
      <c r="B233" s="331" t="str">
        <f t="shared" si="83"/>
        <v>40-44</v>
      </c>
      <c r="C233" s="447">
        <f t="shared" si="85"/>
        <v>19.30152579369965</v>
      </c>
      <c r="D233" s="447">
        <f t="shared" ref="D233:N233" si="90">D199+D165+D131</f>
        <v>19.024678589579132</v>
      </c>
      <c r="E233" s="447">
        <f t="shared" si="90"/>
        <v>19.217529672102284</v>
      </c>
      <c r="F233" s="447">
        <f t="shared" si="90"/>
        <v>19.422280129898386</v>
      </c>
      <c r="G233" s="447">
        <f t="shared" si="90"/>
        <v>19.355930347206318</v>
      </c>
      <c r="H233" s="447">
        <f t="shared" si="90"/>
        <v>19.315430670289384</v>
      </c>
      <c r="I233" s="447">
        <f t="shared" si="90"/>
        <v>19.303763183735281</v>
      </c>
      <c r="J233" s="447">
        <f t="shared" si="90"/>
        <v>19.375352232223435</v>
      </c>
      <c r="K233" s="447">
        <f t="shared" si="90"/>
        <v>19.529213448491198</v>
      </c>
      <c r="L233" s="447">
        <f t="shared" si="90"/>
        <v>19.708964653909874</v>
      </c>
      <c r="M233" s="447">
        <f t="shared" si="90"/>
        <v>19.887251435204082</v>
      </c>
      <c r="N233" s="447">
        <f t="shared" si="90"/>
        <v>20.017839301075824</v>
      </c>
      <c r="O233" s="320"/>
    </row>
    <row r="234" spans="1:15">
      <c r="B234" s="331" t="str">
        <f t="shared" si="83"/>
        <v>45-49</v>
      </c>
      <c r="C234" s="447">
        <f t="shared" si="85"/>
        <v>24.96990510407872</v>
      </c>
      <c r="D234" s="447">
        <f t="shared" ref="D234:N234" si="91">D200+D166+D132</f>
        <v>23.502249094024481</v>
      </c>
      <c r="E234" s="447">
        <f t="shared" si="91"/>
        <v>22.830359512002314</v>
      </c>
      <c r="F234" s="447">
        <f t="shared" si="91"/>
        <v>22.33192407012184</v>
      </c>
      <c r="G234" s="447">
        <f t="shared" si="91"/>
        <v>21.661010758809272</v>
      </c>
      <c r="H234" s="447">
        <f t="shared" si="91"/>
        <v>21.116366680351813</v>
      </c>
      <c r="I234" s="447">
        <f t="shared" si="91"/>
        <v>20.67191508810005</v>
      </c>
      <c r="J234" s="447">
        <f t="shared" si="91"/>
        <v>20.361191423371732</v>
      </c>
      <c r="K234" s="447">
        <f t="shared" si="91"/>
        <v>20.174217556741134</v>
      </c>
      <c r="L234" s="447">
        <f t="shared" si="91"/>
        <v>20.053910896522108</v>
      </c>
      <c r="M234" s="447">
        <f t="shared" si="91"/>
        <v>19.971960772126938</v>
      </c>
      <c r="N234" s="447">
        <f t="shared" si="91"/>
        <v>19.88381246525492</v>
      </c>
      <c r="O234" s="320"/>
    </row>
    <row r="235" spans="1:15">
      <c r="B235" s="331" t="str">
        <f t="shared" si="83"/>
        <v>50-54</v>
      </c>
      <c r="C235" s="447">
        <f t="shared" si="85"/>
        <v>32.667853755746975</v>
      </c>
      <c r="D235" s="447">
        <f t="shared" ref="D235:N235" si="92">D201+D167+D133</f>
        <v>30.176872435253568</v>
      </c>
      <c r="E235" s="447">
        <f t="shared" si="92"/>
        <v>28.49969683436623</v>
      </c>
      <c r="F235" s="447">
        <f t="shared" si="92"/>
        <v>27.066619615771078</v>
      </c>
      <c r="G235" s="447">
        <f t="shared" si="92"/>
        <v>25.579583178017106</v>
      </c>
      <c r="H235" s="447">
        <f t="shared" si="92"/>
        <v>24.334116483859191</v>
      </c>
      <c r="I235" s="447">
        <f t="shared" si="92"/>
        <v>23.291170839663483</v>
      </c>
      <c r="J235" s="447">
        <f t="shared" si="92"/>
        <v>22.466420579246556</v>
      </c>
      <c r="K235" s="447">
        <f t="shared" si="92"/>
        <v>21.835329488441605</v>
      </c>
      <c r="L235" s="447">
        <f t="shared" si="92"/>
        <v>21.331170861619743</v>
      </c>
      <c r="M235" s="447">
        <f t="shared" si="92"/>
        <v>20.917301549412262</v>
      </c>
      <c r="N235" s="447">
        <f t="shared" si="92"/>
        <v>20.543957432795473</v>
      </c>
      <c r="O235" s="320"/>
    </row>
    <row r="236" spans="1:15">
      <c r="B236" s="331" t="str">
        <f t="shared" si="83"/>
        <v>55-59</v>
      </c>
      <c r="C236" s="447">
        <f t="shared" si="85"/>
        <v>59.593785069873917</v>
      </c>
      <c r="D236" s="447">
        <f t="shared" ref="D236:N236" si="93">D202+D168+D134</f>
        <v>50.171166448151624</v>
      </c>
      <c r="E236" s="447">
        <f t="shared" si="93"/>
        <v>43.863028194887484</v>
      </c>
      <c r="F236" s="447">
        <f t="shared" si="93"/>
        <v>39.281086458237141</v>
      </c>
      <c r="G236" s="447">
        <f t="shared" si="93"/>
        <v>35.660467113470538</v>
      </c>
      <c r="H236" s="447">
        <f t="shared" si="93"/>
        <v>32.861674383665445</v>
      </c>
      <c r="I236" s="447">
        <f t="shared" si="93"/>
        <v>30.653893941279655</v>
      </c>
      <c r="J236" s="447">
        <f t="shared" si="93"/>
        <v>28.951671221751958</v>
      </c>
      <c r="K236" s="447">
        <f t="shared" si="93"/>
        <v>27.648567762386747</v>
      </c>
      <c r="L236" s="447">
        <f t="shared" si="93"/>
        <v>26.605246308379293</v>
      </c>
      <c r="M236" s="447">
        <f t="shared" si="93"/>
        <v>25.745598689851278</v>
      </c>
      <c r="N236" s="447">
        <f t="shared" si="93"/>
        <v>24.985698538452645</v>
      </c>
      <c r="O236" s="320"/>
    </row>
    <row r="237" spans="1:15">
      <c r="B237" s="331" t="str">
        <f t="shared" si="83"/>
        <v>60-64</v>
      </c>
      <c r="C237" s="447">
        <f t="shared" si="85"/>
        <v>33.092561953117404</v>
      </c>
      <c r="D237" s="447">
        <f t="shared" ref="D237:N237" si="94">D203+D169+D135</f>
        <v>31.85187374524854</v>
      </c>
      <c r="E237" s="447">
        <f t="shared" si="94"/>
        <v>29.333798356310094</v>
      </c>
      <c r="F237" s="447">
        <f t="shared" si="94"/>
        <v>26.600826313099631</v>
      </c>
      <c r="G237" s="447">
        <f t="shared" si="94"/>
        <v>24.014599863593759</v>
      </c>
      <c r="H237" s="447">
        <f t="shared" si="94"/>
        <v>21.828652328666564</v>
      </c>
      <c r="I237" s="447">
        <f t="shared" si="94"/>
        <v>20.036141979030674</v>
      </c>
      <c r="J237" s="447">
        <f t="shared" si="94"/>
        <v>18.637658300776323</v>
      </c>
      <c r="K237" s="447">
        <f t="shared" si="94"/>
        <v>17.564835823950222</v>
      </c>
      <c r="L237" s="447">
        <f t="shared" si="94"/>
        <v>16.704936879830836</v>
      </c>
      <c r="M237" s="447">
        <f t="shared" si="94"/>
        <v>15.995768686237463</v>
      </c>
      <c r="N237" s="447">
        <f t="shared" si="94"/>
        <v>15.368493386290536</v>
      </c>
      <c r="O237" s="320"/>
    </row>
    <row r="238" spans="1:15">
      <c r="B238" s="331" t="str">
        <f t="shared" si="83"/>
        <v>65 plus</v>
      </c>
      <c r="C238" s="447">
        <f t="shared" si="85"/>
        <v>8.9724785277333918</v>
      </c>
      <c r="D238" s="447">
        <f t="shared" ref="D238:N238" si="95">D204+D170+D136</f>
        <v>10.566351427413261</v>
      </c>
      <c r="E238" s="447">
        <f t="shared" si="95"/>
        <v>11.546123547094576</v>
      </c>
      <c r="F238" s="447">
        <f t="shared" si="95"/>
        <v>11.848742187297034</v>
      </c>
      <c r="G238" s="447">
        <f t="shared" si="95"/>
        <v>11.61600939401287</v>
      </c>
      <c r="H238" s="447">
        <f t="shared" si="95"/>
        <v>11.11486483204375</v>
      </c>
      <c r="I238" s="447">
        <f t="shared" si="95"/>
        <v>10.496188370070097</v>
      </c>
      <c r="J238" s="447">
        <f t="shared" si="95"/>
        <v>9.8787837105061733</v>
      </c>
      <c r="K238" s="447">
        <f t="shared" si="95"/>
        <v>9.3172874167263391</v>
      </c>
      <c r="L238" s="447">
        <f t="shared" si="95"/>
        <v>8.8148124179399812</v>
      </c>
      <c r="M238" s="447">
        <f t="shared" si="95"/>
        <v>8.3701963687876315</v>
      </c>
      <c r="N238" s="447">
        <f t="shared" si="95"/>
        <v>7.9662605822023895</v>
      </c>
      <c r="O238" s="320"/>
    </row>
    <row r="239" spans="1:15">
      <c r="B239" s="331" t="str">
        <f t="shared" si="83"/>
        <v>Total</v>
      </c>
      <c r="C239" s="447">
        <f>SUM(C229:C238)</f>
        <v>231.61197051080273</v>
      </c>
      <c r="D239" s="447">
        <f t="shared" ref="D239:N239" si="96">SUM(D229:D238)</f>
        <v>223.2802782878326</v>
      </c>
      <c r="E239" s="447">
        <f t="shared" si="96"/>
        <v>220.65201672494808</v>
      </c>
      <c r="F239" s="447">
        <f t="shared" si="96"/>
        <v>218.81926207401369</v>
      </c>
      <c r="G239" s="447">
        <f t="shared" si="96"/>
        <v>214.59109864715163</v>
      </c>
      <c r="H239" s="447">
        <f t="shared" si="96"/>
        <v>210.62502477159319</v>
      </c>
      <c r="I239" s="447">
        <f t="shared" si="96"/>
        <v>206.95314171797389</v>
      </c>
      <c r="J239" s="447">
        <f t="shared" si="96"/>
        <v>204.43287770483437</v>
      </c>
      <c r="K239" s="447">
        <f t="shared" si="96"/>
        <v>203.02844357357245</v>
      </c>
      <c r="L239" s="447">
        <f t="shared" si="96"/>
        <v>201.8738303539827</v>
      </c>
      <c r="M239" s="447">
        <f t="shared" si="96"/>
        <v>200.63574925009101</v>
      </c>
      <c r="N239" s="447">
        <f t="shared" si="96"/>
        <v>198.71807127132539</v>
      </c>
      <c r="O239" s="320"/>
    </row>
    <row r="240" spans="1:15">
      <c r="A240" s="302">
        <f>SUM(C240:N240)</f>
        <v>0</v>
      </c>
      <c r="C240" s="302">
        <f>SUM(C229:C238)-C239</f>
        <v>0</v>
      </c>
      <c r="D240" s="302">
        <f t="shared" ref="D240:N240" si="97">SUM(D229:D238)-D239</f>
        <v>0</v>
      </c>
      <c r="E240" s="302">
        <f t="shared" si="97"/>
        <v>0</v>
      </c>
      <c r="F240" s="302">
        <f t="shared" si="97"/>
        <v>0</v>
      </c>
      <c r="G240" s="302">
        <f t="shared" si="97"/>
        <v>0</v>
      </c>
      <c r="H240" s="302">
        <f t="shared" si="97"/>
        <v>0</v>
      </c>
      <c r="I240" s="302">
        <f t="shared" si="97"/>
        <v>0</v>
      </c>
      <c r="J240" s="302">
        <f t="shared" si="97"/>
        <v>0</v>
      </c>
      <c r="K240" s="302">
        <f t="shared" si="97"/>
        <v>0</v>
      </c>
      <c r="L240" s="302">
        <f t="shared" si="97"/>
        <v>0</v>
      </c>
      <c r="M240" s="302">
        <f t="shared" si="97"/>
        <v>0</v>
      </c>
      <c r="N240" s="302">
        <f t="shared" si="97"/>
        <v>0</v>
      </c>
    </row>
    <row r="242" spans="2:15" ht="15.75">
      <c r="B242" s="333" t="s">
        <v>167</v>
      </c>
      <c r="C242" s="322"/>
      <c r="D242" s="322"/>
      <c r="E242" s="322"/>
      <c r="F242" s="322"/>
      <c r="G242" s="322"/>
      <c r="H242" s="332"/>
      <c r="I242" s="322"/>
      <c r="J242" s="322"/>
      <c r="K242" s="322"/>
      <c r="L242" s="322"/>
    </row>
    <row r="243" spans="2:15">
      <c r="C243" s="322"/>
      <c r="D243" s="322"/>
      <c r="E243" s="322"/>
      <c r="F243" s="322"/>
      <c r="G243" s="322"/>
      <c r="H243" s="332"/>
      <c r="I243" s="322"/>
      <c r="J243" s="322"/>
      <c r="K243" s="322"/>
      <c r="L243" s="322"/>
    </row>
    <row r="244" spans="2:15">
      <c r="B244" s="334" t="s">
        <v>46</v>
      </c>
      <c r="C244" s="322"/>
      <c r="D244" s="322"/>
      <c r="E244" s="322"/>
      <c r="F244" s="322"/>
      <c r="G244" s="322"/>
      <c r="H244" s="332"/>
      <c r="I244" s="322"/>
      <c r="J244" s="322"/>
      <c r="K244" s="322"/>
      <c r="L244" s="322"/>
    </row>
    <row r="245" spans="2:15">
      <c r="C245" s="322"/>
      <c r="D245" s="322"/>
      <c r="E245" s="322"/>
      <c r="F245" s="322"/>
      <c r="G245" s="322"/>
      <c r="H245" s="332"/>
      <c r="I245" s="322"/>
      <c r="J245" s="322"/>
      <c r="K245" s="322"/>
      <c r="L245" s="322"/>
    </row>
    <row r="246" spans="2:15">
      <c r="B246" s="331" t="str">
        <f t="shared" ref="B246:B257" si="98">B212</f>
        <v>Age group</v>
      </c>
      <c r="C246" s="331" t="str">
        <f t="shared" ref="C246:N246" si="99">C212</f>
        <v>2017/18</v>
      </c>
      <c r="D246" s="331" t="str">
        <f t="shared" si="99"/>
        <v>2018/19</v>
      </c>
      <c r="E246" s="331" t="str">
        <f t="shared" si="99"/>
        <v>2019/20</v>
      </c>
      <c r="F246" s="331" t="str">
        <f t="shared" si="99"/>
        <v>2020/21</v>
      </c>
      <c r="G246" s="331" t="str">
        <f t="shared" si="99"/>
        <v>2021/22</v>
      </c>
      <c r="H246" s="331" t="str">
        <f t="shared" si="99"/>
        <v>2022/23</v>
      </c>
      <c r="I246" s="331" t="str">
        <f t="shared" si="99"/>
        <v>2023/24</v>
      </c>
      <c r="J246" s="331" t="str">
        <f t="shared" si="99"/>
        <v>2024/25</v>
      </c>
      <c r="K246" s="331" t="str">
        <f t="shared" si="99"/>
        <v>2025/26</v>
      </c>
      <c r="L246" s="331" t="str">
        <f t="shared" si="99"/>
        <v>2026/27</v>
      </c>
      <c r="M246" s="331" t="str">
        <f t="shared" si="99"/>
        <v>2027/28</v>
      </c>
      <c r="N246" s="331" t="str">
        <f t="shared" si="99"/>
        <v>2028/29</v>
      </c>
    </row>
    <row r="247" spans="2:15">
      <c r="B247" s="331" t="str">
        <f t="shared" si="98"/>
        <v>20-24</v>
      </c>
      <c r="C247" s="447">
        <f t="shared" ref="C247:C256" si="100">C77-C213</f>
        <v>3.7799891762258935</v>
      </c>
      <c r="D247" s="447">
        <f t="shared" ref="D247:N247" si="101">D77-D213</f>
        <v>6.5003519035350976</v>
      </c>
      <c r="E247" s="447">
        <f t="shared" si="101"/>
        <v>9.023665499767743</v>
      </c>
      <c r="F247" s="447">
        <f t="shared" si="101"/>
        <v>10.975463497499749</v>
      </c>
      <c r="G247" s="447">
        <f t="shared" si="101"/>
        <v>12.144877408222044</v>
      </c>
      <c r="H247" s="447">
        <f t="shared" si="101"/>
        <v>12.8327980964944</v>
      </c>
      <c r="I247" s="447">
        <f t="shared" si="101"/>
        <v>13.191689147229217</v>
      </c>
      <c r="J247" s="447">
        <f t="shared" si="101"/>
        <v>13.48787586917271</v>
      </c>
      <c r="K247" s="447">
        <f t="shared" si="101"/>
        <v>13.769063231299628</v>
      </c>
      <c r="L247" s="447">
        <f t="shared" si="101"/>
        <v>13.916576851683351</v>
      </c>
      <c r="M247" s="447">
        <f t="shared" si="101"/>
        <v>13.922849894730994</v>
      </c>
      <c r="N247" s="447">
        <f t="shared" si="101"/>
        <v>13.726252916582656</v>
      </c>
      <c r="O247" s="320"/>
    </row>
    <row r="248" spans="2:15">
      <c r="B248" s="331" t="str">
        <f t="shared" si="98"/>
        <v>25-29</v>
      </c>
      <c r="C248" s="447">
        <f t="shared" si="100"/>
        <v>11.854278072732557</v>
      </c>
      <c r="D248" s="447">
        <f t="shared" ref="D248:N248" si="102">D78-D214</f>
        <v>14.299535883984502</v>
      </c>
      <c r="E248" s="447">
        <f t="shared" si="102"/>
        <v>17.349822471319296</v>
      </c>
      <c r="F248" s="447">
        <f t="shared" si="102"/>
        <v>20.250007416846138</v>
      </c>
      <c r="G248" s="447">
        <f t="shared" si="102"/>
        <v>22.437067877101754</v>
      </c>
      <c r="H248" s="447">
        <f t="shared" si="102"/>
        <v>24.05635494858079</v>
      </c>
      <c r="I248" s="447">
        <f t="shared" si="102"/>
        <v>25.190065213187559</v>
      </c>
      <c r="J248" s="447">
        <f t="shared" si="102"/>
        <v>26.133316593730328</v>
      </c>
      <c r="K248" s="447">
        <f t="shared" si="102"/>
        <v>26.965348601760155</v>
      </c>
      <c r="L248" s="447">
        <f t="shared" si="102"/>
        <v>27.553077979819776</v>
      </c>
      <c r="M248" s="447">
        <f t="shared" si="102"/>
        <v>27.877957037247963</v>
      </c>
      <c r="N248" s="447">
        <f t="shared" si="102"/>
        <v>27.851542660414683</v>
      </c>
      <c r="O248" s="320"/>
    </row>
    <row r="249" spans="2:15">
      <c r="B249" s="331" t="str">
        <f t="shared" si="98"/>
        <v>30-34</v>
      </c>
      <c r="C249" s="447">
        <f t="shared" si="100"/>
        <v>29.446584938551524</v>
      </c>
      <c r="D249" s="447">
        <f t="shared" ref="D249:N249" si="103">D79-D215</f>
        <v>27.226514385632075</v>
      </c>
      <c r="E249" s="447">
        <f t="shared" si="103"/>
        <v>26.477455016993055</v>
      </c>
      <c r="F249" s="447">
        <f t="shared" si="103"/>
        <v>26.648034302182214</v>
      </c>
      <c r="G249" s="447">
        <f t="shared" si="103"/>
        <v>27.149644737628233</v>
      </c>
      <c r="H249" s="447">
        <f t="shared" si="103"/>
        <v>27.820632594372537</v>
      </c>
      <c r="I249" s="447">
        <f t="shared" si="103"/>
        <v>28.519987335244387</v>
      </c>
      <c r="J249" s="447">
        <f t="shared" si="103"/>
        <v>29.286182790467681</v>
      </c>
      <c r="K249" s="447">
        <f t="shared" si="103"/>
        <v>30.090150481679089</v>
      </c>
      <c r="L249" s="447">
        <f t="shared" si="103"/>
        <v>30.802360826108437</v>
      </c>
      <c r="M249" s="447">
        <f t="shared" si="103"/>
        <v>31.362896753399799</v>
      </c>
      <c r="N249" s="447">
        <f t="shared" si="103"/>
        <v>31.678382921041699</v>
      </c>
      <c r="O249" s="320"/>
    </row>
    <row r="250" spans="2:15">
      <c r="B250" s="331" t="str">
        <f t="shared" si="98"/>
        <v>35-39</v>
      </c>
      <c r="C250" s="447">
        <f t="shared" si="100"/>
        <v>31.1173482813671</v>
      </c>
      <c r="D250" s="447">
        <f t="shared" ref="D250:N250" si="104">D80-D216</f>
        <v>30.695837122518519</v>
      </c>
      <c r="E250" s="447">
        <f t="shared" si="104"/>
        <v>30.231013017629216</v>
      </c>
      <c r="F250" s="447">
        <f t="shared" si="104"/>
        <v>29.870482389085037</v>
      </c>
      <c r="G250" s="447">
        <f t="shared" si="104"/>
        <v>29.525096720455142</v>
      </c>
      <c r="H250" s="447">
        <f t="shared" si="104"/>
        <v>29.289417105949774</v>
      </c>
      <c r="I250" s="447">
        <f t="shared" si="104"/>
        <v>29.172083235958194</v>
      </c>
      <c r="J250" s="447">
        <f t="shared" si="104"/>
        <v>29.238080115173315</v>
      </c>
      <c r="K250" s="447">
        <f t="shared" si="104"/>
        <v>29.46837935193054</v>
      </c>
      <c r="L250" s="447">
        <f t="shared" si="104"/>
        <v>29.762251481855401</v>
      </c>
      <c r="M250" s="447">
        <f t="shared" si="104"/>
        <v>30.061203487577313</v>
      </c>
      <c r="N250" s="447">
        <f t="shared" si="104"/>
        <v>30.280576602499508</v>
      </c>
      <c r="O250" s="320"/>
    </row>
    <row r="251" spans="2:15">
      <c r="B251" s="331" t="str">
        <f t="shared" si="98"/>
        <v>40-44</v>
      </c>
      <c r="C251" s="447">
        <f t="shared" si="100"/>
        <v>37.80944898333685</v>
      </c>
      <c r="D251" s="447">
        <f t="shared" ref="D251:N251" si="105">D81-D217</f>
        <v>35.347398048177773</v>
      </c>
      <c r="E251" s="447">
        <f t="shared" si="105"/>
        <v>33.632753271917061</v>
      </c>
      <c r="F251" s="447">
        <f t="shared" si="105"/>
        <v>32.403271063488724</v>
      </c>
      <c r="G251" s="447">
        <f t="shared" si="105"/>
        <v>31.340465854616681</v>
      </c>
      <c r="H251" s="447">
        <f t="shared" si="105"/>
        <v>30.433743924790157</v>
      </c>
      <c r="I251" s="447">
        <f t="shared" si="105"/>
        <v>29.666676090002841</v>
      </c>
      <c r="J251" s="447">
        <f t="shared" si="105"/>
        <v>29.098561327221564</v>
      </c>
      <c r="K251" s="447">
        <f t="shared" si="105"/>
        <v>28.723739531642575</v>
      </c>
      <c r="L251" s="447">
        <f t="shared" si="105"/>
        <v>28.467675850757832</v>
      </c>
      <c r="M251" s="447">
        <f t="shared" si="105"/>
        <v>28.290196948786409</v>
      </c>
      <c r="N251" s="447">
        <f t="shared" si="105"/>
        <v>28.126174545682318</v>
      </c>
      <c r="O251" s="320"/>
    </row>
    <row r="252" spans="2:15">
      <c r="B252" s="331" t="str">
        <f t="shared" si="98"/>
        <v>45-49</v>
      </c>
      <c r="C252" s="447">
        <f t="shared" si="100"/>
        <v>29.852461985229752</v>
      </c>
      <c r="D252" s="447">
        <f t="shared" ref="D252:N252" si="106">D82-D218</f>
        <v>30.165717944767383</v>
      </c>
      <c r="E252" s="447">
        <f t="shared" si="106"/>
        <v>30.074666529023943</v>
      </c>
      <c r="F252" s="447">
        <f t="shared" si="106"/>
        <v>29.800992864895768</v>
      </c>
      <c r="G252" s="447">
        <f t="shared" si="106"/>
        <v>29.303071095536769</v>
      </c>
      <c r="H252" s="447">
        <f t="shared" si="106"/>
        <v>28.696241954951446</v>
      </c>
      <c r="I252" s="447">
        <f t="shared" si="106"/>
        <v>28.041806483207068</v>
      </c>
      <c r="J252" s="447">
        <f t="shared" si="106"/>
        <v>27.438273477964213</v>
      </c>
      <c r="K252" s="447">
        <f t="shared" si="106"/>
        <v>26.918750309761183</v>
      </c>
      <c r="L252" s="447">
        <f t="shared" si="106"/>
        <v>26.452163435855741</v>
      </c>
      <c r="M252" s="447">
        <f t="shared" si="106"/>
        <v>26.029220105246324</v>
      </c>
      <c r="N252" s="447">
        <f t="shared" si="106"/>
        <v>25.615709433831448</v>
      </c>
      <c r="O252" s="320"/>
    </row>
    <row r="253" spans="2:15">
      <c r="B253" s="331" t="str">
        <f t="shared" si="98"/>
        <v>50-54</v>
      </c>
      <c r="C253" s="447">
        <f t="shared" si="100"/>
        <v>19.781117208205963</v>
      </c>
      <c r="D253" s="447">
        <f t="shared" ref="D253:N253" si="107">D83-D219</f>
        <v>20.353686852487051</v>
      </c>
      <c r="E253" s="447">
        <f t="shared" si="107"/>
        <v>20.912763374940919</v>
      </c>
      <c r="F253" s="447">
        <f t="shared" si="107"/>
        <v>21.370648322245238</v>
      </c>
      <c r="G253" s="447">
        <f t="shared" si="107"/>
        <v>21.593430975159848</v>
      </c>
      <c r="H253" s="447">
        <f t="shared" si="107"/>
        <v>21.627815426177449</v>
      </c>
      <c r="I253" s="447">
        <f t="shared" si="107"/>
        <v>21.511869187649783</v>
      </c>
      <c r="J253" s="447">
        <f t="shared" si="107"/>
        <v>21.325006080495225</v>
      </c>
      <c r="K253" s="447">
        <f t="shared" si="107"/>
        <v>21.104489583688043</v>
      </c>
      <c r="L253" s="447">
        <f t="shared" si="107"/>
        <v>20.842830984562756</v>
      </c>
      <c r="M253" s="447">
        <f t="shared" si="107"/>
        <v>20.549060384428543</v>
      </c>
      <c r="N253" s="447">
        <f t="shared" si="107"/>
        <v>20.213221823539957</v>
      </c>
      <c r="O253" s="320"/>
    </row>
    <row r="254" spans="2:15">
      <c r="B254" s="331" t="str">
        <f t="shared" si="98"/>
        <v>55-59</v>
      </c>
      <c r="C254" s="447">
        <f t="shared" si="100"/>
        <v>6.4321475631638574</v>
      </c>
      <c r="D254" s="447">
        <f t="shared" ref="D254:N254" si="108">D84-D220</f>
        <v>7.4347715981998732</v>
      </c>
      <c r="E254" s="447">
        <f t="shared" si="108"/>
        <v>8.2027005976243359</v>
      </c>
      <c r="F254" s="447">
        <f t="shared" si="108"/>
        <v>8.7827329893130859</v>
      </c>
      <c r="G254" s="447">
        <f t="shared" si="108"/>
        <v>9.1707555628203039</v>
      </c>
      <c r="H254" s="447">
        <f t="shared" si="108"/>
        <v>9.4179765595353651</v>
      </c>
      <c r="I254" s="447">
        <f t="shared" si="108"/>
        <v>9.5534437668957324</v>
      </c>
      <c r="J254" s="447">
        <f t="shared" si="108"/>
        <v>9.6241045768043616</v>
      </c>
      <c r="K254" s="447">
        <f t="shared" si="108"/>
        <v>9.6493747433112738</v>
      </c>
      <c r="L254" s="447">
        <f t="shared" si="108"/>
        <v>9.6238664068524855</v>
      </c>
      <c r="M254" s="447">
        <f t="shared" si="108"/>
        <v>9.5545312653469292</v>
      </c>
      <c r="N254" s="447">
        <f t="shared" si="108"/>
        <v>9.4385237332109515</v>
      </c>
      <c r="O254" s="320"/>
    </row>
    <row r="255" spans="2:15">
      <c r="B255" s="331" t="str">
        <f t="shared" si="98"/>
        <v>60-64</v>
      </c>
      <c r="C255" s="447">
        <f t="shared" si="100"/>
        <v>3.5294915068105253</v>
      </c>
      <c r="D255" s="447">
        <f t="shared" ref="D255:N255" si="109">D85-D221</f>
        <v>2.9014931721733053</v>
      </c>
      <c r="E255" s="447">
        <f t="shared" si="109"/>
        <v>2.7446406183369132</v>
      </c>
      <c r="F255" s="447">
        <f t="shared" si="109"/>
        <v>2.7775587099097629</v>
      </c>
      <c r="G255" s="447">
        <f t="shared" si="109"/>
        <v>2.8544858709718062</v>
      </c>
      <c r="H255" s="447">
        <f t="shared" si="109"/>
        <v>2.934177719452332</v>
      </c>
      <c r="I255" s="447">
        <f t="shared" si="109"/>
        <v>2.9979426458849776</v>
      </c>
      <c r="J255" s="447">
        <f t="shared" si="109"/>
        <v>3.0509783787774856</v>
      </c>
      <c r="K255" s="447">
        <f t="shared" si="109"/>
        <v>3.092245236223885</v>
      </c>
      <c r="L255" s="447">
        <f t="shared" si="109"/>
        <v>3.1131145679065018</v>
      </c>
      <c r="M255" s="447">
        <f t="shared" si="109"/>
        <v>3.1137567763739846</v>
      </c>
      <c r="N255" s="447">
        <f t="shared" si="109"/>
        <v>3.0912359439658648</v>
      </c>
      <c r="O255" s="320"/>
    </row>
    <row r="256" spans="2:15">
      <c r="B256" s="331" t="str">
        <f t="shared" si="98"/>
        <v>65 plus</v>
      </c>
      <c r="C256" s="447">
        <f t="shared" si="100"/>
        <v>4.1502005470406225</v>
      </c>
      <c r="D256" s="447">
        <f t="shared" ref="D256:N256" si="110">D86-D222</f>
        <v>3.0376934475856987</v>
      </c>
      <c r="E256" s="447">
        <f t="shared" si="110"/>
        <v>2.2951313777094704</v>
      </c>
      <c r="F256" s="447">
        <f t="shared" si="110"/>
        <v>1.839859438567309</v>
      </c>
      <c r="G256" s="447">
        <f t="shared" si="110"/>
        <v>1.5640263701714492</v>
      </c>
      <c r="H256" s="447">
        <f t="shared" si="110"/>
        <v>1.4034603099748275</v>
      </c>
      <c r="I256" s="447">
        <f t="shared" si="110"/>
        <v>1.3129166612915126</v>
      </c>
      <c r="J256" s="447">
        <f t="shared" si="110"/>
        <v>1.2672657271297632</v>
      </c>
      <c r="K256" s="447">
        <f t="shared" si="110"/>
        <v>1.2481591522233808</v>
      </c>
      <c r="L256" s="447">
        <f t="shared" si="110"/>
        <v>1.2402378115889907</v>
      </c>
      <c r="M256" s="447">
        <f t="shared" si="110"/>
        <v>1.2353000876333975</v>
      </c>
      <c r="N256" s="447">
        <f t="shared" si="110"/>
        <v>1.2268799953782057</v>
      </c>
      <c r="O256" s="320"/>
    </row>
    <row r="257" spans="1:15">
      <c r="B257" s="331" t="str">
        <f t="shared" si="98"/>
        <v>Total</v>
      </c>
      <c r="C257" s="447">
        <f>SUM(C247:C256)</f>
        <v>177.75306826266461</v>
      </c>
      <c r="D257" s="447">
        <f t="shared" ref="D257:N257" si="111">SUM(D247:D256)</f>
        <v>177.96300035906128</v>
      </c>
      <c r="E257" s="447">
        <f t="shared" si="111"/>
        <v>180.94461177526196</v>
      </c>
      <c r="F257" s="447">
        <f t="shared" si="111"/>
        <v>184.71905099403301</v>
      </c>
      <c r="G257" s="447">
        <f t="shared" si="111"/>
        <v>187.08292247268406</v>
      </c>
      <c r="H257" s="447">
        <f t="shared" si="111"/>
        <v>188.51261864027904</v>
      </c>
      <c r="I257" s="447">
        <f t="shared" si="111"/>
        <v>189.1584797665513</v>
      </c>
      <c r="J257" s="447">
        <f t="shared" si="111"/>
        <v>189.94964493693664</v>
      </c>
      <c r="K257" s="447">
        <f t="shared" si="111"/>
        <v>191.02970022351974</v>
      </c>
      <c r="L257" s="447">
        <f t="shared" si="111"/>
        <v>191.77415619699127</v>
      </c>
      <c r="M257" s="447">
        <f t="shared" si="111"/>
        <v>191.99697274077164</v>
      </c>
      <c r="N257" s="447">
        <f t="shared" si="111"/>
        <v>191.24850057614728</v>
      </c>
      <c r="O257" s="320"/>
    </row>
    <row r="258" spans="1:15">
      <c r="A258" s="302">
        <f>SUM(C258:N258)</f>
        <v>0</v>
      </c>
      <c r="C258" s="302">
        <f>SUM(C247:C256)-C257</f>
        <v>0</v>
      </c>
      <c r="D258" s="302">
        <f t="shared" ref="D258:N258" si="112">SUM(D247:D256)-D257</f>
        <v>0</v>
      </c>
      <c r="E258" s="302">
        <f t="shared" si="112"/>
        <v>0</v>
      </c>
      <c r="F258" s="302">
        <f t="shared" si="112"/>
        <v>0</v>
      </c>
      <c r="G258" s="302">
        <f t="shared" si="112"/>
        <v>0</v>
      </c>
      <c r="H258" s="302">
        <f t="shared" si="112"/>
        <v>0</v>
      </c>
      <c r="I258" s="302">
        <f t="shared" si="112"/>
        <v>0</v>
      </c>
      <c r="J258" s="302">
        <f t="shared" si="112"/>
        <v>0</v>
      </c>
      <c r="K258" s="302">
        <f t="shared" si="112"/>
        <v>0</v>
      </c>
      <c r="L258" s="302">
        <f t="shared" si="112"/>
        <v>0</v>
      </c>
      <c r="M258" s="302">
        <f t="shared" si="112"/>
        <v>0</v>
      </c>
      <c r="N258" s="302">
        <f t="shared" si="112"/>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3">B246</f>
        <v>Age group</v>
      </c>
      <c r="C262" s="331" t="str">
        <f t="shared" ref="C262:N262" si="114">C246</f>
        <v>2017/18</v>
      </c>
      <c r="D262" s="331" t="str">
        <f t="shared" si="114"/>
        <v>2018/19</v>
      </c>
      <c r="E262" s="331" t="str">
        <f t="shared" si="114"/>
        <v>2019/20</v>
      </c>
      <c r="F262" s="331" t="str">
        <f t="shared" si="114"/>
        <v>2020/21</v>
      </c>
      <c r="G262" s="331" t="str">
        <f t="shared" si="114"/>
        <v>2021/22</v>
      </c>
      <c r="H262" s="331" t="str">
        <f t="shared" si="114"/>
        <v>2022/23</v>
      </c>
      <c r="I262" s="331" t="str">
        <f t="shared" si="114"/>
        <v>2023/24</v>
      </c>
      <c r="J262" s="331" t="str">
        <f t="shared" si="114"/>
        <v>2024/25</v>
      </c>
      <c r="K262" s="331" t="str">
        <f t="shared" si="114"/>
        <v>2025/26</v>
      </c>
      <c r="L262" s="331" t="str">
        <f t="shared" si="114"/>
        <v>2026/27</v>
      </c>
      <c r="M262" s="331" t="str">
        <f t="shared" si="114"/>
        <v>2027/28</v>
      </c>
      <c r="N262" s="331" t="str">
        <f t="shared" si="114"/>
        <v>2028/29</v>
      </c>
    </row>
    <row r="263" spans="1:15">
      <c r="B263" s="331" t="str">
        <f t="shared" si="113"/>
        <v>20-24</v>
      </c>
      <c r="C263" s="447">
        <f t="shared" ref="C263:C272" si="115">C93-C229</f>
        <v>22.664137950919372</v>
      </c>
      <c r="D263" s="447">
        <f t="shared" ref="D263:N263" si="116">D93-D229</f>
        <v>50.541916735804143</v>
      </c>
      <c r="E263" s="447">
        <f t="shared" si="116"/>
        <v>75.911521042891565</v>
      </c>
      <c r="F263" s="447">
        <f t="shared" si="116"/>
        <v>94.991992334304001</v>
      </c>
      <c r="G263" s="447">
        <f t="shared" si="116"/>
        <v>106.57414528841859</v>
      </c>
      <c r="H263" s="447">
        <f t="shared" si="116"/>
        <v>113.50464834768881</v>
      </c>
      <c r="I263" s="447">
        <f t="shared" si="116"/>
        <v>117.25212409950316</v>
      </c>
      <c r="J263" s="447">
        <f t="shared" si="116"/>
        <v>120.28003083115031</v>
      </c>
      <c r="K263" s="447">
        <f t="shared" si="116"/>
        <v>123.06391252986606</v>
      </c>
      <c r="L263" s="447">
        <f t="shared" si="116"/>
        <v>124.56860464327082</v>
      </c>
      <c r="M263" s="447">
        <f t="shared" si="116"/>
        <v>124.74936117736951</v>
      </c>
      <c r="N263" s="447">
        <f t="shared" si="116"/>
        <v>123.06820652011123</v>
      </c>
    </row>
    <row r="264" spans="1:15">
      <c r="B264" s="331" t="str">
        <f t="shared" si="113"/>
        <v>25-29</v>
      </c>
      <c r="C264" s="447">
        <f t="shared" si="115"/>
        <v>150.29201437088938</v>
      </c>
      <c r="D264" s="447">
        <f t="shared" ref="D264:N264" si="117">D94-D230</f>
        <v>158.14571948476481</v>
      </c>
      <c r="E264" s="447">
        <f t="shared" si="117"/>
        <v>176.22515889479067</v>
      </c>
      <c r="F264" s="447">
        <f t="shared" si="117"/>
        <v>195.42697420944785</v>
      </c>
      <c r="G264" s="447">
        <f t="shared" si="117"/>
        <v>210.35381872490609</v>
      </c>
      <c r="H264" s="447">
        <f t="shared" si="117"/>
        <v>221.64847451384335</v>
      </c>
      <c r="I264" s="447">
        <f t="shared" si="117"/>
        <v>229.59304292839397</v>
      </c>
      <c r="J264" s="447">
        <f t="shared" si="117"/>
        <v>236.52494230896787</v>
      </c>
      <c r="K264" s="447">
        <f t="shared" si="117"/>
        <v>242.93709686633406</v>
      </c>
      <c r="L264" s="447">
        <f t="shared" si="117"/>
        <v>247.48304965273937</v>
      </c>
      <c r="M264" s="447">
        <f t="shared" si="117"/>
        <v>249.89489537463834</v>
      </c>
      <c r="N264" s="447">
        <f t="shared" si="117"/>
        <v>249.30942332422532</v>
      </c>
    </row>
    <row r="265" spans="1:15">
      <c r="B265" s="331" t="str">
        <f t="shared" si="113"/>
        <v>30-34</v>
      </c>
      <c r="C265" s="447">
        <f t="shared" si="115"/>
        <v>186.5213234082201</v>
      </c>
      <c r="D265" s="447">
        <f t="shared" ref="D265:N265" si="118">D95-D231</f>
        <v>192.21784350882629</v>
      </c>
      <c r="E265" s="447">
        <f t="shared" si="118"/>
        <v>202.20020385727494</v>
      </c>
      <c r="F265" s="447">
        <f t="shared" si="118"/>
        <v>213.69309821803958</v>
      </c>
      <c r="G265" s="447">
        <f t="shared" si="118"/>
        <v>224.18293673301767</v>
      </c>
      <c r="H265" s="447">
        <f t="shared" si="118"/>
        <v>233.6479122786551</v>
      </c>
      <c r="I265" s="447">
        <f t="shared" si="118"/>
        <v>241.76572248126192</v>
      </c>
      <c r="J265" s="447">
        <f t="shared" si="118"/>
        <v>249.48862102385507</v>
      </c>
      <c r="K265" s="447">
        <f t="shared" si="118"/>
        <v>256.9444750194516</v>
      </c>
      <c r="L265" s="447">
        <f t="shared" si="118"/>
        <v>263.22885188429279</v>
      </c>
      <c r="M265" s="447">
        <f t="shared" si="118"/>
        <v>267.97458457351217</v>
      </c>
      <c r="N265" s="447">
        <f t="shared" si="118"/>
        <v>270.4606521793296</v>
      </c>
    </row>
    <row r="266" spans="1:15">
      <c r="B266" s="331" t="str">
        <f t="shared" si="113"/>
        <v>35-39</v>
      </c>
      <c r="C266" s="447">
        <f t="shared" si="115"/>
        <v>214.06757484190277</v>
      </c>
      <c r="D266" s="447">
        <f t="shared" ref="D266:N266" si="119">D96-D232</f>
        <v>210.2488265730577</v>
      </c>
      <c r="E266" s="447">
        <f t="shared" si="119"/>
        <v>211.26552052884796</v>
      </c>
      <c r="F266" s="447">
        <f t="shared" si="119"/>
        <v>214.3326634139307</v>
      </c>
      <c r="G266" s="447">
        <f t="shared" si="119"/>
        <v>217.72870260842581</v>
      </c>
      <c r="H266" s="447">
        <f t="shared" si="119"/>
        <v>221.51037651640198</v>
      </c>
      <c r="I266" s="447">
        <f t="shared" si="119"/>
        <v>225.43401546131244</v>
      </c>
      <c r="J266" s="447">
        <f t="shared" si="119"/>
        <v>230.01547147435434</v>
      </c>
      <c r="K266" s="447">
        <f t="shared" si="119"/>
        <v>235.14597492724914</v>
      </c>
      <c r="L266" s="447">
        <f t="shared" si="119"/>
        <v>240.04700212633043</v>
      </c>
      <c r="M266" s="447">
        <f t="shared" si="119"/>
        <v>244.34054548822493</v>
      </c>
      <c r="N266" s="447">
        <f t="shared" si="119"/>
        <v>247.41433136629846</v>
      </c>
    </row>
    <row r="267" spans="1:15">
      <c r="B267" s="331" t="str">
        <f t="shared" si="113"/>
        <v>40-44</v>
      </c>
      <c r="C267" s="447">
        <f t="shared" si="115"/>
        <v>222.69526741443332</v>
      </c>
      <c r="D267" s="447">
        <f t="shared" ref="D267:N267" si="120">D97-D233</f>
        <v>218.34442001361845</v>
      </c>
      <c r="E267" s="447">
        <f t="shared" si="120"/>
        <v>216.68553307924495</v>
      </c>
      <c r="F267" s="447">
        <f t="shared" si="120"/>
        <v>216.00913272312326</v>
      </c>
      <c r="G267" s="447">
        <f t="shared" si="120"/>
        <v>215.27120911581119</v>
      </c>
      <c r="H267" s="447">
        <f t="shared" si="120"/>
        <v>214.82078310877782</v>
      </c>
      <c r="I267" s="447">
        <f t="shared" si="120"/>
        <v>214.69102060742603</v>
      </c>
      <c r="J267" s="447">
        <f t="shared" si="120"/>
        <v>215.48721385420114</v>
      </c>
      <c r="K267" s="447">
        <f t="shared" si="120"/>
        <v>217.19841499348252</v>
      </c>
      <c r="L267" s="447">
        <f t="shared" si="120"/>
        <v>219.19755730472193</v>
      </c>
      <c r="M267" s="447">
        <f t="shared" si="120"/>
        <v>221.18041270304741</v>
      </c>
      <c r="N267" s="447">
        <f t="shared" si="120"/>
        <v>222.63277419008494</v>
      </c>
    </row>
    <row r="268" spans="1:15">
      <c r="B268" s="331" t="str">
        <f t="shared" si="113"/>
        <v>45-49</v>
      </c>
      <c r="C268" s="447">
        <f t="shared" si="115"/>
        <v>252.87418025957916</v>
      </c>
      <c r="D268" s="447">
        <f t="shared" ref="D268:N268" si="121">D98-D234</f>
        <v>236.75156489107167</v>
      </c>
      <c r="E268" s="447">
        <f t="shared" si="121"/>
        <v>225.9280411223038</v>
      </c>
      <c r="F268" s="447">
        <f t="shared" si="121"/>
        <v>217.96934412724784</v>
      </c>
      <c r="G268" s="447">
        <f t="shared" si="121"/>
        <v>211.42093683489568</v>
      </c>
      <c r="H268" s="447">
        <f t="shared" si="121"/>
        <v>206.10497246964906</v>
      </c>
      <c r="I268" s="447">
        <f t="shared" si="121"/>
        <v>201.76693058148766</v>
      </c>
      <c r="J268" s="447">
        <f t="shared" si="121"/>
        <v>198.73413174189903</v>
      </c>
      <c r="K268" s="447">
        <f t="shared" si="121"/>
        <v>196.90918504449681</v>
      </c>
      <c r="L268" s="447">
        <f t="shared" si="121"/>
        <v>195.73493943360629</v>
      </c>
      <c r="M268" s="447">
        <f t="shared" si="121"/>
        <v>194.93507038472927</v>
      </c>
      <c r="N268" s="447">
        <f t="shared" si="121"/>
        <v>194.07470436456501</v>
      </c>
    </row>
    <row r="269" spans="1:15">
      <c r="B269" s="331" t="str">
        <f t="shared" si="113"/>
        <v>50-54</v>
      </c>
      <c r="C269" s="447">
        <f t="shared" si="115"/>
        <v>254.92296015447846</v>
      </c>
      <c r="D269" s="447">
        <f t="shared" ref="D269:N269" si="122">D99-D235</f>
        <v>234.48380541050815</v>
      </c>
      <c r="E269" s="447">
        <f t="shared" si="122"/>
        <v>218.30432563344672</v>
      </c>
      <c r="F269" s="447">
        <f t="shared" si="122"/>
        <v>205.03262851872728</v>
      </c>
      <c r="G269" s="447">
        <f t="shared" si="122"/>
        <v>193.76816351112916</v>
      </c>
      <c r="H269" s="447">
        <f t="shared" si="122"/>
        <v>184.33361595178292</v>
      </c>
      <c r="I269" s="447">
        <f t="shared" si="122"/>
        <v>176.43318768008967</v>
      </c>
      <c r="J269" s="447">
        <f t="shared" si="122"/>
        <v>170.18561350328869</v>
      </c>
      <c r="K269" s="447">
        <f t="shared" si="122"/>
        <v>165.40502889319225</v>
      </c>
      <c r="L269" s="447">
        <f t="shared" si="122"/>
        <v>161.58597169598511</v>
      </c>
      <c r="M269" s="447">
        <f t="shared" si="122"/>
        <v>158.45086601416239</v>
      </c>
      <c r="N269" s="447">
        <f t="shared" si="122"/>
        <v>155.62274315809137</v>
      </c>
    </row>
    <row r="270" spans="1:15">
      <c r="B270" s="331" t="str">
        <f t="shared" si="113"/>
        <v>55-59</v>
      </c>
      <c r="C270" s="447">
        <f t="shared" si="115"/>
        <v>188.11327921787088</v>
      </c>
      <c r="D270" s="447">
        <f t="shared" ref="D270:N270" si="123">D100-D236</f>
        <v>158.11834222485771</v>
      </c>
      <c r="E270" s="447">
        <f t="shared" si="123"/>
        <v>137.49718186642073</v>
      </c>
      <c r="F270" s="447">
        <f t="shared" si="123"/>
        <v>122.61726970019542</v>
      </c>
      <c r="G270" s="447">
        <f t="shared" si="123"/>
        <v>111.31538121625567</v>
      </c>
      <c r="H270" s="447">
        <f t="shared" si="123"/>
        <v>102.57885292928177</v>
      </c>
      <c r="I270" s="447">
        <f t="shared" si="123"/>
        <v>95.68718993440379</v>
      </c>
      <c r="J270" s="447">
        <f t="shared" si="123"/>
        <v>90.373642853366789</v>
      </c>
      <c r="K270" s="447">
        <f t="shared" si="123"/>
        <v>86.305960344276315</v>
      </c>
      <c r="L270" s="447">
        <f t="shared" si="123"/>
        <v>83.049196348045101</v>
      </c>
      <c r="M270" s="447">
        <f t="shared" si="123"/>
        <v>80.365776580614607</v>
      </c>
      <c r="N270" s="447">
        <f t="shared" si="123"/>
        <v>77.99372198104723</v>
      </c>
    </row>
    <row r="271" spans="1:15">
      <c r="B271" s="331" t="str">
        <f t="shared" si="113"/>
        <v>60-64</v>
      </c>
      <c r="C271" s="447">
        <f t="shared" si="115"/>
        <v>58.875847932697674</v>
      </c>
      <c r="D271" s="447">
        <f t="shared" ref="D271:N271" si="124">D101-D237</f>
        <v>56.608538945797406</v>
      </c>
      <c r="E271" s="447">
        <f t="shared" si="124"/>
        <v>51.946917980735208</v>
      </c>
      <c r="F271" s="447">
        <f t="shared" si="124"/>
        <v>46.974966088984999</v>
      </c>
      <c r="G271" s="447">
        <f t="shared" si="124"/>
        <v>42.407893685518061</v>
      </c>
      <c r="H271" s="447">
        <f t="shared" si="124"/>
        <v>38.547682347837245</v>
      </c>
      <c r="I271" s="447">
        <f t="shared" si="124"/>
        <v>35.382250120386693</v>
      </c>
      <c r="J271" s="447">
        <f t="shared" si="124"/>
        <v>32.912637989215931</v>
      </c>
      <c r="K271" s="447">
        <f t="shared" si="124"/>
        <v>31.018117913965884</v>
      </c>
      <c r="L271" s="447">
        <f t="shared" si="124"/>
        <v>29.499604042835859</v>
      </c>
      <c r="M271" s="447">
        <f t="shared" si="124"/>
        <v>28.247268816353433</v>
      </c>
      <c r="N271" s="447">
        <f t="shared" si="124"/>
        <v>27.139549996019113</v>
      </c>
    </row>
    <row r="272" spans="1:15">
      <c r="B272" s="331" t="str">
        <f t="shared" si="113"/>
        <v>65 plus</v>
      </c>
      <c r="C272" s="447">
        <f t="shared" si="115"/>
        <v>15.818629561064293</v>
      </c>
      <c r="D272" s="447">
        <f t="shared" ref="D272:N272" si="125">D102-D238</f>
        <v>18.598221206005576</v>
      </c>
      <c r="E272" s="447">
        <f t="shared" si="125"/>
        <v>20.210700384281935</v>
      </c>
      <c r="F272" s="447">
        <f t="shared" si="125"/>
        <v>20.650698529513235</v>
      </c>
      <c r="G272" s="447">
        <f t="shared" si="125"/>
        <v>20.24507785889088</v>
      </c>
      <c r="H272" s="447">
        <f t="shared" si="125"/>
        <v>19.371653059419394</v>
      </c>
      <c r="I272" s="447">
        <f t="shared" si="125"/>
        <v>18.293386615473896</v>
      </c>
      <c r="J272" s="447">
        <f t="shared" si="125"/>
        <v>17.217336745046271</v>
      </c>
      <c r="K272" s="447">
        <f t="shared" si="125"/>
        <v>16.238727327692452</v>
      </c>
      <c r="L272" s="447">
        <f t="shared" si="125"/>
        <v>15.362983763141004</v>
      </c>
      <c r="M272" s="447">
        <f t="shared" si="125"/>
        <v>14.588080246186102</v>
      </c>
      <c r="N272" s="447">
        <f t="shared" si="125"/>
        <v>13.884076730690881</v>
      </c>
    </row>
    <row r="273" spans="1:16">
      <c r="B273" s="331" t="str">
        <f t="shared" si="113"/>
        <v>Total</v>
      </c>
      <c r="C273" s="447">
        <f>SUM(C263:C272)</f>
        <v>1566.8452151120555</v>
      </c>
      <c r="D273" s="447">
        <f t="shared" ref="D273:N273" si="126">SUM(D263:D272)</f>
        <v>1534.0591989943121</v>
      </c>
      <c r="E273" s="447">
        <f t="shared" si="126"/>
        <v>1536.1751043902384</v>
      </c>
      <c r="F273" s="447">
        <f t="shared" si="126"/>
        <v>1547.6987678635141</v>
      </c>
      <c r="G273" s="447">
        <f t="shared" si="126"/>
        <v>1553.2682655772689</v>
      </c>
      <c r="H273" s="447">
        <f t="shared" si="126"/>
        <v>1556.0689715233375</v>
      </c>
      <c r="I273" s="447">
        <f t="shared" si="126"/>
        <v>1556.2988705097393</v>
      </c>
      <c r="J273" s="447">
        <f t="shared" si="126"/>
        <v>1561.2196423253456</v>
      </c>
      <c r="K273" s="447">
        <f t="shared" si="126"/>
        <v>1571.1668938600073</v>
      </c>
      <c r="L273" s="447">
        <f t="shared" si="126"/>
        <v>1579.7577608949689</v>
      </c>
      <c r="M273" s="447">
        <f t="shared" si="126"/>
        <v>1584.7268613588383</v>
      </c>
      <c r="N273" s="447">
        <f t="shared" si="126"/>
        <v>1581.600183810463</v>
      </c>
    </row>
    <row r="274" spans="1:16">
      <c r="A274" s="302">
        <f>SUM(C274:N274)</f>
        <v>0</v>
      </c>
      <c r="C274" s="302">
        <f>SUM(C263:C272)-C273</f>
        <v>0</v>
      </c>
      <c r="D274" s="302">
        <f t="shared" ref="D274:N274" si="127">SUM(D263:D272)-D273</f>
        <v>0</v>
      </c>
      <c r="E274" s="302">
        <f t="shared" si="127"/>
        <v>0</v>
      </c>
      <c r="F274" s="302">
        <f t="shared" si="127"/>
        <v>0</v>
      </c>
      <c r="G274" s="302">
        <f t="shared" si="127"/>
        <v>0</v>
      </c>
      <c r="H274" s="302">
        <f t="shared" si="127"/>
        <v>0</v>
      </c>
      <c r="I274" s="302">
        <f t="shared" si="127"/>
        <v>0</v>
      </c>
      <c r="J274" s="302">
        <f t="shared" si="127"/>
        <v>0</v>
      </c>
      <c r="K274" s="302">
        <f t="shared" si="127"/>
        <v>0</v>
      </c>
      <c r="L274" s="302">
        <f t="shared" si="127"/>
        <v>0</v>
      </c>
      <c r="M274" s="302">
        <f t="shared" si="127"/>
        <v>0</v>
      </c>
      <c r="N274" s="302">
        <f t="shared" si="127"/>
        <v>0</v>
      </c>
    </row>
    <row r="275" spans="1:16" ht="15.75">
      <c r="B275" s="333"/>
      <c r="H275" s="320"/>
    </row>
    <row r="276" spans="1:16" ht="15.75">
      <c r="B276" s="333" t="s">
        <v>528</v>
      </c>
      <c r="H276" s="320"/>
    </row>
    <row r="277" spans="1:16" ht="15.75">
      <c r="B277" s="333"/>
      <c r="H277" s="320"/>
    </row>
    <row r="278" spans="1:16" ht="15.75">
      <c r="B278" s="333"/>
      <c r="C278" s="319" t="str">
        <f>C262</f>
        <v>2017/18</v>
      </c>
      <c r="D278" s="319" t="str">
        <f t="shared" ref="D278:N278" si="128">D262</f>
        <v>2018/19</v>
      </c>
      <c r="E278" s="319" t="str">
        <f t="shared" si="128"/>
        <v>2019/20</v>
      </c>
      <c r="F278" s="319" t="str">
        <f t="shared" si="128"/>
        <v>2020/21</v>
      </c>
      <c r="G278" s="319" t="str">
        <f t="shared" si="128"/>
        <v>2021/22</v>
      </c>
      <c r="H278" s="319" t="str">
        <f t="shared" si="128"/>
        <v>2022/23</v>
      </c>
      <c r="I278" s="319" t="str">
        <f t="shared" si="128"/>
        <v>2023/24</v>
      </c>
      <c r="J278" s="319" t="str">
        <f t="shared" si="128"/>
        <v>2024/25</v>
      </c>
      <c r="K278" s="319" t="str">
        <f t="shared" si="128"/>
        <v>2025/26</v>
      </c>
      <c r="L278" s="319" t="str">
        <f t="shared" si="128"/>
        <v>2026/27</v>
      </c>
      <c r="M278" s="319" t="str">
        <f t="shared" si="128"/>
        <v>2027/28</v>
      </c>
      <c r="N278" s="319" t="str">
        <f t="shared" si="128"/>
        <v>2028/29</v>
      </c>
    </row>
    <row r="279" spans="1:16">
      <c r="B279" s="319" t="s">
        <v>403</v>
      </c>
      <c r="C279" s="447">
        <f>C223+C239</f>
        <v>253.63961529643643</v>
      </c>
      <c r="D279" s="447">
        <f t="shared" ref="D279:K279" si="129">D223+D239</f>
        <v>244.23130561386981</v>
      </c>
      <c r="E279" s="447">
        <f t="shared" si="129"/>
        <v>242.41646803482939</v>
      </c>
      <c r="F279" s="447">
        <f t="shared" si="129"/>
        <v>240.63235103180645</v>
      </c>
      <c r="G279" s="447">
        <f t="shared" si="129"/>
        <v>236.68365642227101</v>
      </c>
      <c r="H279" s="447">
        <f t="shared" si="129"/>
        <v>232.90361869090486</v>
      </c>
      <c r="I279" s="447">
        <f t="shared" si="129"/>
        <v>229.32210459436473</v>
      </c>
      <c r="J279" s="447">
        <f t="shared" si="129"/>
        <v>226.89765752708556</v>
      </c>
      <c r="K279" s="447">
        <f t="shared" si="129"/>
        <v>225.60668639428854</v>
      </c>
      <c r="L279" s="447">
        <f>L223+L239</f>
        <v>224.50873956750928</v>
      </c>
      <c r="M279" s="447">
        <f>M223+M239</f>
        <v>223.25244415557398</v>
      </c>
      <c r="N279" s="447">
        <f>N223+N239</f>
        <v>221.19371515649783</v>
      </c>
      <c r="O279" s="320"/>
      <c r="P279" s="320"/>
    </row>
    <row r="280" spans="1:16">
      <c r="B280" s="319" t="s">
        <v>404</v>
      </c>
      <c r="C280" s="447">
        <f>C155+C171</f>
        <v>93.914202462538697</v>
      </c>
      <c r="D280" s="447">
        <f t="shared" ref="D280:N280" si="130">D155+D171</f>
        <v>85.746379068320849</v>
      </c>
      <c r="E280" s="447">
        <f t="shared" si="130"/>
        <v>78.725636069574207</v>
      </c>
      <c r="F280" s="447">
        <f t="shared" si="130"/>
        <v>72.610875802353092</v>
      </c>
      <c r="G280" s="447">
        <f t="shared" si="130"/>
        <v>67.212521023659804</v>
      </c>
      <c r="H280" s="447">
        <f t="shared" si="130"/>
        <v>62.631661759810825</v>
      </c>
      <c r="I280" s="447">
        <f t="shared" si="130"/>
        <v>58.774802363543614</v>
      </c>
      <c r="J280" s="447">
        <f t="shared" si="130"/>
        <v>55.679125442574829</v>
      </c>
      <c r="K280" s="447">
        <f t="shared" si="130"/>
        <v>53.24008856730665</v>
      </c>
      <c r="L280" s="447">
        <f t="shared" si="130"/>
        <v>51.230795397500145</v>
      </c>
      <c r="M280" s="447">
        <f t="shared" si="130"/>
        <v>49.53005336719994</v>
      </c>
      <c r="N280" s="447">
        <f t="shared" si="130"/>
        <v>47.985817413636731</v>
      </c>
      <c r="O280" s="320"/>
      <c r="P280" s="320"/>
    </row>
    <row r="281" spans="1:16">
      <c r="B281" s="319" t="s">
        <v>536</v>
      </c>
      <c r="C281" s="447">
        <f>C189+C205</f>
        <v>1.7892105290084455</v>
      </c>
      <c r="D281" s="447">
        <f t="shared" ref="D281:N281" si="131">D189+D205</f>
        <v>1.6877225643112226</v>
      </c>
      <c r="E281" s="447">
        <f t="shared" si="131"/>
        <v>1.6123933373553416</v>
      </c>
      <c r="F281" s="447">
        <f t="shared" si="131"/>
        <v>1.5465302139655435</v>
      </c>
      <c r="G281" s="447">
        <f t="shared" si="131"/>
        <v>1.4836261224729999</v>
      </c>
      <c r="H281" s="447">
        <f t="shared" si="131"/>
        <v>1.42726618656724</v>
      </c>
      <c r="I281" s="447">
        <f t="shared" si="131"/>
        <v>1.3776074476274363</v>
      </c>
      <c r="J281" s="447">
        <f t="shared" si="131"/>
        <v>1.3379930340109329</v>
      </c>
      <c r="K281" s="447">
        <f t="shared" si="131"/>
        <v>1.3080122203017017</v>
      </c>
      <c r="L281" s="447">
        <f t="shared" si="131"/>
        <v>1.2836424108152924</v>
      </c>
      <c r="M281" s="447">
        <f t="shared" si="131"/>
        <v>1.2628537946037077</v>
      </c>
      <c r="N281" s="447">
        <f t="shared" si="131"/>
        <v>1.2424830807980529</v>
      </c>
      <c r="O281" s="320"/>
      <c r="P281" s="320"/>
    </row>
    <row r="282" spans="1:16">
      <c r="B282" s="319" t="s">
        <v>405</v>
      </c>
      <c r="C282" s="447">
        <f>C121+C137</f>
        <v>157.93620230488926</v>
      </c>
      <c r="D282" s="447">
        <f t="shared" ref="D282:N282" si="132">D121+D137</f>
        <v>156.79720398123777</v>
      </c>
      <c r="E282" s="447">
        <f t="shared" si="132"/>
        <v>162.07843862789986</v>
      </c>
      <c r="F282" s="447">
        <f t="shared" si="132"/>
        <v>166.47494501548786</v>
      </c>
      <c r="G282" s="447">
        <f t="shared" si="132"/>
        <v>167.98750927613821</v>
      </c>
      <c r="H282" s="447">
        <f t="shared" si="132"/>
        <v>168.84469074452679</v>
      </c>
      <c r="I282" s="447">
        <f t="shared" si="132"/>
        <v>169.16969478319371</v>
      </c>
      <c r="J282" s="447">
        <f t="shared" si="132"/>
        <v>169.88053905049978</v>
      </c>
      <c r="K282" s="447">
        <f t="shared" si="132"/>
        <v>171.05858560668023</v>
      </c>
      <c r="L282" s="447">
        <f t="shared" si="132"/>
        <v>171.99430175919383</v>
      </c>
      <c r="M282" s="447">
        <f t="shared" si="132"/>
        <v>172.45953699377031</v>
      </c>
      <c r="N282" s="447">
        <f t="shared" si="132"/>
        <v>171.96541466206304</v>
      </c>
      <c r="O282" s="320"/>
      <c r="P282" s="320"/>
    </row>
    <row r="283" spans="1:16" ht="15.75">
      <c r="A283" s="302">
        <f>SUM(C283:N283)</f>
        <v>0</v>
      </c>
      <c r="B283" s="333"/>
      <c r="C283" s="302">
        <f>C279-C280-C281-C282</f>
        <v>0</v>
      </c>
      <c r="D283" s="302">
        <f t="shared" ref="D283:N283" si="133">D279-D280-D281-D282</f>
        <v>0</v>
      </c>
      <c r="E283" s="302">
        <f t="shared" si="133"/>
        <v>0</v>
      </c>
      <c r="F283" s="302">
        <f t="shared" si="133"/>
        <v>0</v>
      </c>
      <c r="G283" s="302">
        <f t="shared" si="133"/>
        <v>0</v>
      </c>
      <c r="H283" s="302">
        <f t="shared" si="133"/>
        <v>0</v>
      </c>
      <c r="I283" s="302">
        <f t="shared" si="133"/>
        <v>0</v>
      </c>
      <c r="J283" s="302">
        <f t="shared" si="133"/>
        <v>0</v>
      </c>
      <c r="K283" s="302">
        <f t="shared" si="133"/>
        <v>0</v>
      </c>
      <c r="L283" s="302">
        <f t="shared" si="133"/>
        <v>0</v>
      </c>
      <c r="M283" s="302">
        <f t="shared" si="133"/>
        <v>0</v>
      </c>
      <c r="N283" s="302">
        <f t="shared" si="133"/>
        <v>0</v>
      </c>
    </row>
    <row r="284" spans="1:16" ht="15.75">
      <c r="B284" s="333"/>
      <c r="H284" s="320"/>
    </row>
    <row r="285" spans="1:16" ht="15.75">
      <c r="B285" s="333" t="s">
        <v>266</v>
      </c>
      <c r="F285" s="357"/>
      <c r="G285" s="357" t="s">
        <v>267</v>
      </c>
      <c r="H285" s="320"/>
    </row>
    <row r="286" spans="1:16" ht="15.75">
      <c r="B286" s="333"/>
      <c r="H286" s="320"/>
    </row>
    <row r="287" spans="1:16" ht="15.75">
      <c r="B287" s="333" t="s">
        <v>212</v>
      </c>
      <c r="H287" s="320"/>
    </row>
    <row r="288" spans="1:16" ht="15.75">
      <c r="B288" s="333"/>
      <c r="H288" s="320"/>
    </row>
    <row r="289" spans="2:16" ht="15.75">
      <c r="B289" s="333"/>
      <c r="C289" s="319" t="str">
        <f>C278</f>
        <v>2017/18</v>
      </c>
      <c r="D289" s="319" t="str">
        <f t="shared" ref="D289:N289" si="134">D278</f>
        <v>2018/19</v>
      </c>
      <c r="E289" s="319" t="str">
        <f t="shared" si="134"/>
        <v>2019/20</v>
      </c>
      <c r="F289" s="319" t="str">
        <f t="shared" si="134"/>
        <v>2020/21</v>
      </c>
      <c r="G289" s="319" t="str">
        <f t="shared" si="134"/>
        <v>2021/22</v>
      </c>
      <c r="H289" s="319" t="str">
        <f t="shared" si="134"/>
        <v>2022/23</v>
      </c>
      <c r="I289" s="319" t="str">
        <f t="shared" si="134"/>
        <v>2023/24</v>
      </c>
      <c r="J289" s="319" t="str">
        <f t="shared" si="134"/>
        <v>2024/25</v>
      </c>
      <c r="K289" s="319" t="str">
        <f t="shared" si="134"/>
        <v>2025/26</v>
      </c>
      <c r="L289" s="319" t="str">
        <f t="shared" si="134"/>
        <v>2026/27</v>
      </c>
      <c r="M289" s="319" t="str">
        <f t="shared" si="134"/>
        <v>2027/28</v>
      </c>
      <c r="N289" s="319" t="str">
        <f t="shared" si="134"/>
        <v>2028/29</v>
      </c>
    </row>
    <row r="290" spans="2:16" ht="15.75">
      <c r="B290" s="333"/>
      <c r="C290" s="447">
        <f>C53+C69-C15</f>
        <v>0</v>
      </c>
      <c r="D290" s="447">
        <f>D53+D69-D15</f>
        <v>0</v>
      </c>
      <c r="E290" s="447">
        <f>E53+E69-E15</f>
        <v>0</v>
      </c>
      <c r="F290" s="447">
        <f t="shared" ref="F290:N290" si="135">F53+F69-F15</f>
        <v>0</v>
      </c>
      <c r="G290" s="447">
        <f t="shared" si="135"/>
        <v>0</v>
      </c>
      <c r="H290" s="447">
        <f t="shared" si="135"/>
        <v>0</v>
      </c>
      <c r="I290" s="447">
        <f t="shared" si="135"/>
        <v>0</v>
      </c>
      <c r="J290" s="447">
        <f t="shared" si="135"/>
        <v>0</v>
      </c>
      <c r="K290" s="447">
        <f t="shared" si="135"/>
        <v>0</v>
      </c>
      <c r="L290" s="447">
        <f t="shared" si="135"/>
        <v>0</v>
      </c>
      <c r="M290" s="447">
        <f t="shared" si="135"/>
        <v>0</v>
      </c>
      <c r="N290" s="447">
        <f t="shared" si="135"/>
        <v>0</v>
      </c>
    </row>
    <row r="291" spans="2:16" ht="15.75">
      <c r="B291" s="333"/>
      <c r="C291" s="320"/>
      <c r="D291" s="320"/>
      <c r="E291" s="320"/>
      <c r="F291" s="320"/>
      <c r="G291" s="320"/>
      <c r="H291" s="320"/>
      <c r="I291" s="320"/>
      <c r="J291" s="320"/>
      <c r="K291" s="320"/>
      <c r="L291" s="320"/>
      <c r="M291" s="320"/>
      <c r="N291" s="320"/>
    </row>
    <row r="292" spans="2:16" ht="15.75">
      <c r="B292" s="333" t="s">
        <v>264</v>
      </c>
      <c r="H292" s="320"/>
    </row>
    <row r="293" spans="2:16" ht="15.75">
      <c r="B293" s="333"/>
      <c r="C293" s="358" t="str">
        <f t="shared" ref="C293:N293" si="136">C262</f>
        <v>2017/18</v>
      </c>
      <c r="D293" s="358" t="str">
        <f t="shared" si="136"/>
        <v>2018/19</v>
      </c>
      <c r="E293" s="358" t="str">
        <f t="shared" si="136"/>
        <v>2019/20</v>
      </c>
      <c r="F293" s="358" t="str">
        <f t="shared" si="136"/>
        <v>2020/21</v>
      </c>
      <c r="G293" s="358" t="str">
        <f t="shared" si="136"/>
        <v>2021/22</v>
      </c>
      <c r="H293" s="358" t="str">
        <f t="shared" si="136"/>
        <v>2022/23</v>
      </c>
      <c r="I293" s="358" t="str">
        <f t="shared" si="136"/>
        <v>2023/24</v>
      </c>
      <c r="J293" s="358" t="str">
        <f t="shared" si="136"/>
        <v>2024/25</v>
      </c>
      <c r="K293" s="358" t="str">
        <f t="shared" si="136"/>
        <v>2025/26</v>
      </c>
      <c r="L293" s="358" t="str">
        <f t="shared" si="136"/>
        <v>2026/27</v>
      </c>
      <c r="M293" s="358" t="str">
        <f t="shared" si="136"/>
        <v>2027/28</v>
      </c>
      <c r="N293" s="358" t="str">
        <f t="shared" si="136"/>
        <v>2028/29</v>
      </c>
    </row>
    <row r="294" spans="2:16">
      <c r="B294" s="356" t="s">
        <v>268</v>
      </c>
      <c r="C294" s="447">
        <f>C36-C15+C279-C290</f>
        <v>211.65522159252305</v>
      </c>
      <c r="D294" s="447">
        <f t="shared" ref="D294:N294" si="137">D36-D15+D279-D290</f>
        <v>247.51398484695662</v>
      </c>
      <c r="E294" s="447">
        <f t="shared" si="137"/>
        <v>255.9304537238533</v>
      </c>
      <c r="F294" s="447">
        <f t="shared" si="137"/>
        <v>244.61702561467663</v>
      </c>
      <c r="G294" s="447">
        <f t="shared" si="137"/>
        <v>237.13402080456851</v>
      </c>
      <c r="H294" s="447">
        <f t="shared" si="137"/>
        <v>230.19786470703878</v>
      </c>
      <c r="I294" s="447">
        <f t="shared" si="137"/>
        <v>232.60959451307721</v>
      </c>
      <c r="J294" s="447">
        <f t="shared" si="137"/>
        <v>236.63399321553331</v>
      </c>
      <c r="K294" s="447">
        <f t="shared" si="137"/>
        <v>233.84406257594242</v>
      </c>
      <c r="L294" s="447">
        <f t="shared" si="137"/>
        <v>228.44436116322385</v>
      </c>
      <c r="M294" s="447">
        <f t="shared" si="137"/>
        <v>217.31856544349847</v>
      </c>
      <c r="N294" s="447">
        <f t="shared" si="137"/>
        <v>205.61031024153573</v>
      </c>
    </row>
    <row r="295" spans="2:16" ht="12.75" customHeight="1">
      <c r="B295" s="1327" t="s">
        <v>265</v>
      </c>
      <c r="C295" s="1327"/>
      <c r="D295" s="1327"/>
      <c r="E295" s="1327"/>
      <c r="F295" s="1327"/>
      <c r="G295" s="1327"/>
      <c r="H295" s="1327"/>
      <c r="I295" s="1327"/>
      <c r="J295" s="1327"/>
      <c r="K295" s="1327"/>
      <c r="L295" s="1327"/>
      <c r="M295" s="1327"/>
      <c r="N295" s="1327"/>
    </row>
    <row r="296" spans="2:16">
      <c r="B296" s="319" t="s">
        <v>397</v>
      </c>
      <c r="C296" s="276">
        <f>IF(C294&lt;0,0,C294)</f>
        <v>211.65522159252305</v>
      </c>
      <c r="D296" s="276">
        <f t="shared" ref="D296:N296" si="138">IF(D294&lt;0,0,D294)</f>
        <v>247.51398484695662</v>
      </c>
      <c r="E296" s="276">
        <f t="shared" si="138"/>
        <v>255.9304537238533</v>
      </c>
      <c r="F296" s="276">
        <f t="shared" si="138"/>
        <v>244.61702561467663</v>
      </c>
      <c r="G296" s="276">
        <f t="shared" si="138"/>
        <v>237.13402080456851</v>
      </c>
      <c r="H296" s="276">
        <f t="shared" si="138"/>
        <v>230.19786470703878</v>
      </c>
      <c r="I296" s="276">
        <f t="shared" si="138"/>
        <v>232.60959451307721</v>
      </c>
      <c r="J296" s="276">
        <f t="shared" si="138"/>
        <v>236.63399321553331</v>
      </c>
      <c r="K296" s="276">
        <f t="shared" si="138"/>
        <v>233.84406257594242</v>
      </c>
      <c r="L296" s="276">
        <f t="shared" si="138"/>
        <v>228.44436116322385</v>
      </c>
      <c r="M296" s="276">
        <f t="shared" si="138"/>
        <v>217.31856544349847</v>
      </c>
      <c r="N296" s="276">
        <f t="shared" si="138"/>
        <v>205.61031024153573</v>
      </c>
    </row>
    <row r="297" spans="2:16" ht="15.75">
      <c r="B297" s="333"/>
      <c r="H297" s="320"/>
    </row>
    <row r="298" spans="2:16" ht="15.75">
      <c r="B298" s="333" t="s">
        <v>175</v>
      </c>
      <c r="H298" s="320"/>
    </row>
    <row r="299" spans="2:16" ht="15.75">
      <c r="B299" s="333"/>
      <c r="H299" s="320"/>
    </row>
    <row r="300" spans="2:16">
      <c r="B300" s="334" t="s">
        <v>46</v>
      </c>
      <c r="H300" s="318"/>
    </row>
    <row r="301" spans="2:16">
      <c r="H301" s="318"/>
    </row>
    <row r="302" spans="2:16">
      <c r="B302" s="331" t="str">
        <f t="shared" ref="B302:B313" si="139">B262</f>
        <v>Age group</v>
      </c>
      <c r="C302" s="331" t="str">
        <f>C293</f>
        <v>2017/18</v>
      </c>
      <c r="D302" s="331" t="str">
        <f t="shared" ref="D302:N302" si="140">D293</f>
        <v>2018/19</v>
      </c>
      <c r="E302" s="331" t="str">
        <f t="shared" si="140"/>
        <v>2019/20</v>
      </c>
      <c r="F302" s="331" t="str">
        <f t="shared" si="140"/>
        <v>2020/21</v>
      </c>
      <c r="G302" s="331" t="str">
        <f t="shared" si="140"/>
        <v>2021/22</v>
      </c>
      <c r="H302" s="331" t="str">
        <f t="shared" si="140"/>
        <v>2022/23</v>
      </c>
      <c r="I302" s="331" t="str">
        <f t="shared" si="140"/>
        <v>2023/24</v>
      </c>
      <c r="J302" s="331" t="str">
        <f t="shared" si="140"/>
        <v>2024/25</v>
      </c>
      <c r="K302" s="331" t="str">
        <f t="shared" si="140"/>
        <v>2025/26</v>
      </c>
      <c r="L302" s="331" t="str">
        <f t="shared" si="140"/>
        <v>2026/27</v>
      </c>
      <c r="M302" s="331" t="str">
        <f t="shared" si="140"/>
        <v>2027/28</v>
      </c>
      <c r="N302" s="331" t="str">
        <f t="shared" si="140"/>
        <v>2028/29</v>
      </c>
    </row>
    <row r="303" spans="2:16">
      <c r="B303" s="331" t="str">
        <f t="shared" si="139"/>
        <v>20-24</v>
      </c>
      <c r="C303" s="447">
        <f>C$296*Entrant_age_breakdowns!$K76*$G$31</f>
        <v>5.4328404629853475</v>
      </c>
      <c r="D303" s="447">
        <f>D$296*Entrant_age_breakdowns!$K76*$G$31</f>
        <v>6.3532757751665656</v>
      </c>
      <c r="E303" s="447">
        <f>E$296*Entrant_age_breakdowns!$K76*$G$31</f>
        <v>6.5693126502590751</v>
      </c>
      <c r="F303" s="447">
        <f>F$296*Entrant_age_breakdowns!$K76*$G$31</f>
        <v>6.278915609523926</v>
      </c>
      <c r="G303" s="447">
        <f>G$296*Entrant_age_breakdowns!$K76*$G$31</f>
        <v>6.0868392174973867</v>
      </c>
      <c r="H303" s="447">
        <f>H$296*Entrant_age_breakdowns!$K76*$G$31</f>
        <v>5.9087995300249512</v>
      </c>
      <c r="I303" s="447">
        <f>I$296*Entrant_age_breakdowns!$K76*$G$31</f>
        <v>5.970704656567297</v>
      </c>
      <c r="J303" s="447">
        <f>J$296*Entrant_age_breakdowns!$K76*$G$31</f>
        <v>6.074004333964254</v>
      </c>
      <c r="K303" s="447">
        <f>K$296*Entrant_age_breakdowns!$K76*$G$31</f>
        <v>6.0023914157775602</v>
      </c>
      <c r="L303" s="447">
        <f>L$296*Entrant_age_breakdowns!$K76*$G$31</f>
        <v>5.8637899860451368</v>
      </c>
      <c r="M303" s="447">
        <f>M$296*Entrant_age_breakdowns!$K76*$G$31</f>
        <v>5.5782091592918954</v>
      </c>
      <c r="N303" s="447">
        <f>N$296*Entrant_age_breakdowns!$K76*$G$31</f>
        <v>5.2776775582589588</v>
      </c>
      <c r="O303" s="320"/>
      <c r="P303" s="320"/>
    </row>
    <row r="304" spans="2:16">
      <c r="B304" s="331" t="str">
        <f t="shared" si="139"/>
        <v>25-29</v>
      </c>
      <c r="C304" s="447">
        <f>C$296*Entrant_age_breakdowns!$K77*$G$31</f>
        <v>5.5457415177378255</v>
      </c>
      <c r="D304" s="447">
        <f>D$296*Entrant_age_breakdowns!$K77*$G$31</f>
        <v>6.4853045989534372</v>
      </c>
      <c r="E304" s="447">
        <f>E$296*Entrant_age_breakdowns!$K77*$G$31</f>
        <v>6.7058309839495678</v>
      </c>
      <c r="F304" s="447">
        <f>F$296*Entrant_age_breakdowns!$K77*$G$31</f>
        <v>6.4093991383237965</v>
      </c>
      <c r="G304" s="447">
        <f>G$296*Entrant_age_breakdowns!$K77*$G$31</f>
        <v>6.2133311644717661</v>
      </c>
      <c r="H304" s="447">
        <f>H$296*Entrant_age_breakdowns!$K77*$G$31</f>
        <v>6.0315915950240742</v>
      </c>
      <c r="I304" s="447">
        <f>I$296*Entrant_age_breakdowns!$K77*$G$31</f>
        <v>6.0947831856414902</v>
      </c>
      <c r="J304" s="447">
        <f>J$296*Entrant_age_breakdowns!$K77*$G$31</f>
        <v>6.2002295563958478</v>
      </c>
      <c r="K304" s="447">
        <f>K$296*Entrant_age_breakdowns!$K77*$G$31</f>
        <v>6.1271284343768739</v>
      </c>
      <c r="L304" s="447">
        <f>L$296*Entrant_age_breakdowns!$K77*$G$31</f>
        <v>5.9856466977932543</v>
      </c>
      <c r="M304" s="447">
        <f>M$296*Entrant_age_breakdowns!$K77*$G$31</f>
        <v>5.6941311529533696</v>
      </c>
      <c r="N304" s="447">
        <f>N$296*Entrant_age_breakdowns!$K77*$G$31</f>
        <v>5.3873541384991777</v>
      </c>
      <c r="O304" s="320"/>
      <c r="P304" s="320"/>
    </row>
    <row r="305" spans="1:16">
      <c r="B305" s="331" t="str">
        <f t="shared" si="139"/>
        <v>30-34</v>
      </c>
      <c r="C305" s="447">
        <f>C$296*Entrant_age_breakdowns!$K78*$G$31</f>
        <v>2.7543070367349585</v>
      </c>
      <c r="D305" s="447">
        <f>D$296*Entrant_age_breakdowns!$K78*$G$31</f>
        <v>3.2209434996446378</v>
      </c>
      <c r="E305" s="447">
        <f>E$296*Entrant_age_breakdowns!$K78*$G$31</f>
        <v>3.3304685058206074</v>
      </c>
      <c r="F305" s="447">
        <f>F$296*Entrant_age_breakdowns!$K78*$G$31</f>
        <v>3.1832448539955149</v>
      </c>
      <c r="G305" s="447">
        <f>G$296*Entrant_age_breakdowns!$K78*$G$31</f>
        <v>3.0858671817163894</v>
      </c>
      <c r="H305" s="447">
        <f>H$296*Entrant_age_breakdowns!$K78*$G$31</f>
        <v>2.9956057489788703</v>
      </c>
      <c r="I305" s="447">
        <f>I$296*Entrant_age_breakdowns!$K78*$G$31</f>
        <v>3.0269900178171016</v>
      </c>
      <c r="J305" s="447">
        <f>J$296*Entrant_age_breakdowns!$K78*$G$31</f>
        <v>3.0793602337815416</v>
      </c>
      <c r="K305" s="447">
        <f>K$296*Entrant_age_breakdowns!$K78*$G$31</f>
        <v>3.0430543702417254</v>
      </c>
      <c r="L305" s="447">
        <f>L$296*Entrant_age_breakdowns!$K78*$G$31</f>
        <v>2.9727870955417859</v>
      </c>
      <c r="M305" s="447">
        <f>M$296*Entrant_age_breakdowns!$K78*$G$31</f>
        <v>2.8280051373668509</v>
      </c>
      <c r="N305" s="447">
        <f>N$296*Entrant_age_breakdowns!$K78*$G$31</f>
        <v>2.6756435303721577</v>
      </c>
      <c r="O305" s="320"/>
      <c r="P305" s="320"/>
    </row>
    <row r="306" spans="1:16">
      <c r="B306" s="331" t="str">
        <f t="shared" si="139"/>
        <v>35-39</v>
      </c>
      <c r="C306" s="447">
        <f>C$296*Entrant_age_breakdowns!$K79*$G$31</f>
        <v>2.0528755594895358</v>
      </c>
      <c r="D306" s="447">
        <f>D$296*Entrant_age_breakdowns!$K79*$G$31</f>
        <v>2.4006750521014801</v>
      </c>
      <c r="E306" s="447">
        <f>E$296*Entrant_age_breakdowns!$K79*$G$31</f>
        <v>2.4823076389310597</v>
      </c>
      <c r="F306" s="447">
        <f>F$296*Entrant_age_breakdowns!$K79*$G$31</f>
        <v>2.3725770124687302</v>
      </c>
      <c r="G306" s="447">
        <f>G$296*Entrant_age_breakdowns!$K79*$G$31</f>
        <v>2.299998232835371</v>
      </c>
      <c r="H306" s="447">
        <f>H$296*Entrant_age_breakdowns!$K79*$G$31</f>
        <v>2.2327234204197524</v>
      </c>
      <c r="I306" s="447">
        <f>I$296*Entrant_age_breakdowns!$K79*$G$31</f>
        <v>2.2561151474825523</v>
      </c>
      <c r="J306" s="447">
        <f>J$296*Entrant_age_breakdowns!$K79*$G$31</f>
        <v>2.2951483906775572</v>
      </c>
      <c r="K306" s="447">
        <f>K$296*Entrant_age_breakdowns!$K79*$G$31</f>
        <v>2.2680884373270396</v>
      </c>
      <c r="L306" s="447">
        <f>L$296*Entrant_age_breakdowns!$K79*$G$31</f>
        <v>2.2157159280390255</v>
      </c>
      <c r="M306" s="447">
        <f>M$296*Entrant_age_breakdowns!$K79*$G$31</f>
        <v>2.1078051761045957</v>
      </c>
      <c r="N306" s="447">
        <f>N$296*Entrant_age_breakdowns!$K79*$G$31</f>
        <v>1.9942450627866797</v>
      </c>
      <c r="O306" s="320"/>
      <c r="P306" s="320"/>
    </row>
    <row r="307" spans="1:16">
      <c r="B307" s="331" t="str">
        <f t="shared" si="139"/>
        <v>40-44</v>
      </c>
      <c r="C307" s="447">
        <f>C$296*Entrant_age_breakdowns!$K80*$G$31</f>
        <v>1.763925792145266</v>
      </c>
      <c r="D307" s="447">
        <f>D$296*Entrant_age_breakdowns!$K80*$G$31</f>
        <v>2.0627712300371739</v>
      </c>
      <c r="E307" s="447">
        <f>E$296*Entrant_age_breakdowns!$K80*$G$31</f>
        <v>2.1329137307467825</v>
      </c>
      <c r="F307" s="447">
        <f>F$296*Entrant_age_breakdowns!$K80*$G$31</f>
        <v>2.0386280925791724</v>
      </c>
      <c r="G307" s="447">
        <f>G$296*Entrant_age_breakdowns!$K80*$G$31</f>
        <v>1.9762650424829724</v>
      </c>
      <c r="H307" s="447">
        <f>H$296*Entrant_age_breakdowns!$K80*$G$31</f>
        <v>1.9184594067574676</v>
      </c>
      <c r="I307" s="447">
        <f>I$296*Entrant_age_breakdowns!$K80*$G$31</f>
        <v>1.9385586624079929</v>
      </c>
      <c r="J307" s="447">
        <f>J$296*Entrant_age_breakdowns!$K80*$G$31</f>
        <v>1.9720978334037587</v>
      </c>
      <c r="K307" s="447">
        <f>K$296*Entrant_age_breakdowns!$K80*$G$31</f>
        <v>1.9488466677748517</v>
      </c>
      <c r="L307" s="447">
        <f>L$296*Entrant_age_breakdowns!$K80*$G$31</f>
        <v>1.9038457813326817</v>
      </c>
      <c r="M307" s="447">
        <f>M$296*Entrant_age_breakdowns!$K80*$G$31</f>
        <v>1.8111238636757432</v>
      </c>
      <c r="N307" s="447">
        <f>N$296*Entrant_age_breakdowns!$K80*$G$31</f>
        <v>1.7135477529785021</v>
      </c>
      <c r="O307" s="320"/>
      <c r="P307" s="320"/>
    </row>
    <row r="308" spans="1:16">
      <c r="B308" s="331" t="str">
        <f t="shared" si="139"/>
        <v>45-49</v>
      </c>
      <c r="C308" s="447">
        <f>C$296*Entrant_age_breakdowns!$K81*$G$31</f>
        <v>1.4218245271278787</v>
      </c>
      <c r="D308" s="447">
        <f>D$296*Entrant_age_breakdowns!$K81*$G$31</f>
        <v>1.6627109495086185</v>
      </c>
      <c r="E308" s="447">
        <f>E$296*Entrant_age_breakdowns!$K81*$G$31</f>
        <v>1.7192497950468515</v>
      </c>
      <c r="F308" s="447">
        <f>F$296*Entrant_age_breakdowns!$K81*$G$31</f>
        <v>1.6432502073660267</v>
      </c>
      <c r="G308" s="447">
        <f>G$296*Entrant_age_breakdowns!$K81*$G$31</f>
        <v>1.5929820415462825</v>
      </c>
      <c r="H308" s="447">
        <f>H$296*Entrant_age_breakdowns!$K81*$G$31</f>
        <v>1.5463874109519966</v>
      </c>
      <c r="I308" s="447">
        <f>I$296*Entrant_age_breakdowns!$K81*$G$31</f>
        <v>1.5625885543267271</v>
      </c>
      <c r="J308" s="447">
        <f>J$296*Entrant_age_breakdowns!$K81*$G$31</f>
        <v>1.5896230339820867</v>
      </c>
      <c r="K308" s="447">
        <f>K$296*Entrant_age_breakdowns!$K81*$G$31</f>
        <v>1.5708812718724197</v>
      </c>
      <c r="L308" s="447">
        <f>L$296*Entrant_age_breakdowns!$K81*$G$31</f>
        <v>1.5346079975822589</v>
      </c>
      <c r="M308" s="447">
        <f>M$296*Entrant_age_breakdowns!$K81*$G$31</f>
        <v>1.4598688575832734</v>
      </c>
      <c r="N308" s="447">
        <f>N$296*Entrant_age_breakdowns!$K81*$G$31</f>
        <v>1.381216961869252</v>
      </c>
      <c r="O308" s="320"/>
      <c r="P308" s="320"/>
    </row>
    <row r="309" spans="1:16">
      <c r="B309" s="331" t="str">
        <f t="shared" si="139"/>
        <v>50-54</v>
      </c>
      <c r="C309" s="447">
        <f>C$296*Entrant_age_breakdowns!$K82*$G$31</f>
        <v>1.0535776373357337</v>
      </c>
      <c r="D309" s="447">
        <f>D$296*Entrant_age_breakdowns!$K82*$G$31</f>
        <v>1.2320754357038803</v>
      </c>
      <c r="E309" s="447">
        <f>E$296*Entrant_age_breakdowns!$K82*$G$31</f>
        <v>1.2739709454263004</v>
      </c>
      <c r="F309" s="447">
        <f>F$296*Entrant_age_breakdowns!$K82*$G$31</f>
        <v>1.2176549482694643</v>
      </c>
      <c r="G309" s="447">
        <f>G$296*Entrant_age_breakdowns!$K82*$G$31</f>
        <v>1.180406037192828</v>
      </c>
      <c r="H309" s="447">
        <f>H$296*Entrant_age_breakdowns!$K82*$G$31</f>
        <v>1.1458792303489311</v>
      </c>
      <c r="I309" s="447">
        <f>I$296*Entrant_age_breakdowns!$K82*$G$31</f>
        <v>1.1578843421142813</v>
      </c>
      <c r="J309" s="447">
        <f>J$296*Entrant_age_breakdowns!$K82*$G$31</f>
        <v>1.1779169992097605</v>
      </c>
      <c r="K309" s="447">
        <f>K$296*Entrant_age_breakdowns!$K82*$G$31</f>
        <v>1.1640292788432407</v>
      </c>
      <c r="L309" s="447">
        <f>L$296*Entrant_age_breakdowns!$K82*$G$31</f>
        <v>1.1371506381278091</v>
      </c>
      <c r="M309" s="447">
        <f>M$296*Entrant_age_breakdowns!$K82*$G$31</f>
        <v>1.0817686377232305</v>
      </c>
      <c r="N309" s="447">
        <f>N$296*Entrant_age_breakdowns!$K82*$G$31</f>
        <v>1.0234872697503863</v>
      </c>
      <c r="O309" s="320"/>
      <c r="P309" s="320"/>
    </row>
    <row r="310" spans="1:16">
      <c r="B310" s="331" t="str">
        <f t="shared" si="139"/>
        <v>55-59</v>
      </c>
      <c r="C310" s="447">
        <f>C$296*Entrant_age_breakdowns!$K83*$G$31</f>
        <v>0.68280852146673032</v>
      </c>
      <c r="D310" s="447">
        <f>D$296*Entrant_age_breakdowns!$K83*$G$31</f>
        <v>0.79849037866429573</v>
      </c>
      <c r="E310" s="447">
        <f>E$296*Entrant_age_breakdowns!$K83*$G$31</f>
        <v>0.82564225626298937</v>
      </c>
      <c r="F310" s="447">
        <f>F$296*Entrant_age_breakdowns!$K83*$G$31</f>
        <v>0.78914466805409089</v>
      </c>
      <c r="G310" s="447">
        <f>G$296*Entrant_age_breakdowns!$K83*$G$31</f>
        <v>0.76500418424238015</v>
      </c>
      <c r="H310" s="447">
        <f>H$296*Entrant_age_breakdowns!$K83*$G$31</f>
        <v>0.74262785705336998</v>
      </c>
      <c r="I310" s="447">
        <f>I$296*Entrant_age_breakdowns!$K83*$G$31</f>
        <v>0.75040819741373521</v>
      </c>
      <c r="J310" s="447">
        <f>J$296*Entrant_age_breakdowns!$K83*$G$31</f>
        <v>0.76339107450573962</v>
      </c>
      <c r="K310" s="447">
        <f>K$296*Entrant_age_breakdowns!$K83*$G$31</f>
        <v>0.75439064257365496</v>
      </c>
      <c r="L310" s="447">
        <f>L$296*Entrant_age_breakdowns!$K83*$G$31</f>
        <v>0.73697098190930199</v>
      </c>
      <c r="M310" s="447">
        <f>M$296*Entrant_age_breakdowns!$K83*$G$31</f>
        <v>0.70107870356923896</v>
      </c>
      <c r="N310" s="447">
        <f>N$296*Entrant_age_breakdowns!$K83*$G$31</f>
        <v>0.66330738678690004</v>
      </c>
      <c r="O310" s="320"/>
      <c r="P310" s="320"/>
    </row>
    <row r="311" spans="1:16">
      <c r="B311" s="331" t="str">
        <f t="shared" si="139"/>
        <v>60-64</v>
      </c>
      <c r="C311" s="447">
        <f>C$296*Entrant_age_breakdowns!$K84*$G$31</f>
        <v>0.34821222972922578</v>
      </c>
      <c r="D311" s="447">
        <f>D$296*Entrant_age_breakdowns!$K84*$G$31</f>
        <v>0.40720656879730494</v>
      </c>
      <c r="E311" s="447">
        <f>E$296*Entrant_age_breakdowns!$K84*$G$31</f>
        <v>0.42105322645129389</v>
      </c>
      <c r="F311" s="447">
        <f>F$296*Entrant_age_breakdowns!$K84*$G$31</f>
        <v>0.40244053172003907</v>
      </c>
      <c r="G311" s="447">
        <f>G$296*Entrant_age_breakdowns!$K84*$G$31</f>
        <v>0.39012959617875259</v>
      </c>
      <c r="H311" s="447">
        <f>H$296*Entrant_age_breakdowns!$K84*$G$31</f>
        <v>0.378718328541233</v>
      </c>
      <c r="I311" s="447">
        <f>I$296*Entrant_age_breakdowns!$K84*$G$31</f>
        <v>0.38268607290844658</v>
      </c>
      <c r="J311" s="447">
        <f>J$296*Entrant_age_breakdowns!$K84*$G$31</f>
        <v>0.38930695773688467</v>
      </c>
      <c r="K311" s="447">
        <f>K$296*Entrant_age_breakdowns!$K84*$G$31</f>
        <v>0.38471700261320657</v>
      </c>
      <c r="L311" s="447">
        <f>L$296*Entrant_age_breakdowns!$K84*$G$31</f>
        <v>0.37583348887493173</v>
      </c>
      <c r="M311" s="447">
        <f>M$296*Entrant_age_breakdowns!$K84*$G$31</f>
        <v>0.3575294843437517</v>
      </c>
      <c r="N311" s="447">
        <f>N$296*Entrant_age_breakdowns!$K84*$G$31</f>
        <v>0.33826722556535421</v>
      </c>
      <c r="O311" s="320"/>
      <c r="P311" s="320"/>
    </row>
    <row r="312" spans="1:16">
      <c r="B312" s="331" t="str">
        <f t="shared" si="139"/>
        <v>65 plus</v>
      </c>
      <c r="C312" s="447">
        <f>C$296*Entrant_age_breakdowns!$K85*$G$31</f>
        <v>0.10484613768134982</v>
      </c>
      <c r="D312" s="447">
        <f>D$296*Entrant_age_breakdowns!$K85*$G$31</f>
        <v>0.12260923750458651</v>
      </c>
      <c r="E312" s="447">
        <f>E$296*Entrant_age_breakdowns!$K85*$G$31</f>
        <v>0.12677844366930266</v>
      </c>
      <c r="F312" s="447">
        <f>F$296*Entrant_age_breakdowns!$K85*$G$31</f>
        <v>0.12117419146962673</v>
      </c>
      <c r="G312" s="447">
        <f>G$296*Entrant_age_breakdowns!$K85*$G$31</f>
        <v>0.11746738874258966</v>
      </c>
      <c r="H312" s="447">
        <f>H$296*Entrant_age_breakdowns!$K85*$G$31</f>
        <v>0.1140314745624</v>
      </c>
      <c r="I312" s="447">
        <f>I$296*Entrant_age_breakdowns!$K85*$G$31</f>
        <v>0.11522615595694138</v>
      </c>
      <c r="J312" s="447">
        <f>J$296*Entrant_age_breakdowns!$K85*$G$31</f>
        <v>0.11721969364180265</v>
      </c>
      <c r="K312" s="447">
        <f>K$296*Entrant_age_breakdowns!$K85*$G$31</f>
        <v>0.11583766559751887</v>
      </c>
      <c r="L312" s="447">
        <f>L$296*Entrant_age_breakdowns!$K85*$G$31</f>
        <v>0.11316285401717432</v>
      </c>
      <c r="M312" s="447">
        <f>M$296*Entrant_age_breakdowns!$K85*$G$31</f>
        <v>0.10765154793614304</v>
      </c>
      <c r="N312" s="447">
        <f>N$296*Entrant_age_breakdowns!$K85*$G$31</f>
        <v>0.10185171305525988</v>
      </c>
      <c r="O312" s="320"/>
      <c r="P312" s="320"/>
    </row>
    <row r="313" spans="1:16">
      <c r="B313" s="331" t="str">
        <f t="shared" si="139"/>
        <v>Total</v>
      </c>
      <c r="C313" s="447">
        <f>C$296*Entrant_age_breakdowns!$K86*$G$31</f>
        <v>21.160959422433855</v>
      </c>
      <c r="D313" s="447">
        <f>D$296*Entrant_age_breakdowns!$K86*$G$31</f>
        <v>24.746062726081981</v>
      </c>
      <c r="E313" s="447">
        <f>E$296*Entrant_age_breakdowns!$K86*$G$31</f>
        <v>25.587528176563833</v>
      </c>
      <c r="F313" s="447">
        <f>F$296*Entrant_age_breakdowns!$K86*$G$31</f>
        <v>24.456429253770388</v>
      </c>
      <c r="G313" s="447">
        <f>G$296*Entrant_age_breakdowns!$K86*$G$31</f>
        <v>23.708290086906722</v>
      </c>
      <c r="H313" s="447">
        <f>H$296*Entrant_age_breakdowns!$K86*$G$31</f>
        <v>23.014824002663048</v>
      </c>
      <c r="I313" s="447">
        <f>I$296*Entrant_age_breakdowns!$K86*$G$31</f>
        <v>23.255944992636568</v>
      </c>
      <c r="J313" s="447">
        <f>J$296*Entrant_age_breakdowns!$K86*$G$31</f>
        <v>23.658298107299235</v>
      </c>
      <c r="K313" s="447">
        <f>K$296*Entrant_age_breakdowns!$K86*$G$31</f>
        <v>23.379365186998093</v>
      </c>
      <c r="L313" s="447">
        <f>L$296*Entrant_age_breakdowns!$K86*$G$31</f>
        <v>22.839511449263362</v>
      </c>
      <c r="M313" s="447">
        <f>M$296*Entrant_age_breakdowns!$K86*$G$31</f>
        <v>21.727171720548093</v>
      </c>
      <c r="N313" s="447">
        <f>N$296*Entrant_age_breakdowns!$K86*$G$31</f>
        <v>20.55659859992263</v>
      </c>
      <c r="O313" s="320"/>
      <c r="P313" s="320"/>
    </row>
    <row r="314" spans="1:16">
      <c r="A314" s="302">
        <f>SUM(C314:N314)</f>
        <v>0</v>
      </c>
      <c r="C314" s="302">
        <f>SUM(C303:C312)-C313</f>
        <v>0</v>
      </c>
      <c r="D314" s="302">
        <f t="shared" ref="D314:N314" si="141">SUM(D303:D312)-D313</f>
        <v>0</v>
      </c>
      <c r="E314" s="302">
        <f t="shared" si="141"/>
        <v>0</v>
      </c>
      <c r="F314" s="302">
        <f t="shared" si="141"/>
        <v>0</v>
      </c>
      <c r="G314" s="302">
        <f t="shared" si="141"/>
        <v>0</v>
      </c>
      <c r="H314" s="302">
        <f t="shared" si="141"/>
        <v>0</v>
      </c>
      <c r="I314" s="302">
        <f t="shared" si="141"/>
        <v>0</v>
      </c>
      <c r="J314" s="302">
        <f t="shared" si="141"/>
        <v>0</v>
      </c>
      <c r="K314" s="302">
        <f t="shared" si="141"/>
        <v>0</v>
      </c>
      <c r="L314" s="302">
        <f t="shared" si="141"/>
        <v>0</v>
      </c>
      <c r="M314" s="302">
        <f t="shared" si="141"/>
        <v>0</v>
      </c>
      <c r="N314" s="302">
        <f t="shared" si="141"/>
        <v>0</v>
      </c>
    </row>
    <row r="316" spans="1:16">
      <c r="B316" s="334" t="s">
        <v>47</v>
      </c>
      <c r="H316" s="318"/>
    </row>
    <row r="317" spans="1:16">
      <c r="H317" s="318"/>
    </row>
    <row r="318" spans="1:16">
      <c r="B318" s="331" t="str">
        <f t="shared" ref="B318:B329" si="142">B302</f>
        <v>Age group</v>
      </c>
      <c r="C318" s="331" t="str">
        <f>C293</f>
        <v>2017/18</v>
      </c>
      <c r="D318" s="331" t="str">
        <f t="shared" ref="D318:N318" si="143">D302</f>
        <v>2018/19</v>
      </c>
      <c r="E318" s="331" t="str">
        <f t="shared" si="143"/>
        <v>2019/20</v>
      </c>
      <c r="F318" s="331" t="str">
        <f t="shared" si="143"/>
        <v>2020/21</v>
      </c>
      <c r="G318" s="331" t="str">
        <f t="shared" si="143"/>
        <v>2021/22</v>
      </c>
      <c r="H318" s="331" t="str">
        <f t="shared" si="143"/>
        <v>2022/23</v>
      </c>
      <c r="I318" s="331" t="str">
        <f t="shared" si="143"/>
        <v>2023/24</v>
      </c>
      <c r="J318" s="331" t="str">
        <f t="shared" si="143"/>
        <v>2024/25</v>
      </c>
      <c r="K318" s="331" t="str">
        <f t="shared" si="143"/>
        <v>2025/26</v>
      </c>
      <c r="L318" s="331" t="str">
        <f t="shared" si="143"/>
        <v>2026/27</v>
      </c>
      <c r="M318" s="331" t="str">
        <f t="shared" si="143"/>
        <v>2027/28</v>
      </c>
      <c r="N318" s="331" t="str">
        <f t="shared" si="143"/>
        <v>2028/29</v>
      </c>
    </row>
    <row r="319" spans="1:16">
      <c r="B319" s="331" t="str">
        <f t="shared" si="142"/>
        <v>20-24</v>
      </c>
      <c r="C319" s="447">
        <f>C$296*Entrant_age_breakdowns!$K76*$H$31</f>
        <v>48.907278485068161</v>
      </c>
      <c r="D319" s="447">
        <f>D$296*Entrant_age_breakdowns!$K76*$H$31</f>
        <v>57.1931809419942</v>
      </c>
      <c r="E319" s="447">
        <f>E$296*Entrant_age_breakdowns!$K76*$H$31</f>
        <v>59.13797863763412</v>
      </c>
      <c r="F319" s="447">
        <f>F$296*Entrant_age_breakdowns!$K76*$H$31</f>
        <v>56.523779115443602</v>
      </c>
      <c r="G319" s="447">
        <f>G$296*Entrant_age_breakdowns!$K76*$H$31</f>
        <v>54.794677431112689</v>
      </c>
      <c r="H319" s="447">
        <f>H$296*Entrant_age_breakdowns!$K76*$H$31</f>
        <v>53.191936353782367</v>
      </c>
      <c r="I319" s="447">
        <f>I$296*Entrant_age_breakdowns!$K76*$H$31</f>
        <v>53.749215972811747</v>
      </c>
      <c r="J319" s="447">
        <f>J$296*Entrant_age_breakdowns!$K76*$H$31</f>
        <v>54.679135804673436</v>
      </c>
      <c r="K319" s="447">
        <f>K$296*Entrant_age_breakdowns!$K76*$H$31</f>
        <v>54.034465128855267</v>
      </c>
      <c r="L319" s="447">
        <f>L$296*Entrant_age_breakdowns!$K76*$H$31</f>
        <v>52.786753408156699</v>
      </c>
      <c r="M319" s="447">
        <f>M$296*Entrant_age_breakdowns!$K76*$H$31</f>
        <v>50.215910196548407</v>
      </c>
      <c r="N319" s="447">
        <f>N$296*Entrant_age_breakdowns!$K76*$H$31</f>
        <v>47.51047777948741</v>
      </c>
    </row>
    <row r="320" spans="1:16">
      <c r="B320" s="331" t="str">
        <f t="shared" si="142"/>
        <v>25-29</v>
      </c>
      <c r="C320" s="447">
        <f>C$296*Entrant_age_breakdowns!$K77*$H$31</f>
        <v>49.923631415668147</v>
      </c>
      <c r="D320" s="447">
        <f>D$296*Entrant_age_breakdowns!$K77*$H$31</f>
        <v>58.381725037296469</v>
      </c>
      <c r="E320" s="447">
        <f>E$296*Entrant_age_breakdowns!$K77*$H$31</f>
        <v>60.366938002373047</v>
      </c>
      <c r="F320" s="447">
        <f>F$296*Entrant_age_breakdowns!$K77*$H$31</f>
        <v>57.698412223889967</v>
      </c>
      <c r="G320" s="447">
        <f>G$296*Entrant_age_breakdowns!$K77*$H$31</f>
        <v>55.933377696460632</v>
      </c>
      <c r="H320" s="447">
        <f>H$296*Entrant_age_breakdowns!$K77*$H$31</f>
        <v>54.297329703648693</v>
      </c>
      <c r="I320" s="447">
        <f>I$296*Entrant_age_breakdowns!$K77*$H$31</f>
        <v>54.866190273234082</v>
      </c>
      <c r="J320" s="447">
        <f>J$296*Entrant_age_breakdowns!$K77*$H$31</f>
        <v>55.815434974023489</v>
      </c>
      <c r="K320" s="447">
        <f>K$296*Entrant_age_breakdowns!$K77*$H$31</f>
        <v>55.157367254842136</v>
      </c>
      <c r="L320" s="447">
        <f>L$296*Entrant_age_breakdowns!$K77*$H$31</f>
        <v>53.883726561950546</v>
      </c>
      <c r="M320" s="447">
        <f>M$296*Entrant_age_breakdowns!$K77*$H$31</f>
        <v>51.259458091093173</v>
      </c>
      <c r="N320" s="447">
        <f>N$296*Entrant_age_breakdowns!$K77*$H$31</f>
        <v>48.497803486848746</v>
      </c>
    </row>
    <row r="321" spans="1:14">
      <c r="B321" s="331" t="str">
        <f t="shared" si="142"/>
        <v>30-34</v>
      </c>
      <c r="C321" s="447">
        <f>C$296*Entrant_age_breakdowns!$K78*$H$31</f>
        <v>24.794702181436531</v>
      </c>
      <c r="D321" s="447">
        <f>D$296*Entrant_age_breakdowns!$K78*$H$31</f>
        <v>28.995436511535047</v>
      </c>
      <c r="E321" s="447">
        <f>E$296*Entrant_age_breakdowns!$K78*$H$31</f>
        <v>29.981397725493377</v>
      </c>
      <c r="F321" s="447">
        <f>F$296*Entrant_age_breakdowns!$K78*$H$31</f>
        <v>28.656067414681722</v>
      </c>
      <c r="G321" s="447">
        <f>G$296*Entrant_age_breakdowns!$K78*$H$31</f>
        <v>27.779458397938036</v>
      </c>
      <c r="H321" s="447">
        <f>H$296*Entrant_age_breakdowns!$K78*$H$31</f>
        <v>26.966910881140652</v>
      </c>
      <c r="I321" s="447">
        <f>I$296*Entrant_age_breakdowns!$K78*$H$31</f>
        <v>27.249436971604606</v>
      </c>
      <c r="J321" s="447">
        <f>J$296*Entrant_age_breakdowns!$K78*$H$31</f>
        <v>27.720881836210218</v>
      </c>
      <c r="K321" s="447">
        <f>K$296*Entrant_age_breakdowns!$K78*$H$31</f>
        <v>27.394050781464511</v>
      </c>
      <c r="L321" s="447">
        <f>L$296*Entrant_age_breakdowns!$K78*$H$31</f>
        <v>26.761493798510454</v>
      </c>
      <c r="M321" s="447">
        <f>M$296*Entrant_age_breakdowns!$K78*$H$31</f>
        <v>25.458143995342464</v>
      </c>
      <c r="N321" s="447">
        <f>N$296*Entrant_age_breakdowns!$K78*$H$31</f>
        <v>24.086561009519368</v>
      </c>
    </row>
    <row r="322" spans="1:14">
      <c r="B322" s="331" t="str">
        <f t="shared" si="142"/>
        <v>35-39</v>
      </c>
      <c r="C322" s="447">
        <f>C$296*Entrant_age_breakdowns!$K79*$H$31</f>
        <v>18.48030645611388</v>
      </c>
      <c r="D322" s="447">
        <f>D$296*Entrant_age_breakdowns!$K79*$H$31</f>
        <v>21.611251816653844</v>
      </c>
      <c r="E322" s="447">
        <f>E$296*Entrant_age_breakdowns!$K79*$H$31</f>
        <v>22.346121114718397</v>
      </c>
      <c r="F322" s="447">
        <f>F$296*Entrant_age_breakdowns!$K79*$H$31</f>
        <v>21.358308874823326</v>
      </c>
      <c r="G322" s="447">
        <f>G$296*Entrant_age_breakdowns!$K79*$H$31</f>
        <v>20.704943363389816</v>
      </c>
      <c r="H322" s="447">
        <f>H$296*Entrant_age_breakdowns!$K79*$H$31</f>
        <v>20.099324993357026</v>
      </c>
      <c r="I322" s="447">
        <f>I$296*Entrant_age_breakdowns!$K79*$H$31</f>
        <v>20.309900974282925</v>
      </c>
      <c r="J322" s="447">
        <f>J$296*Entrant_age_breakdowns!$K79*$H$31</f>
        <v>20.661284326715197</v>
      </c>
      <c r="K322" s="447">
        <f>K$296*Entrant_age_breakdowns!$K79*$H$31</f>
        <v>20.417686399751684</v>
      </c>
      <c r="L322" s="447">
        <f>L$296*Entrant_age_breakdowns!$K79*$H$31</f>
        <v>19.946220890289027</v>
      </c>
      <c r="M322" s="447">
        <f>M$296*Entrant_age_breakdowns!$K79*$H$31</f>
        <v>18.974791445167753</v>
      </c>
      <c r="N322" s="447">
        <f>N$296*Entrant_age_breakdowns!$K79*$H$31</f>
        <v>17.952505566413393</v>
      </c>
    </row>
    <row r="323" spans="1:14">
      <c r="B323" s="331" t="str">
        <f t="shared" si="142"/>
        <v>40-44</v>
      </c>
      <c r="C323" s="447">
        <f>C$296*Entrant_age_breakdowns!$K80*$H$31</f>
        <v>15.879135515059508</v>
      </c>
      <c r="D323" s="447">
        <f>D$296*Entrant_age_breakdowns!$K80*$H$31</f>
        <v>18.569388828137715</v>
      </c>
      <c r="E323" s="447">
        <f>E$296*Entrant_age_breakdowns!$K80*$H$31</f>
        <v>19.200822576140485</v>
      </c>
      <c r="F323" s="447">
        <f>F$296*Entrant_age_breakdowns!$K80*$H$31</f>
        <v>18.352048533460092</v>
      </c>
      <c r="G323" s="447">
        <f>G$296*Entrant_age_breakdowns!$K80*$H$31</f>
        <v>17.79064661506893</v>
      </c>
      <c r="H323" s="447">
        <f>H$296*Entrant_age_breakdowns!$K80*$H$31</f>
        <v>17.270271252734037</v>
      </c>
      <c r="I323" s="447">
        <f>I$296*Entrant_age_breakdowns!$K80*$H$31</f>
        <v>17.451207891705884</v>
      </c>
      <c r="J323" s="447">
        <f>J$296*Entrant_age_breakdowns!$K80*$H$31</f>
        <v>17.753132747998624</v>
      </c>
      <c r="K323" s="447">
        <f>K$296*Entrant_age_breakdowns!$K80*$H$31</f>
        <v>17.543822123057037</v>
      </c>
      <c r="L323" s="447">
        <f>L$296*Entrant_age_breakdowns!$K80*$H$31</f>
        <v>17.138717113937599</v>
      </c>
      <c r="M323" s="447">
        <f>M$296*Entrant_age_breakdowns!$K80*$H$31</f>
        <v>16.304019927555359</v>
      </c>
      <c r="N323" s="447">
        <f>N$296*Entrant_age_breakdowns!$K80*$H$31</f>
        <v>15.425624537174709</v>
      </c>
    </row>
    <row r="324" spans="1:14">
      <c r="B324" s="331" t="str">
        <f t="shared" si="142"/>
        <v>45-49</v>
      </c>
      <c r="C324" s="447">
        <f>C$296*Entrant_age_breakdowns!$K81*$H$31</f>
        <v>12.799486489417838</v>
      </c>
      <c r="D324" s="447">
        <f>D$296*Entrant_age_breakdowns!$K81*$H$31</f>
        <v>14.967983691371911</v>
      </c>
      <c r="E324" s="447">
        <f>E$296*Entrant_age_breakdowns!$K81*$H$31</f>
        <v>15.476955210561922</v>
      </c>
      <c r="F324" s="447">
        <f>F$296*Entrant_age_breakdowns!$K81*$H$31</f>
        <v>14.792795050737535</v>
      </c>
      <c r="G324" s="447">
        <f>G$296*Entrant_age_breakdowns!$K81*$H$31</f>
        <v>14.34027316988538</v>
      </c>
      <c r="H324" s="447">
        <f>H$296*Entrant_age_breakdowns!$K81*$H$31</f>
        <v>13.920821026957663</v>
      </c>
      <c r="I324" s="447">
        <f>I$296*Entrant_age_breakdowns!$K81*$H$31</f>
        <v>14.066666250317867</v>
      </c>
      <c r="J324" s="447">
        <f>J$296*Entrant_age_breakdowns!$K81*$H$31</f>
        <v>14.310034859098447</v>
      </c>
      <c r="K324" s="447">
        <f>K$296*Entrant_age_breakdowns!$K81*$H$31</f>
        <v>14.141318589028794</v>
      </c>
      <c r="L324" s="447">
        <f>L$296*Entrant_age_breakdowns!$K81*$H$31</f>
        <v>13.814780907799088</v>
      </c>
      <c r="M324" s="447">
        <f>M$296*Entrant_age_breakdowns!$K81*$H$31</f>
        <v>13.141967494894947</v>
      </c>
      <c r="N324" s="447">
        <f>N$296*Entrant_age_breakdowns!$K81*$H$31</f>
        <v>12.433930843851739</v>
      </c>
    </row>
    <row r="325" spans="1:14">
      <c r="B325" s="331" t="str">
        <f t="shared" si="142"/>
        <v>50-54</v>
      </c>
      <c r="C325" s="447">
        <f>C$296*Entrant_age_breakdowns!$K82*$H$31</f>
        <v>9.4844704654744145</v>
      </c>
      <c r="D325" s="447">
        <f>D$296*Entrant_age_breakdowns!$K82*$H$31</f>
        <v>11.091335528647177</v>
      </c>
      <c r="E325" s="447">
        <f>E$296*Entrant_age_breakdowns!$K82*$H$31</f>
        <v>11.468485451459811</v>
      </c>
      <c r="F325" s="447">
        <f>F$296*Entrant_age_breakdowns!$K82*$H$31</f>
        <v>10.961520048209184</v>
      </c>
      <c r="G325" s="447">
        <f>G$296*Entrant_age_breakdowns!$K82*$H$31</f>
        <v>10.626199532228204</v>
      </c>
      <c r="H325" s="447">
        <f>H$296*Entrant_age_breakdowns!$K82*$H$31</f>
        <v>10.315383823756852</v>
      </c>
      <c r="I325" s="447">
        <f>I$296*Entrant_age_breakdowns!$K82*$H$31</f>
        <v>10.423455715127966</v>
      </c>
      <c r="J325" s="447">
        <f>J$296*Entrant_age_breakdowns!$K82*$H$31</f>
        <v>10.603792823504255</v>
      </c>
      <c r="K325" s="447">
        <f>K$296*Entrant_age_breakdowns!$K82*$H$31</f>
        <v>10.478773395432386</v>
      </c>
      <c r="L325" s="447">
        <f>L$296*Entrant_age_breakdowns!$K82*$H$31</f>
        <v>10.236807673131873</v>
      </c>
      <c r="M325" s="447">
        <f>M$296*Entrant_age_breakdowns!$K82*$H$31</f>
        <v>9.7382502545401053</v>
      </c>
      <c r="N325" s="447">
        <f>N$296*Entrant_age_breakdowns!$K82*$H$31</f>
        <v>9.2135922762028688</v>
      </c>
    </row>
    <row r="326" spans="1:14">
      <c r="B326" s="331" t="str">
        <f t="shared" si="142"/>
        <v>55-59</v>
      </c>
      <c r="C326" s="447">
        <f>C$296*Entrant_age_breakdowns!$K83*$H$31</f>
        <v>6.1467489684025871</v>
      </c>
      <c r="D326" s="447">
        <f>D$296*Entrant_age_breakdowns!$K83*$H$31</f>
        <v>7.1881351169887209</v>
      </c>
      <c r="E326" s="447">
        <f>E$296*Entrant_age_breakdowns!$K83*$H$31</f>
        <v>7.4325605603933482</v>
      </c>
      <c r="F326" s="447">
        <f>F$296*Entrant_age_breakdowns!$K83*$H$31</f>
        <v>7.1040035702281914</v>
      </c>
      <c r="G326" s="447">
        <f>G$296*Entrant_age_breakdowns!$K83*$H$31</f>
        <v>6.8866871640889888</v>
      </c>
      <c r="H326" s="447">
        <f>H$296*Entrant_age_breakdowns!$K83*$H$31</f>
        <v>6.6852519714375624</v>
      </c>
      <c r="I326" s="447">
        <f>I$296*Entrant_age_breakdowns!$K83*$H$31</f>
        <v>6.7552918106902515</v>
      </c>
      <c r="J326" s="447">
        <f>J$296*Entrant_age_breakdowns!$K83*$H$31</f>
        <v>6.8721656982638173</v>
      </c>
      <c r="K326" s="447">
        <f>K$296*Entrant_age_breakdowns!$K83*$H$31</f>
        <v>6.79114240409801</v>
      </c>
      <c r="L326" s="447">
        <f>L$296*Entrant_age_breakdowns!$K83*$H$31</f>
        <v>6.6343278977580331</v>
      </c>
      <c r="M326" s="447">
        <f>M$296*Entrant_age_breakdowns!$K83*$H$31</f>
        <v>6.3112200015846103</v>
      </c>
      <c r="N326" s="447">
        <f>N$296*Entrant_age_breakdowns!$K83*$H$31</f>
        <v>5.9711967078384713</v>
      </c>
    </row>
    <row r="327" spans="1:14">
      <c r="B327" s="331" t="str">
        <f t="shared" si="142"/>
        <v>60-64</v>
      </c>
      <c r="C327" s="447">
        <f>C$296*Entrant_age_breakdowns!$K84*$H$31</f>
        <v>3.1346608845413657</v>
      </c>
      <c r="D327" s="447">
        <f>D$296*Entrant_age_breakdowns!$K84*$H$31</f>
        <v>3.6657371400476131</v>
      </c>
      <c r="E327" s="447">
        <f>E$296*Entrant_age_breakdowns!$K84*$H$31</f>
        <v>3.7903869151670753</v>
      </c>
      <c r="F327" s="447">
        <f>F$296*Entrant_age_breakdowns!$K84*$H$31</f>
        <v>3.6228325297988673</v>
      </c>
      <c r="G327" s="447">
        <f>G$296*Entrant_age_breakdowns!$K84*$H$31</f>
        <v>3.5120075650255469</v>
      </c>
      <c r="H327" s="447">
        <f>H$296*Entrant_age_breakdowns!$K84*$H$31</f>
        <v>3.4092815512546322</v>
      </c>
      <c r="I327" s="447">
        <f>I$296*Entrant_age_breakdowns!$K84*$H$31</f>
        <v>3.4449998058301112</v>
      </c>
      <c r="J327" s="447">
        <f>J$296*Entrant_age_breakdowns!$K84*$H$31</f>
        <v>3.5046020452715489</v>
      </c>
      <c r="K327" s="447">
        <f>K$296*Entrant_age_breakdowns!$K84*$H$31</f>
        <v>3.4632825522738955</v>
      </c>
      <c r="L327" s="447">
        <f>L$296*Entrant_age_breakdowns!$K84*$H$31</f>
        <v>3.3833117739519798</v>
      </c>
      <c r="M327" s="447">
        <f>M$296*Entrant_age_breakdowns!$K84*$H$31</f>
        <v>3.2185362659838224</v>
      </c>
      <c r="N327" s="447">
        <f>N$296*Entrant_age_breakdowns!$K84*$H$31</f>
        <v>3.0451344035980323</v>
      </c>
    </row>
    <row r="328" spans="1:14">
      <c r="B328" s="331" t="str">
        <f t="shared" si="142"/>
        <v>65 plus</v>
      </c>
      <c r="C328" s="447">
        <f>C$296*Entrant_age_breakdowns!$K85*$H$31</f>
        <v>0.94384130890673701</v>
      </c>
      <c r="D328" s="447">
        <f>D$296*Entrant_age_breakdowns!$K85*$H$31</f>
        <v>1.1037475082019259</v>
      </c>
      <c r="E328" s="447">
        <f>E$296*Entrant_age_breakdowns!$K85*$H$31</f>
        <v>1.1412793533478793</v>
      </c>
      <c r="F328" s="447">
        <f>F$296*Entrant_age_breakdowns!$K85*$H$31</f>
        <v>1.0908289996337388</v>
      </c>
      <c r="G328" s="447">
        <f>G$296*Entrant_age_breakdowns!$K85*$H$31</f>
        <v>1.0574597824635381</v>
      </c>
      <c r="H328" s="447">
        <f>H$296*Entrant_age_breakdowns!$K85*$H$31</f>
        <v>1.0265291463062245</v>
      </c>
      <c r="I328" s="447">
        <f>I$296*Entrant_age_breakdowns!$K85*$H$31</f>
        <v>1.0372838548351877</v>
      </c>
      <c r="J328" s="447">
        <f>J$296*Entrant_age_breakdowns!$K85*$H$31</f>
        <v>1.0552299924750206</v>
      </c>
      <c r="K328" s="447">
        <f>K$296*Entrant_age_breakdowns!$K85*$H$31</f>
        <v>1.0427887601405781</v>
      </c>
      <c r="L328" s="447">
        <f>L$296*Entrant_age_breakdowns!$K85*$H$31</f>
        <v>1.0187096884751621</v>
      </c>
      <c r="M328" s="447">
        <f>M$296*Entrant_age_breakdowns!$K85*$H$31</f>
        <v>0.96909605023971634</v>
      </c>
      <c r="N328" s="447">
        <f>N$296*Entrant_age_breakdowns!$K85*$H$31</f>
        <v>0.91688503067833993</v>
      </c>
    </row>
    <row r="329" spans="1:14">
      <c r="B329" s="331" t="str">
        <f t="shared" si="142"/>
        <v>Total</v>
      </c>
      <c r="C329" s="447">
        <f>C$296*Entrant_age_breakdowns!$K86*$H$31</f>
        <v>190.49426217008917</v>
      </c>
      <c r="D329" s="447">
        <f>D$296*Entrant_age_breakdowns!$K86*$H$31</f>
        <v>222.76792212087463</v>
      </c>
      <c r="E329" s="447">
        <f>E$296*Entrant_age_breakdowns!$K86*$H$31</f>
        <v>230.34292554728947</v>
      </c>
      <c r="F329" s="447">
        <f>F$296*Entrant_age_breakdowns!$K86*$H$31</f>
        <v>220.16059636090623</v>
      </c>
      <c r="G329" s="447">
        <f>G$296*Entrant_age_breakdowns!$K86*$H$31</f>
        <v>213.42573071766176</v>
      </c>
      <c r="H329" s="447">
        <f>H$296*Entrant_age_breakdowns!$K86*$H$31</f>
        <v>207.18304070437571</v>
      </c>
      <c r="I329" s="447">
        <f>I$296*Entrant_age_breakdowns!$K86*$H$31</f>
        <v>209.35364952044063</v>
      </c>
      <c r="J329" s="447">
        <f>J$296*Entrant_age_breakdowns!$K86*$H$31</f>
        <v>212.97569510823408</v>
      </c>
      <c r="K329" s="447">
        <f>K$296*Entrant_age_breakdowns!$K86*$H$31</f>
        <v>210.4646973889443</v>
      </c>
      <c r="L329" s="447">
        <f>L$296*Entrant_age_breakdowns!$K86*$H$31</f>
        <v>205.60484971396048</v>
      </c>
      <c r="M329" s="447">
        <f>M$296*Entrant_age_breakdowns!$K86*$H$31</f>
        <v>195.59139372295036</v>
      </c>
      <c r="N329" s="447">
        <f>N$296*Entrant_age_breakdowns!$K86*$H$31</f>
        <v>185.05371164161309</v>
      </c>
    </row>
    <row r="330" spans="1:14">
      <c r="A330" s="302">
        <f>SUM(C330:N330)</f>
        <v>0</v>
      </c>
      <c r="C330" s="302">
        <f>SUM(C319:C328)-C329</f>
        <v>0</v>
      </c>
      <c r="D330" s="302">
        <f t="shared" ref="D330:N330" si="144">SUM(D319:D328)-D329</f>
        <v>0</v>
      </c>
      <c r="E330" s="302">
        <f t="shared" si="144"/>
        <v>0</v>
      </c>
      <c r="F330" s="302">
        <f t="shared" si="144"/>
        <v>0</v>
      </c>
      <c r="G330" s="302">
        <f t="shared" si="144"/>
        <v>0</v>
      </c>
      <c r="H330" s="302">
        <f t="shared" si="144"/>
        <v>0</v>
      </c>
      <c r="I330" s="302">
        <f t="shared" si="144"/>
        <v>0</v>
      </c>
      <c r="J330" s="302">
        <f t="shared" si="144"/>
        <v>0</v>
      </c>
      <c r="K330" s="302">
        <f t="shared" si="144"/>
        <v>0</v>
      </c>
      <c r="L330" s="302">
        <f t="shared" si="144"/>
        <v>0</v>
      </c>
      <c r="M330" s="302">
        <f t="shared" si="144"/>
        <v>0</v>
      </c>
      <c r="N330" s="302">
        <f t="shared" si="144"/>
        <v>0</v>
      </c>
    </row>
    <row r="331" spans="1:14">
      <c r="C331" s="322">
        <f>C296</f>
        <v>211.65522159252305</v>
      </c>
      <c r="D331" s="322">
        <f t="shared" ref="D331:N331" si="145">D296</f>
        <v>247.51398484695662</v>
      </c>
      <c r="E331" s="322">
        <f t="shared" si="145"/>
        <v>255.9304537238533</v>
      </c>
      <c r="F331" s="322">
        <f t="shared" si="145"/>
        <v>244.61702561467663</v>
      </c>
      <c r="G331" s="322">
        <f t="shared" si="145"/>
        <v>237.13402080456851</v>
      </c>
      <c r="H331" s="322">
        <f t="shared" si="145"/>
        <v>230.19786470703878</v>
      </c>
      <c r="I331" s="322">
        <f t="shared" si="145"/>
        <v>232.60959451307721</v>
      </c>
      <c r="J331" s="322">
        <f t="shared" si="145"/>
        <v>236.63399321553331</v>
      </c>
      <c r="K331" s="322">
        <f t="shared" si="145"/>
        <v>233.84406257594242</v>
      </c>
      <c r="L331" s="322">
        <f t="shared" si="145"/>
        <v>228.44436116322385</v>
      </c>
      <c r="M331" s="322">
        <f t="shared" si="145"/>
        <v>217.31856544349847</v>
      </c>
      <c r="N331" s="322">
        <f t="shared" si="145"/>
        <v>205.61031024153573</v>
      </c>
    </row>
    <row r="332" spans="1:14">
      <c r="C332" s="322">
        <f>C313+C329</f>
        <v>211.65522159252302</v>
      </c>
      <c r="D332" s="322">
        <f t="shared" ref="D332:N332" si="146">D313+D329</f>
        <v>247.51398484695662</v>
      </c>
      <c r="E332" s="322">
        <f t="shared" si="146"/>
        <v>255.9304537238533</v>
      </c>
      <c r="F332" s="322">
        <f t="shared" si="146"/>
        <v>244.61702561467661</v>
      </c>
      <c r="G332" s="322">
        <f t="shared" si="146"/>
        <v>237.13402080456848</v>
      </c>
      <c r="H332" s="322">
        <f t="shared" si="146"/>
        <v>230.19786470703878</v>
      </c>
      <c r="I332" s="322">
        <f t="shared" si="146"/>
        <v>232.60959451307718</v>
      </c>
      <c r="J332" s="322">
        <f t="shared" si="146"/>
        <v>236.63399321553331</v>
      </c>
      <c r="K332" s="322">
        <f t="shared" si="146"/>
        <v>233.84406257594239</v>
      </c>
      <c r="L332" s="322">
        <f t="shared" si="146"/>
        <v>228.44436116322385</v>
      </c>
      <c r="M332" s="322">
        <f t="shared" si="146"/>
        <v>217.31856544349844</v>
      </c>
      <c r="N332" s="322">
        <f t="shared" si="146"/>
        <v>205.61031024153573</v>
      </c>
    </row>
    <row r="333" spans="1:14">
      <c r="A333" s="302">
        <f>SUM(C333:L333)</f>
        <v>0</v>
      </c>
      <c r="C333" s="322">
        <f>C331-C332</f>
        <v>0</v>
      </c>
      <c r="D333" s="322">
        <f t="shared" ref="D333:K333" si="147">D331-D332</f>
        <v>0</v>
      </c>
      <c r="E333" s="322">
        <f t="shared" si="147"/>
        <v>0</v>
      </c>
      <c r="F333" s="322">
        <f t="shared" si="147"/>
        <v>0</v>
      </c>
      <c r="G333" s="322">
        <f t="shared" si="147"/>
        <v>0</v>
      </c>
      <c r="H333" s="322">
        <f t="shared" si="147"/>
        <v>0</v>
      </c>
      <c r="I333" s="322">
        <f t="shared" si="147"/>
        <v>0</v>
      </c>
      <c r="J333" s="322">
        <f t="shared" si="147"/>
        <v>0</v>
      </c>
      <c r="K333" s="322">
        <f t="shared" si="147"/>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5">
      <c r="B337" s="334" t="s">
        <v>46</v>
      </c>
      <c r="C337" s="322"/>
      <c r="D337" s="322"/>
      <c r="E337" s="322"/>
      <c r="F337" s="322"/>
      <c r="G337" s="322"/>
      <c r="H337" s="332"/>
      <c r="I337" s="322"/>
      <c r="J337" s="322"/>
      <c r="K337" s="322"/>
      <c r="L337" s="322"/>
    </row>
    <row r="338" spans="1:15">
      <c r="C338" s="322"/>
      <c r="D338" s="322"/>
      <c r="E338" s="322"/>
      <c r="F338" s="322"/>
      <c r="G338" s="322"/>
      <c r="H338" s="332"/>
      <c r="I338" s="322"/>
      <c r="J338" s="322"/>
      <c r="K338" s="322"/>
      <c r="L338" s="322"/>
    </row>
    <row r="339" spans="1:15">
      <c r="B339" s="331" t="str">
        <f>B318</f>
        <v>Age group</v>
      </c>
      <c r="C339" s="331" t="str">
        <f t="shared" ref="C339:N339" si="148">C318</f>
        <v>2017/18</v>
      </c>
      <c r="D339" s="331" t="str">
        <f t="shared" si="148"/>
        <v>2018/19</v>
      </c>
      <c r="E339" s="331" t="str">
        <f t="shared" si="148"/>
        <v>2019/20</v>
      </c>
      <c r="F339" s="331" t="str">
        <f t="shared" si="148"/>
        <v>2020/21</v>
      </c>
      <c r="G339" s="331" t="str">
        <f t="shared" si="148"/>
        <v>2021/22</v>
      </c>
      <c r="H339" s="331" t="str">
        <f t="shared" si="148"/>
        <v>2022/23</v>
      </c>
      <c r="I339" s="331" t="str">
        <f t="shared" si="148"/>
        <v>2023/24</v>
      </c>
      <c r="J339" s="331" t="str">
        <f t="shared" si="148"/>
        <v>2024/25</v>
      </c>
      <c r="K339" s="331" t="str">
        <f t="shared" si="148"/>
        <v>2025/26</v>
      </c>
      <c r="L339" s="331" t="str">
        <f t="shared" si="148"/>
        <v>2026/27</v>
      </c>
      <c r="M339" s="331" t="str">
        <f t="shared" si="148"/>
        <v>2027/28</v>
      </c>
      <c r="N339" s="331" t="str">
        <f t="shared" si="148"/>
        <v>2028/29</v>
      </c>
    </row>
    <row r="340" spans="1:15">
      <c r="B340" s="331" t="str">
        <f t="shared" ref="B340:B350" si="149">B319</f>
        <v>20-24</v>
      </c>
      <c r="C340" s="447">
        <f t="shared" ref="C340:N340" si="150">C303+C247</f>
        <v>9.2128296392112414</v>
      </c>
      <c r="D340" s="447">
        <f t="shared" si="150"/>
        <v>12.853627678701663</v>
      </c>
      <c r="E340" s="447">
        <f t="shared" si="150"/>
        <v>15.592978150026818</v>
      </c>
      <c r="F340" s="447">
        <f t="shared" si="150"/>
        <v>17.254379107023674</v>
      </c>
      <c r="G340" s="447">
        <f t="shared" si="150"/>
        <v>18.231716625719429</v>
      </c>
      <c r="H340" s="447">
        <f t="shared" si="150"/>
        <v>18.741597626519351</v>
      </c>
      <c r="I340" s="447">
        <f t="shared" si="150"/>
        <v>19.162393803796515</v>
      </c>
      <c r="J340" s="447">
        <f t="shared" si="150"/>
        <v>19.561880203136965</v>
      </c>
      <c r="K340" s="447">
        <f t="shared" si="150"/>
        <v>19.771454647077189</v>
      </c>
      <c r="L340" s="447">
        <f t="shared" si="150"/>
        <v>19.780366837728486</v>
      </c>
      <c r="M340" s="447">
        <f t="shared" si="150"/>
        <v>19.501059054022889</v>
      </c>
      <c r="N340" s="447">
        <f t="shared" si="150"/>
        <v>19.003930474841614</v>
      </c>
      <c r="O340" s="320"/>
    </row>
    <row r="341" spans="1:15">
      <c r="B341" s="331" t="str">
        <f t="shared" si="149"/>
        <v>25-29</v>
      </c>
      <c r="C341" s="447">
        <f t="shared" ref="C341:N341" si="151">C304+C248</f>
        <v>17.400019590470382</v>
      </c>
      <c r="D341" s="447">
        <f t="shared" si="151"/>
        <v>20.784840482937938</v>
      </c>
      <c r="E341" s="447">
        <f t="shared" si="151"/>
        <v>24.055653455268864</v>
      </c>
      <c r="F341" s="447">
        <f t="shared" si="151"/>
        <v>26.659406555169934</v>
      </c>
      <c r="G341" s="447">
        <f t="shared" si="151"/>
        <v>28.650399041573522</v>
      </c>
      <c r="H341" s="447">
        <f t="shared" si="151"/>
        <v>30.087946543604865</v>
      </c>
      <c r="I341" s="447">
        <f t="shared" si="151"/>
        <v>31.284848398829048</v>
      </c>
      <c r="J341" s="447">
        <f t="shared" si="151"/>
        <v>32.333546150126175</v>
      </c>
      <c r="K341" s="447">
        <f t="shared" si="151"/>
        <v>33.092477036137026</v>
      </c>
      <c r="L341" s="447">
        <f t="shared" si="151"/>
        <v>33.538724677613033</v>
      </c>
      <c r="M341" s="447">
        <f t="shared" si="151"/>
        <v>33.572088190201335</v>
      </c>
      <c r="N341" s="447">
        <f t="shared" si="151"/>
        <v>33.238896798913864</v>
      </c>
      <c r="O341" s="320"/>
    </row>
    <row r="342" spans="1:15">
      <c r="B342" s="331" t="str">
        <f t="shared" si="149"/>
        <v>30-34</v>
      </c>
      <c r="C342" s="447">
        <f t="shared" ref="C342:N342" si="152">C305+C249</f>
        <v>32.200891975286481</v>
      </c>
      <c r="D342" s="447">
        <f t="shared" si="152"/>
        <v>30.447457885276712</v>
      </c>
      <c r="E342" s="447">
        <f t="shared" si="152"/>
        <v>29.807923522813663</v>
      </c>
      <c r="F342" s="447">
        <f t="shared" si="152"/>
        <v>29.831279156177729</v>
      </c>
      <c r="G342" s="447">
        <f t="shared" si="152"/>
        <v>30.235511919344621</v>
      </c>
      <c r="H342" s="447">
        <f t="shared" si="152"/>
        <v>30.816238343351408</v>
      </c>
      <c r="I342" s="447">
        <f t="shared" si="152"/>
        <v>31.546977353061489</v>
      </c>
      <c r="J342" s="447">
        <f t="shared" si="152"/>
        <v>32.36554302424922</v>
      </c>
      <c r="K342" s="447">
        <f t="shared" si="152"/>
        <v>33.133204851920816</v>
      </c>
      <c r="L342" s="447">
        <f t="shared" si="152"/>
        <v>33.775147921650223</v>
      </c>
      <c r="M342" s="447">
        <f t="shared" si="152"/>
        <v>34.190901890766646</v>
      </c>
      <c r="N342" s="447">
        <f t="shared" si="152"/>
        <v>34.354026451413858</v>
      </c>
      <c r="O342" s="320"/>
    </row>
    <row r="343" spans="1:15">
      <c r="B343" s="331" t="str">
        <f t="shared" si="149"/>
        <v>35-39</v>
      </c>
      <c r="C343" s="447">
        <f t="shared" ref="C343:N343" si="153">C306+C250</f>
        <v>33.170223840856636</v>
      </c>
      <c r="D343" s="447">
        <f t="shared" si="153"/>
        <v>33.096512174620003</v>
      </c>
      <c r="E343" s="447">
        <f t="shared" si="153"/>
        <v>32.713320656560278</v>
      </c>
      <c r="F343" s="447">
        <f t="shared" si="153"/>
        <v>32.243059401553765</v>
      </c>
      <c r="G343" s="447">
        <f t="shared" si="153"/>
        <v>31.825094953290513</v>
      </c>
      <c r="H343" s="447">
        <f t="shared" si="153"/>
        <v>31.522140526369526</v>
      </c>
      <c r="I343" s="447">
        <f t="shared" si="153"/>
        <v>31.428198383440748</v>
      </c>
      <c r="J343" s="447">
        <f t="shared" si="153"/>
        <v>31.533228505850872</v>
      </c>
      <c r="K343" s="447">
        <f t="shared" si="153"/>
        <v>31.736467789257581</v>
      </c>
      <c r="L343" s="447">
        <f t="shared" si="153"/>
        <v>31.977967409894426</v>
      </c>
      <c r="M343" s="447">
        <f t="shared" si="153"/>
        <v>32.169008663681907</v>
      </c>
      <c r="N343" s="447">
        <f t="shared" si="153"/>
        <v>32.27482166528619</v>
      </c>
      <c r="O343" s="320"/>
    </row>
    <row r="344" spans="1:15">
      <c r="B344" s="331" t="str">
        <f t="shared" si="149"/>
        <v>40-44</v>
      </c>
      <c r="C344" s="447">
        <f t="shared" ref="C344:N344" si="154">C307+C251</f>
        <v>39.573374775482115</v>
      </c>
      <c r="D344" s="447">
        <f t="shared" si="154"/>
        <v>37.410169278214944</v>
      </c>
      <c r="E344" s="447">
        <f t="shared" si="154"/>
        <v>35.765667002663847</v>
      </c>
      <c r="F344" s="447">
        <f t="shared" si="154"/>
        <v>34.441899156067898</v>
      </c>
      <c r="G344" s="447">
        <f t="shared" si="154"/>
        <v>33.316730897099653</v>
      </c>
      <c r="H344" s="447">
        <f t="shared" si="154"/>
        <v>32.352203331547628</v>
      </c>
      <c r="I344" s="447">
        <f t="shared" si="154"/>
        <v>31.605234752410833</v>
      </c>
      <c r="J344" s="447">
        <f t="shared" si="154"/>
        <v>31.070659160625322</v>
      </c>
      <c r="K344" s="447">
        <f t="shared" si="154"/>
        <v>30.672586199417427</v>
      </c>
      <c r="L344" s="447">
        <f t="shared" si="154"/>
        <v>30.371521632090513</v>
      </c>
      <c r="M344" s="447">
        <f t="shared" si="154"/>
        <v>30.101320812462152</v>
      </c>
      <c r="N344" s="447">
        <f t="shared" si="154"/>
        <v>29.839722298660821</v>
      </c>
      <c r="O344" s="320"/>
    </row>
    <row r="345" spans="1:15">
      <c r="B345" s="331" t="str">
        <f t="shared" si="149"/>
        <v>45-49</v>
      </c>
      <c r="C345" s="447">
        <f t="shared" ref="C345:N345" si="155">C308+C252</f>
        <v>31.27428651235763</v>
      </c>
      <c r="D345" s="447">
        <f t="shared" si="155"/>
        <v>31.828428894276001</v>
      </c>
      <c r="E345" s="447">
        <f t="shared" si="155"/>
        <v>31.793916324070796</v>
      </c>
      <c r="F345" s="447">
        <f t="shared" si="155"/>
        <v>31.444243072261795</v>
      </c>
      <c r="G345" s="447">
        <f t="shared" si="155"/>
        <v>30.896053137083051</v>
      </c>
      <c r="H345" s="447">
        <f t="shared" si="155"/>
        <v>30.242629365903444</v>
      </c>
      <c r="I345" s="447">
        <f t="shared" si="155"/>
        <v>29.604395037533795</v>
      </c>
      <c r="J345" s="447">
        <f t="shared" si="155"/>
        <v>29.027896511946299</v>
      </c>
      <c r="K345" s="447">
        <f t="shared" si="155"/>
        <v>28.489631581633603</v>
      </c>
      <c r="L345" s="447">
        <f t="shared" si="155"/>
        <v>27.986771433438001</v>
      </c>
      <c r="M345" s="447">
        <f t="shared" si="155"/>
        <v>27.489088962829598</v>
      </c>
      <c r="N345" s="447">
        <f t="shared" si="155"/>
        <v>26.996926395700701</v>
      </c>
      <c r="O345" s="320"/>
    </row>
    <row r="346" spans="1:15">
      <c r="B346" s="331" t="str">
        <f t="shared" si="149"/>
        <v>50-54</v>
      </c>
      <c r="C346" s="447">
        <f t="shared" ref="C346:N346" si="156">C309+C253</f>
        <v>20.834694845541698</v>
      </c>
      <c r="D346" s="447">
        <f t="shared" si="156"/>
        <v>21.585762288190931</v>
      </c>
      <c r="E346" s="447">
        <f t="shared" si="156"/>
        <v>22.186734320367218</v>
      </c>
      <c r="F346" s="447">
        <f t="shared" si="156"/>
        <v>22.5883032705147</v>
      </c>
      <c r="G346" s="447">
        <f t="shared" si="156"/>
        <v>22.773837012352676</v>
      </c>
      <c r="H346" s="447">
        <f t="shared" si="156"/>
        <v>22.773694656526381</v>
      </c>
      <c r="I346" s="447">
        <f t="shared" si="156"/>
        <v>22.669753529764066</v>
      </c>
      <c r="J346" s="447">
        <f t="shared" si="156"/>
        <v>22.502923079704985</v>
      </c>
      <c r="K346" s="447">
        <f t="shared" si="156"/>
        <v>22.268518862531284</v>
      </c>
      <c r="L346" s="447">
        <f t="shared" si="156"/>
        <v>21.979981622690566</v>
      </c>
      <c r="M346" s="447">
        <f t="shared" si="156"/>
        <v>21.630829022151772</v>
      </c>
      <c r="N346" s="447">
        <f t="shared" si="156"/>
        <v>21.236709093290344</v>
      </c>
      <c r="O346" s="320"/>
    </row>
    <row r="347" spans="1:15">
      <c r="B347" s="331" t="str">
        <f t="shared" si="149"/>
        <v>55-59</v>
      </c>
      <c r="C347" s="447">
        <f t="shared" ref="C347:N347" si="157">C310+C254</f>
        <v>7.1149560846305882</v>
      </c>
      <c r="D347" s="447">
        <f t="shared" si="157"/>
        <v>8.2332619768641688</v>
      </c>
      <c r="E347" s="447">
        <f t="shared" si="157"/>
        <v>9.0283428538873256</v>
      </c>
      <c r="F347" s="447">
        <f t="shared" si="157"/>
        <v>9.5718776573671764</v>
      </c>
      <c r="G347" s="447">
        <f t="shared" si="157"/>
        <v>9.9357597470626846</v>
      </c>
      <c r="H347" s="447">
        <f t="shared" si="157"/>
        <v>10.160604416588734</v>
      </c>
      <c r="I347" s="447">
        <f t="shared" si="157"/>
        <v>10.303851964309468</v>
      </c>
      <c r="J347" s="447">
        <f t="shared" si="157"/>
        <v>10.3874956513101</v>
      </c>
      <c r="K347" s="447">
        <f t="shared" si="157"/>
        <v>10.403765385884929</v>
      </c>
      <c r="L347" s="447">
        <f t="shared" si="157"/>
        <v>10.360837388761787</v>
      </c>
      <c r="M347" s="447">
        <f t="shared" si="157"/>
        <v>10.255609968916168</v>
      </c>
      <c r="N347" s="447">
        <f t="shared" si="157"/>
        <v>10.101831119997852</v>
      </c>
      <c r="O347" s="320"/>
    </row>
    <row r="348" spans="1:15">
      <c r="B348" s="331" t="str">
        <f t="shared" si="149"/>
        <v>60-64</v>
      </c>
      <c r="C348" s="447">
        <f t="shared" ref="C348:N348" si="158">C311+C255</f>
        <v>3.8777037365397509</v>
      </c>
      <c r="D348" s="447">
        <f t="shared" si="158"/>
        <v>3.30869974097061</v>
      </c>
      <c r="E348" s="447">
        <f t="shared" si="158"/>
        <v>3.165693844788207</v>
      </c>
      <c r="F348" s="447">
        <f t="shared" si="158"/>
        <v>3.179999241629802</v>
      </c>
      <c r="G348" s="447">
        <f t="shared" si="158"/>
        <v>3.2446154671505587</v>
      </c>
      <c r="H348" s="447">
        <f t="shared" si="158"/>
        <v>3.312896047993565</v>
      </c>
      <c r="I348" s="447">
        <f t="shared" si="158"/>
        <v>3.3806287187934241</v>
      </c>
      <c r="J348" s="447">
        <f t="shared" si="158"/>
        <v>3.4402853365143704</v>
      </c>
      <c r="K348" s="447">
        <f t="shared" si="158"/>
        <v>3.4769622388370918</v>
      </c>
      <c r="L348" s="447">
        <f t="shared" si="158"/>
        <v>3.4889480567814335</v>
      </c>
      <c r="M348" s="447">
        <f t="shared" si="158"/>
        <v>3.4712862607177364</v>
      </c>
      <c r="N348" s="447">
        <f t="shared" si="158"/>
        <v>3.4295031695312188</v>
      </c>
      <c r="O348" s="320"/>
    </row>
    <row r="349" spans="1:15">
      <c r="B349" s="331" t="str">
        <f t="shared" si="149"/>
        <v>65 plus</v>
      </c>
      <c r="C349" s="447">
        <f t="shared" ref="C349:N349" si="159">C312+C256</f>
        <v>4.2550466847219726</v>
      </c>
      <c r="D349" s="447">
        <f t="shared" si="159"/>
        <v>3.1603026850902851</v>
      </c>
      <c r="E349" s="447">
        <f t="shared" si="159"/>
        <v>2.4219098213787729</v>
      </c>
      <c r="F349" s="447">
        <f t="shared" si="159"/>
        <v>1.9610336300369358</v>
      </c>
      <c r="G349" s="447">
        <f t="shared" si="159"/>
        <v>1.6814937589140388</v>
      </c>
      <c r="H349" s="447">
        <f t="shared" si="159"/>
        <v>1.5174917845372276</v>
      </c>
      <c r="I349" s="447">
        <f t="shared" si="159"/>
        <v>1.428142817248454</v>
      </c>
      <c r="J349" s="447">
        <f t="shared" si="159"/>
        <v>1.3844854207715658</v>
      </c>
      <c r="K349" s="447">
        <f t="shared" si="159"/>
        <v>1.3639968178208997</v>
      </c>
      <c r="L349" s="447">
        <f t="shared" si="159"/>
        <v>1.353400665606165</v>
      </c>
      <c r="M349" s="447">
        <f t="shared" si="159"/>
        <v>1.3429516355695406</v>
      </c>
      <c r="N349" s="447">
        <f t="shared" si="159"/>
        <v>1.3287317084334656</v>
      </c>
      <c r="O349" s="320"/>
    </row>
    <row r="350" spans="1:15">
      <c r="B350" s="331" t="str">
        <f t="shared" si="149"/>
        <v>Total</v>
      </c>
      <c r="C350" s="447">
        <f t="shared" ref="C350:N350" si="160">SUM(C340:C349)</f>
        <v>198.91402768509849</v>
      </c>
      <c r="D350" s="447">
        <f t="shared" si="160"/>
        <v>202.70906308514324</v>
      </c>
      <c r="E350" s="447">
        <f t="shared" si="160"/>
        <v>206.53213995182577</v>
      </c>
      <c r="F350" s="447">
        <f t="shared" si="160"/>
        <v>209.17548024780339</v>
      </c>
      <c r="G350" s="447">
        <f t="shared" si="160"/>
        <v>210.79121255959075</v>
      </c>
      <c r="H350" s="447">
        <f t="shared" si="160"/>
        <v>211.52744264294213</v>
      </c>
      <c r="I350" s="447">
        <f t="shared" si="160"/>
        <v>212.41442475918785</v>
      </c>
      <c r="J350" s="447">
        <f t="shared" si="160"/>
        <v>213.6079430442359</v>
      </c>
      <c r="K350" s="447">
        <f t="shared" si="160"/>
        <v>214.40906541051785</v>
      </c>
      <c r="L350" s="447">
        <f t="shared" si="160"/>
        <v>214.61366764625461</v>
      </c>
      <c r="M350" s="447">
        <f t="shared" si="160"/>
        <v>213.72414446131972</v>
      </c>
      <c r="N350" s="447">
        <f t="shared" si="160"/>
        <v>211.80509917606992</v>
      </c>
      <c r="O350" s="320"/>
    </row>
    <row r="351" spans="1:15">
      <c r="A351" s="302">
        <f>SUM(C351:N351)</f>
        <v>0</v>
      </c>
      <c r="C351" s="302">
        <f>SUM(C340:C349)-C350</f>
        <v>0</v>
      </c>
      <c r="D351" s="302">
        <f t="shared" ref="D351:N351" si="161">SUM(D340:D349)-D350</f>
        <v>0</v>
      </c>
      <c r="E351" s="302">
        <f t="shared" si="161"/>
        <v>0</v>
      </c>
      <c r="F351" s="302">
        <f t="shared" si="161"/>
        <v>0</v>
      </c>
      <c r="G351" s="302">
        <f t="shared" si="161"/>
        <v>0</v>
      </c>
      <c r="H351" s="302">
        <f t="shared" si="161"/>
        <v>0</v>
      </c>
      <c r="I351" s="302">
        <f t="shared" si="161"/>
        <v>0</v>
      </c>
      <c r="J351" s="302">
        <f t="shared" si="161"/>
        <v>0</v>
      </c>
      <c r="K351" s="302">
        <f t="shared" si="161"/>
        <v>0</v>
      </c>
      <c r="L351" s="302">
        <f t="shared" si="161"/>
        <v>0</v>
      </c>
      <c r="M351" s="302">
        <f t="shared" si="161"/>
        <v>0</v>
      </c>
      <c r="N351" s="302">
        <f t="shared" si="161"/>
        <v>0</v>
      </c>
    </row>
    <row r="353" spans="1:18">
      <c r="B353" s="334" t="s">
        <v>47</v>
      </c>
      <c r="C353" s="322"/>
      <c r="D353" s="322"/>
      <c r="E353" s="322"/>
      <c r="F353" s="322"/>
      <c r="G353" s="322"/>
      <c r="H353" s="332"/>
      <c r="I353" s="322"/>
      <c r="J353" s="322"/>
      <c r="K353" s="322"/>
      <c r="L353" s="322"/>
    </row>
    <row r="354" spans="1:18">
      <c r="C354" s="322"/>
      <c r="D354" s="322"/>
      <c r="E354" s="322"/>
      <c r="F354" s="322"/>
      <c r="G354" s="322"/>
      <c r="H354" s="332"/>
      <c r="I354" s="322"/>
      <c r="J354" s="322"/>
      <c r="K354" s="322"/>
      <c r="L354" s="322"/>
    </row>
    <row r="355" spans="1:18">
      <c r="B355" s="331" t="str">
        <f t="shared" ref="B355:B366" si="162">B339</f>
        <v>Age group</v>
      </c>
      <c r="C355" s="331" t="str">
        <f t="shared" ref="C355:N355" si="163">C339</f>
        <v>2017/18</v>
      </c>
      <c r="D355" s="331" t="str">
        <f t="shared" si="163"/>
        <v>2018/19</v>
      </c>
      <c r="E355" s="331" t="str">
        <f t="shared" si="163"/>
        <v>2019/20</v>
      </c>
      <c r="F355" s="331" t="str">
        <f t="shared" si="163"/>
        <v>2020/21</v>
      </c>
      <c r="G355" s="331" t="str">
        <f t="shared" si="163"/>
        <v>2021/22</v>
      </c>
      <c r="H355" s="331" t="str">
        <f t="shared" si="163"/>
        <v>2022/23</v>
      </c>
      <c r="I355" s="331" t="str">
        <f t="shared" si="163"/>
        <v>2023/24</v>
      </c>
      <c r="J355" s="331" t="str">
        <f t="shared" si="163"/>
        <v>2024/25</v>
      </c>
      <c r="K355" s="331" t="str">
        <f t="shared" si="163"/>
        <v>2025/26</v>
      </c>
      <c r="L355" s="331" t="str">
        <f t="shared" si="163"/>
        <v>2026/27</v>
      </c>
      <c r="M355" s="331" t="str">
        <f t="shared" si="163"/>
        <v>2027/28</v>
      </c>
      <c r="N355" s="331" t="str">
        <f t="shared" si="163"/>
        <v>2028/29</v>
      </c>
    </row>
    <row r="356" spans="1:18">
      <c r="B356" s="331" t="str">
        <f t="shared" si="162"/>
        <v>20-24</v>
      </c>
      <c r="C356" s="447">
        <f t="shared" ref="C356:N356" si="164">C319+C263</f>
        <v>71.57141643598753</v>
      </c>
      <c r="D356" s="447">
        <f t="shared" si="164"/>
        <v>107.73509767779834</v>
      </c>
      <c r="E356" s="447">
        <f t="shared" si="164"/>
        <v>135.04949968052568</v>
      </c>
      <c r="F356" s="447">
        <f t="shared" si="164"/>
        <v>151.5157714497476</v>
      </c>
      <c r="G356" s="447">
        <f t="shared" si="164"/>
        <v>161.36882271953129</v>
      </c>
      <c r="H356" s="447">
        <f t="shared" si="164"/>
        <v>166.69658470147118</v>
      </c>
      <c r="I356" s="447">
        <f t="shared" si="164"/>
        <v>171.00134007231492</v>
      </c>
      <c r="J356" s="447">
        <f t="shared" si="164"/>
        <v>174.95916663582375</v>
      </c>
      <c r="K356" s="447">
        <f t="shared" si="164"/>
        <v>177.09837765872132</v>
      </c>
      <c r="L356" s="447">
        <f t="shared" si="164"/>
        <v>177.35535805142752</v>
      </c>
      <c r="M356" s="447">
        <f t="shared" si="164"/>
        <v>174.96527137391791</v>
      </c>
      <c r="N356" s="447">
        <f t="shared" si="164"/>
        <v>170.57868429959865</v>
      </c>
      <c r="O356" s="320"/>
      <c r="P356" s="320"/>
      <c r="Q356" s="320"/>
      <c r="R356" s="320"/>
    </row>
    <row r="357" spans="1:18">
      <c r="B357" s="331" t="str">
        <f t="shared" si="162"/>
        <v>25-29</v>
      </c>
      <c r="C357" s="447">
        <f t="shared" ref="C357:N357" si="165">C320+C264</f>
        <v>200.21564578655753</v>
      </c>
      <c r="D357" s="447">
        <f t="shared" si="165"/>
        <v>216.52744452206127</v>
      </c>
      <c r="E357" s="447">
        <f t="shared" si="165"/>
        <v>236.59209689716371</v>
      </c>
      <c r="F357" s="447">
        <f t="shared" si="165"/>
        <v>253.12538643333781</v>
      </c>
      <c r="G357" s="447">
        <f t="shared" si="165"/>
        <v>266.28719642136673</v>
      </c>
      <c r="H357" s="447">
        <f t="shared" si="165"/>
        <v>275.94580421749203</v>
      </c>
      <c r="I357" s="447">
        <f t="shared" si="165"/>
        <v>284.45923320162808</v>
      </c>
      <c r="J357" s="447">
        <f t="shared" si="165"/>
        <v>292.34037728299137</v>
      </c>
      <c r="K357" s="447">
        <f t="shared" si="165"/>
        <v>298.0944641211762</v>
      </c>
      <c r="L357" s="447">
        <f t="shared" si="165"/>
        <v>301.36677621468993</v>
      </c>
      <c r="M357" s="447">
        <f t="shared" si="165"/>
        <v>301.1543534657315</v>
      </c>
      <c r="N357" s="447">
        <f t="shared" si="165"/>
        <v>297.80722681107409</v>
      </c>
      <c r="O357" s="320"/>
      <c r="P357" s="320"/>
      <c r="Q357" s="320"/>
      <c r="R357" s="320"/>
    </row>
    <row r="358" spans="1:18">
      <c r="B358" s="331" t="str">
        <f t="shared" si="162"/>
        <v>30-34</v>
      </c>
      <c r="C358" s="447">
        <f t="shared" ref="C358:N358" si="166">C321+C265</f>
        <v>211.31602558965662</v>
      </c>
      <c r="D358" s="447">
        <f t="shared" si="166"/>
        <v>221.21328002036134</v>
      </c>
      <c r="E358" s="447">
        <f t="shared" si="166"/>
        <v>232.18160158276831</v>
      </c>
      <c r="F358" s="447">
        <f t="shared" si="166"/>
        <v>242.34916563272131</v>
      </c>
      <c r="G358" s="447">
        <f t="shared" si="166"/>
        <v>251.96239513095571</v>
      </c>
      <c r="H358" s="447">
        <f t="shared" si="166"/>
        <v>260.61482315979578</v>
      </c>
      <c r="I358" s="447">
        <f t="shared" si="166"/>
        <v>269.0151594528665</v>
      </c>
      <c r="J358" s="447">
        <f t="shared" si="166"/>
        <v>277.2095028600653</v>
      </c>
      <c r="K358" s="447">
        <f t="shared" si="166"/>
        <v>284.3385258009161</v>
      </c>
      <c r="L358" s="447">
        <f t="shared" si="166"/>
        <v>289.99034568280325</v>
      </c>
      <c r="M358" s="447">
        <f t="shared" si="166"/>
        <v>293.43272856885466</v>
      </c>
      <c r="N358" s="447">
        <f t="shared" si="166"/>
        <v>294.54721318884896</v>
      </c>
      <c r="O358" s="320"/>
      <c r="P358" s="320"/>
      <c r="Q358" s="320"/>
      <c r="R358" s="320"/>
    </row>
    <row r="359" spans="1:18">
      <c r="B359" s="331" t="str">
        <f t="shared" si="162"/>
        <v>35-39</v>
      </c>
      <c r="C359" s="447">
        <f t="shared" ref="C359:N359" si="167">C322+C266</f>
        <v>232.54788129801665</v>
      </c>
      <c r="D359" s="447">
        <f t="shared" si="167"/>
        <v>231.86007838971153</v>
      </c>
      <c r="E359" s="447">
        <f t="shared" si="167"/>
        <v>233.61164164356634</v>
      </c>
      <c r="F359" s="447">
        <f t="shared" si="167"/>
        <v>235.69097228875404</v>
      </c>
      <c r="G359" s="447">
        <f t="shared" si="167"/>
        <v>238.43364597181562</v>
      </c>
      <c r="H359" s="447">
        <f t="shared" si="167"/>
        <v>241.60970150975899</v>
      </c>
      <c r="I359" s="447">
        <f t="shared" si="167"/>
        <v>245.74391643559537</v>
      </c>
      <c r="J359" s="447">
        <f t="shared" si="167"/>
        <v>250.67675580106953</v>
      </c>
      <c r="K359" s="447">
        <f t="shared" si="167"/>
        <v>255.56366132700083</v>
      </c>
      <c r="L359" s="447">
        <f t="shared" si="167"/>
        <v>259.99322301661948</v>
      </c>
      <c r="M359" s="447">
        <f t="shared" si="167"/>
        <v>263.3153369333927</v>
      </c>
      <c r="N359" s="447">
        <f t="shared" si="167"/>
        <v>265.36683693271186</v>
      </c>
      <c r="O359" s="320"/>
      <c r="P359" s="320"/>
      <c r="Q359" s="320"/>
      <c r="R359" s="320"/>
    </row>
    <row r="360" spans="1:18">
      <c r="B360" s="331" t="str">
        <f t="shared" si="162"/>
        <v>40-44</v>
      </c>
      <c r="C360" s="447">
        <f t="shared" ref="C360:N360" si="168">C323+C267</f>
        <v>238.57440292949283</v>
      </c>
      <c r="D360" s="447">
        <f t="shared" si="168"/>
        <v>236.91380884175615</v>
      </c>
      <c r="E360" s="447">
        <f t="shared" si="168"/>
        <v>235.88635565538544</v>
      </c>
      <c r="F360" s="447">
        <f t="shared" si="168"/>
        <v>234.36118125658334</v>
      </c>
      <c r="G360" s="447">
        <f t="shared" si="168"/>
        <v>233.06185573088013</v>
      </c>
      <c r="H360" s="447">
        <f t="shared" si="168"/>
        <v>232.09105436151185</v>
      </c>
      <c r="I360" s="447">
        <f t="shared" si="168"/>
        <v>232.1422284991319</v>
      </c>
      <c r="J360" s="447">
        <f t="shared" si="168"/>
        <v>233.24034660219976</v>
      </c>
      <c r="K360" s="447">
        <f t="shared" si="168"/>
        <v>234.74223711653954</v>
      </c>
      <c r="L360" s="447">
        <f t="shared" si="168"/>
        <v>236.33627441865951</v>
      </c>
      <c r="M360" s="447">
        <f t="shared" si="168"/>
        <v>237.48443263060278</v>
      </c>
      <c r="N360" s="447">
        <f t="shared" si="168"/>
        <v>238.05839872725966</v>
      </c>
      <c r="O360" s="320"/>
      <c r="P360" s="320"/>
      <c r="Q360" s="320"/>
      <c r="R360" s="320"/>
    </row>
    <row r="361" spans="1:18">
      <c r="B361" s="331" t="str">
        <f t="shared" si="162"/>
        <v>45-49</v>
      </c>
      <c r="C361" s="447">
        <f t="shared" ref="C361:N361" si="169">C324+C268</f>
        <v>265.67366674899699</v>
      </c>
      <c r="D361" s="447">
        <f t="shared" si="169"/>
        <v>251.71954858244357</v>
      </c>
      <c r="E361" s="447">
        <f t="shared" si="169"/>
        <v>241.40499633286572</v>
      </c>
      <c r="F361" s="447">
        <f t="shared" si="169"/>
        <v>232.76213917798538</v>
      </c>
      <c r="G361" s="447">
        <f t="shared" si="169"/>
        <v>225.76121000478108</v>
      </c>
      <c r="H361" s="447">
        <f t="shared" si="169"/>
        <v>220.02579349660672</v>
      </c>
      <c r="I361" s="447">
        <f t="shared" si="169"/>
        <v>215.83359683180552</v>
      </c>
      <c r="J361" s="447">
        <f t="shared" si="169"/>
        <v>213.04416660099747</v>
      </c>
      <c r="K361" s="447">
        <f t="shared" si="169"/>
        <v>211.05050363352561</v>
      </c>
      <c r="L361" s="447">
        <f t="shared" si="169"/>
        <v>209.54972034140536</v>
      </c>
      <c r="M361" s="447">
        <f t="shared" si="169"/>
        <v>208.07703787962421</v>
      </c>
      <c r="N361" s="447">
        <f t="shared" si="169"/>
        <v>206.50863520841673</v>
      </c>
      <c r="O361" s="320"/>
      <c r="P361" s="320"/>
      <c r="Q361" s="320"/>
      <c r="R361" s="320"/>
    </row>
    <row r="362" spans="1:18">
      <c r="B362" s="331" t="str">
        <f t="shared" si="162"/>
        <v>50-54</v>
      </c>
      <c r="C362" s="447">
        <f t="shared" ref="C362:N362" si="170">C325+C269</f>
        <v>264.40743061995289</v>
      </c>
      <c r="D362" s="447">
        <f t="shared" si="170"/>
        <v>245.57514093915532</v>
      </c>
      <c r="E362" s="447">
        <f t="shared" si="170"/>
        <v>229.77281108490652</v>
      </c>
      <c r="F362" s="447">
        <f t="shared" si="170"/>
        <v>215.99414856693647</v>
      </c>
      <c r="G362" s="447">
        <f t="shared" si="170"/>
        <v>204.39436304335737</v>
      </c>
      <c r="H362" s="447">
        <f t="shared" si="170"/>
        <v>194.64899977553978</v>
      </c>
      <c r="I362" s="447">
        <f t="shared" si="170"/>
        <v>186.85664339521765</v>
      </c>
      <c r="J362" s="447">
        <f t="shared" si="170"/>
        <v>180.78940632679294</v>
      </c>
      <c r="K362" s="447">
        <f t="shared" si="170"/>
        <v>175.88380228862465</v>
      </c>
      <c r="L362" s="447">
        <f t="shared" si="170"/>
        <v>171.82277936911697</v>
      </c>
      <c r="M362" s="447">
        <f t="shared" si="170"/>
        <v>168.18911626870249</v>
      </c>
      <c r="N362" s="447">
        <f t="shared" si="170"/>
        <v>164.83633543429423</v>
      </c>
      <c r="O362" s="320"/>
      <c r="P362" s="320"/>
      <c r="Q362" s="320"/>
      <c r="R362" s="320"/>
    </row>
    <row r="363" spans="1:18">
      <c r="B363" s="331" t="str">
        <f t="shared" si="162"/>
        <v>55-59</v>
      </c>
      <c r="C363" s="447">
        <f t="shared" ref="C363:N363" si="171">C326+C270</f>
        <v>194.26002818627347</v>
      </c>
      <c r="D363" s="447">
        <f t="shared" si="171"/>
        <v>165.30647734184643</v>
      </c>
      <c r="E363" s="447">
        <f t="shared" si="171"/>
        <v>144.92974242681407</v>
      </c>
      <c r="F363" s="447">
        <f t="shared" si="171"/>
        <v>129.72127327042361</v>
      </c>
      <c r="G363" s="447">
        <f t="shared" si="171"/>
        <v>118.20206838034466</v>
      </c>
      <c r="H363" s="447">
        <f t="shared" si="171"/>
        <v>109.26410490071933</v>
      </c>
      <c r="I363" s="447">
        <f t="shared" si="171"/>
        <v>102.44248174509404</v>
      </c>
      <c r="J363" s="447">
        <f t="shared" si="171"/>
        <v>97.245808551630603</v>
      </c>
      <c r="K363" s="447">
        <f t="shared" si="171"/>
        <v>93.097102748374326</v>
      </c>
      <c r="L363" s="447">
        <f t="shared" si="171"/>
        <v>89.683524245803127</v>
      </c>
      <c r="M363" s="447">
        <f t="shared" si="171"/>
        <v>86.676996582199223</v>
      </c>
      <c r="N363" s="447">
        <f t="shared" si="171"/>
        <v>83.964918688885703</v>
      </c>
      <c r="O363" s="320"/>
      <c r="P363" s="320"/>
      <c r="Q363" s="320"/>
      <c r="R363" s="320"/>
    </row>
    <row r="364" spans="1:18">
      <c r="B364" s="331" t="str">
        <f t="shared" si="162"/>
        <v>60-64</v>
      </c>
      <c r="C364" s="447">
        <f t="shared" ref="C364:N364" si="172">C327+C271</f>
        <v>62.010508817239042</v>
      </c>
      <c r="D364" s="447">
        <f t="shared" si="172"/>
        <v>60.274276085845017</v>
      </c>
      <c r="E364" s="447">
        <f t="shared" si="172"/>
        <v>55.737304895902284</v>
      </c>
      <c r="F364" s="447">
        <f t="shared" si="172"/>
        <v>50.59779861878387</v>
      </c>
      <c r="G364" s="447">
        <f t="shared" si="172"/>
        <v>45.91990125054361</v>
      </c>
      <c r="H364" s="447">
        <f t="shared" si="172"/>
        <v>41.956963899091875</v>
      </c>
      <c r="I364" s="447">
        <f t="shared" si="172"/>
        <v>38.827249926216808</v>
      </c>
      <c r="J364" s="447">
        <f t="shared" si="172"/>
        <v>36.417240034487477</v>
      </c>
      <c r="K364" s="447">
        <f t="shared" si="172"/>
        <v>34.481400466239776</v>
      </c>
      <c r="L364" s="447">
        <f t="shared" si="172"/>
        <v>32.882915816787836</v>
      </c>
      <c r="M364" s="447">
        <f t="shared" si="172"/>
        <v>31.465805082337255</v>
      </c>
      <c r="N364" s="447">
        <f t="shared" si="172"/>
        <v>30.184684399617147</v>
      </c>
      <c r="O364" s="320"/>
      <c r="P364" s="320"/>
      <c r="Q364" s="320"/>
      <c r="R364" s="320"/>
    </row>
    <row r="365" spans="1:18">
      <c r="B365" s="331" t="str">
        <f t="shared" si="162"/>
        <v>65 plus</v>
      </c>
      <c r="C365" s="447">
        <f t="shared" ref="C365:N365" si="173">C328+C272</f>
        <v>16.762470869971029</v>
      </c>
      <c r="D365" s="447">
        <f t="shared" si="173"/>
        <v>19.701968714207503</v>
      </c>
      <c r="E365" s="447">
        <f t="shared" si="173"/>
        <v>21.351979737629815</v>
      </c>
      <c r="F365" s="447">
        <f t="shared" si="173"/>
        <v>21.741527529146975</v>
      </c>
      <c r="G365" s="447">
        <f t="shared" si="173"/>
        <v>21.302537641354419</v>
      </c>
      <c r="H365" s="447">
        <f t="shared" si="173"/>
        <v>20.398182205725618</v>
      </c>
      <c r="I365" s="447">
        <f t="shared" si="173"/>
        <v>19.330670470309084</v>
      </c>
      <c r="J365" s="447">
        <f t="shared" si="173"/>
        <v>18.272566737521291</v>
      </c>
      <c r="K365" s="447">
        <f t="shared" si="173"/>
        <v>17.28151608783303</v>
      </c>
      <c r="L365" s="447">
        <f t="shared" si="173"/>
        <v>16.381693451616165</v>
      </c>
      <c r="M365" s="447">
        <f t="shared" si="173"/>
        <v>15.557176296425819</v>
      </c>
      <c r="N365" s="447">
        <f t="shared" si="173"/>
        <v>14.800961761369221</v>
      </c>
      <c r="O365" s="320"/>
      <c r="P365" s="320"/>
      <c r="Q365" s="320"/>
      <c r="R365" s="320"/>
    </row>
    <row r="366" spans="1:18">
      <c r="B366" s="331" t="str">
        <f t="shared" si="162"/>
        <v>Total</v>
      </c>
      <c r="C366" s="447">
        <f t="shared" ref="C366:N366" si="174">SUM(C356:C365)</f>
        <v>1757.3394772821448</v>
      </c>
      <c r="D366" s="447">
        <f t="shared" si="174"/>
        <v>1756.8271211151862</v>
      </c>
      <c r="E366" s="447">
        <f t="shared" si="174"/>
        <v>1766.5180299375279</v>
      </c>
      <c r="F366" s="447">
        <f t="shared" si="174"/>
        <v>1767.85936422442</v>
      </c>
      <c r="G366" s="447">
        <f t="shared" si="174"/>
        <v>1766.6939962949305</v>
      </c>
      <c r="H366" s="447">
        <f t="shared" si="174"/>
        <v>1763.2520122277131</v>
      </c>
      <c r="I366" s="447">
        <f t="shared" si="174"/>
        <v>1765.6525200301799</v>
      </c>
      <c r="J366" s="447">
        <f t="shared" si="174"/>
        <v>1774.1953374335794</v>
      </c>
      <c r="K366" s="447">
        <f t="shared" si="174"/>
        <v>1781.6315912489513</v>
      </c>
      <c r="L366" s="447">
        <f t="shared" si="174"/>
        <v>1785.3626106089291</v>
      </c>
      <c r="M366" s="447">
        <f t="shared" si="174"/>
        <v>1780.3182550817887</v>
      </c>
      <c r="N366" s="447">
        <f t="shared" si="174"/>
        <v>1766.6538954520765</v>
      </c>
      <c r="O366" s="320"/>
      <c r="P366" s="320"/>
      <c r="Q366" s="320"/>
      <c r="R366" s="320"/>
    </row>
    <row r="367" spans="1:18">
      <c r="A367" s="302">
        <f>SUM(C367:N367)</f>
        <v>0</v>
      </c>
      <c r="C367" s="302">
        <f>SUM(C356:C365)-C366</f>
        <v>0</v>
      </c>
      <c r="D367" s="302">
        <f t="shared" ref="D367:N367" si="175">SUM(D356:D365)-D366</f>
        <v>0</v>
      </c>
      <c r="E367" s="302">
        <f t="shared" si="175"/>
        <v>0</v>
      </c>
      <c r="F367" s="302">
        <f t="shared" si="175"/>
        <v>0</v>
      </c>
      <c r="G367" s="302">
        <f t="shared" si="175"/>
        <v>0</v>
      </c>
      <c r="H367" s="302">
        <f t="shared" si="175"/>
        <v>0</v>
      </c>
      <c r="I367" s="302">
        <f t="shared" si="175"/>
        <v>0</v>
      </c>
      <c r="J367" s="302">
        <f t="shared" si="175"/>
        <v>0</v>
      </c>
      <c r="K367" s="302">
        <f t="shared" si="175"/>
        <v>0</v>
      </c>
      <c r="L367" s="302">
        <f t="shared" si="175"/>
        <v>0</v>
      </c>
      <c r="M367" s="302">
        <f t="shared" si="175"/>
        <v>0</v>
      </c>
      <c r="N367" s="302">
        <f t="shared" si="175"/>
        <v>0</v>
      </c>
    </row>
    <row r="368" spans="1:18">
      <c r="C368" s="322">
        <f>C350+C366</f>
        <v>1956.2535049672433</v>
      </c>
      <c r="D368" s="322">
        <f t="shared" ref="D368:N368" si="176">D350+D366</f>
        <v>1959.5361842003294</v>
      </c>
      <c r="E368" s="322">
        <f t="shared" si="176"/>
        <v>1973.0501698893536</v>
      </c>
      <c r="F368" s="322">
        <f t="shared" si="176"/>
        <v>1977.0348444722233</v>
      </c>
      <c r="G368" s="322">
        <f t="shared" si="176"/>
        <v>1977.4852088545213</v>
      </c>
      <c r="H368" s="322">
        <f t="shared" si="176"/>
        <v>1974.7794548706552</v>
      </c>
      <c r="I368" s="322">
        <f t="shared" si="176"/>
        <v>1978.0669447893677</v>
      </c>
      <c r="J368" s="322">
        <f t="shared" si="176"/>
        <v>1987.8032804778154</v>
      </c>
      <c r="K368" s="322">
        <f t="shared" si="176"/>
        <v>1996.0406566594691</v>
      </c>
      <c r="L368" s="322">
        <f t="shared" si="176"/>
        <v>1999.9762782551838</v>
      </c>
      <c r="M368" s="322">
        <f t="shared" si="176"/>
        <v>1994.0423995431083</v>
      </c>
      <c r="N368" s="322">
        <f t="shared" si="176"/>
        <v>1978.4589946281465</v>
      </c>
    </row>
    <row r="369" spans="1:14">
      <c r="C369" s="322">
        <f t="shared" ref="C369:N369" si="177">C36</f>
        <v>1956.2535049672433</v>
      </c>
      <c r="D369" s="322">
        <f t="shared" si="177"/>
        <v>1959.5361842003301</v>
      </c>
      <c r="E369" s="322">
        <f t="shared" si="177"/>
        <v>1973.050169889354</v>
      </c>
      <c r="F369" s="322">
        <f t="shared" si="177"/>
        <v>1977.0348444722242</v>
      </c>
      <c r="G369" s="322">
        <f t="shared" si="177"/>
        <v>1977.4852088545217</v>
      </c>
      <c r="H369" s="322">
        <f t="shared" si="177"/>
        <v>1974.7794548706556</v>
      </c>
      <c r="I369" s="322">
        <f t="shared" si="177"/>
        <v>1978.0669447893681</v>
      </c>
      <c r="J369" s="322">
        <f t="shared" si="177"/>
        <v>1987.8032804778159</v>
      </c>
      <c r="K369" s="322">
        <f t="shared" si="177"/>
        <v>1996.0406566594697</v>
      </c>
      <c r="L369" s="322">
        <f t="shared" si="177"/>
        <v>1999.9762782551843</v>
      </c>
      <c r="M369" s="322">
        <f t="shared" si="177"/>
        <v>1994.0423995431088</v>
      </c>
      <c r="N369" s="322">
        <f t="shared" si="177"/>
        <v>1978.4589946281467</v>
      </c>
    </row>
    <row r="370" spans="1:14">
      <c r="A370" s="302">
        <f>SUM(C370:L370)</f>
        <v>0</v>
      </c>
      <c r="C370" s="322">
        <f>C368-C369</f>
        <v>0</v>
      </c>
      <c r="D370" s="322">
        <f t="shared" ref="D370:N370" si="178">D368-D369</f>
        <v>0</v>
      </c>
      <c r="E370" s="322">
        <f t="shared" si="178"/>
        <v>0</v>
      </c>
      <c r="F370" s="322">
        <f t="shared" si="178"/>
        <v>0</v>
      </c>
      <c r="G370" s="322">
        <f t="shared" si="178"/>
        <v>0</v>
      </c>
      <c r="H370" s="322">
        <f t="shared" si="178"/>
        <v>0</v>
      </c>
      <c r="I370" s="322">
        <f t="shared" si="178"/>
        <v>0</v>
      </c>
      <c r="J370" s="322">
        <f t="shared" si="178"/>
        <v>0</v>
      </c>
      <c r="K370" s="322">
        <f t="shared" si="178"/>
        <v>0</v>
      </c>
      <c r="L370" s="322">
        <f t="shared" si="178"/>
        <v>0</v>
      </c>
      <c r="M370" s="322">
        <f t="shared" si="178"/>
        <v>0</v>
      </c>
      <c r="N370" s="322">
        <f t="shared" si="178"/>
        <v>0</v>
      </c>
    </row>
    <row r="371" spans="1:14">
      <c r="A371" s="302">
        <f>SUM(C371:L371)</f>
        <v>0</v>
      </c>
      <c r="C371" s="322">
        <f>IF(C294&gt;0,0,C294)</f>
        <v>0</v>
      </c>
      <c r="D371" s="322">
        <f t="shared" ref="D371:N371" si="179">IF(D294&gt;0,0,D294)</f>
        <v>0</v>
      </c>
      <c r="E371" s="322">
        <f t="shared" si="179"/>
        <v>0</v>
      </c>
      <c r="F371" s="322">
        <f t="shared" si="179"/>
        <v>0</v>
      </c>
      <c r="G371" s="322">
        <f t="shared" si="179"/>
        <v>0</v>
      </c>
      <c r="H371" s="322">
        <f t="shared" si="179"/>
        <v>0</v>
      </c>
      <c r="I371" s="322">
        <f t="shared" si="179"/>
        <v>0</v>
      </c>
      <c r="J371" s="322">
        <f t="shared" si="179"/>
        <v>0</v>
      </c>
      <c r="K371" s="322">
        <f t="shared" si="179"/>
        <v>0</v>
      </c>
      <c r="L371" s="322">
        <f t="shared" si="179"/>
        <v>0</v>
      </c>
      <c r="M371" s="322">
        <f t="shared" si="179"/>
        <v>0</v>
      </c>
      <c r="N371" s="322">
        <f t="shared" si="179"/>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U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276</v>
      </c>
      <c r="B5" s="682"/>
      <c r="C5" s="682"/>
      <c r="D5" s="682"/>
      <c r="E5" s="682"/>
      <c r="F5" s="682"/>
      <c r="G5" s="682"/>
      <c r="H5" s="682"/>
      <c r="I5" s="682"/>
      <c r="J5" s="682"/>
      <c r="K5" s="682"/>
      <c r="L5" s="682"/>
      <c r="M5" s="682"/>
      <c r="N5" s="682"/>
      <c r="O5" s="342"/>
      <c r="P5" s="342"/>
      <c r="Q5" s="342"/>
    </row>
    <row r="6" spans="1:17" s="347" customFormat="1" ht="13.5" customHeight="1">
      <c r="A6" s="344" t="s">
        <v>1392</v>
      </c>
      <c r="B6" s="345"/>
      <c r="C6" s="345"/>
      <c r="D6" s="345"/>
      <c r="E6" s="340"/>
      <c r="F6" s="345"/>
      <c r="G6" s="345"/>
      <c r="H6" s="345"/>
      <c r="I6" s="345"/>
      <c r="J6" s="345"/>
      <c r="K6" s="345"/>
      <c r="L6" s="346"/>
      <c r="M6" s="346"/>
      <c r="N6" s="346"/>
      <c r="O6" s="346"/>
      <c r="P6" s="346"/>
      <c r="Q6" s="346"/>
    </row>
    <row r="7" spans="1:17" s="347" customFormat="1" ht="12" customHeight="1">
      <c r="A7" s="348" t="s">
        <v>1475</v>
      </c>
      <c r="B7" s="344"/>
      <c r="C7" s="345"/>
      <c r="D7" s="345"/>
      <c r="E7" s="340"/>
      <c r="F7" s="345"/>
      <c r="G7" s="345"/>
      <c r="H7" s="345"/>
      <c r="I7" s="345"/>
      <c r="J7" s="345"/>
      <c r="K7" s="345"/>
      <c r="L7" s="346"/>
      <c r="M7" s="346"/>
      <c r="N7" s="346"/>
      <c r="O7" s="346"/>
      <c r="P7" s="346"/>
      <c r="Q7" s="346"/>
    </row>
    <row r="8" spans="1:17" s="347" customFormat="1" ht="15.75" customHeight="1">
      <c r="A8" s="344" t="s">
        <v>24</v>
      </c>
      <c r="B8" s="345"/>
      <c r="C8" s="345"/>
      <c r="D8" s="345"/>
      <c r="E8" s="340"/>
      <c r="F8" s="345"/>
      <c r="G8" s="345"/>
      <c r="H8" s="345"/>
      <c r="I8" s="345"/>
      <c r="J8" s="345"/>
      <c r="K8" s="345"/>
      <c r="L8" s="346"/>
      <c r="M8" s="346"/>
      <c r="N8" s="346"/>
      <c r="O8" s="346"/>
      <c r="P8" s="346"/>
      <c r="Q8" s="346"/>
    </row>
    <row r="9" spans="1:17" s="347" customFormat="1" ht="15.75" customHeigh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Forecast_stock_figures!B26</f>
        <v>Geography</v>
      </c>
      <c r="C15" s="300">
        <f>Forecast_stock_figures!C50</f>
        <v>10672.620142552178</v>
      </c>
      <c r="D15" s="300">
        <f>Forecast_stock_figures!D50</f>
        <v>10803.079082425373</v>
      </c>
      <c r="E15" s="300">
        <f>Forecast_stock_figures!E50</f>
        <v>10913.97383137792</v>
      </c>
      <c r="F15" s="300">
        <f>Forecast_stock_figures!F50</f>
        <v>11040.073537517266</v>
      </c>
      <c r="G15" s="300">
        <f>Forecast_stock_figures!G50</f>
        <v>11141.835814652577</v>
      </c>
      <c r="H15" s="300">
        <f>Forecast_stock_figures!H50</f>
        <v>11235.812997276715</v>
      </c>
      <c r="I15" s="300">
        <f>Forecast_stock_figures!I50</f>
        <v>11318.429527654655</v>
      </c>
      <c r="J15" s="300">
        <f>Forecast_stock_figures!J50</f>
        <v>11447.571971044999</v>
      </c>
      <c r="K15" s="300">
        <f>Forecast_stock_figures!K50</f>
        <v>11514.819044284342</v>
      </c>
      <c r="L15" s="300">
        <f>Forecast_stock_figures!L50</f>
        <v>11515.740365562662</v>
      </c>
      <c r="M15" s="300">
        <f>Forecast_stock_figures!M50</f>
        <v>11475.359015980936</v>
      </c>
      <c r="N15" s="300">
        <f>Forecast_stock_figures!N50</f>
        <v>11454.130023559828</v>
      </c>
    </row>
    <row r="17" spans="1:9" ht="15.75">
      <c r="B17" s="333" t="s">
        <v>162</v>
      </c>
    </row>
    <row r="19" spans="1:9">
      <c r="B19" s="1327" t="str">
        <f>Stock_ages_breakdowns!B73</f>
        <v>Age group</v>
      </c>
      <c r="C19" s="1328" t="str">
        <f>Stock_ages_breakdowns!W73</f>
        <v>Geography</v>
      </c>
      <c r="D19" s="1329"/>
      <c r="H19" s="318" t="s">
        <v>133</v>
      </c>
    </row>
    <row r="20" spans="1:9">
      <c r="B20" s="1327"/>
      <c r="C20" s="356" t="str">
        <f>Stock_ages_breakdowns!W74</f>
        <v>Male</v>
      </c>
      <c r="D20" s="356" t="str">
        <f>Stock_ages_breakdowns!X74</f>
        <v>Female</v>
      </c>
    </row>
    <row r="21" spans="1:9">
      <c r="B21" s="356" t="str">
        <f>Stock_ages_breakdowns!B75</f>
        <v>20-24</v>
      </c>
      <c r="C21" s="324">
        <f>Stock_ages_breakdowns!W20</f>
        <v>202.70613310384064</v>
      </c>
      <c r="D21" s="324">
        <f>Stock_ages_breakdowns!X20</f>
        <v>465.18886228739836</v>
      </c>
    </row>
    <row r="22" spans="1:9">
      <c r="B22" s="356" t="str">
        <f>Stock_ages_breakdowns!B76</f>
        <v>25-29</v>
      </c>
      <c r="C22" s="324">
        <f>Stock_ages_breakdowns!W21</f>
        <v>637.79191854672547</v>
      </c>
      <c r="D22" s="324">
        <f>Stock_ages_breakdowns!X21</f>
        <v>1185.1774804804156</v>
      </c>
    </row>
    <row r="23" spans="1:9">
      <c r="B23" s="356" t="str">
        <f>Stock_ages_breakdowns!B77</f>
        <v>30-34</v>
      </c>
      <c r="C23" s="324">
        <f>Stock_ages_breakdowns!W22</f>
        <v>765.84314201202017</v>
      </c>
      <c r="D23" s="324">
        <f>Stock_ages_breakdowns!X22</f>
        <v>1137.0650256381166</v>
      </c>
    </row>
    <row r="24" spans="1:9">
      <c r="B24" s="356" t="str">
        <f>Stock_ages_breakdowns!B78</f>
        <v>35-39</v>
      </c>
      <c r="C24" s="324">
        <f>Stock_ages_breakdowns!W23</f>
        <v>903.63801372019543</v>
      </c>
      <c r="D24" s="324">
        <f>Stock_ages_breakdowns!X23</f>
        <v>1148.6821057854706</v>
      </c>
    </row>
    <row r="25" spans="1:9">
      <c r="B25" s="356" t="str">
        <f>Stock_ages_breakdowns!B79</f>
        <v>40-44</v>
      </c>
      <c r="C25" s="324">
        <f>Stock_ages_breakdowns!W24</f>
        <v>767.90682087632763</v>
      </c>
      <c r="D25" s="324">
        <f>Stock_ages_breakdowns!X24</f>
        <v>859.33149937437042</v>
      </c>
    </row>
    <row r="26" spans="1:9">
      <c r="B26" s="356" t="str">
        <f>Stock_ages_breakdowns!B80</f>
        <v>45-49</v>
      </c>
      <c r="C26" s="324">
        <f>Stock_ages_breakdowns!W25</f>
        <v>593.20303766051484</v>
      </c>
      <c r="D26" s="324">
        <f>Stock_ages_breakdowns!X25</f>
        <v>536.10892371446096</v>
      </c>
    </row>
    <row r="27" spans="1:9">
      <c r="B27" s="356" t="str">
        <f>Stock_ages_breakdowns!B81</f>
        <v>50-54</v>
      </c>
      <c r="C27" s="324">
        <f>Stock_ages_breakdowns!W26</f>
        <v>411.28989596677161</v>
      </c>
      <c r="D27" s="324">
        <f>Stock_ages_breakdowns!X26</f>
        <v>350.96659020247813</v>
      </c>
    </row>
    <row r="28" spans="1:9">
      <c r="B28" s="356" t="str">
        <f>Stock_ages_breakdowns!B82</f>
        <v>55-59</v>
      </c>
      <c r="C28" s="324">
        <f>Stock_ages_breakdowns!W27</f>
        <v>263.67027073283907</v>
      </c>
      <c r="D28" s="324">
        <f>Stock_ages_breakdowns!X27</f>
        <v>277.57331829757004</v>
      </c>
    </row>
    <row r="29" spans="1:9">
      <c r="B29" s="356" t="str">
        <f>Stock_ages_breakdowns!B83</f>
        <v>60-64</v>
      </c>
      <c r="C29" s="324">
        <f>Stock_ages_breakdowns!W28</f>
        <v>83.974006771059464</v>
      </c>
      <c r="D29" s="324">
        <f>Stock_ages_breakdowns!X28</f>
        <v>74.951294375971926</v>
      </c>
      <c r="F29" s="318"/>
    </row>
    <row r="30" spans="1:9">
      <c r="B30" s="356" t="str">
        <f>Stock_ages_breakdowns!B84</f>
        <v>65 plus</v>
      </c>
      <c r="C30" s="324">
        <f>Stock_ages_breakdowns!W29</f>
        <v>7.551803005632034</v>
      </c>
      <c r="D30" s="324">
        <f>Stock_ages_breakdowns!X29</f>
        <v>0</v>
      </c>
      <c r="G30" s="319" t="s">
        <v>46</v>
      </c>
      <c r="H30" s="319" t="s">
        <v>47</v>
      </c>
    </row>
    <row r="31" spans="1:9">
      <c r="A31" s="302">
        <f>I31</f>
        <v>0</v>
      </c>
      <c r="B31" s="356" t="str">
        <f>Stock_ages_breakdowns!B85</f>
        <v>Total</v>
      </c>
      <c r="C31" s="324">
        <f>Stock_ages_breakdowns!W30</f>
        <v>4637.5750423959253</v>
      </c>
      <c r="D31" s="324">
        <f>Stock_ages_breakdowns!X30</f>
        <v>6035.0451001562524</v>
      </c>
      <c r="E31" s="320">
        <f>SUM(C31:D31)</f>
        <v>10672.620142552178</v>
      </c>
      <c r="G31" s="359">
        <f>C31/$E$31</f>
        <v>0.43453013228735854</v>
      </c>
      <c r="H31" s="359">
        <f>D31/$E$31</f>
        <v>0.56546986771264141</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Geography</v>
      </c>
      <c r="C36" s="300">
        <f>Teacher_need_by_subject!C633</f>
        <v>10803.079082425373</v>
      </c>
      <c r="D36" s="300">
        <f>Teacher_need_by_subject!D633</f>
        <v>10913.97383137792</v>
      </c>
      <c r="E36" s="300">
        <f>Teacher_need_by_subject!E633</f>
        <v>11040.073537517266</v>
      </c>
      <c r="F36" s="300">
        <f>Teacher_need_by_subject!F633</f>
        <v>11141.835814652577</v>
      </c>
      <c r="G36" s="300">
        <f>Teacher_need_by_subject!G633</f>
        <v>11235.812997276715</v>
      </c>
      <c r="H36" s="300">
        <f>Teacher_need_by_subject!H633</f>
        <v>11318.429527654655</v>
      </c>
      <c r="I36" s="300">
        <f>Teacher_need_by_subject!I633</f>
        <v>11447.571971044999</v>
      </c>
      <c r="J36" s="300">
        <f>Teacher_need_by_subject!J633</f>
        <v>11514.819044284342</v>
      </c>
      <c r="K36" s="300">
        <f>Teacher_need_by_subject!K633</f>
        <v>11515.740365562662</v>
      </c>
      <c r="L36" s="300">
        <f>Teacher_need_by_subject!L633</f>
        <v>11475.359015980936</v>
      </c>
      <c r="M36" s="300">
        <f>Teacher_need_by_subject!M633</f>
        <v>11454.130023559828</v>
      </c>
      <c r="N36" s="300">
        <f>Teacher_need_by_subject!N633</f>
        <v>11445.395839009616</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202.70613310384064</v>
      </c>
      <c r="D43" s="300">
        <f>C340</f>
        <v>283.65922345937827</v>
      </c>
      <c r="E43" s="300">
        <f t="shared" ref="E43:L43" si="2">D340</f>
        <v>339.17796313640861</v>
      </c>
      <c r="F43" s="300">
        <f t="shared" si="2"/>
        <v>382.37428794772092</v>
      </c>
      <c r="G43" s="300">
        <f t="shared" si="2"/>
        <v>412.17093430799918</v>
      </c>
      <c r="H43" s="300">
        <f t="shared" si="2"/>
        <v>433.60295969035275</v>
      </c>
      <c r="I43" s="300">
        <f t="shared" si="2"/>
        <v>448.79036650401673</v>
      </c>
      <c r="J43" s="300">
        <f t="shared" si="2"/>
        <v>465.98567429060489</v>
      </c>
      <c r="K43" s="300">
        <f t="shared" si="2"/>
        <v>473.07886063559005</v>
      </c>
      <c r="L43" s="300">
        <f t="shared" si="2"/>
        <v>471.83804350631357</v>
      </c>
      <c r="M43" s="300">
        <f>L340</f>
        <v>466.71583201043717</v>
      </c>
      <c r="N43" s="300">
        <f>M340</f>
        <v>465.07934294728994</v>
      </c>
    </row>
    <row r="44" spans="2:14">
      <c r="B44" s="356" t="str">
        <f t="shared" ref="B44:C53" si="3">B22</f>
        <v>25-29</v>
      </c>
      <c r="C44" s="300">
        <f t="shared" si="3"/>
        <v>637.79191854672547</v>
      </c>
      <c r="D44" s="300">
        <f t="shared" ref="D44:K53" si="4">C341</f>
        <v>626.13526070691273</v>
      </c>
      <c r="E44" s="300">
        <f t="shared" si="4"/>
        <v>633.31641629190028</v>
      </c>
      <c r="F44" s="300">
        <f t="shared" si="4"/>
        <v>651.57771926302303</v>
      </c>
      <c r="G44" s="300">
        <f t="shared" si="4"/>
        <v>672.49258661911028</v>
      </c>
      <c r="H44" s="300">
        <f t="shared" si="4"/>
        <v>693.15195994273165</v>
      </c>
      <c r="I44" s="300">
        <f t="shared" si="4"/>
        <v>711.69762595106567</v>
      </c>
      <c r="J44" s="300">
        <f t="shared" si="4"/>
        <v>734.13187518509994</v>
      </c>
      <c r="K44" s="300">
        <f t="shared" si="4"/>
        <v>747.90199209243951</v>
      </c>
      <c r="L44" s="300">
        <f t="shared" ref="L44:L53" si="5">K341</f>
        <v>752.48004636851363</v>
      </c>
      <c r="M44" s="300">
        <f t="shared" ref="M44:M53" si="6">L341</f>
        <v>751.10447253939037</v>
      </c>
      <c r="N44" s="300">
        <f t="shared" ref="N44:N53" si="7">M341</f>
        <v>751.19236306885171</v>
      </c>
    </row>
    <row r="45" spans="2:14">
      <c r="B45" s="356" t="str">
        <f t="shared" si="3"/>
        <v>30-34</v>
      </c>
      <c r="C45" s="300">
        <f t="shared" si="3"/>
        <v>765.84314201202017</v>
      </c>
      <c r="D45" s="300">
        <f t="shared" si="4"/>
        <v>750.47622314603132</v>
      </c>
      <c r="E45" s="300">
        <f t="shared" si="4"/>
        <v>738.59953413397284</v>
      </c>
      <c r="F45" s="300">
        <f t="shared" si="4"/>
        <v>732.09695388256694</v>
      </c>
      <c r="G45" s="300">
        <f t="shared" si="4"/>
        <v>731.43277976327886</v>
      </c>
      <c r="H45" s="300">
        <f t="shared" si="4"/>
        <v>735.21086289028642</v>
      </c>
      <c r="I45" s="300">
        <f t="shared" si="4"/>
        <v>741.96353156391842</v>
      </c>
      <c r="J45" s="300">
        <f t="shared" si="4"/>
        <v>753.71506868246229</v>
      </c>
      <c r="K45" s="300">
        <f t="shared" si="4"/>
        <v>764.02103366506469</v>
      </c>
      <c r="L45" s="300">
        <f t="shared" si="5"/>
        <v>770.99097899557978</v>
      </c>
      <c r="M45" s="300">
        <f t="shared" si="6"/>
        <v>774.77980955193721</v>
      </c>
      <c r="N45" s="300">
        <f t="shared" si="7"/>
        <v>778.27049319075729</v>
      </c>
    </row>
    <row r="46" spans="2:14">
      <c r="B46" s="356" t="str">
        <f t="shared" si="3"/>
        <v>35-39</v>
      </c>
      <c r="C46" s="300">
        <f t="shared" si="3"/>
        <v>903.63801372019543</v>
      </c>
      <c r="D46" s="300">
        <f t="shared" si="4"/>
        <v>865.42367147982566</v>
      </c>
      <c r="E46" s="300">
        <f t="shared" si="4"/>
        <v>835.98585820820449</v>
      </c>
      <c r="F46" s="300">
        <f t="shared" si="4"/>
        <v>812.05410987000573</v>
      </c>
      <c r="G46" s="300">
        <f t="shared" si="4"/>
        <v>793.94192723906315</v>
      </c>
      <c r="H46" s="300">
        <f t="shared" si="4"/>
        <v>780.70662437539386</v>
      </c>
      <c r="I46" s="300">
        <f t="shared" si="4"/>
        <v>771.73566624474358</v>
      </c>
      <c r="J46" s="300">
        <f t="shared" si="4"/>
        <v>768.86760215533741</v>
      </c>
      <c r="K46" s="300">
        <f t="shared" si="4"/>
        <v>767.11130677947688</v>
      </c>
      <c r="L46" s="300">
        <f t="shared" si="5"/>
        <v>765.39927757278963</v>
      </c>
      <c r="M46" s="300">
        <f t="shared" si="6"/>
        <v>763.81024573109187</v>
      </c>
      <c r="N46" s="300">
        <f t="shared" si="7"/>
        <v>764.05286833202422</v>
      </c>
    </row>
    <row r="47" spans="2:14">
      <c r="B47" s="356" t="str">
        <f t="shared" si="3"/>
        <v>40-44</v>
      </c>
      <c r="C47" s="300">
        <f t="shared" si="3"/>
        <v>767.90682087632763</v>
      </c>
      <c r="D47" s="300">
        <f t="shared" si="4"/>
        <v>781.9091021832661</v>
      </c>
      <c r="E47" s="300">
        <f t="shared" si="4"/>
        <v>786.87892398136216</v>
      </c>
      <c r="F47" s="300">
        <f t="shared" si="4"/>
        <v>784.9558530236236</v>
      </c>
      <c r="G47" s="300">
        <f t="shared" si="4"/>
        <v>779.96179775066298</v>
      </c>
      <c r="H47" s="300">
        <f t="shared" si="4"/>
        <v>773.18340387842477</v>
      </c>
      <c r="I47" s="300">
        <f t="shared" si="4"/>
        <v>765.83490076459395</v>
      </c>
      <c r="J47" s="300">
        <f t="shared" si="4"/>
        <v>760.90629675955836</v>
      </c>
      <c r="K47" s="300">
        <f t="shared" si="4"/>
        <v>755.17037686140736</v>
      </c>
      <c r="L47" s="300">
        <f t="shared" si="5"/>
        <v>748.6021389839334</v>
      </c>
      <c r="M47" s="300">
        <f t="shared" si="6"/>
        <v>742.03446681299783</v>
      </c>
      <c r="N47" s="300">
        <f t="shared" si="7"/>
        <v>737.49225658291925</v>
      </c>
    </row>
    <row r="48" spans="2:14">
      <c r="B48" s="356" t="str">
        <f t="shared" si="3"/>
        <v>45-49</v>
      </c>
      <c r="C48" s="300">
        <f t="shared" si="3"/>
        <v>593.20303766051484</v>
      </c>
      <c r="D48" s="300">
        <f t="shared" si="4"/>
        <v>608.52470908197313</v>
      </c>
      <c r="E48" s="300">
        <f t="shared" si="4"/>
        <v>623.90232015560025</v>
      </c>
      <c r="F48" s="300">
        <f t="shared" si="4"/>
        <v>635.51696332608356</v>
      </c>
      <c r="G48" s="300">
        <f t="shared" si="4"/>
        <v>644.52355471365922</v>
      </c>
      <c r="H48" s="300">
        <f t="shared" si="4"/>
        <v>650.39610499909463</v>
      </c>
      <c r="I48" s="300">
        <f t="shared" si="4"/>
        <v>653.53910237066407</v>
      </c>
      <c r="J48" s="300">
        <f t="shared" si="4"/>
        <v>656.24472702333173</v>
      </c>
      <c r="K48" s="300">
        <f t="shared" si="4"/>
        <v>656.06560497402802</v>
      </c>
      <c r="L48" s="300">
        <f t="shared" si="5"/>
        <v>653.28369097124585</v>
      </c>
      <c r="M48" s="300">
        <f t="shared" si="6"/>
        <v>648.94542716118906</v>
      </c>
      <c r="N48" s="300">
        <f t="shared" si="7"/>
        <v>645.08768922767001</v>
      </c>
    </row>
    <row r="49" spans="1:14">
      <c r="B49" s="356" t="str">
        <f t="shared" si="3"/>
        <v>50-54</v>
      </c>
      <c r="C49" s="300">
        <f t="shared" si="3"/>
        <v>411.28989596677161</v>
      </c>
      <c r="D49" s="300">
        <f t="shared" si="4"/>
        <v>432.35284254873443</v>
      </c>
      <c r="E49" s="300">
        <f t="shared" si="4"/>
        <v>451.19882845444732</v>
      </c>
      <c r="F49" s="300">
        <f t="shared" si="4"/>
        <v>467.65238054499326</v>
      </c>
      <c r="G49" s="300">
        <f t="shared" si="4"/>
        <v>482.12371331472224</v>
      </c>
      <c r="H49" s="300">
        <f t="shared" si="4"/>
        <v>494.39065826326214</v>
      </c>
      <c r="I49" s="300">
        <f t="shared" si="4"/>
        <v>504.40481820603009</v>
      </c>
      <c r="J49" s="300">
        <f t="shared" si="4"/>
        <v>513.52074246113921</v>
      </c>
      <c r="K49" s="300">
        <f t="shared" si="4"/>
        <v>519.67942898429578</v>
      </c>
      <c r="L49" s="300">
        <f t="shared" si="5"/>
        <v>522.91317085937533</v>
      </c>
      <c r="M49" s="300">
        <f t="shared" si="6"/>
        <v>523.92297464099204</v>
      </c>
      <c r="N49" s="300">
        <f t="shared" si="7"/>
        <v>524.23768796613297</v>
      </c>
    </row>
    <row r="50" spans="1:14">
      <c r="B50" s="356" t="str">
        <f t="shared" si="3"/>
        <v>55-59</v>
      </c>
      <c r="C50" s="300">
        <f t="shared" si="3"/>
        <v>263.67027073283907</v>
      </c>
      <c r="D50" s="300">
        <f t="shared" si="4"/>
        <v>236.7973813468214</v>
      </c>
      <c r="E50" s="300">
        <f t="shared" si="4"/>
        <v>224.29867995693536</v>
      </c>
      <c r="F50" s="300">
        <f t="shared" si="4"/>
        <v>219.84870027951933</v>
      </c>
      <c r="G50" s="300">
        <f t="shared" si="4"/>
        <v>219.84253331249857</v>
      </c>
      <c r="H50" s="300">
        <f t="shared" si="4"/>
        <v>222.1074562573281</v>
      </c>
      <c r="I50" s="300">
        <f t="shared" si="4"/>
        <v>225.34155735931645</v>
      </c>
      <c r="J50" s="300">
        <f t="shared" si="4"/>
        <v>229.61276376752605</v>
      </c>
      <c r="K50" s="300">
        <f t="shared" si="4"/>
        <v>232.92554568651454</v>
      </c>
      <c r="L50" s="300">
        <f t="shared" si="5"/>
        <v>235.05343869307575</v>
      </c>
      <c r="M50" s="300">
        <f t="shared" si="6"/>
        <v>236.27204585797597</v>
      </c>
      <c r="N50" s="300">
        <f t="shared" si="7"/>
        <v>237.39012559724623</v>
      </c>
    </row>
    <row r="51" spans="1:14">
      <c r="B51" s="356" t="str">
        <f t="shared" si="3"/>
        <v>60-64</v>
      </c>
      <c r="C51" s="300">
        <f t="shared" si="3"/>
        <v>83.974006771059464</v>
      </c>
      <c r="D51" s="300">
        <f t="shared" si="4"/>
        <v>87.700614609976313</v>
      </c>
      <c r="E51" s="300">
        <f t="shared" si="4"/>
        <v>86.211040080292932</v>
      </c>
      <c r="F51" s="300">
        <f t="shared" si="4"/>
        <v>84.021357115004349</v>
      </c>
      <c r="G51" s="300">
        <f t="shared" si="4"/>
        <v>82.325751080381266</v>
      </c>
      <c r="H51" s="300">
        <f t="shared" si="4"/>
        <v>81.490741488188448</v>
      </c>
      <c r="I51" s="300">
        <f t="shared" si="4"/>
        <v>81.374402839583141</v>
      </c>
      <c r="J51" s="300">
        <f t="shared" si="4"/>
        <v>82.166855002620821</v>
      </c>
      <c r="K51" s="300">
        <f t="shared" si="4"/>
        <v>82.835076304913514</v>
      </c>
      <c r="L51" s="300">
        <f t="shared" si="5"/>
        <v>83.225730749818737</v>
      </c>
      <c r="M51" s="300">
        <f t="shared" si="6"/>
        <v>83.435890085803692</v>
      </c>
      <c r="N51" s="300">
        <f t="shared" si="7"/>
        <v>83.827585253409978</v>
      </c>
    </row>
    <row r="52" spans="1:14">
      <c r="B52" s="356" t="str">
        <f t="shared" si="3"/>
        <v>65 plus</v>
      </c>
      <c r="C52" s="300">
        <f t="shared" si="3"/>
        <v>7.551803005632034</v>
      </c>
      <c r="D52" s="300">
        <f t="shared" si="4"/>
        <v>16.614663866229208</v>
      </c>
      <c r="E52" s="300">
        <f t="shared" si="4"/>
        <v>22.314825966749986</v>
      </c>
      <c r="F52" s="300">
        <f t="shared" si="4"/>
        <v>25.348044927270347</v>
      </c>
      <c r="G52" s="300">
        <f t="shared" si="4"/>
        <v>26.906987810299398</v>
      </c>
      <c r="H52" s="300">
        <f t="shared" si="4"/>
        <v>27.619347049132369</v>
      </c>
      <c r="I52" s="300">
        <f t="shared" si="4"/>
        <v>27.93788570657215</v>
      </c>
      <c r="J52" s="300">
        <f t="shared" si="4"/>
        <v>28.235733978107842</v>
      </c>
      <c r="K52" s="300">
        <f t="shared" si="4"/>
        <v>28.403755817534662</v>
      </c>
      <c r="L52" s="300">
        <f t="shared" si="5"/>
        <v>28.457366471070102</v>
      </c>
      <c r="M52" s="300">
        <f t="shared" si="6"/>
        <v>28.450222018598854</v>
      </c>
      <c r="N52" s="300">
        <f t="shared" si="7"/>
        <v>28.50682985005114</v>
      </c>
    </row>
    <row r="53" spans="1:14">
      <c r="B53" s="356" t="str">
        <f t="shared" si="3"/>
        <v>Total</v>
      </c>
      <c r="C53" s="300">
        <f t="shared" si="3"/>
        <v>4637.5750423959253</v>
      </c>
      <c r="D53" s="300">
        <f t="shared" si="4"/>
        <v>4689.5936924291491</v>
      </c>
      <c r="E53" s="300">
        <f t="shared" si="4"/>
        <v>4741.8843903658744</v>
      </c>
      <c r="F53" s="300">
        <f t="shared" si="4"/>
        <v>4795.4463701798104</v>
      </c>
      <c r="G53" s="300">
        <f t="shared" si="4"/>
        <v>4845.7225659116748</v>
      </c>
      <c r="H53" s="300">
        <f t="shared" si="4"/>
        <v>4891.8601188341954</v>
      </c>
      <c r="I53" s="300">
        <f t="shared" si="4"/>
        <v>4932.6198575105045</v>
      </c>
      <c r="J53" s="300">
        <f t="shared" si="4"/>
        <v>4993.3873393057875</v>
      </c>
      <c r="K53" s="300">
        <f t="shared" si="4"/>
        <v>5027.1929818012659</v>
      </c>
      <c r="L53" s="300">
        <f t="shared" si="5"/>
        <v>5032.2438831717145</v>
      </c>
      <c r="M53" s="300">
        <f t="shared" si="6"/>
        <v>5019.4713864104133</v>
      </c>
      <c r="N53" s="300">
        <f t="shared" si="7"/>
        <v>5015.1372420163525</v>
      </c>
    </row>
    <row r="54" spans="1:14">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4">
      <c r="B56" s="334" t="s">
        <v>47</v>
      </c>
      <c r="H56" s="318"/>
    </row>
    <row r="57" spans="1:14">
      <c r="H57" s="318"/>
    </row>
    <row r="58" spans="1:14">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4">
      <c r="B59" s="331" t="str">
        <f t="shared" si="9"/>
        <v>20-24</v>
      </c>
      <c r="C59" s="300">
        <f t="shared" ref="C59:C69" si="11">D21</f>
        <v>465.18886228739836</v>
      </c>
      <c r="D59" s="300">
        <f>C356</f>
        <v>514.99453236784109</v>
      </c>
      <c r="E59" s="300">
        <f t="shared" ref="E59:L59" si="12">D356</f>
        <v>548.03535092350626</v>
      </c>
      <c r="F59" s="300">
        <f t="shared" si="12"/>
        <v>578.34623648492618</v>
      </c>
      <c r="G59" s="300">
        <f t="shared" si="12"/>
        <v>597.91831907774463</v>
      </c>
      <c r="H59" s="300">
        <f t="shared" si="12"/>
        <v>612.73839690155933</v>
      </c>
      <c r="I59" s="300">
        <f t="shared" si="12"/>
        <v>623.62143224518491</v>
      </c>
      <c r="J59" s="300">
        <f t="shared" si="12"/>
        <v>639.97206359654967</v>
      </c>
      <c r="K59" s="300">
        <f t="shared" si="12"/>
        <v>645.20287509631021</v>
      </c>
      <c r="L59" s="300">
        <f t="shared" si="12"/>
        <v>640.8773118852248</v>
      </c>
      <c r="M59" s="300">
        <f>L356</f>
        <v>632.29587203648578</v>
      </c>
      <c r="N59" s="300">
        <f>M356</f>
        <v>628.75735694955677</v>
      </c>
    </row>
    <row r="60" spans="1:14">
      <c r="B60" s="331" t="str">
        <f t="shared" si="9"/>
        <v>25-29</v>
      </c>
      <c r="C60" s="300">
        <f t="shared" si="11"/>
        <v>1185.1774804804156</v>
      </c>
      <c r="D60" s="300">
        <f t="shared" ref="D60:K69" si="13">C357</f>
        <v>1117.637422782607</v>
      </c>
      <c r="E60" s="300">
        <f t="shared" si="13"/>
        <v>1076.0670115680552</v>
      </c>
      <c r="F60" s="300">
        <f t="shared" si="13"/>
        <v>1058.6917113916122</v>
      </c>
      <c r="G60" s="300">
        <f t="shared" si="13"/>
        <v>1049.3453785418478</v>
      </c>
      <c r="H60" s="300">
        <f t="shared" si="13"/>
        <v>1047.3174618148487</v>
      </c>
      <c r="I60" s="300">
        <f t="shared" si="13"/>
        <v>1049.0141531494191</v>
      </c>
      <c r="J60" s="300">
        <f t="shared" si="13"/>
        <v>1061.0502170859784</v>
      </c>
      <c r="K60" s="300">
        <f t="shared" si="13"/>
        <v>1066.1199554974589</v>
      </c>
      <c r="L60" s="300">
        <f t="shared" ref="L60:L69" si="14">K357</f>
        <v>1062.4821943109516</v>
      </c>
      <c r="M60" s="300">
        <f t="shared" ref="M60:M69" si="15">L357</f>
        <v>1053.4723359998618</v>
      </c>
      <c r="N60" s="300">
        <f t="shared" ref="N60:N69" si="16">M357</f>
        <v>1048.093580954883</v>
      </c>
    </row>
    <row r="61" spans="1:14">
      <c r="B61" s="331" t="str">
        <f t="shared" si="9"/>
        <v>30-34</v>
      </c>
      <c r="C61" s="300">
        <f t="shared" si="11"/>
        <v>1137.0650256381166</v>
      </c>
      <c r="D61" s="300">
        <f t="shared" si="13"/>
        <v>1134.8056654156233</v>
      </c>
      <c r="E61" s="300">
        <f t="shared" si="13"/>
        <v>1119.4940877101549</v>
      </c>
      <c r="F61" s="300">
        <f t="shared" si="13"/>
        <v>1103.1546352042765</v>
      </c>
      <c r="G61" s="300">
        <f t="shared" si="13"/>
        <v>1086.350886814502</v>
      </c>
      <c r="H61" s="300">
        <f t="shared" si="13"/>
        <v>1073.0761476793496</v>
      </c>
      <c r="I61" s="300">
        <f t="shared" si="13"/>
        <v>1063.3669225946726</v>
      </c>
      <c r="J61" s="300">
        <f t="shared" si="13"/>
        <v>1061.0785624047546</v>
      </c>
      <c r="K61" s="300">
        <f t="shared" si="13"/>
        <v>1058.4425951497126</v>
      </c>
      <c r="L61" s="300">
        <f t="shared" si="14"/>
        <v>1053.4021460514159</v>
      </c>
      <c r="M61" s="300">
        <f t="shared" si="15"/>
        <v>1046.2876193911616</v>
      </c>
      <c r="N61" s="300">
        <f t="shared" si="16"/>
        <v>1040.7717399619341</v>
      </c>
    </row>
    <row r="62" spans="1:14">
      <c r="B62" s="331" t="str">
        <f t="shared" si="9"/>
        <v>35-39</v>
      </c>
      <c r="C62" s="300">
        <f t="shared" si="11"/>
        <v>1148.6821057854706</v>
      </c>
      <c r="D62" s="300">
        <f t="shared" si="13"/>
        <v>1119.0383548213908</v>
      </c>
      <c r="E62" s="300">
        <f t="shared" si="13"/>
        <v>1095.7964665314057</v>
      </c>
      <c r="F62" s="300">
        <f t="shared" si="13"/>
        <v>1077.4426040419894</v>
      </c>
      <c r="G62" s="300">
        <f t="shared" si="13"/>
        <v>1059.4854641596812</v>
      </c>
      <c r="H62" s="300">
        <f t="shared" si="13"/>
        <v>1043.746680597247</v>
      </c>
      <c r="I62" s="300">
        <f t="shared" si="13"/>
        <v>1030.0392771494071</v>
      </c>
      <c r="J62" s="300">
        <f t="shared" si="13"/>
        <v>1021.5714597738069</v>
      </c>
      <c r="K62" s="300">
        <f t="shared" si="13"/>
        <v>1012.6271990566609</v>
      </c>
      <c r="L62" s="300">
        <f t="shared" si="14"/>
        <v>1002.6055671916411</v>
      </c>
      <c r="M62" s="300">
        <f t="shared" si="15"/>
        <v>992.28235445324628</v>
      </c>
      <c r="N62" s="300">
        <f t="shared" si="16"/>
        <v>984.39362130391908</v>
      </c>
    </row>
    <row r="63" spans="1:14">
      <c r="B63" s="331" t="str">
        <f t="shared" si="9"/>
        <v>40-44</v>
      </c>
      <c r="C63" s="300">
        <f t="shared" si="11"/>
        <v>859.33149937437042</v>
      </c>
      <c r="D63" s="300">
        <f t="shared" si="13"/>
        <v>902.6705097042634</v>
      </c>
      <c r="E63" s="300">
        <f t="shared" si="13"/>
        <v>928.09243964240159</v>
      </c>
      <c r="F63" s="300">
        <f t="shared" si="13"/>
        <v>943.75991218833292</v>
      </c>
      <c r="G63" s="300">
        <f t="shared" si="13"/>
        <v>950.52793385962798</v>
      </c>
      <c r="H63" s="300">
        <f t="shared" si="13"/>
        <v>952.55467831860017</v>
      </c>
      <c r="I63" s="300">
        <f t="shared" si="13"/>
        <v>951.31974220948075</v>
      </c>
      <c r="J63" s="300">
        <f t="shared" si="13"/>
        <v>950.74001020909782</v>
      </c>
      <c r="K63" s="300">
        <f t="shared" si="13"/>
        <v>946.74435148943985</v>
      </c>
      <c r="L63" s="300">
        <f t="shared" si="14"/>
        <v>939.58832653351112</v>
      </c>
      <c r="M63" s="300">
        <f t="shared" si="15"/>
        <v>930.714278588311</v>
      </c>
      <c r="N63" s="300">
        <f t="shared" si="16"/>
        <v>923.13310094321116</v>
      </c>
    </row>
    <row r="64" spans="1:14">
      <c r="B64" s="331" t="str">
        <f t="shared" si="9"/>
        <v>45-49</v>
      </c>
      <c r="C64" s="300">
        <f t="shared" si="11"/>
        <v>536.10892371446096</v>
      </c>
      <c r="D64" s="300">
        <f t="shared" si="13"/>
        <v>596.99859507604185</v>
      </c>
      <c r="E64" s="300">
        <f t="shared" si="13"/>
        <v>648.58723465838511</v>
      </c>
      <c r="F64" s="300">
        <f t="shared" si="13"/>
        <v>691.91201292166227</v>
      </c>
      <c r="G64" s="300">
        <f t="shared" si="13"/>
        <v>725.21749446915612</v>
      </c>
      <c r="H64" s="300">
        <f t="shared" si="13"/>
        <v>750.95937795610735</v>
      </c>
      <c r="I64" s="300">
        <f t="shared" si="13"/>
        <v>770.17953718276533</v>
      </c>
      <c r="J64" s="300">
        <f t="shared" si="13"/>
        <v>786.21653839946634</v>
      </c>
      <c r="K64" s="300">
        <f t="shared" si="13"/>
        <v>796.14476792730466</v>
      </c>
      <c r="L64" s="300">
        <f t="shared" si="14"/>
        <v>800.54748044882558</v>
      </c>
      <c r="M64" s="300">
        <f t="shared" si="15"/>
        <v>800.99579150266766</v>
      </c>
      <c r="N64" s="300">
        <f t="shared" si="16"/>
        <v>800.35608407608947</v>
      </c>
    </row>
    <row r="65" spans="1:14">
      <c r="B65" s="331" t="str">
        <f t="shared" si="9"/>
        <v>50-54</v>
      </c>
      <c r="C65" s="300">
        <f t="shared" si="11"/>
        <v>350.96659020247813</v>
      </c>
      <c r="D65" s="300">
        <f t="shared" si="13"/>
        <v>381.37040592858892</v>
      </c>
      <c r="E65" s="300">
        <f t="shared" si="13"/>
        <v>413.30602777784435</v>
      </c>
      <c r="F65" s="300">
        <f t="shared" si="13"/>
        <v>446.07698931536999</v>
      </c>
      <c r="G65" s="300">
        <f t="shared" si="13"/>
        <v>476.29462817553554</v>
      </c>
      <c r="H65" s="300">
        <f t="shared" si="13"/>
        <v>503.8382271473252</v>
      </c>
      <c r="I65" s="300">
        <f t="shared" si="13"/>
        <v>528.02736368681974</v>
      </c>
      <c r="J65" s="300">
        <f t="shared" si="13"/>
        <v>550.27734252373193</v>
      </c>
      <c r="K65" s="300">
        <f t="shared" si="13"/>
        <v>567.68867201068099</v>
      </c>
      <c r="L65" s="300">
        <f t="shared" si="14"/>
        <v>580.24423210896475</v>
      </c>
      <c r="M65" s="300">
        <f t="shared" si="15"/>
        <v>588.85072090861559</v>
      </c>
      <c r="N65" s="300">
        <f t="shared" si="16"/>
        <v>595.51250666363569</v>
      </c>
    </row>
    <row r="66" spans="1:14">
      <c r="B66" s="331" t="str">
        <f t="shared" si="9"/>
        <v>55-59</v>
      </c>
      <c r="C66" s="300">
        <f t="shared" si="11"/>
        <v>277.57331829757004</v>
      </c>
      <c r="D66" s="300">
        <f t="shared" si="13"/>
        <v>247.44108363806936</v>
      </c>
      <c r="E66" s="300">
        <f t="shared" si="13"/>
        <v>233.33821107783271</v>
      </c>
      <c r="F66" s="300">
        <f t="shared" si="13"/>
        <v>230.35268642549971</v>
      </c>
      <c r="G66" s="300">
        <f t="shared" si="13"/>
        <v>233.2289143636313</v>
      </c>
      <c r="H66" s="300">
        <f t="shared" si="13"/>
        <v>239.74498010181222</v>
      </c>
      <c r="I66" s="300">
        <f t="shared" si="13"/>
        <v>248.0013893746135</v>
      </c>
      <c r="J66" s="300">
        <f t="shared" si="13"/>
        <v>257.84302412042746</v>
      </c>
      <c r="K66" s="300">
        <f t="shared" si="13"/>
        <v>266.47835869400592</v>
      </c>
      <c r="L66" s="300">
        <f t="shared" si="14"/>
        <v>273.41487324279217</v>
      </c>
      <c r="M66" s="300">
        <f t="shared" si="15"/>
        <v>278.87730970495591</v>
      </c>
      <c r="N66" s="300">
        <f t="shared" si="16"/>
        <v>283.84352660821389</v>
      </c>
    </row>
    <row r="67" spans="1:14">
      <c r="B67" s="331" t="str">
        <f t="shared" si="9"/>
        <v>60-64</v>
      </c>
      <c r="C67" s="300">
        <f t="shared" si="11"/>
        <v>74.951294375971926</v>
      </c>
      <c r="D67" s="300">
        <f t="shared" si="13"/>
        <v>85.503157435923569</v>
      </c>
      <c r="E67" s="300">
        <f t="shared" si="13"/>
        <v>86.89486121226912</v>
      </c>
      <c r="F67" s="300">
        <f t="shared" si="13"/>
        <v>86.214620079605396</v>
      </c>
      <c r="G67" s="300">
        <f t="shared" si="13"/>
        <v>85.346653037957907</v>
      </c>
      <c r="H67" s="300">
        <f t="shared" si="13"/>
        <v>85.341881442382544</v>
      </c>
      <c r="I67" s="300">
        <f t="shared" si="13"/>
        <v>86.198316733838951</v>
      </c>
      <c r="J67" s="300">
        <f t="shared" si="13"/>
        <v>88.240064048428735</v>
      </c>
      <c r="K67" s="300">
        <f t="shared" si="13"/>
        <v>90.126413593219141</v>
      </c>
      <c r="L67" s="300">
        <f t="shared" si="14"/>
        <v>91.667715093225112</v>
      </c>
      <c r="M67" s="300">
        <f t="shared" si="15"/>
        <v>92.974699708305835</v>
      </c>
      <c r="N67" s="300">
        <f t="shared" si="16"/>
        <v>94.490031655021582</v>
      </c>
    </row>
    <row r="68" spans="1:14">
      <c r="B68" s="331" t="str">
        <f t="shared" si="9"/>
        <v>65 plus</v>
      </c>
      <c r="C68" s="300">
        <f t="shared" si="11"/>
        <v>0</v>
      </c>
      <c r="D68" s="300">
        <f t="shared" si="13"/>
        <v>13.025662825876054</v>
      </c>
      <c r="E68" s="300">
        <f t="shared" si="13"/>
        <v>22.477749910191331</v>
      </c>
      <c r="F68" s="300">
        <f t="shared" si="13"/>
        <v>28.675759284180913</v>
      </c>
      <c r="G68" s="300">
        <f t="shared" si="13"/>
        <v>32.397576241217998</v>
      </c>
      <c r="H68" s="300">
        <f t="shared" si="13"/>
        <v>34.635046483287972</v>
      </c>
      <c r="I68" s="300">
        <f t="shared" si="13"/>
        <v>36.041535817948116</v>
      </c>
      <c r="J68" s="300">
        <f t="shared" si="13"/>
        <v>37.19534957696888</v>
      </c>
      <c r="K68" s="300">
        <f t="shared" si="13"/>
        <v>38.050873968284023</v>
      </c>
      <c r="L68" s="300">
        <f t="shared" si="14"/>
        <v>38.666635524394152</v>
      </c>
      <c r="M68" s="300">
        <f t="shared" si="15"/>
        <v>39.136647276910253</v>
      </c>
      <c r="N68" s="300">
        <f t="shared" si="16"/>
        <v>39.641232427010451</v>
      </c>
    </row>
    <row r="69" spans="1:14">
      <c r="B69" s="331" t="str">
        <f t="shared" si="9"/>
        <v>Total</v>
      </c>
      <c r="C69" s="300">
        <f t="shared" si="11"/>
        <v>6035.0451001562524</v>
      </c>
      <c r="D69" s="300">
        <f t="shared" si="13"/>
        <v>6113.4853899962254</v>
      </c>
      <c r="E69" s="300">
        <f t="shared" si="13"/>
        <v>6172.0894410120472</v>
      </c>
      <c r="F69" s="300">
        <f t="shared" si="13"/>
        <v>6244.6271673374558</v>
      </c>
      <c r="G69" s="300">
        <f t="shared" si="13"/>
        <v>6296.1132487409041</v>
      </c>
      <c r="H69" s="300">
        <f t="shared" si="13"/>
        <v>6343.9528784425192</v>
      </c>
      <c r="I69" s="300">
        <f t="shared" si="13"/>
        <v>6385.80967014415</v>
      </c>
      <c r="J69" s="300">
        <f t="shared" si="13"/>
        <v>6454.1846317392101</v>
      </c>
      <c r="K69" s="300">
        <f t="shared" si="13"/>
        <v>6487.6260624830766</v>
      </c>
      <c r="L69" s="300">
        <f t="shared" si="14"/>
        <v>6483.4964823909468</v>
      </c>
      <c r="M69" s="300">
        <f t="shared" si="15"/>
        <v>6455.8876295705222</v>
      </c>
      <c r="N69" s="300">
        <f t="shared" si="16"/>
        <v>6438.9927815434758</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162.16490648307251</v>
      </c>
      <c r="D77" s="447">
        <f>D43-(0.2*D43)</f>
        <v>226.9273787675026</v>
      </c>
      <c r="E77" s="447">
        <f t="shared" ref="E77:N77" si="20">E43-(0.2*E43)</f>
        <v>271.34237050912691</v>
      </c>
      <c r="F77" s="447">
        <f t="shared" si="20"/>
        <v>305.89943035817674</v>
      </c>
      <c r="G77" s="447">
        <f t="shared" si="20"/>
        <v>329.73674744639936</v>
      </c>
      <c r="H77" s="447">
        <f t="shared" si="20"/>
        <v>346.88236775228222</v>
      </c>
      <c r="I77" s="447">
        <f t="shared" si="20"/>
        <v>359.03229320321338</v>
      </c>
      <c r="J77" s="447">
        <f t="shared" si="20"/>
        <v>372.7885394324839</v>
      </c>
      <c r="K77" s="447">
        <f t="shared" si="20"/>
        <v>378.46308850847203</v>
      </c>
      <c r="L77" s="447">
        <f t="shared" si="20"/>
        <v>377.47043480505084</v>
      </c>
      <c r="M77" s="447">
        <f t="shared" si="20"/>
        <v>373.37266560834973</v>
      </c>
      <c r="N77" s="447">
        <f t="shared" si="20"/>
        <v>372.06347435783198</v>
      </c>
    </row>
    <row r="78" spans="1:14">
      <c r="B78" s="331" t="str">
        <f t="shared" si="18"/>
        <v>25-29</v>
      </c>
      <c r="C78" s="447">
        <f t="shared" ref="C78:C85" si="21">C44+(0.2*C43)-(0.2*C44)</f>
        <v>550.77476145814853</v>
      </c>
      <c r="D78" s="447">
        <f t="shared" ref="D78:N78" si="22">D44+(0.2*D43)-(0.2*D44)</f>
        <v>557.64005325740573</v>
      </c>
      <c r="E78" s="447">
        <f t="shared" si="22"/>
        <v>574.48872566080195</v>
      </c>
      <c r="F78" s="447">
        <f t="shared" si="22"/>
        <v>597.73703299996259</v>
      </c>
      <c r="G78" s="447">
        <f t="shared" si="22"/>
        <v>620.4282561568881</v>
      </c>
      <c r="H78" s="447">
        <f t="shared" si="22"/>
        <v>641.24215989225593</v>
      </c>
      <c r="I78" s="447">
        <f t="shared" si="22"/>
        <v>659.11617406165578</v>
      </c>
      <c r="J78" s="447">
        <f t="shared" si="22"/>
        <v>680.50263500620099</v>
      </c>
      <c r="K78" s="447">
        <f t="shared" si="22"/>
        <v>692.93736580106963</v>
      </c>
      <c r="L78" s="447">
        <f t="shared" si="22"/>
        <v>696.35164579607363</v>
      </c>
      <c r="M78" s="447">
        <f t="shared" si="22"/>
        <v>694.22674443359983</v>
      </c>
      <c r="N78" s="447">
        <f t="shared" si="22"/>
        <v>693.96975904453939</v>
      </c>
    </row>
    <row r="79" spans="1:14">
      <c r="B79" s="331" t="str">
        <f t="shared" si="18"/>
        <v>30-34</v>
      </c>
      <c r="C79" s="447">
        <f t="shared" si="21"/>
        <v>740.23289731896125</v>
      </c>
      <c r="D79" s="447">
        <f t="shared" ref="D79:N79" si="23">D45+(0.2*D44)-(0.2*D45)</f>
        <v>725.60803065820755</v>
      </c>
      <c r="E79" s="447">
        <f t="shared" si="23"/>
        <v>717.54291056555826</v>
      </c>
      <c r="F79" s="447">
        <f t="shared" si="23"/>
        <v>715.99310695865813</v>
      </c>
      <c r="G79" s="447">
        <f t="shared" si="23"/>
        <v>719.6447411344451</v>
      </c>
      <c r="H79" s="447">
        <f t="shared" si="23"/>
        <v>726.79908230077547</v>
      </c>
      <c r="I79" s="447">
        <f t="shared" si="23"/>
        <v>735.91035044134787</v>
      </c>
      <c r="J79" s="447">
        <f t="shared" si="23"/>
        <v>749.79842998298977</v>
      </c>
      <c r="K79" s="447">
        <f t="shared" si="23"/>
        <v>760.79722535053963</v>
      </c>
      <c r="L79" s="447">
        <f t="shared" si="23"/>
        <v>767.28879247016653</v>
      </c>
      <c r="M79" s="447">
        <f t="shared" si="23"/>
        <v>770.04474214942775</v>
      </c>
      <c r="N79" s="447">
        <f t="shared" si="23"/>
        <v>772.85486716637615</v>
      </c>
    </row>
    <row r="80" spans="1:14">
      <c r="B80" s="331" t="str">
        <f t="shared" si="18"/>
        <v>35-39</v>
      </c>
      <c r="C80" s="447">
        <f t="shared" si="21"/>
        <v>876.07903937856031</v>
      </c>
      <c r="D80" s="447">
        <f t="shared" ref="D80:N80" si="24">D46+(0.2*D45)-(0.2*D46)</f>
        <v>842.43418181306674</v>
      </c>
      <c r="E80" s="447">
        <f t="shared" si="24"/>
        <v>816.50859339335818</v>
      </c>
      <c r="F80" s="447">
        <f t="shared" si="24"/>
        <v>796.06267867251802</v>
      </c>
      <c r="G80" s="447">
        <f t="shared" si="24"/>
        <v>781.44009774390634</v>
      </c>
      <c r="H80" s="447">
        <f t="shared" si="24"/>
        <v>771.60747207837233</v>
      </c>
      <c r="I80" s="447">
        <f t="shared" si="24"/>
        <v>765.78123930857862</v>
      </c>
      <c r="J80" s="447">
        <f t="shared" si="24"/>
        <v>765.83709546076238</v>
      </c>
      <c r="K80" s="447">
        <f t="shared" si="24"/>
        <v>766.49325215659451</v>
      </c>
      <c r="L80" s="447">
        <f t="shared" si="24"/>
        <v>766.51761785734766</v>
      </c>
      <c r="M80" s="447">
        <f t="shared" si="24"/>
        <v>766.00415849526098</v>
      </c>
      <c r="N80" s="447">
        <f t="shared" si="24"/>
        <v>766.89639330377088</v>
      </c>
    </row>
    <row r="81" spans="1:14">
      <c r="B81" s="331" t="str">
        <f t="shared" si="18"/>
        <v>40-44</v>
      </c>
      <c r="C81" s="447">
        <f t="shared" si="21"/>
        <v>795.05305944510121</v>
      </c>
      <c r="D81" s="447">
        <f t="shared" ref="D81:N81" si="25">D47+(0.2*D46)-(0.2*D47)</f>
        <v>798.61201604257803</v>
      </c>
      <c r="E81" s="447">
        <f t="shared" si="25"/>
        <v>796.70031082673063</v>
      </c>
      <c r="F81" s="447">
        <f t="shared" si="25"/>
        <v>790.37550439289998</v>
      </c>
      <c r="G81" s="447">
        <f t="shared" si="25"/>
        <v>782.75782364834299</v>
      </c>
      <c r="H81" s="447">
        <f t="shared" si="25"/>
        <v>774.68804797781854</v>
      </c>
      <c r="I81" s="447">
        <f t="shared" si="25"/>
        <v>767.01505386062388</v>
      </c>
      <c r="J81" s="447">
        <f t="shared" si="25"/>
        <v>762.49855783871419</v>
      </c>
      <c r="K81" s="447">
        <f t="shared" si="25"/>
        <v>757.55856284502124</v>
      </c>
      <c r="L81" s="447">
        <f t="shared" si="25"/>
        <v>751.96156670170467</v>
      </c>
      <c r="M81" s="447">
        <f t="shared" si="25"/>
        <v>746.38962259661662</v>
      </c>
      <c r="N81" s="447">
        <f t="shared" si="25"/>
        <v>742.80437893274018</v>
      </c>
    </row>
    <row r="82" spans="1:14">
      <c r="B82" s="331" t="str">
        <f t="shared" si="18"/>
        <v>45-49</v>
      </c>
      <c r="C82" s="447">
        <f t="shared" si="21"/>
        <v>628.1437943036774</v>
      </c>
      <c r="D82" s="447">
        <f t="shared" ref="D82:N82" si="26">D48+(0.2*D47)-(0.2*D48)</f>
        <v>643.20158770223179</v>
      </c>
      <c r="E82" s="447">
        <f t="shared" si="26"/>
        <v>656.4976409207527</v>
      </c>
      <c r="F82" s="447">
        <f t="shared" si="26"/>
        <v>665.40474126559161</v>
      </c>
      <c r="G82" s="447">
        <f t="shared" si="26"/>
        <v>671.61120332105997</v>
      </c>
      <c r="H82" s="447">
        <f t="shared" si="26"/>
        <v>674.95356477496057</v>
      </c>
      <c r="I82" s="447">
        <f t="shared" si="26"/>
        <v>675.99826204944998</v>
      </c>
      <c r="J82" s="447">
        <f t="shared" si="26"/>
        <v>677.17704097057708</v>
      </c>
      <c r="K82" s="447">
        <f t="shared" si="26"/>
        <v>675.88655935150382</v>
      </c>
      <c r="L82" s="447">
        <f t="shared" si="26"/>
        <v>672.34738057378331</v>
      </c>
      <c r="M82" s="447">
        <f t="shared" si="26"/>
        <v>667.56323509155084</v>
      </c>
      <c r="N82" s="447">
        <f t="shared" si="26"/>
        <v>663.56860269871993</v>
      </c>
    </row>
    <row r="83" spans="1:14">
      <c r="B83" s="331" t="str">
        <f t="shared" si="18"/>
        <v>50-54</v>
      </c>
      <c r="C83" s="447">
        <f t="shared" si="21"/>
        <v>447.67252430552026</v>
      </c>
      <c r="D83" s="447">
        <f t="shared" ref="D83:N83" si="27">D49+(0.2*D48)-(0.2*D49)</f>
        <v>467.58721585538211</v>
      </c>
      <c r="E83" s="447">
        <f t="shared" si="27"/>
        <v>485.73952679467789</v>
      </c>
      <c r="F83" s="447">
        <f t="shared" si="27"/>
        <v>501.22529710121137</v>
      </c>
      <c r="G83" s="447">
        <f t="shared" si="27"/>
        <v>514.60368159450957</v>
      </c>
      <c r="H83" s="447">
        <f t="shared" si="27"/>
        <v>525.59174761042868</v>
      </c>
      <c r="I83" s="447">
        <f t="shared" si="27"/>
        <v>534.23167503895695</v>
      </c>
      <c r="J83" s="447">
        <f t="shared" si="27"/>
        <v>542.06553937357762</v>
      </c>
      <c r="K83" s="447">
        <f t="shared" si="27"/>
        <v>546.95666418224232</v>
      </c>
      <c r="L83" s="447">
        <f t="shared" si="27"/>
        <v>548.9872748817495</v>
      </c>
      <c r="M83" s="447">
        <f t="shared" si="27"/>
        <v>548.92746514503142</v>
      </c>
      <c r="N83" s="447">
        <f t="shared" si="27"/>
        <v>548.4076882184404</v>
      </c>
    </row>
    <row r="84" spans="1:14">
      <c r="B84" s="331" t="str">
        <f t="shared" si="18"/>
        <v>55-59</v>
      </c>
      <c r="C84" s="447">
        <f t="shared" si="21"/>
        <v>293.1941957796256</v>
      </c>
      <c r="D84" s="447">
        <f t="shared" ref="D84:N84" si="28">D50+(0.2*D49)-(0.2*D50)</f>
        <v>275.90847358720401</v>
      </c>
      <c r="E84" s="447">
        <f t="shared" si="28"/>
        <v>269.67870965643772</v>
      </c>
      <c r="F84" s="447">
        <f t="shared" si="28"/>
        <v>269.40943633261412</v>
      </c>
      <c r="G84" s="447">
        <f t="shared" si="28"/>
        <v>272.29876931294325</v>
      </c>
      <c r="H84" s="447">
        <f t="shared" si="28"/>
        <v>276.56409665851487</v>
      </c>
      <c r="I84" s="447">
        <f t="shared" si="28"/>
        <v>281.15420952865918</v>
      </c>
      <c r="J84" s="447">
        <f t="shared" si="28"/>
        <v>286.39435950624869</v>
      </c>
      <c r="K84" s="447">
        <f t="shared" si="28"/>
        <v>290.27632234607086</v>
      </c>
      <c r="L84" s="447">
        <f t="shared" si="28"/>
        <v>292.62538512633569</v>
      </c>
      <c r="M84" s="447">
        <f t="shared" si="28"/>
        <v>293.80223161457923</v>
      </c>
      <c r="N84" s="447">
        <f t="shared" si="28"/>
        <v>294.75963807102363</v>
      </c>
    </row>
    <row r="85" spans="1:14">
      <c r="B85" s="331" t="str">
        <f t="shared" si="18"/>
        <v>60-64</v>
      </c>
      <c r="C85" s="447">
        <f t="shared" si="21"/>
        <v>119.91325956341538</v>
      </c>
      <c r="D85" s="447">
        <f t="shared" ref="D85:N85" si="29">D51+(0.2*D50)-(0.2*D51)</f>
        <v>117.51996795734532</v>
      </c>
      <c r="E85" s="447">
        <f t="shared" si="29"/>
        <v>113.82856805562142</v>
      </c>
      <c r="F85" s="447">
        <f t="shared" si="29"/>
        <v>111.18682574790735</v>
      </c>
      <c r="G85" s="447">
        <f t="shared" si="29"/>
        <v>109.82910752680473</v>
      </c>
      <c r="H85" s="447">
        <f t="shared" si="29"/>
        <v>109.61408444201638</v>
      </c>
      <c r="I85" s="447">
        <f t="shared" si="29"/>
        <v>110.16783374352981</v>
      </c>
      <c r="J85" s="447">
        <f t="shared" si="29"/>
        <v>111.65603675560187</v>
      </c>
      <c r="K85" s="447">
        <f t="shared" si="29"/>
        <v>112.85317018123372</v>
      </c>
      <c r="L85" s="447">
        <f t="shared" si="29"/>
        <v>113.59127233847013</v>
      </c>
      <c r="M85" s="447">
        <f t="shared" si="29"/>
        <v>114.00312124023816</v>
      </c>
      <c r="N85" s="447">
        <f t="shared" si="29"/>
        <v>114.54009332217724</v>
      </c>
    </row>
    <row r="86" spans="1:14">
      <c r="B86" s="331" t="str">
        <f t="shared" si="18"/>
        <v>65 plus</v>
      </c>
      <c r="C86" s="447">
        <f>C52+(0.2*C51)</f>
        <v>24.34660435984393</v>
      </c>
      <c r="D86" s="447">
        <f t="shared" ref="D86:N86" si="30">D52+(0.2*D51)</f>
        <v>34.15478678822447</v>
      </c>
      <c r="E86" s="447">
        <f t="shared" si="30"/>
        <v>39.557033982808576</v>
      </c>
      <c r="F86" s="447">
        <f t="shared" si="30"/>
        <v>42.152316350271221</v>
      </c>
      <c r="G86" s="447">
        <f t="shared" si="30"/>
        <v>43.372138026375652</v>
      </c>
      <c r="H86" s="447">
        <f t="shared" si="30"/>
        <v>43.91749534677006</v>
      </c>
      <c r="I86" s="447">
        <f t="shared" si="30"/>
        <v>44.212766274488779</v>
      </c>
      <c r="J86" s="447">
        <f t="shared" si="30"/>
        <v>44.669104978632006</v>
      </c>
      <c r="K86" s="447">
        <f t="shared" si="30"/>
        <v>44.970771078517366</v>
      </c>
      <c r="L86" s="447">
        <f t="shared" si="30"/>
        <v>45.102512621033853</v>
      </c>
      <c r="M86" s="447">
        <f t="shared" si="30"/>
        <v>45.137400035759597</v>
      </c>
      <c r="N86" s="447">
        <f t="shared" si="30"/>
        <v>45.27234690073314</v>
      </c>
    </row>
    <row r="87" spans="1:14">
      <c r="B87" s="331" t="str">
        <f t="shared" si="18"/>
        <v>Total</v>
      </c>
      <c r="C87" s="447">
        <f>SUM(C77:C86)</f>
        <v>4637.5750423959253</v>
      </c>
      <c r="D87" s="447">
        <f t="shared" ref="D87:N87" si="31">SUM(D77:D86)</f>
        <v>4689.5936924291482</v>
      </c>
      <c r="E87" s="447">
        <f t="shared" si="31"/>
        <v>4741.8843903658744</v>
      </c>
      <c r="F87" s="447">
        <f t="shared" si="31"/>
        <v>4795.4463701798113</v>
      </c>
      <c r="G87" s="447">
        <f t="shared" si="31"/>
        <v>4845.7225659116757</v>
      </c>
      <c r="H87" s="447">
        <f t="shared" si="31"/>
        <v>4891.8601188341954</v>
      </c>
      <c r="I87" s="447">
        <f t="shared" si="31"/>
        <v>4932.6198575105045</v>
      </c>
      <c r="J87" s="447">
        <f t="shared" si="31"/>
        <v>4993.3873393057884</v>
      </c>
      <c r="K87" s="447">
        <f t="shared" si="31"/>
        <v>5027.1929818012641</v>
      </c>
      <c r="L87" s="447">
        <f t="shared" si="31"/>
        <v>5032.2438831717163</v>
      </c>
      <c r="M87" s="447">
        <f t="shared" si="31"/>
        <v>5019.4713864104133</v>
      </c>
      <c r="N87" s="447">
        <f t="shared" si="31"/>
        <v>5015.1372420163534</v>
      </c>
    </row>
    <row r="88" spans="1:14">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372.1510898299187</v>
      </c>
      <c r="D93" s="447">
        <f t="shared" ref="D93:N93" si="35">D59-(0.2*D59)</f>
        <v>411.99562589427285</v>
      </c>
      <c r="E93" s="447">
        <f t="shared" si="35"/>
        <v>438.42828073880503</v>
      </c>
      <c r="F93" s="447">
        <f t="shared" si="35"/>
        <v>462.67698918794093</v>
      </c>
      <c r="G93" s="447">
        <f t="shared" si="35"/>
        <v>478.33465526219572</v>
      </c>
      <c r="H93" s="447">
        <f t="shared" si="35"/>
        <v>490.19071752124745</v>
      </c>
      <c r="I93" s="447">
        <f t="shared" si="35"/>
        <v>498.89714579614792</v>
      </c>
      <c r="J93" s="447">
        <f t="shared" si="35"/>
        <v>511.97765087723974</v>
      </c>
      <c r="K93" s="447">
        <f t="shared" si="35"/>
        <v>516.16230007704814</v>
      </c>
      <c r="L93" s="447">
        <f t="shared" si="35"/>
        <v>512.70184950817986</v>
      </c>
      <c r="M93" s="447">
        <f t="shared" si="35"/>
        <v>505.83669762918862</v>
      </c>
      <c r="N93" s="447">
        <f t="shared" si="35"/>
        <v>503.00588555964544</v>
      </c>
    </row>
    <row r="94" spans="1:14">
      <c r="B94" s="331" t="str">
        <f t="shared" si="33"/>
        <v>25-29</v>
      </c>
      <c r="C94" s="447">
        <f t="shared" ref="C94:C101" si="36">C60+(0.2*C59)-(0.2*C60)</f>
        <v>1041.1797568418122</v>
      </c>
      <c r="D94" s="447">
        <f t="shared" ref="D94:N94" si="37">D60+(0.2*D59)-(0.2*D60)</f>
        <v>997.1088446996539</v>
      </c>
      <c r="E94" s="447">
        <f t="shared" si="37"/>
        <v>970.46067943914557</v>
      </c>
      <c r="F94" s="447">
        <f t="shared" si="37"/>
        <v>962.6226164102751</v>
      </c>
      <c r="G94" s="447">
        <f t="shared" si="37"/>
        <v>959.05996664902727</v>
      </c>
      <c r="H94" s="447">
        <f t="shared" si="37"/>
        <v>960.40164883219074</v>
      </c>
      <c r="I94" s="447">
        <f t="shared" si="37"/>
        <v>963.9356089685723</v>
      </c>
      <c r="J94" s="447">
        <f t="shared" si="37"/>
        <v>976.8345863880927</v>
      </c>
      <c r="K94" s="447">
        <f t="shared" si="37"/>
        <v>981.93653941722914</v>
      </c>
      <c r="L94" s="447">
        <f t="shared" si="37"/>
        <v>978.16121782580638</v>
      </c>
      <c r="M94" s="447">
        <f t="shared" si="37"/>
        <v>969.2370432071865</v>
      </c>
      <c r="N94" s="447">
        <f t="shared" si="37"/>
        <v>964.22633615381778</v>
      </c>
    </row>
    <row r="95" spans="1:14">
      <c r="B95" s="331" t="str">
        <f t="shared" si="33"/>
        <v>30-34</v>
      </c>
      <c r="C95" s="447">
        <f t="shared" si="36"/>
        <v>1146.6875166065763</v>
      </c>
      <c r="D95" s="447">
        <f t="shared" ref="D95:N95" si="38">D61+(0.2*D60)-(0.2*D61)</f>
        <v>1131.37201688902</v>
      </c>
      <c r="E95" s="447">
        <f t="shared" si="38"/>
        <v>1110.8086724817349</v>
      </c>
      <c r="F95" s="447">
        <f t="shared" si="38"/>
        <v>1094.2620504417437</v>
      </c>
      <c r="G95" s="447">
        <f t="shared" si="38"/>
        <v>1078.9497851599713</v>
      </c>
      <c r="H95" s="447">
        <f t="shared" si="38"/>
        <v>1067.9244105064492</v>
      </c>
      <c r="I95" s="447">
        <f t="shared" si="38"/>
        <v>1060.496368705622</v>
      </c>
      <c r="J95" s="447">
        <f t="shared" si="38"/>
        <v>1061.0728933409994</v>
      </c>
      <c r="K95" s="447">
        <f t="shared" si="38"/>
        <v>1059.9780672192619</v>
      </c>
      <c r="L95" s="447">
        <f t="shared" si="38"/>
        <v>1055.2181557033232</v>
      </c>
      <c r="M95" s="447">
        <f t="shared" si="38"/>
        <v>1047.7245627129016</v>
      </c>
      <c r="N95" s="447">
        <f t="shared" si="38"/>
        <v>1042.2361081605238</v>
      </c>
    </row>
    <row r="96" spans="1:14">
      <c r="B96" s="331" t="str">
        <f t="shared" si="33"/>
        <v>35-39</v>
      </c>
      <c r="C96" s="447">
        <f t="shared" si="36"/>
        <v>1146.3586897559999</v>
      </c>
      <c r="D96" s="447">
        <f t="shared" ref="D96:N96" si="39">D62+(0.2*D61)-(0.2*D62)</f>
        <v>1122.1918169402372</v>
      </c>
      <c r="E96" s="447">
        <f t="shared" si="39"/>
        <v>1100.5359907671555</v>
      </c>
      <c r="F96" s="447">
        <f t="shared" si="39"/>
        <v>1082.5850102744469</v>
      </c>
      <c r="G96" s="447">
        <f t="shared" si="39"/>
        <v>1064.8585486906454</v>
      </c>
      <c r="H96" s="447">
        <f t="shared" si="39"/>
        <v>1049.6125740136674</v>
      </c>
      <c r="I96" s="447">
        <f t="shared" si="39"/>
        <v>1036.7048062384604</v>
      </c>
      <c r="J96" s="447">
        <f t="shared" si="39"/>
        <v>1029.4728802999964</v>
      </c>
      <c r="K96" s="447">
        <f t="shared" si="39"/>
        <v>1021.7902782752711</v>
      </c>
      <c r="L96" s="447">
        <f t="shared" si="39"/>
        <v>1012.7648829635959</v>
      </c>
      <c r="M96" s="447">
        <f t="shared" si="39"/>
        <v>1003.0834074408293</v>
      </c>
      <c r="N96" s="447">
        <f t="shared" si="39"/>
        <v>995.66924503552195</v>
      </c>
    </row>
    <row r="97" spans="1:16">
      <c r="B97" s="331" t="str">
        <f t="shared" si="33"/>
        <v>40-44</v>
      </c>
      <c r="C97" s="447">
        <f t="shared" si="36"/>
        <v>917.20162065659042</v>
      </c>
      <c r="D97" s="447">
        <f t="shared" ref="D97:N97" si="40">D63+(0.2*D62)-(0.2*D63)</f>
        <v>945.94407872768898</v>
      </c>
      <c r="E97" s="447">
        <f t="shared" si="40"/>
        <v>961.63324502020237</v>
      </c>
      <c r="F97" s="447">
        <f t="shared" si="40"/>
        <v>970.49645055906421</v>
      </c>
      <c r="G97" s="447">
        <f t="shared" si="40"/>
        <v>972.31943991963863</v>
      </c>
      <c r="H97" s="447">
        <f t="shared" si="40"/>
        <v>970.7930787743295</v>
      </c>
      <c r="I97" s="447">
        <f t="shared" si="40"/>
        <v>967.06364919746602</v>
      </c>
      <c r="J97" s="447">
        <f t="shared" si="40"/>
        <v>964.90630012203951</v>
      </c>
      <c r="K97" s="447">
        <f t="shared" si="40"/>
        <v>959.92092100288414</v>
      </c>
      <c r="L97" s="447">
        <f t="shared" si="40"/>
        <v>952.19177466513702</v>
      </c>
      <c r="M97" s="447">
        <f t="shared" si="40"/>
        <v>943.02789376129806</v>
      </c>
      <c r="N97" s="447">
        <f t="shared" si="40"/>
        <v>935.38520501535265</v>
      </c>
    </row>
    <row r="98" spans="1:16">
      <c r="B98" s="331" t="str">
        <f t="shared" si="33"/>
        <v>45-49</v>
      </c>
      <c r="C98" s="447">
        <f t="shared" si="36"/>
        <v>600.75343884644292</v>
      </c>
      <c r="D98" s="447">
        <f t="shared" ref="D98:N98" si="41">D64+(0.2*D63)-(0.2*D64)</f>
        <v>658.13297800168618</v>
      </c>
      <c r="E98" s="447">
        <f t="shared" si="41"/>
        <v>704.48827565518843</v>
      </c>
      <c r="F98" s="447">
        <f t="shared" si="41"/>
        <v>742.2815927749964</v>
      </c>
      <c r="G98" s="447">
        <f t="shared" si="41"/>
        <v>770.27958234725043</v>
      </c>
      <c r="H98" s="447">
        <f t="shared" si="41"/>
        <v>791.27843802860593</v>
      </c>
      <c r="I98" s="447">
        <f t="shared" si="41"/>
        <v>806.40757818810835</v>
      </c>
      <c r="J98" s="447">
        <f t="shared" si="41"/>
        <v>819.12123276139266</v>
      </c>
      <c r="K98" s="447">
        <f t="shared" si="41"/>
        <v>826.26468463973174</v>
      </c>
      <c r="L98" s="447">
        <f t="shared" si="41"/>
        <v>828.35564966576271</v>
      </c>
      <c r="M98" s="447">
        <f t="shared" si="41"/>
        <v>826.9394889197963</v>
      </c>
      <c r="N98" s="447">
        <f t="shared" si="41"/>
        <v>824.91148744951386</v>
      </c>
    </row>
    <row r="99" spans="1:16">
      <c r="B99" s="331" t="str">
        <f t="shared" si="33"/>
        <v>50-54</v>
      </c>
      <c r="C99" s="447">
        <f t="shared" si="36"/>
        <v>387.99505690487473</v>
      </c>
      <c r="D99" s="447">
        <f t="shared" ref="D99:N99" si="42">D65+(0.2*D64)-(0.2*D65)</f>
        <v>424.49604375807951</v>
      </c>
      <c r="E99" s="447">
        <f t="shared" si="42"/>
        <v>460.36226915395247</v>
      </c>
      <c r="F99" s="447">
        <f t="shared" si="42"/>
        <v>495.24399403662846</v>
      </c>
      <c r="G99" s="447">
        <f t="shared" si="42"/>
        <v>526.07920143425963</v>
      </c>
      <c r="H99" s="447">
        <f t="shared" si="42"/>
        <v>553.2624573090817</v>
      </c>
      <c r="I99" s="447">
        <f t="shared" si="42"/>
        <v>576.4577983860089</v>
      </c>
      <c r="J99" s="447">
        <f t="shared" si="42"/>
        <v>597.46518169887884</v>
      </c>
      <c r="K99" s="447">
        <f t="shared" si="42"/>
        <v>613.37989119400572</v>
      </c>
      <c r="L99" s="447">
        <f t="shared" si="42"/>
        <v>624.3048817769369</v>
      </c>
      <c r="M99" s="447">
        <f t="shared" si="42"/>
        <v>631.279735027426</v>
      </c>
      <c r="N99" s="447">
        <f t="shared" si="42"/>
        <v>636.48122214612647</v>
      </c>
    </row>
    <row r="100" spans="1:16">
      <c r="B100" s="331" t="str">
        <f t="shared" si="33"/>
        <v>55-59</v>
      </c>
      <c r="C100" s="447">
        <f t="shared" si="36"/>
        <v>292.25197267855162</v>
      </c>
      <c r="D100" s="447">
        <f t="shared" ref="D100:N100" si="43">D66+(0.2*D65)-(0.2*D66)</f>
        <v>274.22694809617332</v>
      </c>
      <c r="E100" s="447">
        <f t="shared" si="43"/>
        <v>269.33177441783499</v>
      </c>
      <c r="F100" s="447">
        <f t="shared" si="43"/>
        <v>273.49754700347376</v>
      </c>
      <c r="G100" s="447">
        <f t="shared" si="43"/>
        <v>281.84205712601215</v>
      </c>
      <c r="H100" s="447">
        <f t="shared" si="43"/>
        <v>292.56362951091478</v>
      </c>
      <c r="I100" s="447">
        <f t="shared" si="43"/>
        <v>304.00658423705471</v>
      </c>
      <c r="J100" s="447">
        <f t="shared" si="43"/>
        <v>316.32988780108838</v>
      </c>
      <c r="K100" s="447">
        <f t="shared" si="43"/>
        <v>326.72042135734091</v>
      </c>
      <c r="L100" s="447">
        <f t="shared" si="43"/>
        <v>334.78074501602669</v>
      </c>
      <c r="M100" s="447">
        <f t="shared" si="43"/>
        <v>340.87199194568785</v>
      </c>
      <c r="N100" s="447">
        <f t="shared" si="43"/>
        <v>346.17732261929825</v>
      </c>
    </row>
    <row r="101" spans="1:16">
      <c r="B101" s="331" t="str">
        <f t="shared" si="33"/>
        <v>60-64</v>
      </c>
      <c r="C101" s="447">
        <f t="shared" si="36"/>
        <v>115.47569916029154</v>
      </c>
      <c r="D101" s="447">
        <f t="shared" ref="D101:N101" si="44">D67+(0.2*D66)-(0.2*D67)</f>
        <v>117.89074267635273</v>
      </c>
      <c r="E101" s="447">
        <f t="shared" si="44"/>
        <v>116.18353118538185</v>
      </c>
      <c r="F101" s="447">
        <f t="shared" si="44"/>
        <v>115.04223334878428</v>
      </c>
      <c r="G101" s="447">
        <f t="shared" si="44"/>
        <v>114.9231053030926</v>
      </c>
      <c r="H101" s="447">
        <f t="shared" si="44"/>
        <v>116.22250117426847</v>
      </c>
      <c r="I101" s="447">
        <f t="shared" si="44"/>
        <v>118.55893126199385</v>
      </c>
      <c r="J101" s="447">
        <f t="shared" si="44"/>
        <v>122.16065606282848</v>
      </c>
      <c r="K101" s="447">
        <f t="shared" si="44"/>
        <v>125.39680261337651</v>
      </c>
      <c r="L101" s="447">
        <f t="shared" si="44"/>
        <v>128.01714672313852</v>
      </c>
      <c r="M101" s="447">
        <f t="shared" si="44"/>
        <v>130.15522170763586</v>
      </c>
      <c r="N101" s="447">
        <f t="shared" si="44"/>
        <v>132.36073064566003</v>
      </c>
    </row>
    <row r="102" spans="1:16">
      <c r="B102" s="331" t="str">
        <f t="shared" si="33"/>
        <v>65 plus</v>
      </c>
      <c r="C102" s="447">
        <f>C68+(0.2*C67)</f>
        <v>14.990258875194385</v>
      </c>
      <c r="D102" s="447">
        <f t="shared" ref="D102:N102" si="45">D68+(0.2*D67)</f>
        <v>30.126294313060768</v>
      </c>
      <c r="E102" s="447">
        <f t="shared" si="45"/>
        <v>39.856722152645155</v>
      </c>
      <c r="F102" s="447">
        <f t="shared" si="45"/>
        <v>45.918683300101989</v>
      </c>
      <c r="G102" s="447">
        <f t="shared" si="45"/>
        <v>49.466906848809579</v>
      </c>
      <c r="H102" s="447">
        <f t="shared" si="45"/>
        <v>51.70342277176448</v>
      </c>
      <c r="I102" s="447">
        <f t="shared" si="45"/>
        <v>53.281199164715908</v>
      </c>
      <c r="J102" s="447">
        <f t="shared" si="45"/>
        <v>54.843362386654633</v>
      </c>
      <c r="K102" s="447">
        <f t="shared" si="45"/>
        <v>56.076156686927852</v>
      </c>
      <c r="L102" s="447">
        <f t="shared" si="45"/>
        <v>57.000178543039176</v>
      </c>
      <c r="M102" s="447">
        <f t="shared" si="45"/>
        <v>57.73158721857142</v>
      </c>
      <c r="N102" s="447">
        <f t="shared" si="45"/>
        <v>58.539238758014768</v>
      </c>
    </row>
    <row r="103" spans="1:16">
      <c r="B103" s="331" t="str">
        <f t="shared" si="33"/>
        <v>Total</v>
      </c>
      <c r="C103" s="447">
        <f>SUM(C93:C102)</f>
        <v>6035.0451001562533</v>
      </c>
      <c r="D103" s="447">
        <f t="shared" ref="D103:N103" si="46">SUM(D93:D102)</f>
        <v>6113.4853899962245</v>
      </c>
      <c r="E103" s="447">
        <f t="shared" si="46"/>
        <v>6172.0894410120463</v>
      </c>
      <c r="F103" s="447">
        <f t="shared" si="46"/>
        <v>6244.6271673374558</v>
      </c>
      <c r="G103" s="447">
        <f t="shared" si="46"/>
        <v>6296.1132487409031</v>
      </c>
      <c r="H103" s="447">
        <f t="shared" si="46"/>
        <v>6343.9528784425192</v>
      </c>
      <c r="I103" s="447">
        <f t="shared" si="46"/>
        <v>6385.8096701441509</v>
      </c>
      <c r="J103" s="447">
        <f t="shared" si="46"/>
        <v>6454.184631739211</v>
      </c>
      <c r="K103" s="447">
        <f t="shared" si="46"/>
        <v>6487.6260624830766</v>
      </c>
      <c r="L103" s="447">
        <f t="shared" si="46"/>
        <v>6483.4964823909477</v>
      </c>
      <c r="M103" s="447">
        <f t="shared" si="46"/>
        <v>6455.8876295705231</v>
      </c>
      <c r="N103" s="447">
        <f t="shared" si="46"/>
        <v>6438.9927815434748</v>
      </c>
    </row>
    <row r="104" spans="1:16">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6" ht="15.75">
      <c r="B106" s="333" t="s">
        <v>164</v>
      </c>
      <c r="H106" s="318"/>
    </row>
    <row r="107" spans="1:16">
      <c r="H107" s="318"/>
    </row>
    <row r="108" spans="1:16">
      <c r="B108" s="334" t="s">
        <v>46</v>
      </c>
      <c r="H108" s="318"/>
    </row>
    <row r="109" spans="1:16">
      <c r="H109" s="318"/>
    </row>
    <row r="110" spans="1:16">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6">
      <c r="B111" s="331" t="str">
        <f t="shared" si="48"/>
        <v>20-24</v>
      </c>
      <c r="C111" s="447">
        <f>C77*Group_2_rates!E74</f>
        <v>22.558133050607598</v>
      </c>
      <c r="D111" s="447">
        <f>D77*Group_2_rates!F74</f>
        <v>30.432014257770344</v>
      </c>
      <c r="E111" s="447">
        <f>E77*Group_2_rates!G74</f>
        <v>37.753817187018555</v>
      </c>
      <c r="F111" s="447">
        <f>F77*Group_2_rates!H74</f>
        <v>41.762778594593627</v>
      </c>
      <c r="G111" s="447">
        <f>G77*Group_2_rates!I74</f>
        <v>45.017157312065976</v>
      </c>
      <c r="H111" s="447">
        <f>H77*Group_2_rates!J74</f>
        <v>47.357955213726449</v>
      </c>
      <c r="I111" s="447">
        <f>I77*Group_2_rates!K74</f>
        <v>49.016718180214902</v>
      </c>
      <c r="J111" s="447">
        <f>J77*Group_2_rates!L74</f>
        <v>50.894783349846172</v>
      </c>
      <c r="K111" s="447">
        <f>K77*Group_2_rates!M74</f>
        <v>51.669498544337259</v>
      </c>
      <c r="L111" s="447">
        <f>L77*Group_2_rates!N74</f>
        <v>51.533976955465576</v>
      </c>
      <c r="M111" s="447">
        <f>M77*Group_2_rates!O74</f>
        <v>50.974530906503688</v>
      </c>
      <c r="N111" s="447">
        <f>N77*Group_2_rates!P74</f>
        <v>50.795794175057893</v>
      </c>
      <c r="O111" s="320"/>
      <c r="P111" s="320"/>
    </row>
    <row r="112" spans="1:16">
      <c r="B112" s="331" t="str">
        <f t="shared" si="48"/>
        <v>25-29</v>
      </c>
      <c r="C112" s="447">
        <f>C78*Group_2_rates!E75</f>
        <v>71.635587608911365</v>
      </c>
      <c r="D112" s="447">
        <f>D78*Group_2_rates!F75</f>
        <v>69.920782636923875</v>
      </c>
      <c r="E112" s="447">
        <f>E78*Group_2_rates!G75</f>
        <v>74.736590703204186</v>
      </c>
      <c r="F112" s="447">
        <f>F78*Group_2_rates!H75</f>
        <v>76.300854162329983</v>
      </c>
      <c r="G112" s="447">
        <f>G78*Group_2_rates!I75</f>
        <v>79.197378241107558</v>
      </c>
      <c r="H112" s="447">
        <f>H78*Group_2_rates!J75</f>
        <v>81.854263369155461</v>
      </c>
      <c r="I112" s="447">
        <f>I78*Group_2_rates!K75</f>
        <v>84.135872961905719</v>
      </c>
      <c r="J112" s="447">
        <f>J78*Group_2_rates!L75</f>
        <v>86.86584475132004</v>
      </c>
      <c r="K112" s="447">
        <f>K78*Group_2_rates!M75</f>
        <v>88.453132351964925</v>
      </c>
      <c r="L112" s="447">
        <f>L78*Group_2_rates!N75</f>
        <v>88.88896360481651</v>
      </c>
      <c r="M112" s="447">
        <f>M78*Group_2_rates!O75</f>
        <v>88.617720934517607</v>
      </c>
      <c r="N112" s="447">
        <f>N78*Group_2_rates!P75</f>
        <v>88.58491686916777</v>
      </c>
      <c r="O112" s="320"/>
      <c r="P112" s="320"/>
    </row>
    <row r="113" spans="1:16">
      <c r="B113" s="331" t="str">
        <f t="shared" si="48"/>
        <v>30-34</v>
      </c>
      <c r="C113" s="447">
        <f>C79*Group_2_rates!E76</f>
        <v>62.482889289211201</v>
      </c>
      <c r="D113" s="447">
        <f>D79*Group_2_rates!F76</f>
        <v>59.046250744357238</v>
      </c>
      <c r="E113" s="447">
        <f>E79*Group_2_rates!G76</f>
        <v>60.581158675374091</v>
      </c>
      <c r="F113" s="447">
        <f>F79*Group_2_rates!H76</f>
        <v>59.315200469691888</v>
      </c>
      <c r="G113" s="447">
        <f>G79*Group_2_rates!I76</f>
        <v>59.61771373563495</v>
      </c>
      <c r="H113" s="447">
        <f>H79*Group_2_rates!J76</f>
        <v>60.210402654543714</v>
      </c>
      <c r="I113" s="447">
        <f>I79*Group_2_rates!K76</f>
        <v>60.965209776342412</v>
      </c>
      <c r="J113" s="447">
        <f>J79*Group_2_rates!L76</f>
        <v>62.115743509342551</v>
      </c>
      <c r="K113" s="447">
        <f>K79*Group_2_rates!M76</f>
        <v>63.026919532981296</v>
      </c>
      <c r="L113" s="447">
        <f>L79*Group_2_rates!N76</f>
        <v>63.564702091669197</v>
      </c>
      <c r="M113" s="447">
        <f>M79*Group_2_rates!O76</f>
        <v>63.793013937301538</v>
      </c>
      <c r="N113" s="447">
        <f>N79*Group_2_rates!P76</f>
        <v>64.025813844319103</v>
      </c>
      <c r="O113" s="320"/>
      <c r="P113" s="320"/>
    </row>
    <row r="114" spans="1:16">
      <c r="B114" s="331" t="str">
        <f t="shared" si="48"/>
        <v>35-39</v>
      </c>
      <c r="C114" s="447">
        <f>C80*Group_2_rates!E77</f>
        <v>64.356478259158735</v>
      </c>
      <c r="D114" s="447">
        <f>D80*Group_2_rates!F77</f>
        <v>59.659895037127129</v>
      </c>
      <c r="E114" s="447">
        <f>E80*Group_2_rates!G77</f>
        <v>59.993847719432921</v>
      </c>
      <c r="F114" s="447">
        <f>F80*Group_2_rates!H77</f>
        <v>57.393232262825123</v>
      </c>
      <c r="G114" s="447">
        <f>G80*Group_2_rates!I77</f>
        <v>56.338997205709717</v>
      </c>
      <c r="H114" s="447">
        <f>H80*Group_2_rates!J77</f>
        <v>55.630100552601377</v>
      </c>
      <c r="I114" s="447">
        <f>I80*Group_2_rates!K77</f>
        <v>55.210050298352975</v>
      </c>
      <c r="J114" s="447">
        <f>J80*Group_2_rates!L77</f>
        <v>55.214077324366727</v>
      </c>
      <c r="K114" s="447">
        <f>K80*Group_2_rates!M77</f>
        <v>55.261383842626692</v>
      </c>
      <c r="L114" s="447">
        <f>L80*Group_2_rates!N77</f>
        <v>55.263140521290367</v>
      </c>
      <c r="M114" s="447">
        <f>M80*Group_2_rates!O77</f>
        <v>55.22612196331086</v>
      </c>
      <c r="N114" s="447">
        <f>N80*Group_2_rates!P77</f>
        <v>55.290448857372994</v>
      </c>
      <c r="O114" s="320"/>
      <c r="P114" s="320"/>
    </row>
    <row r="115" spans="1:16">
      <c r="B115" s="331" t="str">
        <f t="shared" si="48"/>
        <v>40-44</v>
      </c>
      <c r="C115" s="447">
        <f>C81*Group_2_rates!E78</f>
        <v>58.806582400393964</v>
      </c>
      <c r="D115" s="447">
        <f>D81*Group_2_rates!F78</f>
        <v>56.945995852112858</v>
      </c>
      <c r="E115" s="447">
        <f>E81*Group_2_rates!G78</f>
        <v>58.941582250795435</v>
      </c>
      <c r="F115" s="447">
        <f>F81*Group_2_rates!H78</f>
        <v>57.375665927818169</v>
      </c>
      <c r="G115" s="447">
        <f>G81*Group_2_rates!I78</f>
        <v>56.82267623732897</v>
      </c>
      <c r="H115" s="447">
        <f>H81*Group_2_rates!J78</f>
        <v>56.236867655950817</v>
      </c>
      <c r="I115" s="447">
        <f>I81*Group_2_rates!K78</f>
        <v>55.679862606215082</v>
      </c>
      <c r="J115" s="447">
        <f>J81*Group_2_rates!L78</f>
        <v>55.351996970859318</v>
      </c>
      <c r="K115" s="447">
        <f>K81*Group_2_rates!M78</f>
        <v>54.99338830843508</v>
      </c>
      <c r="L115" s="447">
        <f>L81*Group_2_rates!N78</f>
        <v>54.5870860139771</v>
      </c>
      <c r="M115" s="447">
        <f>M81*Group_2_rates!O78</f>
        <v>54.182602320131387</v>
      </c>
      <c r="N115" s="447">
        <f>N81*Group_2_rates!P78</f>
        <v>53.922339012899457</v>
      </c>
      <c r="O115" s="320"/>
      <c r="P115" s="320"/>
    </row>
    <row r="116" spans="1:16">
      <c r="B116" s="331" t="str">
        <f t="shared" si="48"/>
        <v>45-49</v>
      </c>
      <c r="C116" s="447">
        <f>C82*Group_2_rates!E79</f>
        <v>55.745889110444566</v>
      </c>
      <c r="D116" s="447">
        <f>D82*Group_2_rates!F79</f>
        <v>55.029859625590483</v>
      </c>
      <c r="E116" s="447">
        <f>E82*Group_2_rates!G79</f>
        <v>58.275219591274762</v>
      </c>
      <c r="F116" s="447">
        <f>F82*Group_2_rates!H79</f>
        <v>57.956760656883716</v>
      </c>
      <c r="G116" s="447">
        <f>G82*Group_2_rates!I79</f>
        <v>58.497343573667045</v>
      </c>
      <c r="H116" s="447">
        <f>H82*Group_2_rates!J79</f>
        <v>58.78846329494236</v>
      </c>
      <c r="I116" s="447">
        <f>I82*Group_2_rates!K79</f>
        <v>58.879456439627987</v>
      </c>
      <c r="J116" s="447">
        <f>J82*Group_2_rates!L79</f>
        <v>58.982128097285859</v>
      </c>
      <c r="K116" s="447">
        <f>K82*Group_2_rates!M79</f>
        <v>58.869727133345499</v>
      </c>
      <c r="L116" s="447">
        <f>L82*Group_2_rates!N79</f>
        <v>58.561464620890092</v>
      </c>
      <c r="M116" s="447">
        <f>M82*Group_2_rates!O79</f>
        <v>58.144765494078811</v>
      </c>
      <c r="N116" s="447">
        <f>N82*Group_2_rates!P79</f>
        <v>57.796832966481858</v>
      </c>
      <c r="O116" s="320"/>
      <c r="P116" s="320"/>
    </row>
    <row r="117" spans="1:16">
      <c r="B117" s="331" t="str">
        <f t="shared" si="48"/>
        <v>50-54</v>
      </c>
      <c r="C117" s="447">
        <f>C83*Group_2_rates!E80</f>
        <v>29.854699430651632</v>
      </c>
      <c r="D117" s="447">
        <f>D83*Group_2_rates!F80</f>
        <v>30.061622411499723</v>
      </c>
      <c r="E117" s="447">
        <f>E83*Group_2_rates!G80</f>
        <v>32.40057248786232</v>
      </c>
      <c r="F117" s="447">
        <f>F83*Group_2_rates!H80</f>
        <v>32.805728335852606</v>
      </c>
      <c r="G117" s="447">
        <f>G83*Group_2_rates!I80</f>
        <v>33.681357817840023</v>
      </c>
      <c r="H117" s="447">
        <f>H83*Group_2_rates!J80</f>
        <v>34.400538415346588</v>
      </c>
      <c r="I117" s="447">
        <f>I83*Group_2_rates!K80</f>
        <v>34.966030846995636</v>
      </c>
      <c r="J117" s="447">
        <f>J83*Group_2_rates!L80</f>
        <v>35.478765592563747</v>
      </c>
      <c r="K117" s="447">
        <f>K83*Group_2_rates!M80</f>
        <v>35.798894908976528</v>
      </c>
      <c r="L117" s="447">
        <f>L83*Group_2_rates!N80</f>
        <v>35.931800537142493</v>
      </c>
      <c r="M117" s="447">
        <f>M83*Group_2_rates!O80</f>
        <v>35.927885926315867</v>
      </c>
      <c r="N117" s="447">
        <f>N83*Group_2_rates!P80</f>
        <v>35.893865974115513</v>
      </c>
      <c r="O117" s="320"/>
      <c r="P117" s="320"/>
    </row>
    <row r="118" spans="1:16">
      <c r="B118" s="331" t="str">
        <f t="shared" si="48"/>
        <v>55-59</v>
      </c>
      <c r="C118" s="447">
        <f>C84*Group_2_rates!E81</f>
        <v>16.752876298789406</v>
      </c>
      <c r="D118" s="447">
        <f>D84*Group_2_rates!F81</f>
        <v>15.198354702230953</v>
      </c>
      <c r="E118" s="447">
        <f>E84*Group_2_rates!G81</f>
        <v>15.412661863435854</v>
      </c>
      <c r="F118" s="447">
        <f>F84*Group_2_rates!H81</f>
        <v>15.108148888283489</v>
      </c>
      <c r="G118" s="447">
        <f>G84*Group_2_rates!I81</f>
        <v>15.270179117992098</v>
      </c>
      <c r="H118" s="447">
        <f>H84*Group_2_rates!J81</f>
        <v>15.509373414492551</v>
      </c>
      <c r="I118" s="447">
        <f>I84*Group_2_rates!K81</f>
        <v>15.766781282606527</v>
      </c>
      <c r="J118" s="447">
        <f>J84*Group_2_rates!L81</f>
        <v>16.060642429922151</v>
      </c>
      <c r="K118" s="447">
        <f>K84*Group_2_rates!M81</f>
        <v>16.278338117798533</v>
      </c>
      <c r="L118" s="447">
        <f>L84*Group_2_rates!N81</f>
        <v>16.410070661080166</v>
      </c>
      <c r="M118" s="447">
        <f>M84*Group_2_rates!O81</f>
        <v>16.476066760567512</v>
      </c>
      <c r="N118" s="447">
        <f>N84*Group_2_rates!P81</f>
        <v>16.529756933738387</v>
      </c>
      <c r="O118" s="320"/>
      <c r="P118" s="320"/>
    </row>
    <row r="119" spans="1:16">
      <c r="B119" s="331" t="str">
        <f t="shared" si="48"/>
        <v>60-64</v>
      </c>
      <c r="C119" s="447">
        <f>C85*Group_2_rates!E82</f>
        <v>4.6634204821333824</v>
      </c>
      <c r="D119" s="447">
        <f>D85*Group_2_rates!F82</f>
        <v>4.4060209311815051</v>
      </c>
      <c r="E119" s="447">
        <f>E85*Group_2_rates!G82</f>
        <v>4.4277757336744976</v>
      </c>
      <c r="F119" s="447">
        <f>F85*Group_2_rates!H82</f>
        <v>4.2438022513474323</v>
      </c>
      <c r="G119" s="447">
        <f>G85*Group_2_rates!I82</f>
        <v>4.1919805754910264</v>
      </c>
      <c r="H119" s="447">
        <f>H85*Group_2_rates!J82</f>
        <v>4.1837735289710958</v>
      </c>
      <c r="I119" s="447">
        <f>I85*Group_2_rates!K82</f>
        <v>4.2049091492807618</v>
      </c>
      <c r="J119" s="447">
        <f>J85*Group_2_rates!L82</f>
        <v>4.2617111962014365</v>
      </c>
      <c r="K119" s="447">
        <f>K85*Group_2_rates!M82</f>
        <v>4.3074036376636871</v>
      </c>
      <c r="L119" s="447">
        <f>L85*Group_2_rates!N82</f>
        <v>4.3355756767117866</v>
      </c>
      <c r="M119" s="447">
        <f>M85*Group_2_rates!O82</f>
        <v>4.3512952125900828</v>
      </c>
      <c r="N119" s="447">
        <f>N85*Group_2_rates!P82</f>
        <v>4.3717904764391511</v>
      </c>
      <c r="O119" s="320"/>
      <c r="P119" s="320"/>
    </row>
    <row r="120" spans="1:16">
      <c r="B120" s="331" t="str">
        <f t="shared" si="48"/>
        <v>65 plus</v>
      </c>
      <c r="C120" s="447">
        <f>C86*Group_2_rates!E83</f>
        <v>3.0377383550453665</v>
      </c>
      <c r="D120" s="447">
        <f>D86*Group_2_rates!F83</f>
        <v>4.1082897796011935</v>
      </c>
      <c r="E120" s="447">
        <f>E86*Group_2_rates!G83</f>
        <v>4.9366536944623727</v>
      </c>
      <c r="F120" s="447">
        <f>F86*Group_2_rates!H83</f>
        <v>5.1617605119157615</v>
      </c>
      <c r="G120" s="447">
        <f>G86*Group_2_rates!I83</f>
        <v>5.3111337351325734</v>
      </c>
      <c r="H120" s="447">
        <f>H86*Group_2_rates!J83</f>
        <v>5.3779154478599205</v>
      </c>
      <c r="I120" s="447">
        <f>I86*Group_2_rates!K83</f>
        <v>5.414072839599684</v>
      </c>
      <c r="J120" s="447">
        <f>J86*Group_2_rates!L83</f>
        <v>5.46995378060259</v>
      </c>
      <c r="K120" s="447">
        <f>K86*Group_2_rates!M83</f>
        <v>5.5068942929396272</v>
      </c>
      <c r="L120" s="447">
        <f>L86*Group_2_rates!N83</f>
        <v>5.5230266991943573</v>
      </c>
      <c r="M120" s="447">
        <f>M86*Group_2_rates!O83</f>
        <v>5.5272988364168469</v>
      </c>
      <c r="N120" s="447">
        <f>N86*Group_2_rates!P83</f>
        <v>5.5438237503276051</v>
      </c>
      <c r="O120" s="320"/>
      <c r="P120" s="320"/>
    </row>
    <row r="121" spans="1:16">
      <c r="B121" s="331" t="str">
        <f t="shared" si="48"/>
        <v>Total</v>
      </c>
      <c r="C121" s="447">
        <f>SUM(C111:C120)</f>
        <v>389.89429428534726</v>
      </c>
      <c r="D121" s="447">
        <f t="shared" ref="D121:N121" si="50">SUM(D111:D120)</f>
        <v>384.80908597839527</v>
      </c>
      <c r="E121" s="447">
        <f t="shared" si="50"/>
        <v>407.45987990653504</v>
      </c>
      <c r="F121" s="447">
        <f t="shared" si="50"/>
        <v>407.42393206154179</v>
      </c>
      <c r="G121" s="447">
        <f t="shared" si="50"/>
        <v>413.9459175519699</v>
      </c>
      <c r="H121" s="447">
        <f t="shared" si="50"/>
        <v>419.54965354759037</v>
      </c>
      <c r="I121" s="447">
        <f t="shared" si="50"/>
        <v>424.23896438114167</v>
      </c>
      <c r="J121" s="447">
        <f t="shared" si="50"/>
        <v>430.69564700231052</v>
      </c>
      <c r="K121" s="447">
        <f t="shared" si="50"/>
        <v>434.16558067106916</v>
      </c>
      <c r="L121" s="447">
        <f t="shared" si="50"/>
        <v>434.59980738223771</v>
      </c>
      <c r="M121" s="447">
        <f t="shared" si="50"/>
        <v>433.2213022917341</v>
      </c>
      <c r="N121" s="447">
        <f t="shared" si="50"/>
        <v>432.75538285991973</v>
      </c>
      <c r="O121" s="320"/>
      <c r="P121" s="320"/>
    </row>
    <row r="122" spans="1:16">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6">
      <c r="B124" s="334" t="s">
        <v>47</v>
      </c>
      <c r="C124" s="322"/>
      <c r="D124" s="322"/>
      <c r="E124" s="322"/>
      <c r="F124" s="322"/>
      <c r="G124" s="322"/>
      <c r="H124" s="332"/>
      <c r="I124" s="322"/>
      <c r="J124" s="322"/>
      <c r="K124" s="322"/>
      <c r="L124" s="322"/>
    </row>
    <row r="125" spans="1:16">
      <c r="C125" s="322"/>
      <c r="D125" s="322"/>
      <c r="E125" s="322"/>
      <c r="F125" s="322"/>
      <c r="G125" s="322"/>
      <c r="H125" s="332"/>
      <c r="I125" s="322"/>
      <c r="J125" s="322"/>
      <c r="K125" s="322"/>
      <c r="L125" s="322"/>
    </row>
    <row r="126" spans="1:16">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6">
      <c r="B127" s="331" t="str">
        <f t="shared" si="52"/>
        <v>20-24</v>
      </c>
      <c r="C127" s="447">
        <f>C93*Group_2_rates!E89</f>
        <v>44.617250766845203</v>
      </c>
      <c r="D127" s="447">
        <f>D93*Group_2_rates!F89</f>
        <v>49.638330818378996</v>
      </c>
      <c r="E127" s="447">
        <f>E93*Group_2_rates!G89</f>
        <v>53.702332985972753</v>
      </c>
      <c r="F127" s="447">
        <f>F93*Group_2_rates!H89</f>
        <v>57.401066914037074</v>
      </c>
      <c r="G127" s="447">
        <f>G93*Group_2_rates!I89</f>
        <v>59.343602979259167</v>
      </c>
      <c r="H127" s="447">
        <f>H93*Group_2_rates!J89</f>
        <v>60.814500903669185</v>
      </c>
      <c r="I127" s="447">
        <f>I93*Group_2_rates!K89</f>
        <v>61.894645980403965</v>
      </c>
      <c r="J127" s="447">
        <f>J93*Group_2_rates!L89</f>
        <v>63.517451879497777</v>
      </c>
      <c r="K127" s="447">
        <f>K93*Group_2_rates!M89</f>
        <v>64.036611756351746</v>
      </c>
      <c r="L127" s="447">
        <f>L93*Group_2_rates!N89</f>
        <v>63.607298089802313</v>
      </c>
      <c r="M127" s="447">
        <f>M93*Group_2_rates!O89</f>
        <v>62.755587173569708</v>
      </c>
      <c r="N127" s="447">
        <f>N93*Group_2_rates!P89</f>
        <v>62.404388309519632</v>
      </c>
    </row>
    <row r="128" spans="1:16">
      <c r="B128" s="331" t="str">
        <f t="shared" si="52"/>
        <v>25-29</v>
      </c>
      <c r="C128" s="447">
        <f>C94*Group_2_rates!E90</f>
        <v>114.77689657744585</v>
      </c>
      <c r="D128" s="447">
        <f>D94*Group_2_rates!F90</f>
        <v>110.4618680379179</v>
      </c>
      <c r="E128" s="447">
        <f>E94*Group_2_rates!G90</f>
        <v>109.29940231845202</v>
      </c>
      <c r="F128" s="447">
        <f>F94*Group_2_rates!H90</f>
        <v>109.81037528658719</v>
      </c>
      <c r="G128" s="447">
        <f>G94*Group_2_rates!I90</f>
        <v>109.40396897467632</v>
      </c>
      <c r="H128" s="447">
        <f>H94*Group_2_rates!J90</f>
        <v>109.55702025514375</v>
      </c>
      <c r="I128" s="447">
        <f>I94*Group_2_rates!K90</f>
        <v>109.96015382193136</v>
      </c>
      <c r="J128" s="447">
        <f>J94*Group_2_rates!L90</f>
        <v>111.43159395548319</v>
      </c>
      <c r="K128" s="447">
        <f>K94*Group_2_rates!M90</f>
        <v>112.01359500893157</v>
      </c>
      <c r="L128" s="447">
        <f>L94*Group_2_rates!N90</f>
        <v>111.58292833466656</v>
      </c>
      <c r="M128" s="447">
        <f>M94*Group_2_rates!O90</f>
        <v>110.56491052863569</v>
      </c>
      <c r="N128" s="447">
        <f>N94*Group_2_rates!P90</f>
        <v>109.99331828407216</v>
      </c>
    </row>
    <row r="129" spans="1:14">
      <c r="B129" s="331" t="str">
        <f t="shared" si="52"/>
        <v>30-34</v>
      </c>
      <c r="C129" s="447">
        <f>C95*Group_2_rates!E91</f>
        <v>106.7193267946207</v>
      </c>
      <c r="D129" s="447">
        <f>D95*Group_2_rates!F91</f>
        <v>105.81432792179498</v>
      </c>
      <c r="E129" s="447">
        <f>E95*Group_2_rates!G91</f>
        <v>105.62052834366789</v>
      </c>
      <c r="F129" s="447">
        <f>F95*Group_2_rates!H91</f>
        <v>105.38477751970041</v>
      </c>
      <c r="G129" s="447">
        <f>G95*Group_2_rates!I91</f>
        <v>103.91010363386951</v>
      </c>
      <c r="H129" s="447">
        <f>H95*Group_2_rates!J91</f>
        <v>102.84828607886638</v>
      </c>
      <c r="I129" s="447">
        <f>I95*Group_2_rates!K91</f>
        <v>102.13291581424723</v>
      </c>
      <c r="J129" s="447">
        <f>J95*Group_2_rates!L91</f>
        <v>102.18843900488454</v>
      </c>
      <c r="K129" s="447">
        <f>K95*Group_2_rates!M91</f>
        <v>102.08299990351438</v>
      </c>
      <c r="L129" s="447">
        <f>L95*Group_2_rates!N91</f>
        <v>101.62458848742062</v>
      </c>
      <c r="M129" s="447">
        <f>M95*Group_2_rates!O91</f>
        <v>100.90290520342117</v>
      </c>
      <c r="N129" s="447">
        <f>N95*Group_2_rates!P91</f>
        <v>100.37433020468497</v>
      </c>
    </row>
    <row r="130" spans="1:14">
      <c r="B130" s="331" t="str">
        <f t="shared" si="52"/>
        <v>35-39</v>
      </c>
      <c r="C130" s="447">
        <f>C96*Group_2_rates!E92</f>
        <v>97.286834152773309</v>
      </c>
      <c r="D130" s="447">
        <f>D96*Group_2_rates!F92</f>
        <v>95.706557198323338</v>
      </c>
      <c r="E130" s="447">
        <f>E96*Group_2_rates!G92</f>
        <v>95.42207910644504</v>
      </c>
      <c r="F130" s="447">
        <f>F96*Group_2_rates!H92</f>
        <v>95.072323049820739</v>
      </c>
      <c r="G130" s="447">
        <f>G96*Group_2_rates!I92</f>
        <v>93.515589983843626</v>
      </c>
      <c r="H130" s="447">
        <f>H96*Group_2_rates!J92</f>
        <v>92.176692607709086</v>
      </c>
      <c r="I130" s="447">
        <f>I96*Group_2_rates!K92</f>
        <v>91.043135929822469</v>
      </c>
      <c r="J130" s="447">
        <f>J96*Group_2_rates!L92</f>
        <v>90.408030148226871</v>
      </c>
      <c r="K130" s="447">
        <f>K96*Group_2_rates!M92</f>
        <v>89.733346114524323</v>
      </c>
      <c r="L130" s="447">
        <f>L96*Group_2_rates!N92</f>
        <v>88.940738337231707</v>
      </c>
      <c r="M130" s="447">
        <f>M96*Group_2_rates!O92</f>
        <v>88.090513773096973</v>
      </c>
      <c r="N130" s="447">
        <f>N96*Group_2_rates!P92</f>
        <v>87.439404034229881</v>
      </c>
    </row>
    <row r="131" spans="1:14">
      <c r="B131" s="331" t="str">
        <f t="shared" si="52"/>
        <v>40-44</v>
      </c>
      <c r="C131" s="447">
        <f>C97*Group_2_rates!E93</f>
        <v>74.37022178172495</v>
      </c>
      <c r="D131" s="447">
        <f>D97*Group_2_rates!F93</f>
        <v>77.079835457950125</v>
      </c>
      <c r="E131" s="447">
        <f>E97*Group_2_rates!G93</f>
        <v>79.662661828966279</v>
      </c>
      <c r="F131" s="447">
        <f>F97*Group_2_rates!H93</f>
        <v>81.430437334278267</v>
      </c>
      <c r="G131" s="447">
        <f>G97*Group_2_rates!I93</f>
        <v>81.583397008475728</v>
      </c>
      <c r="H131" s="447">
        <f>H97*Group_2_rates!J93</f>
        <v>81.455326209740747</v>
      </c>
      <c r="I131" s="447">
        <f>I97*Group_2_rates!K93</f>
        <v>81.142404837100543</v>
      </c>
      <c r="J131" s="447">
        <f>J97*Group_2_rates!L93</f>
        <v>80.961390389707688</v>
      </c>
      <c r="K131" s="447">
        <f>K97*Group_2_rates!M93</f>
        <v>80.543087363750047</v>
      </c>
      <c r="L131" s="447">
        <f>L97*Group_2_rates!N93</f>
        <v>79.894565912547606</v>
      </c>
      <c r="M131" s="447">
        <f>M97*Group_2_rates!O93</f>
        <v>79.125661678792824</v>
      </c>
      <c r="N131" s="447">
        <f>N97*Group_2_rates!P93</f>
        <v>78.484394534916518</v>
      </c>
    </row>
    <row r="132" spans="1:14">
      <c r="B132" s="331" t="str">
        <f t="shared" si="52"/>
        <v>45-49</v>
      </c>
      <c r="C132" s="447">
        <f>C98*Group_2_rates!E94</f>
        <v>51.691046883699819</v>
      </c>
      <c r="D132" s="447">
        <f>D98*Group_2_rates!F94</f>
        <v>56.908058367563449</v>
      </c>
      <c r="E132" s="447">
        <f>E98*Group_2_rates!G94</f>
        <v>61.930404082707618</v>
      </c>
      <c r="F132" s="447">
        <f>F98*Group_2_rates!H94</f>
        <v>66.091606139320206</v>
      </c>
      <c r="G132" s="447">
        <f>G98*Group_2_rates!I94</f>
        <v>68.584503871816068</v>
      </c>
      <c r="H132" s="447">
        <f>H98*Group_2_rates!J94</f>
        <v>70.454209536859096</v>
      </c>
      <c r="I132" s="447">
        <f>I98*Group_2_rates!K94</f>
        <v>71.80128480099205</v>
      </c>
      <c r="J132" s="447">
        <f>J98*Group_2_rates!L94</f>
        <v>72.933288960636588</v>
      </c>
      <c r="K132" s="447">
        <f>K98*Group_2_rates!M94</f>
        <v>73.569330878708897</v>
      </c>
      <c r="L132" s="447">
        <f>L98*Group_2_rates!N94</f>
        <v>73.755507173927128</v>
      </c>
      <c r="M132" s="447">
        <f>M98*Group_2_rates!O94</f>
        <v>73.629414409182047</v>
      </c>
      <c r="N132" s="447">
        <f>N98*Group_2_rates!P94</f>
        <v>73.448844291684196</v>
      </c>
    </row>
    <row r="133" spans="1:14">
      <c r="B133" s="331" t="str">
        <f t="shared" si="52"/>
        <v>50-54</v>
      </c>
      <c r="C133" s="447">
        <f>C99*Group_2_rates!E95</f>
        <v>32.628744815107602</v>
      </c>
      <c r="D133" s="447">
        <f>D99*Group_2_rates!F95</f>
        <v>35.874749268685164</v>
      </c>
      <c r="E133" s="447">
        <f>E99*Group_2_rates!G95</f>
        <v>39.553505368458637</v>
      </c>
      <c r="F133" s="447">
        <f>F99*Group_2_rates!H95</f>
        <v>43.097486751949972</v>
      </c>
      <c r="G133" s="447">
        <f>G99*Group_2_rates!I95</f>
        <v>45.780850827668075</v>
      </c>
      <c r="H133" s="447">
        <f>H99*Group_2_rates!J95</f>
        <v>48.146412094531946</v>
      </c>
      <c r="I133" s="447">
        <f>I99*Group_2_rates!K95</f>
        <v>50.164934109552881</v>
      </c>
      <c r="J133" s="447">
        <f>J99*Group_2_rates!L95</f>
        <v>51.993054056329228</v>
      </c>
      <c r="K133" s="447">
        <f>K99*Group_2_rates!M95</f>
        <v>53.377995600065816</v>
      </c>
      <c r="L133" s="447">
        <f>L99*Group_2_rates!N95</f>
        <v>54.328718158203962</v>
      </c>
      <c r="M133" s="447">
        <f>M99*Group_2_rates!O95</f>
        <v>54.935688962856496</v>
      </c>
      <c r="N133" s="447">
        <f>N99*Group_2_rates!P95</f>
        <v>55.388336596927658</v>
      </c>
    </row>
    <row r="134" spans="1:14">
      <c r="B134" s="331" t="str">
        <f t="shared" si="52"/>
        <v>55-59</v>
      </c>
      <c r="C134" s="447">
        <f>C100*Group_2_rates!E96</f>
        <v>15.243880786795392</v>
      </c>
      <c r="D134" s="447">
        <f>D100*Group_2_rates!F96</f>
        <v>14.374385093448154</v>
      </c>
      <c r="E134" s="447">
        <f>E100*Group_2_rates!G96</f>
        <v>14.352804397386825</v>
      </c>
      <c r="F134" s="447">
        <f>F100*Group_2_rates!H96</f>
        <v>14.762165864936122</v>
      </c>
      <c r="G134" s="447">
        <f>G100*Group_2_rates!I96</f>
        <v>15.212564941052831</v>
      </c>
      <c r="H134" s="447">
        <f>H100*Group_2_rates!J96</f>
        <v>15.791267132765142</v>
      </c>
      <c r="I134" s="447">
        <f>I100*Group_2_rates!K96</f>
        <v>16.408906294443206</v>
      </c>
      <c r="J134" s="447">
        <f>J100*Group_2_rates!L96</f>
        <v>17.074062721655743</v>
      </c>
      <c r="K134" s="447">
        <f>K100*Group_2_rates!M96</f>
        <v>17.634896928262489</v>
      </c>
      <c r="L134" s="447">
        <f>L100*Group_2_rates!N96</f>
        <v>18.069956898921301</v>
      </c>
      <c r="M134" s="447">
        <f>M100*Group_2_rates!O96</f>
        <v>18.398734975672383</v>
      </c>
      <c r="N134" s="447">
        <f>N100*Group_2_rates!P96</f>
        <v>18.685092832370731</v>
      </c>
    </row>
    <row r="135" spans="1:14">
      <c r="B135" s="331" t="str">
        <f t="shared" si="52"/>
        <v>60-64</v>
      </c>
      <c r="C135" s="447">
        <f>C101*Group_2_rates!E97</f>
        <v>6.136081906940408</v>
      </c>
      <c r="D135" s="447">
        <f>D101*Group_2_rates!F97</f>
        <v>6.2953706364864708</v>
      </c>
      <c r="E135" s="447">
        <f>E101*Group_2_rates!G97</f>
        <v>6.3074846327468839</v>
      </c>
      <c r="F135" s="447">
        <f>F101*Group_2_rates!H97</f>
        <v>6.3258138042504681</v>
      </c>
      <c r="G135" s="447">
        <f>G101*Group_2_rates!I97</f>
        <v>6.3192633243617031</v>
      </c>
      <c r="H135" s="447">
        <f>H101*Group_2_rates!J97</f>
        <v>6.3907130528640161</v>
      </c>
      <c r="I135" s="447">
        <f>I101*Group_2_rates!K97</f>
        <v>6.5191860603098117</v>
      </c>
      <c r="J135" s="447">
        <f>J101*Group_2_rates!L97</f>
        <v>6.7172336798753598</v>
      </c>
      <c r="K135" s="447">
        <f>K101*Group_2_rates!M97</f>
        <v>6.8951792910316518</v>
      </c>
      <c r="L135" s="447">
        <f>L101*Group_2_rates!N97</f>
        <v>7.0392638455375138</v>
      </c>
      <c r="M135" s="447">
        <f>M101*Group_2_rates!O97</f>
        <v>7.156829924165792</v>
      </c>
      <c r="N135" s="447">
        <f>N101*Group_2_rates!P97</f>
        <v>7.2781039856945924</v>
      </c>
    </row>
    <row r="136" spans="1:14">
      <c r="B136" s="331" t="str">
        <f t="shared" si="52"/>
        <v>65 plus</v>
      </c>
      <c r="C136" s="447">
        <f>C102*Group_2_rates!E98</f>
        <v>1.3025105323324302</v>
      </c>
      <c r="D136" s="447">
        <f>D102*Group_2_rates!F98</f>
        <v>2.6306246058307878</v>
      </c>
      <c r="E136" s="447">
        <f>E102*Group_2_rates!G98</f>
        <v>3.5382194974854917</v>
      </c>
      <c r="F136" s="447">
        <f>F102*Group_2_rates!H98</f>
        <v>4.1287642900223762</v>
      </c>
      <c r="G136" s="447">
        <f>G102*Group_2_rates!I98</f>
        <v>4.4478017194098136</v>
      </c>
      <c r="H136" s="447">
        <f>H102*Group_2_rates!J98</f>
        <v>4.6488973609466893</v>
      </c>
      <c r="I136" s="447">
        <f>I102*Group_2_rates!K98</f>
        <v>4.7907626401900885</v>
      </c>
      <c r="J136" s="447">
        <f>J102*Group_2_rates!L98</f>
        <v>4.9312240659625601</v>
      </c>
      <c r="K136" s="447">
        <f>K102*Group_2_rates!M98</f>
        <v>5.0420703864166114</v>
      </c>
      <c r="L136" s="447">
        <f>L102*Group_2_rates!N98</f>
        <v>5.1251535274940503</v>
      </c>
      <c r="M136" s="447">
        <f>M102*Group_2_rates!O98</f>
        <v>5.1909179136637071</v>
      </c>
      <c r="N136" s="447">
        <f>N102*Group_2_rates!P98</f>
        <v>5.2635376534990588</v>
      </c>
    </row>
    <row r="137" spans="1:14">
      <c r="B137" s="331" t="str">
        <f t="shared" si="52"/>
        <v>Total</v>
      </c>
      <c r="C137" s="447">
        <f>SUM(C127:C136)</f>
        <v>544.77279499828569</v>
      </c>
      <c r="D137" s="447">
        <f t="shared" ref="D137:N137" si="54">SUM(D127:D136)</f>
        <v>554.78410740637946</v>
      </c>
      <c r="E137" s="447">
        <f t="shared" si="54"/>
        <v>569.3894225622895</v>
      </c>
      <c r="F137" s="447">
        <f t="shared" si="54"/>
        <v>583.50481695490294</v>
      </c>
      <c r="G137" s="447">
        <f t="shared" si="54"/>
        <v>588.1016472644327</v>
      </c>
      <c r="H137" s="447">
        <f t="shared" si="54"/>
        <v>592.28332523309598</v>
      </c>
      <c r="I137" s="447">
        <f t="shared" si="54"/>
        <v>595.85833028899367</v>
      </c>
      <c r="J137" s="447">
        <f t="shared" si="54"/>
        <v>602.15576886225949</v>
      </c>
      <c r="K137" s="447">
        <f t="shared" si="54"/>
        <v>604.92911323155761</v>
      </c>
      <c r="L137" s="447">
        <f t="shared" si="54"/>
        <v>603.96871876575278</v>
      </c>
      <c r="M137" s="447">
        <f t="shared" si="54"/>
        <v>600.7511645430568</v>
      </c>
      <c r="N137" s="447">
        <f t="shared" si="54"/>
        <v>598.75975072759934</v>
      </c>
    </row>
    <row r="138" spans="1:14">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0.10123051461318797</v>
      </c>
      <c r="D147" s="447">
        <f>D79*Calc_SEC_retirement_rates!$G126</f>
        <v>9.9230491669625887E-2</v>
      </c>
      <c r="E147" s="447">
        <f>E79*Calc_SEC_retirement_rates!$G126</f>
        <v>9.8127546555523165E-2</v>
      </c>
      <c r="F147" s="447">
        <f>F79*Calc_SEC_retirement_rates!$G126</f>
        <v>9.7915603237083662E-2</v>
      </c>
      <c r="G147" s="447">
        <f>G79*Calc_SEC_retirement_rates!$G126</f>
        <v>9.8414982294854361E-2</v>
      </c>
      <c r="H147" s="447">
        <f>H79*Calc_SEC_retirement_rates!$G126</f>
        <v>9.9393373880271654E-2</v>
      </c>
      <c r="I147" s="447">
        <f>I79*Calc_SEC_retirement_rates!$G126</f>
        <v>0.10063938492083672</v>
      </c>
      <c r="J147" s="447">
        <f>J79*Calc_SEC_retirement_rates!$G126</f>
        <v>0.10253864857702019</v>
      </c>
      <c r="K147" s="447">
        <f>K79*Calc_SEC_retirement_rates!$G126</f>
        <v>0.10404278831360159</v>
      </c>
      <c r="L147" s="447">
        <f>L79*Calc_SEC_retirement_rates!$G126</f>
        <v>0.104930542265832</v>
      </c>
      <c r="M147" s="447">
        <f>M79*Calc_SEC_retirement_rates!$G126</f>
        <v>0.10530743203294465</v>
      </c>
      <c r="N147" s="447">
        <f>N79*Calc_SEC_retirement_rates!$G126</f>
        <v>0.10569173054578217</v>
      </c>
    </row>
    <row r="148" spans="1:14">
      <c r="B148" s="331" t="str">
        <f t="shared" si="56"/>
        <v>35-39</v>
      </c>
      <c r="C148" s="447">
        <f>C80*Calc_SEC_retirement_rates!$G127</f>
        <v>0.2578321425234032</v>
      </c>
      <c r="D148" s="447">
        <f>D80*Calc_SEC_retirement_rates!$G127</f>
        <v>0.24793038101435114</v>
      </c>
      <c r="E148" s="447">
        <f>E80*Calc_SEC_retirement_rates!$G127</f>
        <v>0.24030041875298377</v>
      </c>
      <c r="F148" s="447">
        <f>F80*Calc_SEC_retirement_rates!$G127</f>
        <v>0.23428313747883711</v>
      </c>
      <c r="G148" s="447">
        <f>G80*Calc_SEC_retirement_rates!$G127</f>
        <v>0.22997967717379414</v>
      </c>
      <c r="H148" s="447">
        <f>H80*Calc_SEC_retirement_rates!$G127</f>
        <v>0.22708591208180709</v>
      </c>
      <c r="I148" s="447">
        <f>I80*Calc_SEC_retirement_rates!$G127</f>
        <v>0.22537123793671904</v>
      </c>
      <c r="J148" s="447">
        <f>J80*Calc_SEC_retirement_rates!$G127</f>
        <v>0.22538767653499994</v>
      </c>
      <c r="K148" s="447">
        <f>K80*Calc_SEC_retirement_rates!$G127</f>
        <v>0.22558078500936485</v>
      </c>
      <c r="L148" s="447">
        <f>L80*Calc_SEC_retirement_rates!$G127</f>
        <v>0.22558795589298025</v>
      </c>
      <c r="M148" s="447">
        <f>M80*Calc_SEC_retirement_rates!$G127</f>
        <v>0.22543684358293181</v>
      </c>
      <c r="N148" s="447">
        <f>N80*Calc_SEC_retirement_rates!$G127</f>
        <v>0.2256994304066906</v>
      </c>
    </row>
    <row r="149" spans="1:14">
      <c r="B149" s="331" t="str">
        <f t="shared" si="56"/>
        <v>40-44</v>
      </c>
      <c r="C149" s="447">
        <f>C81*Calc_SEC_retirement_rates!$G128</f>
        <v>0.46652123966491421</v>
      </c>
      <c r="D149" s="447">
        <f>D81*Calc_SEC_retirement_rates!$G128</f>
        <v>0.46860956424154981</v>
      </c>
      <c r="E149" s="447">
        <f>E81*Calc_SEC_retirement_rates!$G128</f>
        <v>0.46748781384190541</v>
      </c>
      <c r="F149" s="447">
        <f>F81*Calc_SEC_retirement_rates!$G128</f>
        <v>0.46377654387935641</v>
      </c>
      <c r="G149" s="447">
        <f>G81*Calc_SEC_retirement_rates!$G128</f>
        <v>0.4593066411199071</v>
      </c>
      <c r="H149" s="447">
        <f>H81*Calc_SEC_retirement_rates!$G128</f>
        <v>0.45457145809670313</v>
      </c>
      <c r="I149" s="447">
        <f>I81*Calc_SEC_retirement_rates!$G128</f>
        <v>0.45006909855607874</v>
      </c>
      <c r="J149" s="447">
        <f>J81*Calc_SEC_retirement_rates!$G128</f>
        <v>0.44741890898941822</v>
      </c>
      <c r="K149" s="447">
        <f>K81*Calc_SEC_retirement_rates!$G128</f>
        <v>0.44452021869319497</v>
      </c>
      <c r="L149" s="447">
        <f>L81*Calc_SEC_retirement_rates!$G128</f>
        <v>0.44123601325789713</v>
      </c>
      <c r="M149" s="447">
        <f>M81*Calc_SEC_retirement_rates!$G128</f>
        <v>0.43796650785776253</v>
      </c>
      <c r="N149" s="447">
        <f>N81*Calc_SEC_retirement_rates!$G128</f>
        <v>0.435862758556125</v>
      </c>
    </row>
    <row r="150" spans="1:14">
      <c r="B150" s="331" t="str">
        <f t="shared" si="56"/>
        <v>45-49</v>
      </c>
      <c r="C150" s="447">
        <f>C82*Calc_SEC_retirement_rates!$G129</f>
        <v>0.80306415100061113</v>
      </c>
      <c r="D150" s="447">
        <f>D82*Calc_SEC_retirement_rates!$G129</f>
        <v>0.82231511579754513</v>
      </c>
      <c r="E150" s="447">
        <f>E82*Calc_SEC_retirement_rates!$G129</f>
        <v>0.83931374538908154</v>
      </c>
      <c r="F150" s="447">
        <f>F82*Calc_SEC_retirement_rates!$G129</f>
        <v>0.85070122233492107</v>
      </c>
      <c r="G150" s="447">
        <f>G82*Calc_SEC_retirement_rates!$G129</f>
        <v>0.8586360092841695</v>
      </c>
      <c r="H150" s="447">
        <f>H82*Calc_SEC_retirement_rates!$G129</f>
        <v>0.86290912427416844</v>
      </c>
      <c r="I150" s="447">
        <f>I82*Calc_SEC_retirement_rates!$G129</f>
        <v>0.86424474031845411</v>
      </c>
      <c r="J150" s="447">
        <f>J82*Calc_SEC_retirement_rates!$G129</f>
        <v>0.86575177597190944</v>
      </c>
      <c r="K150" s="447">
        <f>K82*Calc_SEC_retirement_rates!$G129</f>
        <v>0.86410193156494242</v>
      </c>
      <c r="L150" s="447">
        <f>L82*Calc_SEC_retirement_rates!$G129</f>
        <v>0.85957719116928166</v>
      </c>
      <c r="M150" s="447">
        <f>M82*Calc_SEC_retirement_rates!$G129</f>
        <v>0.85346079590311263</v>
      </c>
      <c r="N150" s="447">
        <f>N82*Calc_SEC_retirement_rates!$G129</f>
        <v>0.84835377088718555</v>
      </c>
    </row>
    <row r="151" spans="1:14">
      <c r="B151" s="331" t="str">
        <f t="shared" si="56"/>
        <v>50-54</v>
      </c>
      <c r="C151" s="447">
        <f>C83*Calc_SEC_retirement_rates!$G130</f>
        <v>12.766188025389589</v>
      </c>
      <c r="D151" s="447">
        <f>D83*Calc_SEC_retirement_rates!$G130</f>
        <v>13.334091309576106</v>
      </c>
      <c r="E151" s="447">
        <f>E83*Calc_SEC_retirement_rates!$G130</f>
        <v>13.851737137641789</v>
      </c>
      <c r="F151" s="447">
        <f>F83*Calc_SEC_retirement_rates!$G130</f>
        <v>14.293341758693499</v>
      </c>
      <c r="G151" s="447">
        <f>G83*Calc_SEC_retirement_rates!$G130</f>
        <v>14.674850479118884</v>
      </c>
      <c r="H151" s="447">
        <f>H83*Calc_SEC_retirement_rates!$G130</f>
        <v>14.988194964604627</v>
      </c>
      <c r="I151" s="447">
        <f>I83*Calc_SEC_retirement_rates!$G130</f>
        <v>15.234578050654907</v>
      </c>
      <c r="J151" s="447">
        <f>J83*Calc_SEC_retirement_rates!$G130</f>
        <v>15.457974796337044</v>
      </c>
      <c r="K151" s="447">
        <f>K83*Calc_SEC_retirement_rates!$G130</f>
        <v>15.597454026294091</v>
      </c>
      <c r="L151" s="447">
        <f>L83*Calc_SEC_retirement_rates!$G130</f>
        <v>15.655360546325651</v>
      </c>
      <c r="M151" s="447">
        <f>M83*Calc_SEC_retirement_rates!$G130</f>
        <v>15.653654964000989</v>
      </c>
      <c r="N151" s="447">
        <f>N83*Calc_SEC_retirement_rates!$G130</f>
        <v>15.638832589126825</v>
      </c>
    </row>
    <row r="152" spans="1:14">
      <c r="B152" s="331" t="str">
        <f t="shared" si="56"/>
        <v>55-59</v>
      </c>
      <c r="C152" s="447">
        <f>C84*Calc_SEC_retirement_rates!$G131</f>
        <v>57.168550016296777</v>
      </c>
      <c r="D152" s="447">
        <f>D84*Calc_SEC_retirement_rates!$G131</f>
        <v>53.798088772691436</v>
      </c>
      <c r="E152" s="447">
        <f>E84*Calc_SEC_retirement_rates!$G131</f>
        <v>52.583376558083252</v>
      </c>
      <c r="F152" s="447">
        <f>F84*Calc_SEC_retirement_rates!$G131</f>
        <v>52.530872225792059</v>
      </c>
      <c r="G152" s="447">
        <f>G84*Calc_SEC_retirement_rates!$G131</f>
        <v>53.094249602893463</v>
      </c>
      <c r="H152" s="447">
        <f>H84*Calc_SEC_retirement_rates!$G131</f>
        <v>53.925925615588028</v>
      </c>
      <c r="I152" s="447">
        <f>I84*Calc_SEC_retirement_rates!$G131</f>
        <v>54.820930022136814</v>
      </c>
      <c r="J152" s="447">
        <f>J84*Calc_SEC_retirement_rates!$G131</f>
        <v>55.842682090898407</v>
      </c>
      <c r="K152" s="447">
        <f>K84*Calc_SEC_retirement_rates!$G131</f>
        <v>56.599607671159845</v>
      </c>
      <c r="L152" s="447">
        <f>L84*Calc_SEC_retirement_rates!$G131</f>
        <v>57.057640316341981</v>
      </c>
      <c r="M152" s="447">
        <f>M84*Calc_SEC_retirement_rates!$G131</f>
        <v>57.28710804896798</v>
      </c>
      <c r="N152" s="447">
        <f>N84*Calc_SEC_retirement_rates!$G131</f>
        <v>57.4737882073034</v>
      </c>
    </row>
    <row r="153" spans="1:14">
      <c r="B153" s="331" t="str">
        <f t="shared" si="56"/>
        <v>60-64</v>
      </c>
      <c r="C153" s="447">
        <f>C85*Calc_SEC_retirement_rates!$G132</f>
        <v>36.390078416472704</v>
      </c>
      <c r="D153" s="447">
        <f>D85*Calc_SEC_retirement_rates!$G132</f>
        <v>35.663786182107096</v>
      </c>
      <c r="E153" s="447">
        <f>E85*Calc_SEC_retirement_rates!$G132</f>
        <v>34.543557006623359</v>
      </c>
      <c r="F153" s="447">
        <f>F85*Calc_SEC_retirement_rates!$G132</f>
        <v>33.741867434645798</v>
      </c>
      <c r="G153" s="447">
        <f>G85*Calc_SEC_retirement_rates!$G132</f>
        <v>33.329840668687787</v>
      </c>
      <c r="H153" s="447">
        <f>H85*Calc_SEC_retirement_rates!$G132</f>
        <v>33.264587610391409</v>
      </c>
      <c r="I153" s="447">
        <f>I85*Calc_SEC_retirement_rates!$G132</f>
        <v>33.432633918018333</v>
      </c>
      <c r="J153" s="447">
        <f>J85*Calc_SEC_retirement_rates!$G132</f>
        <v>33.884258905164089</v>
      </c>
      <c r="K153" s="447">
        <f>K85*Calc_SEC_retirement_rates!$G132</f>
        <v>34.247553001182595</v>
      </c>
      <c r="L153" s="447">
        <f>L85*Calc_SEC_retirement_rates!$G132</f>
        <v>34.471544872298367</v>
      </c>
      <c r="M153" s="447">
        <f>M85*Calc_SEC_retirement_rates!$G132</f>
        <v>34.596528663796008</v>
      </c>
      <c r="N153" s="447">
        <f>N85*Calc_SEC_retirement_rates!$G132</f>
        <v>34.759483588383695</v>
      </c>
    </row>
    <row r="154" spans="1:14">
      <c r="B154" s="331" t="str">
        <f t="shared" si="56"/>
        <v>65 plus</v>
      </c>
      <c r="C154" s="447">
        <f>C86*Calc_SEC_retirement_rates!$G133</f>
        <v>7.3915301157417268</v>
      </c>
      <c r="D154" s="447">
        <f>D86*Calc_SEC_retirement_rates!$G133</f>
        <v>10.36925443115539</v>
      </c>
      <c r="E154" s="447">
        <f>E86*Calc_SEC_retirement_rates!$G133</f>
        <v>12.009354719527007</v>
      </c>
      <c r="F154" s="447">
        <f>F86*Calc_SEC_retirement_rates!$G133</f>
        <v>12.797271896576685</v>
      </c>
      <c r="G154" s="447">
        <f>G86*Calc_SEC_retirement_rates!$G133</f>
        <v>13.167604798918974</v>
      </c>
      <c r="H154" s="447">
        <f>H86*Calc_SEC_retirement_rates!$G133</f>
        <v>13.333173064536501</v>
      </c>
      <c r="I154" s="447">
        <f>I86*Calc_SEC_retirement_rates!$G133</f>
        <v>13.422816117928194</v>
      </c>
      <c r="J154" s="447">
        <f>J86*Calc_SEC_retirement_rates!$G133</f>
        <v>13.561358693508737</v>
      </c>
      <c r="K154" s="447">
        <f>K86*Calc_SEC_retirement_rates!$G133</f>
        <v>13.652943295174119</v>
      </c>
      <c r="L154" s="447">
        <f>L86*Calc_SEC_retirement_rates!$G133</f>
        <v>13.692939491958381</v>
      </c>
      <c r="M154" s="447">
        <f>M86*Calc_SEC_retirement_rates!$G133</f>
        <v>13.703531169253266</v>
      </c>
      <c r="N154" s="447">
        <f>N86*Calc_SEC_retirement_rates!$G133</f>
        <v>13.744500488905992</v>
      </c>
    </row>
    <row r="155" spans="1:14">
      <c r="B155" s="331" t="str">
        <f t="shared" si="56"/>
        <v>Total</v>
      </c>
      <c r="C155" s="447">
        <f>SUM(C145:C154)</f>
        <v>115.34499462170292</v>
      </c>
      <c r="D155" s="447">
        <f t="shared" ref="D155:N155" si="58">SUM(D145:D154)</f>
        <v>114.80330624825308</v>
      </c>
      <c r="E155" s="447">
        <f t="shared" si="58"/>
        <v>114.63325494641491</v>
      </c>
      <c r="F155" s="447">
        <f t="shared" si="58"/>
        <v>115.01002982263824</v>
      </c>
      <c r="G155" s="447">
        <f t="shared" si="58"/>
        <v>115.91288285949182</v>
      </c>
      <c r="H155" s="447">
        <f t="shared" si="58"/>
        <v>117.1558411234535</v>
      </c>
      <c r="I155" s="447">
        <f t="shared" si="58"/>
        <v>118.55128257047033</v>
      </c>
      <c r="J155" s="447">
        <f t="shared" si="58"/>
        <v>120.38737149598163</v>
      </c>
      <c r="K155" s="447">
        <f t="shared" si="58"/>
        <v>121.73580371739175</v>
      </c>
      <c r="L155" s="447">
        <f t="shared" si="58"/>
        <v>122.50881692951037</v>
      </c>
      <c r="M155" s="447">
        <f t="shared" si="58"/>
        <v>122.862994425395</v>
      </c>
      <c r="N155" s="447">
        <f t="shared" si="58"/>
        <v>123.23221256411571</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9.5622364742244337E-2</v>
      </c>
      <c r="D163" s="447">
        <f>D95*Calc_SEC_retirement_rates!$G142</f>
        <v>9.434520398223549E-2</v>
      </c>
      <c r="E163" s="447">
        <f>E95*Calc_SEC_retirement_rates!$G142</f>
        <v>9.2630425029157859E-2</v>
      </c>
      <c r="F163" s="447">
        <f>F95*Calc_SEC_retirement_rates!$G142</f>
        <v>9.1250600879120514E-2</v>
      </c>
      <c r="G163" s="447">
        <f>G95*Calc_SEC_retirement_rates!$G142</f>
        <v>8.9973709838973265E-2</v>
      </c>
      <c r="H163" s="447">
        <f>H95*Calc_SEC_retirement_rates!$G142</f>
        <v>8.9054302954995918E-2</v>
      </c>
      <c r="I163" s="447">
        <f>I95*Calc_SEC_retirement_rates!$G142</f>
        <v>8.8434877948520466E-2</v>
      </c>
      <c r="J163" s="447">
        <f>J95*Calc_SEC_retirement_rates!$G142</f>
        <v>8.8482954384488041E-2</v>
      </c>
      <c r="K163" s="447">
        <f>K95*Calc_SEC_retirement_rates!$G142</f>
        <v>8.8391656745657951E-2</v>
      </c>
      <c r="L163" s="447">
        <f>L95*Calc_SEC_retirement_rates!$G142</f>
        <v>8.7994727339410592E-2</v>
      </c>
      <c r="M163" s="447">
        <f>M95*Calc_SEC_retirement_rates!$G142</f>
        <v>8.7369836013933763E-2</v>
      </c>
      <c r="N163" s="447">
        <f>N95*Calc_SEC_retirement_rates!$G142</f>
        <v>8.6912153344960608E-2</v>
      </c>
    </row>
    <row r="164" spans="1:14">
      <c r="B164" s="331" t="str">
        <f t="shared" si="60"/>
        <v>35-39</v>
      </c>
      <c r="C164" s="447">
        <f>C96*Calc_SEC_retirement_rates!$G143</f>
        <v>0.35627236304324866</v>
      </c>
      <c r="D164" s="447">
        <f>D96*Calc_SEC_retirement_rates!$G143</f>
        <v>0.34876163454057557</v>
      </c>
      <c r="E164" s="447">
        <f>E96*Calc_SEC_retirement_rates!$G143</f>
        <v>0.34203130446737667</v>
      </c>
      <c r="F164" s="447">
        <f>F96*Calc_SEC_retirement_rates!$G143</f>
        <v>0.3364523889881022</v>
      </c>
      <c r="G164" s="447">
        <f>G96*Calc_SEC_retirement_rates!$G143</f>
        <v>0.33094325086816478</v>
      </c>
      <c r="H164" s="447">
        <f>H96*Calc_SEC_retirement_rates!$G143</f>
        <v>0.32620501363613347</v>
      </c>
      <c r="I164" s="447">
        <f>I96*Calc_SEC_retirement_rates!$G143</f>
        <v>0.32219345864206322</v>
      </c>
      <c r="J164" s="447">
        <f>J96*Calc_SEC_retirement_rates!$G143</f>
        <v>0.31994587647910278</v>
      </c>
      <c r="K164" s="447">
        <f>K96*Calc_SEC_retirement_rates!$G143</f>
        <v>0.31755823044638304</v>
      </c>
      <c r="L164" s="447">
        <f>L96*Calc_SEC_retirement_rates!$G143</f>
        <v>0.31475326290539951</v>
      </c>
      <c r="M164" s="447">
        <f>M96*Calc_SEC_retirement_rates!$G143</f>
        <v>0.31174439474479299</v>
      </c>
      <c r="N164" s="447">
        <f>N96*Calc_SEC_retirement_rates!$G143</f>
        <v>0.30944017601837714</v>
      </c>
    </row>
    <row r="165" spans="1:14">
      <c r="B165" s="331" t="str">
        <f t="shared" si="60"/>
        <v>40-44</v>
      </c>
      <c r="C165" s="447">
        <f>C97*Calc_SEC_retirement_rates!$G144</f>
        <v>0.66612636089835542</v>
      </c>
      <c r="D165" s="447">
        <f>D97*Calc_SEC_retirement_rates!$G144</f>
        <v>0.68700084320080534</v>
      </c>
      <c r="E165" s="447">
        <f>E97*Calc_SEC_retirement_rates!$G144</f>
        <v>0.6983952487628885</v>
      </c>
      <c r="F165" s="447">
        <f>F97*Calc_SEC_retirement_rates!$G144</f>
        <v>0.70483223570068931</v>
      </c>
      <c r="G165" s="447">
        <f>G97*Calc_SEC_retirement_rates!$G144</f>
        <v>0.70615619898353488</v>
      </c>
      <c r="H165" s="447">
        <f>H97*Calc_SEC_retirement_rates!$G144</f>
        <v>0.70504766475044711</v>
      </c>
      <c r="I165" s="447">
        <f>I97*Calc_SEC_retirement_rates!$G144</f>
        <v>0.70233913121069569</v>
      </c>
      <c r="J165" s="447">
        <f>J97*Calc_SEC_retirement_rates!$G144</f>
        <v>0.70077233601928235</v>
      </c>
      <c r="K165" s="447">
        <f>K97*Calc_SEC_retirement_rates!$G144</f>
        <v>0.69715165723334183</v>
      </c>
      <c r="L165" s="447">
        <f>L97*Calc_SEC_retirement_rates!$G144</f>
        <v>0.69153829152741486</v>
      </c>
      <c r="M165" s="447">
        <f>M97*Calc_SEC_retirement_rates!$G144</f>
        <v>0.68488293625906027</v>
      </c>
      <c r="N165" s="447">
        <f>N97*Calc_SEC_retirement_rates!$G144</f>
        <v>0.67933236119774387</v>
      </c>
    </row>
    <row r="166" spans="1:14">
      <c r="B166" s="331" t="str">
        <f t="shared" si="60"/>
        <v>45-49</v>
      </c>
      <c r="C166" s="447">
        <f>C98*Calc_SEC_retirement_rates!$G145</f>
        <v>0.66577824298110577</v>
      </c>
      <c r="D166" s="447">
        <f>D98*Calc_SEC_retirement_rates!$G145</f>
        <v>0.72936847200284616</v>
      </c>
      <c r="E166" s="447">
        <f>E98*Calc_SEC_retirement_rates!$G145</f>
        <v>0.78074120935059443</v>
      </c>
      <c r="F166" s="447">
        <f>F98*Calc_SEC_retirement_rates!$G145</f>
        <v>0.82262522805345717</v>
      </c>
      <c r="G166" s="447">
        <f>G98*Calc_SEC_retirement_rates!$G145</f>
        <v>0.8536536851526153</v>
      </c>
      <c r="H166" s="447">
        <f>H98*Calc_SEC_retirement_rates!$G145</f>
        <v>0.87692543082417063</v>
      </c>
      <c r="I166" s="447">
        <f>I98*Calc_SEC_retirement_rates!$G145</f>
        <v>0.89369213027502981</v>
      </c>
      <c r="J166" s="447">
        <f>J98*Calc_SEC_retirement_rates!$G145</f>
        <v>0.90778189498769346</v>
      </c>
      <c r="K166" s="447">
        <f>K98*Calc_SEC_retirement_rates!$G145</f>
        <v>0.91569854520198601</v>
      </c>
      <c r="L166" s="447">
        <f>L98*Calc_SEC_retirement_rates!$G145</f>
        <v>0.91801583367866779</v>
      </c>
      <c r="M166" s="447">
        <f>M98*Calc_SEC_retirement_rates!$G145</f>
        <v>0.91644638945702706</v>
      </c>
      <c r="N166" s="447">
        <f>N98*Calc_SEC_retirement_rates!$G145</f>
        <v>0.91419887963296287</v>
      </c>
    </row>
    <row r="167" spans="1:14">
      <c r="B167" s="331" t="str">
        <f t="shared" si="60"/>
        <v>50-54</v>
      </c>
      <c r="C167" s="447">
        <f>C99*Calc_SEC_retirement_rates!$G146</f>
        <v>9.8581918366896577</v>
      </c>
      <c r="D167" s="447">
        <f>D99*Calc_SEC_retirement_rates!$G146</f>
        <v>10.785610174175336</v>
      </c>
      <c r="E167" s="447">
        <f>E99*Calc_SEC_retirement_rates!$G146</f>
        <v>11.696900470580202</v>
      </c>
      <c r="F167" s="447">
        <f>F99*Calc_SEC_retirement_rates!$G146</f>
        <v>12.583176543866253</v>
      </c>
      <c r="G167" s="447">
        <f>G99*Calc_SEC_retirement_rates!$G146</f>
        <v>13.366638560817895</v>
      </c>
      <c r="H167" s="447">
        <f>H99*Calc_SEC_retirement_rates!$G146</f>
        <v>14.057311667061921</v>
      </c>
      <c r="I167" s="447">
        <f>I99*Calc_SEC_retirement_rates!$G146</f>
        <v>14.646659696075233</v>
      </c>
      <c r="J167" s="447">
        <f>J99*Calc_SEC_retirement_rates!$G146</f>
        <v>15.180416018480956</v>
      </c>
      <c r="K167" s="447">
        <f>K99*Calc_SEC_retirement_rates!$G146</f>
        <v>15.584777508237286</v>
      </c>
      <c r="L167" s="447">
        <f>L99*Calc_SEC_retirement_rates!$G146</f>
        <v>15.862360047148261</v>
      </c>
      <c r="M167" s="447">
        <f>M99*Calc_SEC_retirement_rates!$G146</f>
        <v>16.039577359978455</v>
      </c>
      <c r="N167" s="447">
        <f>N99*Calc_SEC_retirement_rates!$G146</f>
        <v>16.171736924745257</v>
      </c>
    </row>
    <row r="168" spans="1:14">
      <c r="B168" s="331" t="str">
        <f t="shared" si="60"/>
        <v>55-59</v>
      </c>
      <c r="C168" s="447">
        <f>C100*Calc_SEC_retirement_rates!$G147</f>
        <v>52.595704305049537</v>
      </c>
      <c r="D168" s="447">
        <f>D100*Calc_SEC_retirement_rates!$G147</f>
        <v>49.351795104584475</v>
      </c>
      <c r="E168" s="447">
        <f>E100*Calc_SEC_retirement_rates!$G147</f>
        <v>48.470825491452281</v>
      </c>
      <c r="F168" s="447">
        <f>F100*Calc_SEC_retirement_rates!$G147</f>
        <v>49.220526994262421</v>
      </c>
      <c r="G168" s="447">
        <f>G100*Calc_SEC_retirement_rates!$G147</f>
        <v>50.722263262979595</v>
      </c>
      <c r="H168" s="447">
        <f>H100*Calc_SEC_retirement_rates!$G147</f>
        <v>52.651792243308385</v>
      </c>
      <c r="I168" s="447">
        <f>I100*Calc_SEC_retirement_rates!$G147</f>
        <v>54.711146223492122</v>
      </c>
      <c r="J168" s="447">
        <f>J100*Calc_SEC_retirement_rates!$G147</f>
        <v>56.928933923519672</v>
      </c>
      <c r="K168" s="447">
        <f>K100*Calc_SEC_retirement_rates!$G147</f>
        <v>58.798886846292397</v>
      </c>
      <c r="L168" s="447">
        <f>L100*Calc_SEC_retirement_rates!$G147</f>
        <v>60.249478935953064</v>
      </c>
      <c r="M168" s="447">
        <f>M100*Calc_SEC_retirement_rates!$G147</f>
        <v>61.345702237459669</v>
      </c>
      <c r="N168" s="447">
        <f>N100*Calc_SEC_retirement_rates!$G147</f>
        <v>62.300486565490999</v>
      </c>
    </row>
    <row r="169" spans="1:14">
      <c r="B169" s="331" t="str">
        <f t="shared" si="60"/>
        <v>60-64</v>
      </c>
      <c r="C169" s="447">
        <f>C101*Calc_SEC_retirement_rates!$G148</f>
        <v>35.644633368216631</v>
      </c>
      <c r="D169" s="447">
        <f>D101*Calc_SEC_retirement_rates!$G148</f>
        <v>36.390100521256315</v>
      </c>
      <c r="E169" s="447">
        <f>E101*Calc_SEC_retirement_rates!$G148</f>
        <v>35.863124472441115</v>
      </c>
      <c r="F169" s="447">
        <f>F101*Calc_SEC_retirement_rates!$G148</f>
        <v>35.510832663469344</v>
      </c>
      <c r="G169" s="447">
        <f>G101*Calc_SEC_retirement_rates!$G148</f>
        <v>35.474060636597628</v>
      </c>
      <c r="H169" s="447">
        <f>H101*Calc_SEC_retirement_rates!$G148</f>
        <v>35.875153591782485</v>
      </c>
      <c r="I169" s="447">
        <f>I101*Calc_SEC_retirement_rates!$G148</f>
        <v>36.596354627784343</v>
      </c>
      <c r="J169" s="447">
        <f>J101*Calc_SEC_retirement_rates!$G148</f>
        <v>37.708122393232173</v>
      </c>
      <c r="K169" s="447">
        <f>K101*Calc_SEC_retirement_rates!$G148</f>
        <v>38.707044747969206</v>
      </c>
      <c r="L169" s="447">
        <f>L101*Calc_SEC_retirement_rates!$G148</f>
        <v>39.515883367438249</v>
      </c>
      <c r="M169" s="447">
        <f>M101*Calc_SEC_retirement_rates!$G148</f>
        <v>40.175856846623468</v>
      </c>
      <c r="N169" s="447">
        <f>N101*Calc_SEC_retirement_rates!$G148</f>
        <v>40.856645601814911</v>
      </c>
    </row>
    <row r="170" spans="1:14">
      <c r="B170" s="331" t="str">
        <f t="shared" si="60"/>
        <v>65 plus</v>
      </c>
      <c r="C170" s="447">
        <f>C102*Calc_SEC_retirement_rates!$G149</f>
        <v>4.1771703784747176</v>
      </c>
      <c r="D170" s="447">
        <f>D102*Calc_SEC_retirement_rates!$G149</f>
        <v>8.3949627064794043</v>
      </c>
      <c r="E170" s="447">
        <f>E102*Calc_SEC_retirement_rates!$G149</f>
        <v>11.106433887851551</v>
      </c>
      <c r="F170" s="447">
        <f>F102*Calc_SEC_retirement_rates!$G149</f>
        <v>12.795653850725138</v>
      </c>
      <c r="G170" s="447">
        <f>G102*Calc_SEC_retirement_rates!$G149</f>
        <v>13.78439823648049</v>
      </c>
      <c r="H170" s="447">
        <f>H102*Calc_SEC_retirement_rates!$G149</f>
        <v>14.407623501776857</v>
      </c>
      <c r="I170" s="447">
        <f>I102*Calc_SEC_retirement_rates!$G149</f>
        <v>14.84728507582742</v>
      </c>
      <c r="J170" s="447">
        <f>J102*Calc_SEC_retirement_rates!$G149</f>
        <v>15.282595899433224</v>
      </c>
      <c r="K170" s="447">
        <f>K102*Calc_SEC_retirement_rates!$G149</f>
        <v>15.626125112419347</v>
      </c>
      <c r="L170" s="447">
        <f>L102*Calc_SEC_retirement_rates!$G149</f>
        <v>15.883612108377672</v>
      </c>
      <c r="M170" s="447">
        <f>M102*Calc_SEC_retirement_rates!$G149</f>
        <v>16.087425710226032</v>
      </c>
      <c r="N170" s="447">
        <f>N102*Calc_SEC_retirement_rates!$G149</f>
        <v>16.312485071427258</v>
      </c>
    </row>
    <row r="171" spans="1:14">
      <c r="B171" s="331" t="str">
        <f t="shared" si="60"/>
        <v>Total</v>
      </c>
      <c r="C171" s="447">
        <f>SUM(C161:C170)</f>
        <v>104.05949922009549</v>
      </c>
      <c r="D171" s="447">
        <f t="shared" ref="D171:N171" si="62">SUM(D161:D170)</f>
        <v>106.781944660222</v>
      </c>
      <c r="E171" s="447">
        <f t="shared" si="62"/>
        <v>109.05108250993517</v>
      </c>
      <c r="F171" s="447">
        <f t="shared" si="62"/>
        <v>112.06535050594454</v>
      </c>
      <c r="G171" s="447">
        <f t="shared" si="62"/>
        <v>115.32808754171889</v>
      </c>
      <c r="H171" s="447">
        <f t="shared" si="62"/>
        <v>118.98911341609541</v>
      </c>
      <c r="I171" s="447">
        <f t="shared" si="62"/>
        <v>122.80810522125543</v>
      </c>
      <c r="J171" s="447">
        <f t="shared" si="62"/>
        <v>127.11705129653659</v>
      </c>
      <c r="K171" s="447">
        <f t="shared" si="62"/>
        <v>130.73563430454561</v>
      </c>
      <c r="L171" s="447">
        <f t="shared" si="62"/>
        <v>133.52363657436814</v>
      </c>
      <c r="M171" s="447">
        <f t="shared" si="62"/>
        <v>135.64900571076242</v>
      </c>
      <c r="N171" s="447">
        <f t="shared" si="62"/>
        <v>137.63123773367246</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4.9948874270618233E-2</v>
      </c>
      <c r="D180" s="447">
        <f>D78*Calc_SEC_death_rates!$G125</f>
        <v>5.0571476504613772E-2</v>
      </c>
      <c r="E180" s="447">
        <f>E78*Calc_SEC_death_rates!$G125</f>
        <v>5.2099455414315543E-2</v>
      </c>
      <c r="F180" s="447">
        <f>F78*Calc_SEC_death_rates!$G125</f>
        <v>5.4207806888544562E-2</v>
      </c>
      <c r="G180" s="447">
        <f>G78*Calc_SEC_death_rates!$G125</f>
        <v>5.6265637297314916E-2</v>
      </c>
      <c r="H180" s="447">
        <f>H78*Calc_SEC_death_rates!$G125</f>
        <v>5.8153216637381745E-2</v>
      </c>
      <c r="I180" s="447">
        <f>I78*Calc_SEC_death_rates!$G125</f>
        <v>5.9774182137135208E-2</v>
      </c>
      <c r="J180" s="447">
        <f>J78*Calc_SEC_death_rates!$G125</f>
        <v>6.1713685766503573E-2</v>
      </c>
      <c r="K180" s="447">
        <f>K78*Calc_SEC_death_rates!$G125</f>
        <v>6.2841371434992715E-2</v>
      </c>
      <c r="L180" s="447">
        <f>L78*Calc_SEC_death_rates!$G125</f>
        <v>6.3151006977739163E-2</v>
      </c>
      <c r="M180" s="447">
        <f>M78*Calc_SEC_death_rates!$G125</f>
        <v>6.2958303102364277E-2</v>
      </c>
      <c r="N180" s="447">
        <f>N78*Calc_SEC_death_rates!$G125</f>
        <v>6.293499751215606E-2</v>
      </c>
    </row>
    <row r="181" spans="1:14">
      <c r="B181" s="331" t="str">
        <f t="shared" si="64"/>
        <v>30-34</v>
      </c>
      <c r="C181" s="447">
        <f>C79*Calc_SEC_death_rates!$G126</f>
        <v>0.20335280157350002</v>
      </c>
      <c r="D181" s="447">
        <f>D79*Calc_SEC_death_rates!$G126</f>
        <v>0.19933513683734111</v>
      </c>
      <c r="E181" s="447">
        <f>E79*Calc_SEC_death_rates!$G126</f>
        <v>0.19711953040886826</v>
      </c>
      <c r="F181" s="447">
        <f>F79*Calc_SEC_death_rates!$G126</f>
        <v>0.1966937766947422</v>
      </c>
      <c r="G181" s="447">
        <f>G79*Calc_SEC_death_rates!$G126</f>
        <v>0.19769693400193203</v>
      </c>
      <c r="H181" s="447">
        <f>H79*Calc_SEC_death_rates!$G126</f>
        <v>0.19966233614071188</v>
      </c>
      <c r="I181" s="447">
        <f>I79*Calc_SEC_death_rates!$G126</f>
        <v>0.20216533473613155</v>
      </c>
      <c r="J181" s="447">
        <f>J79*Calc_SEC_death_rates!$G126</f>
        <v>0.20598059327637927</v>
      </c>
      <c r="K181" s="447">
        <f>K79*Calc_SEC_death_rates!$G126</f>
        <v>0.20900212320300876</v>
      </c>
      <c r="L181" s="447">
        <f>L79*Calc_SEC_death_rates!$G126</f>
        <v>0.21078545161918658</v>
      </c>
      <c r="M181" s="447">
        <f>M79*Calc_SEC_death_rates!$G126</f>
        <v>0.21154255129727867</v>
      </c>
      <c r="N181" s="447">
        <f>N79*Calc_SEC_death_rates!$G126</f>
        <v>0.212314533732858</v>
      </c>
    </row>
    <row r="182" spans="1:14">
      <c r="B182" s="331" t="str">
        <f t="shared" si="64"/>
        <v>35-39</v>
      </c>
      <c r="C182" s="447">
        <f>C80*Calc_SEC_death_rates!$G127</f>
        <v>0.47331185085308347</v>
      </c>
      <c r="D182" s="447">
        <f>D80*Calc_SEC_death_rates!$G127</f>
        <v>0.45513482676024813</v>
      </c>
      <c r="E182" s="447">
        <f>E80*Calc_SEC_death_rates!$G127</f>
        <v>0.44112822725514894</v>
      </c>
      <c r="F182" s="447">
        <f>F80*Calc_SEC_death_rates!$G127</f>
        <v>0.43008208495071748</v>
      </c>
      <c r="G182" s="447">
        <f>G80*Calc_SEC_death_rates!$G127</f>
        <v>0.42218206619387155</v>
      </c>
      <c r="H182" s="447">
        <f>H80*Calc_SEC_death_rates!$G127</f>
        <v>0.41686987626201266</v>
      </c>
      <c r="I182" s="447">
        <f>I80*Calc_SEC_death_rates!$G127</f>
        <v>0.41372218650821135</v>
      </c>
      <c r="J182" s="447">
        <f>J80*Calc_SEC_death_rates!$G127</f>
        <v>0.41375236344155109</v>
      </c>
      <c r="K182" s="447">
        <f>K80*Calc_SEC_death_rates!$G127</f>
        <v>0.41410685969838906</v>
      </c>
      <c r="L182" s="447">
        <f>L80*Calc_SEC_death_rates!$G127</f>
        <v>0.4141200235505102</v>
      </c>
      <c r="M182" s="447">
        <f>M80*Calc_SEC_death_rates!$G127</f>
        <v>0.4138426211814506</v>
      </c>
      <c r="N182" s="447">
        <f>N80*Calc_SEC_death_rates!$G127</f>
        <v>0.41432466137374985</v>
      </c>
    </row>
    <row r="183" spans="1:14">
      <c r="B183" s="331" t="str">
        <f t="shared" si="64"/>
        <v>40-44</v>
      </c>
      <c r="C183" s="447">
        <f>C81*Calc_SEC_death_rates!$G128</f>
        <v>0.64156845417218922</v>
      </c>
      <c r="D183" s="447">
        <f>D81*Calc_SEC_death_rates!$G128</f>
        <v>0.64444035593469895</v>
      </c>
      <c r="E183" s="447">
        <f>E81*Calc_SEC_death_rates!$G128</f>
        <v>0.6428977044781784</v>
      </c>
      <c r="F183" s="447">
        <f>F81*Calc_SEC_death_rates!$G128</f>
        <v>0.63779389884095072</v>
      </c>
      <c r="G183" s="447">
        <f>G81*Calc_SEC_death_rates!$G128</f>
        <v>0.63164680764797587</v>
      </c>
      <c r="H183" s="447">
        <f>H81*Calc_SEC_death_rates!$G128</f>
        <v>0.62513489823394486</v>
      </c>
      <c r="I183" s="447">
        <f>I81*Calc_SEC_death_rates!$G128</f>
        <v>0.61894317188793635</v>
      </c>
      <c r="J183" s="447">
        <f>J81*Calc_SEC_death_rates!$G128</f>
        <v>0.61529858321976139</v>
      </c>
      <c r="K183" s="447">
        <f>K81*Calc_SEC_death_rates!$G128</f>
        <v>0.61131225184970928</v>
      </c>
      <c r="L183" s="447">
        <f>L81*Calc_SEC_death_rates!$G128</f>
        <v>0.60679575308146161</v>
      </c>
      <c r="M183" s="447">
        <f>M81*Calc_SEC_death_rates!$G128</f>
        <v>0.6022994700676837</v>
      </c>
      <c r="N183" s="447">
        <f>N81*Calc_SEC_death_rates!$G128</f>
        <v>0.59940635594411906</v>
      </c>
    </row>
    <row r="184" spans="1:14">
      <c r="B184" s="331" t="str">
        <f t="shared" si="64"/>
        <v>45-49</v>
      </c>
      <c r="C184" s="447">
        <f>C82*Calc_SEC_death_rates!$G129</f>
        <v>0.76998860736216612</v>
      </c>
      <c r="D184" s="447">
        <f>D82*Calc_SEC_death_rates!$G129</f>
        <v>0.78844668889388436</v>
      </c>
      <c r="E184" s="447">
        <f>E82*Calc_SEC_death_rates!$G129</f>
        <v>0.80474520142235906</v>
      </c>
      <c r="F184" s="447">
        <f>F82*Calc_SEC_death_rates!$G129</f>
        <v>0.81566366603564144</v>
      </c>
      <c r="G184" s="447">
        <f>G82*Calc_SEC_death_rates!$G129</f>
        <v>0.8232716454793193</v>
      </c>
      <c r="H184" s="447">
        <f>H82*Calc_SEC_death_rates!$G129</f>
        <v>0.82736876506328783</v>
      </c>
      <c r="I184" s="447">
        <f>I82*Calc_SEC_death_rates!$G129</f>
        <v>0.82864937152122609</v>
      </c>
      <c r="J184" s="447">
        <f>J82*Calc_SEC_death_rates!$G129</f>
        <v>0.83009433738429361</v>
      </c>
      <c r="K184" s="447">
        <f>K82*Calc_SEC_death_rates!$G129</f>
        <v>0.82851244458568984</v>
      </c>
      <c r="L184" s="447">
        <f>L82*Calc_SEC_death_rates!$G129</f>
        <v>0.8241740632103175</v>
      </c>
      <c r="M184" s="447">
        <f>M82*Calc_SEC_death_rates!$G129</f>
        <v>0.81830958193916881</v>
      </c>
      <c r="N184" s="447">
        <f>N82*Calc_SEC_death_rates!$G129</f>
        <v>0.81341289831199182</v>
      </c>
    </row>
    <row r="185" spans="1:14">
      <c r="B185" s="331" t="str">
        <f t="shared" si="64"/>
        <v>50-54</v>
      </c>
      <c r="C185" s="447">
        <f>C83*Calc_SEC_death_rates!$G130</f>
        <v>0.63453822435348173</v>
      </c>
      <c r="D185" s="447">
        <f>D83*Calc_SEC_death_rates!$G130</f>
        <v>0.66276562793202376</v>
      </c>
      <c r="E185" s="447">
        <f>E83*Calc_SEC_death_rates!$G130</f>
        <v>0.68849500493411153</v>
      </c>
      <c r="F185" s="447">
        <f>F83*Calc_SEC_death_rates!$G130</f>
        <v>0.71044478442593384</v>
      </c>
      <c r="G185" s="447">
        <f>G83*Calc_SEC_death_rates!$G130</f>
        <v>0.72940752142719345</v>
      </c>
      <c r="H185" s="447">
        <f>H83*Calc_SEC_death_rates!$G130</f>
        <v>0.74498218263660421</v>
      </c>
      <c r="I185" s="447">
        <f>I83*Calc_SEC_death_rates!$G130</f>
        <v>0.75722855450752957</v>
      </c>
      <c r="J185" s="447">
        <f>J83*Calc_SEC_death_rates!$G130</f>
        <v>0.76833239960596988</v>
      </c>
      <c r="K185" s="447">
        <f>K83*Calc_SEC_death_rates!$G130</f>
        <v>0.7752651584479292</v>
      </c>
      <c r="L185" s="447">
        <f>L83*Calc_SEC_death_rates!$G130</f>
        <v>0.77814337865949423</v>
      </c>
      <c r="M185" s="447">
        <f>M83*Calc_SEC_death_rates!$G130</f>
        <v>0.77805860337828836</v>
      </c>
      <c r="N185" s="447">
        <f>N83*Calc_SEC_death_rates!$G130</f>
        <v>0.7773218632163349</v>
      </c>
    </row>
    <row r="186" spans="1:14">
      <c r="B186" s="331" t="str">
        <f t="shared" si="64"/>
        <v>55-59</v>
      </c>
      <c r="C186" s="447">
        <f>C84*Calc_SEC_death_rates!$G131</f>
        <v>0.58014217531974333</v>
      </c>
      <c r="D186" s="447">
        <f>D84*Calc_SEC_death_rates!$G131</f>
        <v>0.54593898637864391</v>
      </c>
      <c r="E186" s="447">
        <f>E84*Calc_SEC_death_rates!$G131</f>
        <v>0.53361217755859569</v>
      </c>
      <c r="F186" s="447">
        <f>F84*Calc_SEC_death_rates!$G131</f>
        <v>0.53307936751635321</v>
      </c>
      <c r="G186" s="447">
        <f>G84*Calc_SEC_death_rates!$G131</f>
        <v>0.5387964790573031</v>
      </c>
      <c r="H186" s="447">
        <f>H84*Calc_SEC_death_rates!$G131</f>
        <v>0.54723626511149437</v>
      </c>
      <c r="I186" s="447">
        <f>I84*Calc_SEC_death_rates!$G131</f>
        <v>0.55631870297615871</v>
      </c>
      <c r="J186" s="447">
        <f>J84*Calc_SEC_death_rates!$G131</f>
        <v>0.56668736664945141</v>
      </c>
      <c r="K186" s="447">
        <f>K84*Calc_SEC_death_rates!$G131</f>
        <v>0.57436859089884817</v>
      </c>
      <c r="L186" s="447">
        <f>L84*Calc_SEC_death_rates!$G131</f>
        <v>0.57901667196908124</v>
      </c>
      <c r="M186" s="447">
        <f>M84*Calc_SEC_death_rates!$G131</f>
        <v>0.58134529337951379</v>
      </c>
      <c r="N186" s="447">
        <f>N84*Calc_SEC_death_rates!$G131</f>
        <v>0.58323970968209404</v>
      </c>
    </row>
    <row r="187" spans="1:14">
      <c r="B187" s="331" t="str">
        <f t="shared" si="64"/>
        <v>60-64</v>
      </c>
      <c r="C187" s="447">
        <f>C85*Calc_SEC_death_rates!$G132</f>
        <v>0.39203724013128455</v>
      </c>
      <c r="D187" s="447">
        <f>D85*Calc_SEC_death_rates!$G132</f>
        <v>0.38421275567069091</v>
      </c>
      <c r="E187" s="447">
        <f>E85*Calc_SEC_death_rates!$G132</f>
        <v>0.37214431357378164</v>
      </c>
      <c r="F187" s="447">
        <f>F85*Calc_SEC_death_rates!$G132</f>
        <v>0.36350755924632067</v>
      </c>
      <c r="G187" s="447">
        <f>G85*Calc_SEC_death_rates!$G132</f>
        <v>0.35906871648435296</v>
      </c>
      <c r="H187" s="447">
        <f>H85*Calc_SEC_death_rates!$G132</f>
        <v>0.35836573286909762</v>
      </c>
      <c r="I187" s="447">
        <f>I85*Calc_SEC_death_rates!$G132</f>
        <v>0.36017612772184654</v>
      </c>
      <c r="J187" s="447">
        <f>J85*Calc_SEC_death_rates!$G132</f>
        <v>0.3650415696565581</v>
      </c>
      <c r="K187" s="447">
        <f>K85*Calc_SEC_death_rates!$G132</f>
        <v>0.36895540609101363</v>
      </c>
      <c r="L187" s="447">
        <f>L85*Calc_SEC_death_rates!$G132</f>
        <v>0.37136851314615865</v>
      </c>
      <c r="M187" s="447">
        <f>M85*Calc_SEC_death_rates!$G132</f>
        <v>0.37271498731747288</v>
      </c>
      <c r="N187" s="447">
        <f>N85*Calc_SEC_death_rates!$G132</f>
        <v>0.37447053173180528</v>
      </c>
    </row>
    <row r="188" spans="1:14">
      <c r="B188" s="331" t="str">
        <f t="shared" si="64"/>
        <v>65 plus</v>
      </c>
      <c r="C188" s="447">
        <f>C86*Calc_SEC_death_rates!$G133</f>
        <v>8.2680585891200878E-2</v>
      </c>
      <c r="D188" s="447">
        <f>D86*Calc_SEC_death_rates!$G133</f>
        <v>0.11598897903385279</v>
      </c>
      <c r="E188" s="447">
        <f>E86*Calc_SEC_death_rates!$G133</f>
        <v>0.13433490344185814</v>
      </c>
      <c r="F188" s="447">
        <f>F86*Calc_SEC_death_rates!$G133</f>
        <v>0.14314843092698173</v>
      </c>
      <c r="G188" s="447">
        <f>G86*Calc_SEC_death_rates!$G133</f>
        <v>0.14729092116391379</v>
      </c>
      <c r="H188" s="447">
        <f>H86*Calc_SEC_death_rates!$G133</f>
        <v>0.14914294381577217</v>
      </c>
      <c r="I188" s="447">
        <f>I86*Calc_SEC_death_rates!$G133</f>
        <v>0.15014567803445805</v>
      </c>
      <c r="J188" s="447">
        <f>J86*Calc_SEC_death_rates!$G133</f>
        <v>0.1516953952297489</v>
      </c>
      <c r="K188" s="447">
        <f>K86*Calc_SEC_death_rates!$G133</f>
        <v>0.15271984732636953</v>
      </c>
      <c r="L188" s="447">
        <f>L86*Calc_SEC_death_rates!$G133</f>
        <v>0.15316723899382681</v>
      </c>
      <c r="M188" s="447">
        <f>M86*Calc_SEC_death_rates!$G133</f>
        <v>0.15328571596281684</v>
      </c>
      <c r="N188" s="447">
        <f>N86*Calc_SEC_death_rates!$G133</f>
        <v>0.15374399284181342</v>
      </c>
    </row>
    <row r="189" spans="1:14">
      <c r="B189" s="331" t="str">
        <f t="shared" si="64"/>
        <v>Total</v>
      </c>
      <c r="C189" s="447">
        <f>SUM(C179:C188)</f>
        <v>3.8275688139272672</v>
      </c>
      <c r="D189" s="447">
        <f t="shared" ref="D189:N189" si="66">SUM(D179:D188)</f>
        <v>3.8468348339459988</v>
      </c>
      <c r="E189" s="447">
        <f t="shared" si="66"/>
        <v>3.8665765184872174</v>
      </c>
      <c r="F189" s="447">
        <f t="shared" si="66"/>
        <v>3.8846213755261858</v>
      </c>
      <c r="G189" s="447">
        <f t="shared" si="66"/>
        <v>3.9056267287531772</v>
      </c>
      <c r="H189" s="447">
        <f t="shared" si="66"/>
        <v>3.9269162167703073</v>
      </c>
      <c r="I189" s="447">
        <f t="shared" si="66"/>
        <v>3.9471233100306335</v>
      </c>
      <c r="J189" s="447">
        <f t="shared" si="66"/>
        <v>3.9785962942302171</v>
      </c>
      <c r="K189" s="447">
        <f t="shared" si="66"/>
        <v>3.99708405353595</v>
      </c>
      <c r="L189" s="447">
        <f t="shared" si="66"/>
        <v>4.0007221012077769</v>
      </c>
      <c r="M189" s="447">
        <f t="shared" si="66"/>
        <v>3.9943571276260381</v>
      </c>
      <c r="N189" s="447">
        <f t="shared" si="66"/>
        <v>3.9911695443469228</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0.12179275984179849</v>
      </c>
      <c r="D196" s="447">
        <f>D94*Calc_SEC_death_rates!$G141</f>
        <v>0.11663753281854167</v>
      </c>
      <c r="E196" s="447">
        <f>E94*Calc_SEC_death_rates!$G141</f>
        <v>0.11352034429228534</v>
      </c>
      <c r="F196" s="447">
        <f>F94*Calc_SEC_death_rates!$G141</f>
        <v>0.11260348116483103</v>
      </c>
      <c r="G196" s="447">
        <f>G94*Calc_SEC_death_rates!$G141</f>
        <v>0.11218673761606261</v>
      </c>
      <c r="H196" s="447">
        <f>H94*Calc_SEC_death_rates!$G141</f>
        <v>0.11234368186593327</v>
      </c>
      <c r="I196" s="447">
        <f>I94*Calc_SEC_death_rates!$G141</f>
        <v>0.11275706942495224</v>
      </c>
      <c r="J196" s="447">
        <f>J94*Calc_SEC_death_rates!$G141</f>
        <v>0.11426593669665729</v>
      </c>
      <c r="K196" s="447">
        <f>K94*Calc_SEC_death_rates!$G141</f>
        <v>0.11486274136551348</v>
      </c>
      <c r="L196" s="447">
        <f>L94*Calc_SEC_death_rates!$G141</f>
        <v>0.1144211203746248</v>
      </c>
      <c r="M196" s="447">
        <f>M94*Calc_SEC_death_rates!$G141</f>
        <v>0.11337720855347232</v>
      </c>
      <c r="N196" s="447">
        <f>N94*Calc_SEC_death_rates!$G141</f>
        <v>0.11279107744904165</v>
      </c>
    </row>
    <row r="197" spans="1:14">
      <c r="B197" s="331" t="str">
        <f t="shared" si="68"/>
        <v>30-34</v>
      </c>
      <c r="C197" s="447">
        <f>C95*Calc_SEC_death_rates!$G142</f>
        <v>0.10453661672465943</v>
      </c>
      <c r="D197" s="447">
        <f>D95*Calc_SEC_death_rates!$G142</f>
        <v>0.10314039456235771</v>
      </c>
      <c r="E197" s="447">
        <f>E95*Calc_SEC_death_rates!$G142</f>
        <v>0.10126575790524736</v>
      </c>
      <c r="F197" s="447">
        <f>F95*Calc_SEC_death_rates!$G142</f>
        <v>9.9757301711879881E-2</v>
      </c>
      <c r="G197" s="447">
        <f>G95*Calc_SEC_death_rates!$G142</f>
        <v>9.8361374413670571E-2</v>
      </c>
      <c r="H197" s="447">
        <f>H95*Calc_SEC_death_rates!$G142</f>
        <v>9.7356257197594318E-2</v>
      </c>
      <c r="I197" s="447">
        <f>I95*Calc_SEC_death_rates!$G142</f>
        <v>9.6679087221029331E-2</v>
      </c>
      <c r="J197" s="447">
        <f>J95*Calc_SEC_death_rates!$G142</f>
        <v>9.6731645510858041E-2</v>
      </c>
      <c r="K197" s="447">
        <f>K95*Calc_SEC_death_rates!$G142</f>
        <v>9.6631836786152545E-2</v>
      </c>
      <c r="L197" s="447">
        <f>L95*Calc_SEC_death_rates!$G142</f>
        <v>9.6197904229480533E-2</v>
      </c>
      <c r="M197" s="447">
        <f>M95*Calc_SEC_death_rates!$G142</f>
        <v>9.5514758344498282E-2</v>
      </c>
      <c r="N197" s="447">
        <f>N95*Calc_SEC_death_rates!$G142</f>
        <v>9.5014408893018668E-2</v>
      </c>
    </row>
    <row r="198" spans="1:14">
      <c r="B198" s="331" t="str">
        <f t="shared" si="68"/>
        <v>35-39</v>
      </c>
      <c r="C198" s="447">
        <f>C96*Calc_SEC_death_rates!$G143</f>
        <v>0.51190104948022352</v>
      </c>
      <c r="D198" s="447">
        <f>D96*Calc_SEC_death_rates!$G143</f>
        <v>0.50110944675797509</v>
      </c>
      <c r="E198" s="447">
        <f>E96*Calc_SEC_death_rates!$G143</f>
        <v>0.49143914003423805</v>
      </c>
      <c r="F198" s="447">
        <f>F96*Calc_SEC_death_rates!$G143</f>
        <v>0.48342321462142296</v>
      </c>
      <c r="G198" s="447">
        <f>G96*Calc_SEC_death_rates!$G143</f>
        <v>0.47550754706517995</v>
      </c>
      <c r="H198" s="447">
        <f>H96*Calc_SEC_death_rates!$G143</f>
        <v>0.46869952920197944</v>
      </c>
      <c r="I198" s="447">
        <f>I96*Calc_SEC_death_rates!$G143</f>
        <v>0.46293562656869292</v>
      </c>
      <c r="J198" s="447">
        <f>J96*Calc_SEC_death_rates!$G143</f>
        <v>0.45970624425515988</v>
      </c>
      <c r="K198" s="447">
        <f>K96*Calc_SEC_death_rates!$G143</f>
        <v>0.45627561466745825</v>
      </c>
      <c r="L198" s="447">
        <f>L96*Calc_SEC_death_rates!$G143</f>
        <v>0.45224536709023283</v>
      </c>
      <c r="M198" s="447">
        <f>M96*Calc_SEC_death_rates!$G143</f>
        <v>0.44792214999866425</v>
      </c>
      <c r="N198" s="447">
        <f>N96*Calc_SEC_death_rates!$G143</f>
        <v>0.44461139085302415</v>
      </c>
    </row>
    <row r="199" spans="1:14">
      <c r="B199" s="331" t="str">
        <f t="shared" si="68"/>
        <v>40-44</v>
      </c>
      <c r="C199" s="447">
        <f>C97*Calc_SEC_death_rates!$G144</f>
        <v>0.35919536328010798</v>
      </c>
      <c r="D199" s="447">
        <f>D97*Calc_SEC_death_rates!$G144</f>
        <v>0.37045151180394159</v>
      </c>
      <c r="E199" s="447">
        <f>E97*Calc_SEC_death_rates!$G144</f>
        <v>0.37659571789678209</v>
      </c>
      <c r="F199" s="447">
        <f>F97*Calc_SEC_death_rates!$G144</f>
        <v>0.38006673480479702</v>
      </c>
      <c r="G199" s="447">
        <f>G97*Calc_SEC_death_rates!$G144</f>
        <v>0.38078065561662305</v>
      </c>
      <c r="H199" s="447">
        <f>H97*Calc_SEC_death_rates!$G144</f>
        <v>0.38018290062607529</v>
      </c>
      <c r="I199" s="447">
        <f>I97*Calc_SEC_death_rates!$G144</f>
        <v>0.37872237789964347</v>
      </c>
      <c r="J199" s="447">
        <f>J97*Calc_SEC_death_rates!$G144</f>
        <v>0.37787751482110343</v>
      </c>
      <c r="K199" s="447">
        <f>K97*Calc_SEC_death_rates!$G144</f>
        <v>0.37592513595100052</v>
      </c>
      <c r="L199" s="447">
        <f>L97*Calc_SEC_death_rates!$G144</f>
        <v>0.37289824037634517</v>
      </c>
      <c r="M199" s="447">
        <f>M97*Calc_SEC_death_rates!$G144</f>
        <v>0.3693094726984667</v>
      </c>
      <c r="N199" s="447">
        <f>N97*Calc_SEC_death_rates!$G144</f>
        <v>0.36631643572741179</v>
      </c>
    </row>
    <row r="200" spans="1:14">
      <c r="B200" s="331" t="str">
        <f t="shared" si="68"/>
        <v>45-49</v>
      </c>
      <c r="C200" s="447">
        <f>C98*Calc_SEC_death_rates!$G145</f>
        <v>0.45821347717080546</v>
      </c>
      <c r="D200" s="447">
        <f>D98*Calc_SEC_death_rates!$G145</f>
        <v>0.50197865012639942</v>
      </c>
      <c r="E200" s="447">
        <f>E98*Calc_SEC_death_rates!$G145</f>
        <v>0.53733528855677581</v>
      </c>
      <c r="F200" s="447">
        <f>F98*Calc_SEC_death_rates!$G145</f>
        <v>0.56616143607669478</v>
      </c>
      <c r="G200" s="447">
        <f>G98*Calc_SEC_death_rates!$G145</f>
        <v>0.58751638026199748</v>
      </c>
      <c r="H200" s="447">
        <f>H98*Calc_SEC_death_rates!$G145</f>
        <v>0.60353286565546904</v>
      </c>
      <c r="I200" s="447">
        <f>I98*Calc_SEC_death_rates!$G145</f>
        <v>0.61507233504644165</v>
      </c>
      <c r="J200" s="447">
        <f>J98*Calc_SEC_death_rates!$G145</f>
        <v>0.62476943787245176</v>
      </c>
      <c r="K200" s="447">
        <f>K98*Calc_SEC_death_rates!$G145</f>
        <v>0.6302179725166499</v>
      </c>
      <c r="L200" s="447">
        <f>L98*Calc_SEC_death_rates!$G145</f>
        <v>0.63181281707893822</v>
      </c>
      <c r="M200" s="447">
        <f>M98*Calc_SEC_death_rates!$G145</f>
        <v>0.63073266689138685</v>
      </c>
      <c r="N200" s="447">
        <f>N98*Calc_SEC_death_rates!$G145</f>
        <v>0.62918584660652932</v>
      </c>
    </row>
    <row r="201" spans="1:14">
      <c r="B201" s="331" t="str">
        <f t="shared" si="68"/>
        <v>50-54</v>
      </c>
      <c r="C201" s="447">
        <f>C99*Calc_SEC_death_rates!$G146</f>
        <v>0.4915140892669807</v>
      </c>
      <c r="D201" s="447">
        <f>D99*Calc_SEC_death_rates!$G146</f>
        <v>0.5377537229716377</v>
      </c>
      <c r="E201" s="447">
        <f>E99*Calc_SEC_death_rates!$G146</f>
        <v>0.58318923767000885</v>
      </c>
      <c r="F201" s="447">
        <f>F99*Calc_SEC_death_rates!$G146</f>
        <v>0.62737758216732875</v>
      </c>
      <c r="G201" s="447">
        <f>G99*Calc_SEC_death_rates!$G146</f>
        <v>0.66643977796515042</v>
      </c>
      <c r="H201" s="447">
        <f>H99*Calc_SEC_death_rates!$G146</f>
        <v>0.70087566320865802</v>
      </c>
      <c r="I201" s="447">
        <f>I99*Calc_SEC_death_rates!$G146</f>
        <v>0.73025963793145454</v>
      </c>
      <c r="J201" s="447">
        <f>J99*Calc_SEC_death_rates!$G146</f>
        <v>0.75687189675577027</v>
      </c>
      <c r="K201" s="447">
        <f>K99*Calc_SEC_death_rates!$G146</f>
        <v>0.7770327307773327</v>
      </c>
      <c r="L201" s="447">
        <f>L99*Calc_SEC_death_rates!$G146</f>
        <v>0.790872563788237</v>
      </c>
      <c r="M201" s="447">
        <f>M99*Calc_SEC_death_rates!$G146</f>
        <v>0.79970834296164406</v>
      </c>
      <c r="N201" s="447">
        <f>N99*Calc_SEC_death_rates!$G146</f>
        <v>0.80629761300125902</v>
      </c>
    </row>
    <row r="202" spans="1:14">
      <c r="B202" s="331" t="str">
        <f t="shared" si="68"/>
        <v>55-59</v>
      </c>
      <c r="C202" s="447">
        <f>C100*Calc_SEC_death_rates!$G147</f>
        <v>0.5316789864532927</v>
      </c>
      <c r="D202" s="447">
        <f>D100*Calc_SEC_death_rates!$G147</f>
        <v>0.49888698606773663</v>
      </c>
      <c r="E202" s="447">
        <f>E100*Calc_SEC_death_rates!$G147</f>
        <v>0.48998144830195933</v>
      </c>
      <c r="F202" s="447">
        <f>F100*Calc_SEC_death_rates!$G147</f>
        <v>0.49756002416520406</v>
      </c>
      <c r="G202" s="447">
        <f>G100*Calc_SEC_death_rates!$G147</f>
        <v>0.51274076236087152</v>
      </c>
      <c r="H202" s="447">
        <f>H100*Calc_SEC_death_rates!$G147</f>
        <v>0.53224596770318267</v>
      </c>
      <c r="I202" s="447">
        <f>I100*Calc_SEC_death_rates!$G147</f>
        <v>0.55306354684581094</v>
      </c>
      <c r="J202" s="447">
        <f>J100*Calc_SEC_death_rates!$G147</f>
        <v>0.57548269936215091</v>
      </c>
      <c r="K202" s="447">
        <f>K100*Calc_SEC_death_rates!$G147</f>
        <v>0.59438566278533922</v>
      </c>
      <c r="L202" s="447">
        <f>L100*Calc_SEC_death_rates!$G147</f>
        <v>0.6090493951600362</v>
      </c>
      <c r="M202" s="447">
        <f>M100*Calc_SEC_death_rates!$G147</f>
        <v>0.6201308874904955</v>
      </c>
      <c r="N202" s="447">
        <f>N100*Calc_SEC_death_rates!$G147</f>
        <v>0.62978260278771703</v>
      </c>
    </row>
    <row r="203" spans="1:14">
      <c r="B203" s="331" t="str">
        <f t="shared" si="68"/>
        <v>60-64</v>
      </c>
      <c r="C203" s="447">
        <f>C101*Calc_SEC_death_rates!$G148</f>
        <v>0.2069236063931276</v>
      </c>
      <c r="D203" s="447">
        <f>D101*Calc_SEC_death_rates!$G148</f>
        <v>0.21125117935933277</v>
      </c>
      <c r="E203" s="447">
        <f>E101*Calc_SEC_death_rates!$G148</f>
        <v>0.208191987155637</v>
      </c>
      <c r="F203" s="447">
        <f>F101*Calc_SEC_death_rates!$G148</f>
        <v>0.20614686886638006</v>
      </c>
      <c r="G203" s="447">
        <f>G101*Calc_SEC_death_rates!$G148</f>
        <v>0.20593340053480608</v>
      </c>
      <c r="H203" s="447">
        <f>H101*Calc_SEC_death_rates!$G148</f>
        <v>0.20826181839026175</v>
      </c>
      <c r="I203" s="447">
        <f>I101*Calc_SEC_death_rates!$G148</f>
        <v>0.21244852211540183</v>
      </c>
      <c r="J203" s="447">
        <f>J101*Calc_SEC_death_rates!$G148</f>
        <v>0.21890253703320497</v>
      </c>
      <c r="K203" s="447">
        <f>K101*Calc_SEC_death_rates!$G148</f>
        <v>0.22470146373315558</v>
      </c>
      <c r="L203" s="447">
        <f>L101*Calc_SEC_death_rates!$G148</f>
        <v>0.2293969196353563</v>
      </c>
      <c r="M203" s="447">
        <f>M101*Calc_SEC_death_rates!$G148</f>
        <v>0.23322818621133953</v>
      </c>
      <c r="N203" s="447">
        <f>N101*Calc_SEC_death_rates!$G148</f>
        <v>0.23718028926598092</v>
      </c>
    </row>
    <row r="204" spans="1:14">
      <c r="B204" s="331" t="str">
        <f t="shared" si="68"/>
        <v>65 plus</v>
      </c>
      <c r="C204" s="447">
        <f>C102*Calc_SEC_death_rates!$G149</f>
        <v>0.10264140785073636</v>
      </c>
      <c r="D204" s="447">
        <f>D102*Calc_SEC_death_rates!$G149</f>
        <v>0.20628097802467682</v>
      </c>
      <c r="E204" s="447">
        <f>E102*Calc_SEC_death_rates!$G149</f>
        <v>0.27290723316544996</v>
      </c>
      <c r="F204" s="447">
        <f>F102*Calc_SEC_death_rates!$G149</f>
        <v>0.31441473691784039</v>
      </c>
      <c r="G204" s="447">
        <f>G102*Calc_SEC_death_rates!$G149</f>
        <v>0.33871015859405612</v>
      </c>
      <c r="H204" s="447">
        <f>H102*Calc_SEC_death_rates!$G149</f>
        <v>0.3540240464277446</v>
      </c>
      <c r="I204" s="447">
        <f>I102*Calc_SEC_death_rates!$G149</f>
        <v>0.36482740823720444</v>
      </c>
      <c r="J204" s="447">
        <f>J102*Calc_SEC_death_rates!$G149</f>
        <v>0.37552386343036759</v>
      </c>
      <c r="K204" s="447">
        <f>K102*Calc_SEC_death_rates!$G149</f>
        <v>0.3839650613859143</v>
      </c>
      <c r="L204" s="447">
        <f>L102*Calc_SEC_death_rates!$G149</f>
        <v>0.39029203045200966</v>
      </c>
      <c r="M204" s="447">
        <f>M102*Calc_SEC_death_rates!$G149</f>
        <v>0.39530013716957285</v>
      </c>
      <c r="N204" s="447">
        <f>N102*Calc_SEC_death_rates!$G149</f>
        <v>0.40083029457055402</v>
      </c>
    </row>
    <row r="205" spans="1:14">
      <c r="B205" s="331" t="str">
        <f t="shared" si="68"/>
        <v>Total</v>
      </c>
      <c r="C205" s="447">
        <f>SUM(C195:C204)</f>
        <v>2.8883973564617325</v>
      </c>
      <c r="D205" s="447">
        <f t="shared" ref="D205:N205" si="70">SUM(D195:D204)</f>
        <v>3.0474904024925991</v>
      </c>
      <c r="E205" s="447">
        <f t="shared" si="70"/>
        <v>3.1744261549783839</v>
      </c>
      <c r="F205" s="447">
        <f t="shared" si="70"/>
        <v>3.2875113804963787</v>
      </c>
      <c r="G205" s="447">
        <f t="shared" si="70"/>
        <v>3.378176794428418</v>
      </c>
      <c r="H205" s="447">
        <f t="shared" si="70"/>
        <v>3.457522730276898</v>
      </c>
      <c r="I205" s="447">
        <f t="shared" si="70"/>
        <v>3.5267656112906312</v>
      </c>
      <c r="J205" s="447">
        <f t="shared" si="70"/>
        <v>3.600131775737724</v>
      </c>
      <c r="K205" s="447">
        <f t="shared" si="70"/>
        <v>3.6539982199685164</v>
      </c>
      <c r="L205" s="447">
        <f t="shared" si="70"/>
        <v>3.6871863581852606</v>
      </c>
      <c r="M205" s="447">
        <f t="shared" si="70"/>
        <v>3.7052238103195401</v>
      </c>
      <c r="N205" s="447">
        <f t="shared" si="70"/>
        <v>3.7220099591545366</v>
      </c>
    </row>
    <row r="206" spans="1:14">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22.558133050607598</v>
      </c>
      <c r="D213" s="447">
        <f t="shared" ref="D213:N213" si="75">D111+D145+D179</f>
        <v>30.432014257770344</v>
      </c>
      <c r="E213" s="447">
        <f t="shared" si="75"/>
        <v>37.753817187018555</v>
      </c>
      <c r="F213" s="447">
        <f t="shared" si="75"/>
        <v>41.762778594593627</v>
      </c>
      <c r="G213" s="447">
        <f t="shared" si="75"/>
        <v>45.017157312065976</v>
      </c>
      <c r="H213" s="447">
        <f t="shared" si="75"/>
        <v>47.357955213726449</v>
      </c>
      <c r="I213" s="447">
        <f t="shared" si="75"/>
        <v>49.016718180214902</v>
      </c>
      <c r="J213" s="447">
        <f t="shared" si="75"/>
        <v>50.894783349846172</v>
      </c>
      <c r="K213" s="447">
        <f t="shared" si="75"/>
        <v>51.669498544337259</v>
      </c>
      <c r="L213" s="447">
        <f t="shared" si="75"/>
        <v>51.533976955465576</v>
      </c>
      <c r="M213" s="447">
        <f t="shared" si="75"/>
        <v>50.974530906503688</v>
      </c>
      <c r="N213" s="447">
        <f t="shared" si="75"/>
        <v>50.795794175057893</v>
      </c>
    </row>
    <row r="214" spans="1:14">
      <c r="B214" s="331" t="str">
        <f t="shared" si="72"/>
        <v>25-29</v>
      </c>
      <c r="C214" s="447">
        <f t="shared" si="74"/>
        <v>71.685536483181977</v>
      </c>
      <c r="D214" s="447">
        <f t="shared" ref="D214:N214" si="76">D112+D146+D180</f>
        <v>69.97135411342849</v>
      </c>
      <c r="E214" s="447">
        <f t="shared" si="76"/>
        <v>74.788690158618508</v>
      </c>
      <c r="F214" s="447">
        <f t="shared" si="76"/>
        <v>76.355061969218525</v>
      </c>
      <c r="G214" s="447">
        <f t="shared" si="76"/>
        <v>79.253643878404873</v>
      </c>
      <c r="H214" s="447">
        <f t="shared" si="76"/>
        <v>81.91241658579284</v>
      </c>
      <c r="I214" s="447">
        <f t="shared" si="76"/>
        <v>84.195647144042852</v>
      </c>
      <c r="J214" s="447">
        <f t="shared" si="76"/>
        <v>86.927558437086546</v>
      </c>
      <c r="K214" s="447">
        <f t="shared" si="76"/>
        <v>88.515973723399924</v>
      </c>
      <c r="L214" s="447">
        <f t="shared" si="76"/>
        <v>88.952114611794244</v>
      </c>
      <c r="M214" s="447">
        <f t="shared" si="76"/>
        <v>88.68067923761997</v>
      </c>
      <c r="N214" s="447">
        <f t="shared" si="76"/>
        <v>88.647851866679929</v>
      </c>
    </row>
    <row r="215" spans="1:14">
      <c r="B215" s="331" t="str">
        <f t="shared" si="72"/>
        <v>30-34</v>
      </c>
      <c r="C215" s="447">
        <f t="shared" si="74"/>
        <v>62.787472605397888</v>
      </c>
      <c r="D215" s="447">
        <f t="shared" ref="D215:N215" si="77">D113+D147+D181</f>
        <v>59.344816372864202</v>
      </c>
      <c r="E215" s="447">
        <f t="shared" si="77"/>
        <v>60.876405752338485</v>
      </c>
      <c r="F215" s="447">
        <f t="shared" si="77"/>
        <v>59.609809849623716</v>
      </c>
      <c r="G215" s="447">
        <f t="shared" si="77"/>
        <v>59.913825651931738</v>
      </c>
      <c r="H215" s="447">
        <f t="shared" si="77"/>
        <v>60.509458364564694</v>
      </c>
      <c r="I215" s="447">
        <f t="shared" si="77"/>
        <v>61.268014495999381</v>
      </c>
      <c r="J215" s="447">
        <f t="shared" si="77"/>
        <v>62.424262751195947</v>
      </c>
      <c r="K215" s="447">
        <f t="shared" si="77"/>
        <v>63.339964444497902</v>
      </c>
      <c r="L215" s="447">
        <f t="shared" si="77"/>
        <v>63.880418085554219</v>
      </c>
      <c r="M215" s="447">
        <f t="shared" si="77"/>
        <v>64.109863920631767</v>
      </c>
      <c r="N215" s="447">
        <f t="shared" si="77"/>
        <v>64.34382010859774</v>
      </c>
    </row>
    <row r="216" spans="1:14">
      <c r="B216" s="331" t="str">
        <f t="shared" si="72"/>
        <v>35-39</v>
      </c>
      <c r="C216" s="447">
        <f t="shared" si="74"/>
        <v>65.087622252535212</v>
      </c>
      <c r="D216" s="447">
        <f t="shared" ref="D216:N216" si="78">D114+D148+D182</f>
        <v>60.362960244901728</v>
      </c>
      <c r="E216" s="447">
        <f t="shared" si="78"/>
        <v>60.67527636544105</v>
      </c>
      <c r="F216" s="447">
        <f t="shared" si="78"/>
        <v>58.057597485254682</v>
      </c>
      <c r="G216" s="447">
        <f t="shared" si="78"/>
        <v>56.991158949077381</v>
      </c>
      <c r="H216" s="447">
        <f t="shared" si="78"/>
        <v>56.274056340945194</v>
      </c>
      <c r="I216" s="447">
        <f t="shared" si="78"/>
        <v>55.849143722797905</v>
      </c>
      <c r="J216" s="447">
        <f t="shared" si="78"/>
        <v>55.85321736434328</v>
      </c>
      <c r="K216" s="447">
        <f t="shared" si="78"/>
        <v>55.901071487334441</v>
      </c>
      <c r="L216" s="447">
        <f t="shared" si="78"/>
        <v>55.90284850073386</v>
      </c>
      <c r="M216" s="447">
        <f t="shared" si="78"/>
        <v>55.865401428075245</v>
      </c>
      <c r="N216" s="447">
        <f t="shared" si="78"/>
        <v>55.930472949153433</v>
      </c>
    </row>
    <row r="217" spans="1:14">
      <c r="B217" s="331" t="str">
        <f t="shared" si="72"/>
        <v>40-44</v>
      </c>
      <c r="C217" s="447">
        <f t="shared" si="74"/>
        <v>59.914672094231065</v>
      </c>
      <c r="D217" s="447">
        <f t="shared" ref="D217:N217" si="79">D115+D149+D183</f>
        <v>58.059045772289103</v>
      </c>
      <c r="E217" s="447">
        <f t="shared" si="79"/>
        <v>60.051967769115521</v>
      </c>
      <c r="F217" s="447">
        <f t="shared" si="79"/>
        <v>58.477236370538478</v>
      </c>
      <c r="G217" s="447">
        <f t="shared" si="79"/>
        <v>57.913629686096854</v>
      </c>
      <c r="H217" s="447">
        <f t="shared" si="79"/>
        <v>57.316574012281464</v>
      </c>
      <c r="I217" s="447">
        <f t="shared" si="79"/>
        <v>56.748874876659094</v>
      </c>
      <c r="J217" s="447">
        <f t="shared" si="79"/>
        <v>56.414714463068499</v>
      </c>
      <c r="K217" s="447">
        <f t="shared" si="79"/>
        <v>56.049220778977983</v>
      </c>
      <c r="L217" s="447">
        <f t="shared" si="79"/>
        <v>55.635117780316463</v>
      </c>
      <c r="M217" s="447">
        <f t="shared" si="79"/>
        <v>55.222868298056838</v>
      </c>
      <c r="N217" s="447">
        <f t="shared" si="79"/>
        <v>54.957608127399702</v>
      </c>
    </row>
    <row r="218" spans="1:14">
      <c r="B218" s="331" t="str">
        <f t="shared" si="72"/>
        <v>45-49</v>
      </c>
      <c r="C218" s="447">
        <f t="shared" si="74"/>
        <v>57.318941868807343</v>
      </c>
      <c r="D218" s="447">
        <f t="shared" ref="D218:N218" si="80">D116+D150+D184</f>
        <v>56.640621430281911</v>
      </c>
      <c r="E218" s="447">
        <f t="shared" si="80"/>
        <v>59.919278538086203</v>
      </c>
      <c r="F218" s="447">
        <f t="shared" si="80"/>
        <v>59.623125545254275</v>
      </c>
      <c r="G218" s="447">
        <f t="shared" si="80"/>
        <v>60.17925122843053</v>
      </c>
      <c r="H218" s="447">
        <f t="shared" si="80"/>
        <v>60.478741184279819</v>
      </c>
      <c r="I218" s="447">
        <f t="shared" si="80"/>
        <v>60.572350551467665</v>
      </c>
      <c r="J218" s="447">
        <f t="shared" si="80"/>
        <v>60.677974210642063</v>
      </c>
      <c r="K218" s="447">
        <f t="shared" si="80"/>
        <v>60.562341509496136</v>
      </c>
      <c r="L218" s="447">
        <f t="shared" si="80"/>
        <v>60.245215875269686</v>
      </c>
      <c r="M218" s="447">
        <f t="shared" si="80"/>
        <v>59.81653587192109</v>
      </c>
      <c r="N218" s="447">
        <f t="shared" si="80"/>
        <v>59.45859963568104</v>
      </c>
    </row>
    <row r="219" spans="1:14">
      <c r="B219" s="331" t="str">
        <f t="shared" si="72"/>
        <v>50-54</v>
      </c>
      <c r="C219" s="447">
        <f t="shared" si="74"/>
        <v>43.255425680394701</v>
      </c>
      <c r="D219" s="447">
        <f t="shared" ref="D219:N219" si="81">D117+D151+D185</f>
        <v>44.058479349007854</v>
      </c>
      <c r="E219" s="447">
        <f t="shared" si="81"/>
        <v>46.940804630438222</v>
      </c>
      <c r="F219" s="447">
        <f t="shared" si="81"/>
        <v>47.809514878972038</v>
      </c>
      <c r="G219" s="447">
        <f t="shared" si="81"/>
        <v>49.085615818386103</v>
      </c>
      <c r="H219" s="447">
        <f t="shared" si="81"/>
        <v>50.133715562587824</v>
      </c>
      <c r="I219" s="447">
        <f t="shared" si="81"/>
        <v>50.957837452158067</v>
      </c>
      <c r="J219" s="447">
        <f t="shared" si="81"/>
        <v>51.705072788506754</v>
      </c>
      <c r="K219" s="447">
        <f t="shared" si="81"/>
        <v>52.171614093718553</v>
      </c>
      <c r="L219" s="447">
        <f t="shared" si="81"/>
        <v>52.365304462127639</v>
      </c>
      <c r="M219" s="447">
        <f t="shared" si="81"/>
        <v>52.35959949369515</v>
      </c>
      <c r="N219" s="447">
        <f t="shared" si="81"/>
        <v>52.310020426458671</v>
      </c>
    </row>
    <row r="220" spans="1:14">
      <c r="B220" s="331" t="str">
        <f t="shared" si="72"/>
        <v>55-59</v>
      </c>
      <c r="C220" s="447">
        <f t="shared" si="74"/>
        <v>74.50156849040593</v>
      </c>
      <c r="D220" s="447">
        <f t="shared" ref="D220:N220" si="82">D118+D152+D186</f>
        <v>69.542382461301031</v>
      </c>
      <c r="E220" s="447">
        <f t="shared" si="82"/>
        <v>68.529650599077698</v>
      </c>
      <c r="F220" s="447">
        <f t="shared" si="82"/>
        <v>68.172100481591897</v>
      </c>
      <c r="G220" s="447">
        <f t="shared" si="82"/>
        <v>68.903225199942852</v>
      </c>
      <c r="H220" s="447">
        <f t="shared" si="82"/>
        <v>69.982535295192079</v>
      </c>
      <c r="I220" s="447">
        <f t="shared" si="82"/>
        <v>71.144030007719493</v>
      </c>
      <c r="J220" s="447">
        <f t="shared" si="82"/>
        <v>72.470011887470008</v>
      </c>
      <c r="K220" s="447">
        <f t="shared" si="82"/>
        <v>73.452314379857228</v>
      </c>
      <c r="L220" s="447">
        <f t="shared" si="82"/>
        <v>74.046727649391229</v>
      </c>
      <c r="M220" s="447">
        <f t="shared" si="82"/>
        <v>74.344520102914998</v>
      </c>
      <c r="N220" s="447">
        <f t="shared" si="82"/>
        <v>74.586784850723873</v>
      </c>
    </row>
    <row r="221" spans="1:14">
      <c r="B221" s="331" t="str">
        <f t="shared" si="72"/>
        <v>60-64</v>
      </c>
      <c r="C221" s="447">
        <f t="shared" si="74"/>
        <v>41.445536138737374</v>
      </c>
      <c r="D221" s="447">
        <f t="shared" ref="D221:N221" si="83">D119+D153+D187</f>
        <v>40.454019868959293</v>
      </c>
      <c r="E221" s="447">
        <f t="shared" si="83"/>
        <v>39.343477053871638</v>
      </c>
      <c r="F221" s="447">
        <f t="shared" si="83"/>
        <v>38.349177245239552</v>
      </c>
      <c r="G221" s="447">
        <f t="shared" si="83"/>
        <v>37.880889960663161</v>
      </c>
      <c r="H221" s="447">
        <f t="shared" si="83"/>
        <v>37.8067268722316</v>
      </c>
      <c r="I221" s="447">
        <f t="shared" si="83"/>
        <v>37.997719195020942</v>
      </c>
      <c r="J221" s="447">
        <f t="shared" si="83"/>
        <v>38.511011671022089</v>
      </c>
      <c r="K221" s="447">
        <f t="shared" si="83"/>
        <v>38.923912044937296</v>
      </c>
      <c r="L221" s="447">
        <f t="shared" si="83"/>
        <v>39.178489062156309</v>
      </c>
      <c r="M221" s="447">
        <f t="shared" si="83"/>
        <v>39.320538863703561</v>
      </c>
      <c r="N221" s="447">
        <f t="shared" si="83"/>
        <v>39.505744596554649</v>
      </c>
    </row>
    <row r="222" spans="1:14">
      <c r="B222" s="331" t="str">
        <f t="shared" si="72"/>
        <v>65 plus</v>
      </c>
      <c r="C222" s="447">
        <f t="shared" si="74"/>
        <v>10.511949056678294</v>
      </c>
      <c r="D222" s="447">
        <f t="shared" ref="D222:N222" si="84">D120+D154+D188</f>
        <v>14.593533189790437</v>
      </c>
      <c r="E222" s="447">
        <f t="shared" si="84"/>
        <v>17.080343317431236</v>
      </c>
      <c r="F222" s="447">
        <f t="shared" si="84"/>
        <v>18.102180839419429</v>
      </c>
      <c r="G222" s="447">
        <f t="shared" si="84"/>
        <v>18.626029455215463</v>
      </c>
      <c r="H222" s="447">
        <f t="shared" si="84"/>
        <v>18.860231456212194</v>
      </c>
      <c r="I222" s="447">
        <f t="shared" si="84"/>
        <v>18.987034635562338</v>
      </c>
      <c r="J222" s="447">
        <f t="shared" si="84"/>
        <v>19.183007869341075</v>
      </c>
      <c r="K222" s="447">
        <f t="shared" si="84"/>
        <v>19.312557435440116</v>
      </c>
      <c r="L222" s="447">
        <f t="shared" si="84"/>
        <v>19.369133430146565</v>
      </c>
      <c r="M222" s="447">
        <f t="shared" si="84"/>
        <v>19.384115721632931</v>
      </c>
      <c r="N222" s="447">
        <f t="shared" si="84"/>
        <v>19.44206823207541</v>
      </c>
    </row>
    <row r="223" spans="1:14">
      <c r="B223" s="331" t="str">
        <f t="shared" si="72"/>
        <v>Total</v>
      </c>
      <c r="C223" s="447">
        <f>SUM(C213:C222)</f>
        <v>509.0668577209774</v>
      </c>
      <c r="D223" s="447">
        <f t="shared" ref="D223:N223" si="85">SUM(D213:D222)</f>
        <v>503.45922706059434</v>
      </c>
      <c r="E223" s="447">
        <f t="shared" si="85"/>
        <v>525.95971137143704</v>
      </c>
      <c r="F223" s="447">
        <f t="shared" si="85"/>
        <v>526.3185832597062</v>
      </c>
      <c r="G223" s="447">
        <f t="shared" si="85"/>
        <v>533.76442714021482</v>
      </c>
      <c r="H223" s="447">
        <f t="shared" si="85"/>
        <v>540.63241088781422</v>
      </c>
      <c r="I223" s="447">
        <f t="shared" si="85"/>
        <v>546.73737026164258</v>
      </c>
      <c r="J223" s="447">
        <f t="shared" si="85"/>
        <v>555.06161479252239</v>
      </c>
      <c r="K223" s="447">
        <f t="shared" si="85"/>
        <v>559.8984684419969</v>
      </c>
      <c r="L223" s="447">
        <f t="shared" si="85"/>
        <v>561.10934641295592</v>
      </c>
      <c r="M223" s="447">
        <f t="shared" si="85"/>
        <v>560.07865384475519</v>
      </c>
      <c r="N223" s="447">
        <f t="shared" si="85"/>
        <v>559.97876496838228</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44.617250766845203</v>
      </c>
      <c r="D229" s="447">
        <f t="shared" ref="D229:N229" si="90">D195+D161+D127</f>
        <v>49.638330818378996</v>
      </c>
      <c r="E229" s="447">
        <f t="shared" si="90"/>
        <v>53.702332985972753</v>
      </c>
      <c r="F229" s="447">
        <f t="shared" si="90"/>
        <v>57.401066914037074</v>
      </c>
      <c r="G229" s="447">
        <f t="shared" si="90"/>
        <v>59.343602979259167</v>
      </c>
      <c r="H229" s="447">
        <f t="shared" si="90"/>
        <v>60.814500903669185</v>
      </c>
      <c r="I229" s="447">
        <f t="shared" si="90"/>
        <v>61.894645980403965</v>
      </c>
      <c r="J229" s="447">
        <f t="shared" si="90"/>
        <v>63.517451879497777</v>
      </c>
      <c r="K229" s="447">
        <f t="shared" si="90"/>
        <v>64.036611756351746</v>
      </c>
      <c r="L229" s="447">
        <f t="shared" si="90"/>
        <v>63.607298089802313</v>
      </c>
      <c r="M229" s="447">
        <f t="shared" si="90"/>
        <v>62.755587173569708</v>
      </c>
      <c r="N229" s="447">
        <f t="shared" si="90"/>
        <v>62.404388309519632</v>
      </c>
    </row>
    <row r="230" spans="1:14">
      <c r="B230" s="331" t="str">
        <f t="shared" si="87"/>
        <v>25-29</v>
      </c>
      <c r="C230" s="447">
        <f t="shared" si="89"/>
        <v>114.89868933728765</v>
      </c>
      <c r="D230" s="447">
        <f t="shared" ref="D230:N230" si="91">D196+D162+D128</f>
        <v>110.57850557073644</v>
      </c>
      <c r="E230" s="447">
        <f t="shared" si="91"/>
        <v>109.41292266274431</v>
      </c>
      <c r="F230" s="447">
        <f t="shared" si="91"/>
        <v>109.92297876775201</v>
      </c>
      <c r="G230" s="447">
        <f t="shared" si="91"/>
        <v>109.51615571229237</v>
      </c>
      <c r="H230" s="447">
        <f t="shared" si="91"/>
        <v>109.66936393700969</v>
      </c>
      <c r="I230" s="447">
        <f t="shared" si="91"/>
        <v>110.07291089135632</v>
      </c>
      <c r="J230" s="447">
        <f t="shared" si="91"/>
        <v>111.54585989217985</v>
      </c>
      <c r="K230" s="447">
        <f t="shared" si="91"/>
        <v>112.12845775029709</v>
      </c>
      <c r="L230" s="447">
        <f t="shared" si="91"/>
        <v>111.69734945504119</v>
      </c>
      <c r="M230" s="447">
        <f t="shared" si="91"/>
        <v>110.67828773718917</v>
      </c>
      <c r="N230" s="447">
        <f t="shared" si="91"/>
        <v>110.10610936152121</v>
      </c>
    </row>
    <row r="231" spans="1:14">
      <c r="B231" s="331" t="str">
        <f t="shared" si="87"/>
        <v>30-34</v>
      </c>
      <c r="C231" s="447">
        <f t="shared" si="89"/>
        <v>106.9194857760876</v>
      </c>
      <c r="D231" s="447">
        <f t="shared" ref="D231:N231" si="92">D197+D163+D129</f>
        <v>106.01181352033957</v>
      </c>
      <c r="E231" s="447">
        <f t="shared" si="92"/>
        <v>105.81442452660229</v>
      </c>
      <c r="F231" s="447">
        <f t="shared" si="92"/>
        <v>105.5757854222914</v>
      </c>
      <c r="G231" s="447">
        <f t="shared" si="92"/>
        <v>104.09843871812215</v>
      </c>
      <c r="H231" s="447">
        <f t="shared" si="92"/>
        <v>103.03469663901897</v>
      </c>
      <c r="I231" s="447">
        <f t="shared" si="92"/>
        <v>102.31802977941678</v>
      </c>
      <c r="J231" s="447">
        <f t="shared" si="92"/>
        <v>102.37365360477989</v>
      </c>
      <c r="K231" s="447">
        <f t="shared" si="92"/>
        <v>102.26802339704619</v>
      </c>
      <c r="L231" s="447">
        <f t="shared" si="92"/>
        <v>101.80878111898951</v>
      </c>
      <c r="M231" s="447">
        <f t="shared" si="92"/>
        <v>101.0857897977796</v>
      </c>
      <c r="N231" s="447">
        <f t="shared" si="92"/>
        <v>100.55625676692294</v>
      </c>
    </row>
    <row r="232" spans="1:14">
      <c r="B232" s="331" t="str">
        <f t="shared" si="87"/>
        <v>35-39</v>
      </c>
      <c r="C232" s="447">
        <f t="shared" si="89"/>
        <v>98.155007565296785</v>
      </c>
      <c r="D232" s="447">
        <f t="shared" ref="D232:N232" si="93">D198+D164+D130</f>
        <v>96.556428279621883</v>
      </c>
      <c r="E232" s="447">
        <f t="shared" si="93"/>
        <v>96.255549550946654</v>
      </c>
      <c r="F232" s="447">
        <f t="shared" si="93"/>
        <v>95.89219865343027</v>
      </c>
      <c r="G232" s="447">
        <f t="shared" si="93"/>
        <v>94.322040781776977</v>
      </c>
      <c r="H232" s="447">
        <f t="shared" si="93"/>
        <v>92.971597150547197</v>
      </c>
      <c r="I232" s="447">
        <f t="shared" si="93"/>
        <v>91.828265015033224</v>
      </c>
      <c r="J232" s="447">
        <f t="shared" si="93"/>
        <v>91.18768226896114</v>
      </c>
      <c r="K232" s="447">
        <f t="shared" si="93"/>
        <v>90.507179959638165</v>
      </c>
      <c r="L232" s="447">
        <f t="shared" si="93"/>
        <v>89.707736967227333</v>
      </c>
      <c r="M232" s="447">
        <f t="shared" si="93"/>
        <v>88.850180317840426</v>
      </c>
      <c r="N232" s="447">
        <f t="shared" si="93"/>
        <v>88.193455601101277</v>
      </c>
    </row>
    <row r="233" spans="1:14">
      <c r="B233" s="331" t="str">
        <f t="shared" si="87"/>
        <v>40-44</v>
      </c>
      <c r="C233" s="447">
        <f t="shared" si="89"/>
        <v>75.395543505903419</v>
      </c>
      <c r="D233" s="447">
        <f t="shared" ref="D233:N233" si="94">D199+D165+D131</f>
        <v>78.137287812954867</v>
      </c>
      <c r="E233" s="447">
        <f t="shared" si="94"/>
        <v>80.737652795625948</v>
      </c>
      <c r="F233" s="447">
        <f t="shared" si="94"/>
        <v>82.515336304783759</v>
      </c>
      <c r="G233" s="447">
        <f t="shared" si="94"/>
        <v>82.670333863075882</v>
      </c>
      <c r="H233" s="447">
        <f t="shared" si="94"/>
        <v>82.540556775117267</v>
      </c>
      <c r="I233" s="447">
        <f t="shared" si="94"/>
        <v>82.223466346210884</v>
      </c>
      <c r="J233" s="447">
        <f t="shared" si="94"/>
        <v>82.04004024054808</v>
      </c>
      <c r="K233" s="447">
        <f t="shared" si="94"/>
        <v>81.616164156934389</v>
      </c>
      <c r="L233" s="447">
        <f t="shared" si="94"/>
        <v>80.959002444451372</v>
      </c>
      <c r="M233" s="447">
        <f t="shared" si="94"/>
        <v>80.179854087750357</v>
      </c>
      <c r="N233" s="447">
        <f t="shared" si="94"/>
        <v>79.530043331841668</v>
      </c>
    </row>
    <row r="234" spans="1:14">
      <c r="B234" s="331" t="str">
        <f t="shared" si="87"/>
        <v>45-49</v>
      </c>
      <c r="C234" s="447">
        <f t="shared" si="89"/>
        <v>52.815038603851733</v>
      </c>
      <c r="D234" s="447">
        <f t="shared" ref="D234:N234" si="95">D200+D166+D132</f>
        <v>58.139405489692692</v>
      </c>
      <c r="E234" s="447">
        <f t="shared" si="95"/>
        <v>63.248480580614988</v>
      </c>
      <c r="F234" s="447">
        <f t="shared" si="95"/>
        <v>67.480392803450357</v>
      </c>
      <c r="G234" s="447">
        <f t="shared" si="95"/>
        <v>70.025673937230678</v>
      </c>
      <c r="H234" s="447">
        <f t="shared" si="95"/>
        <v>71.934667833338736</v>
      </c>
      <c r="I234" s="447">
        <f t="shared" si="95"/>
        <v>73.310049266313527</v>
      </c>
      <c r="J234" s="447">
        <f t="shared" si="95"/>
        <v>74.46584029349674</v>
      </c>
      <c r="K234" s="447">
        <f t="shared" si="95"/>
        <v>75.115247396427534</v>
      </c>
      <c r="L234" s="447">
        <f t="shared" si="95"/>
        <v>75.305335824684732</v>
      </c>
      <c r="M234" s="447">
        <f t="shared" si="95"/>
        <v>75.176593465530459</v>
      </c>
      <c r="N234" s="447">
        <f t="shared" si="95"/>
        <v>74.992229017923691</v>
      </c>
    </row>
    <row r="235" spans="1:14">
      <c r="B235" s="331" t="str">
        <f t="shared" si="87"/>
        <v>50-54</v>
      </c>
      <c r="C235" s="447">
        <f t="shared" si="89"/>
        <v>42.978450741064236</v>
      </c>
      <c r="D235" s="447">
        <f t="shared" ref="D235:N235" si="96">D201+D167+D133</f>
        <v>47.19811316583214</v>
      </c>
      <c r="E235" s="447">
        <f t="shared" si="96"/>
        <v>51.833595076708846</v>
      </c>
      <c r="F235" s="447">
        <f t="shared" si="96"/>
        <v>56.308040877983558</v>
      </c>
      <c r="G235" s="447">
        <f t="shared" si="96"/>
        <v>59.813929166451118</v>
      </c>
      <c r="H235" s="447">
        <f t="shared" si="96"/>
        <v>62.904599424802527</v>
      </c>
      <c r="I235" s="447">
        <f t="shared" si="96"/>
        <v>65.541853443559575</v>
      </c>
      <c r="J235" s="447">
        <f t="shared" si="96"/>
        <v>67.930341971565952</v>
      </c>
      <c r="K235" s="447">
        <f t="shared" si="96"/>
        <v>69.739805839080432</v>
      </c>
      <c r="L235" s="447">
        <f t="shared" si="96"/>
        <v>70.981950769140468</v>
      </c>
      <c r="M235" s="447">
        <f t="shared" si="96"/>
        <v>71.774974665796591</v>
      </c>
      <c r="N235" s="447">
        <f t="shared" si="96"/>
        <v>72.366371134674182</v>
      </c>
    </row>
    <row r="236" spans="1:14">
      <c r="B236" s="331" t="str">
        <f t="shared" si="87"/>
        <v>55-59</v>
      </c>
      <c r="C236" s="447">
        <f t="shared" si="89"/>
        <v>68.371264078298225</v>
      </c>
      <c r="D236" s="447">
        <f t="shared" ref="D236:N236" si="97">D202+D168+D134</f>
        <v>64.225067184100368</v>
      </c>
      <c r="E236" s="447">
        <f t="shared" si="97"/>
        <v>63.313611337141069</v>
      </c>
      <c r="F236" s="447">
        <f t="shared" si="97"/>
        <v>64.480252883363747</v>
      </c>
      <c r="G236" s="447">
        <f t="shared" si="97"/>
        <v>66.447568966393291</v>
      </c>
      <c r="H236" s="447">
        <f t="shared" si="97"/>
        <v>68.975305343776711</v>
      </c>
      <c r="I236" s="447">
        <f t="shared" si="97"/>
        <v>71.673116064781141</v>
      </c>
      <c r="J236" s="447">
        <f t="shared" si="97"/>
        <v>74.578479344537556</v>
      </c>
      <c r="K236" s="447">
        <f t="shared" si="97"/>
        <v>77.028169437340225</v>
      </c>
      <c r="L236" s="447">
        <f t="shared" si="97"/>
        <v>78.928485230034397</v>
      </c>
      <c r="M236" s="447">
        <f t="shared" si="97"/>
        <v>80.364568100622549</v>
      </c>
      <c r="N236" s="447">
        <f t="shared" si="97"/>
        <v>81.615362000649441</v>
      </c>
    </row>
    <row r="237" spans="1:14">
      <c r="B237" s="331" t="str">
        <f t="shared" si="87"/>
        <v>60-64</v>
      </c>
      <c r="C237" s="447">
        <f t="shared" si="89"/>
        <v>41.987638881550168</v>
      </c>
      <c r="D237" s="447">
        <f t="shared" ref="D237:N237" si="98">D203+D169+D135</f>
        <v>42.896722337102119</v>
      </c>
      <c r="E237" s="447">
        <f t="shared" si="98"/>
        <v>42.378801092343636</v>
      </c>
      <c r="F237" s="447">
        <f t="shared" si="98"/>
        <v>42.042793336586186</v>
      </c>
      <c r="G237" s="447">
        <f t="shared" si="98"/>
        <v>41.999257361494131</v>
      </c>
      <c r="H237" s="447">
        <f t="shared" si="98"/>
        <v>42.474128463036763</v>
      </c>
      <c r="I237" s="447">
        <f t="shared" si="98"/>
        <v>43.327989210209559</v>
      </c>
      <c r="J237" s="447">
        <f t="shared" si="98"/>
        <v>44.644258610140739</v>
      </c>
      <c r="K237" s="447">
        <f t="shared" si="98"/>
        <v>45.826925502734014</v>
      </c>
      <c r="L237" s="447">
        <f t="shared" si="98"/>
        <v>46.784544132611117</v>
      </c>
      <c r="M237" s="447">
        <f t="shared" si="98"/>
        <v>47.565914957000601</v>
      </c>
      <c r="N237" s="447">
        <f t="shared" si="98"/>
        <v>48.371929876775482</v>
      </c>
    </row>
    <row r="238" spans="1:14">
      <c r="B238" s="331" t="str">
        <f t="shared" si="87"/>
        <v>65 plus</v>
      </c>
      <c r="C238" s="447">
        <f t="shared" si="89"/>
        <v>5.5823223186578845</v>
      </c>
      <c r="D238" s="447">
        <f t="shared" ref="D238:N238" si="99">D204+D170+D136</f>
        <v>11.231868290334868</v>
      </c>
      <c r="E238" s="447">
        <f t="shared" si="99"/>
        <v>14.917560618502492</v>
      </c>
      <c r="F238" s="447">
        <f t="shared" si="99"/>
        <v>17.238832877665352</v>
      </c>
      <c r="G238" s="447">
        <f t="shared" si="99"/>
        <v>18.570910114484359</v>
      </c>
      <c r="H238" s="447">
        <f t="shared" si="99"/>
        <v>19.410544909151291</v>
      </c>
      <c r="I238" s="447">
        <f t="shared" si="99"/>
        <v>20.002875124254714</v>
      </c>
      <c r="J238" s="447">
        <f t="shared" si="99"/>
        <v>20.589343828826152</v>
      </c>
      <c r="K238" s="447">
        <f t="shared" si="99"/>
        <v>21.052160560221871</v>
      </c>
      <c r="L238" s="447">
        <f t="shared" si="99"/>
        <v>21.399057666323731</v>
      </c>
      <c r="M238" s="447">
        <f t="shared" si="99"/>
        <v>21.673643761059314</v>
      </c>
      <c r="N238" s="447">
        <f t="shared" si="99"/>
        <v>21.976853019496872</v>
      </c>
    </row>
    <row r="239" spans="1:14">
      <c r="B239" s="331" t="str">
        <f t="shared" si="87"/>
        <v>Total</v>
      </c>
      <c r="C239" s="447">
        <f>SUM(C229:C238)</f>
        <v>651.72069157484293</v>
      </c>
      <c r="D239" s="447">
        <f t="shared" ref="D239:N239" si="100">SUM(D229:D238)</f>
        <v>664.613542469094</v>
      </c>
      <c r="E239" s="447">
        <f t="shared" si="100"/>
        <v>681.6149312272031</v>
      </c>
      <c r="F239" s="447">
        <f t="shared" si="100"/>
        <v>698.85767884134373</v>
      </c>
      <c r="G239" s="447">
        <f t="shared" si="100"/>
        <v>706.80791160058016</v>
      </c>
      <c r="H239" s="447">
        <f t="shared" si="100"/>
        <v>714.72996137946836</v>
      </c>
      <c r="I239" s="447">
        <f t="shared" si="100"/>
        <v>722.1932011215398</v>
      </c>
      <c r="J239" s="447">
        <f t="shared" si="100"/>
        <v>732.87295193453372</v>
      </c>
      <c r="K239" s="447">
        <f t="shared" si="100"/>
        <v>739.31874575607162</v>
      </c>
      <c r="L239" s="447">
        <f t="shared" si="100"/>
        <v>741.17954169830625</v>
      </c>
      <c r="M239" s="447">
        <f t="shared" si="100"/>
        <v>740.10539406413875</v>
      </c>
      <c r="N239" s="447">
        <f t="shared" si="100"/>
        <v>740.11299842042638</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139.60677343246491</v>
      </c>
      <c r="D247" s="447">
        <f t="shared" ref="D247:N247" si="105">D77-D213</f>
        <v>196.49536450973227</v>
      </c>
      <c r="E247" s="447">
        <f t="shared" si="105"/>
        <v>233.58855332210834</v>
      </c>
      <c r="F247" s="447">
        <f t="shared" si="105"/>
        <v>264.13665176358313</v>
      </c>
      <c r="G247" s="447">
        <f t="shared" si="105"/>
        <v>284.71959013433337</v>
      </c>
      <c r="H247" s="447">
        <f t="shared" si="105"/>
        <v>299.52441253855579</v>
      </c>
      <c r="I247" s="447">
        <f t="shared" si="105"/>
        <v>310.01557502299846</v>
      </c>
      <c r="J247" s="447">
        <f t="shared" si="105"/>
        <v>321.89375608263771</v>
      </c>
      <c r="K247" s="447">
        <f t="shared" si="105"/>
        <v>326.79358996413475</v>
      </c>
      <c r="L247" s="447">
        <f t="shared" si="105"/>
        <v>325.93645784958528</v>
      </c>
      <c r="M247" s="447">
        <f t="shared" si="105"/>
        <v>322.39813470184606</v>
      </c>
      <c r="N247" s="447">
        <f t="shared" si="105"/>
        <v>321.26768018277409</v>
      </c>
    </row>
    <row r="248" spans="2:14">
      <c r="B248" s="331" t="str">
        <f t="shared" si="102"/>
        <v>25-29</v>
      </c>
      <c r="C248" s="447">
        <f t="shared" si="104"/>
        <v>479.08922497496656</v>
      </c>
      <c r="D248" s="447">
        <f t="shared" ref="D248:N248" si="106">D78-D214</f>
        <v>487.66869914397722</v>
      </c>
      <c r="E248" s="447">
        <f t="shared" si="106"/>
        <v>499.70003550218343</v>
      </c>
      <c r="F248" s="447">
        <f t="shared" si="106"/>
        <v>521.38197103074413</v>
      </c>
      <c r="G248" s="447">
        <f t="shared" si="106"/>
        <v>541.17461227848321</v>
      </c>
      <c r="H248" s="447">
        <f t="shared" si="106"/>
        <v>559.32974330646312</v>
      </c>
      <c r="I248" s="447">
        <f t="shared" si="106"/>
        <v>574.92052691761296</v>
      </c>
      <c r="J248" s="447">
        <f t="shared" si="106"/>
        <v>593.57507656911446</v>
      </c>
      <c r="K248" s="447">
        <f t="shared" si="106"/>
        <v>604.42139207766968</v>
      </c>
      <c r="L248" s="447">
        <f t="shared" si="106"/>
        <v>607.39953118427934</v>
      </c>
      <c r="M248" s="447">
        <f t="shared" si="106"/>
        <v>605.54606519597985</v>
      </c>
      <c r="N248" s="447">
        <f t="shared" si="106"/>
        <v>605.32190717785943</v>
      </c>
    </row>
    <row r="249" spans="2:14">
      <c r="B249" s="331" t="str">
        <f t="shared" si="102"/>
        <v>30-34</v>
      </c>
      <c r="C249" s="447">
        <f t="shared" si="104"/>
        <v>677.4454247135634</v>
      </c>
      <c r="D249" s="447">
        <f t="shared" ref="D249:N249" si="107">D79-D215</f>
        <v>666.26321428534334</v>
      </c>
      <c r="E249" s="447">
        <f t="shared" si="107"/>
        <v>656.66650481321972</v>
      </c>
      <c r="F249" s="447">
        <f t="shared" si="107"/>
        <v>656.3832971090344</v>
      </c>
      <c r="G249" s="447">
        <f t="shared" si="107"/>
        <v>659.73091548251341</v>
      </c>
      <c r="H249" s="447">
        <f t="shared" si="107"/>
        <v>666.28962393621077</v>
      </c>
      <c r="I249" s="447">
        <f t="shared" si="107"/>
        <v>674.64233594534846</v>
      </c>
      <c r="J249" s="447">
        <f t="shared" si="107"/>
        <v>687.37416723179388</v>
      </c>
      <c r="K249" s="447">
        <f t="shared" si="107"/>
        <v>697.45726090604171</v>
      </c>
      <c r="L249" s="447">
        <f t="shared" si="107"/>
        <v>703.40837438461233</v>
      </c>
      <c r="M249" s="447">
        <f t="shared" si="107"/>
        <v>705.93487822879592</v>
      </c>
      <c r="N249" s="447">
        <f t="shared" si="107"/>
        <v>708.51104705777846</v>
      </c>
    </row>
    <row r="250" spans="2:14">
      <c r="B250" s="331" t="str">
        <f t="shared" si="102"/>
        <v>35-39</v>
      </c>
      <c r="C250" s="447">
        <f t="shared" si="104"/>
        <v>810.99141712602511</v>
      </c>
      <c r="D250" s="447">
        <f t="shared" ref="D250:N250" si="108">D80-D216</f>
        <v>782.07122156816502</v>
      </c>
      <c r="E250" s="447">
        <f t="shared" si="108"/>
        <v>755.83331702791713</v>
      </c>
      <c r="F250" s="447">
        <f t="shared" si="108"/>
        <v>738.00508118726339</v>
      </c>
      <c r="G250" s="447">
        <f t="shared" si="108"/>
        <v>724.4489387948289</v>
      </c>
      <c r="H250" s="447">
        <f t="shared" si="108"/>
        <v>715.33341573742712</v>
      </c>
      <c r="I250" s="447">
        <f t="shared" si="108"/>
        <v>709.93209558578076</v>
      </c>
      <c r="J250" s="447">
        <f t="shared" si="108"/>
        <v>709.98387809641906</v>
      </c>
      <c r="K250" s="447">
        <f t="shared" si="108"/>
        <v>710.59218066926007</v>
      </c>
      <c r="L250" s="447">
        <f t="shared" si="108"/>
        <v>710.61476935661381</v>
      </c>
      <c r="M250" s="447">
        <f t="shared" si="108"/>
        <v>710.13875706718568</v>
      </c>
      <c r="N250" s="447">
        <f t="shared" si="108"/>
        <v>710.96592035461742</v>
      </c>
    </row>
    <row r="251" spans="2:14">
      <c r="B251" s="331" t="str">
        <f t="shared" si="102"/>
        <v>40-44</v>
      </c>
      <c r="C251" s="447">
        <f t="shared" si="104"/>
        <v>735.13838735087018</v>
      </c>
      <c r="D251" s="447">
        <f t="shared" ref="D251:N251" si="109">D81-D217</f>
        <v>740.55297027028894</v>
      </c>
      <c r="E251" s="447">
        <f t="shared" si="109"/>
        <v>736.64834305761508</v>
      </c>
      <c r="F251" s="447">
        <f t="shared" si="109"/>
        <v>731.89826802236155</v>
      </c>
      <c r="G251" s="447">
        <f t="shared" si="109"/>
        <v>724.84419396224609</v>
      </c>
      <c r="H251" s="447">
        <f t="shared" si="109"/>
        <v>717.37147396553712</v>
      </c>
      <c r="I251" s="447">
        <f t="shared" si="109"/>
        <v>710.26617898396478</v>
      </c>
      <c r="J251" s="447">
        <f t="shared" si="109"/>
        <v>706.08384337564564</v>
      </c>
      <c r="K251" s="447">
        <f t="shared" si="109"/>
        <v>701.50934206604325</v>
      </c>
      <c r="L251" s="447">
        <f t="shared" si="109"/>
        <v>696.32644892138819</v>
      </c>
      <c r="M251" s="447">
        <f t="shared" si="109"/>
        <v>691.16675429855979</v>
      </c>
      <c r="N251" s="447">
        <f t="shared" si="109"/>
        <v>687.8467708053405</v>
      </c>
    </row>
    <row r="252" spans="2:14">
      <c r="B252" s="331" t="str">
        <f t="shared" si="102"/>
        <v>45-49</v>
      </c>
      <c r="C252" s="447">
        <f t="shared" si="104"/>
        <v>570.82485243487008</v>
      </c>
      <c r="D252" s="447">
        <f t="shared" ref="D252:N252" si="110">D82-D218</f>
        <v>586.56096627194984</v>
      </c>
      <c r="E252" s="447">
        <f t="shared" si="110"/>
        <v>596.57836238266646</v>
      </c>
      <c r="F252" s="447">
        <f t="shared" si="110"/>
        <v>605.7816157203373</v>
      </c>
      <c r="G252" s="447">
        <f t="shared" si="110"/>
        <v>611.43195209262944</v>
      </c>
      <c r="H252" s="447">
        <f t="shared" si="110"/>
        <v>614.47482359068078</v>
      </c>
      <c r="I252" s="447">
        <f t="shared" si="110"/>
        <v>615.42591149798227</v>
      </c>
      <c r="J252" s="447">
        <f t="shared" si="110"/>
        <v>616.49906675993498</v>
      </c>
      <c r="K252" s="447">
        <f t="shared" si="110"/>
        <v>615.32421784200767</v>
      </c>
      <c r="L252" s="447">
        <f t="shared" si="110"/>
        <v>612.10216469851366</v>
      </c>
      <c r="M252" s="447">
        <f t="shared" si="110"/>
        <v>607.7466992196297</v>
      </c>
      <c r="N252" s="447">
        <f t="shared" si="110"/>
        <v>604.1100030630389</v>
      </c>
    </row>
    <row r="253" spans="2:14">
      <c r="B253" s="331" t="str">
        <f t="shared" si="102"/>
        <v>50-54</v>
      </c>
      <c r="C253" s="447">
        <f t="shared" si="104"/>
        <v>404.41709862512556</v>
      </c>
      <c r="D253" s="447">
        <f t="shared" ref="D253:N253" si="111">D83-D219</f>
        <v>423.52873650637423</v>
      </c>
      <c r="E253" s="447">
        <f t="shared" si="111"/>
        <v>438.79872216423968</v>
      </c>
      <c r="F253" s="447">
        <f t="shared" si="111"/>
        <v>453.41578222223933</v>
      </c>
      <c r="G253" s="447">
        <f t="shared" si="111"/>
        <v>465.51806577612348</v>
      </c>
      <c r="H253" s="447">
        <f t="shared" si="111"/>
        <v>475.45803204784085</v>
      </c>
      <c r="I253" s="447">
        <f t="shared" si="111"/>
        <v>483.27383758679889</v>
      </c>
      <c r="J253" s="447">
        <f t="shared" si="111"/>
        <v>490.36046658507087</v>
      </c>
      <c r="K253" s="447">
        <f t="shared" si="111"/>
        <v>494.78505008852375</v>
      </c>
      <c r="L253" s="447">
        <f t="shared" si="111"/>
        <v>496.62197041962185</v>
      </c>
      <c r="M253" s="447">
        <f t="shared" si="111"/>
        <v>496.56786565133626</v>
      </c>
      <c r="N253" s="447">
        <f t="shared" si="111"/>
        <v>496.09766779198173</v>
      </c>
    </row>
    <row r="254" spans="2:14">
      <c r="B254" s="331" t="str">
        <f t="shared" si="102"/>
        <v>55-59</v>
      </c>
      <c r="C254" s="447">
        <f t="shared" si="104"/>
        <v>218.69262728921967</v>
      </c>
      <c r="D254" s="447">
        <f t="shared" ref="D254:N254" si="112">D84-D220</f>
        <v>206.36609112590298</v>
      </c>
      <c r="E254" s="447">
        <f t="shared" si="112"/>
        <v>201.14905905736003</v>
      </c>
      <c r="F254" s="447">
        <f t="shared" si="112"/>
        <v>201.23733585102224</v>
      </c>
      <c r="G254" s="447">
        <f t="shared" si="112"/>
        <v>203.3955441130004</v>
      </c>
      <c r="H254" s="447">
        <f t="shared" si="112"/>
        <v>206.58156136332281</v>
      </c>
      <c r="I254" s="447">
        <f t="shared" si="112"/>
        <v>210.01017952093969</v>
      </c>
      <c r="J254" s="447">
        <f t="shared" si="112"/>
        <v>213.92434761877868</v>
      </c>
      <c r="K254" s="447">
        <f t="shared" si="112"/>
        <v>216.82400796621363</v>
      </c>
      <c r="L254" s="447">
        <f t="shared" si="112"/>
        <v>218.57865747694444</v>
      </c>
      <c r="M254" s="447">
        <f t="shared" si="112"/>
        <v>219.45771151166423</v>
      </c>
      <c r="N254" s="447">
        <f t="shared" si="112"/>
        <v>220.17285322029977</v>
      </c>
    </row>
    <row r="255" spans="2:14">
      <c r="B255" s="331" t="str">
        <f t="shared" si="102"/>
        <v>60-64</v>
      </c>
      <c r="C255" s="447">
        <f t="shared" si="104"/>
        <v>78.467723424678013</v>
      </c>
      <c r="D255" s="447">
        <f t="shared" ref="D255:N255" si="113">D85-D221</f>
        <v>77.065948088386023</v>
      </c>
      <c r="E255" s="447">
        <f t="shared" si="113"/>
        <v>74.48509100174978</v>
      </c>
      <c r="F255" s="447">
        <f t="shared" si="113"/>
        <v>72.837648502667804</v>
      </c>
      <c r="G255" s="447">
        <f t="shared" si="113"/>
        <v>71.948217566141579</v>
      </c>
      <c r="H255" s="447">
        <f t="shared" si="113"/>
        <v>71.807357569784784</v>
      </c>
      <c r="I255" s="447">
        <f t="shared" si="113"/>
        <v>72.170114548508877</v>
      </c>
      <c r="J255" s="447">
        <f t="shared" si="113"/>
        <v>73.145025084579785</v>
      </c>
      <c r="K255" s="447">
        <f t="shared" si="113"/>
        <v>73.929258136296426</v>
      </c>
      <c r="L255" s="447">
        <f t="shared" si="113"/>
        <v>74.412783276313831</v>
      </c>
      <c r="M255" s="447">
        <f t="shared" si="113"/>
        <v>74.682582376534597</v>
      </c>
      <c r="N255" s="447">
        <f t="shared" si="113"/>
        <v>75.034348725622593</v>
      </c>
    </row>
    <row r="256" spans="2:14">
      <c r="B256" s="331" t="str">
        <f t="shared" si="102"/>
        <v>65 plus</v>
      </c>
      <c r="C256" s="447">
        <f t="shared" si="104"/>
        <v>13.834655303165636</v>
      </c>
      <c r="D256" s="447">
        <f t="shared" ref="D256:N256" si="114">D86-D222</f>
        <v>19.561253598434035</v>
      </c>
      <c r="E256" s="447">
        <f t="shared" si="114"/>
        <v>22.47669066537734</v>
      </c>
      <c r="F256" s="447">
        <f t="shared" si="114"/>
        <v>24.050135510851792</v>
      </c>
      <c r="G256" s="447">
        <f t="shared" si="114"/>
        <v>24.746108571160189</v>
      </c>
      <c r="H256" s="447">
        <f t="shared" si="114"/>
        <v>25.057263890557866</v>
      </c>
      <c r="I256" s="447">
        <f t="shared" si="114"/>
        <v>25.22573163892644</v>
      </c>
      <c r="J256" s="447">
        <f t="shared" si="114"/>
        <v>25.486097109290931</v>
      </c>
      <c r="K256" s="447">
        <f t="shared" si="114"/>
        <v>25.65821364307725</v>
      </c>
      <c r="L256" s="447">
        <f t="shared" si="114"/>
        <v>25.733379190887288</v>
      </c>
      <c r="M256" s="447">
        <f t="shared" si="114"/>
        <v>25.753284314126667</v>
      </c>
      <c r="N256" s="447">
        <f t="shared" si="114"/>
        <v>25.83027866865773</v>
      </c>
    </row>
    <row r="257" spans="1:14">
      <c r="B257" s="331" t="str">
        <f t="shared" si="102"/>
        <v>Total</v>
      </c>
      <c r="C257" s="447">
        <f>SUM(C247:C256)</f>
        <v>4128.5081846749499</v>
      </c>
      <c r="D257" s="447">
        <f t="shared" ref="D257:N257" si="115">SUM(D247:D256)</f>
        <v>4186.1344653685537</v>
      </c>
      <c r="E257" s="447">
        <f t="shared" si="115"/>
        <v>4215.9246789944373</v>
      </c>
      <c r="F257" s="447">
        <f t="shared" si="115"/>
        <v>4269.1277869201049</v>
      </c>
      <c r="G257" s="447">
        <f t="shared" si="115"/>
        <v>4311.9581387714607</v>
      </c>
      <c r="H257" s="447">
        <f t="shared" si="115"/>
        <v>4351.2277079463802</v>
      </c>
      <c r="I257" s="447">
        <f t="shared" si="115"/>
        <v>4385.8824872488613</v>
      </c>
      <c r="J257" s="447">
        <f t="shared" si="115"/>
        <v>4438.3257245132663</v>
      </c>
      <c r="K257" s="447">
        <f t="shared" si="115"/>
        <v>4467.2945133592675</v>
      </c>
      <c r="L257" s="447">
        <f t="shared" si="115"/>
        <v>4471.134536758761</v>
      </c>
      <c r="M257" s="447">
        <f t="shared" si="115"/>
        <v>4459.3927325656596</v>
      </c>
      <c r="N257" s="447">
        <f t="shared" si="115"/>
        <v>4455.1584770479703</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327.53383906307351</v>
      </c>
      <c r="D263" s="447">
        <f t="shared" ref="D263:N263" si="120">D93-D229</f>
        <v>362.35729507589383</v>
      </c>
      <c r="E263" s="447">
        <f t="shared" si="120"/>
        <v>384.72594775283227</v>
      </c>
      <c r="F263" s="447">
        <f t="shared" si="120"/>
        <v>405.27592227390386</v>
      </c>
      <c r="G263" s="447">
        <f t="shared" si="120"/>
        <v>418.99105228293655</v>
      </c>
      <c r="H263" s="447">
        <f t="shared" si="120"/>
        <v>429.37621661757828</v>
      </c>
      <c r="I263" s="447">
        <f t="shared" si="120"/>
        <v>437.00249981574393</v>
      </c>
      <c r="J263" s="447">
        <f t="shared" si="120"/>
        <v>448.46019899774194</v>
      </c>
      <c r="K263" s="447">
        <f t="shared" si="120"/>
        <v>452.12568832069638</v>
      </c>
      <c r="L263" s="447">
        <f t="shared" si="120"/>
        <v>449.09455141837753</v>
      </c>
      <c r="M263" s="447">
        <f t="shared" si="120"/>
        <v>443.0811104556189</v>
      </c>
      <c r="N263" s="447">
        <f t="shared" si="120"/>
        <v>440.60149725012582</v>
      </c>
    </row>
    <row r="264" spans="1:14">
      <c r="B264" s="331" t="str">
        <f t="shared" si="117"/>
        <v>25-29</v>
      </c>
      <c r="C264" s="447">
        <f t="shared" si="119"/>
        <v>926.28106750452446</v>
      </c>
      <c r="D264" s="447">
        <f t="shared" ref="D264:N264" si="121">D94-D230</f>
        <v>886.53033912891749</v>
      </c>
      <c r="E264" s="447">
        <f t="shared" si="121"/>
        <v>861.04775677640123</v>
      </c>
      <c r="F264" s="447">
        <f t="shared" si="121"/>
        <v>852.69963764252304</v>
      </c>
      <c r="G264" s="447">
        <f t="shared" si="121"/>
        <v>849.54381093673487</v>
      </c>
      <c r="H264" s="447">
        <f t="shared" si="121"/>
        <v>850.73228489518101</v>
      </c>
      <c r="I264" s="447">
        <f t="shared" si="121"/>
        <v>853.86269807721601</v>
      </c>
      <c r="J264" s="447">
        <f t="shared" si="121"/>
        <v>865.2887264959129</v>
      </c>
      <c r="K264" s="447">
        <f t="shared" si="121"/>
        <v>869.80808166693203</v>
      </c>
      <c r="L264" s="447">
        <f t="shared" si="121"/>
        <v>866.46386837076523</v>
      </c>
      <c r="M264" s="447">
        <f t="shared" si="121"/>
        <v>858.55875546999732</v>
      </c>
      <c r="N264" s="447">
        <f t="shared" si="121"/>
        <v>854.12022679229653</v>
      </c>
    </row>
    <row r="265" spans="1:14">
      <c r="B265" s="331" t="str">
        <f t="shared" si="117"/>
        <v>30-34</v>
      </c>
      <c r="C265" s="447">
        <f t="shared" si="119"/>
        <v>1039.7680308304887</v>
      </c>
      <c r="D265" s="447">
        <f t="shared" ref="D265:N265" si="122">D95-D231</f>
        <v>1025.3602033686805</v>
      </c>
      <c r="E265" s="447">
        <f t="shared" si="122"/>
        <v>1004.9942479551326</v>
      </c>
      <c r="F265" s="447">
        <f t="shared" si="122"/>
        <v>988.68626501945232</v>
      </c>
      <c r="G265" s="447">
        <f t="shared" si="122"/>
        <v>974.85134644184916</v>
      </c>
      <c r="H265" s="447">
        <f t="shared" si="122"/>
        <v>964.88971386743026</v>
      </c>
      <c r="I265" s="447">
        <f t="shared" si="122"/>
        <v>958.17833892620524</v>
      </c>
      <c r="J265" s="447">
        <f t="shared" si="122"/>
        <v>958.69923973621951</v>
      </c>
      <c r="K265" s="447">
        <f t="shared" si="122"/>
        <v>957.71004382221577</v>
      </c>
      <c r="L265" s="447">
        <f t="shared" si="122"/>
        <v>953.4093745843337</v>
      </c>
      <c r="M265" s="447">
        <f t="shared" si="122"/>
        <v>946.63877291512199</v>
      </c>
      <c r="N265" s="447">
        <f t="shared" si="122"/>
        <v>941.67985139360087</v>
      </c>
    </row>
    <row r="266" spans="1:14">
      <c r="B266" s="331" t="str">
        <f t="shared" si="117"/>
        <v>35-39</v>
      </c>
      <c r="C266" s="447">
        <f t="shared" si="119"/>
        <v>1048.2036821907031</v>
      </c>
      <c r="D266" s="447">
        <f t="shared" ref="D266:N266" si="123">D96-D232</f>
        <v>1025.6353886606153</v>
      </c>
      <c r="E266" s="447">
        <f t="shared" si="123"/>
        <v>1004.2804412162088</v>
      </c>
      <c r="F266" s="447">
        <f t="shared" si="123"/>
        <v>986.69281162101663</v>
      </c>
      <c r="G266" s="447">
        <f t="shared" si="123"/>
        <v>970.53650790886843</v>
      </c>
      <c r="H266" s="447">
        <f t="shared" si="123"/>
        <v>956.64097686312027</v>
      </c>
      <c r="I266" s="447">
        <f t="shared" si="123"/>
        <v>944.87654122342713</v>
      </c>
      <c r="J266" s="447">
        <f t="shared" si="123"/>
        <v>938.28519803103529</v>
      </c>
      <c r="K266" s="447">
        <f t="shared" si="123"/>
        <v>931.28309831563297</v>
      </c>
      <c r="L266" s="447">
        <f t="shared" si="123"/>
        <v>923.0571459963686</v>
      </c>
      <c r="M266" s="447">
        <f t="shared" si="123"/>
        <v>914.23322712298886</v>
      </c>
      <c r="N266" s="447">
        <f t="shared" si="123"/>
        <v>907.47578943442068</v>
      </c>
    </row>
    <row r="267" spans="1:14">
      <c r="B267" s="331" t="str">
        <f t="shared" si="117"/>
        <v>40-44</v>
      </c>
      <c r="C267" s="447">
        <f t="shared" si="119"/>
        <v>841.80607715068697</v>
      </c>
      <c r="D267" s="447">
        <f t="shared" ref="D267:N267" si="124">D97-D233</f>
        <v>867.80679091473417</v>
      </c>
      <c r="E267" s="447">
        <f t="shared" si="124"/>
        <v>880.89559222457638</v>
      </c>
      <c r="F267" s="447">
        <f t="shared" si="124"/>
        <v>887.98111425428044</v>
      </c>
      <c r="G267" s="447">
        <f t="shared" si="124"/>
        <v>889.64910605656269</v>
      </c>
      <c r="H267" s="447">
        <f t="shared" si="124"/>
        <v>888.25252199921226</v>
      </c>
      <c r="I267" s="447">
        <f t="shared" si="124"/>
        <v>884.84018285125512</v>
      </c>
      <c r="J267" s="447">
        <f t="shared" si="124"/>
        <v>882.86625988149149</v>
      </c>
      <c r="K267" s="447">
        <f t="shared" si="124"/>
        <v>878.30475684594978</v>
      </c>
      <c r="L267" s="447">
        <f t="shared" si="124"/>
        <v>871.23277222068566</v>
      </c>
      <c r="M267" s="447">
        <f t="shared" si="124"/>
        <v>862.84803967354765</v>
      </c>
      <c r="N267" s="447">
        <f t="shared" si="124"/>
        <v>855.85516168351103</v>
      </c>
    </row>
    <row r="268" spans="1:14">
      <c r="B268" s="331" t="str">
        <f t="shared" si="117"/>
        <v>45-49</v>
      </c>
      <c r="C268" s="447">
        <f t="shared" si="119"/>
        <v>547.93840024259123</v>
      </c>
      <c r="D268" s="447">
        <f t="shared" ref="D268:N268" si="125">D98-D234</f>
        <v>599.99357251199353</v>
      </c>
      <c r="E268" s="447">
        <f t="shared" si="125"/>
        <v>641.23979507457341</v>
      </c>
      <c r="F268" s="447">
        <f t="shared" si="125"/>
        <v>674.801199971546</v>
      </c>
      <c r="G268" s="447">
        <f t="shared" si="125"/>
        <v>700.25390841001979</v>
      </c>
      <c r="H268" s="447">
        <f t="shared" si="125"/>
        <v>719.34377019526721</v>
      </c>
      <c r="I268" s="447">
        <f t="shared" si="125"/>
        <v>733.09752892179483</v>
      </c>
      <c r="J268" s="447">
        <f t="shared" si="125"/>
        <v>744.65539246789592</v>
      </c>
      <c r="K268" s="447">
        <f t="shared" si="125"/>
        <v>751.14943724330419</v>
      </c>
      <c r="L268" s="447">
        <f t="shared" si="125"/>
        <v>753.05031384107792</v>
      </c>
      <c r="M268" s="447">
        <f t="shared" si="125"/>
        <v>751.76289545426584</v>
      </c>
      <c r="N268" s="447">
        <f t="shared" si="125"/>
        <v>749.91925843159015</v>
      </c>
    </row>
    <row r="269" spans="1:14">
      <c r="B269" s="331" t="str">
        <f t="shared" si="117"/>
        <v>50-54</v>
      </c>
      <c r="C269" s="447">
        <f t="shared" si="119"/>
        <v>345.01660616381048</v>
      </c>
      <c r="D269" s="447">
        <f t="shared" ref="D269:N269" si="126">D99-D235</f>
        <v>377.29793059224738</v>
      </c>
      <c r="E269" s="447">
        <f t="shared" si="126"/>
        <v>408.52867407724364</v>
      </c>
      <c r="F269" s="447">
        <f t="shared" si="126"/>
        <v>438.93595315864491</v>
      </c>
      <c r="G269" s="447">
        <f t="shared" si="126"/>
        <v>466.26527226780854</v>
      </c>
      <c r="H269" s="447">
        <f t="shared" si="126"/>
        <v>490.35785788427916</v>
      </c>
      <c r="I269" s="447">
        <f t="shared" si="126"/>
        <v>510.9159449424493</v>
      </c>
      <c r="J269" s="447">
        <f t="shared" si="126"/>
        <v>529.53483972731283</v>
      </c>
      <c r="K269" s="447">
        <f t="shared" si="126"/>
        <v>543.6400853549253</v>
      </c>
      <c r="L269" s="447">
        <f t="shared" si="126"/>
        <v>553.32293100779646</v>
      </c>
      <c r="M269" s="447">
        <f t="shared" si="126"/>
        <v>559.50476036162945</v>
      </c>
      <c r="N269" s="447">
        <f t="shared" si="126"/>
        <v>564.11485101145229</v>
      </c>
    </row>
    <row r="270" spans="1:14">
      <c r="B270" s="331" t="str">
        <f t="shared" si="117"/>
        <v>55-59</v>
      </c>
      <c r="C270" s="447">
        <f t="shared" si="119"/>
        <v>223.8807086002534</v>
      </c>
      <c r="D270" s="447">
        <f t="shared" ref="D270:N270" si="127">D100-D236</f>
        <v>210.00188091207295</v>
      </c>
      <c r="E270" s="447">
        <f t="shared" si="127"/>
        <v>206.01816308069391</v>
      </c>
      <c r="F270" s="447">
        <f t="shared" si="127"/>
        <v>209.01729412011002</v>
      </c>
      <c r="G270" s="447">
        <f t="shared" si="127"/>
        <v>215.39448815961885</v>
      </c>
      <c r="H270" s="447">
        <f t="shared" si="127"/>
        <v>223.58832416713807</v>
      </c>
      <c r="I270" s="447">
        <f t="shared" si="127"/>
        <v>232.33346817227357</v>
      </c>
      <c r="J270" s="447">
        <f t="shared" si="127"/>
        <v>241.75140845655082</v>
      </c>
      <c r="K270" s="447">
        <f t="shared" si="127"/>
        <v>249.69225192000067</v>
      </c>
      <c r="L270" s="447">
        <f t="shared" si="127"/>
        <v>255.85225978599229</v>
      </c>
      <c r="M270" s="447">
        <f t="shared" si="127"/>
        <v>260.50742384506532</v>
      </c>
      <c r="N270" s="447">
        <f t="shared" si="127"/>
        <v>264.56196061864881</v>
      </c>
    </row>
    <row r="271" spans="1:14">
      <c r="B271" s="331" t="str">
        <f t="shared" si="117"/>
        <v>60-64</v>
      </c>
      <c r="C271" s="447">
        <f t="shared" si="119"/>
        <v>73.488060278741372</v>
      </c>
      <c r="D271" s="447">
        <f t="shared" ref="D271:N271" si="128">D101-D237</f>
        <v>74.994020339250611</v>
      </c>
      <c r="E271" s="447">
        <f t="shared" si="128"/>
        <v>73.804730093038216</v>
      </c>
      <c r="F271" s="447">
        <f t="shared" si="128"/>
        <v>72.999440012198093</v>
      </c>
      <c r="G271" s="447">
        <f t="shared" si="128"/>
        <v>72.923847941598467</v>
      </c>
      <c r="H271" s="447">
        <f t="shared" si="128"/>
        <v>73.74837271123171</v>
      </c>
      <c r="I271" s="447">
        <f t="shared" si="128"/>
        <v>75.230942051784297</v>
      </c>
      <c r="J271" s="447">
        <f t="shared" si="128"/>
        <v>77.516397452687741</v>
      </c>
      <c r="K271" s="447">
        <f t="shared" si="128"/>
        <v>79.569877110642494</v>
      </c>
      <c r="L271" s="447">
        <f t="shared" si="128"/>
        <v>81.232602590527407</v>
      </c>
      <c r="M271" s="447">
        <f t="shared" si="128"/>
        <v>82.589306750635259</v>
      </c>
      <c r="N271" s="447">
        <f t="shared" si="128"/>
        <v>83.988800768884545</v>
      </c>
    </row>
    <row r="272" spans="1:14">
      <c r="B272" s="331" t="str">
        <f t="shared" si="117"/>
        <v>65 plus</v>
      </c>
      <c r="C272" s="447">
        <f t="shared" si="119"/>
        <v>9.4079365565365016</v>
      </c>
      <c r="D272" s="447">
        <f t="shared" ref="D272:N272" si="129">D102-D238</f>
        <v>18.894426022725902</v>
      </c>
      <c r="E272" s="447">
        <f t="shared" si="129"/>
        <v>24.939161534142663</v>
      </c>
      <c r="F272" s="447">
        <f t="shared" si="129"/>
        <v>28.679850422436637</v>
      </c>
      <c r="G272" s="447">
        <f t="shared" si="129"/>
        <v>30.89599673432522</v>
      </c>
      <c r="H272" s="447">
        <f t="shared" si="129"/>
        <v>32.292877862613189</v>
      </c>
      <c r="I272" s="447">
        <f t="shared" si="129"/>
        <v>33.278324040461193</v>
      </c>
      <c r="J272" s="447">
        <f t="shared" si="129"/>
        <v>34.254018557828481</v>
      </c>
      <c r="K272" s="447">
        <f t="shared" si="129"/>
        <v>35.023996126705981</v>
      </c>
      <c r="L272" s="447">
        <f t="shared" si="129"/>
        <v>35.601120876715441</v>
      </c>
      <c r="M272" s="447">
        <f t="shared" si="129"/>
        <v>36.05794345751211</v>
      </c>
      <c r="N272" s="447">
        <f t="shared" si="129"/>
        <v>36.562385738517897</v>
      </c>
    </row>
    <row r="273" spans="1:15">
      <c r="B273" s="331" t="str">
        <f t="shared" si="117"/>
        <v>Total</v>
      </c>
      <c r="C273" s="447">
        <f>SUM(C263:C272)</f>
        <v>5383.3244085814104</v>
      </c>
      <c r="D273" s="447">
        <f t="shared" ref="D273:N273" si="130">SUM(D263:D272)</f>
        <v>5448.8718475271326</v>
      </c>
      <c r="E273" s="447">
        <f t="shared" si="130"/>
        <v>5490.4745097848427</v>
      </c>
      <c r="F273" s="447">
        <f t="shared" si="130"/>
        <v>5545.769488496112</v>
      </c>
      <c r="G273" s="447">
        <f t="shared" si="130"/>
        <v>5589.3053371403221</v>
      </c>
      <c r="H273" s="447">
        <f t="shared" si="130"/>
        <v>5629.2229170630508</v>
      </c>
      <c r="I273" s="447">
        <f t="shared" si="130"/>
        <v>5663.6164690226105</v>
      </c>
      <c r="J273" s="447">
        <f t="shared" si="130"/>
        <v>5721.3116798046767</v>
      </c>
      <c r="K273" s="447">
        <f t="shared" si="130"/>
        <v>5748.3073167270059</v>
      </c>
      <c r="L273" s="447">
        <f t="shared" si="130"/>
        <v>5742.3169406926409</v>
      </c>
      <c r="M273" s="447">
        <f t="shared" si="130"/>
        <v>5715.7822355063827</v>
      </c>
      <c r="N273" s="447">
        <f t="shared" si="130"/>
        <v>5698.8797831230495</v>
      </c>
    </row>
    <row r="274" spans="1:15">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5" ht="15.75">
      <c r="B275" s="333"/>
      <c r="H275" s="320"/>
    </row>
    <row r="276" spans="1:15" ht="15.75">
      <c r="B276" s="333" t="s">
        <v>528</v>
      </c>
      <c r="H276" s="320"/>
    </row>
    <row r="277" spans="1:15" ht="15.75">
      <c r="B277" s="333"/>
      <c r="H277" s="320"/>
    </row>
    <row r="278" spans="1:15"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5">
      <c r="B279" s="319" t="s">
        <v>216</v>
      </c>
      <c r="C279" s="447">
        <f>C223+C239</f>
        <v>1160.7875492958203</v>
      </c>
      <c r="D279" s="447">
        <f t="shared" ref="D279:N279" si="133">D223+D239</f>
        <v>1168.0727695296882</v>
      </c>
      <c r="E279" s="447">
        <f t="shared" si="133"/>
        <v>1207.5746425986401</v>
      </c>
      <c r="F279" s="447">
        <f t="shared" si="133"/>
        <v>1225.1762621010498</v>
      </c>
      <c r="G279" s="447">
        <f t="shared" si="133"/>
        <v>1240.572338740795</v>
      </c>
      <c r="H279" s="447">
        <f t="shared" si="133"/>
        <v>1255.3623722672826</v>
      </c>
      <c r="I279" s="447">
        <f t="shared" si="133"/>
        <v>1268.9305713831823</v>
      </c>
      <c r="J279" s="447">
        <f t="shared" si="133"/>
        <v>1287.9345667270561</v>
      </c>
      <c r="K279" s="447">
        <f t="shared" si="133"/>
        <v>1299.2172141980686</v>
      </c>
      <c r="L279" s="447">
        <f t="shared" si="133"/>
        <v>1302.2888881112622</v>
      </c>
      <c r="M279" s="447">
        <f t="shared" si="133"/>
        <v>1300.1840479088939</v>
      </c>
      <c r="N279" s="447">
        <f t="shared" si="133"/>
        <v>1300.0917633888087</v>
      </c>
      <c r="O279" s="320"/>
    </row>
    <row r="280" spans="1:15">
      <c r="B280" s="319" t="s">
        <v>217</v>
      </c>
      <c r="C280" s="447">
        <f>C155+C171</f>
        <v>219.4044938417984</v>
      </c>
      <c r="D280" s="447">
        <f t="shared" ref="D280:N280" si="134">D155+D171</f>
        <v>221.58525090847507</v>
      </c>
      <c r="E280" s="447">
        <f t="shared" si="134"/>
        <v>223.68433745635008</v>
      </c>
      <c r="F280" s="447">
        <f t="shared" si="134"/>
        <v>227.07538032858278</v>
      </c>
      <c r="G280" s="447">
        <f t="shared" si="134"/>
        <v>231.24097040121069</v>
      </c>
      <c r="H280" s="447">
        <f t="shared" si="134"/>
        <v>236.14495453954891</v>
      </c>
      <c r="I280" s="447">
        <f t="shared" si="134"/>
        <v>241.35938779172577</v>
      </c>
      <c r="J280" s="447">
        <f t="shared" si="134"/>
        <v>247.5044227925182</v>
      </c>
      <c r="K280" s="447">
        <f t="shared" si="134"/>
        <v>252.47143802193736</v>
      </c>
      <c r="L280" s="447">
        <f t="shared" si="134"/>
        <v>256.03245350387851</v>
      </c>
      <c r="M280" s="447">
        <f t="shared" si="134"/>
        <v>258.51200013615744</v>
      </c>
      <c r="N280" s="447">
        <f t="shared" si="134"/>
        <v>260.86345029778818</v>
      </c>
      <c r="O280" s="320"/>
    </row>
    <row r="281" spans="1:15">
      <c r="B281" s="319" t="s">
        <v>537</v>
      </c>
      <c r="C281" s="447">
        <f>C189+C205</f>
        <v>6.7159661703889997</v>
      </c>
      <c r="D281" s="447">
        <f t="shared" ref="D281:N281" si="135">D189+D205</f>
        <v>6.8943252364385978</v>
      </c>
      <c r="E281" s="447">
        <f t="shared" si="135"/>
        <v>7.0410026734656013</v>
      </c>
      <c r="F281" s="447">
        <f t="shared" si="135"/>
        <v>7.1721327560225649</v>
      </c>
      <c r="G281" s="447">
        <f t="shared" si="135"/>
        <v>7.2838035231815947</v>
      </c>
      <c r="H281" s="447">
        <f t="shared" si="135"/>
        <v>7.3844389470472054</v>
      </c>
      <c r="I281" s="447">
        <f t="shared" si="135"/>
        <v>7.4738889213212651</v>
      </c>
      <c r="J281" s="447">
        <f t="shared" si="135"/>
        <v>7.5787280699679407</v>
      </c>
      <c r="K281" s="447">
        <f t="shared" si="135"/>
        <v>7.6510822735044659</v>
      </c>
      <c r="L281" s="447">
        <f t="shared" si="135"/>
        <v>7.6879084593930376</v>
      </c>
      <c r="M281" s="447">
        <f t="shared" si="135"/>
        <v>7.6995809379455782</v>
      </c>
      <c r="N281" s="447">
        <f t="shared" si="135"/>
        <v>7.7131795035014594</v>
      </c>
      <c r="O281" s="320"/>
    </row>
    <row r="282" spans="1:15">
      <c r="B282" s="319" t="s">
        <v>218</v>
      </c>
      <c r="C282" s="447">
        <f>C121+C137</f>
        <v>934.667089283633</v>
      </c>
      <c r="D282" s="447">
        <f t="shared" ref="D282:N282" si="136">D121+D137</f>
        <v>939.59319338477474</v>
      </c>
      <c r="E282" s="447">
        <f t="shared" si="136"/>
        <v>976.84930246882459</v>
      </c>
      <c r="F282" s="447">
        <f t="shared" si="136"/>
        <v>990.92874901644473</v>
      </c>
      <c r="G282" s="447">
        <f t="shared" si="136"/>
        <v>1002.0475648164027</v>
      </c>
      <c r="H282" s="447">
        <f t="shared" si="136"/>
        <v>1011.8329787806863</v>
      </c>
      <c r="I282" s="447">
        <f t="shared" si="136"/>
        <v>1020.0972946701354</v>
      </c>
      <c r="J282" s="447">
        <f t="shared" si="136"/>
        <v>1032.8514158645701</v>
      </c>
      <c r="K282" s="447">
        <f t="shared" si="136"/>
        <v>1039.0946939026267</v>
      </c>
      <c r="L282" s="447">
        <f t="shared" si="136"/>
        <v>1038.5685261479905</v>
      </c>
      <c r="M282" s="447">
        <f t="shared" si="136"/>
        <v>1033.9724668347908</v>
      </c>
      <c r="N282" s="447">
        <f t="shared" si="136"/>
        <v>1031.5151335875191</v>
      </c>
      <c r="O282" s="320"/>
    </row>
    <row r="283" spans="1:15"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5" ht="15.75">
      <c r="B284" s="333"/>
      <c r="H284" s="320"/>
    </row>
    <row r="285" spans="1:15" ht="15.75">
      <c r="B285" s="333" t="s">
        <v>266</v>
      </c>
      <c r="F285" s="357"/>
      <c r="G285" s="357" t="s">
        <v>267</v>
      </c>
      <c r="H285" s="320"/>
    </row>
    <row r="286" spans="1:15" ht="15.75">
      <c r="B286" s="333"/>
      <c r="H286" s="320"/>
    </row>
    <row r="287" spans="1:15" ht="15.75">
      <c r="B287" s="333" t="s">
        <v>212</v>
      </c>
      <c r="H287" s="320"/>
    </row>
    <row r="288" spans="1:15" ht="15.75">
      <c r="B288" s="333"/>
      <c r="H288" s="320"/>
    </row>
    <row r="289" spans="2:18"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8"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c r="O290" s="320"/>
      <c r="P290" s="320"/>
      <c r="Q290" s="320"/>
      <c r="R290" s="320"/>
    </row>
    <row r="291" spans="2:18" ht="15.75">
      <c r="B291" s="333"/>
      <c r="H291" s="320"/>
    </row>
    <row r="292" spans="2:18" ht="15.75">
      <c r="B292" s="333" t="s">
        <v>264</v>
      </c>
      <c r="H292" s="320"/>
    </row>
    <row r="293" spans="2:18"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8">
      <c r="B294" s="356" t="s">
        <v>268</v>
      </c>
      <c r="C294" s="447">
        <f>C36-C15+C279-C290</f>
        <v>1291.2464891690154</v>
      </c>
      <c r="D294" s="447">
        <f>D36-D15+D279-D290</f>
        <v>1278.9675184822354</v>
      </c>
      <c r="E294" s="447">
        <f>E36-E15+E279-E290</f>
        <v>1333.6743487379865</v>
      </c>
      <c r="F294" s="447">
        <f t="shared" ref="F294:N294" si="141">F36-F15+F279-F290</f>
        <v>1326.9385392363606</v>
      </c>
      <c r="G294" s="447">
        <f t="shared" si="141"/>
        <v>1334.5495213649326</v>
      </c>
      <c r="H294" s="447">
        <f t="shared" si="141"/>
        <v>1337.9789026452224</v>
      </c>
      <c r="I294" s="447">
        <f t="shared" si="141"/>
        <v>1398.0730147735271</v>
      </c>
      <c r="J294" s="447">
        <f t="shared" si="141"/>
        <v>1355.1816399663992</v>
      </c>
      <c r="K294" s="447">
        <f t="shared" si="141"/>
        <v>1300.1385354763884</v>
      </c>
      <c r="L294" s="447">
        <f t="shared" si="141"/>
        <v>1261.9075385295355</v>
      </c>
      <c r="M294" s="447">
        <f t="shared" si="141"/>
        <v>1278.9550554877867</v>
      </c>
      <c r="N294" s="447">
        <f t="shared" si="141"/>
        <v>1291.3575788385963</v>
      </c>
    </row>
    <row r="295" spans="2:18" ht="12.75" customHeight="1">
      <c r="B295" s="1327" t="s">
        <v>265</v>
      </c>
      <c r="C295" s="1327"/>
      <c r="D295" s="1327"/>
      <c r="E295" s="1327"/>
      <c r="F295" s="1327"/>
      <c r="G295" s="1327"/>
      <c r="H295" s="1327"/>
      <c r="I295" s="1327"/>
      <c r="J295" s="1327"/>
      <c r="K295" s="1327"/>
      <c r="L295" s="1327"/>
      <c r="M295" s="1327"/>
      <c r="N295" s="1327"/>
    </row>
    <row r="296" spans="2:18">
      <c r="B296" s="319" t="s">
        <v>4</v>
      </c>
      <c r="C296" s="276">
        <f>IF(C294&lt;0,0,C294)</f>
        <v>1291.2464891690154</v>
      </c>
      <c r="D296" s="276">
        <f t="shared" ref="D296:N296" si="142">IF(D294&lt;0,0,D294)</f>
        <v>1278.9675184822354</v>
      </c>
      <c r="E296" s="276">
        <f t="shared" si="142"/>
        <v>1333.6743487379865</v>
      </c>
      <c r="F296" s="276">
        <f t="shared" si="142"/>
        <v>1326.9385392363606</v>
      </c>
      <c r="G296" s="276">
        <f t="shared" si="142"/>
        <v>1334.5495213649326</v>
      </c>
      <c r="H296" s="276">
        <f t="shared" si="142"/>
        <v>1337.9789026452224</v>
      </c>
      <c r="I296" s="276">
        <f t="shared" si="142"/>
        <v>1398.0730147735271</v>
      </c>
      <c r="J296" s="276">
        <f t="shared" si="142"/>
        <v>1355.1816399663992</v>
      </c>
      <c r="K296" s="276">
        <f t="shared" si="142"/>
        <v>1300.1385354763884</v>
      </c>
      <c r="L296" s="276">
        <f t="shared" si="142"/>
        <v>1261.9075385295355</v>
      </c>
      <c r="M296" s="276">
        <f t="shared" si="142"/>
        <v>1278.9550554877867</v>
      </c>
      <c r="N296" s="276">
        <f t="shared" si="142"/>
        <v>1291.3575788385963</v>
      </c>
    </row>
    <row r="297" spans="2:18" ht="15.75">
      <c r="B297" s="333"/>
      <c r="H297" s="320"/>
    </row>
    <row r="298" spans="2:18" ht="15.75">
      <c r="B298" s="333" t="s">
        <v>175</v>
      </c>
      <c r="H298" s="320"/>
    </row>
    <row r="299" spans="2:18" ht="15.75">
      <c r="B299" s="333"/>
      <c r="H299" s="320"/>
    </row>
    <row r="300" spans="2:18">
      <c r="B300" s="334" t="s">
        <v>46</v>
      </c>
      <c r="H300" s="318"/>
    </row>
    <row r="301" spans="2:18">
      <c r="H301" s="318"/>
    </row>
    <row r="302" spans="2:18">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8">
      <c r="B303" s="331" t="str">
        <f t="shared" si="143"/>
        <v>20-24</v>
      </c>
      <c r="C303" s="447">
        <f>C$296*Entrant_age_breakdowns!$K76*$G$31</f>
        <v>144.05245002691339</v>
      </c>
      <c r="D303" s="447">
        <f>D$296*Entrant_age_breakdowns!$K76*$G$31</f>
        <v>142.68259862667634</v>
      </c>
      <c r="E303" s="447">
        <f>E$296*Entrant_age_breakdowns!$K76*$G$31</f>
        <v>148.78573462561258</v>
      </c>
      <c r="F303" s="447">
        <f>F$296*Entrant_age_breakdowns!$K76*$G$31</f>
        <v>148.03428254441604</v>
      </c>
      <c r="G303" s="447">
        <f>G$296*Entrant_age_breakdowns!$K76*$G$31</f>
        <v>148.88336955601937</v>
      </c>
      <c r="H303" s="447">
        <f>H$296*Entrant_age_breakdowns!$K76*$G$31</f>
        <v>149.26595396546094</v>
      </c>
      <c r="I303" s="447">
        <f>I$296*Entrant_age_breakdowns!$K76*$G$31</f>
        <v>155.97009926760643</v>
      </c>
      <c r="J303" s="447">
        <f>J$296*Entrant_age_breakdowns!$K76*$G$31</f>
        <v>151.18510455295234</v>
      </c>
      <c r="K303" s="447">
        <f>K$296*Entrant_age_breakdowns!$K76*$G$31</f>
        <v>145.04445354217881</v>
      </c>
      <c r="L303" s="447">
        <f>L$296*Entrant_age_breakdowns!$K76*$G$31</f>
        <v>140.77937416085189</v>
      </c>
      <c r="M303" s="447">
        <f>M$296*Entrant_age_breakdowns!$K76*$G$31</f>
        <v>142.68120824544388</v>
      </c>
      <c r="N303" s="447">
        <f>N$296*Entrant_age_breakdowns!$K76*$G$31</f>
        <v>144.06484327577022</v>
      </c>
      <c r="O303" s="320"/>
      <c r="P303" s="320"/>
    </row>
    <row r="304" spans="2:18">
      <c r="B304" s="331" t="str">
        <f t="shared" si="143"/>
        <v>25-29</v>
      </c>
      <c r="C304" s="447">
        <f>C$296*Entrant_age_breakdowns!$K77*$G$31</f>
        <v>147.04603573194623</v>
      </c>
      <c r="D304" s="447">
        <f>D$296*Entrant_age_breakdowns!$K77*$G$31</f>
        <v>145.64771714792303</v>
      </c>
      <c r="E304" s="447">
        <f>E$296*Entrant_age_breakdowns!$K77*$G$31</f>
        <v>151.8776837608396</v>
      </c>
      <c r="F304" s="447">
        <f>F$296*Entrant_age_breakdowns!$K77*$G$31</f>
        <v>151.11061558836613</v>
      </c>
      <c r="G304" s="447">
        <f>G$296*Entrant_age_breakdowns!$K77*$G$31</f>
        <v>151.97734766424844</v>
      </c>
      <c r="H304" s="447">
        <f>H$296*Entrant_age_breakdowns!$K77*$G$31</f>
        <v>152.36788264460256</v>
      </c>
      <c r="I304" s="447">
        <f>I$296*Entrant_age_breakdowns!$K77*$G$31</f>
        <v>159.21134826748693</v>
      </c>
      <c r="J304" s="447">
        <f>J$296*Entrant_age_breakdowns!$K77*$G$31</f>
        <v>154.32691552332503</v>
      </c>
      <c r="K304" s="447">
        <f>K$296*Entrant_age_breakdowns!$K77*$G$31</f>
        <v>148.05865429084398</v>
      </c>
      <c r="L304" s="447">
        <f>L$296*Entrant_age_breakdowns!$K77*$G$31</f>
        <v>143.70494135511106</v>
      </c>
      <c r="M304" s="447">
        <f>M$296*Entrant_age_breakdowns!$K77*$G$31</f>
        <v>145.64629787287183</v>
      </c>
      <c r="N304" s="447">
        <f>N$296*Entrant_age_breakdowns!$K77*$G$31</f>
        <v>147.05868652763837</v>
      </c>
      <c r="O304" s="320"/>
      <c r="P304" s="320"/>
    </row>
    <row r="305" spans="1:16">
      <c r="B305" s="331" t="str">
        <f t="shared" si="143"/>
        <v>30-34</v>
      </c>
      <c r="C305" s="447">
        <f>C$296*Entrant_age_breakdowns!$K78*$G$31</f>
        <v>73.03079843246789</v>
      </c>
      <c r="D305" s="447">
        <f>D$296*Entrant_age_breakdowns!$K78*$G$31</f>
        <v>72.336319848629472</v>
      </c>
      <c r="E305" s="447">
        <f>E$296*Entrant_age_breakdowns!$K78*$G$31</f>
        <v>75.430449069347191</v>
      </c>
      <c r="F305" s="447">
        <f>F$296*Entrant_age_breakdowns!$K78*$G$31</f>
        <v>75.049482654244429</v>
      </c>
      <c r="G305" s="447">
        <f>G$296*Entrant_age_breakdowns!$K78*$G$31</f>
        <v>75.479947407773054</v>
      </c>
      <c r="H305" s="447">
        <f>H$296*Entrant_age_breakdowns!$K78*$G$31</f>
        <v>75.673907627707592</v>
      </c>
      <c r="I305" s="447">
        <f>I$296*Entrant_age_breakdowns!$K78*$G$31</f>
        <v>79.072732737113867</v>
      </c>
      <c r="J305" s="447">
        <f>J$296*Entrant_age_breakdowns!$K78*$G$31</f>
        <v>76.646866433270787</v>
      </c>
      <c r="K305" s="447">
        <f>K$296*Entrant_age_breakdowns!$K78*$G$31</f>
        <v>73.533718089538041</v>
      </c>
      <c r="L305" s="447">
        <f>L$296*Entrant_age_breakdowns!$K78*$G$31</f>
        <v>71.371435167324847</v>
      </c>
      <c r="M305" s="447">
        <f>M$296*Entrant_age_breakdowns!$K78*$G$31</f>
        <v>72.335614961961383</v>
      </c>
      <c r="N305" s="447">
        <f>N$296*Entrant_age_breakdowns!$K78*$G$31</f>
        <v>73.037081483252649</v>
      </c>
      <c r="O305" s="320"/>
      <c r="P305" s="320"/>
    </row>
    <row r="306" spans="1:16">
      <c r="B306" s="331" t="str">
        <f t="shared" si="143"/>
        <v>35-39</v>
      </c>
      <c r="C306" s="447">
        <f>C$296*Entrant_age_breakdowns!$K79*$G$31</f>
        <v>54.432254353800587</v>
      </c>
      <c r="D306" s="447">
        <f>D$296*Entrant_age_breakdowns!$K79*$G$31</f>
        <v>53.914636640039518</v>
      </c>
      <c r="E306" s="447">
        <f>E$296*Entrant_age_breakdowns!$K79*$G$31</f>
        <v>56.220792842088613</v>
      </c>
      <c r="F306" s="447">
        <f>F$296*Entrant_age_breakdowns!$K79*$G$31</f>
        <v>55.936846051799797</v>
      </c>
      <c r="G306" s="447">
        <f>G$296*Entrant_age_breakdowns!$K79*$G$31</f>
        <v>56.25768558056496</v>
      </c>
      <c r="H306" s="447">
        <f>H$296*Entrant_age_breakdowns!$K79*$G$31</f>
        <v>56.402250507316502</v>
      </c>
      <c r="I306" s="447">
        <f>I$296*Entrant_age_breakdowns!$K79*$G$31</f>
        <v>58.93550656955663</v>
      </c>
      <c r="J306" s="447">
        <f>J$296*Entrant_age_breakdowns!$K79*$G$31</f>
        <v>57.127428683057772</v>
      </c>
      <c r="K306" s="447">
        <f>K$296*Entrant_age_breakdowns!$K79*$G$31</f>
        <v>54.807096903529562</v>
      </c>
      <c r="L306" s="447">
        <f>L$296*Entrant_age_breakdowns!$K79*$G$31</f>
        <v>53.195476374478055</v>
      </c>
      <c r="M306" s="447">
        <f>M$296*Entrant_age_breakdowns!$K79*$G$31</f>
        <v>53.914111264838482</v>
      </c>
      <c r="N306" s="447">
        <f>N$296*Entrant_age_breakdowns!$K79*$G$31</f>
        <v>54.43693731805368</v>
      </c>
      <c r="O306" s="320"/>
      <c r="P306" s="320"/>
    </row>
    <row r="307" spans="1:16">
      <c r="B307" s="331" t="str">
        <f t="shared" si="143"/>
        <v>40-44</v>
      </c>
      <c r="C307" s="447">
        <f>C$296*Entrant_age_breakdowns!$K80*$G$31</f>
        <v>46.770714832395925</v>
      </c>
      <c r="D307" s="447">
        <f>D$296*Entrant_age_breakdowns!$K80*$G$31</f>
        <v>46.325953711073275</v>
      </c>
      <c r="E307" s="447">
        <f>E$296*Entrant_age_breakdowns!$K80*$G$31</f>
        <v>48.307509966008517</v>
      </c>
      <c r="F307" s="447">
        <f>F$296*Entrant_age_breakdowns!$K80*$G$31</f>
        <v>48.063529728301432</v>
      </c>
      <c r="G307" s="447">
        <f>G$296*Entrant_age_breakdowns!$K80*$G$31</f>
        <v>48.339209916178646</v>
      </c>
      <c r="H307" s="447">
        <f>H$296*Entrant_age_breakdowns!$K80*$G$31</f>
        <v>48.46342679905684</v>
      </c>
      <c r="I307" s="447">
        <f>I$296*Entrant_age_breakdowns!$K80*$G$31</f>
        <v>50.640117775593602</v>
      </c>
      <c r="J307" s="447">
        <f>J$296*Entrant_age_breakdowns!$K80*$G$31</f>
        <v>49.086533485761692</v>
      </c>
      <c r="K307" s="447">
        <f>K$296*Entrant_age_breakdowns!$K80*$G$31</f>
        <v>47.092796917890105</v>
      </c>
      <c r="L307" s="447">
        <f>L$296*Entrant_age_breakdowns!$K80*$G$31</f>
        <v>45.7080178916097</v>
      </c>
      <c r="M307" s="447">
        <f>M$296*Entrant_age_breakdowns!$K80*$G$31</f>
        <v>46.325502284359473</v>
      </c>
      <c r="N307" s="447">
        <f>N$296*Entrant_age_breakdowns!$K80*$G$31</f>
        <v>46.774738652247805</v>
      </c>
      <c r="O307" s="320"/>
      <c r="P307" s="320"/>
    </row>
    <row r="308" spans="1:16">
      <c r="B308" s="331" t="str">
        <f t="shared" si="143"/>
        <v>45-49</v>
      </c>
      <c r="C308" s="447">
        <f>C$296*Entrant_age_breakdowns!$K81*$G$31</f>
        <v>37.699856647103033</v>
      </c>
      <c r="D308" s="447">
        <f>D$296*Entrant_age_breakdowns!$K81*$G$31</f>
        <v>37.34135388365042</v>
      </c>
      <c r="E308" s="447">
        <f>E$296*Entrant_age_breakdowns!$K81*$G$31</f>
        <v>38.938600943417065</v>
      </c>
      <c r="F308" s="447">
        <f>F$296*Entrant_age_breakdowns!$K81*$G$31</f>
        <v>38.741938993321916</v>
      </c>
      <c r="G308" s="447">
        <f>G$296*Entrant_age_breakdowns!$K81*$G$31</f>
        <v>38.964152906465237</v>
      </c>
      <c r="H308" s="447">
        <f>H$296*Entrant_age_breakdowns!$K81*$G$31</f>
        <v>39.064278779983304</v>
      </c>
      <c r="I308" s="447">
        <f>I$296*Entrant_age_breakdowns!$K81*$G$31</f>
        <v>40.818815525349422</v>
      </c>
      <c r="J308" s="447">
        <f>J$296*Entrant_age_breakdowns!$K81*$G$31</f>
        <v>39.566538214092986</v>
      </c>
      <c r="K308" s="447">
        <f>K$296*Entrant_age_breakdowns!$K81*$G$31</f>
        <v>37.959473129238141</v>
      </c>
      <c r="L308" s="447">
        <f>L$296*Entrant_age_breakdowns!$K81*$G$31</f>
        <v>36.843262462675369</v>
      </c>
      <c r="M308" s="447">
        <f>M$296*Entrant_age_breakdowns!$K81*$G$31</f>
        <v>37.340990008040258</v>
      </c>
      <c r="N308" s="447">
        <f>N$296*Entrant_age_breakdowns!$K81*$G$31</f>
        <v>37.70310007479349</v>
      </c>
      <c r="O308" s="320"/>
      <c r="P308" s="320"/>
    </row>
    <row r="309" spans="1:16">
      <c r="B309" s="331" t="str">
        <f t="shared" si="143"/>
        <v>50-54</v>
      </c>
      <c r="C309" s="447">
        <f>C$296*Entrant_age_breakdowns!$K82*$G$31</f>
        <v>27.935743923608854</v>
      </c>
      <c r="D309" s="447">
        <f>D$296*Entrant_age_breakdowns!$K82*$G$31</f>
        <v>27.670091948073075</v>
      </c>
      <c r="E309" s="447">
        <f>E$296*Entrant_age_breakdowns!$K82*$G$31</f>
        <v>28.853658380753583</v>
      </c>
      <c r="F309" s="447">
        <f>F$296*Entrant_age_breakdowns!$K82*$G$31</f>
        <v>28.707931092482905</v>
      </c>
      <c r="G309" s="447">
        <f>G$296*Entrant_age_breakdowns!$K82*$G$31</f>
        <v>28.872592487138689</v>
      </c>
      <c r="H309" s="447">
        <f>H$296*Entrant_age_breakdowns!$K82*$G$31</f>
        <v>28.946786158189248</v>
      </c>
      <c r="I309" s="447">
        <f>I$296*Entrant_age_breakdowns!$K82*$G$31</f>
        <v>30.246904874340284</v>
      </c>
      <c r="J309" s="447">
        <f>J$296*Entrant_age_breakdowns!$K82*$G$31</f>
        <v>29.318962399224969</v>
      </c>
      <c r="K309" s="447">
        <f>K$296*Entrant_age_breakdowns!$K82*$G$31</f>
        <v>28.128120770851631</v>
      </c>
      <c r="L309" s="447">
        <f>L$296*Entrant_age_breakdowns!$K82*$G$31</f>
        <v>27.30100422137015</v>
      </c>
      <c r="M309" s="447">
        <f>M$296*Entrant_age_breakdowns!$K82*$G$31</f>
        <v>27.669822314796733</v>
      </c>
      <c r="N309" s="447">
        <f>N$296*Entrant_age_breakdowns!$K82*$G$31</f>
        <v>27.938147316445157</v>
      </c>
      <c r="O309" s="320"/>
      <c r="P309" s="320"/>
    </row>
    <row r="310" spans="1:16">
      <c r="B310" s="331" t="str">
        <f t="shared" si="143"/>
        <v>55-59</v>
      </c>
      <c r="C310" s="447">
        <f>C$296*Entrant_age_breakdowns!$K83*$G$31</f>
        <v>18.104754057601717</v>
      </c>
      <c r="D310" s="447">
        <f>D$296*Entrant_age_breakdowns!$K83*$G$31</f>
        <v>17.932588831032376</v>
      </c>
      <c r="E310" s="447">
        <f>E$296*Entrant_age_breakdowns!$K83*$G$31</f>
        <v>18.699641222159297</v>
      </c>
      <c r="F310" s="447">
        <f>F$296*Entrant_age_breakdowns!$K83*$G$31</f>
        <v>18.605197461476337</v>
      </c>
      <c r="G310" s="447">
        <f>G$296*Entrant_age_breakdowns!$K83*$G$31</f>
        <v>18.711912144327691</v>
      </c>
      <c r="H310" s="447">
        <f>H$296*Entrant_age_breakdowns!$K83*$G$31</f>
        <v>18.759995995993648</v>
      </c>
      <c r="I310" s="447">
        <f>I$296*Entrant_age_breakdowns!$K83*$G$31</f>
        <v>19.602584246586357</v>
      </c>
      <c r="J310" s="447">
        <f>J$296*Entrant_age_breakdowns!$K83*$G$31</f>
        <v>19.001198067735867</v>
      </c>
      <c r="K310" s="447">
        <f>K$296*Entrant_age_breakdowns!$K83*$G$31</f>
        <v>18.22943072686213</v>
      </c>
      <c r="L310" s="447">
        <f>L$296*Entrant_age_breakdowns!$K83*$G$31</f>
        <v>17.693388381031525</v>
      </c>
      <c r="M310" s="447">
        <f>M$296*Entrant_age_breakdowns!$K83*$G$31</f>
        <v>17.932414085581986</v>
      </c>
      <c r="N310" s="447">
        <f>N$296*Entrant_age_breakdowns!$K83*$G$31</f>
        <v>18.106311661949899</v>
      </c>
      <c r="O310" s="320"/>
      <c r="P310" s="320"/>
    </row>
    <row r="311" spans="1:16">
      <c r="B311" s="331" t="str">
        <f t="shared" si="143"/>
        <v>60-64</v>
      </c>
      <c r="C311" s="447">
        <f>C$296*Entrant_age_breakdowns!$K84*$G$31</f>
        <v>9.2328911852983033</v>
      </c>
      <c r="D311" s="447">
        <f>D$296*Entrant_age_breakdowns!$K84*$G$31</f>
        <v>9.1450919919069111</v>
      </c>
      <c r="E311" s="447">
        <f>E$296*Entrant_age_breakdowns!$K84*$G$31</f>
        <v>9.5362661132545661</v>
      </c>
      <c r="F311" s="447">
        <f>F$296*Entrant_age_breakdowns!$K84*$G$31</f>
        <v>9.4881025777134678</v>
      </c>
      <c r="G311" s="447">
        <f>G$296*Entrant_age_breakdowns!$K84*$G$31</f>
        <v>9.5425239220468647</v>
      </c>
      <c r="H311" s="447">
        <f>H$296*Entrant_age_breakdowns!$K84*$G$31</f>
        <v>9.5670452697983617</v>
      </c>
      <c r="I311" s="447">
        <f>I$296*Entrant_age_breakdowns!$K84*$G$31</f>
        <v>9.9967404541119507</v>
      </c>
      <c r="J311" s="447">
        <f>J$296*Entrant_age_breakdowns!$K84*$G$31</f>
        <v>9.6900512203337339</v>
      </c>
      <c r="K311" s="447">
        <f>K$296*Entrant_age_breakdowns!$K84*$G$31</f>
        <v>9.296472613522317</v>
      </c>
      <c r="L311" s="447">
        <f>L$296*Entrant_age_breakdowns!$K84*$G$31</f>
        <v>9.0231068094898674</v>
      </c>
      <c r="M311" s="447">
        <f>M$296*Entrant_age_breakdowns!$K84*$G$31</f>
        <v>9.1450028768753864</v>
      </c>
      <c r="N311" s="447">
        <f>N$296*Entrant_age_breakdowns!$K84*$G$31</f>
        <v>9.2336855176273005</v>
      </c>
      <c r="O311" s="320"/>
      <c r="P311" s="320"/>
    </row>
    <row r="312" spans="1:16">
      <c r="B312" s="331" t="str">
        <f t="shared" si="143"/>
        <v>65 plus</v>
      </c>
      <c r="C312" s="447">
        <f>C$296*Entrant_age_breakdowns!$K85*$G$31</f>
        <v>2.7800085630635709</v>
      </c>
      <c r="D312" s="447">
        <f>D$296*Entrant_age_breakdowns!$K85*$G$31</f>
        <v>2.7535723683159494</v>
      </c>
      <c r="E312" s="447">
        <f>E$296*Entrant_age_breakdowns!$K85*$G$31</f>
        <v>2.8713542618930066</v>
      </c>
      <c r="F312" s="447">
        <f>F$296*Entrant_age_breakdowns!$K85*$G$31</f>
        <v>2.8568522994476053</v>
      </c>
      <c r="G312" s="447">
        <f>G$296*Entrant_age_breakdowns!$K85*$G$31</f>
        <v>2.8732384779721802</v>
      </c>
      <c r="H312" s="447">
        <f>H$296*Entrant_age_breakdowns!$K85*$G$31</f>
        <v>2.8806218160142847</v>
      </c>
      <c r="I312" s="447">
        <f>I$296*Entrant_age_breakdowns!$K85*$G$31</f>
        <v>3.0100023391814013</v>
      </c>
      <c r="J312" s="447">
        <f>J$296*Entrant_age_breakdowns!$K85*$G$31</f>
        <v>2.9176587082437315</v>
      </c>
      <c r="K312" s="447">
        <f>K$296*Entrant_age_breakdowns!$K85*$G$31</f>
        <v>2.7991528279928515</v>
      </c>
      <c r="L312" s="447">
        <f>L$296*Entrant_age_breakdowns!$K85*$G$31</f>
        <v>2.7168428277115679</v>
      </c>
      <c r="M312" s="447">
        <f>M$296*Entrant_age_breakdowns!$K85*$G$31</f>
        <v>2.7535455359244736</v>
      </c>
      <c r="N312" s="447">
        <f>N$296*Entrant_age_breakdowns!$K85*$G$31</f>
        <v>2.7802477352396764</v>
      </c>
      <c r="O312" s="320"/>
      <c r="P312" s="320"/>
    </row>
    <row r="313" spans="1:16">
      <c r="B313" s="331" t="str">
        <f t="shared" si="143"/>
        <v>Total</v>
      </c>
      <c r="C313" s="447">
        <f>C$296*Entrant_age_breakdowns!$K86*$G$31</f>
        <v>561.08550775419951</v>
      </c>
      <c r="D313" s="447">
        <f>D$296*Entrant_age_breakdowns!$K86*$G$31</f>
        <v>555.74992499732048</v>
      </c>
      <c r="E313" s="447">
        <f>E$296*Entrant_age_breakdowns!$K86*$G$31</f>
        <v>579.52169118537404</v>
      </c>
      <c r="F313" s="447">
        <f>F$296*Entrant_age_breakdowns!$K86*$G$31</f>
        <v>576.59477899157002</v>
      </c>
      <c r="G313" s="447">
        <f>G$296*Entrant_age_breakdowns!$K86*$G$31</f>
        <v>579.90198006273522</v>
      </c>
      <c r="H313" s="447">
        <f>H$296*Entrant_age_breakdowns!$K86*$G$31</f>
        <v>581.39214956412332</v>
      </c>
      <c r="I313" s="447">
        <f>I$296*Entrant_age_breakdowns!$K86*$G$31</f>
        <v>607.50485205692689</v>
      </c>
      <c r="J313" s="447">
        <f>J$296*Entrant_age_breakdowns!$K86*$G$31</f>
        <v>588.86725728799888</v>
      </c>
      <c r="K313" s="447">
        <f>K$296*Entrant_age_breakdowns!$K86*$G$31</f>
        <v>564.94936981244769</v>
      </c>
      <c r="L313" s="447">
        <f>L$296*Entrant_age_breakdowns!$K86*$G$31</f>
        <v>548.33684965165401</v>
      </c>
      <c r="M313" s="447">
        <f>M$296*Entrant_age_breakdowns!$K86*$G$31</f>
        <v>555.74450945069395</v>
      </c>
      <c r="N313" s="447">
        <f>N$296*Entrant_age_breakdowns!$K86*$G$31</f>
        <v>561.13377956301827</v>
      </c>
      <c r="O313" s="320"/>
      <c r="P313" s="320"/>
    </row>
    <row r="314" spans="1:16">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6">
      <c r="B316" s="334" t="s">
        <v>47</v>
      </c>
      <c r="H316" s="318"/>
    </row>
    <row r="317" spans="1:16">
      <c r="H317" s="318"/>
    </row>
    <row r="318" spans="1:16">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6">
      <c r="B319" s="331" t="str">
        <f t="shared" si="146"/>
        <v>20-24</v>
      </c>
      <c r="C319" s="447">
        <f>C$296*Entrant_age_breakdowns!$K76*$H$31</f>
        <v>187.46069330476757</v>
      </c>
      <c r="D319" s="447">
        <f>D$296*Entrant_age_breakdowns!$K76*$H$31</f>
        <v>185.67805584761246</v>
      </c>
      <c r="E319" s="447">
        <f>E$296*Entrant_age_breakdowns!$K76*$H$31</f>
        <v>193.62028873209388</v>
      </c>
      <c r="F319" s="447">
        <f>F$296*Entrant_age_breakdowns!$K76*$H$31</f>
        <v>192.64239680384071</v>
      </c>
      <c r="G319" s="447">
        <f>G$296*Entrant_age_breakdowns!$K76*$H$31</f>
        <v>193.74734461862275</v>
      </c>
      <c r="H319" s="447">
        <f>H$296*Entrant_age_breakdowns!$K76*$H$31</f>
        <v>194.24521562760668</v>
      </c>
      <c r="I319" s="447">
        <f>I$296*Entrant_age_breakdowns!$K76*$H$31</f>
        <v>202.96956378080571</v>
      </c>
      <c r="J319" s="447">
        <f>J$296*Entrant_age_breakdowns!$K76*$H$31</f>
        <v>196.7426760985683</v>
      </c>
      <c r="K319" s="447">
        <f>K$296*Entrant_age_breakdowns!$K76*$H$31</f>
        <v>188.75162356452839</v>
      </c>
      <c r="L319" s="447">
        <f>L$296*Entrant_age_breakdowns!$K76*$H$31</f>
        <v>183.20132061810824</v>
      </c>
      <c r="M319" s="447">
        <f>M$296*Entrant_age_breakdowns!$K76*$H$31</f>
        <v>185.67624649393784</v>
      </c>
      <c r="N319" s="447">
        <f>N$296*Entrant_age_breakdowns!$K76*$H$31</f>
        <v>187.47682109032459</v>
      </c>
    </row>
    <row r="320" spans="1:16">
      <c r="B320" s="331" t="str">
        <f t="shared" si="146"/>
        <v>25-29</v>
      </c>
      <c r="C320" s="447">
        <f>C$296*Entrant_age_breakdowns!$K77*$H$31</f>
        <v>191.35635527808253</v>
      </c>
      <c r="D320" s="447">
        <f>D$296*Entrant_age_breakdowns!$K77*$H$31</f>
        <v>189.5366724391377</v>
      </c>
      <c r="E320" s="447">
        <f>E$296*Entrant_age_breakdowns!$K77*$H$31</f>
        <v>197.64395461521107</v>
      </c>
      <c r="F320" s="447">
        <f>F$296*Entrant_age_breakdowns!$K77*$H$31</f>
        <v>196.64574089932472</v>
      </c>
      <c r="G320" s="447">
        <f>G$296*Entrant_age_breakdowns!$K77*$H$31</f>
        <v>197.77365087811384</v>
      </c>
      <c r="H320" s="447">
        <f>H$296*Entrant_age_breakdowns!$K77*$H$31</f>
        <v>198.28186825423811</v>
      </c>
      <c r="I320" s="447">
        <f>I$296*Entrant_age_breakdowns!$K77*$H$31</f>
        <v>207.18751900876234</v>
      </c>
      <c r="J320" s="447">
        <f>J$296*Entrant_age_breakdowns!$K77*$H$31</f>
        <v>200.83122900154601</v>
      </c>
      <c r="K320" s="447">
        <f>K$296*Entrant_age_breakdowns!$K77*$H$31</f>
        <v>192.6741126440196</v>
      </c>
      <c r="L320" s="447">
        <f>L$296*Entrant_age_breakdowns!$K77*$H$31</f>
        <v>187.00846762909657</v>
      </c>
      <c r="M320" s="447">
        <f>M$296*Entrant_age_breakdowns!$K77*$H$31</f>
        <v>189.53482548488569</v>
      </c>
      <c r="N320" s="447">
        <f>N$296*Entrant_age_breakdowns!$K77*$H$31</f>
        <v>191.37281821870494</v>
      </c>
    </row>
    <row r="321" spans="1:14">
      <c r="B321" s="331" t="str">
        <f t="shared" si="146"/>
        <v>30-34</v>
      </c>
      <c r="C321" s="447">
        <f>C$296*Entrant_age_breakdowns!$K78*$H$31</f>
        <v>95.03763458513464</v>
      </c>
      <c r="D321" s="447">
        <f>D$296*Entrant_age_breakdowns!$K78*$H$31</f>
        <v>94.133884341474513</v>
      </c>
      <c r="E321" s="447">
        <f>E$296*Entrant_age_breakdowns!$K78*$H$31</f>
        <v>98.160387249144009</v>
      </c>
      <c r="F321" s="447">
        <f>F$296*Entrant_age_breakdowns!$K78*$H$31</f>
        <v>97.664621795049669</v>
      </c>
      <c r="G321" s="447">
        <f>G$296*Entrant_age_breakdowns!$K78*$H$31</f>
        <v>98.224801237500429</v>
      </c>
      <c r="H321" s="447">
        <f>H$296*Entrant_age_breakdowns!$K78*$H$31</f>
        <v>98.477208727242399</v>
      </c>
      <c r="I321" s="447">
        <f>I$296*Entrant_age_breakdowns!$K78*$H$31</f>
        <v>102.90022347854941</v>
      </c>
      <c r="J321" s="447">
        <f>J$296*Entrant_age_breakdowns!$K78*$H$31</f>
        <v>99.743355413492978</v>
      </c>
      <c r="K321" s="447">
        <f>K$296*Entrant_age_breakdowns!$K78*$H$31</f>
        <v>95.692102229200074</v>
      </c>
      <c r="L321" s="447">
        <f>L$296*Entrant_age_breakdowns!$K78*$H$31</f>
        <v>92.878244806827766</v>
      </c>
      <c r="M321" s="447">
        <f>M$296*Entrant_age_breakdowns!$K78*$H$31</f>
        <v>94.132967046812198</v>
      </c>
      <c r="N321" s="447">
        <f>N$296*Entrant_age_breakdowns!$K78*$H$31</f>
        <v>95.045810947674539</v>
      </c>
    </row>
    <row r="322" spans="1:14">
      <c r="B322" s="331" t="str">
        <f t="shared" si="146"/>
        <v>35-39</v>
      </c>
      <c r="C322" s="447">
        <f>C$296*Entrant_age_breakdowns!$K79*$H$31</f>
        <v>70.83467263068772</v>
      </c>
      <c r="D322" s="447">
        <f>D$296*Entrant_age_breakdowns!$K79*$H$31</f>
        <v>70.161077870790535</v>
      </c>
      <c r="E322" s="447">
        <f>E$296*Entrant_age_breakdowns!$K79*$H$31</f>
        <v>73.162162825780499</v>
      </c>
      <c r="F322" s="447">
        <f>F$296*Entrant_age_breakdowns!$K79*$H$31</f>
        <v>72.792652538664512</v>
      </c>
      <c r="G322" s="447">
        <f>G$296*Entrant_age_breakdowns!$K79*$H$31</f>
        <v>73.210172688378421</v>
      </c>
      <c r="H322" s="447">
        <f>H$296*Entrant_age_breakdowns!$K79*$H$31</f>
        <v>73.398300286286926</v>
      </c>
      <c r="I322" s="447">
        <f>I$296*Entrant_age_breakdowns!$K79*$H$31</f>
        <v>76.694918550379739</v>
      </c>
      <c r="J322" s="447">
        <f>J$296*Entrant_age_breakdowns!$K79*$H$31</f>
        <v>74.342001025625592</v>
      </c>
      <c r="K322" s="447">
        <f>K$296*Entrant_age_breakdowns!$K79*$H$31</f>
        <v>71.322468876008031</v>
      </c>
      <c r="L322" s="447">
        <f>L$296*Entrant_age_breakdowns!$K79*$H$31</f>
        <v>69.225208456877724</v>
      </c>
      <c r="M322" s="447">
        <f>M$296*Entrant_age_breakdowns!$K79*$H$31</f>
        <v>70.160394180930254</v>
      </c>
      <c r="N322" s="447">
        <f>N$296*Entrant_age_breakdowns!$K79*$H$31</f>
        <v>70.840766742418836</v>
      </c>
    </row>
    <row r="323" spans="1:14">
      <c r="B323" s="331" t="str">
        <f t="shared" si="146"/>
        <v>40-44</v>
      </c>
      <c r="C323" s="447">
        <f>C$296*Entrant_age_breakdowns!$K80*$H$31</f>
        <v>60.864432553576478</v>
      </c>
      <c r="D323" s="447">
        <f>D$296*Entrant_age_breakdowns!$K80*$H$31</f>
        <v>60.285648727667422</v>
      </c>
      <c r="E323" s="447">
        <f>E$296*Entrant_age_breakdowns!$K80*$H$31</f>
        <v>62.864319963756486</v>
      </c>
      <c r="F323" s="447">
        <f>F$296*Entrant_age_breakdowns!$K80*$H$31</f>
        <v>62.546819605347544</v>
      </c>
      <c r="G323" s="447">
        <f>G$296*Entrant_age_breakdowns!$K80*$H$31</f>
        <v>62.905572262037488</v>
      </c>
      <c r="H323" s="447">
        <f>H$296*Entrant_age_breakdowns!$K80*$H$31</f>
        <v>63.067220210268516</v>
      </c>
      <c r="I323" s="447">
        <f>I$296*Entrant_age_breakdowns!$K80*$H$31</f>
        <v>65.899827357842739</v>
      </c>
      <c r="J323" s="447">
        <f>J$296*Entrant_age_breakdowns!$K80*$H$31</f>
        <v>63.878091607948356</v>
      </c>
      <c r="K323" s="447">
        <f>K$296*Entrant_age_breakdowns!$K80*$H$31</f>
        <v>61.283569687561382</v>
      </c>
      <c r="L323" s="447">
        <f>L$296*Entrant_age_breakdowns!$K80*$H$31</f>
        <v>59.481506367625308</v>
      </c>
      <c r="M323" s="447">
        <f>M$296*Entrant_age_breakdowns!$K80*$H$31</f>
        <v>60.285061269663551</v>
      </c>
      <c r="N323" s="447">
        <f>N$296*Entrant_age_breakdowns!$K80*$H$31</f>
        <v>60.869668896721116</v>
      </c>
    </row>
    <row r="324" spans="1:14">
      <c r="B324" s="331" t="str">
        <f t="shared" si="146"/>
        <v>45-49</v>
      </c>
      <c r="C324" s="447">
        <f>C$296*Entrant_age_breakdowns!$K81*$H$31</f>
        <v>49.060194833450659</v>
      </c>
      <c r="D324" s="447">
        <f>D$296*Entrant_age_breakdowns!$K81*$H$31</f>
        <v>48.593662146391559</v>
      </c>
      <c r="E324" s="447">
        <f>E$296*Entrant_age_breakdowns!$K81*$H$31</f>
        <v>50.672217847088881</v>
      </c>
      <c r="F324" s="447">
        <f>F$296*Entrant_age_breakdowns!$K81*$H$31</f>
        <v>50.416294497610153</v>
      </c>
      <c r="G324" s="447">
        <f>G$296*Entrant_age_breakdowns!$K81*$H$31</f>
        <v>50.7054695460875</v>
      </c>
      <c r="H324" s="447">
        <f>H$296*Entrant_age_breakdowns!$K81*$H$31</f>
        <v>50.835766987498147</v>
      </c>
      <c r="I324" s="447">
        <f>I$296*Entrant_age_breakdowns!$K81*$H$31</f>
        <v>53.119009477671504</v>
      </c>
      <c r="J324" s="447">
        <f>J$296*Entrant_age_breakdowns!$K81*$H$31</f>
        <v>51.489375459408691</v>
      </c>
      <c r="K324" s="447">
        <f>K$296*Entrant_age_breakdowns!$K81*$H$31</f>
        <v>49.398043205521375</v>
      </c>
      <c r="L324" s="447">
        <f>L$296*Entrant_age_breakdowns!$K81*$H$31</f>
        <v>47.945477661589706</v>
      </c>
      <c r="M324" s="447">
        <f>M$296*Entrant_age_breakdowns!$K81*$H$31</f>
        <v>48.593188621823629</v>
      </c>
      <c r="N324" s="447">
        <f>N$296*Entrant_age_breakdowns!$K81*$H$31</f>
        <v>49.064415623887911</v>
      </c>
    </row>
    <row r="325" spans="1:14">
      <c r="B325" s="331" t="str">
        <f t="shared" si="146"/>
        <v>50-54</v>
      </c>
      <c r="C325" s="447">
        <f>C$296*Entrant_age_breakdowns!$K82*$H$31</f>
        <v>36.353799764778451</v>
      </c>
      <c r="D325" s="447">
        <f>D$296*Entrant_age_breakdowns!$K82*$H$31</f>
        <v>36.008097185596952</v>
      </c>
      <c r="E325" s="447">
        <f>E$296*Entrant_age_breakdowns!$K82*$H$31</f>
        <v>37.548315238126335</v>
      </c>
      <c r="F325" s="447">
        <f>F$296*Entrant_age_breakdowns!$K82*$H$31</f>
        <v>37.358675016890658</v>
      </c>
      <c r="G325" s="447">
        <f>G$296*Entrant_age_breakdowns!$K82*$H$31</f>
        <v>37.572954879516637</v>
      </c>
      <c r="H325" s="447">
        <f>H$296*Entrant_age_breakdowns!$K82*$H$31</f>
        <v>37.669505802540613</v>
      </c>
      <c r="I325" s="447">
        <f>I$296*Entrant_age_breakdowns!$K82*$H$31</f>
        <v>39.361397581282617</v>
      </c>
      <c r="J325" s="447">
        <f>J$296*Entrant_age_breakdowns!$K82*$H$31</f>
        <v>38.153832283368146</v>
      </c>
      <c r="K325" s="447">
        <f>K$296*Entrant_age_breakdowns!$K82*$H$31</f>
        <v>36.604146754039505</v>
      </c>
      <c r="L325" s="447">
        <f>L$296*Entrant_age_breakdowns!$K82*$H$31</f>
        <v>35.527789900819187</v>
      </c>
      <c r="M325" s="447">
        <f>M$296*Entrant_age_breakdowns!$K82*$H$31</f>
        <v>36.007746302006204</v>
      </c>
      <c r="N325" s="447">
        <f>N$296*Entrant_age_breakdowns!$K82*$H$31</f>
        <v>36.356927387302697</v>
      </c>
    </row>
    <row r="326" spans="1:14">
      <c r="B326" s="331" t="str">
        <f t="shared" si="146"/>
        <v>55-59</v>
      </c>
      <c r="C326" s="447">
        <f>C$296*Entrant_age_breakdowns!$K83*$H$31</f>
        <v>23.560375037815962</v>
      </c>
      <c r="D326" s="447">
        <f>D$296*Entrant_age_breakdowns!$K83*$H$31</f>
        <v>23.336330165759769</v>
      </c>
      <c r="E326" s="447">
        <f>E$296*Entrant_age_breakdowns!$K83*$H$31</f>
        <v>24.334523344805788</v>
      </c>
      <c r="F326" s="447">
        <f>F$296*Entrant_age_breakdowns!$K83*$H$31</f>
        <v>24.211620243521292</v>
      </c>
      <c r="G326" s="447">
        <f>G$296*Entrant_age_breakdowns!$K83*$H$31</f>
        <v>24.350491942193383</v>
      </c>
      <c r="H326" s="447">
        <f>H$296*Entrant_age_breakdowns!$K83*$H$31</f>
        <v>24.413065207475437</v>
      </c>
      <c r="I326" s="447">
        <f>I$296*Entrant_age_breakdowns!$K83*$H$31</f>
        <v>25.509555948153917</v>
      </c>
      <c r="J326" s="447">
        <f>J$296*Entrant_age_breakdowns!$K83*$H$31</f>
        <v>24.726950237455103</v>
      </c>
      <c r="K326" s="447">
        <f>K$296*Entrant_age_breakdowns!$K83*$H$31</f>
        <v>23.722621322791468</v>
      </c>
      <c r="L326" s="447">
        <f>L$296*Entrant_age_breakdowns!$K83*$H$31</f>
        <v>23.025049918963589</v>
      </c>
      <c r="M326" s="447">
        <f>M$296*Entrant_age_breakdowns!$K83*$H$31</f>
        <v>23.336102763148595</v>
      </c>
      <c r="N326" s="447">
        <f>N$296*Entrant_age_breakdowns!$K83*$H$31</f>
        <v>23.562402005014022</v>
      </c>
    </row>
    <row r="327" spans="1:14">
      <c r="B327" s="331" t="str">
        <f t="shared" si="146"/>
        <v>60-64</v>
      </c>
      <c r="C327" s="447">
        <f>C$296*Entrant_age_breakdowns!$K84*$H$31</f>
        <v>12.015097157182195</v>
      </c>
      <c r="D327" s="447">
        <f>D$296*Entrant_age_breakdowns!$K84*$H$31</f>
        <v>11.900840873018511</v>
      </c>
      <c r="E327" s="447">
        <f>E$296*Entrant_age_breakdowns!$K84*$H$31</f>
        <v>12.409889986567185</v>
      </c>
      <c r="F327" s="447">
        <f>F$296*Entrant_age_breakdowns!$K84*$H$31</f>
        <v>12.34721302575981</v>
      </c>
      <c r="G327" s="447">
        <f>G$296*Entrant_age_breakdowns!$K84*$H$31</f>
        <v>12.41803350078408</v>
      </c>
      <c r="H327" s="447">
        <f>H$296*Entrant_age_breakdowns!$K84*$H$31</f>
        <v>12.449944022607237</v>
      </c>
      <c r="I327" s="447">
        <f>I$296*Entrant_age_breakdowns!$K84*$H$31</f>
        <v>13.009121996644442</v>
      </c>
      <c r="J327" s="447">
        <f>J$296*Entrant_age_breakdowns!$K84*$H$31</f>
        <v>12.6100161405314</v>
      </c>
      <c r="K327" s="447">
        <f>K$296*Entrant_age_breakdowns!$K84*$H$31</f>
        <v>12.097837982582623</v>
      </c>
      <c r="L327" s="447">
        <f>L$296*Entrant_age_breakdowns!$K84*$H$31</f>
        <v>11.742097117778423</v>
      </c>
      <c r="M327" s="447">
        <f>M$296*Entrant_age_breakdowns!$K84*$H$31</f>
        <v>11.900724904386319</v>
      </c>
      <c r="N327" s="447">
        <f>N$296*Entrant_age_breakdowns!$K84*$H$31</f>
        <v>12.016130850736731</v>
      </c>
    </row>
    <row r="328" spans="1:14">
      <c r="B328" s="331" t="str">
        <f t="shared" si="146"/>
        <v>65 plus</v>
      </c>
      <c r="C328" s="447">
        <f>C$296*Entrant_age_breakdowns!$K85*$H$31</f>
        <v>3.6177262693395527</v>
      </c>
      <c r="D328" s="447">
        <f>D$296*Entrant_age_breakdowns!$K85*$H$31</f>
        <v>3.5833238874654287</v>
      </c>
      <c r="E328" s="447">
        <f>E$296*Entrant_age_breakdowns!$K85*$H$31</f>
        <v>3.7365977500382508</v>
      </c>
      <c r="F328" s="447">
        <f>F$296*Entrant_age_breakdowns!$K85*$H$31</f>
        <v>3.7177258187813602</v>
      </c>
      <c r="G328" s="447">
        <f>G$296*Entrant_age_breakdowns!$K85*$H$31</f>
        <v>3.7390497489627532</v>
      </c>
      <c r="H328" s="447">
        <f>H$296*Entrant_age_breakdowns!$K85*$H$31</f>
        <v>3.7486579553349308</v>
      </c>
      <c r="I328" s="447">
        <f>I$296*Entrant_age_breakdowns!$K85*$H$31</f>
        <v>3.91702553650769</v>
      </c>
      <c r="J328" s="447">
        <f>J$296*Entrant_age_breakdowns!$K85*$H$31</f>
        <v>3.796855410455541</v>
      </c>
      <c r="K328" s="447">
        <f>K$296*Entrant_age_breakdowns!$K85*$H$31</f>
        <v>3.6426393976881681</v>
      </c>
      <c r="L328" s="447">
        <f>L$296*Entrant_age_breakdowns!$K85*$H$31</f>
        <v>3.5355264001948088</v>
      </c>
      <c r="M328" s="447">
        <f>M$296*Entrant_age_breakdowns!$K85*$H$31</f>
        <v>3.5832889694983403</v>
      </c>
      <c r="N328" s="447">
        <f>N$296*Entrant_age_breakdowns!$K85*$H$31</f>
        <v>3.6180375127924997</v>
      </c>
    </row>
    <row r="329" spans="1:14">
      <c r="B329" s="331" t="str">
        <f t="shared" si="146"/>
        <v>Total</v>
      </c>
      <c r="C329" s="447">
        <f>C$296*Entrant_age_breakdowns!$K86*$H$31</f>
        <v>730.16098141481575</v>
      </c>
      <c r="D329" s="447">
        <f>D$296*Entrant_age_breakdowns!$K86*$H$31</f>
        <v>723.21759348491491</v>
      </c>
      <c r="E329" s="447">
        <f>E$296*Entrant_age_breakdowns!$K86*$H$31</f>
        <v>754.15265755261237</v>
      </c>
      <c r="F329" s="447">
        <f>F$296*Entrant_age_breakdowns!$K86*$H$31</f>
        <v>750.34376024479047</v>
      </c>
      <c r="G329" s="447">
        <f>G$296*Entrant_age_breakdowns!$K86*$H$31</f>
        <v>754.6475413021974</v>
      </c>
      <c r="H329" s="447">
        <f>H$296*Entrant_age_breakdowns!$K86*$H$31</f>
        <v>756.586753081099</v>
      </c>
      <c r="I329" s="447">
        <f>I$296*Entrant_age_breakdowns!$K86*$H$31</f>
        <v>790.56816271660011</v>
      </c>
      <c r="J329" s="447">
        <f>J$296*Entrant_age_breakdowns!$K86*$H$31</f>
        <v>766.31438267840019</v>
      </c>
      <c r="K329" s="447">
        <f>K$296*Entrant_age_breakdowns!$K86*$H$31</f>
        <v>735.18916566394068</v>
      </c>
      <c r="L329" s="447">
        <f>L$296*Entrant_age_breakdowns!$K86*$H$31</f>
        <v>713.57068887788137</v>
      </c>
      <c r="M329" s="447">
        <f>M$296*Entrant_age_breakdowns!$K86*$H$31</f>
        <v>723.21054603709274</v>
      </c>
      <c r="N329" s="447">
        <f>N$296*Entrant_age_breakdowns!$K86*$H$31</f>
        <v>730.2237992755779</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1291.2464891690154</v>
      </c>
      <c r="D331" s="322">
        <f t="shared" ref="D331:N331" si="149">D296</f>
        <v>1278.9675184822354</v>
      </c>
      <c r="E331" s="322">
        <f t="shared" si="149"/>
        <v>1333.6743487379865</v>
      </c>
      <c r="F331" s="322">
        <f t="shared" si="149"/>
        <v>1326.9385392363606</v>
      </c>
      <c r="G331" s="322">
        <f t="shared" si="149"/>
        <v>1334.5495213649326</v>
      </c>
      <c r="H331" s="322">
        <f t="shared" si="149"/>
        <v>1337.9789026452224</v>
      </c>
      <c r="I331" s="322">
        <f t="shared" si="149"/>
        <v>1398.0730147735271</v>
      </c>
      <c r="J331" s="322">
        <f t="shared" si="149"/>
        <v>1355.1816399663992</v>
      </c>
      <c r="K331" s="322">
        <f t="shared" si="149"/>
        <v>1300.1385354763884</v>
      </c>
      <c r="L331" s="322">
        <f t="shared" si="149"/>
        <v>1261.9075385295355</v>
      </c>
      <c r="M331" s="322">
        <f t="shared" si="149"/>
        <v>1278.9550554877867</v>
      </c>
      <c r="N331" s="322">
        <f t="shared" si="149"/>
        <v>1291.3575788385963</v>
      </c>
    </row>
    <row r="332" spans="1:14">
      <c r="C332" s="322">
        <f>C313+C329</f>
        <v>1291.2464891690151</v>
      </c>
      <c r="D332" s="322">
        <f t="shared" ref="D332:N332" si="150">D313+D329</f>
        <v>1278.9675184822354</v>
      </c>
      <c r="E332" s="322">
        <f t="shared" si="150"/>
        <v>1333.6743487379863</v>
      </c>
      <c r="F332" s="322">
        <f t="shared" si="150"/>
        <v>1326.9385392363606</v>
      </c>
      <c r="G332" s="322">
        <f t="shared" si="150"/>
        <v>1334.5495213649326</v>
      </c>
      <c r="H332" s="322">
        <f t="shared" si="150"/>
        <v>1337.9789026452222</v>
      </c>
      <c r="I332" s="322">
        <f t="shared" si="150"/>
        <v>1398.0730147735271</v>
      </c>
      <c r="J332" s="322">
        <f t="shared" si="150"/>
        <v>1355.181639966399</v>
      </c>
      <c r="K332" s="322">
        <f t="shared" si="150"/>
        <v>1300.1385354763884</v>
      </c>
      <c r="L332" s="322">
        <f t="shared" si="150"/>
        <v>1261.9075385295355</v>
      </c>
      <c r="M332" s="322">
        <f t="shared" si="150"/>
        <v>1278.9550554877867</v>
      </c>
      <c r="N332" s="322">
        <f t="shared" si="150"/>
        <v>1291.3575788385961</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283.65922345937827</v>
      </c>
      <c r="D340" s="447">
        <f t="shared" si="154"/>
        <v>339.17796313640861</v>
      </c>
      <c r="E340" s="447">
        <f t="shared" si="154"/>
        <v>382.37428794772092</v>
      </c>
      <c r="F340" s="447">
        <f t="shared" si="154"/>
        <v>412.17093430799918</v>
      </c>
      <c r="G340" s="447">
        <f t="shared" si="154"/>
        <v>433.60295969035275</v>
      </c>
      <c r="H340" s="447">
        <f t="shared" si="154"/>
        <v>448.79036650401673</v>
      </c>
      <c r="I340" s="447">
        <f t="shared" si="154"/>
        <v>465.98567429060489</v>
      </c>
      <c r="J340" s="447">
        <f t="shared" si="154"/>
        <v>473.07886063559005</v>
      </c>
      <c r="K340" s="447">
        <f t="shared" si="154"/>
        <v>471.83804350631357</v>
      </c>
      <c r="L340" s="447">
        <f t="shared" si="154"/>
        <v>466.71583201043717</v>
      </c>
      <c r="M340" s="447">
        <f t="shared" si="154"/>
        <v>465.07934294728994</v>
      </c>
      <c r="N340" s="447">
        <f t="shared" si="154"/>
        <v>465.3325234585443</v>
      </c>
    </row>
    <row r="341" spans="1:14">
      <c r="B341" s="331" t="str">
        <f t="shared" si="153"/>
        <v>25-29</v>
      </c>
      <c r="C341" s="447">
        <f t="shared" ref="C341:N341" si="155">C304+C248</f>
        <v>626.13526070691273</v>
      </c>
      <c r="D341" s="447">
        <f t="shared" si="155"/>
        <v>633.31641629190028</v>
      </c>
      <c r="E341" s="447">
        <f t="shared" si="155"/>
        <v>651.57771926302303</v>
      </c>
      <c r="F341" s="447">
        <f t="shared" si="155"/>
        <v>672.49258661911028</v>
      </c>
      <c r="G341" s="447">
        <f t="shared" si="155"/>
        <v>693.15195994273165</v>
      </c>
      <c r="H341" s="447">
        <f t="shared" si="155"/>
        <v>711.69762595106567</v>
      </c>
      <c r="I341" s="447">
        <f t="shared" si="155"/>
        <v>734.13187518509994</v>
      </c>
      <c r="J341" s="447">
        <f t="shared" si="155"/>
        <v>747.90199209243951</v>
      </c>
      <c r="K341" s="447">
        <f t="shared" si="155"/>
        <v>752.48004636851363</v>
      </c>
      <c r="L341" s="447">
        <f t="shared" si="155"/>
        <v>751.10447253939037</v>
      </c>
      <c r="M341" s="447">
        <f t="shared" si="155"/>
        <v>751.19236306885171</v>
      </c>
      <c r="N341" s="447">
        <f t="shared" si="155"/>
        <v>752.38059370549786</v>
      </c>
    </row>
    <row r="342" spans="1:14">
      <c r="B342" s="331" t="str">
        <f t="shared" si="153"/>
        <v>30-34</v>
      </c>
      <c r="C342" s="447">
        <f t="shared" ref="C342:N342" si="156">C305+C249</f>
        <v>750.47622314603132</v>
      </c>
      <c r="D342" s="447">
        <f t="shared" si="156"/>
        <v>738.59953413397284</v>
      </c>
      <c r="E342" s="447">
        <f t="shared" si="156"/>
        <v>732.09695388256694</v>
      </c>
      <c r="F342" s="447">
        <f t="shared" si="156"/>
        <v>731.43277976327886</v>
      </c>
      <c r="G342" s="447">
        <f t="shared" si="156"/>
        <v>735.21086289028642</v>
      </c>
      <c r="H342" s="447">
        <f t="shared" si="156"/>
        <v>741.96353156391842</v>
      </c>
      <c r="I342" s="447">
        <f t="shared" si="156"/>
        <v>753.71506868246229</v>
      </c>
      <c r="J342" s="447">
        <f t="shared" si="156"/>
        <v>764.02103366506469</v>
      </c>
      <c r="K342" s="447">
        <f t="shared" si="156"/>
        <v>770.99097899557978</v>
      </c>
      <c r="L342" s="447">
        <f t="shared" si="156"/>
        <v>774.77980955193721</v>
      </c>
      <c r="M342" s="447">
        <f t="shared" si="156"/>
        <v>778.27049319075729</v>
      </c>
      <c r="N342" s="447">
        <f t="shared" si="156"/>
        <v>781.54812854103113</v>
      </c>
    </row>
    <row r="343" spans="1:14">
      <c r="B343" s="331" t="str">
        <f t="shared" si="153"/>
        <v>35-39</v>
      </c>
      <c r="C343" s="447">
        <f t="shared" ref="C343:N343" si="157">C306+C250</f>
        <v>865.42367147982566</v>
      </c>
      <c r="D343" s="447">
        <f t="shared" si="157"/>
        <v>835.98585820820449</v>
      </c>
      <c r="E343" s="447">
        <f t="shared" si="157"/>
        <v>812.05410987000573</v>
      </c>
      <c r="F343" s="447">
        <f t="shared" si="157"/>
        <v>793.94192723906315</v>
      </c>
      <c r="G343" s="447">
        <f t="shared" si="157"/>
        <v>780.70662437539386</v>
      </c>
      <c r="H343" s="447">
        <f t="shared" si="157"/>
        <v>771.73566624474358</v>
      </c>
      <c r="I343" s="447">
        <f t="shared" si="157"/>
        <v>768.86760215533741</v>
      </c>
      <c r="J343" s="447">
        <f t="shared" si="157"/>
        <v>767.11130677947688</v>
      </c>
      <c r="K343" s="447">
        <f t="shared" si="157"/>
        <v>765.39927757278963</v>
      </c>
      <c r="L343" s="447">
        <f t="shared" si="157"/>
        <v>763.81024573109187</v>
      </c>
      <c r="M343" s="447">
        <f t="shared" si="157"/>
        <v>764.05286833202422</v>
      </c>
      <c r="N343" s="447">
        <f t="shared" si="157"/>
        <v>765.40285767267108</v>
      </c>
    </row>
    <row r="344" spans="1:14">
      <c r="B344" s="331" t="str">
        <f t="shared" si="153"/>
        <v>40-44</v>
      </c>
      <c r="C344" s="447">
        <f t="shared" ref="C344:N344" si="158">C307+C251</f>
        <v>781.9091021832661</v>
      </c>
      <c r="D344" s="447">
        <f t="shared" si="158"/>
        <v>786.87892398136216</v>
      </c>
      <c r="E344" s="447">
        <f t="shared" si="158"/>
        <v>784.9558530236236</v>
      </c>
      <c r="F344" s="447">
        <f t="shared" si="158"/>
        <v>779.96179775066298</v>
      </c>
      <c r="G344" s="447">
        <f t="shared" si="158"/>
        <v>773.18340387842477</v>
      </c>
      <c r="H344" s="447">
        <f t="shared" si="158"/>
        <v>765.83490076459395</v>
      </c>
      <c r="I344" s="447">
        <f t="shared" si="158"/>
        <v>760.90629675955836</v>
      </c>
      <c r="J344" s="447">
        <f t="shared" si="158"/>
        <v>755.17037686140736</v>
      </c>
      <c r="K344" s="447">
        <f t="shared" si="158"/>
        <v>748.6021389839334</v>
      </c>
      <c r="L344" s="447">
        <f t="shared" si="158"/>
        <v>742.03446681299783</v>
      </c>
      <c r="M344" s="447">
        <f t="shared" si="158"/>
        <v>737.49225658291925</v>
      </c>
      <c r="N344" s="447">
        <f t="shared" si="158"/>
        <v>734.62150945758833</v>
      </c>
    </row>
    <row r="345" spans="1:14">
      <c r="B345" s="331" t="str">
        <f t="shared" si="153"/>
        <v>45-49</v>
      </c>
      <c r="C345" s="447">
        <f t="shared" ref="C345:N345" si="159">C308+C252</f>
        <v>608.52470908197313</v>
      </c>
      <c r="D345" s="447">
        <f t="shared" si="159"/>
        <v>623.90232015560025</v>
      </c>
      <c r="E345" s="447">
        <f t="shared" si="159"/>
        <v>635.51696332608356</v>
      </c>
      <c r="F345" s="447">
        <f t="shared" si="159"/>
        <v>644.52355471365922</v>
      </c>
      <c r="G345" s="447">
        <f t="shared" si="159"/>
        <v>650.39610499909463</v>
      </c>
      <c r="H345" s="447">
        <f t="shared" si="159"/>
        <v>653.53910237066407</v>
      </c>
      <c r="I345" s="447">
        <f t="shared" si="159"/>
        <v>656.24472702333173</v>
      </c>
      <c r="J345" s="447">
        <f t="shared" si="159"/>
        <v>656.06560497402802</v>
      </c>
      <c r="K345" s="447">
        <f t="shared" si="159"/>
        <v>653.28369097124585</v>
      </c>
      <c r="L345" s="447">
        <f t="shared" si="159"/>
        <v>648.94542716118906</v>
      </c>
      <c r="M345" s="447">
        <f t="shared" si="159"/>
        <v>645.08768922767001</v>
      </c>
      <c r="N345" s="447">
        <f t="shared" si="159"/>
        <v>641.8131031378324</v>
      </c>
    </row>
    <row r="346" spans="1:14">
      <c r="B346" s="331" t="str">
        <f t="shared" si="153"/>
        <v>50-54</v>
      </c>
      <c r="C346" s="447">
        <f t="shared" ref="C346:N346" si="160">C309+C253</f>
        <v>432.35284254873443</v>
      </c>
      <c r="D346" s="447">
        <f t="shared" si="160"/>
        <v>451.19882845444732</v>
      </c>
      <c r="E346" s="447">
        <f t="shared" si="160"/>
        <v>467.65238054499326</v>
      </c>
      <c r="F346" s="447">
        <f t="shared" si="160"/>
        <v>482.12371331472224</v>
      </c>
      <c r="G346" s="447">
        <f t="shared" si="160"/>
        <v>494.39065826326214</v>
      </c>
      <c r="H346" s="447">
        <f t="shared" si="160"/>
        <v>504.40481820603009</v>
      </c>
      <c r="I346" s="447">
        <f t="shared" si="160"/>
        <v>513.52074246113921</v>
      </c>
      <c r="J346" s="447">
        <f t="shared" si="160"/>
        <v>519.67942898429578</v>
      </c>
      <c r="K346" s="447">
        <f t="shared" si="160"/>
        <v>522.91317085937533</v>
      </c>
      <c r="L346" s="447">
        <f t="shared" si="160"/>
        <v>523.92297464099204</v>
      </c>
      <c r="M346" s="447">
        <f t="shared" si="160"/>
        <v>524.23768796613297</v>
      </c>
      <c r="N346" s="447">
        <f t="shared" si="160"/>
        <v>524.03581510842685</v>
      </c>
    </row>
    <row r="347" spans="1:14">
      <c r="B347" s="331" t="str">
        <f t="shared" si="153"/>
        <v>55-59</v>
      </c>
      <c r="C347" s="447">
        <f t="shared" ref="C347:N347" si="161">C310+C254</f>
        <v>236.7973813468214</v>
      </c>
      <c r="D347" s="447">
        <f t="shared" si="161"/>
        <v>224.29867995693536</v>
      </c>
      <c r="E347" s="447">
        <f t="shared" si="161"/>
        <v>219.84870027951933</v>
      </c>
      <c r="F347" s="447">
        <f t="shared" si="161"/>
        <v>219.84253331249857</v>
      </c>
      <c r="G347" s="447">
        <f t="shared" si="161"/>
        <v>222.1074562573281</v>
      </c>
      <c r="H347" s="447">
        <f t="shared" si="161"/>
        <v>225.34155735931645</v>
      </c>
      <c r="I347" s="447">
        <f t="shared" si="161"/>
        <v>229.61276376752605</v>
      </c>
      <c r="J347" s="447">
        <f t="shared" si="161"/>
        <v>232.92554568651454</v>
      </c>
      <c r="K347" s="447">
        <f t="shared" si="161"/>
        <v>235.05343869307575</v>
      </c>
      <c r="L347" s="447">
        <f t="shared" si="161"/>
        <v>236.27204585797597</v>
      </c>
      <c r="M347" s="447">
        <f t="shared" si="161"/>
        <v>237.39012559724623</v>
      </c>
      <c r="N347" s="447">
        <f t="shared" si="161"/>
        <v>238.27916488224966</v>
      </c>
    </row>
    <row r="348" spans="1:14">
      <c r="B348" s="331" t="str">
        <f t="shared" si="153"/>
        <v>60-64</v>
      </c>
      <c r="C348" s="447">
        <f t="shared" ref="C348:N348" si="162">C311+C255</f>
        <v>87.700614609976313</v>
      </c>
      <c r="D348" s="447">
        <f t="shared" si="162"/>
        <v>86.211040080292932</v>
      </c>
      <c r="E348" s="447">
        <f t="shared" si="162"/>
        <v>84.021357115004349</v>
      </c>
      <c r="F348" s="447">
        <f t="shared" si="162"/>
        <v>82.325751080381266</v>
      </c>
      <c r="G348" s="447">
        <f t="shared" si="162"/>
        <v>81.490741488188448</v>
      </c>
      <c r="H348" s="447">
        <f t="shared" si="162"/>
        <v>81.374402839583141</v>
      </c>
      <c r="I348" s="447">
        <f t="shared" si="162"/>
        <v>82.166855002620821</v>
      </c>
      <c r="J348" s="447">
        <f t="shared" si="162"/>
        <v>82.835076304913514</v>
      </c>
      <c r="K348" s="447">
        <f t="shared" si="162"/>
        <v>83.225730749818737</v>
      </c>
      <c r="L348" s="447">
        <f t="shared" si="162"/>
        <v>83.435890085803692</v>
      </c>
      <c r="M348" s="447">
        <f t="shared" si="162"/>
        <v>83.827585253409978</v>
      </c>
      <c r="N348" s="447">
        <f t="shared" si="162"/>
        <v>84.2680342432499</v>
      </c>
    </row>
    <row r="349" spans="1:14">
      <c r="B349" s="331" t="str">
        <f t="shared" si="153"/>
        <v>65 plus</v>
      </c>
      <c r="C349" s="447">
        <f t="shared" ref="C349:N349" si="163">C312+C256</f>
        <v>16.614663866229208</v>
      </c>
      <c r="D349" s="447">
        <f t="shared" si="163"/>
        <v>22.314825966749986</v>
      </c>
      <c r="E349" s="447">
        <f t="shared" si="163"/>
        <v>25.348044927270347</v>
      </c>
      <c r="F349" s="447">
        <f t="shared" si="163"/>
        <v>26.906987810299398</v>
      </c>
      <c r="G349" s="447">
        <f t="shared" si="163"/>
        <v>27.619347049132369</v>
      </c>
      <c r="H349" s="447">
        <f t="shared" si="163"/>
        <v>27.93788570657215</v>
      </c>
      <c r="I349" s="447">
        <f t="shared" si="163"/>
        <v>28.235733978107842</v>
      </c>
      <c r="J349" s="447">
        <f t="shared" si="163"/>
        <v>28.403755817534662</v>
      </c>
      <c r="K349" s="447">
        <f t="shared" si="163"/>
        <v>28.457366471070102</v>
      </c>
      <c r="L349" s="447">
        <f t="shared" si="163"/>
        <v>28.450222018598854</v>
      </c>
      <c r="M349" s="447">
        <f t="shared" si="163"/>
        <v>28.50682985005114</v>
      </c>
      <c r="N349" s="447">
        <f t="shared" si="163"/>
        <v>28.610526403897406</v>
      </c>
    </row>
    <row r="350" spans="1:14">
      <c r="B350" s="331" t="str">
        <f t="shared" si="153"/>
        <v>Total</v>
      </c>
      <c r="C350" s="447">
        <f t="shared" ref="C350:N350" si="164">SUM(C340:C349)</f>
        <v>4689.5936924291491</v>
      </c>
      <c r="D350" s="447">
        <f t="shared" si="164"/>
        <v>4741.8843903658744</v>
      </c>
      <c r="E350" s="447">
        <f t="shared" si="164"/>
        <v>4795.4463701798104</v>
      </c>
      <c r="F350" s="447">
        <f t="shared" si="164"/>
        <v>4845.7225659116748</v>
      </c>
      <c r="G350" s="447">
        <f t="shared" si="164"/>
        <v>4891.8601188341954</v>
      </c>
      <c r="H350" s="447">
        <f t="shared" si="164"/>
        <v>4932.6198575105045</v>
      </c>
      <c r="I350" s="447">
        <f t="shared" si="164"/>
        <v>4993.3873393057875</v>
      </c>
      <c r="J350" s="447">
        <f t="shared" si="164"/>
        <v>5027.1929818012659</v>
      </c>
      <c r="K350" s="447">
        <f t="shared" si="164"/>
        <v>5032.2438831717145</v>
      </c>
      <c r="L350" s="447">
        <f t="shared" si="164"/>
        <v>5019.4713864104133</v>
      </c>
      <c r="M350" s="447">
        <f t="shared" si="164"/>
        <v>5015.1372420163525</v>
      </c>
      <c r="N350" s="447">
        <f t="shared" si="164"/>
        <v>5016.2922566109874</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21">
      <c r="B353" s="334" t="s">
        <v>47</v>
      </c>
      <c r="C353" s="322"/>
      <c r="D353" s="322"/>
      <c r="E353" s="322"/>
      <c r="F353" s="322"/>
      <c r="G353" s="322"/>
      <c r="H353" s="332"/>
      <c r="I353" s="322"/>
      <c r="J353" s="322"/>
      <c r="K353" s="322"/>
      <c r="L353" s="322"/>
    </row>
    <row r="354" spans="1:21">
      <c r="C354" s="322"/>
      <c r="D354" s="322"/>
      <c r="E354" s="322"/>
      <c r="F354" s="322"/>
      <c r="G354" s="322"/>
      <c r="H354" s="332"/>
      <c r="I354" s="322"/>
      <c r="J354" s="322"/>
      <c r="K354" s="322"/>
      <c r="L354" s="322"/>
    </row>
    <row r="355" spans="1:21">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21">
      <c r="B356" s="331" t="str">
        <f t="shared" si="166"/>
        <v>20-24</v>
      </c>
      <c r="C356" s="447">
        <f t="shared" ref="C356:N356" si="168">C319+C263</f>
        <v>514.99453236784109</v>
      </c>
      <c r="D356" s="447">
        <f t="shared" si="168"/>
        <v>548.03535092350626</v>
      </c>
      <c r="E356" s="447">
        <f t="shared" si="168"/>
        <v>578.34623648492618</v>
      </c>
      <c r="F356" s="447">
        <f t="shared" si="168"/>
        <v>597.91831907774463</v>
      </c>
      <c r="G356" s="447">
        <f t="shared" si="168"/>
        <v>612.73839690155933</v>
      </c>
      <c r="H356" s="447">
        <f t="shared" si="168"/>
        <v>623.62143224518491</v>
      </c>
      <c r="I356" s="447">
        <f t="shared" si="168"/>
        <v>639.97206359654967</v>
      </c>
      <c r="J356" s="447">
        <f t="shared" si="168"/>
        <v>645.20287509631021</v>
      </c>
      <c r="K356" s="447">
        <f t="shared" si="168"/>
        <v>640.8773118852248</v>
      </c>
      <c r="L356" s="447">
        <f t="shared" si="168"/>
        <v>632.29587203648578</v>
      </c>
      <c r="M356" s="447">
        <f t="shared" si="168"/>
        <v>628.75735694955677</v>
      </c>
      <c r="N356" s="447">
        <f t="shared" si="168"/>
        <v>628.07831834045044</v>
      </c>
      <c r="O356" s="320"/>
      <c r="P356" s="320"/>
      <c r="Q356" s="320"/>
      <c r="R356" s="320"/>
      <c r="S356" s="320"/>
      <c r="T356" s="320"/>
      <c r="U356" s="320"/>
    </row>
    <row r="357" spans="1:21">
      <c r="B357" s="331" t="str">
        <f t="shared" si="166"/>
        <v>25-29</v>
      </c>
      <c r="C357" s="447">
        <f t="shared" ref="C357:N357" si="169">C320+C264</f>
        <v>1117.637422782607</v>
      </c>
      <c r="D357" s="447">
        <f t="shared" si="169"/>
        <v>1076.0670115680552</v>
      </c>
      <c r="E357" s="447">
        <f t="shared" si="169"/>
        <v>1058.6917113916122</v>
      </c>
      <c r="F357" s="447">
        <f t="shared" si="169"/>
        <v>1049.3453785418478</v>
      </c>
      <c r="G357" s="447">
        <f t="shared" si="169"/>
        <v>1047.3174618148487</v>
      </c>
      <c r="H357" s="447">
        <f t="shared" si="169"/>
        <v>1049.0141531494191</v>
      </c>
      <c r="I357" s="447">
        <f t="shared" si="169"/>
        <v>1061.0502170859784</v>
      </c>
      <c r="J357" s="447">
        <f t="shared" si="169"/>
        <v>1066.1199554974589</v>
      </c>
      <c r="K357" s="447">
        <f t="shared" si="169"/>
        <v>1062.4821943109516</v>
      </c>
      <c r="L357" s="447">
        <f t="shared" si="169"/>
        <v>1053.4723359998618</v>
      </c>
      <c r="M357" s="447">
        <f t="shared" si="169"/>
        <v>1048.093580954883</v>
      </c>
      <c r="N357" s="447">
        <f t="shared" si="169"/>
        <v>1045.4930450110014</v>
      </c>
      <c r="O357" s="320"/>
      <c r="P357" s="320"/>
      <c r="Q357" s="320"/>
      <c r="R357" s="320"/>
      <c r="S357" s="320"/>
      <c r="T357" s="320"/>
      <c r="U357" s="320"/>
    </row>
    <row r="358" spans="1:21">
      <c r="B358" s="331" t="str">
        <f t="shared" si="166"/>
        <v>30-34</v>
      </c>
      <c r="C358" s="447">
        <f t="shared" ref="C358:N358" si="170">C321+C265</f>
        <v>1134.8056654156233</v>
      </c>
      <c r="D358" s="447">
        <f t="shared" si="170"/>
        <v>1119.4940877101549</v>
      </c>
      <c r="E358" s="447">
        <f t="shared" si="170"/>
        <v>1103.1546352042765</v>
      </c>
      <c r="F358" s="447">
        <f t="shared" si="170"/>
        <v>1086.350886814502</v>
      </c>
      <c r="G358" s="447">
        <f t="shared" si="170"/>
        <v>1073.0761476793496</v>
      </c>
      <c r="H358" s="447">
        <f t="shared" si="170"/>
        <v>1063.3669225946726</v>
      </c>
      <c r="I358" s="447">
        <f t="shared" si="170"/>
        <v>1061.0785624047546</v>
      </c>
      <c r="J358" s="447">
        <f t="shared" si="170"/>
        <v>1058.4425951497126</v>
      </c>
      <c r="K358" s="447">
        <f t="shared" si="170"/>
        <v>1053.4021460514159</v>
      </c>
      <c r="L358" s="447">
        <f t="shared" si="170"/>
        <v>1046.2876193911616</v>
      </c>
      <c r="M358" s="447">
        <f t="shared" si="170"/>
        <v>1040.7717399619341</v>
      </c>
      <c r="N358" s="447">
        <f t="shared" si="170"/>
        <v>1036.7256623412754</v>
      </c>
      <c r="O358" s="320"/>
      <c r="P358" s="320"/>
      <c r="Q358" s="320"/>
      <c r="R358" s="320"/>
      <c r="S358" s="320"/>
      <c r="T358" s="320"/>
      <c r="U358" s="320"/>
    </row>
    <row r="359" spans="1:21">
      <c r="B359" s="331" t="str">
        <f t="shared" si="166"/>
        <v>35-39</v>
      </c>
      <c r="C359" s="447">
        <f t="shared" ref="C359:N359" si="171">C322+C266</f>
        <v>1119.0383548213908</v>
      </c>
      <c r="D359" s="447">
        <f t="shared" si="171"/>
        <v>1095.7964665314057</v>
      </c>
      <c r="E359" s="447">
        <f t="shared" si="171"/>
        <v>1077.4426040419894</v>
      </c>
      <c r="F359" s="447">
        <f t="shared" si="171"/>
        <v>1059.4854641596812</v>
      </c>
      <c r="G359" s="447">
        <f t="shared" si="171"/>
        <v>1043.746680597247</v>
      </c>
      <c r="H359" s="447">
        <f t="shared" si="171"/>
        <v>1030.0392771494071</v>
      </c>
      <c r="I359" s="447">
        <f t="shared" si="171"/>
        <v>1021.5714597738069</v>
      </c>
      <c r="J359" s="447">
        <f t="shared" si="171"/>
        <v>1012.6271990566609</v>
      </c>
      <c r="K359" s="447">
        <f t="shared" si="171"/>
        <v>1002.6055671916411</v>
      </c>
      <c r="L359" s="447">
        <f t="shared" si="171"/>
        <v>992.28235445324628</v>
      </c>
      <c r="M359" s="447">
        <f t="shared" si="171"/>
        <v>984.39362130391908</v>
      </c>
      <c r="N359" s="447">
        <f t="shared" si="171"/>
        <v>978.31655617683953</v>
      </c>
      <c r="O359" s="320"/>
      <c r="P359" s="320"/>
      <c r="Q359" s="320"/>
      <c r="R359" s="320"/>
      <c r="S359" s="320"/>
      <c r="T359" s="320"/>
      <c r="U359" s="320"/>
    </row>
    <row r="360" spans="1:21">
      <c r="B360" s="331" t="str">
        <f t="shared" si="166"/>
        <v>40-44</v>
      </c>
      <c r="C360" s="447">
        <f t="shared" ref="C360:N360" si="172">C323+C267</f>
        <v>902.6705097042634</v>
      </c>
      <c r="D360" s="447">
        <f t="shared" si="172"/>
        <v>928.09243964240159</v>
      </c>
      <c r="E360" s="447">
        <f t="shared" si="172"/>
        <v>943.75991218833292</v>
      </c>
      <c r="F360" s="447">
        <f t="shared" si="172"/>
        <v>950.52793385962798</v>
      </c>
      <c r="G360" s="447">
        <f t="shared" si="172"/>
        <v>952.55467831860017</v>
      </c>
      <c r="H360" s="447">
        <f t="shared" si="172"/>
        <v>951.31974220948075</v>
      </c>
      <c r="I360" s="447">
        <f t="shared" si="172"/>
        <v>950.74001020909782</v>
      </c>
      <c r="J360" s="447">
        <f t="shared" si="172"/>
        <v>946.74435148943985</v>
      </c>
      <c r="K360" s="447">
        <f t="shared" si="172"/>
        <v>939.58832653351112</v>
      </c>
      <c r="L360" s="447">
        <f t="shared" si="172"/>
        <v>930.714278588311</v>
      </c>
      <c r="M360" s="447">
        <f t="shared" si="172"/>
        <v>923.13310094321116</v>
      </c>
      <c r="N360" s="447">
        <f t="shared" si="172"/>
        <v>916.72483058023215</v>
      </c>
      <c r="O360" s="320"/>
      <c r="P360" s="320"/>
      <c r="Q360" s="320"/>
      <c r="R360" s="320"/>
      <c r="S360" s="320"/>
      <c r="T360" s="320"/>
      <c r="U360" s="320"/>
    </row>
    <row r="361" spans="1:21">
      <c r="B361" s="331" t="str">
        <f t="shared" si="166"/>
        <v>45-49</v>
      </c>
      <c r="C361" s="447">
        <f t="shared" ref="C361:N361" si="173">C324+C268</f>
        <v>596.99859507604185</v>
      </c>
      <c r="D361" s="447">
        <f t="shared" si="173"/>
        <v>648.58723465838511</v>
      </c>
      <c r="E361" s="447">
        <f t="shared" si="173"/>
        <v>691.91201292166227</v>
      </c>
      <c r="F361" s="447">
        <f t="shared" si="173"/>
        <v>725.21749446915612</v>
      </c>
      <c r="G361" s="447">
        <f t="shared" si="173"/>
        <v>750.95937795610735</v>
      </c>
      <c r="H361" s="447">
        <f t="shared" si="173"/>
        <v>770.17953718276533</v>
      </c>
      <c r="I361" s="447">
        <f t="shared" si="173"/>
        <v>786.21653839946634</v>
      </c>
      <c r="J361" s="447">
        <f t="shared" si="173"/>
        <v>796.14476792730466</v>
      </c>
      <c r="K361" s="447">
        <f t="shared" si="173"/>
        <v>800.54748044882558</v>
      </c>
      <c r="L361" s="447">
        <f t="shared" si="173"/>
        <v>800.99579150266766</v>
      </c>
      <c r="M361" s="447">
        <f t="shared" si="173"/>
        <v>800.35608407608947</v>
      </c>
      <c r="N361" s="447">
        <f t="shared" si="173"/>
        <v>798.9836740554781</v>
      </c>
      <c r="O361" s="320"/>
      <c r="P361" s="320"/>
      <c r="Q361" s="320"/>
      <c r="R361" s="320"/>
      <c r="S361" s="320"/>
      <c r="T361" s="320"/>
      <c r="U361" s="320"/>
    </row>
    <row r="362" spans="1:21">
      <c r="B362" s="331" t="str">
        <f t="shared" si="166"/>
        <v>50-54</v>
      </c>
      <c r="C362" s="447">
        <f t="shared" ref="C362:N362" si="174">C325+C269</f>
        <v>381.37040592858892</v>
      </c>
      <c r="D362" s="447">
        <f t="shared" si="174"/>
        <v>413.30602777784435</v>
      </c>
      <c r="E362" s="447">
        <f t="shared" si="174"/>
        <v>446.07698931536999</v>
      </c>
      <c r="F362" s="447">
        <f t="shared" si="174"/>
        <v>476.29462817553554</v>
      </c>
      <c r="G362" s="447">
        <f t="shared" si="174"/>
        <v>503.8382271473252</v>
      </c>
      <c r="H362" s="447">
        <f t="shared" si="174"/>
        <v>528.02736368681974</v>
      </c>
      <c r="I362" s="447">
        <f t="shared" si="174"/>
        <v>550.27734252373193</v>
      </c>
      <c r="J362" s="447">
        <f t="shared" si="174"/>
        <v>567.68867201068099</v>
      </c>
      <c r="K362" s="447">
        <f t="shared" si="174"/>
        <v>580.24423210896475</v>
      </c>
      <c r="L362" s="447">
        <f t="shared" si="174"/>
        <v>588.85072090861559</v>
      </c>
      <c r="M362" s="447">
        <f t="shared" si="174"/>
        <v>595.51250666363569</v>
      </c>
      <c r="N362" s="447">
        <f t="shared" si="174"/>
        <v>600.47177839875496</v>
      </c>
      <c r="O362" s="320"/>
      <c r="P362" s="320"/>
      <c r="Q362" s="320"/>
      <c r="R362" s="320"/>
      <c r="S362" s="320"/>
      <c r="T362" s="320"/>
      <c r="U362" s="320"/>
    </row>
    <row r="363" spans="1:21">
      <c r="B363" s="331" t="str">
        <f t="shared" si="166"/>
        <v>55-59</v>
      </c>
      <c r="C363" s="447">
        <f t="shared" ref="C363:N363" si="175">C326+C270</f>
        <v>247.44108363806936</v>
      </c>
      <c r="D363" s="447">
        <f t="shared" si="175"/>
        <v>233.33821107783271</v>
      </c>
      <c r="E363" s="447">
        <f t="shared" si="175"/>
        <v>230.35268642549971</v>
      </c>
      <c r="F363" s="447">
        <f t="shared" si="175"/>
        <v>233.2289143636313</v>
      </c>
      <c r="G363" s="447">
        <f t="shared" si="175"/>
        <v>239.74498010181222</v>
      </c>
      <c r="H363" s="447">
        <f t="shared" si="175"/>
        <v>248.0013893746135</v>
      </c>
      <c r="I363" s="447">
        <f t="shared" si="175"/>
        <v>257.84302412042746</v>
      </c>
      <c r="J363" s="447">
        <f t="shared" si="175"/>
        <v>266.47835869400592</v>
      </c>
      <c r="K363" s="447">
        <f t="shared" si="175"/>
        <v>273.41487324279217</v>
      </c>
      <c r="L363" s="447">
        <f t="shared" si="175"/>
        <v>278.87730970495591</v>
      </c>
      <c r="M363" s="447">
        <f t="shared" si="175"/>
        <v>283.84352660821389</v>
      </c>
      <c r="N363" s="447">
        <f t="shared" si="175"/>
        <v>288.12436262366282</v>
      </c>
      <c r="O363" s="320"/>
      <c r="P363" s="320"/>
      <c r="Q363" s="320"/>
      <c r="R363" s="320"/>
      <c r="S363" s="320"/>
      <c r="T363" s="320"/>
      <c r="U363" s="320"/>
    </row>
    <row r="364" spans="1:21">
      <c r="B364" s="331" t="str">
        <f t="shared" si="166"/>
        <v>60-64</v>
      </c>
      <c r="C364" s="447">
        <f t="shared" ref="C364:N364" si="176">C327+C271</f>
        <v>85.503157435923569</v>
      </c>
      <c r="D364" s="447">
        <f t="shared" si="176"/>
        <v>86.89486121226912</v>
      </c>
      <c r="E364" s="447">
        <f t="shared" si="176"/>
        <v>86.214620079605396</v>
      </c>
      <c r="F364" s="447">
        <f t="shared" si="176"/>
        <v>85.346653037957907</v>
      </c>
      <c r="G364" s="447">
        <f t="shared" si="176"/>
        <v>85.341881442382544</v>
      </c>
      <c r="H364" s="447">
        <f t="shared" si="176"/>
        <v>86.198316733838951</v>
      </c>
      <c r="I364" s="447">
        <f t="shared" si="176"/>
        <v>88.240064048428735</v>
      </c>
      <c r="J364" s="447">
        <f t="shared" si="176"/>
        <v>90.126413593219141</v>
      </c>
      <c r="K364" s="447">
        <f t="shared" si="176"/>
        <v>91.667715093225112</v>
      </c>
      <c r="L364" s="447">
        <f t="shared" si="176"/>
        <v>92.974699708305835</v>
      </c>
      <c r="M364" s="447">
        <f t="shared" si="176"/>
        <v>94.490031655021582</v>
      </c>
      <c r="N364" s="447">
        <f t="shared" si="176"/>
        <v>96.004931619621274</v>
      </c>
      <c r="O364" s="320"/>
      <c r="P364" s="320"/>
      <c r="Q364" s="320"/>
      <c r="R364" s="320"/>
      <c r="S364" s="320"/>
      <c r="T364" s="320"/>
      <c r="U364" s="320"/>
    </row>
    <row r="365" spans="1:21">
      <c r="B365" s="331" t="str">
        <f t="shared" si="166"/>
        <v>65 plus</v>
      </c>
      <c r="C365" s="447">
        <f t="shared" ref="C365:N365" si="177">C328+C272</f>
        <v>13.025662825876054</v>
      </c>
      <c r="D365" s="447">
        <f t="shared" si="177"/>
        <v>22.477749910191331</v>
      </c>
      <c r="E365" s="447">
        <f t="shared" si="177"/>
        <v>28.675759284180913</v>
      </c>
      <c r="F365" s="447">
        <f t="shared" si="177"/>
        <v>32.397576241217998</v>
      </c>
      <c r="G365" s="447">
        <f t="shared" si="177"/>
        <v>34.635046483287972</v>
      </c>
      <c r="H365" s="447">
        <f t="shared" si="177"/>
        <v>36.041535817948116</v>
      </c>
      <c r="I365" s="447">
        <f t="shared" si="177"/>
        <v>37.19534957696888</v>
      </c>
      <c r="J365" s="447">
        <f t="shared" si="177"/>
        <v>38.050873968284023</v>
      </c>
      <c r="K365" s="447">
        <f t="shared" si="177"/>
        <v>38.666635524394152</v>
      </c>
      <c r="L365" s="447">
        <f t="shared" si="177"/>
        <v>39.136647276910253</v>
      </c>
      <c r="M365" s="447">
        <f t="shared" si="177"/>
        <v>39.641232427010451</v>
      </c>
      <c r="N365" s="447">
        <f t="shared" si="177"/>
        <v>40.180423251310394</v>
      </c>
      <c r="O365" s="320"/>
      <c r="P365" s="320"/>
      <c r="Q365" s="320"/>
      <c r="R365" s="320"/>
      <c r="S365" s="320"/>
      <c r="T365" s="320"/>
      <c r="U365" s="320"/>
    </row>
    <row r="366" spans="1:21">
      <c r="B366" s="331" t="str">
        <f t="shared" si="166"/>
        <v>Total</v>
      </c>
      <c r="C366" s="447">
        <f t="shared" ref="C366:N366" si="178">SUM(C356:C365)</f>
        <v>6113.4853899962254</v>
      </c>
      <c r="D366" s="447">
        <f t="shared" si="178"/>
        <v>6172.0894410120472</v>
      </c>
      <c r="E366" s="447">
        <f t="shared" si="178"/>
        <v>6244.6271673374558</v>
      </c>
      <c r="F366" s="447">
        <f t="shared" si="178"/>
        <v>6296.1132487409041</v>
      </c>
      <c r="G366" s="447">
        <f t="shared" si="178"/>
        <v>6343.9528784425192</v>
      </c>
      <c r="H366" s="447">
        <f t="shared" si="178"/>
        <v>6385.80967014415</v>
      </c>
      <c r="I366" s="447">
        <f t="shared" si="178"/>
        <v>6454.1846317392101</v>
      </c>
      <c r="J366" s="447">
        <f t="shared" si="178"/>
        <v>6487.6260624830766</v>
      </c>
      <c r="K366" s="447">
        <f t="shared" si="178"/>
        <v>6483.4964823909468</v>
      </c>
      <c r="L366" s="447">
        <f t="shared" si="178"/>
        <v>6455.8876295705222</v>
      </c>
      <c r="M366" s="447">
        <f t="shared" si="178"/>
        <v>6438.9927815434758</v>
      </c>
      <c r="N366" s="447">
        <f t="shared" si="178"/>
        <v>6429.1035823986267</v>
      </c>
      <c r="O366" s="320"/>
      <c r="P366" s="320"/>
      <c r="Q366" s="320"/>
      <c r="R366" s="320"/>
      <c r="S366" s="320"/>
      <c r="T366" s="320"/>
      <c r="U366" s="320"/>
    </row>
    <row r="367" spans="1:21">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21">
      <c r="C368" s="322">
        <f>C350+C366</f>
        <v>10803.079082425375</v>
      </c>
      <c r="D368" s="322">
        <f t="shared" ref="D368:N368" si="180">D350+D366</f>
        <v>10913.973831377922</v>
      </c>
      <c r="E368" s="322">
        <f t="shared" si="180"/>
        <v>11040.073537517266</v>
      </c>
      <c r="F368" s="322">
        <f t="shared" si="180"/>
        <v>11141.835814652579</v>
      </c>
      <c r="G368" s="322">
        <f t="shared" si="180"/>
        <v>11235.812997276715</v>
      </c>
      <c r="H368" s="322">
        <f t="shared" si="180"/>
        <v>11318.429527654655</v>
      </c>
      <c r="I368" s="322">
        <f t="shared" si="180"/>
        <v>11447.571971044998</v>
      </c>
      <c r="J368" s="322">
        <f t="shared" si="180"/>
        <v>11514.819044284342</v>
      </c>
      <c r="K368" s="322">
        <f t="shared" si="180"/>
        <v>11515.740365562662</v>
      </c>
      <c r="L368" s="322">
        <f t="shared" si="180"/>
        <v>11475.359015980936</v>
      </c>
      <c r="M368" s="322">
        <f t="shared" si="180"/>
        <v>11454.130023559828</v>
      </c>
      <c r="N368" s="322">
        <f t="shared" si="180"/>
        <v>11445.395839009614</v>
      </c>
    </row>
    <row r="369" spans="1:14">
      <c r="C369" s="322">
        <f t="shared" ref="C369:N369" si="181">C36</f>
        <v>10803.079082425373</v>
      </c>
      <c r="D369" s="322">
        <f t="shared" si="181"/>
        <v>10913.97383137792</v>
      </c>
      <c r="E369" s="322">
        <f t="shared" si="181"/>
        <v>11040.073537517266</v>
      </c>
      <c r="F369" s="322">
        <f t="shared" si="181"/>
        <v>11141.835814652577</v>
      </c>
      <c r="G369" s="322">
        <f t="shared" si="181"/>
        <v>11235.812997276715</v>
      </c>
      <c r="H369" s="322">
        <f t="shared" si="181"/>
        <v>11318.429527654655</v>
      </c>
      <c r="I369" s="322">
        <f t="shared" si="181"/>
        <v>11447.571971044999</v>
      </c>
      <c r="J369" s="322">
        <f t="shared" si="181"/>
        <v>11514.819044284342</v>
      </c>
      <c r="K369" s="322">
        <f t="shared" si="181"/>
        <v>11515.740365562662</v>
      </c>
      <c r="L369" s="322">
        <f t="shared" si="181"/>
        <v>11475.359015980936</v>
      </c>
      <c r="M369" s="322">
        <f t="shared" si="181"/>
        <v>11454.130023559828</v>
      </c>
      <c r="N369" s="322">
        <f t="shared" si="181"/>
        <v>11445.395839009616</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S371"/>
  <sheetViews>
    <sheetView showGridLines="0" workbookViewId="0"/>
  </sheetViews>
  <sheetFormatPr defaultColWidth="9.140625" defaultRowHeight="12.75"/>
  <cols>
    <col min="1" max="1" width="9.140625" style="302"/>
    <col min="2" max="2" width="28.7109375" style="302" customWidth="1"/>
    <col min="3" max="15" width="10.7109375" style="302" customWidth="1"/>
    <col min="16"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277</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Forecast_stock_figures!B27</f>
        <v>History</v>
      </c>
      <c r="C15" s="300">
        <f>Forecast_stock_figures!C51</f>
        <v>11356.501735842625</v>
      </c>
      <c r="D15" s="300">
        <f>Forecast_stock_figures!D51</f>
        <v>11478.78528353108</v>
      </c>
      <c r="E15" s="300">
        <f>Forecast_stock_figures!E51</f>
        <v>11581.968504481012</v>
      </c>
      <c r="F15" s="300">
        <f>Forecast_stock_figures!F51</f>
        <v>11702.36853693105</v>
      </c>
      <c r="G15" s="300">
        <f>Forecast_stock_figures!G51</f>
        <v>11805.823561991971</v>
      </c>
      <c r="H15" s="300">
        <f>Forecast_stock_figures!H51</f>
        <v>11905.04406842778</v>
      </c>
      <c r="I15" s="300">
        <f>Forecast_stock_figures!I51</f>
        <v>11996.878419563651</v>
      </c>
      <c r="J15" s="300">
        <f>Forecast_stock_figures!J51</f>
        <v>12135.936933273137</v>
      </c>
      <c r="K15" s="300">
        <f>Forecast_stock_figures!K51</f>
        <v>12213.749991184312</v>
      </c>
      <c r="L15" s="300">
        <f>Forecast_stock_figures!L51</f>
        <v>12222.822653396182</v>
      </c>
      <c r="M15" s="300">
        <f>Forecast_stock_figures!M51</f>
        <v>12188.797624594896</v>
      </c>
      <c r="N15" s="300">
        <f>Forecast_stock_figures!N51</f>
        <v>12171.21671946704</v>
      </c>
    </row>
    <row r="17" spans="1:9" ht="15.75">
      <c r="B17" s="333" t="s">
        <v>162</v>
      </c>
    </row>
    <row r="19" spans="1:9">
      <c r="B19" s="1327" t="str">
        <f>Stock_ages_breakdowns!B73</f>
        <v>Age group</v>
      </c>
      <c r="C19" s="1328" t="str">
        <f>Stock_ages_breakdowns!Y73</f>
        <v>History</v>
      </c>
      <c r="D19" s="1329"/>
      <c r="H19" s="318" t="s">
        <v>133</v>
      </c>
    </row>
    <row r="20" spans="1:9">
      <c r="B20" s="1327"/>
      <c r="C20" s="356" t="str">
        <f>Stock_ages_breakdowns!Y74</f>
        <v>Male</v>
      </c>
      <c r="D20" s="356" t="str">
        <f>Stock_ages_breakdowns!Z74</f>
        <v>Female</v>
      </c>
    </row>
    <row r="21" spans="1:9">
      <c r="B21" s="356" t="str">
        <f>Stock_ages_breakdowns!B75</f>
        <v>20-24</v>
      </c>
      <c r="C21" s="324">
        <f>Stock_ages_breakdowns!Y20</f>
        <v>248.46633076271962</v>
      </c>
      <c r="D21" s="324">
        <f>Stock_ages_breakdowns!Z20</f>
        <v>442.14496559668606</v>
      </c>
    </row>
    <row r="22" spans="1:9">
      <c r="B22" s="356" t="str">
        <f>Stock_ages_breakdowns!B76</f>
        <v>25-29</v>
      </c>
      <c r="C22" s="324">
        <f>Stock_ages_breakdowns!Y21</f>
        <v>787.51318537977943</v>
      </c>
      <c r="D22" s="324">
        <f>Stock_ages_breakdowns!Z21</f>
        <v>1295.8398855962216</v>
      </c>
    </row>
    <row r="23" spans="1:9">
      <c r="B23" s="356" t="str">
        <f>Stock_ages_breakdowns!B77</f>
        <v>30-34</v>
      </c>
      <c r="C23" s="324">
        <f>Stock_ages_breakdowns!Y22</f>
        <v>940.81962056051793</v>
      </c>
      <c r="D23" s="324">
        <f>Stock_ages_breakdowns!Z22</f>
        <v>1187.718157228684</v>
      </c>
    </row>
    <row r="24" spans="1:9">
      <c r="B24" s="356" t="str">
        <f>Stock_ages_breakdowns!B78</f>
        <v>35-39</v>
      </c>
      <c r="C24" s="324">
        <f>Stock_ages_breakdowns!Y23</f>
        <v>843.60937867863549</v>
      </c>
      <c r="D24" s="324">
        <f>Stock_ages_breakdowns!Z23</f>
        <v>1156.4103303290228</v>
      </c>
    </row>
    <row r="25" spans="1:9">
      <c r="B25" s="356" t="str">
        <f>Stock_ages_breakdowns!B79</f>
        <v>40-44</v>
      </c>
      <c r="C25" s="324">
        <f>Stock_ages_breakdowns!Y24</f>
        <v>752.37697749827146</v>
      </c>
      <c r="D25" s="324">
        <f>Stock_ages_breakdowns!Z24</f>
        <v>868.99643017907079</v>
      </c>
    </row>
    <row r="26" spans="1:9">
      <c r="B26" s="356" t="str">
        <f>Stock_ages_breakdowns!B80</f>
        <v>45-49</v>
      </c>
      <c r="C26" s="324">
        <f>Stock_ages_breakdowns!Y25</f>
        <v>638.39654476207136</v>
      </c>
      <c r="D26" s="324">
        <f>Stock_ages_breakdowns!Z25</f>
        <v>613.61418523680209</v>
      </c>
    </row>
    <row r="27" spans="1:9">
      <c r="B27" s="356" t="str">
        <f>Stock_ages_breakdowns!B81</f>
        <v>50-54</v>
      </c>
      <c r="C27" s="324">
        <f>Stock_ages_breakdowns!Y26</f>
        <v>440.91255529630604</v>
      </c>
      <c r="D27" s="324">
        <f>Stock_ages_breakdowns!Z26</f>
        <v>385.44608261397229</v>
      </c>
    </row>
    <row r="28" spans="1:9">
      <c r="B28" s="356" t="str">
        <f>Stock_ages_breakdowns!B82</f>
        <v>55-59</v>
      </c>
      <c r="C28" s="324">
        <f>Stock_ages_breakdowns!Y27</f>
        <v>276.46036554681825</v>
      </c>
      <c r="D28" s="324">
        <f>Stock_ages_breakdowns!Z27</f>
        <v>300.19953130036043</v>
      </c>
    </row>
    <row r="29" spans="1:9">
      <c r="B29" s="356" t="str">
        <f>Stock_ages_breakdowns!B83</f>
        <v>60-64</v>
      </c>
      <c r="C29" s="324">
        <f>Stock_ages_breakdowns!Y28</f>
        <v>75.433321610667306</v>
      </c>
      <c r="D29" s="324">
        <f>Stock_ages_breakdowns!Z28</f>
        <v>93.967531107771165</v>
      </c>
      <c r="F29" s="318"/>
    </row>
    <row r="30" spans="1:9">
      <c r="B30" s="356" t="str">
        <f>Stock_ages_breakdowns!B84</f>
        <v>65 plus</v>
      </c>
      <c r="C30" s="324">
        <f>Stock_ages_breakdowns!Y29</f>
        <v>8.1763565582481057</v>
      </c>
      <c r="D30" s="324">
        <f>Stock_ages_breakdowns!Z29</f>
        <v>0</v>
      </c>
      <c r="G30" s="319" t="s">
        <v>46</v>
      </c>
      <c r="H30" s="319" t="s">
        <v>47</v>
      </c>
    </row>
    <row r="31" spans="1:9">
      <c r="A31" s="302">
        <f>I31</f>
        <v>0</v>
      </c>
      <c r="B31" s="356" t="str">
        <f>Stock_ages_breakdowns!B85</f>
        <v>Total</v>
      </c>
      <c r="C31" s="324">
        <f>Stock_ages_breakdowns!Y30</f>
        <v>5012.1646366540344</v>
      </c>
      <c r="D31" s="324">
        <f>Stock_ages_breakdowns!Z30</f>
        <v>6344.3370991885904</v>
      </c>
      <c r="E31" s="320">
        <f>SUM(C31:D31)</f>
        <v>11356.501735842625</v>
      </c>
      <c r="G31" s="359">
        <f>C31/$E$31</f>
        <v>0.44134758689244757</v>
      </c>
      <c r="H31" s="359">
        <f>D31/$E$31</f>
        <v>0.55865241310755243</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9" t="str">
        <f>B15</f>
        <v>History</v>
      </c>
      <c r="C36" s="300">
        <f>Teacher_need_by_subject!C634</f>
        <v>11478.78528353108</v>
      </c>
      <c r="D36" s="300">
        <f>Teacher_need_by_subject!D634</f>
        <v>11581.968504481012</v>
      </c>
      <c r="E36" s="300">
        <f>Teacher_need_by_subject!E634</f>
        <v>11702.36853693105</v>
      </c>
      <c r="F36" s="300">
        <f>Teacher_need_by_subject!F634</f>
        <v>11805.823561991971</v>
      </c>
      <c r="G36" s="300">
        <f>Teacher_need_by_subject!G634</f>
        <v>11905.04406842778</v>
      </c>
      <c r="H36" s="300">
        <f>Teacher_need_by_subject!H634</f>
        <v>11996.878419563651</v>
      </c>
      <c r="I36" s="300">
        <f>Teacher_need_by_subject!I634</f>
        <v>12135.936933273137</v>
      </c>
      <c r="J36" s="300">
        <f>Teacher_need_by_subject!J634</f>
        <v>12213.749991184312</v>
      </c>
      <c r="K36" s="300">
        <f>Teacher_need_by_subject!K634</f>
        <v>12222.822653396182</v>
      </c>
      <c r="L36" s="300">
        <f>Teacher_need_by_subject!L634</f>
        <v>12188.797624594896</v>
      </c>
      <c r="M36" s="300">
        <f>Teacher_need_by_subject!M634</f>
        <v>12171.21671946704</v>
      </c>
      <c r="N36" s="300">
        <f>Teacher_need_by_subject!N634</f>
        <v>12163.2752523872</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248.46633076271962</v>
      </c>
      <c r="D43" s="300">
        <f>C340</f>
        <v>325.76659985999993</v>
      </c>
      <c r="E43" s="300">
        <f t="shared" ref="E43:L43" si="2">D340</f>
        <v>378.59932823340512</v>
      </c>
      <c r="F43" s="300">
        <f t="shared" si="2"/>
        <v>420.10059809708093</v>
      </c>
      <c r="G43" s="300">
        <f t="shared" si="2"/>
        <v>449.43314938000645</v>
      </c>
      <c r="H43" s="300">
        <f t="shared" si="2"/>
        <v>470.89600309715615</v>
      </c>
      <c r="I43" s="300">
        <f t="shared" si="2"/>
        <v>486.54472493143584</v>
      </c>
      <c r="J43" s="300">
        <f t="shared" si="2"/>
        <v>504.28399561211813</v>
      </c>
      <c r="K43" s="300">
        <f t="shared" si="2"/>
        <v>511.8100720568051</v>
      </c>
      <c r="L43" s="300">
        <f t="shared" si="2"/>
        <v>510.57779007913183</v>
      </c>
      <c r="M43" s="300">
        <f>L340</f>
        <v>505.25276612339815</v>
      </c>
      <c r="N43" s="300">
        <f>M340</f>
        <v>503.25268645551324</v>
      </c>
    </row>
    <row r="44" spans="2:14">
      <c r="B44" s="356" t="str">
        <f t="shared" ref="B44:C53" si="3">B22</f>
        <v>25-29</v>
      </c>
      <c r="C44" s="300">
        <f t="shared" si="3"/>
        <v>787.51318537977943</v>
      </c>
      <c r="D44" s="300">
        <f t="shared" ref="D44:K53" si="4">C341</f>
        <v>749.09542690881051</v>
      </c>
      <c r="E44" s="300">
        <f t="shared" si="4"/>
        <v>737.17228458936279</v>
      </c>
      <c r="F44" s="300">
        <f t="shared" si="4"/>
        <v>741.50107778380675</v>
      </c>
      <c r="G44" s="300">
        <f t="shared" si="4"/>
        <v>753.25764207314114</v>
      </c>
      <c r="H44" s="300">
        <f t="shared" si="4"/>
        <v>767.80403655054715</v>
      </c>
      <c r="I44" s="300">
        <f t="shared" si="4"/>
        <v>782.53855972312999</v>
      </c>
      <c r="J44" s="300">
        <f t="shared" si="4"/>
        <v>802.62381843494506</v>
      </c>
      <c r="K44" s="300">
        <f t="shared" si="4"/>
        <v>814.90800524101269</v>
      </c>
      <c r="L44" s="300">
        <f t="shared" ref="L44:L53" si="5">K341</f>
        <v>818.22815068467082</v>
      </c>
      <c r="M44" s="300">
        <f t="shared" ref="M44:M53" si="6">L341</f>
        <v>815.76324161768548</v>
      </c>
      <c r="N44" s="300">
        <f t="shared" ref="N44:N53" si="7">M341</f>
        <v>814.82746829781081</v>
      </c>
    </row>
    <row r="45" spans="2:14">
      <c r="B45" s="356" t="str">
        <f t="shared" si="3"/>
        <v>30-34</v>
      </c>
      <c r="C45" s="300">
        <f t="shared" si="3"/>
        <v>940.81962056051793</v>
      </c>
      <c r="D45" s="300">
        <f t="shared" si="4"/>
        <v>911.35805437876832</v>
      </c>
      <c r="E45" s="300">
        <f t="shared" si="4"/>
        <v>884.55734296932451</v>
      </c>
      <c r="F45" s="300">
        <f t="shared" si="4"/>
        <v>863.32804953230584</v>
      </c>
      <c r="G45" s="300">
        <f t="shared" si="4"/>
        <v>849.84345861085114</v>
      </c>
      <c r="H45" s="300">
        <f t="shared" si="4"/>
        <v>842.71808902396128</v>
      </c>
      <c r="I45" s="300">
        <f t="shared" si="4"/>
        <v>840.57647606000614</v>
      </c>
      <c r="J45" s="300">
        <f t="shared" si="4"/>
        <v>845.22043011777942</v>
      </c>
      <c r="K45" s="300">
        <f t="shared" si="4"/>
        <v>849.91199938257546</v>
      </c>
      <c r="L45" s="300">
        <f t="shared" si="5"/>
        <v>852.34464999741476</v>
      </c>
      <c r="M45" s="300">
        <f t="shared" si="6"/>
        <v>852.46939971832671</v>
      </c>
      <c r="N45" s="300">
        <f t="shared" si="7"/>
        <v>852.95982731320214</v>
      </c>
    </row>
    <row r="46" spans="2:14">
      <c r="B46" s="356" t="str">
        <f t="shared" si="3"/>
        <v>35-39</v>
      </c>
      <c r="C46" s="300">
        <f t="shared" si="3"/>
        <v>843.60937867863549</v>
      </c>
      <c r="D46" s="300">
        <f t="shared" si="4"/>
        <v>857.3661356209783</v>
      </c>
      <c r="E46" s="300">
        <f t="shared" si="4"/>
        <v>863.74674219405347</v>
      </c>
      <c r="F46" s="300">
        <f t="shared" si="4"/>
        <v>863.63153671852035</v>
      </c>
      <c r="G46" s="300">
        <f t="shared" si="4"/>
        <v>860.75934508548823</v>
      </c>
      <c r="H46" s="300">
        <f t="shared" si="4"/>
        <v>856.58256673984181</v>
      </c>
      <c r="I46" s="300">
        <f t="shared" si="4"/>
        <v>852.47452769233848</v>
      </c>
      <c r="J46" s="300">
        <f t="shared" si="4"/>
        <v>851.64908150526333</v>
      </c>
      <c r="K46" s="300">
        <f t="shared" si="4"/>
        <v>850.11144818302341</v>
      </c>
      <c r="L46" s="300">
        <f t="shared" si="5"/>
        <v>847.41083598776368</v>
      </c>
      <c r="M46" s="300">
        <f t="shared" si="6"/>
        <v>844.16847586140864</v>
      </c>
      <c r="N46" s="300">
        <f t="shared" si="7"/>
        <v>842.42107815062263</v>
      </c>
    </row>
    <row r="47" spans="2:14">
      <c r="B47" s="356" t="str">
        <f t="shared" si="3"/>
        <v>40-44</v>
      </c>
      <c r="C47" s="300">
        <f t="shared" si="3"/>
        <v>752.37697749827146</v>
      </c>
      <c r="D47" s="300">
        <f t="shared" si="4"/>
        <v>762.75937472014562</v>
      </c>
      <c r="E47" s="300">
        <f t="shared" si="4"/>
        <v>774.50743328567773</v>
      </c>
      <c r="F47" s="300">
        <f t="shared" si="4"/>
        <v>784.37253484109306</v>
      </c>
      <c r="G47" s="300">
        <f t="shared" si="4"/>
        <v>792.71887050597707</v>
      </c>
      <c r="H47" s="300">
        <f t="shared" si="4"/>
        <v>798.75976493787994</v>
      </c>
      <c r="I47" s="300">
        <f t="shared" si="4"/>
        <v>802.72845521422391</v>
      </c>
      <c r="J47" s="300">
        <f t="shared" si="4"/>
        <v>807.15752311832773</v>
      </c>
      <c r="K47" s="300">
        <f t="shared" si="4"/>
        <v>808.75071406263601</v>
      </c>
      <c r="L47" s="300">
        <f t="shared" si="5"/>
        <v>807.55813852615506</v>
      </c>
      <c r="M47" s="300">
        <f t="shared" si="6"/>
        <v>804.72196312235462</v>
      </c>
      <c r="N47" s="300">
        <f t="shared" si="7"/>
        <v>802.56532180144029</v>
      </c>
    </row>
    <row r="48" spans="2:14">
      <c r="B48" s="356" t="str">
        <f t="shared" si="3"/>
        <v>45-49</v>
      </c>
      <c r="C48" s="300">
        <f t="shared" si="3"/>
        <v>638.39654476207136</v>
      </c>
      <c r="D48" s="300">
        <f t="shared" si="4"/>
        <v>641.32972591559417</v>
      </c>
      <c r="E48" s="300">
        <f t="shared" si="4"/>
        <v>647.02587373129631</v>
      </c>
      <c r="F48" s="300">
        <f t="shared" si="4"/>
        <v>652.84708093153665</v>
      </c>
      <c r="G48" s="300">
        <f t="shared" si="4"/>
        <v>659.97072386553441</v>
      </c>
      <c r="H48" s="300">
        <f t="shared" si="4"/>
        <v>666.99286736073873</v>
      </c>
      <c r="I48" s="300">
        <f t="shared" si="4"/>
        <v>673.42241464095298</v>
      </c>
      <c r="J48" s="300">
        <f t="shared" si="4"/>
        <v>680.64127478287492</v>
      </c>
      <c r="K48" s="300">
        <f t="shared" si="4"/>
        <v>685.46800550298542</v>
      </c>
      <c r="L48" s="300">
        <f t="shared" si="5"/>
        <v>687.59038946868293</v>
      </c>
      <c r="M48" s="300">
        <f t="shared" si="6"/>
        <v>687.74818215468667</v>
      </c>
      <c r="N48" s="300">
        <f t="shared" si="7"/>
        <v>687.78593449532286</v>
      </c>
    </row>
    <row r="49" spans="1:19">
      <c r="B49" s="356" t="str">
        <f t="shared" si="3"/>
        <v>50-54</v>
      </c>
      <c r="C49" s="300">
        <f t="shared" si="3"/>
        <v>440.91255529630604</v>
      </c>
      <c r="D49" s="300">
        <f t="shared" si="4"/>
        <v>463.9805542059147</v>
      </c>
      <c r="E49" s="300">
        <f t="shared" si="4"/>
        <v>482.04800873162162</v>
      </c>
      <c r="F49" s="300">
        <f t="shared" si="4"/>
        <v>496.17576675799734</v>
      </c>
      <c r="G49" s="300">
        <f t="shared" si="4"/>
        <v>508.0735725093154</v>
      </c>
      <c r="H49" s="300">
        <f t="shared" si="4"/>
        <v>518.20555781635335</v>
      </c>
      <c r="I49" s="300">
        <f t="shared" si="4"/>
        <v>526.96798471361183</v>
      </c>
      <c r="J49" s="300">
        <f t="shared" si="4"/>
        <v>535.81634336179218</v>
      </c>
      <c r="K49" s="300">
        <f t="shared" si="4"/>
        <v>542.60902202577961</v>
      </c>
      <c r="L49" s="300">
        <f t="shared" si="5"/>
        <v>547.15091707149782</v>
      </c>
      <c r="M49" s="300">
        <f t="shared" si="6"/>
        <v>549.95424626150111</v>
      </c>
      <c r="N49" s="300">
        <f t="shared" si="7"/>
        <v>552.3370177409314</v>
      </c>
    </row>
    <row r="50" spans="1:19">
      <c r="B50" s="356" t="str">
        <f t="shared" si="3"/>
        <v>55-59</v>
      </c>
      <c r="C50" s="300">
        <f t="shared" si="3"/>
        <v>276.46036554681825</v>
      </c>
      <c r="D50" s="300">
        <f t="shared" si="4"/>
        <v>250.17971897721912</v>
      </c>
      <c r="E50" s="300">
        <f t="shared" si="4"/>
        <v>238.32594804365101</v>
      </c>
      <c r="F50" s="300">
        <f t="shared" si="4"/>
        <v>234.15021607569474</v>
      </c>
      <c r="G50" s="300">
        <f t="shared" si="4"/>
        <v>234.05761883936376</v>
      </c>
      <c r="H50" s="300">
        <f t="shared" si="4"/>
        <v>235.93059763585069</v>
      </c>
      <c r="I50" s="300">
        <f t="shared" si="4"/>
        <v>238.66684397064418</v>
      </c>
      <c r="J50" s="300">
        <f t="shared" si="4"/>
        <v>242.48186669330255</v>
      </c>
      <c r="K50" s="300">
        <f t="shared" si="4"/>
        <v>245.48925716945396</v>
      </c>
      <c r="L50" s="300">
        <f t="shared" si="5"/>
        <v>247.49286156750563</v>
      </c>
      <c r="M50" s="300">
        <f t="shared" si="6"/>
        <v>248.80639419272916</v>
      </c>
      <c r="N50" s="300">
        <f t="shared" si="7"/>
        <v>250.22104669131861</v>
      </c>
    </row>
    <row r="51" spans="1:19">
      <c r="B51" s="356" t="str">
        <f t="shared" si="3"/>
        <v>60-64</v>
      </c>
      <c r="C51" s="300">
        <f t="shared" si="3"/>
        <v>75.433321610667306</v>
      </c>
      <c r="D51" s="300">
        <f t="shared" si="4"/>
        <v>85.582347912163272</v>
      </c>
      <c r="E51" s="300">
        <f t="shared" si="4"/>
        <v>87.512058455049768</v>
      </c>
      <c r="F51" s="300">
        <f t="shared" si="4"/>
        <v>87.216143617140261</v>
      </c>
      <c r="G51" s="300">
        <f t="shared" si="4"/>
        <v>86.591774584144147</v>
      </c>
      <c r="H51" s="300">
        <f t="shared" si="4"/>
        <v>86.329372081927815</v>
      </c>
      <c r="I51" s="300">
        <f t="shared" si="4"/>
        <v>86.489972546803585</v>
      </c>
      <c r="J51" s="300">
        <f t="shared" si="4"/>
        <v>87.376773187856571</v>
      </c>
      <c r="K51" s="300">
        <f t="shared" si="4"/>
        <v>88.038333338461371</v>
      </c>
      <c r="L51" s="300">
        <f t="shared" si="5"/>
        <v>88.366865831770212</v>
      </c>
      <c r="M51" s="300">
        <f t="shared" si="6"/>
        <v>88.514807620726117</v>
      </c>
      <c r="N51" s="300">
        <f t="shared" si="7"/>
        <v>88.872008713638763</v>
      </c>
    </row>
    <row r="52" spans="1:19">
      <c r="B52" s="356" t="str">
        <f t="shared" si="3"/>
        <v>65 plus</v>
      </c>
      <c r="C52" s="300">
        <f t="shared" si="3"/>
        <v>8.1763565582481057</v>
      </c>
      <c r="D52" s="300">
        <f t="shared" si="4"/>
        <v>16.203334649272705</v>
      </c>
      <c r="E52" s="300">
        <f t="shared" si="4"/>
        <v>22.034478185128819</v>
      </c>
      <c r="F52" s="300">
        <f t="shared" si="4"/>
        <v>25.540723865368545</v>
      </c>
      <c r="G52" s="300">
        <f t="shared" si="4"/>
        <v>27.597655895366731</v>
      </c>
      <c r="H52" s="300">
        <f t="shared" si="4"/>
        <v>28.72316575059925</v>
      </c>
      <c r="I52" s="300">
        <f t="shared" si="4"/>
        <v>29.351261084740646</v>
      </c>
      <c r="J52" s="300">
        <f t="shared" si="4"/>
        <v>29.861677463371464</v>
      </c>
      <c r="K52" s="300">
        <f t="shared" si="4"/>
        <v>30.162849414250324</v>
      </c>
      <c r="L52" s="300">
        <f t="shared" si="5"/>
        <v>30.286062992805402</v>
      </c>
      <c r="M52" s="300">
        <f t="shared" si="6"/>
        <v>30.307514155093813</v>
      </c>
      <c r="N52" s="300">
        <f t="shared" si="7"/>
        <v>30.369024546120183</v>
      </c>
    </row>
    <row r="53" spans="1:19">
      <c r="B53" s="356" t="str">
        <f t="shared" si="3"/>
        <v>Total</v>
      </c>
      <c r="C53" s="300">
        <f t="shared" si="3"/>
        <v>5012.1646366540344</v>
      </c>
      <c r="D53" s="300">
        <f t="shared" si="4"/>
        <v>5063.6212731488667</v>
      </c>
      <c r="E53" s="300">
        <f t="shared" si="4"/>
        <v>5115.5294984185712</v>
      </c>
      <c r="F53" s="300">
        <f t="shared" si="4"/>
        <v>5168.8637282205445</v>
      </c>
      <c r="G53" s="300">
        <f t="shared" si="4"/>
        <v>5222.3038113491884</v>
      </c>
      <c r="H53" s="300">
        <f t="shared" si="4"/>
        <v>5272.9420209948557</v>
      </c>
      <c r="I53" s="300">
        <f t="shared" si="4"/>
        <v>5319.7612205778896</v>
      </c>
      <c r="J53" s="300">
        <f t="shared" si="4"/>
        <v>5387.1127842776314</v>
      </c>
      <c r="K53" s="300">
        <f t="shared" si="4"/>
        <v>5427.2597063769836</v>
      </c>
      <c r="L53" s="300">
        <f t="shared" si="5"/>
        <v>5437.0066622073973</v>
      </c>
      <c r="M53" s="300">
        <f t="shared" si="6"/>
        <v>5427.70699082791</v>
      </c>
      <c r="N53" s="300">
        <f t="shared" si="7"/>
        <v>5425.6114142059214</v>
      </c>
    </row>
    <row r="54" spans="1:19">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9">
      <c r="B56" s="334" t="s">
        <v>47</v>
      </c>
      <c r="H56" s="318"/>
    </row>
    <row r="57" spans="1:19">
      <c r="H57" s="318"/>
    </row>
    <row r="58" spans="1:19">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9">
      <c r="B59" s="331" t="str">
        <f t="shared" si="9"/>
        <v>20-24</v>
      </c>
      <c r="C59" s="300">
        <f t="shared" ref="C59:C69" si="11">D21</f>
        <v>442.14496559668606</v>
      </c>
      <c r="D59" s="300">
        <f>C356</f>
        <v>507.05551790754998</v>
      </c>
      <c r="E59" s="300">
        <f t="shared" ref="E59:L59" si="12">D356</f>
        <v>550.35518987833052</v>
      </c>
      <c r="F59" s="300">
        <f t="shared" si="12"/>
        <v>588.07416369688417</v>
      </c>
      <c r="G59" s="300">
        <f t="shared" si="12"/>
        <v>613.65163536340128</v>
      </c>
      <c r="H59" s="300">
        <f t="shared" si="12"/>
        <v>633.09462191565092</v>
      </c>
      <c r="I59" s="300">
        <f t="shared" si="12"/>
        <v>647.76052984224498</v>
      </c>
      <c r="J59" s="300">
        <f t="shared" si="12"/>
        <v>666.80886169292262</v>
      </c>
      <c r="K59" s="300">
        <f t="shared" si="12"/>
        <v>674.17250137381075</v>
      </c>
      <c r="L59" s="300">
        <f t="shared" si="12"/>
        <v>671.19210049640276</v>
      </c>
      <c r="M59" s="300">
        <f>L356</f>
        <v>663.44071944198834</v>
      </c>
      <c r="N59" s="300">
        <f>M356</f>
        <v>660.13336723742327</v>
      </c>
      <c r="O59" s="320"/>
      <c r="P59" s="320"/>
      <c r="Q59" s="320"/>
      <c r="R59" s="320"/>
      <c r="S59" s="320"/>
    </row>
    <row r="60" spans="1:19">
      <c r="B60" s="331" t="str">
        <f t="shared" si="9"/>
        <v>25-29</v>
      </c>
      <c r="C60" s="300">
        <f t="shared" si="11"/>
        <v>1295.8398855962216</v>
      </c>
      <c r="D60" s="300">
        <f t="shared" ref="D60:K69" si="13">C357</f>
        <v>1200.7556115196762</v>
      </c>
      <c r="E60" s="300">
        <f t="shared" si="13"/>
        <v>1141.8457902538225</v>
      </c>
      <c r="F60" s="300">
        <f t="shared" si="13"/>
        <v>1114.0611940448559</v>
      </c>
      <c r="G60" s="300">
        <f t="shared" si="13"/>
        <v>1099.4079877108009</v>
      </c>
      <c r="H60" s="300">
        <f t="shared" si="13"/>
        <v>1095.1065469798857</v>
      </c>
      <c r="I60" s="300">
        <f t="shared" si="13"/>
        <v>1096.5657776805674</v>
      </c>
      <c r="J60" s="300">
        <f t="shared" si="13"/>
        <v>1109.1515737823161</v>
      </c>
      <c r="K60" s="300">
        <f t="shared" si="13"/>
        <v>1115.3362608805705</v>
      </c>
      <c r="L60" s="300">
        <f t="shared" ref="L60:L69" si="14">K357</f>
        <v>1112.7139391293897</v>
      </c>
      <c r="M60" s="300">
        <f t="shared" ref="M60:M69" si="15">L357</f>
        <v>1104.5470779139914</v>
      </c>
      <c r="N60" s="300">
        <f t="shared" ref="N60:N69" si="16">M357</f>
        <v>1099.5549806335732</v>
      </c>
      <c r="O60" s="320"/>
      <c r="P60" s="320"/>
      <c r="Q60" s="320"/>
      <c r="R60" s="320"/>
      <c r="S60" s="320"/>
    </row>
    <row r="61" spans="1:19">
      <c r="B61" s="331" t="str">
        <f t="shared" si="9"/>
        <v>30-34</v>
      </c>
      <c r="C61" s="300">
        <f t="shared" si="11"/>
        <v>1187.718157228684</v>
      </c>
      <c r="D61" s="300">
        <f t="shared" si="13"/>
        <v>1195.819312952668</v>
      </c>
      <c r="E61" s="300">
        <f t="shared" si="13"/>
        <v>1182.8053476445384</v>
      </c>
      <c r="F61" s="300">
        <f t="shared" si="13"/>
        <v>1164.9875981991611</v>
      </c>
      <c r="G61" s="300">
        <f t="shared" si="13"/>
        <v>1145.5705701380241</v>
      </c>
      <c r="H61" s="300">
        <f t="shared" si="13"/>
        <v>1129.6581501034982</v>
      </c>
      <c r="I61" s="300">
        <f t="shared" si="13"/>
        <v>1117.9070101645639</v>
      </c>
      <c r="J61" s="300">
        <f t="shared" si="13"/>
        <v>1114.1235669604639</v>
      </c>
      <c r="K61" s="300">
        <f t="shared" si="13"/>
        <v>1110.6291682308818</v>
      </c>
      <c r="L61" s="300">
        <f t="shared" si="14"/>
        <v>1105.0939572896305</v>
      </c>
      <c r="M61" s="300">
        <f t="shared" si="15"/>
        <v>1097.7482364666346</v>
      </c>
      <c r="N61" s="300">
        <f t="shared" si="16"/>
        <v>1092.0398846290882</v>
      </c>
      <c r="O61" s="320"/>
      <c r="P61" s="320"/>
      <c r="Q61" s="320"/>
      <c r="R61" s="320"/>
      <c r="S61" s="320"/>
    </row>
    <row r="62" spans="1:19">
      <c r="B62" s="331" t="str">
        <f t="shared" si="9"/>
        <v>35-39</v>
      </c>
      <c r="C62" s="300">
        <f t="shared" si="11"/>
        <v>1156.4103303290228</v>
      </c>
      <c r="D62" s="300">
        <f t="shared" si="13"/>
        <v>1137.0857200113107</v>
      </c>
      <c r="E62" s="300">
        <f t="shared" si="13"/>
        <v>1123.1321900801811</v>
      </c>
      <c r="F62" s="300">
        <f t="shared" si="13"/>
        <v>1112.0137492362633</v>
      </c>
      <c r="G62" s="300">
        <f t="shared" si="13"/>
        <v>1099.3330241292324</v>
      </c>
      <c r="H62" s="300">
        <f t="shared" si="13"/>
        <v>1087.1217918127375</v>
      </c>
      <c r="I62" s="300">
        <f t="shared" si="13"/>
        <v>1075.7109730683314</v>
      </c>
      <c r="J62" s="300">
        <f t="shared" si="13"/>
        <v>1068.5631784638911</v>
      </c>
      <c r="K62" s="300">
        <f t="shared" si="13"/>
        <v>1060.4004665067575</v>
      </c>
      <c r="L62" s="300">
        <f t="shared" si="14"/>
        <v>1050.7357539404659</v>
      </c>
      <c r="M62" s="300">
        <f t="shared" si="15"/>
        <v>1040.5400636815525</v>
      </c>
      <c r="N62" s="300">
        <f t="shared" si="16"/>
        <v>1032.5697273519017</v>
      </c>
      <c r="O62" s="320"/>
      <c r="P62" s="320"/>
      <c r="Q62" s="320"/>
      <c r="R62" s="320"/>
      <c r="S62" s="320"/>
    </row>
    <row r="63" spans="1:19">
      <c r="B63" s="331" t="str">
        <f t="shared" si="9"/>
        <v>40-44</v>
      </c>
      <c r="C63" s="300">
        <f t="shared" si="11"/>
        <v>868.99643017907079</v>
      </c>
      <c r="D63" s="300">
        <f t="shared" si="13"/>
        <v>913.87572253014696</v>
      </c>
      <c r="E63" s="300">
        <f t="shared" si="13"/>
        <v>942.19432447422366</v>
      </c>
      <c r="F63" s="300">
        <f t="shared" si="13"/>
        <v>961.73205963998612</v>
      </c>
      <c r="G63" s="300">
        <f t="shared" si="13"/>
        <v>972.90454421827872</v>
      </c>
      <c r="H63" s="300">
        <f t="shared" si="13"/>
        <v>979.25545309806989</v>
      </c>
      <c r="I63" s="300">
        <f t="shared" si="13"/>
        <v>982.00766871046415</v>
      </c>
      <c r="J63" s="300">
        <f t="shared" si="13"/>
        <v>984.78193220904063</v>
      </c>
      <c r="K63" s="300">
        <f t="shared" si="13"/>
        <v>983.56159916691308</v>
      </c>
      <c r="L63" s="300">
        <f t="shared" si="14"/>
        <v>978.53156713941212</v>
      </c>
      <c r="M63" s="300">
        <f t="shared" si="15"/>
        <v>971.24247314917363</v>
      </c>
      <c r="N63" s="300">
        <f t="shared" si="16"/>
        <v>964.7309876347316</v>
      </c>
      <c r="O63" s="320"/>
      <c r="P63" s="320"/>
      <c r="Q63" s="320"/>
      <c r="R63" s="320"/>
      <c r="S63" s="320"/>
    </row>
    <row r="64" spans="1:19">
      <c r="B64" s="331" t="str">
        <f t="shared" si="9"/>
        <v>45-49</v>
      </c>
      <c r="C64" s="300">
        <f t="shared" si="11"/>
        <v>613.61418523680209</v>
      </c>
      <c r="D64" s="300">
        <f t="shared" si="13"/>
        <v>657.48327339438538</v>
      </c>
      <c r="E64" s="300">
        <f t="shared" si="13"/>
        <v>696.81250899486611</v>
      </c>
      <c r="F64" s="300">
        <f t="shared" si="13"/>
        <v>731.7153740010408</v>
      </c>
      <c r="G64" s="300">
        <f t="shared" si="13"/>
        <v>759.76656855239401</v>
      </c>
      <c r="H64" s="300">
        <f t="shared" si="13"/>
        <v>782.5964786166702</v>
      </c>
      <c r="I64" s="300">
        <f t="shared" si="13"/>
        <v>800.62725637945573</v>
      </c>
      <c r="J64" s="300">
        <f t="shared" si="13"/>
        <v>816.53645171228561</v>
      </c>
      <c r="K64" s="300">
        <f t="shared" si="13"/>
        <v>827.04499105594516</v>
      </c>
      <c r="L64" s="300">
        <f t="shared" si="14"/>
        <v>832.33524779117363</v>
      </c>
      <c r="M64" s="300">
        <f t="shared" si="15"/>
        <v>833.78613049612284</v>
      </c>
      <c r="N64" s="300">
        <f t="shared" si="16"/>
        <v>834.07200993597883</v>
      </c>
      <c r="O64" s="320"/>
      <c r="P64" s="320"/>
      <c r="Q64" s="320"/>
      <c r="R64" s="320"/>
      <c r="S64" s="320"/>
    </row>
    <row r="65" spans="1:19">
      <c r="B65" s="331" t="str">
        <f t="shared" si="9"/>
        <v>50-54</v>
      </c>
      <c r="C65" s="300">
        <f t="shared" si="11"/>
        <v>385.44608261397229</v>
      </c>
      <c r="D65" s="300">
        <f t="shared" si="13"/>
        <v>421.28940671469383</v>
      </c>
      <c r="E65" s="300">
        <f t="shared" si="13"/>
        <v>453.97555739855011</v>
      </c>
      <c r="F65" s="300">
        <f t="shared" si="13"/>
        <v>485.07910927678211</v>
      </c>
      <c r="G65" s="300">
        <f t="shared" si="13"/>
        <v>512.73348050584195</v>
      </c>
      <c r="H65" s="300">
        <f t="shared" si="13"/>
        <v>537.60864681730118</v>
      </c>
      <c r="I65" s="300">
        <f t="shared" si="13"/>
        <v>559.49494947354401</v>
      </c>
      <c r="J65" s="300">
        <f t="shared" si="13"/>
        <v>579.91037842686967</v>
      </c>
      <c r="K65" s="300">
        <f t="shared" si="13"/>
        <v>596.04529122487077</v>
      </c>
      <c r="L65" s="300">
        <f t="shared" si="14"/>
        <v>607.76970842089452</v>
      </c>
      <c r="M65" s="300">
        <f t="shared" si="15"/>
        <v>615.92237944498459</v>
      </c>
      <c r="N65" s="300">
        <f t="shared" si="16"/>
        <v>622.37213397997289</v>
      </c>
      <c r="O65" s="320"/>
      <c r="P65" s="320"/>
      <c r="Q65" s="320"/>
      <c r="R65" s="320"/>
      <c r="S65" s="320"/>
    </row>
    <row r="66" spans="1:19">
      <c r="B66" s="331" t="str">
        <f t="shared" si="9"/>
        <v>55-59</v>
      </c>
      <c r="C66" s="300">
        <f t="shared" si="11"/>
        <v>300.19953130036043</v>
      </c>
      <c r="D66" s="300">
        <f t="shared" si="13"/>
        <v>267.63141542602818</v>
      </c>
      <c r="E66" s="300">
        <f t="shared" si="13"/>
        <v>252.8151310990491</v>
      </c>
      <c r="F66" s="300">
        <f t="shared" si="13"/>
        <v>249.51112522553046</v>
      </c>
      <c r="G66" s="300">
        <f t="shared" si="13"/>
        <v>252.02422429382071</v>
      </c>
      <c r="H66" s="300">
        <f t="shared" si="13"/>
        <v>257.97859895254425</v>
      </c>
      <c r="I66" s="300">
        <f t="shared" si="13"/>
        <v>265.55202366106926</v>
      </c>
      <c r="J66" s="300">
        <f t="shared" si="13"/>
        <v>274.62999396204106</v>
      </c>
      <c r="K66" s="300">
        <f t="shared" si="13"/>
        <v>282.54849179532664</v>
      </c>
      <c r="L66" s="300">
        <f t="shared" si="14"/>
        <v>288.83286289811173</v>
      </c>
      <c r="M66" s="300">
        <f t="shared" si="15"/>
        <v>293.75539959237017</v>
      </c>
      <c r="N66" s="300">
        <f t="shared" si="16"/>
        <v>298.27811036256105</v>
      </c>
      <c r="O66" s="320"/>
      <c r="P66" s="320"/>
      <c r="Q66" s="320"/>
      <c r="R66" s="320"/>
      <c r="S66" s="320"/>
    </row>
    <row r="67" spans="1:19">
      <c r="B67" s="331" t="str">
        <f t="shared" si="9"/>
        <v>60-64</v>
      </c>
      <c r="C67" s="300">
        <f t="shared" si="11"/>
        <v>93.967531107771165</v>
      </c>
      <c r="D67" s="300">
        <f t="shared" si="13"/>
        <v>98.595529938110872</v>
      </c>
      <c r="E67" s="300">
        <f t="shared" si="13"/>
        <v>96.633096054402259</v>
      </c>
      <c r="F67" s="300">
        <f t="shared" si="13"/>
        <v>94.157168606748883</v>
      </c>
      <c r="G67" s="300">
        <f t="shared" si="13"/>
        <v>92.381444030568133</v>
      </c>
      <c r="H67" s="300">
        <f t="shared" si="13"/>
        <v>91.896353506282836</v>
      </c>
      <c r="I67" s="300">
        <f t="shared" si="13"/>
        <v>92.472504902031417</v>
      </c>
      <c r="J67" s="300">
        <f t="shared" si="13"/>
        <v>94.288296288792083</v>
      </c>
      <c r="K67" s="300">
        <f t="shared" si="13"/>
        <v>95.978564045808696</v>
      </c>
      <c r="L67" s="300">
        <f t="shared" si="14"/>
        <v>97.319777746767116</v>
      </c>
      <c r="M67" s="300">
        <f t="shared" si="15"/>
        <v>98.435213181902526</v>
      </c>
      <c r="N67" s="300">
        <f t="shared" si="16"/>
        <v>99.762324841730617</v>
      </c>
      <c r="O67" s="320"/>
      <c r="P67" s="320"/>
      <c r="Q67" s="320"/>
      <c r="R67" s="320"/>
      <c r="S67" s="320"/>
    </row>
    <row r="68" spans="1:19">
      <c r="B68" s="331" t="str">
        <f t="shared" si="9"/>
        <v>65 plus</v>
      </c>
      <c r="C68" s="300">
        <f t="shared" si="11"/>
        <v>0</v>
      </c>
      <c r="D68" s="300">
        <f t="shared" si="13"/>
        <v>15.572499987645456</v>
      </c>
      <c r="E68" s="300">
        <f t="shared" si="13"/>
        <v>25.869870184478913</v>
      </c>
      <c r="F68" s="300">
        <f t="shared" si="13"/>
        <v>32.173266783253496</v>
      </c>
      <c r="G68" s="300">
        <f t="shared" si="13"/>
        <v>35.74627170042114</v>
      </c>
      <c r="H68" s="300">
        <f t="shared" si="13"/>
        <v>37.785405630284544</v>
      </c>
      <c r="I68" s="300">
        <f t="shared" si="13"/>
        <v>39.018505103492764</v>
      </c>
      <c r="J68" s="300">
        <f t="shared" si="13"/>
        <v>40.029915496884449</v>
      </c>
      <c r="K68" s="300">
        <f t="shared" si="13"/>
        <v>40.772950526444511</v>
      </c>
      <c r="L68" s="300">
        <f t="shared" si="14"/>
        <v>41.2910763365376</v>
      </c>
      <c r="M68" s="300">
        <f t="shared" si="15"/>
        <v>41.672940398266064</v>
      </c>
      <c r="N68" s="300">
        <f t="shared" si="16"/>
        <v>42.091778654159192</v>
      </c>
      <c r="O68" s="320"/>
      <c r="P68" s="320"/>
      <c r="Q68" s="320"/>
      <c r="R68" s="320"/>
      <c r="S68" s="320"/>
    </row>
    <row r="69" spans="1:19">
      <c r="B69" s="331" t="str">
        <f t="shared" si="9"/>
        <v>Total</v>
      </c>
      <c r="C69" s="300">
        <f t="shared" si="11"/>
        <v>6344.3370991885904</v>
      </c>
      <c r="D69" s="300">
        <f t="shared" si="13"/>
        <v>6415.1640103822165</v>
      </c>
      <c r="E69" s="300">
        <f t="shared" si="13"/>
        <v>6466.4390060624419</v>
      </c>
      <c r="F69" s="300">
        <f t="shared" si="13"/>
        <v>6533.5048087105069</v>
      </c>
      <c r="G69" s="300">
        <f t="shared" si="13"/>
        <v>6583.519750642783</v>
      </c>
      <c r="H69" s="300">
        <f t="shared" si="13"/>
        <v>6632.1020474329262</v>
      </c>
      <c r="I69" s="300">
        <f t="shared" si="13"/>
        <v>6677.1171989857639</v>
      </c>
      <c r="J69" s="300">
        <f t="shared" si="13"/>
        <v>6748.824148995508</v>
      </c>
      <c r="K69" s="300">
        <f t="shared" si="13"/>
        <v>6786.4902848073289</v>
      </c>
      <c r="L69" s="300">
        <f t="shared" si="14"/>
        <v>6785.815991188786</v>
      </c>
      <c r="M69" s="300">
        <f t="shared" si="15"/>
        <v>6761.0906337669858</v>
      </c>
      <c r="N69" s="300">
        <f t="shared" si="16"/>
        <v>6745.6053052611205</v>
      </c>
      <c r="O69" s="320"/>
      <c r="P69" s="320"/>
      <c r="Q69" s="320"/>
      <c r="R69" s="320"/>
      <c r="S69" s="320"/>
    </row>
    <row r="70" spans="1:19">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9" ht="15.75">
      <c r="B72" s="333" t="s">
        <v>163</v>
      </c>
      <c r="H72" s="318"/>
    </row>
    <row r="73" spans="1:19">
      <c r="H73" s="318"/>
    </row>
    <row r="74" spans="1:19">
      <c r="B74" s="334" t="s">
        <v>46</v>
      </c>
      <c r="C74" s="256" t="s">
        <v>456</v>
      </c>
      <c r="H74" s="318"/>
    </row>
    <row r="75" spans="1:19">
      <c r="H75" s="318"/>
    </row>
    <row r="76" spans="1:19">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9">
      <c r="B77" s="331" t="str">
        <f t="shared" si="18"/>
        <v>20-24</v>
      </c>
      <c r="C77" s="447">
        <f>C43-(0.2*C43)</f>
        <v>198.77306461017571</v>
      </c>
      <c r="D77" s="447">
        <f>D43-(0.2*D43)</f>
        <v>260.61327988799997</v>
      </c>
      <c r="E77" s="447">
        <f t="shared" ref="E77:N77" si="20">E43-(0.2*E43)</f>
        <v>302.87946258672412</v>
      </c>
      <c r="F77" s="447">
        <f t="shared" si="20"/>
        <v>336.08047847766477</v>
      </c>
      <c r="G77" s="447">
        <f t="shared" si="20"/>
        <v>359.54651950400518</v>
      </c>
      <c r="H77" s="447">
        <f t="shared" si="20"/>
        <v>376.71680247772491</v>
      </c>
      <c r="I77" s="447">
        <f t="shared" si="20"/>
        <v>389.23577994514869</v>
      </c>
      <c r="J77" s="447">
        <f t="shared" si="20"/>
        <v>403.4271964896945</v>
      </c>
      <c r="K77" s="447">
        <f t="shared" si="20"/>
        <v>409.44805764544407</v>
      </c>
      <c r="L77" s="447">
        <f t="shared" si="20"/>
        <v>408.46223206330546</v>
      </c>
      <c r="M77" s="447">
        <f t="shared" si="20"/>
        <v>404.20221289871853</v>
      </c>
      <c r="N77" s="447">
        <f t="shared" si="20"/>
        <v>402.6021491644106</v>
      </c>
    </row>
    <row r="78" spans="1:19">
      <c r="B78" s="331" t="str">
        <f t="shared" si="18"/>
        <v>25-29</v>
      </c>
      <c r="C78" s="447">
        <f t="shared" ref="C78:C85" si="21">C44+(0.2*C43)-(0.2*C44)</f>
        <v>679.70381445636747</v>
      </c>
      <c r="D78" s="447">
        <f t="shared" ref="D78:N78" si="22">D44+(0.2*D43)-(0.2*D44)</f>
        <v>664.42966149904839</v>
      </c>
      <c r="E78" s="447">
        <f t="shared" si="22"/>
        <v>665.45769331817121</v>
      </c>
      <c r="F78" s="447">
        <f t="shared" si="22"/>
        <v>677.22098184646154</v>
      </c>
      <c r="G78" s="447">
        <f t="shared" si="22"/>
        <v>692.49274353451415</v>
      </c>
      <c r="H78" s="447">
        <f t="shared" si="22"/>
        <v>708.42242985986888</v>
      </c>
      <c r="I78" s="447">
        <f t="shared" si="22"/>
        <v>723.33979276479113</v>
      </c>
      <c r="J78" s="447">
        <f t="shared" si="22"/>
        <v>742.95585387037977</v>
      </c>
      <c r="K78" s="447">
        <f t="shared" si="22"/>
        <v>754.28841860417128</v>
      </c>
      <c r="L78" s="447">
        <f t="shared" si="22"/>
        <v>756.69807856356306</v>
      </c>
      <c r="M78" s="447">
        <f t="shared" si="22"/>
        <v>753.66114651882799</v>
      </c>
      <c r="N78" s="447">
        <f t="shared" si="22"/>
        <v>752.51251192935126</v>
      </c>
    </row>
    <row r="79" spans="1:19">
      <c r="B79" s="331" t="str">
        <f t="shared" si="18"/>
        <v>30-34</v>
      </c>
      <c r="C79" s="447">
        <f t="shared" si="21"/>
        <v>910.15833352437016</v>
      </c>
      <c r="D79" s="447">
        <f t="shared" ref="D79:N79" si="23">D45+(0.2*D44)-(0.2*D45)</f>
        <v>878.9055288847768</v>
      </c>
      <c r="E79" s="447">
        <f t="shared" si="23"/>
        <v>855.08033129333205</v>
      </c>
      <c r="F79" s="447">
        <f t="shared" si="23"/>
        <v>838.962655182606</v>
      </c>
      <c r="G79" s="447">
        <f t="shared" si="23"/>
        <v>830.52629530330921</v>
      </c>
      <c r="H79" s="447">
        <f t="shared" si="23"/>
        <v>827.7352785292785</v>
      </c>
      <c r="I79" s="447">
        <f t="shared" si="23"/>
        <v>828.96889279263087</v>
      </c>
      <c r="J79" s="447">
        <f t="shared" si="23"/>
        <v>836.7011077812125</v>
      </c>
      <c r="K79" s="447">
        <f t="shared" si="23"/>
        <v>842.9112005542629</v>
      </c>
      <c r="L79" s="447">
        <f t="shared" si="23"/>
        <v>845.521350134866</v>
      </c>
      <c r="M79" s="447">
        <f t="shared" si="23"/>
        <v>845.12816809819844</v>
      </c>
      <c r="N79" s="447">
        <f t="shared" si="23"/>
        <v>845.33335551012385</v>
      </c>
    </row>
    <row r="80" spans="1:19">
      <c r="B80" s="331" t="str">
        <f t="shared" si="18"/>
        <v>35-39</v>
      </c>
      <c r="C80" s="447">
        <f t="shared" si="21"/>
        <v>863.05142705501203</v>
      </c>
      <c r="D80" s="447">
        <f t="shared" ref="D80:N80" si="24">D46+(0.2*D45)-(0.2*D46)</f>
        <v>868.16451937253635</v>
      </c>
      <c r="E80" s="447">
        <f t="shared" si="24"/>
        <v>867.90886234910784</v>
      </c>
      <c r="F80" s="447">
        <f t="shared" si="24"/>
        <v>863.57083928127736</v>
      </c>
      <c r="G80" s="447">
        <f t="shared" si="24"/>
        <v>858.57616779056093</v>
      </c>
      <c r="H80" s="447">
        <f t="shared" si="24"/>
        <v>853.8096711966657</v>
      </c>
      <c r="I80" s="447">
        <f t="shared" si="24"/>
        <v>850.09491736587199</v>
      </c>
      <c r="J80" s="447">
        <f t="shared" si="24"/>
        <v>850.36335122776654</v>
      </c>
      <c r="K80" s="447">
        <f t="shared" si="24"/>
        <v>850.07155842293378</v>
      </c>
      <c r="L80" s="447">
        <f t="shared" si="24"/>
        <v>848.39759878969392</v>
      </c>
      <c r="M80" s="447">
        <f t="shared" si="24"/>
        <v>845.82866063279221</v>
      </c>
      <c r="N80" s="447">
        <f t="shared" si="24"/>
        <v>844.52882798313863</v>
      </c>
    </row>
    <row r="81" spans="1:14">
      <c r="B81" s="331" t="str">
        <f t="shared" si="18"/>
        <v>40-44</v>
      </c>
      <c r="C81" s="447">
        <f t="shared" si="21"/>
        <v>770.62345773434436</v>
      </c>
      <c r="D81" s="447">
        <f t="shared" ref="D81:N81" si="25">D47+(0.2*D46)-(0.2*D47)</f>
        <v>781.68072690031215</v>
      </c>
      <c r="E81" s="447">
        <f t="shared" si="25"/>
        <v>792.35529506735281</v>
      </c>
      <c r="F81" s="447">
        <f t="shared" si="25"/>
        <v>800.22433521657854</v>
      </c>
      <c r="G81" s="447">
        <f t="shared" si="25"/>
        <v>806.32696542187932</v>
      </c>
      <c r="H81" s="447">
        <f t="shared" si="25"/>
        <v>810.32432529827224</v>
      </c>
      <c r="I81" s="447">
        <f t="shared" si="25"/>
        <v>812.6776697098469</v>
      </c>
      <c r="J81" s="447">
        <f t="shared" si="25"/>
        <v>816.05583479571487</v>
      </c>
      <c r="K81" s="447">
        <f t="shared" si="25"/>
        <v>817.02286088671349</v>
      </c>
      <c r="L81" s="447">
        <f t="shared" si="25"/>
        <v>815.52867801847674</v>
      </c>
      <c r="M81" s="447">
        <f t="shared" si="25"/>
        <v>812.61126567016549</v>
      </c>
      <c r="N81" s="447">
        <f t="shared" si="25"/>
        <v>810.53647307127676</v>
      </c>
    </row>
    <row r="82" spans="1:14">
      <c r="B82" s="331" t="str">
        <f t="shared" si="18"/>
        <v>45-49</v>
      </c>
      <c r="C82" s="447">
        <f t="shared" si="21"/>
        <v>661.19263130931131</v>
      </c>
      <c r="D82" s="447">
        <f t="shared" ref="D82:N82" si="26">D48+(0.2*D47)-(0.2*D48)</f>
        <v>665.6156556765045</v>
      </c>
      <c r="E82" s="447">
        <f t="shared" si="26"/>
        <v>672.52218564217264</v>
      </c>
      <c r="F82" s="447">
        <f t="shared" si="26"/>
        <v>679.15217171344796</v>
      </c>
      <c r="G82" s="447">
        <f t="shared" si="26"/>
        <v>686.5203531936229</v>
      </c>
      <c r="H82" s="447">
        <f t="shared" si="26"/>
        <v>693.34624687616702</v>
      </c>
      <c r="I82" s="447">
        <f t="shared" si="26"/>
        <v>699.28362275560721</v>
      </c>
      <c r="J82" s="447">
        <f t="shared" si="26"/>
        <v>705.94452444996546</v>
      </c>
      <c r="K82" s="447">
        <f t="shared" si="26"/>
        <v>710.12454721491554</v>
      </c>
      <c r="L82" s="447">
        <f t="shared" si="26"/>
        <v>711.58393928017733</v>
      </c>
      <c r="M82" s="447">
        <f t="shared" si="26"/>
        <v>711.14293834822035</v>
      </c>
      <c r="N82" s="447">
        <f t="shared" si="26"/>
        <v>710.74181195654637</v>
      </c>
    </row>
    <row r="83" spans="1:14">
      <c r="B83" s="331" t="str">
        <f t="shared" si="18"/>
        <v>50-54</v>
      </c>
      <c r="C83" s="447">
        <f t="shared" si="21"/>
        <v>480.40935318945907</v>
      </c>
      <c r="D83" s="447">
        <f t="shared" ref="D83:N83" si="27">D49+(0.2*D48)-(0.2*D49)</f>
        <v>499.45038854785054</v>
      </c>
      <c r="E83" s="447">
        <f t="shared" si="27"/>
        <v>515.04358173155651</v>
      </c>
      <c r="F83" s="447">
        <f t="shared" si="27"/>
        <v>527.51002959270522</v>
      </c>
      <c r="G83" s="447">
        <f t="shared" si="27"/>
        <v>538.45300278055925</v>
      </c>
      <c r="H83" s="447">
        <f t="shared" si="27"/>
        <v>547.96301972523042</v>
      </c>
      <c r="I83" s="447">
        <f t="shared" si="27"/>
        <v>556.25887069908003</v>
      </c>
      <c r="J83" s="447">
        <f t="shared" si="27"/>
        <v>564.78132964600877</v>
      </c>
      <c r="K83" s="447">
        <f t="shared" si="27"/>
        <v>571.1808187212207</v>
      </c>
      <c r="L83" s="447">
        <f t="shared" si="27"/>
        <v>575.23881155093488</v>
      </c>
      <c r="M83" s="447">
        <f t="shared" si="27"/>
        <v>577.5130334401382</v>
      </c>
      <c r="N83" s="447">
        <f t="shared" si="27"/>
        <v>579.42680109180969</v>
      </c>
    </row>
    <row r="84" spans="1:14">
      <c r="B84" s="331" t="str">
        <f t="shared" si="18"/>
        <v>55-59</v>
      </c>
      <c r="C84" s="447">
        <f t="shared" si="21"/>
        <v>309.3508034967158</v>
      </c>
      <c r="D84" s="447">
        <f t="shared" ref="D84:N84" si="28">D50+(0.2*D49)-(0.2*D50)</f>
        <v>292.93988602295826</v>
      </c>
      <c r="E84" s="447">
        <f t="shared" si="28"/>
        <v>287.07036018124512</v>
      </c>
      <c r="F84" s="447">
        <f t="shared" si="28"/>
        <v>286.55532621215525</v>
      </c>
      <c r="G84" s="447">
        <f t="shared" si="28"/>
        <v>288.86080957335406</v>
      </c>
      <c r="H84" s="447">
        <f t="shared" si="28"/>
        <v>292.38558967195121</v>
      </c>
      <c r="I84" s="447">
        <f t="shared" si="28"/>
        <v>296.32707211923776</v>
      </c>
      <c r="J84" s="447">
        <f t="shared" si="28"/>
        <v>301.14876202700043</v>
      </c>
      <c r="K84" s="447">
        <f t="shared" si="28"/>
        <v>304.91321014071912</v>
      </c>
      <c r="L84" s="447">
        <f t="shared" si="28"/>
        <v>307.42447266830408</v>
      </c>
      <c r="M84" s="447">
        <f t="shared" si="28"/>
        <v>309.03596460648356</v>
      </c>
      <c r="N84" s="447">
        <f t="shared" si="28"/>
        <v>310.64424090124118</v>
      </c>
    </row>
    <row r="85" spans="1:14">
      <c r="B85" s="331" t="str">
        <f t="shared" si="18"/>
        <v>60-64</v>
      </c>
      <c r="C85" s="447">
        <f t="shared" si="21"/>
        <v>115.63873039789752</v>
      </c>
      <c r="D85" s="447">
        <f t="shared" ref="D85:N85" si="29">D51+(0.2*D50)-(0.2*D51)</f>
        <v>118.50182212517446</v>
      </c>
      <c r="E85" s="447">
        <f t="shared" si="29"/>
        <v>117.67483637277003</v>
      </c>
      <c r="F85" s="447">
        <f t="shared" si="29"/>
        <v>116.60295810885115</v>
      </c>
      <c r="G85" s="447">
        <f t="shared" si="29"/>
        <v>116.08494343518808</v>
      </c>
      <c r="H85" s="447">
        <f t="shared" si="29"/>
        <v>116.24961719271238</v>
      </c>
      <c r="I85" s="447">
        <f t="shared" si="29"/>
        <v>116.9253468315717</v>
      </c>
      <c r="J85" s="447">
        <f t="shared" si="29"/>
        <v>118.39779188894576</v>
      </c>
      <c r="K85" s="447">
        <f t="shared" si="29"/>
        <v>119.52851810465991</v>
      </c>
      <c r="L85" s="447">
        <f t="shared" si="29"/>
        <v>120.19206497891732</v>
      </c>
      <c r="M85" s="447">
        <f t="shared" si="29"/>
        <v>120.57312493512671</v>
      </c>
      <c r="N85" s="447">
        <f t="shared" si="29"/>
        <v>121.14181630917474</v>
      </c>
    </row>
    <row r="86" spans="1:14">
      <c r="B86" s="331" t="str">
        <f t="shared" si="18"/>
        <v>65 plus</v>
      </c>
      <c r="C86" s="447">
        <f>C52+(0.2*C51)</f>
        <v>23.263020880381568</v>
      </c>
      <c r="D86" s="447">
        <f t="shared" ref="D86:N86" si="30">D52+(0.2*D51)</f>
        <v>33.319804231705362</v>
      </c>
      <c r="E86" s="447">
        <f t="shared" si="30"/>
        <v>39.536889876138773</v>
      </c>
      <c r="F86" s="447">
        <f t="shared" si="30"/>
        <v>42.983952588796598</v>
      </c>
      <c r="G86" s="447">
        <f t="shared" si="30"/>
        <v>44.916010812195566</v>
      </c>
      <c r="H86" s="447">
        <f t="shared" si="30"/>
        <v>45.989040166984815</v>
      </c>
      <c r="I86" s="447">
        <f t="shared" si="30"/>
        <v>46.649255594101362</v>
      </c>
      <c r="J86" s="447">
        <f t="shared" si="30"/>
        <v>47.337032100942778</v>
      </c>
      <c r="K86" s="447">
        <f t="shared" si="30"/>
        <v>47.770516081942603</v>
      </c>
      <c r="L86" s="447">
        <f t="shared" si="30"/>
        <v>47.959436159159445</v>
      </c>
      <c r="M86" s="447">
        <f t="shared" si="30"/>
        <v>48.010475679239036</v>
      </c>
      <c r="N86" s="447">
        <f t="shared" si="30"/>
        <v>48.143426288847934</v>
      </c>
    </row>
    <row r="87" spans="1:14">
      <c r="B87" s="331" t="str">
        <f t="shared" si="18"/>
        <v>Total</v>
      </c>
      <c r="C87" s="447">
        <f>SUM(C77:C86)</f>
        <v>5012.1646366540344</v>
      </c>
      <c r="D87" s="447">
        <f t="shared" ref="D87:N87" si="31">SUM(D77:D86)</f>
        <v>5063.6212731488677</v>
      </c>
      <c r="E87" s="447">
        <f t="shared" si="31"/>
        <v>5115.5294984185712</v>
      </c>
      <c r="F87" s="447">
        <f t="shared" si="31"/>
        <v>5168.8637282205455</v>
      </c>
      <c r="G87" s="447">
        <f t="shared" si="31"/>
        <v>5222.3038113491903</v>
      </c>
      <c r="H87" s="447">
        <f t="shared" si="31"/>
        <v>5272.9420209948566</v>
      </c>
      <c r="I87" s="447">
        <f t="shared" si="31"/>
        <v>5319.7612205778878</v>
      </c>
      <c r="J87" s="447">
        <f t="shared" si="31"/>
        <v>5387.1127842776323</v>
      </c>
      <c r="K87" s="447">
        <f t="shared" si="31"/>
        <v>5427.2597063769845</v>
      </c>
      <c r="L87" s="447">
        <f t="shared" si="31"/>
        <v>5437.0066622073982</v>
      </c>
      <c r="M87" s="447">
        <f t="shared" si="31"/>
        <v>5427.70699082791</v>
      </c>
      <c r="N87" s="447">
        <f t="shared" si="31"/>
        <v>5425.6114142059205</v>
      </c>
    </row>
    <row r="88" spans="1:14">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353.71597247734883</v>
      </c>
      <c r="D93" s="447">
        <f t="shared" ref="D93:N93" si="35">D59-(0.2*D59)</f>
        <v>405.64441432603996</v>
      </c>
      <c r="E93" s="447">
        <f t="shared" si="35"/>
        <v>440.28415190266441</v>
      </c>
      <c r="F93" s="447">
        <f t="shared" si="35"/>
        <v>470.45933095750735</v>
      </c>
      <c r="G93" s="447">
        <f t="shared" si="35"/>
        <v>490.92130829072102</v>
      </c>
      <c r="H93" s="447">
        <f t="shared" si="35"/>
        <v>506.47569753252071</v>
      </c>
      <c r="I93" s="447">
        <f t="shared" si="35"/>
        <v>518.20842387379594</v>
      </c>
      <c r="J93" s="447">
        <f t="shared" si="35"/>
        <v>533.44708935433812</v>
      </c>
      <c r="K93" s="447">
        <f t="shared" si="35"/>
        <v>539.3380010990486</v>
      </c>
      <c r="L93" s="447">
        <f t="shared" si="35"/>
        <v>536.95368039712218</v>
      </c>
      <c r="M93" s="447">
        <f t="shared" si="35"/>
        <v>530.75257555359065</v>
      </c>
      <c r="N93" s="447">
        <f t="shared" si="35"/>
        <v>528.10669378993862</v>
      </c>
    </row>
    <row r="94" spans="1:14">
      <c r="B94" s="331" t="str">
        <f t="shared" si="33"/>
        <v>25-29</v>
      </c>
      <c r="C94" s="447">
        <f t="shared" ref="C94:C101" si="36">C60+(0.2*C59)-(0.2*C60)</f>
        <v>1125.1009015963145</v>
      </c>
      <c r="D94" s="447">
        <f t="shared" ref="D94:N94" si="37">D60+(0.2*D59)-(0.2*D60)</f>
        <v>1062.015592797251</v>
      </c>
      <c r="E94" s="447">
        <f t="shared" si="37"/>
        <v>1023.547670178724</v>
      </c>
      <c r="F94" s="447">
        <f t="shared" si="37"/>
        <v>1008.8637879752616</v>
      </c>
      <c r="G94" s="447">
        <f t="shared" si="37"/>
        <v>1002.2567172413209</v>
      </c>
      <c r="H94" s="447">
        <f t="shared" si="37"/>
        <v>1002.7041619670388</v>
      </c>
      <c r="I94" s="447">
        <f t="shared" si="37"/>
        <v>1006.8047281129029</v>
      </c>
      <c r="J94" s="447">
        <f t="shared" si="37"/>
        <v>1020.6830313644375</v>
      </c>
      <c r="K94" s="447">
        <f t="shared" si="37"/>
        <v>1027.1035089792185</v>
      </c>
      <c r="L94" s="447">
        <f t="shared" si="37"/>
        <v>1024.4095714027924</v>
      </c>
      <c r="M94" s="447">
        <f t="shared" si="37"/>
        <v>1016.3258062195908</v>
      </c>
      <c r="N94" s="447">
        <f t="shared" si="37"/>
        <v>1011.6706579543433</v>
      </c>
    </row>
    <row r="95" spans="1:14">
      <c r="B95" s="331" t="str">
        <f t="shared" si="33"/>
        <v>30-34</v>
      </c>
      <c r="C95" s="447">
        <f t="shared" si="36"/>
        <v>1209.3425029021917</v>
      </c>
      <c r="D95" s="447">
        <f t="shared" ref="D95:N95" si="38">D61+(0.2*D60)-(0.2*D61)</f>
        <v>1196.8065726660695</v>
      </c>
      <c r="E95" s="447">
        <f t="shared" si="38"/>
        <v>1174.6134361663953</v>
      </c>
      <c r="F95" s="447">
        <f t="shared" si="38"/>
        <v>1154.8023173683</v>
      </c>
      <c r="G95" s="447">
        <f t="shared" si="38"/>
        <v>1136.3380536525792</v>
      </c>
      <c r="H95" s="447">
        <f t="shared" si="38"/>
        <v>1122.7478294787757</v>
      </c>
      <c r="I95" s="447">
        <f t="shared" si="38"/>
        <v>1113.6387636677646</v>
      </c>
      <c r="J95" s="447">
        <f t="shared" si="38"/>
        <v>1113.1291683248342</v>
      </c>
      <c r="K95" s="447">
        <f t="shared" si="38"/>
        <v>1111.5705867608194</v>
      </c>
      <c r="L95" s="447">
        <f t="shared" si="38"/>
        <v>1106.6179536575823</v>
      </c>
      <c r="M95" s="447">
        <f t="shared" si="38"/>
        <v>1099.1080047561061</v>
      </c>
      <c r="N95" s="447">
        <f t="shared" si="38"/>
        <v>1093.5429038299853</v>
      </c>
    </row>
    <row r="96" spans="1:14">
      <c r="B96" s="331" t="str">
        <f t="shared" si="33"/>
        <v>35-39</v>
      </c>
      <c r="C96" s="447">
        <f t="shared" si="36"/>
        <v>1162.6718957089549</v>
      </c>
      <c r="D96" s="447">
        <f t="shared" ref="D96:N96" si="39">D62+(0.2*D61)-(0.2*D62)</f>
        <v>1148.8324385995822</v>
      </c>
      <c r="E96" s="447">
        <f t="shared" si="39"/>
        <v>1135.0668215930525</v>
      </c>
      <c r="F96" s="447">
        <f t="shared" si="39"/>
        <v>1122.6085190288429</v>
      </c>
      <c r="G96" s="447">
        <f t="shared" si="39"/>
        <v>1108.5805333309909</v>
      </c>
      <c r="H96" s="447">
        <f t="shared" si="39"/>
        <v>1095.6290634708896</v>
      </c>
      <c r="I96" s="447">
        <f t="shared" si="39"/>
        <v>1084.1501804875779</v>
      </c>
      <c r="J96" s="447">
        <f t="shared" si="39"/>
        <v>1077.6752561632056</v>
      </c>
      <c r="K96" s="447">
        <f t="shared" si="39"/>
        <v>1070.4462068515822</v>
      </c>
      <c r="L96" s="447">
        <f t="shared" si="39"/>
        <v>1061.6073946102988</v>
      </c>
      <c r="M96" s="447">
        <f t="shared" si="39"/>
        <v>1051.9816982385689</v>
      </c>
      <c r="N96" s="447">
        <f t="shared" si="39"/>
        <v>1044.463758807339</v>
      </c>
    </row>
    <row r="97" spans="1:14">
      <c r="B97" s="331" t="str">
        <f t="shared" si="33"/>
        <v>40-44</v>
      </c>
      <c r="C97" s="447">
        <f t="shared" si="36"/>
        <v>926.47921020906131</v>
      </c>
      <c r="D97" s="447">
        <f t="shared" ref="D97:N97" si="40">D63+(0.2*D62)-(0.2*D63)</f>
        <v>958.51772202637972</v>
      </c>
      <c r="E97" s="447">
        <f t="shared" si="40"/>
        <v>978.38189759541501</v>
      </c>
      <c r="F97" s="447">
        <f t="shared" si="40"/>
        <v>991.7883975592415</v>
      </c>
      <c r="G97" s="447">
        <f t="shared" si="40"/>
        <v>998.19024020046947</v>
      </c>
      <c r="H97" s="447">
        <f t="shared" si="40"/>
        <v>1000.8287208410035</v>
      </c>
      <c r="I97" s="447">
        <f t="shared" si="40"/>
        <v>1000.7483295820375</v>
      </c>
      <c r="J97" s="447">
        <f t="shared" si="40"/>
        <v>1001.5381814600106</v>
      </c>
      <c r="K97" s="447">
        <f t="shared" si="40"/>
        <v>998.92937263488204</v>
      </c>
      <c r="L97" s="447">
        <f t="shared" si="40"/>
        <v>992.97240449962283</v>
      </c>
      <c r="M97" s="447">
        <f t="shared" si="40"/>
        <v>985.10199125564941</v>
      </c>
      <c r="N97" s="447">
        <f t="shared" si="40"/>
        <v>978.29873557816575</v>
      </c>
    </row>
    <row r="98" spans="1:14">
      <c r="B98" s="331" t="str">
        <f t="shared" si="33"/>
        <v>45-49</v>
      </c>
      <c r="C98" s="447">
        <f t="shared" si="36"/>
        <v>664.69063422525574</v>
      </c>
      <c r="D98" s="447">
        <f t="shared" ref="D98:N98" si="41">D64+(0.2*D63)-(0.2*D64)</f>
        <v>708.76176322153765</v>
      </c>
      <c r="E98" s="447">
        <f t="shared" si="41"/>
        <v>745.88887209073766</v>
      </c>
      <c r="F98" s="447">
        <f t="shared" si="41"/>
        <v>777.71871112882991</v>
      </c>
      <c r="G98" s="447">
        <f t="shared" si="41"/>
        <v>802.3941636855709</v>
      </c>
      <c r="H98" s="447">
        <f t="shared" si="41"/>
        <v>821.92827351295011</v>
      </c>
      <c r="I98" s="447">
        <f t="shared" si="41"/>
        <v>836.90333884565746</v>
      </c>
      <c r="J98" s="447">
        <f t="shared" si="41"/>
        <v>850.18554781163664</v>
      </c>
      <c r="K98" s="447">
        <f t="shared" si="41"/>
        <v>858.34831267813865</v>
      </c>
      <c r="L98" s="447">
        <f t="shared" si="41"/>
        <v>861.57451166082137</v>
      </c>
      <c r="M98" s="447">
        <f t="shared" si="41"/>
        <v>861.27739902673295</v>
      </c>
      <c r="N98" s="447">
        <f t="shared" si="41"/>
        <v>860.20380547572938</v>
      </c>
    </row>
    <row r="99" spans="1:14">
      <c r="B99" s="331" t="str">
        <f t="shared" si="33"/>
        <v>50-54</v>
      </c>
      <c r="C99" s="447">
        <f t="shared" si="36"/>
        <v>431.07970313853826</v>
      </c>
      <c r="D99" s="447">
        <f t="shared" ref="D99:N99" si="42">D65+(0.2*D64)-(0.2*D65)</f>
        <v>468.5281800506321</v>
      </c>
      <c r="E99" s="447">
        <f t="shared" si="42"/>
        <v>502.54294771781326</v>
      </c>
      <c r="F99" s="447">
        <f t="shared" si="42"/>
        <v>534.40636222163391</v>
      </c>
      <c r="G99" s="447">
        <f t="shared" si="42"/>
        <v>562.14009811515234</v>
      </c>
      <c r="H99" s="447">
        <f t="shared" si="42"/>
        <v>586.60621317717494</v>
      </c>
      <c r="I99" s="447">
        <f t="shared" si="42"/>
        <v>607.72141085472629</v>
      </c>
      <c r="J99" s="447">
        <f t="shared" si="42"/>
        <v>627.23559308395284</v>
      </c>
      <c r="K99" s="447">
        <f t="shared" si="42"/>
        <v>642.24523119108562</v>
      </c>
      <c r="L99" s="447">
        <f t="shared" si="42"/>
        <v>652.68281629495038</v>
      </c>
      <c r="M99" s="447">
        <f t="shared" si="42"/>
        <v>659.49512965521217</v>
      </c>
      <c r="N99" s="447">
        <f t="shared" si="42"/>
        <v>664.71210917117401</v>
      </c>
    </row>
    <row r="100" spans="1:14">
      <c r="B100" s="331" t="str">
        <f t="shared" si="33"/>
        <v>55-59</v>
      </c>
      <c r="C100" s="447">
        <f t="shared" si="36"/>
        <v>317.24884156308281</v>
      </c>
      <c r="D100" s="447">
        <f t="shared" ref="D100:N100" si="43">D66+(0.2*D65)-(0.2*D66)</f>
        <v>298.36301368376132</v>
      </c>
      <c r="E100" s="447">
        <f t="shared" si="43"/>
        <v>293.0472163589493</v>
      </c>
      <c r="F100" s="447">
        <f t="shared" si="43"/>
        <v>296.62472203578079</v>
      </c>
      <c r="G100" s="447">
        <f t="shared" si="43"/>
        <v>304.16607553622498</v>
      </c>
      <c r="H100" s="447">
        <f t="shared" si="43"/>
        <v>313.90460852549563</v>
      </c>
      <c r="I100" s="447">
        <f t="shared" si="43"/>
        <v>324.3406088235642</v>
      </c>
      <c r="J100" s="447">
        <f t="shared" si="43"/>
        <v>335.68607085500679</v>
      </c>
      <c r="K100" s="447">
        <f t="shared" si="43"/>
        <v>345.24785168123543</v>
      </c>
      <c r="L100" s="447">
        <f t="shared" si="43"/>
        <v>352.62023200266833</v>
      </c>
      <c r="M100" s="447">
        <f t="shared" si="43"/>
        <v>358.18879556289306</v>
      </c>
      <c r="N100" s="447">
        <f t="shared" si="43"/>
        <v>363.0969150860434</v>
      </c>
    </row>
    <row r="101" spans="1:14">
      <c r="B101" s="331" t="str">
        <f t="shared" si="33"/>
        <v>60-64</v>
      </c>
      <c r="C101" s="447">
        <f t="shared" si="36"/>
        <v>135.21393114628901</v>
      </c>
      <c r="D101" s="447">
        <f t="shared" ref="D101:N101" si="44">D67+(0.2*D66)-(0.2*D67)</f>
        <v>132.40270703569433</v>
      </c>
      <c r="E101" s="447">
        <f t="shared" si="44"/>
        <v>127.86950306333163</v>
      </c>
      <c r="F101" s="447">
        <f t="shared" si="44"/>
        <v>125.22795993050519</v>
      </c>
      <c r="G101" s="447">
        <f t="shared" si="44"/>
        <v>124.31000008321864</v>
      </c>
      <c r="H101" s="447">
        <f t="shared" si="44"/>
        <v>125.11280259553511</v>
      </c>
      <c r="I101" s="447">
        <f t="shared" si="44"/>
        <v>127.08840865383897</v>
      </c>
      <c r="J101" s="447">
        <f t="shared" si="44"/>
        <v>130.35663582344188</v>
      </c>
      <c r="K101" s="447">
        <f t="shared" si="44"/>
        <v>133.2925495957123</v>
      </c>
      <c r="L101" s="447">
        <f t="shared" si="44"/>
        <v>135.62239477703605</v>
      </c>
      <c r="M101" s="447">
        <f t="shared" si="44"/>
        <v>137.49925046399605</v>
      </c>
      <c r="N101" s="447">
        <f t="shared" si="44"/>
        <v>139.4654819458967</v>
      </c>
    </row>
    <row r="102" spans="1:14">
      <c r="B102" s="331" t="str">
        <f t="shared" si="33"/>
        <v>65 plus</v>
      </c>
      <c r="C102" s="447">
        <f>C68+(0.2*C67)</f>
        <v>18.793506221554235</v>
      </c>
      <c r="D102" s="447">
        <f t="shared" ref="D102:N102" si="45">D68+(0.2*D67)</f>
        <v>35.291605975267629</v>
      </c>
      <c r="E102" s="447">
        <f t="shared" si="45"/>
        <v>45.196489395359364</v>
      </c>
      <c r="F102" s="447">
        <f t="shared" si="45"/>
        <v>51.004700504603278</v>
      </c>
      <c r="G102" s="447">
        <f t="shared" si="45"/>
        <v>54.222560506534762</v>
      </c>
      <c r="H102" s="447">
        <f t="shared" si="45"/>
        <v>56.164676331541116</v>
      </c>
      <c r="I102" s="447">
        <f t="shared" si="45"/>
        <v>57.513006083899043</v>
      </c>
      <c r="J102" s="447">
        <f t="shared" si="45"/>
        <v>58.88757475464287</v>
      </c>
      <c r="K102" s="447">
        <f t="shared" si="45"/>
        <v>59.968663335606252</v>
      </c>
      <c r="L102" s="447">
        <f t="shared" si="45"/>
        <v>60.755031885891029</v>
      </c>
      <c r="M102" s="447">
        <f t="shared" si="45"/>
        <v>61.359983034646575</v>
      </c>
      <c r="N102" s="447">
        <f t="shared" si="45"/>
        <v>62.04424362250532</v>
      </c>
    </row>
    <row r="103" spans="1:14">
      <c r="B103" s="331" t="str">
        <f t="shared" si="33"/>
        <v>Total</v>
      </c>
      <c r="C103" s="447">
        <f>SUM(C93:C102)</f>
        <v>6344.3370991885904</v>
      </c>
      <c r="D103" s="447">
        <f t="shared" ref="D103:N103" si="46">SUM(D93:D102)</f>
        <v>6415.1640103822147</v>
      </c>
      <c r="E103" s="447">
        <f t="shared" si="46"/>
        <v>6466.4390060624428</v>
      </c>
      <c r="F103" s="447">
        <f t="shared" si="46"/>
        <v>6533.5048087105051</v>
      </c>
      <c r="G103" s="447">
        <f t="shared" si="46"/>
        <v>6583.5197506427821</v>
      </c>
      <c r="H103" s="447">
        <f t="shared" si="46"/>
        <v>6632.1020474329252</v>
      </c>
      <c r="I103" s="447">
        <f t="shared" si="46"/>
        <v>6677.1171989857648</v>
      </c>
      <c r="J103" s="447">
        <f t="shared" si="46"/>
        <v>6748.8241489955071</v>
      </c>
      <c r="K103" s="447">
        <f t="shared" si="46"/>
        <v>6786.4902848073289</v>
      </c>
      <c r="L103" s="447">
        <f t="shared" si="46"/>
        <v>6785.815991188786</v>
      </c>
      <c r="M103" s="447">
        <f t="shared" si="46"/>
        <v>6761.0906337669867</v>
      </c>
      <c r="N103" s="447">
        <f t="shared" si="46"/>
        <v>6745.6053052611223</v>
      </c>
    </row>
    <row r="104" spans="1:14">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4" ht="15.75">
      <c r="B106" s="333" t="s">
        <v>164</v>
      </c>
      <c r="H106" s="318"/>
    </row>
    <row r="107" spans="1:14">
      <c r="H107" s="318"/>
    </row>
    <row r="108" spans="1:14">
      <c r="B108" s="334" t="s">
        <v>46</v>
      </c>
      <c r="H108" s="318"/>
    </row>
    <row r="109" spans="1:14">
      <c r="H109" s="318"/>
    </row>
    <row r="110" spans="1:14">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4">
      <c r="B111" s="331" t="str">
        <f t="shared" si="48"/>
        <v>20-24</v>
      </c>
      <c r="C111" s="447">
        <f>C77*Group_2_rates!E74</f>
        <v>27.650552364246689</v>
      </c>
      <c r="D111" s="447">
        <f>D77*Group_2_rates!F74</f>
        <v>34.949449874188886</v>
      </c>
      <c r="E111" s="447">
        <f>E77*Group_2_rates!G74</f>
        <v>42.141799818237317</v>
      </c>
      <c r="F111" s="447">
        <f>F77*Group_2_rates!H74</f>
        <v>45.883232264255923</v>
      </c>
      <c r="G111" s="447">
        <f>G77*Group_2_rates!I74</f>
        <v>49.08692268867815</v>
      </c>
      <c r="H111" s="447">
        <f>H77*Group_2_rates!J74</f>
        <v>51.431087649686262</v>
      </c>
      <c r="I111" s="447">
        <f>I77*Group_2_rates!K74</f>
        <v>53.140235272454142</v>
      </c>
      <c r="J111" s="447">
        <f>J77*Group_2_rates!L74</f>
        <v>55.077711868600659</v>
      </c>
      <c r="K111" s="447">
        <f>K77*Group_2_rates!M74</f>
        <v>55.899707160000645</v>
      </c>
      <c r="L111" s="447">
        <f>L77*Group_2_rates!N74</f>
        <v>55.765117777236725</v>
      </c>
      <c r="M111" s="447">
        <f>M77*Group_2_rates!O74</f>
        <v>55.183520626267679</v>
      </c>
      <c r="N111" s="447">
        <f>N77*Group_2_rates!P74</f>
        <v>54.965072663174389</v>
      </c>
    </row>
    <row r="112" spans="1:14">
      <c r="B112" s="331" t="str">
        <f t="shared" si="48"/>
        <v>25-29</v>
      </c>
      <c r="C112" s="447">
        <f>C78*Group_2_rates!E75</f>
        <v>88.404526779138209</v>
      </c>
      <c r="D112" s="447">
        <f>D78*Group_2_rates!F75</f>
        <v>83.310805362388834</v>
      </c>
      <c r="E112" s="447">
        <f>E78*Group_2_rates!G75</f>
        <v>86.570957852327354</v>
      </c>
      <c r="F112" s="447">
        <f>F78*Group_2_rates!H75</f>
        <v>86.446943252284683</v>
      </c>
      <c r="G112" s="447">
        <f>G78*Group_2_rates!I75</f>
        <v>88.396376526501825</v>
      </c>
      <c r="H112" s="447">
        <f>H78*Group_2_rates!J75</f>
        <v>90.429793574567896</v>
      </c>
      <c r="I112" s="447">
        <f>I78*Group_2_rates!K75</f>
        <v>92.333988009004244</v>
      </c>
      <c r="J112" s="447">
        <f>J78*Group_2_rates!L75</f>
        <v>94.837969082663051</v>
      </c>
      <c r="K112" s="447">
        <f>K78*Group_2_rates!M75</f>
        <v>96.284565698399661</v>
      </c>
      <c r="L112" s="447">
        <f>L78*Group_2_rates!N75</f>
        <v>96.592157671109788</v>
      </c>
      <c r="M112" s="447">
        <f>M78*Group_2_rates!O75</f>
        <v>96.204494708547031</v>
      </c>
      <c r="N112" s="447">
        <f>N78*Group_2_rates!P75</f>
        <v>96.057872037608263</v>
      </c>
    </row>
    <row r="113" spans="1:14">
      <c r="B113" s="331" t="str">
        <f t="shared" si="48"/>
        <v>30-34</v>
      </c>
      <c r="C113" s="447">
        <f>C79*Group_2_rates!E76</f>
        <v>76.82625643257731</v>
      </c>
      <c r="D113" s="447">
        <f>D79*Group_2_rates!F76</f>
        <v>71.520812954698016</v>
      </c>
      <c r="E113" s="447">
        <f>E79*Group_2_rates!G76</f>
        <v>72.193253487019064</v>
      </c>
      <c r="F113" s="447">
        <f>F79*Group_2_rates!H76</f>
        <v>69.502398270455174</v>
      </c>
      <c r="G113" s="447">
        <f>G79*Group_2_rates!I76</f>
        <v>68.803502746725158</v>
      </c>
      <c r="H113" s="447">
        <f>H79*Group_2_rates!J76</f>
        <v>68.57228582877309</v>
      </c>
      <c r="I113" s="447">
        <f>I79*Group_2_rates!K76</f>
        <v>68.674482451368846</v>
      </c>
      <c r="J113" s="447">
        <f>J79*Group_2_rates!L76</f>
        <v>69.315044319444141</v>
      </c>
      <c r="K113" s="447">
        <f>K79*Group_2_rates!M76</f>
        <v>69.829508626696395</v>
      </c>
      <c r="L113" s="447">
        <f>L79*Group_2_rates!N76</f>
        <v>70.045741917386849</v>
      </c>
      <c r="M113" s="447">
        <f>M79*Group_2_rates!O76</f>
        <v>70.013169437150154</v>
      </c>
      <c r="N113" s="447">
        <f>N79*Group_2_rates!P76</f>
        <v>70.030167830506088</v>
      </c>
    </row>
    <row r="114" spans="1:14">
      <c r="B114" s="331" t="str">
        <f t="shared" si="48"/>
        <v>35-39</v>
      </c>
      <c r="C114" s="447">
        <f>C80*Group_2_rates!E77</f>
        <v>63.399474140142374</v>
      </c>
      <c r="D114" s="447">
        <f>D80*Group_2_rates!F77</f>
        <v>61.482078029232298</v>
      </c>
      <c r="E114" s="447">
        <f>E80*Group_2_rates!G77</f>
        <v>63.770537803799918</v>
      </c>
      <c r="F114" s="447">
        <f>F80*Group_2_rates!H77</f>
        <v>62.260325828768458</v>
      </c>
      <c r="G114" s="447">
        <f>G80*Group_2_rates!I77</f>
        <v>61.900228127138703</v>
      </c>
      <c r="H114" s="447">
        <f>H80*Group_2_rates!J77</f>
        <v>61.556581008108353</v>
      </c>
      <c r="I114" s="447">
        <f>I80*Group_2_rates!K77</f>
        <v>61.288760728220986</v>
      </c>
      <c r="J114" s="447">
        <f>J80*Group_2_rates!L77</f>
        <v>61.308113836205663</v>
      </c>
      <c r="K114" s="447">
        <f>K80*Group_2_rates!M77</f>
        <v>61.287076633144828</v>
      </c>
      <c r="L114" s="447">
        <f>L80*Group_2_rates!N77</f>
        <v>61.16639021409383</v>
      </c>
      <c r="M114" s="447">
        <f>M80*Group_2_rates!O77</f>
        <v>60.981179089068149</v>
      </c>
      <c r="N114" s="447">
        <f>N80*Group_2_rates!P77</f>
        <v>60.887465868786585</v>
      </c>
    </row>
    <row r="115" spans="1:14">
      <c r="B115" s="331" t="str">
        <f t="shared" si="48"/>
        <v>40-44</v>
      </c>
      <c r="C115" s="447">
        <f>C81*Group_2_rates!E78</f>
        <v>56.999632073059708</v>
      </c>
      <c r="D115" s="447">
        <f>D81*Group_2_rates!F78</f>
        <v>55.738689798737639</v>
      </c>
      <c r="E115" s="447">
        <f>E81*Group_2_rates!G78</f>
        <v>58.620128750298349</v>
      </c>
      <c r="F115" s="447">
        <f>F81*Group_2_rates!H78</f>
        <v>58.090621317981771</v>
      </c>
      <c r="G115" s="447">
        <f>G81*Group_2_rates!I78</f>
        <v>58.533629065557783</v>
      </c>
      <c r="H115" s="447">
        <f>H81*Group_2_rates!J78</f>
        <v>58.823809092122943</v>
      </c>
      <c r="I115" s="447">
        <f>I81*Group_2_rates!K78</f>
        <v>58.994645235223452</v>
      </c>
      <c r="J115" s="447">
        <f>J81*Group_2_rates!L78</f>
        <v>59.239876103764423</v>
      </c>
      <c r="K115" s="447">
        <f>K81*Group_2_rates!M78</f>
        <v>59.310075351631092</v>
      </c>
      <c r="L115" s="447">
        <f>L81*Group_2_rates!N78</f>
        <v>59.201608253895223</v>
      </c>
      <c r="M115" s="447">
        <f>M81*Group_2_rates!O78</f>
        <v>58.989824772069113</v>
      </c>
      <c r="N115" s="447">
        <f>N81*Group_2_rates!P78</f>
        <v>58.839209518481788</v>
      </c>
    </row>
    <row r="116" spans="1:14">
      <c r="B116" s="331" t="str">
        <f t="shared" si="48"/>
        <v>45-49</v>
      </c>
      <c r="C116" s="447">
        <f>C82*Group_2_rates!E79</f>
        <v>58.678874868884684</v>
      </c>
      <c r="D116" s="447">
        <f>D82*Group_2_rates!F79</f>
        <v>56.94752126984887</v>
      </c>
      <c r="E116" s="447">
        <f>E82*Group_2_rates!G79</f>
        <v>59.697667752979086</v>
      </c>
      <c r="F116" s="447">
        <f>F82*Group_2_rates!H79</f>
        <v>59.154162007824119</v>
      </c>
      <c r="G116" s="447">
        <f>G82*Group_2_rates!I79</f>
        <v>59.795930699929862</v>
      </c>
      <c r="H116" s="447">
        <f>H82*Group_2_rates!J79</f>
        <v>60.390466118592656</v>
      </c>
      <c r="I116" s="447">
        <f>I82*Group_2_rates!K79</f>
        <v>60.907611626333065</v>
      </c>
      <c r="J116" s="447">
        <f>J82*Group_2_rates!L79</f>
        <v>61.487776240917412</v>
      </c>
      <c r="K116" s="447">
        <f>K82*Group_2_rates!M79</f>
        <v>61.85185627206922</v>
      </c>
      <c r="L116" s="447">
        <f>L82*Group_2_rates!N79</f>
        <v>61.978969337825355</v>
      </c>
      <c r="M116" s="447">
        <f>M82*Group_2_rates!O79</f>
        <v>61.940558151553553</v>
      </c>
      <c r="N116" s="447">
        <f>N82*Group_2_rates!P79</f>
        <v>61.905620038201377</v>
      </c>
    </row>
    <row r="117" spans="1:14">
      <c r="B117" s="331" t="str">
        <f t="shared" si="48"/>
        <v>50-54</v>
      </c>
      <c r="C117" s="447">
        <f>C83*Group_2_rates!E80</f>
        <v>32.037876046547012</v>
      </c>
      <c r="D117" s="447">
        <f>D83*Group_2_rates!F80</f>
        <v>32.110135787899743</v>
      </c>
      <c r="E117" s="447">
        <f>E83*Group_2_rates!G80</f>
        <v>34.355258289192989</v>
      </c>
      <c r="F117" s="447">
        <f>F83*Group_2_rates!H80</f>
        <v>34.526092009600667</v>
      </c>
      <c r="G117" s="447">
        <f>G83*Group_2_rates!I80</f>
        <v>35.242321233591269</v>
      </c>
      <c r="H117" s="447">
        <f>H83*Group_2_rates!J80</f>
        <v>35.864761948695957</v>
      </c>
      <c r="I117" s="447">
        <f>I83*Group_2_rates!K80</f>
        <v>36.407734210744159</v>
      </c>
      <c r="J117" s="447">
        <f>J83*Group_2_rates!L80</f>
        <v>36.965538205441469</v>
      </c>
      <c r="K117" s="447">
        <f>K83*Group_2_rates!M80</f>
        <v>37.384391566003728</v>
      </c>
      <c r="L117" s="447">
        <f>L83*Group_2_rates!N80</f>
        <v>37.649991509044035</v>
      </c>
      <c r="M117" s="447">
        <f>M83*Group_2_rates!O80</f>
        <v>37.798841748455608</v>
      </c>
      <c r="N117" s="447">
        <f>N83*Group_2_rates!P80</f>
        <v>37.92409987497431</v>
      </c>
    </row>
    <row r="118" spans="1:14">
      <c r="B118" s="331" t="str">
        <f t="shared" si="48"/>
        <v>55-59</v>
      </c>
      <c r="C118" s="447">
        <f>C84*Group_2_rates!E81</f>
        <v>17.676051635779782</v>
      </c>
      <c r="D118" s="447">
        <f>D84*Group_2_rates!F81</f>
        <v>16.136526132463477</v>
      </c>
      <c r="E118" s="447">
        <f>E84*Group_2_rates!G81</f>
        <v>16.406628458453284</v>
      </c>
      <c r="F118" s="447">
        <f>F84*Group_2_rates!H81</f>
        <v>16.069669244246096</v>
      </c>
      <c r="G118" s="447">
        <f>G84*Group_2_rates!I81</f>
        <v>16.198957907459246</v>
      </c>
      <c r="H118" s="447">
        <f>H84*Group_2_rates!J81</f>
        <v>16.39662322777237</v>
      </c>
      <c r="I118" s="447">
        <f>I84*Group_2_rates!K81</f>
        <v>16.617656701821296</v>
      </c>
      <c r="J118" s="447">
        <f>J84*Group_2_rates!L81</f>
        <v>16.888051124567781</v>
      </c>
      <c r="K118" s="447">
        <f>K84*Group_2_rates!M81</f>
        <v>17.099156731552025</v>
      </c>
      <c r="L118" s="447">
        <f>L84*Group_2_rates!N81</f>
        <v>17.239985236599185</v>
      </c>
      <c r="M118" s="447">
        <f>M84*Group_2_rates!O81</f>
        <v>17.330355716808445</v>
      </c>
      <c r="N118" s="447">
        <f>N84*Group_2_rates!P81</f>
        <v>17.42054586770092</v>
      </c>
    </row>
    <row r="119" spans="1:14">
      <c r="B119" s="331" t="str">
        <f t="shared" si="48"/>
        <v>60-64</v>
      </c>
      <c r="C119" s="447">
        <f>C85*Group_2_rates!E82</f>
        <v>4.4971842632654386</v>
      </c>
      <c r="D119" s="447">
        <f>D85*Group_2_rates!F82</f>
        <v>4.4428322926038737</v>
      </c>
      <c r="E119" s="447">
        <f>E85*Group_2_rates!G82</f>
        <v>4.5773903147131509</v>
      </c>
      <c r="F119" s="447">
        <f>F85*Group_2_rates!H82</f>
        <v>4.4505263353597107</v>
      </c>
      <c r="G119" s="447">
        <f>G85*Group_2_rates!I82</f>
        <v>4.4307546418741302</v>
      </c>
      <c r="H119" s="447">
        <f>H85*Group_2_rates!J82</f>
        <v>4.4370399446356634</v>
      </c>
      <c r="I119" s="447">
        <f>I85*Group_2_rates!K82</f>
        <v>4.462831336227282</v>
      </c>
      <c r="J119" s="447">
        <f>J85*Group_2_rates!L82</f>
        <v>4.519031930204461</v>
      </c>
      <c r="K119" s="447">
        <f>K85*Group_2_rates!M82</f>
        <v>4.562189727251253</v>
      </c>
      <c r="L119" s="447">
        <f>L85*Group_2_rates!N82</f>
        <v>4.5875161245101577</v>
      </c>
      <c r="M119" s="447">
        <f>M85*Group_2_rates!O82</f>
        <v>4.6020605014107661</v>
      </c>
      <c r="N119" s="447">
        <f>N85*Group_2_rates!P82</f>
        <v>4.6237664339011744</v>
      </c>
    </row>
    <row r="120" spans="1:14">
      <c r="B120" s="331" t="str">
        <f t="shared" si="48"/>
        <v>65 plus</v>
      </c>
      <c r="C120" s="447">
        <f>C86*Group_2_rates!E83</f>
        <v>2.9025390866872129</v>
      </c>
      <c r="D120" s="447">
        <f>D86*Group_2_rates!F83</f>
        <v>4.0078543611527486</v>
      </c>
      <c r="E120" s="447">
        <f>E86*Group_2_rates!G83</f>
        <v>4.934139742616126</v>
      </c>
      <c r="F120" s="447">
        <f>F86*Group_2_rates!H83</f>
        <v>5.2635985001446297</v>
      </c>
      <c r="G120" s="447">
        <f>G86*Group_2_rates!I83</f>
        <v>5.5001886263287334</v>
      </c>
      <c r="H120" s="447">
        <f>H86*Group_2_rates!J83</f>
        <v>5.631586400668172</v>
      </c>
      <c r="I120" s="447">
        <f>I86*Group_2_rates!K83</f>
        <v>5.7124330590754955</v>
      </c>
      <c r="J120" s="447">
        <f>J86*Group_2_rates!L83</f>
        <v>5.7966547085938034</v>
      </c>
      <c r="K120" s="447">
        <f>K86*Group_2_rates!M83</f>
        <v>5.8497369752260742</v>
      </c>
      <c r="L120" s="447">
        <f>L86*Group_2_rates!N83</f>
        <v>5.8728711770664361</v>
      </c>
      <c r="M120" s="447">
        <f>M86*Group_2_rates!O83</f>
        <v>5.8791212198186482</v>
      </c>
      <c r="N120" s="447">
        <f>N86*Group_2_rates!P83</f>
        <v>5.8954016823444029</v>
      </c>
    </row>
    <row r="121" spans="1:14">
      <c r="B121" s="331" t="str">
        <f t="shared" si="48"/>
        <v>Total</v>
      </c>
      <c r="C121" s="447">
        <f>SUM(C111:C120)</f>
        <v>429.07296769032854</v>
      </c>
      <c r="D121" s="447">
        <f t="shared" ref="D121:N121" si="50">SUM(D111:D120)</f>
        <v>420.64670586321444</v>
      </c>
      <c r="E121" s="447">
        <f t="shared" si="50"/>
        <v>443.26776226963665</v>
      </c>
      <c r="F121" s="447">
        <f t="shared" si="50"/>
        <v>441.64756903092132</v>
      </c>
      <c r="G121" s="447">
        <f t="shared" si="50"/>
        <v>447.88881226378481</v>
      </c>
      <c r="H121" s="447">
        <f t="shared" si="50"/>
        <v>453.53403479362339</v>
      </c>
      <c r="I121" s="447">
        <f t="shared" si="50"/>
        <v>458.54037863047301</v>
      </c>
      <c r="J121" s="447">
        <f t="shared" si="50"/>
        <v>465.43576742040284</v>
      </c>
      <c r="K121" s="447">
        <f t="shared" si="50"/>
        <v>469.35826474197489</v>
      </c>
      <c r="L121" s="447">
        <f t="shared" si="50"/>
        <v>470.10034921876758</v>
      </c>
      <c r="M121" s="447">
        <f t="shared" si="50"/>
        <v>468.92312597114926</v>
      </c>
      <c r="N121" s="447">
        <f t="shared" si="50"/>
        <v>468.54922181567929</v>
      </c>
    </row>
    <row r="122" spans="1:14">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4">
      <c r="B127" s="331" t="str">
        <f t="shared" si="52"/>
        <v>20-24</v>
      </c>
      <c r="C127" s="447">
        <f>C93*Group_2_rates!E89</f>
        <v>42.407061743317847</v>
      </c>
      <c r="D127" s="447">
        <f>D93*Group_2_rates!F89</f>
        <v>48.87311992509062</v>
      </c>
      <c r="E127" s="447">
        <f>E93*Group_2_rates!G89</f>
        <v>53.929655482260387</v>
      </c>
      <c r="F127" s="447">
        <f>F93*Group_2_rates!H89</f>
        <v>58.366567103373981</v>
      </c>
      <c r="G127" s="447">
        <f>G93*Group_2_rates!I89</f>
        <v>60.905140141464294</v>
      </c>
      <c r="H127" s="447">
        <f>H93*Group_2_rates!J89</f>
        <v>62.834863379359852</v>
      </c>
      <c r="I127" s="447">
        <f>I93*Group_2_rates!K89</f>
        <v>64.29045988737218</v>
      </c>
      <c r="J127" s="447">
        <f>J93*Group_2_rates!L89</f>
        <v>66.181013507651571</v>
      </c>
      <c r="K127" s="447">
        <f>K93*Group_2_rates!M89</f>
        <v>66.911857329896336</v>
      </c>
      <c r="L127" s="447">
        <f>L93*Group_2_rates!N89</f>
        <v>66.616051496984667</v>
      </c>
      <c r="M127" s="447">
        <f>M93*Group_2_rates!O89</f>
        <v>65.84672420735815</v>
      </c>
      <c r="N127" s="447">
        <f>N93*Group_2_rates!P89</f>
        <v>65.518468340498245</v>
      </c>
    </row>
    <row r="128" spans="1:14">
      <c r="B128" s="331" t="str">
        <f t="shared" si="52"/>
        <v>25-29</v>
      </c>
      <c r="C128" s="447">
        <f>C94*Group_2_rates!E90</f>
        <v>124.02814112849778</v>
      </c>
      <c r="D128" s="447">
        <f>D94*Group_2_rates!F90</f>
        <v>117.65237756076419</v>
      </c>
      <c r="E128" s="447">
        <f>E94*Group_2_rates!G90</f>
        <v>115.27839402997037</v>
      </c>
      <c r="F128" s="447">
        <f>F94*Group_2_rates!H90</f>
        <v>115.08529851888996</v>
      </c>
      <c r="G128" s="447">
        <f>G94*Group_2_rates!I90</f>
        <v>114.33160241361391</v>
      </c>
      <c r="H128" s="447">
        <f>H94*Group_2_rates!J90</f>
        <v>114.38264429899398</v>
      </c>
      <c r="I128" s="447">
        <f>I94*Group_2_rates!K90</f>
        <v>114.85041297561617</v>
      </c>
      <c r="J128" s="447">
        <f>J94*Group_2_rates!L90</f>
        <v>116.43356888989872</v>
      </c>
      <c r="K128" s="447">
        <f>K94*Group_2_rates!M90</f>
        <v>117.1659795401153</v>
      </c>
      <c r="L128" s="447">
        <f>L94*Group_2_rates!N90</f>
        <v>116.85867084902185</v>
      </c>
      <c r="M128" s="447">
        <f>M94*Group_2_rates!O90</f>
        <v>115.93652205118219</v>
      </c>
      <c r="N128" s="447">
        <f>N94*Group_2_rates!P90</f>
        <v>115.40548987999988</v>
      </c>
    </row>
    <row r="129" spans="1:14">
      <c r="B129" s="331" t="str">
        <f t="shared" si="52"/>
        <v>30-34</v>
      </c>
      <c r="C129" s="447">
        <f>C95*Group_2_rates!E91</f>
        <v>112.5504689854608</v>
      </c>
      <c r="D129" s="447">
        <f>D95*Group_2_rates!F91</f>
        <v>111.93425438192494</v>
      </c>
      <c r="E129" s="447">
        <f>E95*Group_2_rates!G91</f>
        <v>111.68736327047884</v>
      </c>
      <c r="F129" s="447">
        <f>F95*Group_2_rates!H91</f>
        <v>111.21521142578612</v>
      </c>
      <c r="G129" s="447">
        <f>G95*Group_2_rates!I91</f>
        <v>109.43697894211296</v>
      </c>
      <c r="H129" s="447">
        <f>H95*Group_2_rates!J91</f>
        <v>108.12814916918884</v>
      </c>
      <c r="I129" s="447">
        <f>I95*Group_2_rates!K91</f>
        <v>107.25088501338797</v>
      </c>
      <c r="J129" s="447">
        <f>J95*Group_2_rates!L91</f>
        <v>107.20180756268215</v>
      </c>
      <c r="K129" s="447">
        <f>K95*Group_2_rates!M91</f>
        <v>107.05170570060653</v>
      </c>
      <c r="L129" s="447">
        <f>L95*Group_2_rates!N91</f>
        <v>106.57473390257091</v>
      </c>
      <c r="M129" s="447">
        <f>M95*Group_2_rates!O91</f>
        <v>105.85147543459526</v>
      </c>
      <c r="N129" s="447">
        <f>N95*Group_2_rates!P91</f>
        <v>105.31551887580099</v>
      </c>
    </row>
    <row r="130" spans="1:14">
      <c r="B130" s="331" t="str">
        <f t="shared" si="52"/>
        <v>35-39</v>
      </c>
      <c r="C130" s="447">
        <f>C96*Group_2_rates!E92</f>
        <v>98.671270085633878</v>
      </c>
      <c r="D130" s="447">
        <f>D96*Group_2_rates!F92</f>
        <v>97.978612779329936</v>
      </c>
      <c r="E130" s="447">
        <f>E96*Group_2_rates!G92</f>
        <v>98.416078119946775</v>
      </c>
      <c r="F130" s="447">
        <f>F96*Group_2_rates!H92</f>
        <v>98.587176772874443</v>
      </c>
      <c r="G130" s="447">
        <f>G96*Group_2_rates!I92</f>
        <v>97.355242859743356</v>
      </c>
      <c r="H130" s="447">
        <f>H96*Group_2_rates!J92</f>
        <v>96.217848276571161</v>
      </c>
      <c r="I130" s="447">
        <f>I96*Group_2_rates!K92</f>
        <v>95.209775874973957</v>
      </c>
      <c r="J130" s="447">
        <f>J96*Group_2_rates!L92</f>
        <v>94.64114977055948</v>
      </c>
      <c r="K130" s="447">
        <f>K96*Group_2_rates!M92</f>
        <v>94.006296613555662</v>
      </c>
      <c r="L130" s="447">
        <f>L96*Group_2_rates!N92</f>
        <v>93.230074511083572</v>
      </c>
      <c r="M130" s="447">
        <f>M96*Group_2_rates!O92</f>
        <v>92.384748456919382</v>
      </c>
      <c r="N130" s="447">
        <f>N96*Group_2_rates!P92</f>
        <v>91.724525047679975</v>
      </c>
    </row>
    <row r="131" spans="1:14">
      <c r="B131" s="331" t="str">
        <f t="shared" si="52"/>
        <v>40-44</v>
      </c>
      <c r="C131" s="447">
        <f>C97*Group_2_rates!E93</f>
        <v>75.12248429094636</v>
      </c>
      <c r="D131" s="447">
        <f>D97*Group_2_rates!F93</f>
        <v>78.104393228715608</v>
      </c>
      <c r="E131" s="447">
        <f>E97*Group_2_rates!G93</f>
        <v>81.050136994887751</v>
      </c>
      <c r="F131" s="447">
        <f>F97*Group_2_rates!H93</f>
        <v>83.216958608955707</v>
      </c>
      <c r="G131" s="447">
        <f>G97*Group_2_rates!I93</f>
        <v>83.754111367958714</v>
      </c>
      <c r="H131" s="447">
        <f>H97*Group_2_rates!J93</f>
        <v>83.975495621690854</v>
      </c>
      <c r="I131" s="447">
        <f>I97*Group_2_rates!K93</f>
        <v>83.968750315851068</v>
      </c>
      <c r="J131" s="447">
        <f>J97*Group_2_rates!L93</f>
        <v>84.035023596722525</v>
      </c>
      <c r="K131" s="447">
        <f>K97*Group_2_rates!M93</f>
        <v>83.816128985176675</v>
      </c>
      <c r="L131" s="447">
        <f>L97*Group_2_rates!N93</f>
        <v>83.316303849122775</v>
      </c>
      <c r="M131" s="447">
        <f>M97*Group_2_rates!O93</f>
        <v>82.655929262395475</v>
      </c>
      <c r="N131" s="447">
        <f>N97*Group_2_rates!P93</f>
        <v>82.085095556826246</v>
      </c>
    </row>
    <row r="132" spans="1:14">
      <c r="B132" s="331" t="str">
        <f t="shared" si="52"/>
        <v>45-49</v>
      </c>
      <c r="C132" s="447">
        <f>C98*Group_2_rates!E94</f>
        <v>57.192439552020886</v>
      </c>
      <c r="D132" s="447">
        <f>D98*Group_2_rates!F94</f>
        <v>61.285875557515539</v>
      </c>
      <c r="E132" s="447">
        <f>E98*Group_2_rates!G94</f>
        <v>65.569862332220907</v>
      </c>
      <c r="F132" s="447">
        <f>F98*Group_2_rates!H94</f>
        <v>69.246872404509659</v>
      </c>
      <c r="G132" s="447">
        <f>G98*Group_2_rates!I94</f>
        <v>71.443936574715948</v>
      </c>
      <c r="H132" s="447">
        <f>H98*Group_2_rates!J94</f>
        <v>73.183223532064389</v>
      </c>
      <c r="I132" s="447">
        <f>I98*Group_2_rates!K94</f>
        <v>74.516580211676796</v>
      </c>
      <c r="J132" s="447">
        <f>J98*Group_2_rates!L94</f>
        <v>75.699207575987231</v>
      </c>
      <c r="K132" s="447">
        <f>K98*Group_2_rates!M94</f>
        <v>76.426007547609672</v>
      </c>
      <c r="L132" s="447">
        <f>L98*Group_2_rates!N94</f>
        <v>76.7132633203056</v>
      </c>
      <c r="M132" s="447">
        <f>M98*Group_2_rates!O94</f>
        <v>76.686808870427924</v>
      </c>
      <c r="N132" s="447">
        <f>N98*Group_2_rates!P94</f>
        <v>76.591217759430037</v>
      </c>
    </row>
    <row r="133" spans="1:14">
      <c r="B133" s="331" t="str">
        <f t="shared" si="52"/>
        <v>50-54</v>
      </c>
      <c r="C133" s="447">
        <f>C99*Group_2_rates!E95</f>
        <v>36.251981509465942</v>
      </c>
      <c r="D133" s="447">
        <f>D99*Group_2_rates!F95</f>
        <v>39.595966162193214</v>
      </c>
      <c r="E133" s="447">
        <f>E99*Group_2_rates!G95</f>
        <v>43.177594065143204</v>
      </c>
      <c r="F133" s="447">
        <f>F99*Group_2_rates!H95</f>
        <v>46.505503132464483</v>
      </c>
      <c r="G133" s="447">
        <f>G99*Group_2_rates!I95</f>
        <v>48.918968676005406</v>
      </c>
      <c r="H133" s="447">
        <f>H99*Group_2_rates!J95</f>
        <v>51.048076918515896</v>
      </c>
      <c r="I133" s="447">
        <f>I99*Group_2_rates!K95</f>
        <v>52.885579166157022</v>
      </c>
      <c r="J133" s="447">
        <f>J99*Group_2_rates!L95</f>
        <v>54.583756671035616</v>
      </c>
      <c r="K133" s="447">
        <f>K99*Group_2_rates!M95</f>
        <v>55.889936427404095</v>
      </c>
      <c r="L133" s="447">
        <f>L99*Group_2_rates!N95</f>
        <v>56.798243627799735</v>
      </c>
      <c r="M133" s="447">
        <f>M99*Group_2_rates!O95</f>
        <v>57.39106976669138</v>
      </c>
      <c r="N133" s="447">
        <f>N99*Group_2_rates!P95</f>
        <v>57.845065591540759</v>
      </c>
    </row>
    <row r="134" spans="1:14">
      <c r="B134" s="331" t="str">
        <f t="shared" si="52"/>
        <v>55-59</v>
      </c>
      <c r="C134" s="447">
        <f>C100*Group_2_rates!E96</f>
        <v>16.547718998139359</v>
      </c>
      <c r="D134" s="447">
        <f>D100*Group_2_rates!F96</f>
        <v>15.639545588451867</v>
      </c>
      <c r="E134" s="447">
        <f>E100*Group_2_rates!G96</f>
        <v>15.61661034866807</v>
      </c>
      <c r="F134" s="447">
        <f>F100*Group_2_rates!H96</f>
        <v>16.010466617739546</v>
      </c>
      <c r="G134" s="447">
        <f>G100*Group_2_rates!I96</f>
        <v>16.417514916488127</v>
      </c>
      <c r="H134" s="447">
        <f>H100*Group_2_rates!J96</f>
        <v>16.943157068835983</v>
      </c>
      <c r="I134" s="447">
        <f>I100*Group_2_rates!K96</f>
        <v>17.506445365402147</v>
      </c>
      <c r="J134" s="447">
        <f>J100*Group_2_rates!L96</f>
        <v>18.118822310488106</v>
      </c>
      <c r="K134" s="447">
        <f>K100*Group_2_rates!M96</f>
        <v>18.634924177095197</v>
      </c>
      <c r="L134" s="447">
        <f>L100*Group_2_rates!N96</f>
        <v>19.03285206462759</v>
      </c>
      <c r="M134" s="447">
        <f>M100*Group_2_rates!O96</f>
        <v>19.333418047050944</v>
      </c>
      <c r="N134" s="447">
        <f>N100*Group_2_rates!P96</f>
        <v>19.598336234725792</v>
      </c>
    </row>
    <row r="135" spans="1:14">
      <c r="B135" s="331" t="str">
        <f t="shared" si="52"/>
        <v>60-64</v>
      </c>
      <c r="C135" s="447">
        <f>C101*Group_2_rates!E97</f>
        <v>7.1849208318829758</v>
      </c>
      <c r="D135" s="447">
        <f>D101*Group_2_rates!F97</f>
        <v>7.0703101459977846</v>
      </c>
      <c r="E135" s="447">
        <f>E101*Group_2_rates!G97</f>
        <v>6.941904049051856</v>
      </c>
      <c r="F135" s="447">
        <f>F101*Group_2_rates!H97</f>
        <v>6.8858951582139598</v>
      </c>
      <c r="G135" s="447">
        <f>G101*Group_2_rates!I97</f>
        <v>6.8354194076597459</v>
      </c>
      <c r="H135" s="447">
        <f>H101*Group_2_rates!J97</f>
        <v>6.8795630153303478</v>
      </c>
      <c r="I135" s="447">
        <f>I101*Group_2_rates!K97</f>
        <v>6.9881954341524866</v>
      </c>
      <c r="J135" s="447">
        <f>J101*Group_2_rates!L97</f>
        <v>7.167905058549473</v>
      </c>
      <c r="K135" s="447">
        <f>K101*Group_2_rates!M97</f>
        <v>7.3293418051085446</v>
      </c>
      <c r="L135" s="447">
        <f>L101*Group_2_rates!N97</f>
        <v>7.4574527290776675</v>
      </c>
      <c r="M135" s="447">
        <f>M101*Group_2_rates!O97</f>
        <v>7.5606551728025053</v>
      </c>
      <c r="N135" s="447">
        <f>N101*Group_2_rates!P97</f>
        <v>7.6687721128904949</v>
      </c>
    </row>
    <row r="136" spans="1:14">
      <c r="B136" s="331" t="str">
        <f t="shared" si="52"/>
        <v>65 plus</v>
      </c>
      <c r="C136" s="447">
        <f>C102*Group_2_rates!E98</f>
        <v>1.6329764546986196</v>
      </c>
      <c r="D136" s="447">
        <f>D102*Group_2_rates!F98</f>
        <v>3.0816590348974668</v>
      </c>
      <c r="E136" s="447">
        <f>E102*Group_2_rates!G98</f>
        <v>4.0122491604830515</v>
      </c>
      <c r="F136" s="447">
        <f>F102*Group_2_rates!H98</f>
        <v>4.586071963135419</v>
      </c>
      <c r="G136" s="447">
        <f>G102*Group_2_rates!I98</f>
        <v>4.8754048557934393</v>
      </c>
      <c r="H136" s="447">
        <f>H102*Group_2_rates!J98</f>
        <v>5.0500296030443206</v>
      </c>
      <c r="I136" s="447">
        <f>I102*Group_2_rates!K98</f>
        <v>5.1712642581481569</v>
      </c>
      <c r="J136" s="447">
        <f>J102*Group_2_rates!L98</f>
        <v>5.2948581775308154</v>
      </c>
      <c r="K136" s="447">
        <f>K102*Group_2_rates!M98</f>
        <v>5.3920639248790341</v>
      </c>
      <c r="L136" s="447">
        <f>L102*Group_2_rates!N98</f>
        <v>5.4627700112882067</v>
      </c>
      <c r="M136" s="447">
        <f>M102*Group_2_rates!O98</f>
        <v>5.517164007820428</v>
      </c>
      <c r="N136" s="447">
        <f>N102*Group_2_rates!P98</f>
        <v>5.5786890881838413</v>
      </c>
    </row>
    <row r="137" spans="1:14">
      <c r="B137" s="331" t="str">
        <f t="shared" si="52"/>
        <v>Total</v>
      </c>
      <c r="C137" s="447">
        <f>SUM(C127:C136)</f>
        <v>571.58946358006438</v>
      </c>
      <c r="D137" s="447">
        <f t="shared" ref="D137:N137" si="54">SUM(D127:D136)</f>
        <v>581.21611436488126</v>
      </c>
      <c r="E137" s="447">
        <f t="shared" si="54"/>
        <v>595.67984785311114</v>
      </c>
      <c r="F137" s="447">
        <f t="shared" si="54"/>
        <v>609.70602170594327</v>
      </c>
      <c r="G137" s="447">
        <f t="shared" si="54"/>
        <v>614.27432015555587</v>
      </c>
      <c r="H137" s="447">
        <f t="shared" si="54"/>
        <v>618.64305088359561</v>
      </c>
      <c r="I137" s="447">
        <f t="shared" si="54"/>
        <v>622.63834850273804</v>
      </c>
      <c r="J137" s="447">
        <f t="shared" si="54"/>
        <v>629.35711312110561</v>
      </c>
      <c r="K137" s="447">
        <f t="shared" si="54"/>
        <v>632.62424205144703</v>
      </c>
      <c r="L137" s="447">
        <f t="shared" si="54"/>
        <v>632.06041636188252</v>
      </c>
      <c r="M137" s="447">
        <f t="shared" si="54"/>
        <v>629.16451527724371</v>
      </c>
      <c r="N137" s="447">
        <f t="shared" si="54"/>
        <v>627.33117848757627</v>
      </c>
    </row>
    <row r="138" spans="1:14">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0.12446865954736525</v>
      </c>
      <c r="D147" s="447">
        <f>D79*Calc_SEC_retirement_rates!$G126</f>
        <v>0.12019468373754896</v>
      </c>
      <c r="E147" s="447">
        <f>E79*Calc_SEC_retirement_rates!$G126</f>
        <v>0.1169364699758015</v>
      </c>
      <c r="F147" s="447">
        <f>F79*Calc_SEC_retirement_rates!$G126</f>
        <v>0.11473229794701574</v>
      </c>
      <c r="G147" s="447">
        <f>G79*Calc_SEC_retirement_rates!$G126</f>
        <v>0.11357858395357338</v>
      </c>
      <c r="H147" s="447">
        <f>H79*Calc_SEC_retirement_rates!$G126</f>
        <v>0.1131968985875859</v>
      </c>
      <c r="I147" s="447">
        <f>I79*Calc_SEC_retirement_rates!$G126</f>
        <v>0.11336560144740965</v>
      </c>
      <c r="J147" s="447">
        <f>J79*Calc_SEC_retirement_rates!$G126</f>
        <v>0.11442302013986293</v>
      </c>
      <c r="K147" s="447">
        <f>K79*Calc_SEC_retirement_rates!$G126</f>
        <v>0.11527228108123481</v>
      </c>
      <c r="L147" s="447">
        <f>L79*Calc_SEC_retirement_rates!$G126</f>
        <v>0.11562923196280039</v>
      </c>
      <c r="M147" s="447">
        <f>M79*Calc_SEC_retirement_rates!$G126</f>
        <v>0.11557546237210443</v>
      </c>
      <c r="N147" s="447">
        <f>N79*Calc_SEC_retirement_rates!$G126</f>
        <v>0.11560352276684857</v>
      </c>
    </row>
    <row r="148" spans="1:14">
      <c r="B148" s="331" t="str">
        <f t="shared" si="56"/>
        <v>35-39</v>
      </c>
      <c r="C148" s="447">
        <f>C80*Calc_SEC_retirement_rates!$G127</f>
        <v>0.25399808526787593</v>
      </c>
      <c r="D148" s="447">
        <f>D80*Calc_SEC_retirement_rates!$G127</f>
        <v>0.25550288048370756</v>
      </c>
      <c r="E148" s="447">
        <f>E80*Calc_SEC_retirement_rates!$G127</f>
        <v>0.25542764001436763</v>
      </c>
      <c r="F148" s="447">
        <f>F80*Calc_SEC_retirement_rates!$G127</f>
        <v>0.2541509495199939</v>
      </c>
      <c r="G148" s="447">
        <f>G80*Calc_SEC_retirement_rates!$G127</f>
        <v>0.25268100583481512</v>
      </c>
      <c r="H148" s="447">
        <f>H80*Calc_SEC_retirement_rates!$G127</f>
        <v>0.25127821456382859</v>
      </c>
      <c r="I148" s="447">
        <f>I80*Calc_SEC_retirement_rates!$G127</f>
        <v>0.25018495368656807</v>
      </c>
      <c r="J148" s="447">
        <f>J80*Calc_SEC_retirement_rates!$G127</f>
        <v>0.25026395440982158</v>
      </c>
      <c r="K148" s="447">
        <f>K80*Calc_SEC_retirement_rates!$G127</f>
        <v>0.25017807909416934</v>
      </c>
      <c r="L148" s="447">
        <f>L80*Calc_SEC_retirement_rates!$G127</f>
        <v>0.24968542879740832</v>
      </c>
      <c r="M148" s="447">
        <f>M80*Calc_SEC_retirement_rates!$G127</f>
        <v>0.2489293841950013</v>
      </c>
      <c r="N148" s="447">
        <f>N80*Calc_SEC_retirement_rates!$G127</f>
        <v>0.24854684035829477</v>
      </c>
    </row>
    <row r="149" spans="1:14">
      <c r="B149" s="331" t="str">
        <f t="shared" si="56"/>
        <v>40-44</v>
      </c>
      <c r="C149" s="447">
        <f>C81*Calc_SEC_retirement_rates!$G128</f>
        <v>0.45218643780580714</v>
      </c>
      <c r="D149" s="447">
        <f>D81*Calc_SEC_retirement_rates!$G128</f>
        <v>0.45867462228272271</v>
      </c>
      <c r="E149" s="447">
        <f>E81*Calc_SEC_retirement_rates!$G128</f>
        <v>0.46493824546486745</v>
      </c>
      <c r="F149" s="447">
        <f>F81*Calc_SEC_retirement_rates!$G128</f>
        <v>0.46955564089750934</v>
      </c>
      <c r="G149" s="447">
        <f>G81*Calc_SEC_retirement_rates!$G128</f>
        <v>0.47313654229116037</v>
      </c>
      <c r="H149" s="447">
        <f>H81*Calc_SEC_retirement_rates!$G128</f>
        <v>0.47548211314680006</v>
      </c>
      <c r="I149" s="447">
        <f>I81*Calc_SEC_retirement_rates!$G128</f>
        <v>0.47686300859673714</v>
      </c>
      <c r="J149" s="447">
        <f>J81*Calc_SEC_retirement_rates!$G128</f>
        <v>0.47884524832895303</v>
      </c>
      <c r="K149" s="447">
        <f>K81*Calc_SEC_retirement_rates!$G128</f>
        <v>0.47941267990525038</v>
      </c>
      <c r="L149" s="447">
        <f>L81*Calc_SEC_retirement_rates!$G128</f>
        <v>0.47853592327159578</v>
      </c>
      <c r="M149" s="447">
        <f>M81*Calc_SEC_retirement_rates!$G128</f>
        <v>0.47682404403387824</v>
      </c>
      <c r="N149" s="447">
        <f>N81*Calc_SEC_retirement_rates!$G128</f>
        <v>0.47560659721849624</v>
      </c>
    </row>
    <row r="150" spans="1:14">
      <c r="B150" s="331" t="str">
        <f t="shared" si="56"/>
        <v>45-49</v>
      </c>
      <c r="C150" s="447">
        <f>C82*Calc_SEC_retirement_rates!$G129</f>
        <v>0.84531615837880703</v>
      </c>
      <c r="D150" s="447">
        <f>D82*Calc_SEC_retirement_rates!$G129</f>
        <v>0.85097087046942399</v>
      </c>
      <c r="E150" s="447">
        <f>E82*Calc_SEC_retirement_rates!$G129</f>
        <v>0.85980067452629272</v>
      </c>
      <c r="F150" s="447">
        <f>F82*Calc_SEC_retirement_rates!$G129</f>
        <v>0.86827692500231124</v>
      </c>
      <c r="G150" s="447">
        <f>G82*Calc_SEC_retirement_rates!$G129</f>
        <v>0.87769693751927713</v>
      </c>
      <c r="H150" s="447">
        <f>H82*Calc_SEC_retirement_rates!$G129</f>
        <v>0.88642365035908055</v>
      </c>
      <c r="I150" s="447">
        <f>I82*Calc_SEC_retirement_rates!$G129</f>
        <v>0.89401441821038086</v>
      </c>
      <c r="J150" s="447">
        <f>J82*Calc_SEC_retirement_rates!$G129</f>
        <v>0.90253019343985375</v>
      </c>
      <c r="K150" s="447">
        <f>K82*Calc_SEC_retirement_rates!$G129</f>
        <v>0.90787423482550333</v>
      </c>
      <c r="L150" s="447">
        <f>L82*Calc_SEC_retirement_rates!$G129</f>
        <v>0.90974002648100427</v>
      </c>
      <c r="M150" s="447">
        <f>M82*Calc_SEC_retirement_rates!$G129</f>
        <v>0.90917621920912783</v>
      </c>
      <c r="N150" s="447">
        <f>N82*Calc_SEC_retirement_rates!$G129</f>
        <v>0.90866339041404165</v>
      </c>
    </row>
    <row r="151" spans="1:14">
      <c r="B151" s="331" t="str">
        <f t="shared" si="56"/>
        <v>50-54</v>
      </c>
      <c r="C151" s="447">
        <f>C83*Calc_SEC_retirement_rates!$G130</f>
        <v>13.699737640782445</v>
      </c>
      <c r="D151" s="447">
        <f>D83*Calc_SEC_retirement_rates!$G130</f>
        <v>14.242727045728419</v>
      </c>
      <c r="E151" s="447">
        <f>E83*Calc_SEC_retirement_rates!$G130</f>
        <v>14.687395023528099</v>
      </c>
      <c r="F151" s="447">
        <f>F83*Calc_SEC_retirement_rates!$G130</f>
        <v>15.042898229026427</v>
      </c>
      <c r="G151" s="447">
        <f>G83*Calc_SEC_retirement_rates!$G130</f>
        <v>15.354956811334242</v>
      </c>
      <c r="H151" s="447">
        <f>H83*Calc_SEC_retirement_rates!$G130</f>
        <v>15.626152066456617</v>
      </c>
      <c r="I151" s="447">
        <f>I83*Calc_SEC_retirement_rates!$G130</f>
        <v>15.862723192922484</v>
      </c>
      <c r="J151" s="447">
        <f>J83*Calc_SEC_retirement_rates!$G130</f>
        <v>16.105756453728333</v>
      </c>
      <c r="K151" s="447">
        <f>K83*Calc_SEC_retirement_rates!$G130</f>
        <v>16.288249406422537</v>
      </c>
      <c r="L151" s="447">
        <f>L83*Calc_SEC_retirement_rates!$G130</f>
        <v>16.403970378019309</v>
      </c>
      <c r="M151" s="447">
        <f>M83*Calc_SEC_retirement_rates!$G130</f>
        <v>16.468823909725472</v>
      </c>
      <c r="N151" s="447">
        <f>N83*Calc_SEC_retirement_rates!$G130</f>
        <v>16.523398439882413</v>
      </c>
    </row>
    <row r="152" spans="1:14">
      <c r="B152" s="331" t="str">
        <f t="shared" si="56"/>
        <v>55-59</v>
      </c>
      <c r="C152" s="447">
        <f>C84*Calc_SEC_retirement_rates!$G131</f>
        <v>60.318850566797451</v>
      </c>
      <c r="D152" s="447">
        <f>D84*Calc_SEC_retirement_rates!$G131</f>
        <v>57.118963359217808</v>
      </c>
      <c r="E152" s="447">
        <f>E84*Calc_SEC_retirement_rates!$G131</f>
        <v>55.974492266392573</v>
      </c>
      <c r="F152" s="447">
        <f>F84*Calc_SEC_retirement_rates!$G131</f>
        <v>55.8740682278344</v>
      </c>
      <c r="G152" s="447">
        <f>G84*Calc_SEC_retirement_rates!$G131</f>
        <v>56.323603528135841</v>
      </c>
      <c r="H152" s="447">
        <f>H84*Calc_SEC_retirement_rates!$G131</f>
        <v>57.010883734441691</v>
      </c>
      <c r="I152" s="447">
        <f>I84*Calc_SEC_retirement_rates!$G131</f>
        <v>57.779414761554591</v>
      </c>
      <c r="J152" s="447">
        <f>J84*Calc_SEC_retirement_rates!$G131</f>
        <v>58.71957327977502</v>
      </c>
      <c r="K152" s="447">
        <f>K84*Calc_SEC_retirement_rates!$G131</f>
        <v>59.453585219201813</v>
      </c>
      <c r="L152" s="447">
        <f>L84*Calc_SEC_retirement_rates!$G131</f>
        <v>59.943244426235367</v>
      </c>
      <c r="M152" s="447">
        <f>M84*Calc_SEC_retirement_rates!$G131</f>
        <v>60.257461620145705</v>
      </c>
      <c r="N152" s="447">
        <f>N84*Calc_SEC_retirement_rates!$G131</f>
        <v>60.571051810948745</v>
      </c>
    </row>
    <row r="153" spans="1:14">
      <c r="B153" s="331" t="str">
        <f t="shared" si="56"/>
        <v>60-64</v>
      </c>
      <c r="C153" s="447">
        <f>C85*Calc_SEC_retirement_rates!$G132</f>
        <v>35.092886995832245</v>
      </c>
      <c r="D153" s="447">
        <f>D85*Calc_SEC_retirement_rates!$G132</f>
        <v>35.961749479001277</v>
      </c>
      <c r="E153" s="447">
        <f>E85*Calc_SEC_retirement_rates!$G132</f>
        <v>35.710784102120769</v>
      </c>
      <c r="F153" s="447">
        <f>F85*Calc_SEC_retirement_rates!$G132</f>
        <v>35.385501191632521</v>
      </c>
      <c r="G153" s="447">
        <f>G85*Calc_SEC_retirement_rates!$G132</f>
        <v>35.228299271977313</v>
      </c>
      <c r="H153" s="447">
        <f>H85*Calc_SEC_retirement_rates!$G132</f>
        <v>35.278272819283607</v>
      </c>
      <c r="I153" s="447">
        <f>I85*Calc_SEC_retirement_rates!$G132</f>
        <v>35.483336501448143</v>
      </c>
      <c r="J153" s="447">
        <f>J85*Calc_SEC_retirement_rates!$G132</f>
        <v>35.930179421879743</v>
      </c>
      <c r="K153" s="447">
        <f>K85*Calc_SEC_retirement_rates!$G132</f>
        <v>36.273320921053475</v>
      </c>
      <c r="L153" s="447">
        <f>L85*Calc_SEC_retirement_rates!$G132</f>
        <v>36.474687499488141</v>
      </c>
      <c r="M153" s="447">
        <f>M85*Calc_SEC_retirement_rates!$G132</f>
        <v>36.590327769282524</v>
      </c>
      <c r="N153" s="447">
        <f>N85*Calc_SEC_retirement_rates!$G132</f>
        <v>36.762908547853016</v>
      </c>
    </row>
    <row r="154" spans="1:14">
      <c r="B154" s="331" t="str">
        <f t="shared" si="56"/>
        <v>65 plus</v>
      </c>
      <c r="C154" s="447">
        <f>C86*Calc_SEC_retirement_rates!$G133</f>
        <v>7.0625585760975182</v>
      </c>
      <c r="D154" s="447">
        <f>D86*Calc_SEC_retirement_rates!$G133</f>
        <v>10.11575712116462</v>
      </c>
      <c r="E154" s="447">
        <f>E86*Calc_SEC_retirement_rates!$G133</f>
        <v>12.003239050626988</v>
      </c>
      <c r="F154" s="447">
        <f>F86*Calc_SEC_retirement_rates!$G133</f>
        <v>13.049753278027199</v>
      </c>
      <c r="G154" s="447">
        <f>G86*Calc_SEC_retirement_rates!$G133</f>
        <v>13.636318300916965</v>
      </c>
      <c r="H154" s="447">
        <f>H86*Calc_SEC_retirement_rates!$G133</f>
        <v>13.962085651212481</v>
      </c>
      <c r="I154" s="447">
        <f>I86*Calc_SEC_retirement_rates!$G133</f>
        <v>14.162524371137552</v>
      </c>
      <c r="J154" s="447">
        <f>J86*Calc_SEC_retirement_rates!$G133</f>
        <v>14.37133052283248</v>
      </c>
      <c r="K154" s="447">
        <f>K86*Calc_SEC_retirement_rates!$G133</f>
        <v>14.502934497370157</v>
      </c>
      <c r="L154" s="447">
        <f>L86*Calc_SEC_retirement_rates!$G133</f>
        <v>14.560289864861145</v>
      </c>
      <c r="M154" s="447">
        <f>M86*Calc_SEC_retirement_rates!$G133</f>
        <v>14.57578525568384</v>
      </c>
      <c r="N154" s="447">
        <f>N86*Calc_SEC_retirement_rates!$G133</f>
        <v>14.616148520322552</v>
      </c>
    </row>
    <row r="155" spans="1:14">
      <c r="B155" s="331" t="str">
        <f t="shared" si="56"/>
        <v>Total</v>
      </c>
      <c r="C155" s="447">
        <f>SUM(C145:C154)</f>
        <v>117.85000312050951</v>
      </c>
      <c r="D155" s="447">
        <f t="shared" ref="D155:N155" si="58">SUM(D145:D154)</f>
        <v>119.12454006208552</v>
      </c>
      <c r="E155" s="447">
        <f t="shared" si="58"/>
        <v>120.07301347264976</v>
      </c>
      <c r="F155" s="447">
        <f t="shared" si="58"/>
        <v>121.05893673988737</v>
      </c>
      <c r="G155" s="447">
        <f t="shared" si="58"/>
        <v>122.2602709819632</v>
      </c>
      <c r="H155" s="447">
        <f t="shared" si="58"/>
        <v>123.60377514805168</v>
      </c>
      <c r="I155" s="447">
        <f t="shared" si="58"/>
        <v>125.02242680900386</v>
      </c>
      <c r="J155" s="447">
        <f t="shared" si="58"/>
        <v>126.87290209453407</v>
      </c>
      <c r="K155" s="447">
        <f t="shared" si="58"/>
        <v>128.27082731895413</v>
      </c>
      <c r="L155" s="447">
        <f t="shared" si="58"/>
        <v>129.13578277911677</v>
      </c>
      <c r="M155" s="447">
        <f t="shared" si="58"/>
        <v>129.64290366464766</v>
      </c>
      <c r="N155" s="447">
        <f t="shared" si="58"/>
        <v>130.2219276697644</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0.10084716911633364</v>
      </c>
      <c r="D163" s="447">
        <f>D95*Calc_SEC_retirement_rates!$G142</f>
        <v>9.9801796880164897E-2</v>
      </c>
      <c r="E163" s="447">
        <f>E95*Calc_SEC_retirement_rates!$G142</f>
        <v>9.7951109432701938E-2</v>
      </c>
      <c r="F163" s="447">
        <f>F95*Calc_SEC_retirement_rates!$G142</f>
        <v>9.6299058634007006E-2</v>
      </c>
      <c r="G163" s="447">
        <f>G95*Calc_SEC_retirement_rates!$G142</f>
        <v>9.4759322189551229E-2</v>
      </c>
      <c r="H163" s="447">
        <f>H95*Calc_SEC_retirement_rates!$G142</f>
        <v>9.3626032296658654E-2</v>
      </c>
      <c r="I163" s="447">
        <f>I95*Calc_SEC_retirement_rates!$G142</f>
        <v>9.2866426562029869E-2</v>
      </c>
      <c r="J163" s="447">
        <f>J95*Calc_SEC_retirement_rates!$G142</f>
        <v>9.2823931365172002E-2</v>
      </c>
      <c r="K163" s="447">
        <f>K95*Calc_SEC_retirement_rates!$G142</f>
        <v>9.2693961122506593E-2</v>
      </c>
      <c r="L163" s="447">
        <f>L95*Calc_SEC_retirement_rates!$G142</f>
        <v>9.2280960647509069E-2</v>
      </c>
      <c r="M163" s="447">
        <f>M95*Calc_SEC_retirement_rates!$G142</f>
        <v>9.1654705401286687E-2</v>
      </c>
      <c r="N163" s="447">
        <f>N95*Calc_SEC_retirement_rates!$G142</f>
        <v>9.1190631185008725E-2</v>
      </c>
    </row>
    <row r="164" spans="1:14">
      <c r="B164" s="331" t="str">
        <f t="shared" si="60"/>
        <v>35-39</v>
      </c>
      <c r="C164" s="447">
        <f>C96*Calc_SEC_retirement_rates!$G143</f>
        <v>0.36134228093684229</v>
      </c>
      <c r="D164" s="447">
        <f>D96*Calc_SEC_retirement_rates!$G143</f>
        <v>0.35704116983466072</v>
      </c>
      <c r="E164" s="447">
        <f>E96*Calc_SEC_retirement_rates!$G143</f>
        <v>0.3527630072111379</v>
      </c>
      <c r="F164" s="447">
        <f>F96*Calc_SEC_retirement_rates!$G143</f>
        <v>0.34889113976360853</v>
      </c>
      <c r="G164" s="447">
        <f>G96*Calc_SEC_retirement_rates!$G143</f>
        <v>0.3445314365939362</v>
      </c>
      <c r="H164" s="447">
        <f>H96*Calc_SEC_retirement_rates!$G143</f>
        <v>0.34050629959870493</v>
      </c>
      <c r="I164" s="447">
        <f>I96*Calc_SEC_retirement_rates!$G143</f>
        <v>0.33693882215721421</v>
      </c>
      <c r="J164" s="447">
        <f>J96*Calc_SEC_retirement_rates!$G143</f>
        <v>0.33492650558458775</v>
      </c>
      <c r="K164" s="447">
        <f>K96*Calc_SEC_retirement_rates!$G143</f>
        <v>0.33267981743730601</v>
      </c>
      <c r="L164" s="447">
        <f>L96*Calc_SEC_retirement_rates!$G143</f>
        <v>0.32993283732380602</v>
      </c>
      <c r="M164" s="447">
        <f>M96*Calc_SEC_retirement_rates!$G143</f>
        <v>0.32694130454882181</v>
      </c>
      <c r="N164" s="447">
        <f>N96*Calc_SEC_retirement_rates!$G143</f>
        <v>0.32460483336374241</v>
      </c>
    </row>
    <row r="165" spans="1:14">
      <c r="B165" s="331" t="str">
        <f t="shared" si="60"/>
        <v>40-44</v>
      </c>
      <c r="C165" s="447">
        <f>C97*Calc_SEC_retirement_rates!$G144</f>
        <v>0.67286429814935145</v>
      </c>
      <c r="D165" s="447">
        <f>D97*Calc_SEC_retirement_rates!$G144</f>
        <v>0.6961325706914252</v>
      </c>
      <c r="E165" s="447">
        <f>E97*Calc_SEC_retirement_rates!$G144</f>
        <v>0.71055911626880353</v>
      </c>
      <c r="F165" s="447">
        <f>F97*Calc_SEC_retirement_rates!$G144</f>
        <v>0.7202957137978121</v>
      </c>
      <c r="G165" s="447">
        <f>G97*Calc_SEC_retirement_rates!$G144</f>
        <v>0.72494511262747441</v>
      </c>
      <c r="H165" s="447">
        <f>H97*Calc_SEC_retirement_rates!$G144</f>
        <v>0.72686133417331233</v>
      </c>
      <c r="I165" s="447">
        <f>I97*Calc_SEC_retirement_rates!$G144</f>
        <v>0.72680294926035871</v>
      </c>
      <c r="J165" s="447">
        <f>J97*Calc_SEC_retirement_rates!$G144</f>
        <v>0.72737658666490912</v>
      </c>
      <c r="K165" s="447">
        <f>K97*Calc_SEC_retirement_rates!$G144</f>
        <v>0.72548191455593669</v>
      </c>
      <c r="L165" s="447">
        <f>L97*Calc_SEC_retirement_rates!$G144</f>
        <v>0.72115561004822437</v>
      </c>
      <c r="M165" s="447">
        <f>M97*Calc_SEC_retirement_rates!$G144</f>
        <v>0.71543964791416137</v>
      </c>
      <c r="N165" s="447">
        <f>N97*Calc_SEC_retirement_rates!$G144</f>
        <v>0.71049871906641349</v>
      </c>
    </row>
    <row r="166" spans="1:14">
      <c r="B166" s="331" t="str">
        <f t="shared" si="60"/>
        <v>45-49</v>
      </c>
      <c r="C166" s="447">
        <f>C98*Calc_SEC_retirement_rates!$G145</f>
        <v>0.73663592077015683</v>
      </c>
      <c r="D166" s="447">
        <f>D98*Calc_SEC_retirement_rates!$G145</f>
        <v>0.78547725388958023</v>
      </c>
      <c r="E166" s="447">
        <f>E98*Calc_SEC_retirement_rates!$G145</f>
        <v>0.82662295479038261</v>
      </c>
      <c r="F166" s="447">
        <f>F98*Calc_SEC_retirement_rates!$G145</f>
        <v>0.8618980159699644</v>
      </c>
      <c r="G166" s="447">
        <f>G98*Calc_SEC_retirement_rates!$G145</f>
        <v>0.88924430878442784</v>
      </c>
      <c r="H166" s="447">
        <f>H98*Calc_SEC_retirement_rates!$G145</f>
        <v>0.91089276633474203</v>
      </c>
      <c r="I166" s="447">
        <f>I98*Calc_SEC_retirement_rates!$G145</f>
        <v>0.92748871409141487</v>
      </c>
      <c r="J166" s="447">
        <f>J98*Calc_SEC_retirement_rates!$G145</f>
        <v>0.94220857281624837</v>
      </c>
      <c r="K166" s="447">
        <f>K98*Calc_SEC_retirement_rates!$G145</f>
        <v>0.95125486518724667</v>
      </c>
      <c r="L166" s="447">
        <f>L98*Calc_SEC_retirement_rates!$G145</f>
        <v>0.95483026393040227</v>
      </c>
      <c r="M166" s="447">
        <f>M98*Calc_SEC_retirement_rates!$G145</f>
        <v>0.95450099219477857</v>
      </c>
      <c r="N166" s="447">
        <f>N98*Calc_SEC_retirement_rates!$G145</f>
        <v>0.95331119421470289</v>
      </c>
    </row>
    <row r="167" spans="1:14">
      <c r="B167" s="331" t="str">
        <f t="shared" si="60"/>
        <v>50-54</v>
      </c>
      <c r="C167" s="447">
        <f>C99*Calc_SEC_retirement_rates!$G146</f>
        <v>10.952888019614218</v>
      </c>
      <c r="D167" s="447">
        <f>D99*Calc_SEC_retirement_rates!$G146</f>
        <v>11.904380217314497</v>
      </c>
      <c r="E167" s="447">
        <f>E99*Calc_SEC_retirement_rates!$G146</f>
        <v>12.768628611658636</v>
      </c>
      <c r="F167" s="447">
        <f>F99*Calc_SEC_retirement_rates!$G146</f>
        <v>13.578215350356793</v>
      </c>
      <c r="G167" s="447">
        <f>G99*Calc_SEC_retirement_rates!$G146</f>
        <v>14.282875071971292</v>
      </c>
      <c r="H167" s="447">
        <f>H99*Calc_SEC_retirement_rates!$G146</f>
        <v>14.904510970387065</v>
      </c>
      <c r="I167" s="447">
        <f>I99*Calc_SEC_retirement_rates!$G146</f>
        <v>15.441006643902719</v>
      </c>
      <c r="J167" s="447">
        <f>J99*Calc_SEC_retirement_rates!$G146</f>
        <v>15.936823661486528</v>
      </c>
      <c r="K167" s="447">
        <f>K99*Calc_SEC_retirement_rates!$G146</f>
        <v>16.31818906608672</v>
      </c>
      <c r="L167" s="447">
        <f>L99*Calc_SEC_retirement_rates!$G146</f>
        <v>16.583387589713531</v>
      </c>
      <c r="M167" s="447">
        <f>M99*Calc_SEC_retirement_rates!$G146</f>
        <v>16.756475083386345</v>
      </c>
      <c r="N167" s="447">
        <f>N99*Calc_SEC_retirement_rates!$G146</f>
        <v>16.889028279519049</v>
      </c>
    </row>
    <row r="168" spans="1:14">
      <c r="B168" s="331" t="str">
        <f t="shared" si="60"/>
        <v>55-59</v>
      </c>
      <c r="C168" s="447">
        <f>C100*Calc_SEC_retirement_rates!$G147</f>
        <v>57.094315254885508</v>
      </c>
      <c r="D168" s="447">
        <f>D100*Calc_SEC_retirement_rates!$G147</f>
        <v>53.695489886512718</v>
      </c>
      <c r="E168" s="447">
        <f>E100*Calc_SEC_retirement_rates!$G147</f>
        <v>52.738821906896014</v>
      </c>
      <c r="F168" s="447">
        <f>F100*Calc_SEC_retirement_rates!$G147</f>
        <v>53.382654791936019</v>
      </c>
      <c r="G168" s="447">
        <f>G100*Calc_SEC_retirement_rates!$G147</f>
        <v>54.739849390603382</v>
      </c>
      <c r="H168" s="447">
        <f>H100*Calc_SEC_retirement_rates!$G147</f>
        <v>56.492463741754484</v>
      </c>
      <c r="I168" s="447">
        <f>I100*Calc_SEC_retirement_rates!$G147</f>
        <v>58.370599176646301</v>
      </c>
      <c r="J168" s="447">
        <f>J100*Calc_SEC_retirement_rates!$G147</f>
        <v>60.412407691199114</v>
      </c>
      <c r="K168" s="447">
        <f>K100*Calc_SEC_retirement_rates!$G147</f>
        <v>62.133212489732202</v>
      </c>
      <c r="L168" s="447">
        <f>L100*Calc_SEC_retirement_rates!$G147</f>
        <v>63.459997496028613</v>
      </c>
      <c r="M168" s="447">
        <f>M100*Calc_SEC_retirement_rates!$G147</f>
        <v>64.462155051144919</v>
      </c>
      <c r="N168" s="447">
        <f>N100*Calc_SEC_retirement_rates!$G147</f>
        <v>65.345454488844155</v>
      </c>
    </row>
    <row r="169" spans="1:14">
      <c r="B169" s="331" t="str">
        <f t="shared" si="60"/>
        <v>60-64</v>
      </c>
      <c r="C169" s="447">
        <f>C101*Calc_SEC_retirement_rates!$G148</f>
        <v>41.737361514430958</v>
      </c>
      <c r="D169" s="447">
        <f>D101*Calc_SEC_retirement_rates!$G148</f>
        <v>40.86960272650672</v>
      </c>
      <c r="E169" s="447">
        <f>E101*Calc_SEC_retirement_rates!$G148</f>
        <v>39.470309240923086</v>
      </c>
      <c r="F169" s="447">
        <f>F101*Calc_SEC_retirement_rates!$G148</f>
        <v>38.654926981446742</v>
      </c>
      <c r="G169" s="447">
        <f>G101*Calc_SEC_retirement_rates!$G148</f>
        <v>38.371574358849898</v>
      </c>
      <c r="H169" s="447">
        <f>H101*Calc_SEC_retirement_rates!$G148</f>
        <v>38.619380619618951</v>
      </c>
      <c r="I169" s="447">
        <f>I101*Calc_SEC_retirement_rates!$G148</f>
        <v>39.229203761114015</v>
      </c>
      <c r="J169" s="447">
        <f>J101*Calc_SEC_retirement_rates!$G148</f>
        <v>40.238028648702134</v>
      </c>
      <c r="K169" s="447">
        <f>K101*Calc_SEC_retirement_rates!$G148</f>
        <v>41.144276203592561</v>
      </c>
      <c r="L169" s="447">
        <f>L101*Calc_SEC_retirement_rates!$G148</f>
        <v>41.863444633806736</v>
      </c>
      <c r="M169" s="447">
        <f>M101*Calc_SEC_retirement_rates!$G148</f>
        <v>42.4427858573994</v>
      </c>
      <c r="N169" s="447">
        <f>N101*Calc_SEC_retirement_rates!$G148</f>
        <v>43.049715287565554</v>
      </c>
    </row>
    <row r="170" spans="1:14">
      <c r="B170" s="331" t="str">
        <f t="shared" si="60"/>
        <v>65 plus</v>
      </c>
      <c r="C170" s="447">
        <f>C102*Calc_SEC_retirement_rates!$G149</f>
        <v>5.2369794377776326</v>
      </c>
      <c r="D170" s="447">
        <f>D102*Calc_SEC_retirement_rates!$G149</f>
        <v>9.8343232305771391</v>
      </c>
      <c r="E170" s="447">
        <f>E102*Calc_SEC_retirement_rates!$G149</f>
        <v>12.594408027586091</v>
      </c>
      <c r="F170" s="447">
        <f>F102*Calc_SEC_retirement_rates!$G149</f>
        <v>14.212918261429325</v>
      </c>
      <c r="G170" s="447">
        <f>G102*Calc_SEC_retirement_rates!$G149</f>
        <v>15.109603875337543</v>
      </c>
      <c r="H170" s="447">
        <f>H102*Calc_SEC_retirement_rates!$G149</f>
        <v>15.650791907067136</v>
      </c>
      <c r="I170" s="447">
        <f>I102*Calc_SEC_retirement_rates!$G149</f>
        <v>16.026516112289887</v>
      </c>
      <c r="J170" s="447">
        <f>J102*Calc_SEC_retirement_rates!$G149</f>
        <v>16.409552027974566</v>
      </c>
      <c r="K170" s="447">
        <f>K102*Calc_SEC_retirement_rates!$G149</f>
        <v>16.71080707863819</v>
      </c>
      <c r="L170" s="447">
        <f>L102*Calc_SEC_retirement_rates!$G149</f>
        <v>16.929935743604027</v>
      </c>
      <c r="M170" s="447">
        <f>M102*Calc_SEC_retirement_rates!$G149</f>
        <v>17.098510818927611</v>
      </c>
      <c r="N170" s="447">
        <f>N102*Calc_SEC_retirement_rates!$G149</f>
        <v>17.289186182345855</v>
      </c>
    </row>
    <row r="171" spans="1:14">
      <c r="B171" s="331" t="str">
        <f t="shared" si="60"/>
        <v>Total</v>
      </c>
      <c r="C171" s="447">
        <f>SUM(C161:C170)</f>
        <v>116.89323389568101</v>
      </c>
      <c r="D171" s="447">
        <f t="shared" ref="D171:N171" si="62">SUM(D161:D170)</f>
        <v>118.24224885220691</v>
      </c>
      <c r="E171" s="447">
        <f t="shared" si="62"/>
        <v>119.56006397476685</v>
      </c>
      <c r="F171" s="447">
        <f t="shared" si="62"/>
        <v>121.85609931333427</v>
      </c>
      <c r="G171" s="447">
        <f t="shared" si="62"/>
        <v>124.5573828769575</v>
      </c>
      <c r="H171" s="447">
        <f t="shared" si="62"/>
        <v>127.73903367123106</v>
      </c>
      <c r="I171" s="447">
        <f t="shared" si="62"/>
        <v>131.15142260602394</v>
      </c>
      <c r="J171" s="447">
        <f t="shared" si="62"/>
        <v>135.09414762579325</v>
      </c>
      <c r="K171" s="447">
        <f t="shared" si="62"/>
        <v>138.40859539635267</v>
      </c>
      <c r="L171" s="447">
        <f t="shared" si="62"/>
        <v>140.93496513510286</v>
      </c>
      <c r="M171" s="447">
        <f t="shared" si="62"/>
        <v>142.84846346091732</v>
      </c>
      <c r="N171" s="447">
        <f t="shared" si="62"/>
        <v>144.65298961610446</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7">
      <c r="H177" s="318"/>
    </row>
    <row r="178" spans="1:17">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7">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c r="P179" s="320"/>
      <c r="Q179" s="320"/>
    </row>
    <row r="180" spans="1:17">
      <c r="B180" s="331" t="str">
        <f t="shared" si="64"/>
        <v>25-29</v>
      </c>
      <c r="C180" s="447">
        <f>C78*Calc_SEC_death_rates!$G125</f>
        <v>6.1641242019984062E-2</v>
      </c>
      <c r="D180" s="447">
        <f>D78*Calc_SEC_death_rates!$G125</f>
        <v>6.0256053737871219E-2</v>
      </c>
      <c r="E180" s="447">
        <f>E78*Calc_SEC_death_rates!$G125</f>
        <v>6.0349284284499059E-2</v>
      </c>
      <c r="F180" s="447">
        <f>F78*Calc_SEC_death_rates!$G125</f>
        <v>6.1416077937412702E-2</v>
      </c>
      <c r="G180" s="447">
        <f>G78*Calc_SEC_death_rates!$G125</f>
        <v>6.2801049359174826E-2</v>
      </c>
      <c r="H180" s="447">
        <f>H78*Calc_SEC_death_rates!$G125</f>
        <v>6.4245686904528268E-2</v>
      </c>
      <c r="I180" s="447">
        <f>I78*Calc_SEC_death_rates!$G125</f>
        <v>6.5598518472580733E-2</v>
      </c>
      <c r="J180" s="447">
        <f>J78*Calc_SEC_death_rates!$G125</f>
        <v>6.7377467397643748E-2</v>
      </c>
      <c r="K180" s="447">
        <f>K78*Calc_SEC_death_rates!$G125</f>
        <v>6.840519940474081E-2</v>
      </c>
      <c r="L180" s="447">
        <f>L78*Calc_SEC_death_rates!$G125</f>
        <v>6.8623727577723823E-2</v>
      </c>
      <c r="M180" s="447">
        <f>M78*Calc_SEC_death_rates!$G125</f>
        <v>6.8348313111619222E-2</v>
      </c>
      <c r="N180" s="447">
        <f>N78*Calc_SEC_death_rates!$G125</f>
        <v>6.8244145294378E-2</v>
      </c>
      <c r="O180" s="320"/>
      <c r="P180" s="320"/>
      <c r="Q180" s="320"/>
    </row>
    <row r="181" spans="1:17">
      <c r="B181" s="331" t="str">
        <f t="shared" si="64"/>
        <v>30-34</v>
      </c>
      <c r="C181" s="447">
        <f>C79*Calc_SEC_death_rates!$G126</f>
        <v>0.25003380377716122</v>
      </c>
      <c r="D181" s="447">
        <f>D79*Calc_SEC_death_rates!$G126</f>
        <v>0.2414482013221651</v>
      </c>
      <c r="E181" s="447">
        <f>E79*Calc_SEC_death_rates!$G126</f>
        <v>0.23490307113974515</v>
      </c>
      <c r="F181" s="447">
        <f>F79*Calc_SEC_death_rates!$G126</f>
        <v>0.23047530981781333</v>
      </c>
      <c r="G181" s="447">
        <f>G79*Calc_SEC_death_rates!$G126</f>
        <v>0.22815771839118149</v>
      </c>
      <c r="H181" s="447">
        <f>H79*Calc_SEC_death_rates!$G126</f>
        <v>0.22739098526935805</v>
      </c>
      <c r="I181" s="447">
        <f>I79*Calc_SEC_death_rates!$G126</f>
        <v>0.22772987714706616</v>
      </c>
      <c r="J181" s="447">
        <f>J79*Calc_SEC_death_rates!$G126</f>
        <v>0.22985402967526589</v>
      </c>
      <c r="K181" s="447">
        <f>K79*Calc_SEC_death_rates!$G126</f>
        <v>0.23156003297234307</v>
      </c>
      <c r="L181" s="447">
        <f>L79*Calc_SEC_death_rates!$G126</f>
        <v>0.23227707923124885</v>
      </c>
      <c r="M181" s="447">
        <f>M79*Calc_SEC_death_rates!$G126</f>
        <v>0.23216906637614027</v>
      </c>
      <c r="N181" s="447">
        <f>N79*Calc_SEC_death_rates!$G126</f>
        <v>0.2322254343587222</v>
      </c>
      <c r="O181" s="320"/>
      <c r="P181" s="320"/>
      <c r="Q181" s="320"/>
    </row>
    <row r="182" spans="1:17">
      <c r="B182" s="331" t="str">
        <f t="shared" si="64"/>
        <v>35-39</v>
      </c>
      <c r="C182" s="447">
        <f>C80*Calc_SEC_death_rates!$G127</f>
        <v>0.46627353236365932</v>
      </c>
      <c r="D182" s="447">
        <f>D80*Calc_SEC_death_rates!$G127</f>
        <v>0.46903593972602103</v>
      </c>
      <c r="E182" s="447">
        <f>E80*Calc_SEC_death_rates!$G127</f>
        <v>0.46889781805719494</v>
      </c>
      <c r="F182" s="447">
        <f>F80*Calc_SEC_death_rates!$G127</f>
        <v>0.46655415083655849</v>
      </c>
      <c r="G182" s="447">
        <f>G80*Calc_SEC_death_rates!$G127</f>
        <v>0.46385572169784622</v>
      </c>
      <c r="H182" s="447">
        <f>H80*Calc_SEC_death_rates!$G127</f>
        <v>0.46128056669066586</v>
      </c>
      <c r="I182" s="447">
        <f>I80*Calc_SEC_death_rates!$G127</f>
        <v>0.45927362789623499</v>
      </c>
      <c r="J182" s="447">
        <f>J80*Calc_SEC_death_rates!$G127</f>
        <v>0.45941865240006868</v>
      </c>
      <c r="K182" s="447">
        <f>K80*Calc_SEC_death_rates!$G127</f>
        <v>0.45926100795668717</v>
      </c>
      <c r="L182" s="447">
        <f>L80*Calc_SEC_death_rates!$G127</f>
        <v>0.45835663187114117</v>
      </c>
      <c r="M182" s="447">
        <f>M80*Calc_SEC_death_rates!$G127</f>
        <v>0.45696873326939769</v>
      </c>
      <c r="N182" s="447">
        <f>N80*Calc_SEC_death_rates!$G127</f>
        <v>0.45626648362118877</v>
      </c>
      <c r="O182" s="320"/>
      <c r="P182" s="320"/>
      <c r="Q182" s="320"/>
    </row>
    <row r="183" spans="1:17">
      <c r="B183" s="331" t="str">
        <f t="shared" si="64"/>
        <v>40-44</v>
      </c>
      <c r="C183" s="447">
        <f>C81*Calc_SEC_death_rates!$G128</f>
        <v>0.62185497515413291</v>
      </c>
      <c r="D183" s="447">
        <f>D81*Calc_SEC_death_rates!$G128</f>
        <v>0.63077764390170921</v>
      </c>
      <c r="E183" s="447">
        <f>E81*Calc_SEC_death_rates!$G128</f>
        <v>0.63939149189150724</v>
      </c>
      <c r="F183" s="447">
        <f>F81*Calc_SEC_death_rates!$G128</f>
        <v>0.64574141767870086</v>
      </c>
      <c r="G183" s="447">
        <f>G81*Calc_SEC_death_rates!$G128</f>
        <v>0.65066593809993156</v>
      </c>
      <c r="H183" s="447">
        <f>H81*Calc_SEC_death_rates!$G128</f>
        <v>0.65389160960223014</v>
      </c>
      <c r="I183" s="447">
        <f>I81*Calc_SEC_death_rates!$G128</f>
        <v>0.65579064202318882</v>
      </c>
      <c r="J183" s="447">
        <f>J81*Calc_SEC_death_rates!$G128</f>
        <v>0.65851665398720982</v>
      </c>
      <c r="K183" s="447">
        <f>K81*Calc_SEC_death_rates!$G128</f>
        <v>0.65929699616308812</v>
      </c>
      <c r="L183" s="447">
        <f>L81*Calc_SEC_death_rates!$G128</f>
        <v>0.65809126456865308</v>
      </c>
      <c r="M183" s="447">
        <f>M81*Calc_SEC_death_rates!$G128</f>
        <v>0.65573705725097386</v>
      </c>
      <c r="N183" s="447">
        <f>N81*Calc_SEC_death_rates!$G128</f>
        <v>0.65406280235114878</v>
      </c>
      <c r="O183" s="320"/>
      <c r="P183" s="320"/>
      <c r="Q183" s="320"/>
    </row>
    <row r="184" spans="1:17">
      <c r="B184" s="331" t="str">
        <f t="shared" si="64"/>
        <v>45-49</v>
      </c>
      <c r="C184" s="447">
        <f>C82*Calc_SEC_death_rates!$G129</f>
        <v>0.81050039496824533</v>
      </c>
      <c r="D184" s="447">
        <f>D82*Calc_SEC_death_rates!$G129</f>
        <v>0.81592220825957829</v>
      </c>
      <c r="E184" s="447">
        <f>E82*Calc_SEC_death_rates!$G129</f>
        <v>0.82438834203053279</v>
      </c>
      <c r="F184" s="447">
        <f>F82*Calc_SEC_death_rates!$G129</f>
        <v>0.83251548391770369</v>
      </c>
      <c r="G184" s="447">
        <f>G82*Calc_SEC_death_rates!$G129</f>
        <v>0.84154751742366352</v>
      </c>
      <c r="H184" s="447">
        <f>H82*Calc_SEC_death_rates!$G129</f>
        <v>0.84991480596219104</v>
      </c>
      <c r="I184" s="447">
        <f>I82*Calc_SEC_death_rates!$G129</f>
        <v>0.85719293531132168</v>
      </c>
      <c r="J184" s="447">
        <f>J82*Calc_SEC_death_rates!$G129</f>
        <v>0.86535797405870074</v>
      </c>
      <c r="K184" s="447">
        <f>K82*Calc_SEC_death_rates!$G129</f>
        <v>0.87048191213898374</v>
      </c>
      <c r="L184" s="447">
        <f>L82*Calc_SEC_death_rates!$G129</f>
        <v>0.87227085803658988</v>
      </c>
      <c r="M184" s="447">
        <f>M82*Calc_SEC_death_rates!$G129</f>
        <v>0.87173027211259868</v>
      </c>
      <c r="N184" s="447">
        <f>N82*Calc_SEC_death_rates!$G129</f>
        <v>0.87123856503135044</v>
      </c>
      <c r="O184" s="320"/>
      <c r="P184" s="320"/>
      <c r="Q184" s="320"/>
    </row>
    <row r="185" spans="1:17">
      <c r="B185" s="331" t="str">
        <f t="shared" si="64"/>
        <v>50-54</v>
      </c>
      <c r="C185" s="447">
        <f>C83*Calc_SEC_death_rates!$G130</f>
        <v>0.68093993127798713</v>
      </c>
      <c r="D185" s="447">
        <f>D83*Calc_SEC_death_rates!$G130</f>
        <v>0.70792900054219754</v>
      </c>
      <c r="E185" s="447">
        <f>E83*Calc_SEC_death_rates!$G130</f>
        <v>0.73003104294504328</v>
      </c>
      <c r="F185" s="447">
        <f>F83*Calc_SEC_death_rates!$G130</f>
        <v>0.74770118632067284</v>
      </c>
      <c r="G185" s="447">
        <f>G83*Calc_SEC_death_rates!$G130</f>
        <v>0.76321193223151595</v>
      </c>
      <c r="H185" s="447">
        <f>H83*Calc_SEC_death_rates!$G130</f>
        <v>0.77669158295389273</v>
      </c>
      <c r="I185" s="447">
        <f>I83*Calc_SEC_death_rates!$G130</f>
        <v>0.78845025533302482</v>
      </c>
      <c r="J185" s="447">
        <f>J83*Calc_SEC_death_rates!$G130</f>
        <v>0.80053012549190672</v>
      </c>
      <c r="K185" s="447">
        <f>K83*Calc_SEC_death_rates!$G130</f>
        <v>0.80960086406549669</v>
      </c>
      <c r="L185" s="447">
        <f>L83*Calc_SEC_death_rates!$G130</f>
        <v>0.81535272826265859</v>
      </c>
      <c r="M185" s="447">
        <f>M83*Calc_SEC_death_rates!$G130</f>
        <v>0.81857624688623187</v>
      </c>
      <c r="N185" s="447">
        <f>N83*Calc_SEC_death_rates!$G130</f>
        <v>0.82128885188561307</v>
      </c>
      <c r="O185" s="320"/>
      <c r="P185" s="320"/>
      <c r="Q185" s="320"/>
    </row>
    <row r="186" spans="1:17">
      <c r="B186" s="331" t="str">
        <f t="shared" si="64"/>
        <v>55-59</v>
      </c>
      <c r="C186" s="447">
        <f>C84*Calc_SEC_death_rates!$G131</f>
        <v>0.61211118999227665</v>
      </c>
      <c r="D186" s="447">
        <f>D84*Calc_SEC_death_rates!$G131</f>
        <v>0.57963897362761663</v>
      </c>
      <c r="E186" s="447">
        <f>E84*Calc_SEC_death_rates!$G131</f>
        <v>0.56802496646471112</v>
      </c>
      <c r="F186" s="447">
        <f>F84*Calc_SEC_death_rates!$G131</f>
        <v>0.56700587082266796</v>
      </c>
      <c r="G186" s="447">
        <f>G84*Calc_SEC_death_rates!$G131</f>
        <v>0.57156772147176704</v>
      </c>
      <c r="H186" s="447">
        <f>H84*Calc_SEC_death_rates!$G131</f>
        <v>0.57854218966847337</v>
      </c>
      <c r="I186" s="447">
        <f>I84*Calc_SEC_death_rates!$G131</f>
        <v>0.5863411851256416</v>
      </c>
      <c r="J186" s="447">
        <f>J84*Calc_SEC_death_rates!$G131</f>
        <v>0.5958818435427311</v>
      </c>
      <c r="K186" s="447">
        <f>K84*Calc_SEC_death_rates!$G131</f>
        <v>0.6033305418764886</v>
      </c>
      <c r="L186" s="447">
        <f>L84*Calc_SEC_death_rates!$G131</f>
        <v>0.60829956693402132</v>
      </c>
      <c r="M186" s="447">
        <f>M84*Calc_SEC_death_rates!$G131</f>
        <v>0.61148821954714594</v>
      </c>
      <c r="N186" s="447">
        <f>N84*Calc_SEC_death_rates!$G131</f>
        <v>0.61467050937957202</v>
      </c>
      <c r="O186" s="320"/>
      <c r="P186" s="320"/>
      <c r="Q186" s="320"/>
    </row>
    <row r="187" spans="1:17">
      <c r="B187" s="331" t="str">
        <f t="shared" si="64"/>
        <v>60-64</v>
      </c>
      <c r="C187" s="447">
        <f>C85*Calc_SEC_death_rates!$G132</f>
        <v>0.37806235008983685</v>
      </c>
      <c r="D187" s="447">
        <f>D85*Calc_SEC_death_rates!$G132</f>
        <v>0.38742277097315686</v>
      </c>
      <c r="E187" s="447">
        <f>E85*Calc_SEC_death_rates!$G132</f>
        <v>0.38471907320711402</v>
      </c>
      <c r="F187" s="447">
        <f>F85*Calc_SEC_death_rates!$G132</f>
        <v>0.38121473850823745</v>
      </c>
      <c r="G187" s="447">
        <f>G85*Calc_SEC_death_rates!$G132</f>
        <v>0.37952117231088972</v>
      </c>
      <c r="H187" s="447">
        <f>H85*Calc_SEC_death_rates!$G132</f>
        <v>0.38005954684642418</v>
      </c>
      <c r="I187" s="447">
        <f>I85*Calc_SEC_death_rates!$G132</f>
        <v>0.38226873691979735</v>
      </c>
      <c r="J187" s="447">
        <f>J85*Calc_SEC_death_rates!$G132</f>
        <v>0.38708266073972819</v>
      </c>
      <c r="K187" s="447">
        <f>K85*Calc_SEC_death_rates!$G132</f>
        <v>0.39077938941315932</v>
      </c>
      <c r="L187" s="447">
        <f>L85*Calc_SEC_death_rates!$G132</f>
        <v>0.39294874988445938</v>
      </c>
      <c r="M187" s="447">
        <f>M85*Calc_SEC_death_rates!$G132</f>
        <v>0.39419456451831042</v>
      </c>
      <c r="N187" s="447">
        <f>N85*Calc_SEC_death_rates!$G132</f>
        <v>0.39605381008948393</v>
      </c>
      <c r="O187" s="320"/>
      <c r="P187" s="320"/>
      <c r="Q187" s="320"/>
    </row>
    <row r="188" spans="1:17">
      <c r="B188" s="331" t="str">
        <f t="shared" si="64"/>
        <v>65 plus</v>
      </c>
      <c r="C188" s="447">
        <f>C86*Calc_SEC_death_rates!$G133</f>
        <v>7.9000757870019353E-2</v>
      </c>
      <c r="D188" s="447">
        <f>D86*Calc_SEC_death_rates!$G133</f>
        <v>0.11315339482007231</v>
      </c>
      <c r="E188" s="447">
        <f>E86*Calc_SEC_death_rates!$G133</f>
        <v>0.13426649445483482</v>
      </c>
      <c r="F188" s="447">
        <f>F86*Calc_SEC_death_rates!$G133</f>
        <v>0.14597265111117474</v>
      </c>
      <c r="G188" s="447">
        <f>G86*Calc_SEC_death_rates!$G133</f>
        <v>0.15253388254721073</v>
      </c>
      <c r="H188" s="447">
        <f>H86*Calc_SEC_death_rates!$G133</f>
        <v>0.15617786897017003</v>
      </c>
      <c r="I188" s="447">
        <f>I86*Calc_SEC_death_rates!$G133</f>
        <v>0.15841994747613361</v>
      </c>
      <c r="J188" s="447">
        <f>J86*Calc_SEC_death_rates!$G133</f>
        <v>0.16075562286262174</v>
      </c>
      <c r="K188" s="447">
        <f>K86*Calc_SEC_death_rates!$G133</f>
        <v>0.16222772587106546</v>
      </c>
      <c r="L188" s="447">
        <f>L86*Calc_SEC_death_rates!$G133</f>
        <v>0.1628692947091685</v>
      </c>
      <c r="M188" s="447">
        <f>M86*Calc_SEC_death_rates!$G133</f>
        <v>0.16304262390782862</v>
      </c>
      <c r="N188" s="447">
        <f>N86*Calc_SEC_death_rates!$G133</f>
        <v>0.16349412154316975</v>
      </c>
      <c r="O188" s="320"/>
      <c r="P188" s="320"/>
      <c r="Q188" s="320"/>
    </row>
    <row r="189" spans="1:17">
      <c r="B189" s="331" t="str">
        <f t="shared" si="64"/>
        <v>Total</v>
      </c>
      <c r="C189" s="447">
        <f>SUM(C179:C188)</f>
        <v>3.9604181775133029</v>
      </c>
      <c r="D189" s="447">
        <f t="shared" ref="D189:N189" si="66">SUM(D179:D188)</f>
        <v>4.0055841869103883</v>
      </c>
      <c r="E189" s="447">
        <f t="shared" si="66"/>
        <v>4.0449715844751823</v>
      </c>
      <c r="F189" s="447">
        <f t="shared" si="66"/>
        <v>4.0785968869509421</v>
      </c>
      <c r="G189" s="447">
        <f t="shared" si="66"/>
        <v>4.1138626535331815</v>
      </c>
      <c r="H189" s="447">
        <f t="shared" si="66"/>
        <v>4.1481948428679338</v>
      </c>
      <c r="I189" s="447">
        <f t="shared" si="66"/>
        <v>4.1810657257049897</v>
      </c>
      <c r="J189" s="447">
        <f t="shared" si="66"/>
        <v>4.2247750301558771</v>
      </c>
      <c r="K189" s="447">
        <f t="shared" si="66"/>
        <v>4.2549436698620529</v>
      </c>
      <c r="L189" s="447">
        <f t="shared" si="66"/>
        <v>4.2690899010756649</v>
      </c>
      <c r="M189" s="447">
        <f t="shared" si="66"/>
        <v>4.2722550969802464</v>
      </c>
      <c r="N189" s="447">
        <f t="shared" si="66"/>
        <v>4.2775447235546267</v>
      </c>
      <c r="O189" s="320"/>
      <c r="P189" s="320"/>
      <c r="Q189" s="320"/>
    </row>
    <row r="190" spans="1:17">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7">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0.13160949682844239</v>
      </c>
      <c r="D196" s="447">
        <f>D94*Calc_SEC_death_rates!$G141</f>
        <v>0.12423004691729954</v>
      </c>
      <c r="E196" s="447">
        <f>E94*Calc_SEC_death_rates!$G141</f>
        <v>0.11973023367150383</v>
      </c>
      <c r="F196" s="447">
        <f>F94*Calc_SEC_death_rates!$G141</f>
        <v>0.11801257586361844</v>
      </c>
      <c r="G196" s="447">
        <f>G94*Calc_SEC_death_rates!$G141</f>
        <v>0.11723970895579698</v>
      </c>
      <c r="H196" s="447">
        <f>H94*Calc_SEC_death_rates!$G141</f>
        <v>0.11729204912824438</v>
      </c>
      <c r="I196" s="447">
        <f>I94*Calc_SEC_death_rates!$G141</f>
        <v>0.11777171583760639</v>
      </c>
      <c r="J196" s="447">
        <f>J94*Calc_SEC_death_rates!$G141</f>
        <v>0.11939514046127836</v>
      </c>
      <c r="K196" s="447">
        <f>K94*Calc_SEC_death_rates!$G141</f>
        <v>0.12014618050318102</v>
      </c>
      <c r="L196" s="447">
        <f>L94*Calc_SEC_death_rates!$G141</f>
        <v>0.11983105519449302</v>
      </c>
      <c r="M196" s="447">
        <f>M94*Calc_SEC_death_rates!$G141</f>
        <v>0.11888545087871037</v>
      </c>
      <c r="N196" s="447">
        <f>N94*Calc_SEC_death_rates!$G141</f>
        <v>0.11834091152230085</v>
      </c>
    </row>
    <row r="197" spans="1:14">
      <c r="B197" s="331" t="str">
        <f t="shared" si="68"/>
        <v>30-34</v>
      </c>
      <c r="C197" s="447">
        <f>C95*Calc_SEC_death_rates!$G142</f>
        <v>0.11024849567460768</v>
      </c>
      <c r="D197" s="447">
        <f>D95*Calc_SEC_death_rates!$G142</f>
        <v>0.10910567017472025</v>
      </c>
      <c r="E197" s="447">
        <f>E95*Calc_SEC_death_rates!$G142</f>
        <v>0.10708245515704036</v>
      </c>
      <c r="F197" s="447">
        <f>F95*Calc_SEC_death_rates!$G142</f>
        <v>0.10527639439271642</v>
      </c>
      <c r="G197" s="447">
        <f>G95*Calc_SEC_death_rates!$G142</f>
        <v>0.10359311832037772</v>
      </c>
      <c r="H197" s="447">
        <f>H95*Calc_SEC_death_rates!$G142</f>
        <v>0.10235417917166932</v>
      </c>
      <c r="I197" s="447">
        <f>I95*Calc_SEC_death_rates!$G142</f>
        <v>0.10152376032816143</v>
      </c>
      <c r="J197" s="447">
        <f>J95*Calc_SEC_death_rates!$G142</f>
        <v>0.1014773035801136</v>
      </c>
      <c r="K197" s="447">
        <f>K95*Calc_SEC_death_rates!$G142</f>
        <v>0.10133521705590194</v>
      </c>
      <c r="L197" s="447">
        <f>L95*Calc_SEC_death_rates!$G142</f>
        <v>0.10088371522912433</v>
      </c>
      <c r="M197" s="447">
        <f>M95*Calc_SEC_death_rates!$G142</f>
        <v>0.1001990782739243</v>
      </c>
      <c r="N197" s="447">
        <f>N95*Calc_SEC_death_rates!$G142</f>
        <v>9.9691741432698766E-2</v>
      </c>
    </row>
    <row r="198" spans="1:14">
      <c r="B198" s="331" t="str">
        <f t="shared" si="68"/>
        <v>35-39</v>
      </c>
      <c r="C198" s="447">
        <f>C96*Calc_SEC_death_rates!$G143</f>
        <v>0.51918563442063359</v>
      </c>
      <c r="D198" s="447">
        <f>D96*Calc_SEC_death_rates!$G143</f>
        <v>0.51300569032300358</v>
      </c>
      <c r="E198" s="447">
        <f>E96*Calc_SEC_death_rates!$G143</f>
        <v>0.50685871917396008</v>
      </c>
      <c r="F198" s="447">
        <f>F96*Calc_SEC_death_rates!$G143</f>
        <v>0.50129552310422176</v>
      </c>
      <c r="G198" s="447">
        <f>G96*Calc_SEC_death_rates!$G143</f>
        <v>0.49503139245733624</v>
      </c>
      <c r="H198" s="447">
        <f>H96*Calc_SEC_death_rates!$G143</f>
        <v>0.48924797486479504</v>
      </c>
      <c r="I198" s="447">
        <f>I96*Calc_SEC_death_rates!$G143</f>
        <v>0.48412213397526627</v>
      </c>
      <c r="J198" s="447">
        <f>J96*Calc_SEC_death_rates!$G143</f>
        <v>0.48123078715112638</v>
      </c>
      <c r="K198" s="447">
        <f>K96*Calc_SEC_death_rates!$G143</f>
        <v>0.47800268938169965</v>
      </c>
      <c r="L198" s="447">
        <f>L96*Calc_SEC_death_rates!$G143</f>
        <v>0.47405575959183194</v>
      </c>
      <c r="M198" s="447">
        <f>M96*Calc_SEC_death_rates!$G143</f>
        <v>0.46975745041626726</v>
      </c>
      <c r="N198" s="447">
        <f>N96*Calc_SEC_death_rates!$G143</f>
        <v>0.46640035013067127</v>
      </c>
    </row>
    <row r="199" spans="1:14">
      <c r="B199" s="331" t="str">
        <f t="shared" si="68"/>
        <v>40-44</v>
      </c>
      <c r="C199" s="447">
        <f>C97*Calc_SEC_death_rates!$G144</f>
        <v>0.36282866164615091</v>
      </c>
      <c r="D199" s="447">
        <f>D97*Calc_SEC_death_rates!$G144</f>
        <v>0.37537561384509871</v>
      </c>
      <c r="E199" s="447">
        <f>E97*Calc_SEC_death_rates!$G144</f>
        <v>0.3831548410063762</v>
      </c>
      <c r="F199" s="447">
        <f>F97*Calc_SEC_death_rates!$G144</f>
        <v>0.38840510715982468</v>
      </c>
      <c r="G199" s="447">
        <f>G97*Calc_SEC_death_rates!$G144</f>
        <v>0.39091220280966865</v>
      </c>
      <c r="H199" s="447">
        <f>H97*Calc_SEC_death_rates!$G144</f>
        <v>0.39194548708527394</v>
      </c>
      <c r="I199" s="447">
        <f>I97*Calc_SEC_death_rates!$G144</f>
        <v>0.39191400418465699</v>
      </c>
      <c r="J199" s="447">
        <f>J97*Calc_SEC_death_rates!$G144</f>
        <v>0.39222332672166138</v>
      </c>
      <c r="K199" s="447">
        <f>K97*Calc_SEC_death_rates!$G144</f>
        <v>0.39120166255037525</v>
      </c>
      <c r="L199" s="447">
        <f>L97*Calc_SEC_death_rates!$G144</f>
        <v>0.38886878907391897</v>
      </c>
      <c r="M199" s="447">
        <f>M97*Calc_SEC_death_rates!$G144</f>
        <v>0.38578657042028225</v>
      </c>
      <c r="N199" s="447">
        <f>N97*Calc_SEC_death_rates!$G144</f>
        <v>0.38312227301878848</v>
      </c>
    </row>
    <row r="200" spans="1:14">
      <c r="B200" s="331" t="str">
        <f t="shared" si="68"/>
        <v>45-49</v>
      </c>
      <c r="C200" s="447">
        <f>C98*Calc_SEC_death_rates!$G145</f>
        <v>0.50698038006416279</v>
      </c>
      <c r="D200" s="447">
        <f>D98*Calc_SEC_death_rates!$G145</f>
        <v>0.54059481146717836</v>
      </c>
      <c r="E200" s="447">
        <f>E98*Calc_SEC_death_rates!$G145</f>
        <v>0.56891282107345154</v>
      </c>
      <c r="F200" s="447">
        <f>F98*Calc_SEC_death_rates!$G145</f>
        <v>0.59319043694767259</v>
      </c>
      <c r="G200" s="447">
        <f>G98*Calc_SEC_death_rates!$G145</f>
        <v>0.61201117801325566</v>
      </c>
      <c r="H200" s="447">
        <f>H98*Calc_SEC_death_rates!$G145</f>
        <v>0.626910455834498</v>
      </c>
      <c r="I200" s="447">
        <f>I98*Calc_SEC_death_rates!$G145</f>
        <v>0.63833240752592013</v>
      </c>
      <c r="J200" s="447">
        <f>J98*Calc_SEC_death_rates!$G145</f>
        <v>0.64846316460738929</v>
      </c>
      <c r="K200" s="447">
        <f>K98*Calc_SEC_death_rates!$G145</f>
        <v>0.65468916121589749</v>
      </c>
      <c r="L200" s="447">
        <f>L98*Calc_SEC_death_rates!$G145</f>
        <v>0.65714988429846288</v>
      </c>
      <c r="M200" s="447">
        <f>M98*Calc_SEC_death_rates!$G145</f>
        <v>0.65692326718006822</v>
      </c>
      <c r="N200" s="447">
        <f>N98*Calc_SEC_death_rates!$G145</f>
        <v>0.65610440372916878</v>
      </c>
    </row>
    <row r="201" spans="1:14">
      <c r="B201" s="331" t="str">
        <f t="shared" si="68"/>
        <v>50-54</v>
      </c>
      <c r="C201" s="447">
        <f>C99*Calc_SEC_death_rates!$G146</f>
        <v>0.54609393578322407</v>
      </c>
      <c r="D201" s="447">
        <f>D99*Calc_SEC_death_rates!$G146</f>
        <v>0.59353385465929387</v>
      </c>
      <c r="E201" s="447">
        <f>E99*Calc_SEC_death_rates!$G146</f>
        <v>0.63662393339620271</v>
      </c>
      <c r="F201" s="447">
        <f>F99*Calc_SEC_death_rates!$G146</f>
        <v>0.67698866712687356</v>
      </c>
      <c r="G201" s="447">
        <f>G99*Calc_SEC_death_rates!$G146</f>
        <v>0.7121219032263626</v>
      </c>
      <c r="H201" s="447">
        <f>H99*Calc_SEC_death_rates!$G146</f>
        <v>0.74311570082404566</v>
      </c>
      <c r="I201" s="447">
        <f>I99*Calc_SEC_death_rates!$G146</f>
        <v>0.76986453942772515</v>
      </c>
      <c r="J201" s="447">
        <f>J99*Calc_SEC_death_rates!$G146</f>
        <v>0.79458520361015494</v>
      </c>
      <c r="K201" s="447">
        <f>K99*Calc_SEC_death_rates!$G146</f>
        <v>0.81359948864591281</v>
      </c>
      <c r="L201" s="447">
        <f>L99*Calc_SEC_death_rates!$G146</f>
        <v>0.82682187394483286</v>
      </c>
      <c r="M201" s="447">
        <f>M99*Calc_SEC_death_rates!$G146</f>
        <v>0.83545174676790668</v>
      </c>
      <c r="N201" s="447">
        <f>N99*Calc_SEC_death_rates!$G146</f>
        <v>0.84206064265428171</v>
      </c>
    </row>
    <row r="202" spans="1:14">
      <c r="B202" s="331" t="str">
        <f t="shared" si="68"/>
        <v>55-59</v>
      </c>
      <c r="C202" s="447">
        <f>C100*Calc_SEC_death_rates!$G147</f>
        <v>0.57715450468923435</v>
      </c>
      <c r="D202" s="447">
        <f>D100*Calc_SEC_death_rates!$G147</f>
        <v>0.5427964891275967</v>
      </c>
      <c r="E202" s="447">
        <f>E100*Calc_SEC_death_rates!$G147</f>
        <v>0.53312573239003369</v>
      </c>
      <c r="F202" s="447">
        <f>F100*Calc_SEC_death_rates!$G147</f>
        <v>0.53963410451445648</v>
      </c>
      <c r="G202" s="447">
        <f>G100*Calc_SEC_death_rates!$G147</f>
        <v>0.55335370116543381</v>
      </c>
      <c r="H202" s="447">
        <f>H100*Calc_SEC_death_rates!$G147</f>
        <v>0.57107051348263382</v>
      </c>
      <c r="I202" s="447">
        <f>I100*Calc_SEC_death_rates!$G147</f>
        <v>0.59005619221133232</v>
      </c>
      <c r="J202" s="447">
        <f>J100*Calc_SEC_death_rates!$G147</f>
        <v>0.61069640790752022</v>
      </c>
      <c r="K202" s="447">
        <f>K100*Calc_SEC_death_rates!$G147</f>
        <v>0.62809166410299999</v>
      </c>
      <c r="L202" s="447">
        <f>L100*Calc_SEC_death_rates!$G147</f>
        <v>0.64150385653791298</v>
      </c>
      <c r="M202" s="447">
        <f>M100*Calc_SEC_death_rates!$G147</f>
        <v>0.65163445789045704</v>
      </c>
      <c r="N202" s="447">
        <f>N100*Calc_SEC_death_rates!$G147</f>
        <v>0.6605635473660324</v>
      </c>
    </row>
    <row r="203" spans="1:14">
      <c r="B203" s="331" t="str">
        <f t="shared" si="68"/>
        <v>60-64</v>
      </c>
      <c r="C203" s="447">
        <f>C101*Calc_SEC_death_rates!$G148</f>
        <v>0.24229300598167103</v>
      </c>
      <c r="D203" s="447">
        <f>D101*Calc_SEC_death_rates!$G148</f>
        <v>0.23725550774114429</v>
      </c>
      <c r="E203" s="447">
        <f>E101*Calc_SEC_death_rates!$G148</f>
        <v>0.22913235350784653</v>
      </c>
      <c r="F203" s="447">
        <f>F101*Calc_SEC_death_rates!$G148</f>
        <v>0.22439891058035477</v>
      </c>
      <c r="G203" s="447">
        <f>G101*Calc_SEC_death_rates!$G148</f>
        <v>0.22275399685819622</v>
      </c>
      <c r="H203" s="447">
        <f>H101*Calc_SEC_death_rates!$G148</f>
        <v>0.22419255745820088</v>
      </c>
      <c r="I203" s="447">
        <f>I101*Calc_SEC_death_rates!$G148</f>
        <v>0.22773269216506151</v>
      </c>
      <c r="J203" s="447">
        <f>J101*Calc_SEC_death_rates!$G148</f>
        <v>0.23358910487668758</v>
      </c>
      <c r="K203" s="447">
        <f>K101*Calc_SEC_death_rates!$G148</f>
        <v>0.23885003743856073</v>
      </c>
      <c r="L203" s="447">
        <f>L101*Calc_SEC_death_rates!$G148</f>
        <v>0.24302494151589357</v>
      </c>
      <c r="M203" s="447">
        <f>M101*Calc_SEC_death_rates!$G148</f>
        <v>0.24638812312249397</v>
      </c>
      <c r="N203" s="447">
        <f>N101*Calc_SEC_death_rates!$G148</f>
        <v>0.24991145930661895</v>
      </c>
    </row>
    <row r="204" spans="1:14">
      <c r="B204" s="331" t="str">
        <f t="shared" si="68"/>
        <v>65 plus</v>
      </c>
      <c r="C204" s="447">
        <f>C102*Calc_SEC_death_rates!$G149</f>
        <v>0.12868303029936068</v>
      </c>
      <c r="D204" s="447">
        <f>D102*Calc_SEC_death_rates!$G149</f>
        <v>0.241648937004629</v>
      </c>
      <c r="E204" s="447">
        <f>E102*Calc_SEC_death_rates!$G149</f>
        <v>0.3094697256447751</v>
      </c>
      <c r="F204" s="447">
        <f>F102*Calc_SEC_death_rates!$G149</f>
        <v>0.34923975031950583</v>
      </c>
      <c r="G204" s="447">
        <f>G102*Calc_SEC_death_rates!$G149</f>
        <v>0.37127310435392957</v>
      </c>
      <c r="H204" s="447">
        <f>H102*Calc_SEC_death_rates!$G149</f>
        <v>0.38457117373001709</v>
      </c>
      <c r="I204" s="447">
        <f>I102*Calc_SEC_death_rates!$G149</f>
        <v>0.39380346685992862</v>
      </c>
      <c r="J204" s="447">
        <f>J102*Calc_SEC_death_rates!$G149</f>
        <v>0.40321542329959564</v>
      </c>
      <c r="K204" s="447">
        <f>K102*Calc_SEC_death_rates!$G149</f>
        <v>0.41061786076817458</v>
      </c>
      <c r="L204" s="447">
        <f>L102*Calc_SEC_death_rates!$G149</f>
        <v>0.41600228913347359</v>
      </c>
      <c r="M204" s="447">
        <f>M102*Calc_SEC_death_rates!$G149</f>
        <v>0.42014451496867511</v>
      </c>
      <c r="N204" s="447">
        <f>N102*Calc_SEC_death_rates!$G149</f>
        <v>0.42482978896289647</v>
      </c>
    </row>
    <row r="205" spans="1:14">
      <c r="B205" s="331" t="str">
        <f t="shared" si="68"/>
        <v>Total</v>
      </c>
      <c r="C205" s="447">
        <f>SUM(C195:C204)</f>
        <v>3.1250771453874879</v>
      </c>
      <c r="D205" s="447">
        <f t="shared" ref="D205:N205" si="70">SUM(D195:D204)</f>
        <v>3.2775466212599649</v>
      </c>
      <c r="E205" s="447">
        <f t="shared" si="70"/>
        <v>3.3940908150211899</v>
      </c>
      <c r="F205" s="447">
        <f t="shared" si="70"/>
        <v>3.4964414700092448</v>
      </c>
      <c r="G205" s="447">
        <f t="shared" si="70"/>
        <v>3.578290306160357</v>
      </c>
      <c r="H205" s="447">
        <f t="shared" si="70"/>
        <v>3.6507000915793784</v>
      </c>
      <c r="I205" s="447">
        <f t="shared" si="70"/>
        <v>3.7151209125156588</v>
      </c>
      <c r="J205" s="447">
        <f t="shared" si="70"/>
        <v>3.7848758622155274</v>
      </c>
      <c r="K205" s="447">
        <f t="shared" si="70"/>
        <v>3.8365339616627034</v>
      </c>
      <c r="L205" s="447">
        <f t="shared" si="70"/>
        <v>3.8681421645199441</v>
      </c>
      <c r="M205" s="447">
        <f t="shared" si="70"/>
        <v>3.885170659918785</v>
      </c>
      <c r="N205" s="447">
        <f t="shared" si="70"/>
        <v>3.9010251181234574</v>
      </c>
    </row>
    <row r="206" spans="1:14">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27.650552364246689</v>
      </c>
      <c r="D213" s="447">
        <f t="shared" ref="D213:N213" si="75">D111+D145+D179</f>
        <v>34.949449874188886</v>
      </c>
      <c r="E213" s="447">
        <f t="shared" si="75"/>
        <v>42.141799818237317</v>
      </c>
      <c r="F213" s="447">
        <f t="shared" si="75"/>
        <v>45.883232264255923</v>
      </c>
      <c r="G213" s="447">
        <f t="shared" si="75"/>
        <v>49.08692268867815</v>
      </c>
      <c r="H213" s="447">
        <f t="shared" si="75"/>
        <v>51.431087649686262</v>
      </c>
      <c r="I213" s="447">
        <f t="shared" si="75"/>
        <v>53.140235272454142</v>
      </c>
      <c r="J213" s="447">
        <f t="shared" si="75"/>
        <v>55.077711868600659</v>
      </c>
      <c r="K213" s="447">
        <f t="shared" si="75"/>
        <v>55.899707160000645</v>
      </c>
      <c r="L213" s="447">
        <f t="shared" si="75"/>
        <v>55.765117777236725</v>
      </c>
      <c r="M213" s="447">
        <f t="shared" si="75"/>
        <v>55.183520626267679</v>
      </c>
      <c r="N213" s="447">
        <f t="shared" si="75"/>
        <v>54.965072663174389</v>
      </c>
    </row>
    <row r="214" spans="1:14">
      <c r="B214" s="331" t="str">
        <f t="shared" si="72"/>
        <v>25-29</v>
      </c>
      <c r="C214" s="447">
        <f t="shared" si="74"/>
        <v>88.466168021158197</v>
      </c>
      <c r="D214" s="447">
        <f t="shared" ref="D214:N214" si="76">D112+D146+D180</f>
        <v>83.371061416126707</v>
      </c>
      <c r="E214" s="447">
        <f t="shared" si="76"/>
        <v>86.631307136611852</v>
      </c>
      <c r="F214" s="447">
        <f t="shared" si="76"/>
        <v>86.508359330222092</v>
      </c>
      <c r="G214" s="447">
        <f t="shared" si="76"/>
        <v>88.459177575861005</v>
      </c>
      <c r="H214" s="447">
        <f t="shared" si="76"/>
        <v>90.494039261472423</v>
      </c>
      <c r="I214" s="447">
        <f t="shared" si="76"/>
        <v>92.399586527476828</v>
      </c>
      <c r="J214" s="447">
        <f t="shared" si="76"/>
        <v>94.905346550060699</v>
      </c>
      <c r="K214" s="447">
        <f t="shared" si="76"/>
        <v>96.352970897804397</v>
      </c>
      <c r="L214" s="447">
        <f t="shared" si="76"/>
        <v>96.660781398687519</v>
      </c>
      <c r="M214" s="447">
        <f t="shared" si="76"/>
        <v>96.272843021658645</v>
      </c>
      <c r="N214" s="447">
        <f t="shared" si="76"/>
        <v>96.126116182902635</v>
      </c>
    </row>
    <row r="215" spans="1:14">
      <c r="B215" s="331" t="str">
        <f t="shared" si="72"/>
        <v>30-34</v>
      </c>
      <c r="C215" s="447">
        <f t="shared" si="74"/>
        <v>77.200758895901828</v>
      </c>
      <c r="D215" s="447">
        <f t="shared" ref="D215:N215" si="77">D113+D147+D181</f>
        <v>71.882455839757739</v>
      </c>
      <c r="E215" s="447">
        <f t="shared" si="77"/>
        <v>72.545093028134602</v>
      </c>
      <c r="F215" s="447">
        <f t="shared" si="77"/>
        <v>69.847605878220008</v>
      </c>
      <c r="G215" s="447">
        <f t="shared" si="77"/>
        <v>69.145239049069914</v>
      </c>
      <c r="H215" s="447">
        <f t="shared" si="77"/>
        <v>68.912873712630031</v>
      </c>
      <c r="I215" s="447">
        <f t="shared" si="77"/>
        <v>69.015577929963328</v>
      </c>
      <c r="J215" s="447">
        <f t="shared" si="77"/>
        <v>69.659321369259274</v>
      </c>
      <c r="K215" s="447">
        <f t="shared" si="77"/>
        <v>70.176340940749967</v>
      </c>
      <c r="L215" s="447">
        <f t="shared" si="77"/>
        <v>70.393648228580901</v>
      </c>
      <c r="M215" s="447">
        <f t="shared" si="77"/>
        <v>70.360913965898405</v>
      </c>
      <c r="N215" s="447">
        <f t="shared" si="77"/>
        <v>70.377996787631659</v>
      </c>
    </row>
    <row r="216" spans="1:14">
      <c r="B216" s="331" t="str">
        <f t="shared" si="72"/>
        <v>35-39</v>
      </c>
      <c r="C216" s="447">
        <f t="shared" si="74"/>
        <v>64.119745757773913</v>
      </c>
      <c r="D216" s="447">
        <f t="shared" ref="D216:N216" si="78">D114+D148+D182</f>
        <v>62.206616849442028</v>
      </c>
      <c r="E216" s="447">
        <f t="shared" si="78"/>
        <v>64.494863261871487</v>
      </c>
      <c r="F216" s="447">
        <f t="shared" si="78"/>
        <v>62.981030929125012</v>
      </c>
      <c r="G216" s="447">
        <f t="shared" si="78"/>
        <v>62.616764854671366</v>
      </c>
      <c r="H216" s="447">
        <f t="shared" si="78"/>
        <v>62.269139789362846</v>
      </c>
      <c r="I216" s="447">
        <f t="shared" si="78"/>
        <v>61.998219309803794</v>
      </c>
      <c r="J216" s="447">
        <f t="shared" si="78"/>
        <v>62.017796443015555</v>
      </c>
      <c r="K216" s="447">
        <f t="shared" si="78"/>
        <v>61.996515720195681</v>
      </c>
      <c r="L216" s="447">
        <f t="shared" si="78"/>
        <v>61.874432274762377</v>
      </c>
      <c r="M216" s="447">
        <f t="shared" si="78"/>
        <v>61.68707720653255</v>
      </c>
      <c r="N216" s="447">
        <f t="shared" si="78"/>
        <v>61.592279192766071</v>
      </c>
    </row>
    <row r="217" spans="1:14">
      <c r="B217" s="331" t="str">
        <f t="shared" si="72"/>
        <v>40-44</v>
      </c>
      <c r="C217" s="447">
        <f t="shared" si="74"/>
        <v>58.073673486019651</v>
      </c>
      <c r="D217" s="447">
        <f t="shared" ref="D217:N217" si="79">D115+D149+D183</f>
        <v>56.828142064922069</v>
      </c>
      <c r="E217" s="447">
        <f t="shared" si="79"/>
        <v>59.724458487654722</v>
      </c>
      <c r="F217" s="447">
        <f t="shared" si="79"/>
        <v>59.205918376557982</v>
      </c>
      <c r="G217" s="447">
        <f t="shared" si="79"/>
        <v>59.657431545948874</v>
      </c>
      <c r="H217" s="447">
        <f t="shared" si="79"/>
        <v>59.95318281487198</v>
      </c>
      <c r="I217" s="447">
        <f t="shared" si="79"/>
        <v>60.127298885843381</v>
      </c>
      <c r="J217" s="447">
        <f t="shared" si="79"/>
        <v>60.377238006080589</v>
      </c>
      <c r="K217" s="447">
        <f t="shared" si="79"/>
        <v>60.448785027699429</v>
      </c>
      <c r="L217" s="447">
        <f t="shared" si="79"/>
        <v>60.33823544173547</v>
      </c>
      <c r="M217" s="447">
        <f t="shared" si="79"/>
        <v>60.122385873353963</v>
      </c>
      <c r="N217" s="447">
        <f t="shared" si="79"/>
        <v>59.968878918051431</v>
      </c>
    </row>
    <row r="218" spans="1:14">
      <c r="B218" s="331" t="str">
        <f t="shared" si="72"/>
        <v>45-49</v>
      </c>
      <c r="C218" s="447">
        <f t="shared" si="74"/>
        <v>60.334691422231735</v>
      </c>
      <c r="D218" s="447">
        <f t="shared" ref="D218:N218" si="80">D116+D150+D184</f>
        <v>58.614414348577874</v>
      </c>
      <c r="E218" s="447">
        <f t="shared" si="80"/>
        <v>61.381856769535908</v>
      </c>
      <c r="F218" s="447">
        <f t="shared" si="80"/>
        <v>60.854954416744135</v>
      </c>
      <c r="G218" s="447">
        <f t="shared" si="80"/>
        <v>61.5151751548728</v>
      </c>
      <c r="H218" s="447">
        <f t="shared" si="80"/>
        <v>62.126804574913926</v>
      </c>
      <c r="I218" s="447">
        <f t="shared" si="80"/>
        <v>62.658818979854772</v>
      </c>
      <c r="J218" s="447">
        <f t="shared" si="80"/>
        <v>63.255664408415967</v>
      </c>
      <c r="K218" s="447">
        <f t="shared" si="80"/>
        <v>63.630212419033711</v>
      </c>
      <c r="L218" s="447">
        <f t="shared" si="80"/>
        <v>63.760980222342951</v>
      </c>
      <c r="M218" s="447">
        <f t="shared" si="80"/>
        <v>63.721464642875283</v>
      </c>
      <c r="N218" s="447">
        <f t="shared" si="80"/>
        <v>63.685521993646766</v>
      </c>
    </row>
    <row r="219" spans="1:14">
      <c r="B219" s="331" t="str">
        <f t="shared" si="72"/>
        <v>50-54</v>
      </c>
      <c r="C219" s="447">
        <f t="shared" si="74"/>
        <v>46.418553618607447</v>
      </c>
      <c r="D219" s="447">
        <f t="shared" ref="D219:N219" si="81">D117+D151+D185</f>
        <v>47.060791834170367</v>
      </c>
      <c r="E219" s="447">
        <f t="shared" si="81"/>
        <v>49.772684355666129</v>
      </c>
      <c r="F219" s="447">
        <f t="shared" si="81"/>
        <v>50.31669142494777</v>
      </c>
      <c r="G219" s="447">
        <f t="shared" si="81"/>
        <v>51.360489977157023</v>
      </c>
      <c r="H219" s="447">
        <f t="shared" si="81"/>
        <v>52.267605598106471</v>
      </c>
      <c r="I219" s="447">
        <f t="shared" si="81"/>
        <v>53.058907658999665</v>
      </c>
      <c r="J219" s="447">
        <f t="shared" si="81"/>
        <v>53.871824784661705</v>
      </c>
      <c r="K219" s="447">
        <f t="shared" si="81"/>
        <v>54.48224183649176</v>
      </c>
      <c r="L219" s="447">
        <f t="shared" si="81"/>
        <v>54.869314615326005</v>
      </c>
      <c r="M219" s="447">
        <f t="shared" si="81"/>
        <v>55.086241905067311</v>
      </c>
      <c r="N219" s="447">
        <f t="shared" si="81"/>
        <v>55.268787166742335</v>
      </c>
    </row>
    <row r="220" spans="1:14">
      <c r="B220" s="331" t="str">
        <f t="shared" si="72"/>
        <v>55-59</v>
      </c>
      <c r="C220" s="447">
        <f t="shared" si="74"/>
        <v>78.607013392569513</v>
      </c>
      <c r="D220" s="447">
        <f t="shared" ref="D220:N220" si="82">D118+D152+D186</f>
        <v>73.835128465308898</v>
      </c>
      <c r="E220" s="447">
        <f t="shared" si="82"/>
        <v>72.949145691310562</v>
      </c>
      <c r="F220" s="447">
        <f t="shared" si="82"/>
        <v>72.510743342903169</v>
      </c>
      <c r="G220" s="447">
        <f t="shared" si="82"/>
        <v>73.09412915706686</v>
      </c>
      <c r="H220" s="447">
        <f t="shared" si="82"/>
        <v>73.986049151882526</v>
      </c>
      <c r="I220" s="447">
        <f t="shared" si="82"/>
        <v>74.983412648501528</v>
      </c>
      <c r="J220" s="447">
        <f t="shared" si="82"/>
        <v>76.203506247885528</v>
      </c>
      <c r="K220" s="447">
        <f t="shared" si="82"/>
        <v>77.156072492630329</v>
      </c>
      <c r="L220" s="447">
        <f t="shared" si="82"/>
        <v>77.791529229768571</v>
      </c>
      <c r="M220" s="447">
        <f t="shared" si="82"/>
        <v>78.199305556501287</v>
      </c>
      <c r="N220" s="447">
        <f t="shared" si="82"/>
        <v>78.606268188029247</v>
      </c>
    </row>
    <row r="221" spans="1:14">
      <c r="B221" s="331" t="str">
        <f t="shared" si="72"/>
        <v>60-64</v>
      </c>
      <c r="C221" s="447">
        <f t="shared" si="74"/>
        <v>39.968133609187518</v>
      </c>
      <c r="D221" s="447">
        <f t="shared" ref="D221:N221" si="83">D119+D153+D187</f>
        <v>40.792004542578312</v>
      </c>
      <c r="E221" s="447">
        <f t="shared" si="83"/>
        <v>40.672893490041034</v>
      </c>
      <c r="F221" s="447">
        <f t="shared" si="83"/>
        <v>40.217242265500467</v>
      </c>
      <c r="G221" s="447">
        <f t="shared" si="83"/>
        <v>40.038575086162332</v>
      </c>
      <c r="H221" s="447">
        <f t="shared" si="83"/>
        <v>40.095372310765697</v>
      </c>
      <c r="I221" s="447">
        <f t="shared" si="83"/>
        <v>40.328436574595223</v>
      </c>
      <c r="J221" s="447">
        <f t="shared" si="83"/>
        <v>40.836294012823934</v>
      </c>
      <c r="K221" s="447">
        <f t="shared" si="83"/>
        <v>41.226290037717888</v>
      </c>
      <c r="L221" s="447">
        <f t="shared" si="83"/>
        <v>41.455152373882761</v>
      </c>
      <c r="M221" s="447">
        <f t="shared" si="83"/>
        <v>41.586582835211601</v>
      </c>
      <c r="N221" s="447">
        <f t="shared" si="83"/>
        <v>41.782728791843674</v>
      </c>
    </row>
    <row r="222" spans="1:14">
      <c r="B222" s="331" t="str">
        <f t="shared" si="72"/>
        <v>65 plus</v>
      </c>
      <c r="C222" s="447">
        <f t="shared" si="74"/>
        <v>10.044098420654752</v>
      </c>
      <c r="D222" s="447">
        <f t="shared" ref="D222:N222" si="84">D120+D154+D188</f>
        <v>14.236764877137441</v>
      </c>
      <c r="E222" s="447">
        <f t="shared" si="84"/>
        <v>17.071645287697947</v>
      </c>
      <c r="F222" s="447">
        <f t="shared" si="84"/>
        <v>18.459324429283004</v>
      </c>
      <c r="G222" s="447">
        <f t="shared" si="84"/>
        <v>19.289040809792908</v>
      </c>
      <c r="H222" s="447">
        <f t="shared" si="84"/>
        <v>19.749849920850821</v>
      </c>
      <c r="I222" s="447">
        <f t="shared" si="84"/>
        <v>20.033377377689181</v>
      </c>
      <c r="J222" s="447">
        <f t="shared" si="84"/>
        <v>20.328740854288903</v>
      </c>
      <c r="K222" s="447">
        <f t="shared" si="84"/>
        <v>20.514899198467297</v>
      </c>
      <c r="L222" s="447">
        <f t="shared" si="84"/>
        <v>20.596030336636751</v>
      </c>
      <c r="M222" s="447">
        <f t="shared" si="84"/>
        <v>20.617949099410318</v>
      </c>
      <c r="N222" s="447">
        <f t="shared" si="84"/>
        <v>20.675044324210123</v>
      </c>
    </row>
    <row r="223" spans="1:14">
      <c r="B223" s="331" t="str">
        <f t="shared" si="72"/>
        <v>Total</v>
      </c>
      <c r="C223" s="447">
        <f>SUM(C213:C222)</f>
        <v>550.88338898835127</v>
      </c>
      <c r="D223" s="447">
        <f t="shared" ref="D223:N223" si="85">SUM(D213:D222)</f>
        <v>543.7768301122104</v>
      </c>
      <c r="E223" s="447">
        <f t="shared" si="85"/>
        <v>567.38574732676148</v>
      </c>
      <c r="F223" s="447">
        <f t="shared" si="85"/>
        <v>566.78510265775958</v>
      </c>
      <c r="G223" s="447">
        <f t="shared" si="85"/>
        <v>574.26294589928136</v>
      </c>
      <c r="H223" s="447">
        <f t="shared" si="85"/>
        <v>581.28600478454302</v>
      </c>
      <c r="I223" s="447">
        <f t="shared" si="85"/>
        <v>587.74387116518187</v>
      </c>
      <c r="J223" s="447">
        <f t="shared" si="85"/>
        <v>596.53344454509272</v>
      </c>
      <c r="K223" s="447">
        <f t="shared" si="85"/>
        <v>601.8840357307912</v>
      </c>
      <c r="L223" s="447">
        <f t="shared" si="85"/>
        <v>603.50522189896014</v>
      </c>
      <c r="M223" s="447">
        <f t="shared" si="85"/>
        <v>602.83828473277708</v>
      </c>
      <c r="N223" s="447">
        <f t="shared" si="85"/>
        <v>603.04869420899831</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42.407061743317847</v>
      </c>
      <c r="D229" s="447">
        <f t="shared" ref="D229:N229" si="90">D195+D161+D127</f>
        <v>48.87311992509062</v>
      </c>
      <c r="E229" s="447">
        <f t="shared" si="90"/>
        <v>53.929655482260387</v>
      </c>
      <c r="F229" s="447">
        <f t="shared" si="90"/>
        <v>58.366567103373981</v>
      </c>
      <c r="G229" s="447">
        <f t="shared" si="90"/>
        <v>60.905140141464294</v>
      </c>
      <c r="H229" s="447">
        <f t="shared" si="90"/>
        <v>62.834863379359852</v>
      </c>
      <c r="I229" s="447">
        <f t="shared" si="90"/>
        <v>64.29045988737218</v>
      </c>
      <c r="J229" s="447">
        <f t="shared" si="90"/>
        <v>66.181013507651571</v>
      </c>
      <c r="K229" s="447">
        <f t="shared" si="90"/>
        <v>66.911857329896336</v>
      </c>
      <c r="L229" s="447">
        <f t="shared" si="90"/>
        <v>66.616051496984667</v>
      </c>
      <c r="M229" s="447">
        <f t="shared" si="90"/>
        <v>65.84672420735815</v>
      </c>
      <c r="N229" s="447">
        <f t="shared" si="90"/>
        <v>65.518468340498245</v>
      </c>
    </row>
    <row r="230" spans="1:14">
      <c r="B230" s="331" t="str">
        <f t="shared" si="87"/>
        <v>25-29</v>
      </c>
      <c r="C230" s="447">
        <f t="shared" si="89"/>
        <v>124.15975062532623</v>
      </c>
      <c r="D230" s="447">
        <f t="shared" ref="D230:N230" si="91">D196+D162+D128</f>
        <v>117.7766076076815</v>
      </c>
      <c r="E230" s="447">
        <f t="shared" si="91"/>
        <v>115.39812426364188</v>
      </c>
      <c r="F230" s="447">
        <f t="shared" si="91"/>
        <v>115.20331109475357</v>
      </c>
      <c r="G230" s="447">
        <f t="shared" si="91"/>
        <v>114.4488421225697</v>
      </c>
      <c r="H230" s="447">
        <f t="shared" si="91"/>
        <v>114.49993634812222</v>
      </c>
      <c r="I230" s="447">
        <f t="shared" si="91"/>
        <v>114.96818469145377</v>
      </c>
      <c r="J230" s="447">
        <f t="shared" si="91"/>
        <v>116.55296403036</v>
      </c>
      <c r="K230" s="447">
        <f t="shared" si="91"/>
        <v>117.28612572061849</v>
      </c>
      <c r="L230" s="447">
        <f t="shared" si="91"/>
        <v>116.97850190421634</v>
      </c>
      <c r="M230" s="447">
        <f t="shared" si="91"/>
        <v>116.0554075020609</v>
      </c>
      <c r="N230" s="447">
        <f t="shared" si="91"/>
        <v>115.52383079152217</v>
      </c>
    </row>
    <row r="231" spans="1:14">
      <c r="B231" s="331" t="str">
        <f t="shared" si="87"/>
        <v>30-34</v>
      </c>
      <c r="C231" s="447">
        <f t="shared" si="89"/>
        <v>112.76156465025174</v>
      </c>
      <c r="D231" s="447">
        <f t="shared" ref="D231:N231" si="92">D197+D163+D129</f>
        <v>112.14316184897983</v>
      </c>
      <c r="E231" s="447">
        <f t="shared" si="92"/>
        <v>111.89239683506858</v>
      </c>
      <c r="F231" s="447">
        <f t="shared" si="92"/>
        <v>111.41678687881284</v>
      </c>
      <c r="G231" s="447">
        <f t="shared" si="92"/>
        <v>109.63533138262289</v>
      </c>
      <c r="H231" s="447">
        <f t="shared" si="92"/>
        <v>108.32412938065717</v>
      </c>
      <c r="I231" s="447">
        <f t="shared" si="92"/>
        <v>107.44527520027816</v>
      </c>
      <c r="J231" s="447">
        <f t="shared" si="92"/>
        <v>107.39610879762743</v>
      </c>
      <c r="K231" s="447">
        <f t="shared" si="92"/>
        <v>107.24573487878494</v>
      </c>
      <c r="L231" s="447">
        <f t="shared" si="92"/>
        <v>106.76789857844754</v>
      </c>
      <c r="M231" s="447">
        <f t="shared" si="92"/>
        <v>106.04332921827047</v>
      </c>
      <c r="N231" s="447">
        <f t="shared" si="92"/>
        <v>105.5064012484187</v>
      </c>
    </row>
    <row r="232" spans="1:14">
      <c r="B232" s="331" t="str">
        <f t="shared" si="87"/>
        <v>35-39</v>
      </c>
      <c r="C232" s="447">
        <f t="shared" si="89"/>
        <v>99.551798000991354</v>
      </c>
      <c r="D232" s="447">
        <f t="shared" ref="D232:N232" si="93">D198+D164+D130</f>
        <v>98.848659639487593</v>
      </c>
      <c r="E232" s="447">
        <f t="shared" si="93"/>
        <v>99.275699846331875</v>
      </c>
      <c r="F232" s="447">
        <f t="shared" si="93"/>
        <v>99.43736343574227</v>
      </c>
      <c r="G232" s="447">
        <f t="shared" si="93"/>
        <v>98.194805688794631</v>
      </c>
      <c r="H232" s="447">
        <f t="shared" si="93"/>
        <v>97.047602551034657</v>
      </c>
      <c r="I232" s="447">
        <f t="shared" si="93"/>
        <v>96.030836831106441</v>
      </c>
      <c r="J232" s="447">
        <f t="shared" si="93"/>
        <v>95.45730706329519</v>
      </c>
      <c r="K232" s="447">
        <f t="shared" si="93"/>
        <v>94.816979120374668</v>
      </c>
      <c r="L232" s="447">
        <f t="shared" si="93"/>
        <v>94.034063107999216</v>
      </c>
      <c r="M232" s="447">
        <f t="shared" si="93"/>
        <v>93.181447211884475</v>
      </c>
      <c r="N232" s="447">
        <f t="shared" si="93"/>
        <v>92.515530231174395</v>
      </c>
    </row>
    <row r="233" spans="1:14">
      <c r="B233" s="331" t="str">
        <f t="shared" si="87"/>
        <v>40-44</v>
      </c>
      <c r="C233" s="447">
        <f t="shared" si="89"/>
        <v>76.158177250741858</v>
      </c>
      <c r="D233" s="447">
        <f t="shared" ref="D233:N233" si="94">D199+D165+D131</f>
        <v>79.175901413252134</v>
      </c>
      <c r="E233" s="447">
        <f t="shared" si="94"/>
        <v>82.143850952162936</v>
      </c>
      <c r="F233" s="447">
        <f t="shared" si="94"/>
        <v>84.325659429913344</v>
      </c>
      <c r="G233" s="447">
        <f t="shared" si="94"/>
        <v>84.869968683395854</v>
      </c>
      <c r="H233" s="447">
        <f t="shared" si="94"/>
        <v>85.094302442949441</v>
      </c>
      <c r="I233" s="447">
        <f t="shared" si="94"/>
        <v>85.087467269296084</v>
      </c>
      <c r="J233" s="447">
        <f t="shared" si="94"/>
        <v>85.15462351010909</v>
      </c>
      <c r="K233" s="447">
        <f t="shared" si="94"/>
        <v>84.93281256228299</v>
      </c>
      <c r="L233" s="447">
        <f t="shared" si="94"/>
        <v>84.426328248244914</v>
      </c>
      <c r="M233" s="447">
        <f t="shared" si="94"/>
        <v>83.757155480729921</v>
      </c>
      <c r="N233" s="447">
        <f t="shared" si="94"/>
        <v>83.178716548911453</v>
      </c>
    </row>
    <row r="234" spans="1:14">
      <c r="B234" s="331" t="str">
        <f t="shared" si="87"/>
        <v>45-49</v>
      </c>
      <c r="C234" s="447">
        <f t="shared" si="89"/>
        <v>58.436055852855205</v>
      </c>
      <c r="D234" s="447">
        <f t="shared" ref="D234:N234" si="95">D200+D166+D132</f>
        <v>62.6119476228723</v>
      </c>
      <c r="E234" s="447">
        <f t="shared" si="95"/>
        <v>66.965398108084742</v>
      </c>
      <c r="F234" s="447">
        <f t="shared" si="95"/>
        <v>70.701960857427295</v>
      </c>
      <c r="G234" s="447">
        <f t="shared" si="95"/>
        <v>72.945192061513637</v>
      </c>
      <c r="H234" s="447">
        <f t="shared" si="95"/>
        <v>74.721026754233634</v>
      </c>
      <c r="I234" s="447">
        <f t="shared" si="95"/>
        <v>76.082401333294129</v>
      </c>
      <c r="J234" s="447">
        <f t="shared" si="95"/>
        <v>77.289879313410864</v>
      </c>
      <c r="K234" s="447">
        <f t="shared" si="95"/>
        <v>78.031951574012822</v>
      </c>
      <c r="L234" s="447">
        <f t="shared" si="95"/>
        <v>78.325243468534467</v>
      </c>
      <c r="M234" s="447">
        <f t="shared" si="95"/>
        <v>78.298233129802767</v>
      </c>
      <c r="N234" s="447">
        <f t="shared" si="95"/>
        <v>78.200633357373903</v>
      </c>
    </row>
    <row r="235" spans="1:14">
      <c r="B235" s="331" t="str">
        <f t="shared" si="87"/>
        <v>50-54</v>
      </c>
      <c r="C235" s="447">
        <f t="shared" si="89"/>
        <v>47.750963464863382</v>
      </c>
      <c r="D235" s="447">
        <f t="shared" ref="D235:N235" si="96">D201+D167+D133</f>
        <v>52.093880234167003</v>
      </c>
      <c r="E235" s="447">
        <f t="shared" si="96"/>
        <v>56.582846610198047</v>
      </c>
      <c r="F235" s="447">
        <f t="shared" si="96"/>
        <v>60.760707149948146</v>
      </c>
      <c r="G235" s="447">
        <f t="shared" si="96"/>
        <v>63.913965651203057</v>
      </c>
      <c r="H235" s="447">
        <f t="shared" si="96"/>
        <v>66.695703589727003</v>
      </c>
      <c r="I235" s="447">
        <f t="shared" si="96"/>
        <v>69.096450349487469</v>
      </c>
      <c r="J235" s="447">
        <f t="shared" si="96"/>
        <v>71.315165536132298</v>
      </c>
      <c r="K235" s="447">
        <f t="shared" si="96"/>
        <v>73.021724982136732</v>
      </c>
      <c r="L235" s="447">
        <f t="shared" si="96"/>
        <v>74.208453091458097</v>
      </c>
      <c r="M235" s="447">
        <f t="shared" si="96"/>
        <v>74.982996596845624</v>
      </c>
      <c r="N235" s="447">
        <f t="shared" si="96"/>
        <v>75.576154513714087</v>
      </c>
    </row>
    <row r="236" spans="1:14">
      <c r="B236" s="331" t="str">
        <f t="shared" si="87"/>
        <v>55-59</v>
      </c>
      <c r="C236" s="447">
        <f t="shared" si="89"/>
        <v>74.219188757714107</v>
      </c>
      <c r="D236" s="447">
        <f t="shared" ref="D236:N236" si="97">D202+D168+D134</f>
        <v>69.877831964092181</v>
      </c>
      <c r="E236" s="447">
        <f t="shared" si="97"/>
        <v>68.888557987954115</v>
      </c>
      <c r="F236" s="447">
        <f t="shared" si="97"/>
        <v>69.932755514190021</v>
      </c>
      <c r="G236" s="447">
        <f t="shared" si="97"/>
        <v>71.710718008256947</v>
      </c>
      <c r="H236" s="447">
        <f t="shared" si="97"/>
        <v>74.006691324073103</v>
      </c>
      <c r="I236" s="447">
        <f t="shared" si="97"/>
        <v>76.467100734259787</v>
      </c>
      <c r="J236" s="447">
        <f t="shared" si="97"/>
        <v>79.141926409594731</v>
      </c>
      <c r="K236" s="447">
        <f t="shared" si="97"/>
        <v>81.396228330930398</v>
      </c>
      <c r="L236" s="447">
        <f t="shared" si="97"/>
        <v>83.13435341719412</v>
      </c>
      <c r="M236" s="447">
        <f t="shared" si="97"/>
        <v>84.447207556086312</v>
      </c>
      <c r="N236" s="447">
        <f t="shared" si="97"/>
        <v>85.604354270935985</v>
      </c>
    </row>
    <row r="237" spans="1:14">
      <c r="B237" s="331" t="str">
        <f t="shared" si="87"/>
        <v>60-64</v>
      </c>
      <c r="C237" s="447">
        <f t="shared" si="89"/>
        <v>49.164575352295607</v>
      </c>
      <c r="D237" s="447">
        <f t="shared" ref="D237:N237" si="98">D203+D169+D135</f>
        <v>48.177168380245654</v>
      </c>
      <c r="E237" s="447">
        <f t="shared" si="98"/>
        <v>46.641345643482786</v>
      </c>
      <c r="F237" s="447">
        <f t="shared" si="98"/>
        <v>45.76522105024106</v>
      </c>
      <c r="G237" s="447">
        <f t="shared" si="98"/>
        <v>45.429747763367843</v>
      </c>
      <c r="H237" s="447">
        <f t="shared" si="98"/>
        <v>45.723136192407502</v>
      </c>
      <c r="I237" s="447">
        <f t="shared" si="98"/>
        <v>46.445131887431565</v>
      </c>
      <c r="J237" s="447">
        <f t="shared" si="98"/>
        <v>47.639522812128291</v>
      </c>
      <c r="K237" s="447">
        <f t="shared" si="98"/>
        <v>48.712468046139662</v>
      </c>
      <c r="L237" s="447">
        <f t="shared" si="98"/>
        <v>49.563922304400293</v>
      </c>
      <c r="M237" s="447">
        <f t="shared" si="98"/>
        <v>50.249829153324399</v>
      </c>
      <c r="N237" s="447">
        <f t="shared" si="98"/>
        <v>50.968398859762665</v>
      </c>
    </row>
    <row r="238" spans="1:14">
      <c r="B238" s="331" t="str">
        <f t="shared" si="87"/>
        <v>65 plus</v>
      </c>
      <c r="C238" s="447">
        <f t="shared" si="89"/>
        <v>6.9986389227756129</v>
      </c>
      <c r="D238" s="447">
        <f t="shared" ref="D238:N238" si="99">D204+D170+D136</f>
        <v>13.157631202479234</v>
      </c>
      <c r="E238" s="447">
        <f t="shared" si="99"/>
        <v>16.916126913713917</v>
      </c>
      <c r="F238" s="447">
        <f t="shared" si="99"/>
        <v>19.148229974884249</v>
      </c>
      <c r="G238" s="447">
        <f t="shared" si="99"/>
        <v>20.356281835484914</v>
      </c>
      <c r="H238" s="447">
        <f t="shared" si="99"/>
        <v>21.085392683841476</v>
      </c>
      <c r="I238" s="447">
        <f t="shared" si="99"/>
        <v>21.591583837297971</v>
      </c>
      <c r="J238" s="447">
        <f t="shared" si="99"/>
        <v>22.107625628804978</v>
      </c>
      <c r="K238" s="447">
        <f t="shared" si="99"/>
        <v>22.513488864285399</v>
      </c>
      <c r="L238" s="447">
        <f t="shared" si="99"/>
        <v>22.808708044025707</v>
      </c>
      <c r="M238" s="447">
        <f t="shared" si="99"/>
        <v>23.035819341716717</v>
      </c>
      <c r="N238" s="447">
        <f t="shared" si="99"/>
        <v>23.29270505949259</v>
      </c>
    </row>
    <row r="239" spans="1:14">
      <c r="B239" s="331" t="str">
        <f t="shared" si="87"/>
        <v>Total</v>
      </c>
      <c r="C239" s="447">
        <f>SUM(C229:C238)</f>
        <v>691.60777462113299</v>
      </c>
      <c r="D239" s="447">
        <f t="shared" ref="D239:N239" si="100">SUM(D229:D238)</f>
        <v>702.73590983834811</v>
      </c>
      <c r="E239" s="447">
        <f t="shared" si="100"/>
        <v>718.63400264289919</v>
      </c>
      <c r="F239" s="447">
        <f t="shared" si="100"/>
        <v>735.05856248928683</v>
      </c>
      <c r="G239" s="447">
        <f t="shared" si="100"/>
        <v>742.40999333867387</v>
      </c>
      <c r="H239" s="447">
        <f t="shared" si="100"/>
        <v>750.0327846464063</v>
      </c>
      <c r="I239" s="447">
        <f t="shared" si="100"/>
        <v>757.50489202127767</v>
      </c>
      <c r="J239" s="447">
        <f t="shared" si="100"/>
        <v>768.23613660911451</v>
      </c>
      <c r="K239" s="447">
        <f t="shared" si="100"/>
        <v>774.86937140946236</v>
      </c>
      <c r="L239" s="447">
        <f t="shared" si="100"/>
        <v>776.86352366150538</v>
      </c>
      <c r="M239" s="447">
        <f t="shared" si="100"/>
        <v>775.89814939807979</v>
      </c>
      <c r="N239" s="447">
        <f t="shared" si="100"/>
        <v>775.88519322180434</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171.12251224592902</v>
      </c>
      <c r="D247" s="447">
        <f t="shared" ref="D247:N247" si="105">D77-D213</f>
        <v>225.66383001381109</v>
      </c>
      <c r="E247" s="447">
        <f t="shared" si="105"/>
        <v>260.73766276848681</v>
      </c>
      <c r="F247" s="447">
        <f t="shared" si="105"/>
        <v>290.19724621340885</v>
      </c>
      <c r="G247" s="447">
        <f t="shared" si="105"/>
        <v>310.45959681532702</v>
      </c>
      <c r="H247" s="447">
        <f t="shared" si="105"/>
        <v>325.28571482803864</v>
      </c>
      <c r="I247" s="447">
        <f t="shared" si="105"/>
        <v>336.09554467269453</v>
      </c>
      <c r="J247" s="447">
        <f t="shared" si="105"/>
        <v>348.34948462109384</v>
      </c>
      <c r="K247" s="447">
        <f t="shared" si="105"/>
        <v>353.54835048544339</v>
      </c>
      <c r="L247" s="447">
        <f t="shared" si="105"/>
        <v>352.69711428606877</v>
      </c>
      <c r="M247" s="447">
        <f t="shared" si="105"/>
        <v>349.01869227245083</v>
      </c>
      <c r="N247" s="447">
        <f t="shared" si="105"/>
        <v>347.63707650123621</v>
      </c>
    </row>
    <row r="248" spans="2:14">
      <c r="B248" s="331" t="str">
        <f t="shared" si="102"/>
        <v>25-29</v>
      </c>
      <c r="C248" s="447">
        <f t="shared" si="104"/>
        <v>591.23764643520929</v>
      </c>
      <c r="D248" s="447">
        <f t="shared" ref="D248:N248" si="106">D78-D214</f>
        <v>581.05860008292166</v>
      </c>
      <c r="E248" s="447">
        <f t="shared" si="106"/>
        <v>578.82638618155931</v>
      </c>
      <c r="F248" s="447">
        <f t="shared" si="106"/>
        <v>590.71262251623943</v>
      </c>
      <c r="G248" s="447">
        <f t="shared" si="106"/>
        <v>604.03356595865318</v>
      </c>
      <c r="H248" s="447">
        <f t="shared" si="106"/>
        <v>617.9283905983965</v>
      </c>
      <c r="I248" s="447">
        <f t="shared" si="106"/>
        <v>630.94020623731433</v>
      </c>
      <c r="J248" s="447">
        <f t="shared" si="106"/>
        <v>648.05050732031907</v>
      </c>
      <c r="K248" s="447">
        <f t="shared" si="106"/>
        <v>657.93544770636686</v>
      </c>
      <c r="L248" s="447">
        <f t="shared" si="106"/>
        <v>660.03729716487555</v>
      </c>
      <c r="M248" s="447">
        <f t="shared" si="106"/>
        <v>657.38830349716932</v>
      </c>
      <c r="N248" s="447">
        <f t="shared" si="106"/>
        <v>656.38639574644867</v>
      </c>
    </row>
    <row r="249" spans="2:14">
      <c r="B249" s="331" t="str">
        <f t="shared" si="102"/>
        <v>30-34</v>
      </c>
      <c r="C249" s="447">
        <f t="shared" si="104"/>
        <v>832.95757462846836</v>
      </c>
      <c r="D249" s="447">
        <f t="shared" ref="D249:N249" si="107">D79-D215</f>
        <v>807.02307304501903</v>
      </c>
      <c r="E249" s="447">
        <f t="shared" si="107"/>
        <v>782.53523826519745</v>
      </c>
      <c r="F249" s="447">
        <f t="shared" si="107"/>
        <v>769.11504930438605</v>
      </c>
      <c r="G249" s="447">
        <f t="shared" si="107"/>
        <v>761.3810562542393</v>
      </c>
      <c r="H249" s="447">
        <f t="shared" si="107"/>
        <v>758.82240481664849</v>
      </c>
      <c r="I249" s="447">
        <f t="shared" si="107"/>
        <v>759.95331486266753</v>
      </c>
      <c r="J249" s="447">
        <f t="shared" si="107"/>
        <v>767.04178641195324</v>
      </c>
      <c r="K249" s="447">
        <f t="shared" si="107"/>
        <v>772.73485961351298</v>
      </c>
      <c r="L249" s="447">
        <f t="shared" si="107"/>
        <v>775.1277019062851</v>
      </c>
      <c r="M249" s="447">
        <f t="shared" si="107"/>
        <v>774.76725413230008</v>
      </c>
      <c r="N249" s="447">
        <f t="shared" si="107"/>
        <v>774.95535872249218</v>
      </c>
    </row>
    <row r="250" spans="2:14">
      <c r="B250" s="331" t="str">
        <f t="shared" si="102"/>
        <v>35-39</v>
      </c>
      <c r="C250" s="447">
        <f t="shared" si="104"/>
        <v>798.93168129723813</v>
      </c>
      <c r="D250" s="447">
        <f t="shared" ref="D250:N250" si="108">D80-D216</f>
        <v>805.95790252309428</v>
      </c>
      <c r="E250" s="447">
        <f t="shared" si="108"/>
        <v>803.41399908723633</v>
      </c>
      <c r="F250" s="447">
        <f t="shared" si="108"/>
        <v>800.58980835215232</v>
      </c>
      <c r="G250" s="447">
        <f t="shared" si="108"/>
        <v>795.95940293588956</v>
      </c>
      <c r="H250" s="447">
        <f t="shared" si="108"/>
        <v>791.54053140730286</v>
      </c>
      <c r="I250" s="447">
        <f t="shared" si="108"/>
        <v>788.09669805606825</v>
      </c>
      <c r="J250" s="447">
        <f t="shared" si="108"/>
        <v>788.34555478475102</v>
      </c>
      <c r="K250" s="447">
        <f t="shared" si="108"/>
        <v>788.07504270273807</v>
      </c>
      <c r="L250" s="447">
        <f t="shared" si="108"/>
        <v>786.52316651493152</v>
      </c>
      <c r="M250" s="447">
        <f t="shared" si="108"/>
        <v>784.14158342625967</v>
      </c>
      <c r="N250" s="447">
        <f t="shared" si="108"/>
        <v>782.93654879037251</v>
      </c>
    </row>
    <row r="251" spans="2:14">
      <c r="B251" s="331" t="str">
        <f t="shared" si="102"/>
        <v>40-44</v>
      </c>
      <c r="C251" s="447">
        <f t="shared" si="104"/>
        <v>712.54978424832473</v>
      </c>
      <c r="D251" s="447">
        <f t="shared" ref="D251:N251" si="109">D81-D217</f>
        <v>724.85258483539008</v>
      </c>
      <c r="E251" s="447">
        <f t="shared" si="109"/>
        <v>732.6308365796981</v>
      </c>
      <c r="F251" s="447">
        <f t="shared" si="109"/>
        <v>741.01841684002056</v>
      </c>
      <c r="G251" s="447">
        <f t="shared" si="109"/>
        <v>746.66953387593048</v>
      </c>
      <c r="H251" s="447">
        <f t="shared" si="109"/>
        <v>750.37114248340026</v>
      </c>
      <c r="I251" s="447">
        <f t="shared" si="109"/>
        <v>752.55037082400349</v>
      </c>
      <c r="J251" s="447">
        <f t="shared" si="109"/>
        <v>755.6785967896343</v>
      </c>
      <c r="K251" s="447">
        <f t="shared" si="109"/>
        <v>756.5740758590141</v>
      </c>
      <c r="L251" s="447">
        <f t="shared" si="109"/>
        <v>755.19044257674125</v>
      </c>
      <c r="M251" s="447">
        <f t="shared" si="109"/>
        <v>752.48887979681149</v>
      </c>
      <c r="N251" s="447">
        <f t="shared" si="109"/>
        <v>750.56759415322529</v>
      </c>
    </row>
    <row r="252" spans="2:14">
      <c r="B252" s="331" t="str">
        <f t="shared" si="102"/>
        <v>45-49</v>
      </c>
      <c r="C252" s="447">
        <f t="shared" si="104"/>
        <v>600.85793988707962</v>
      </c>
      <c r="D252" s="447">
        <f t="shared" ref="D252:N252" si="110">D82-D218</f>
        <v>607.00124132792666</v>
      </c>
      <c r="E252" s="447">
        <f t="shared" si="110"/>
        <v>611.1403288726367</v>
      </c>
      <c r="F252" s="447">
        <f t="shared" si="110"/>
        <v>618.29721729670382</v>
      </c>
      <c r="G252" s="447">
        <f t="shared" si="110"/>
        <v>625.00517803875005</v>
      </c>
      <c r="H252" s="447">
        <f t="shared" si="110"/>
        <v>631.21944230125314</v>
      </c>
      <c r="I252" s="447">
        <f t="shared" si="110"/>
        <v>636.62480377575241</v>
      </c>
      <c r="J252" s="447">
        <f t="shared" si="110"/>
        <v>642.68886004154945</v>
      </c>
      <c r="K252" s="447">
        <f t="shared" si="110"/>
        <v>646.49433479588185</v>
      </c>
      <c r="L252" s="447">
        <f t="shared" si="110"/>
        <v>647.8229590578344</v>
      </c>
      <c r="M252" s="447">
        <f t="shared" si="110"/>
        <v>647.42147370534508</v>
      </c>
      <c r="N252" s="447">
        <f t="shared" si="110"/>
        <v>647.05628996289965</v>
      </c>
    </row>
    <row r="253" spans="2:14">
      <c r="B253" s="331" t="str">
        <f t="shared" si="102"/>
        <v>50-54</v>
      </c>
      <c r="C253" s="447">
        <f t="shared" si="104"/>
        <v>433.99079957085161</v>
      </c>
      <c r="D253" s="447">
        <f t="shared" ref="D253:N253" si="111">D83-D219</f>
        <v>452.38959671368019</v>
      </c>
      <c r="E253" s="447">
        <f t="shared" si="111"/>
        <v>465.2708973758904</v>
      </c>
      <c r="F253" s="447">
        <f t="shared" si="111"/>
        <v>477.19333816775747</v>
      </c>
      <c r="G253" s="447">
        <f t="shared" si="111"/>
        <v>487.0925128034022</v>
      </c>
      <c r="H253" s="447">
        <f t="shared" si="111"/>
        <v>495.69541412712397</v>
      </c>
      <c r="I253" s="447">
        <f t="shared" si="111"/>
        <v>503.19996304008038</v>
      </c>
      <c r="J253" s="447">
        <f t="shared" si="111"/>
        <v>510.90950486134705</v>
      </c>
      <c r="K253" s="447">
        <f t="shared" si="111"/>
        <v>516.69857688472894</v>
      </c>
      <c r="L253" s="447">
        <f t="shared" si="111"/>
        <v>520.36949693560882</v>
      </c>
      <c r="M253" s="447">
        <f t="shared" si="111"/>
        <v>522.42679153507083</v>
      </c>
      <c r="N253" s="447">
        <f t="shared" si="111"/>
        <v>524.15801392506739</v>
      </c>
    </row>
    <row r="254" spans="2:14">
      <c r="B254" s="331" t="str">
        <f t="shared" si="102"/>
        <v>55-59</v>
      </c>
      <c r="C254" s="447">
        <f t="shared" si="104"/>
        <v>230.74379010414629</v>
      </c>
      <c r="D254" s="447">
        <f t="shared" ref="D254:N254" si="112">D84-D220</f>
        <v>219.10475755764935</v>
      </c>
      <c r="E254" s="447">
        <f t="shared" si="112"/>
        <v>214.12121448993457</v>
      </c>
      <c r="F254" s="447">
        <f t="shared" si="112"/>
        <v>214.04458286925208</v>
      </c>
      <c r="G254" s="447">
        <f t="shared" si="112"/>
        <v>215.76668041628722</v>
      </c>
      <c r="H254" s="447">
        <f t="shared" si="112"/>
        <v>218.39954052006868</v>
      </c>
      <c r="I254" s="447">
        <f t="shared" si="112"/>
        <v>221.34365947073621</v>
      </c>
      <c r="J254" s="447">
        <f t="shared" si="112"/>
        <v>224.94525577911492</v>
      </c>
      <c r="K254" s="447">
        <f t="shared" si="112"/>
        <v>227.75713764808879</v>
      </c>
      <c r="L254" s="447">
        <f t="shared" si="112"/>
        <v>229.63294343853551</v>
      </c>
      <c r="M254" s="447">
        <f t="shared" si="112"/>
        <v>230.83665904998227</v>
      </c>
      <c r="N254" s="447">
        <f t="shared" si="112"/>
        <v>232.03797271321193</v>
      </c>
    </row>
    <row r="255" spans="2:14">
      <c r="B255" s="331" t="str">
        <f t="shared" si="102"/>
        <v>60-64</v>
      </c>
      <c r="C255" s="447">
        <f t="shared" si="104"/>
        <v>75.67059678871</v>
      </c>
      <c r="D255" s="447">
        <f t="shared" ref="D255:N255" si="113">D85-D221</f>
        <v>77.709817582596145</v>
      </c>
      <c r="E255" s="447">
        <f t="shared" si="113"/>
        <v>77.001942882728997</v>
      </c>
      <c r="F255" s="447">
        <f t="shared" si="113"/>
        <v>76.385715843350681</v>
      </c>
      <c r="G255" s="447">
        <f t="shared" si="113"/>
        <v>76.046368349025755</v>
      </c>
      <c r="H255" s="447">
        <f t="shared" si="113"/>
        <v>76.154244881946681</v>
      </c>
      <c r="I255" s="447">
        <f t="shared" si="113"/>
        <v>76.596910256976486</v>
      </c>
      <c r="J255" s="447">
        <f t="shared" si="113"/>
        <v>77.56149787612182</v>
      </c>
      <c r="K255" s="447">
        <f t="shared" si="113"/>
        <v>78.302228066942021</v>
      </c>
      <c r="L255" s="447">
        <f t="shared" si="113"/>
        <v>78.736912605034547</v>
      </c>
      <c r="M255" s="447">
        <f t="shared" si="113"/>
        <v>78.986542099915113</v>
      </c>
      <c r="N255" s="447">
        <f t="shared" si="113"/>
        <v>79.359087517331062</v>
      </c>
    </row>
    <row r="256" spans="2:14">
      <c r="B256" s="331" t="str">
        <f t="shared" si="102"/>
        <v>65 plus</v>
      </c>
      <c r="C256" s="447">
        <f t="shared" si="104"/>
        <v>13.218922459726816</v>
      </c>
      <c r="D256" s="447">
        <f t="shared" ref="D256:N256" si="114">D86-D222</f>
        <v>19.083039354567923</v>
      </c>
      <c r="E256" s="447">
        <f t="shared" si="114"/>
        <v>22.465244588440825</v>
      </c>
      <c r="F256" s="447">
        <f t="shared" si="114"/>
        <v>24.524628159513593</v>
      </c>
      <c r="G256" s="447">
        <f t="shared" si="114"/>
        <v>25.626970002402658</v>
      </c>
      <c r="H256" s="447">
        <f t="shared" si="114"/>
        <v>26.239190246133994</v>
      </c>
      <c r="I256" s="447">
        <f t="shared" si="114"/>
        <v>26.615878216412181</v>
      </c>
      <c r="J256" s="447">
        <f t="shared" si="114"/>
        <v>27.008291246653876</v>
      </c>
      <c r="K256" s="447">
        <f t="shared" si="114"/>
        <v>27.255616883475305</v>
      </c>
      <c r="L256" s="447">
        <f t="shared" si="114"/>
        <v>27.363405822522694</v>
      </c>
      <c r="M256" s="447">
        <f t="shared" si="114"/>
        <v>27.392526579828719</v>
      </c>
      <c r="N256" s="447">
        <f t="shared" si="114"/>
        <v>27.46838196463781</v>
      </c>
    </row>
    <row r="257" spans="1:14">
      <c r="B257" s="331" t="str">
        <f t="shared" si="102"/>
        <v>Total</v>
      </c>
      <c r="C257" s="447">
        <f>SUM(C247:C256)</f>
        <v>4461.2812476656845</v>
      </c>
      <c r="D257" s="447">
        <f t="shared" ref="D257:N257" si="115">SUM(D247:D256)</f>
        <v>4519.8444430366562</v>
      </c>
      <c r="E257" s="447">
        <f t="shared" si="115"/>
        <v>4548.1437510918104</v>
      </c>
      <c r="F257" s="447">
        <f t="shared" si="115"/>
        <v>4602.0786255627845</v>
      </c>
      <c r="G257" s="447">
        <f t="shared" si="115"/>
        <v>4648.0408654499079</v>
      </c>
      <c r="H257" s="447">
        <f t="shared" si="115"/>
        <v>4691.6560162103133</v>
      </c>
      <c r="I257" s="447">
        <f t="shared" si="115"/>
        <v>4732.0173494127057</v>
      </c>
      <c r="J257" s="447">
        <f t="shared" si="115"/>
        <v>4790.5793397325388</v>
      </c>
      <c r="K257" s="447">
        <f t="shared" si="115"/>
        <v>4825.3756706461927</v>
      </c>
      <c r="L257" s="447">
        <f t="shared" si="115"/>
        <v>4833.5014403084379</v>
      </c>
      <c r="M257" s="447">
        <f t="shared" si="115"/>
        <v>4824.8687060951343</v>
      </c>
      <c r="N257" s="447">
        <f t="shared" si="115"/>
        <v>4822.5627199969231</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311.30891073403097</v>
      </c>
      <c r="D263" s="447">
        <f t="shared" ref="D263:N263" si="120">D93-D229</f>
        <v>356.77129440094933</v>
      </c>
      <c r="E263" s="447">
        <f t="shared" si="120"/>
        <v>386.35449642040402</v>
      </c>
      <c r="F263" s="447">
        <f t="shared" si="120"/>
        <v>412.09276385413335</v>
      </c>
      <c r="G263" s="447">
        <f t="shared" si="120"/>
        <v>430.01616814925671</v>
      </c>
      <c r="H263" s="447">
        <f t="shared" si="120"/>
        <v>443.64083415316088</v>
      </c>
      <c r="I263" s="447">
        <f t="shared" si="120"/>
        <v>453.91796398642373</v>
      </c>
      <c r="J263" s="447">
        <f t="shared" si="120"/>
        <v>467.26607584668653</v>
      </c>
      <c r="K263" s="447">
        <f t="shared" si="120"/>
        <v>472.42614376915225</v>
      </c>
      <c r="L263" s="447">
        <f t="shared" si="120"/>
        <v>470.33762890013753</v>
      </c>
      <c r="M263" s="447">
        <f t="shared" si="120"/>
        <v>464.90585134623251</v>
      </c>
      <c r="N263" s="447">
        <f t="shared" si="120"/>
        <v>462.58822544944036</v>
      </c>
    </row>
    <row r="264" spans="1:14">
      <c r="B264" s="331" t="str">
        <f t="shared" si="117"/>
        <v>25-29</v>
      </c>
      <c r="C264" s="447">
        <f t="shared" si="119"/>
        <v>1000.9411509709884</v>
      </c>
      <c r="D264" s="447">
        <f t="shared" ref="D264:N264" si="121">D94-D230</f>
        <v>944.23898518956946</v>
      </c>
      <c r="E264" s="447">
        <f t="shared" si="121"/>
        <v>908.14954591508217</v>
      </c>
      <c r="F264" s="447">
        <f t="shared" si="121"/>
        <v>893.6604768805081</v>
      </c>
      <c r="G264" s="447">
        <f t="shared" si="121"/>
        <v>887.80787511875121</v>
      </c>
      <c r="H264" s="447">
        <f t="shared" si="121"/>
        <v>888.20422561891655</v>
      </c>
      <c r="I264" s="447">
        <f t="shared" si="121"/>
        <v>891.83654342144916</v>
      </c>
      <c r="J264" s="447">
        <f t="shared" si="121"/>
        <v>904.13006733407747</v>
      </c>
      <c r="K264" s="447">
        <f t="shared" si="121"/>
        <v>909.8173832586001</v>
      </c>
      <c r="L264" s="447">
        <f t="shared" si="121"/>
        <v>907.43106949857599</v>
      </c>
      <c r="M264" s="447">
        <f t="shared" si="121"/>
        <v>900.27039871752993</v>
      </c>
      <c r="N264" s="447">
        <f t="shared" si="121"/>
        <v>896.14682716282107</v>
      </c>
    </row>
    <row r="265" spans="1:14">
      <c r="B265" s="331" t="str">
        <f t="shared" si="117"/>
        <v>30-34</v>
      </c>
      <c r="C265" s="447">
        <f t="shared" si="119"/>
        <v>1096.5809382519399</v>
      </c>
      <c r="D265" s="447">
        <f t="shared" ref="D265:N265" si="122">D95-D231</f>
        <v>1084.6634108170897</v>
      </c>
      <c r="E265" s="447">
        <f t="shared" si="122"/>
        <v>1062.7210393313267</v>
      </c>
      <c r="F265" s="447">
        <f t="shared" si="122"/>
        <v>1043.3855304894871</v>
      </c>
      <c r="G265" s="447">
        <f t="shared" si="122"/>
        <v>1026.7027222699562</v>
      </c>
      <c r="H265" s="447">
        <f t="shared" si="122"/>
        <v>1014.4237000981185</v>
      </c>
      <c r="I265" s="447">
        <f t="shared" si="122"/>
        <v>1006.1934884674864</v>
      </c>
      <c r="J265" s="447">
        <f t="shared" si="122"/>
        <v>1005.7330595272067</v>
      </c>
      <c r="K265" s="447">
        <f t="shared" si="122"/>
        <v>1004.3248518820345</v>
      </c>
      <c r="L265" s="447">
        <f t="shared" si="122"/>
        <v>999.85005507913479</v>
      </c>
      <c r="M265" s="447">
        <f t="shared" si="122"/>
        <v>993.06467553783557</v>
      </c>
      <c r="N265" s="447">
        <f t="shared" si="122"/>
        <v>988.03650258156665</v>
      </c>
    </row>
    <row r="266" spans="1:14">
      <c r="B266" s="331" t="str">
        <f t="shared" si="117"/>
        <v>35-39</v>
      </c>
      <c r="C266" s="447">
        <f t="shared" si="119"/>
        <v>1063.1200977079636</v>
      </c>
      <c r="D266" s="447">
        <f t="shared" ref="D266:N266" si="123">D96-D232</f>
        <v>1049.9837789600947</v>
      </c>
      <c r="E266" s="447">
        <f t="shared" si="123"/>
        <v>1035.7911217467206</v>
      </c>
      <c r="F266" s="447">
        <f t="shared" si="123"/>
        <v>1023.1711555931006</v>
      </c>
      <c r="G266" s="447">
        <f t="shared" si="123"/>
        <v>1010.3857276421962</v>
      </c>
      <c r="H266" s="447">
        <f t="shared" si="123"/>
        <v>998.58146091985498</v>
      </c>
      <c r="I266" s="447">
        <f t="shared" si="123"/>
        <v>988.11934365647153</v>
      </c>
      <c r="J266" s="447">
        <f t="shared" si="123"/>
        <v>982.21794909991047</v>
      </c>
      <c r="K266" s="447">
        <f t="shared" si="123"/>
        <v>975.62922773120761</v>
      </c>
      <c r="L266" s="447">
        <f t="shared" si="123"/>
        <v>967.57333150229954</v>
      </c>
      <c r="M266" s="447">
        <f t="shared" si="123"/>
        <v>958.80025102668446</v>
      </c>
      <c r="N266" s="447">
        <f t="shared" si="123"/>
        <v>951.94822857616464</v>
      </c>
    </row>
    <row r="267" spans="1:14">
      <c r="B267" s="331" t="str">
        <f t="shared" si="117"/>
        <v>40-44</v>
      </c>
      <c r="C267" s="447">
        <f t="shared" si="119"/>
        <v>850.32103295831939</v>
      </c>
      <c r="D267" s="447">
        <f t="shared" ref="D267:N267" si="124">D97-D233</f>
        <v>879.34182061312754</v>
      </c>
      <c r="E267" s="447">
        <f t="shared" si="124"/>
        <v>896.23804664325212</v>
      </c>
      <c r="F267" s="447">
        <f t="shared" si="124"/>
        <v>907.46273812932816</v>
      </c>
      <c r="G267" s="447">
        <f t="shared" si="124"/>
        <v>913.32027151707359</v>
      </c>
      <c r="H267" s="447">
        <f t="shared" si="124"/>
        <v>915.734418398054</v>
      </c>
      <c r="I267" s="447">
        <f t="shared" si="124"/>
        <v>915.66086231274141</v>
      </c>
      <c r="J267" s="447">
        <f t="shared" si="124"/>
        <v>916.3835579499015</v>
      </c>
      <c r="K267" s="447">
        <f t="shared" si="124"/>
        <v>913.9965600725991</v>
      </c>
      <c r="L267" s="447">
        <f t="shared" si="124"/>
        <v>908.54607625137794</v>
      </c>
      <c r="M267" s="447">
        <f t="shared" si="124"/>
        <v>901.34483577491949</v>
      </c>
      <c r="N267" s="447">
        <f t="shared" si="124"/>
        <v>895.12001902925431</v>
      </c>
    </row>
    <row r="268" spans="1:14">
      <c r="B268" s="331" t="str">
        <f t="shared" si="117"/>
        <v>45-49</v>
      </c>
      <c r="C268" s="447">
        <f t="shared" si="119"/>
        <v>606.25457837240049</v>
      </c>
      <c r="D268" s="447">
        <f t="shared" ref="D268:N268" si="125">D98-D234</f>
        <v>646.14981559866533</v>
      </c>
      <c r="E268" s="447">
        <f t="shared" si="125"/>
        <v>678.92347398265292</v>
      </c>
      <c r="F268" s="447">
        <f t="shared" si="125"/>
        <v>707.01675027140266</v>
      </c>
      <c r="G268" s="447">
        <f t="shared" si="125"/>
        <v>729.44897162405732</v>
      </c>
      <c r="H268" s="447">
        <f t="shared" si="125"/>
        <v>747.20724675871645</v>
      </c>
      <c r="I268" s="447">
        <f t="shared" si="125"/>
        <v>760.82093751236334</v>
      </c>
      <c r="J268" s="447">
        <f t="shared" si="125"/>
        <v>772.89566849822575</v>
      </c>
      <c r="K268" s="447">
        <f t="shared" si="125"/>
        <v>780.3163611041258</v>
      </c>
      <c r="L268" s="447">
        <f t="shared" si="125"/>
        <v>783.24926819228688</v>
      </c>
      <c r="M268" s="447">
        <f t="shared" si="125"/>
        <v>782.97916589693023</v>
      </c>
      <c r="N268" s="447">
        <f t="shared" si="125"/>
        <v>782.00317211835545</v>
      </c>
    </row>
    <row r="269" spans="1:14">
      <c r="B269" s="331" t="str">
        <f t="shared" si="117"/>
        <v>50-54</v>
      </c>
      <c r="C269" s="447">
        <f t="shared" si="119"/>
        <v>383.32873967367487</v>
      </c>
      <c r="D269" s="447">
        <f t="shared" ref="D269:N269" si="126">D99-D235</f>
        <v>416.43429981646511</v>
      </c>
      <c r="E269" s="447">
        <f t="shared" si="126"/>
        <v>445.96010110761523</v>
      </c>
      <c r="F269" s="447">
        <f t="shared" si="126"/>
        <v>473.64565507168578</v>
      </c>
      <c r="G269" s="447">
        <f t="shared" si="126"/>
        <v>498.22613246394928</v>
      </c>
      <c r="H269" s="447">
        <f t="shared" si="126"/>
        <v>519.9105095874479</v>
      </c>
      <c r="I269" s="447">
        <f t="shared" si="126"/>
        <v>538.62496050523885</v>
      </c>
      <c r="J269" s="447">
        <f t="shared" si="126"/>
        <v>555.92042754782051</v>
      </c>
      <c r="K269" s="447">
        <f t="shared" si="126"/>
        <v>569.22350620894895</v>
      </c>
      <c r="L269" s="447">
        <f t="shared" si="126"/>
        <v>578.47436320349232</v>
      </c>
      <c r="M269" s="447">
        <f t="shared" si="126"/>
        <v>584.51213305836654</v>
      </c>
      <c r="N269" s="447">
        <f t="shared" si="126"/>
        <v>589.13595465745993</v>
      </c>
    </row>
    <row r="270" spans="1:14">
      <c r="B270" s="331" t="str">
        <f t="shared" si="117"/>
        <v>55-59</v>
      </c>
      <c r="C270" s="447">
        <f t="shared" si="119"/>
        <v>243.0296528053687</v>
      </c>
      <c r="D270" s="447">
        <f t="shared" ref="D270:N270" si="127">D100-D236</f>
        <v>228.48518171966913</v>
      </c>
      <c r="E270" s="447">
        <f t="shared" si="127"/>
        <v>224.15865837099517</v>
      </c>
      <c r="F270" s="447">
        <f t="shared" si="127"/>
        <v>226.69196652159076</v>
      </c>
      <c r="G270" s="447">
        <f t="shared" si="127"/>
        <v>232.45535752796803</v>
      </c>
      <c r="H270" s="447">
        <f t="shared" si="127"/>
        <v>239.89791720142253</v>
      </c>
      <c r="I270" s="447">
        <f t="shared" si="127"/>
        <v>247.87350808930441</v>
      </c>
      <c r="J270" s="447">
        <f t="shared" si="127"/>
        <v>256.54414444541203</v>
      </c>
      <c r="K270" s="447">
        <f t="shared" si="127"/>
        <v>263.85162335030503</v>
      </c>
      <c r="L270" s="447">
        <f t="shared" si="127"/>
        <v>269.48587858547421</v>
      </c>
      <c r="M270" s="447">
        <f t="shared" si="127"/>
        <v>273.74158800680675</v>
      </c>
      <c r="N270" s="447">
        <f t="shared" si="127"/>
        <v>277.49256081510742</v>
      </c>
    </row>
    <row r="271" spans="1:14">
      <c r="B271" s="331" t="str">
        <f t="shared" si="117"/>
        <v>60-64</v>
      </c>
      <c r="C271" s="447">
        <f t="shared" si="119"/>
        <v>86.049355793993413</v>
      </c>
      <c r="D271" s="447">
        <f t="shared" ref="D271:N271" si="128">D101-D237</f>
        <v>84.225538655448673</v>
      </c>
      <c r="E271" s="447">
        <f t="shared" si="128"/>
        <v>81.228157419848856</v>
      </c>
      <c r="F271" s="447">
        <f t="shared" si="128"/>
        <v>79.462738880264141</v>
      </c>
      <c r="G271" s="447">
        <f t="shared" si="128"/>
        <v>78.880252319850797</v>
      </c>
      <c r="H271" s="447">
        <f t="shared" si="128"/>
        <v>79.38966640312762</v>
      </c>
      <c r="I271" s="447">
        <f t="shared" si="128"/>
        <v>80.643276766407411</v>
      </c>
      <c r="J271" s="447">
        <f t="shared" si="128"/>
        <v>82.717113011313586</v>
      </c>
      <c r="K271" s="447">
        <f t="shared" si="128"/>
        <v>84.58008154957264</v>
      </c>
      <c r="L271" s="447">
        <f t="shared" si="128"/>
        <v>86.058472472635756</v>
      </c>
      <c r="M271" s="447">
        <f t="shared" si="128"/>
        <v>87.24942131067165</v>
      </c>
      <c r="N271" s="447">
        <f t="shared" si="128"/>
        <v>88.49708308613404</v>
      </c>
    </row>
    <row r="272" spans="1:14">
      <c r="B272" s="331" t="str">
        <f t="shared" si="117"/>
        <v>65 plus</v>
      </c>
      <c r="C272" s="447">
        <f t="shared" si="119"/>
        <v>11.794867298778623</v>
      </c>
      <c r="D272" s="447">
        <f t="shared" ref="D272:N272" si="129">D102-D238</f>
        <v>22.133974772788395</v>
      </c>
      <c r="E272" s="447">
        <f t="shared" si="129"/>
        <v>28.280362481645447</v>
      </c>
      <c r="F272" s="447">
        <f t="shared" si="129"/>
        <v>31.856470529719029</v>
      </c>
      <c r="G272" s="447">
        <f t="shared" si="129"/>
        <v>33.866278671049848</v>
      </c>
      <c r="H272" s="447">
        <f t="shared" si="129"/>
        <v>35.07928364769964</v>
      </c>
      <c r="I272" s="447">
        <f t="shared" si="129"/>
        <v>35.921422246601068</v>
      </c>
      <c r="J272" s="447">
        <f t="shared" si="129"/>
        <v>36.779949125837888</v>
      </c>
      <c r="K272" s="447">
        <f t="shared" si="129"/>
        <v>37.455174471320852</v>
      </c>
      <c r="L272" s="447">
        <f t="shared" si="129"/>
        <v>37.946323841865322</v>
      </c>
      <c r="M272" s="447">
        <f t="shared" si="129"/>
        <v>38.324163692929858</v>
      </c>
      <c r="N272" s="447">
        <f t="shared" si="129"/>
        <v>38.75153856301273</v>
      </c>
    </row>
    <row r="273" spans="1:14">
      <c r="B273" s="331" t="str">
        <f t="shared" si="117"/>
        <v>Total</v>
      </c>
      <c r="C273" s="447">
        <f>SUM(C263:C272)</f>
        <v>5652.7293245674582</v>
      </c>
      <c r="D273" s="447">
        <f t="shared" ref="D273:N273" si="130">SUM(D263:D272)</f>
        <v>5712.4281005438679</v>
      </c>
      <c r="E273" s="447">
        <f t="shared" si="130"/>
        <v>5747.805003419543</v>
      </c>
      <c r="F273" s="447">
        <f t="shared" si="130"/>
        <v>5798.4462462212205</v>
      </c>
      <c r="G273" s="447">
        <f t="shared" si="130"/>
        <v>5841.1097573041088</v>
      </c>
      <c r="H273" s="447">
        <f t="shared" si="130"/>
        <v>5882.0692627865192</v>
      </c>
      <c r="I273" s="447">
        <f t="shared" si="130"/>
        <v>5919.6123069644873</v>
      </c>
      <c r="J273" s="447">
        <f t="shared" si="130"/>
        <v>5980.5880123863926</v>
      </c>
      <c r="K273" s="447">
        <f t="shared" si="130"/>
        <v>6011.6209133978673</v>
      </c>
      <c r="L273" s="447">
        <f t="shared" si="130"/>
        <v>6008.9524675272805</v>
      </c>
      <c r="M273" s="447">
        <f t="shared" si="130"/>
        <v>5985.1924843689058</v>
      </c>
      <c r="N273" s="447">
        <f t="shared" si="130"/>
        <v>5969.7201120393174</v>
      </c>
    </row>
    <row r="274" spans="1:14">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219</v>
      </c>
      <c r="C279" s="447">
        <f>C223+C239</f>
        <v>1242.4911636094844</v>
      </c>
      <c r="D279" s="447">
        <f t="shared" ref="D279:N279" si="133">D223+D239</f>
        <v>1246.5127399505586</v>
      </c>
      <c r="E279" s="447">
        <f t="shared" si="133"/>
        <v>1286.0197499696606</v>
      </c>
      <c r="F279" s="447">
        <f t="shared" si="133"/>
        <v>1301.8436651470465</v>
      </c>
      <c r="G279" s="447">
        <f t="shared" si="133"/>
        <v>1316.6729392379552</v>
      </c>
      <c r="H279" s="447">
        <f t="shared" si="133"/>
        <v>1331.3187894309494</v>
      </c>
      <c r="I279" s="447">
        <f t="shared" si="133"/>
        <v>1345.2487631864597</v>
      </c>
      <c r="J279" s="447">
        <f t="shared" si="133"/>
        <v>1364.7695811542071</v>
      </c>
      <c r="K279" s="447">
        <f t="shared" si="133"/>
        <v>1376.7534071402536</v>
      </c>
      <c r="L279" s="447">
        <f t="shared" si="133"/>
        <v>1380.3687455604654</v>
      </c>
      <c r="M279" s="447">
        <f t="shared" si="133"/>
        <v>1378.7364341308569</v>
      </c>
      <c r="N279" s="447">
        <f t="shared" si="133"/>
        <v>1378.9338874308028</v>
      </c>
    </row>
    <row r="280" spans="1:14">
      <c r="B280" s="319" t="s">
        <v>220</v>
      </c>
      <c r="C280" s="447">
        <f>C155+C171</f>
        <v>234.74323701619051</v>
      </c>
      <c r="D280" s="447">
        <f t="shared" ref="D280:N280" si="134">D155+D171</f>
        <v>237.36678891429244</v>
      </c>
      <c r="E280" s="447">
        <f t="shared" si="134"/>
        <v>239.63307744741661</v>
      </c>
      <c r="F280" s="447">
        <f t="shared" si="134"/>
        <v>242.91503605322163</v>
      </c>
      <c r="G280" s="447">
        <f t="shared" si="134"/>
        <v>246.81765385892072</v>
      </c>
      <c r="H280" s="447">
        <f t="shared" si="134"/>
        <v>251.34280881928274</v>
      </c>
      <c r="I280" s="447">
        <f t="shared" si="134"/>
        <v>256.1738494150278</v>
      </c>
      <c r="J280" s="447">
        <f t="shared" si="134"/>
        <v>261.96704972032734</v>
      </c>
      <c r="K280" s="447">
        <f t="shared" si="134"/>
        <v>266.67942271530683</v>
      </c>
      <c r="L280" s="447">
        <f t="shared" si="134"/>
        <v>270.07074791421962</v>
      </c>
      <c r="M280" s="447">
        <f t="shared" si="134"/>
        <v>272.49136712556498</v>
      </c>
      <c r="N280" s="447">
        <f t="shared" si="134"/>
        <v>274.87491728586883</v>
      </c>
    </row>
    <row r="281" spans="1:14">
      <c r="B281" s="319" t="s">
        <v>538</v>
      </c>
      <c r="C281" s="447">
        <f>C189+C205</f>
        <v>7.0854953229007904</v>
      </c>
      <c r="D281" s="447">
        <f t="shared" ref="D281:N281" si="135">D189+D205</f>
        <v>7.2831308081703536</v>
      </c>
      <c r="E281" s="447">
        <f t="shared" si="135"/>
        <v>7.4390623994963718</v>
      </c>
      <c r="F281" s="447">
        <f t="shared" si="135"/>
        <v>7.5750383569601869</v>
      </c>
      <c r="G281" s="447">
        <f t="shared" si="135"/>
        <v>7.692152959693539</v>
      </c>
      <c r="H281" s="447">
        <f t="shared" si="135"/>
        <v>7.7988949344473122</v>
      </c>
      <c r="I281" s="447">
        <f t="shared" si="135"/>
        <v>7.896186638220648</v>
      </c>
      <c r="J281" s="447">
        <f t="shared" si="135"/>
        <v>8.009650892371404</v>
      </c>
      <c r="K281" s="447">
        <f t="shared" si="135"/>
        <v>8.0914776315247572</v>
      </c>
      <c r="L281" s="447">
        <f t="shared" si="135"/>
        <v>8.1372320655956081</v>
      </c>
      <c r="M281" s="447">
        <f t="shared" si="135"/>
        <v>8.1574257568990305</v>
      </c>
      <c r="N281" s="447">
        <f t="shared" si="135"/>
        <v>8.1785698416780832</v>
      </c>
    </row>
    <row r="282" spans="1:14">
      <c r="B282" s="319" t="s">
        <v>221</v>
      </c>
      <c r="C282" s="447">
        <f>C121+C137</f>
        <v>1000.662431270393</v>
      </c>
      <c r="D282" s="447">
        <f t="shared" ref="D282:N282" si="136">D121+D137</f>
        <v>1001.8628202280956</v>
      </c>
      <c r="E282" s="447">
        <f t="shared" si="136"/>
        <v>1038.9476101227478</v>
      </c>
      <c r="F282" s="447">
        <f t="shared" si="136"/>
        <v>1051.3535907368646</v>
      </c>
      <c r="G282" s="447">
        <f t="shared" si="136"/>
        <v>1062.1631324193406</v>
      </c>
      <c r="H282" s="447">
        <f t="shared" si="136"/>
        <v>1072.1770856772191</v>
      </c>
      <c r="I282" s="447">
        <f t="shared" si="136"/>
        <v>1081.1787271332109</v>
      </c>
      <c r="J282" s="447">
        <f t="shared" si="136"/>
        <v>1094.7928805415086</v>
      </c>
      <c r="K282" s="447">
        <f t="shared" si="136"/>
        <v>1101.9825067934219</v>
      </c>
      <c r="L282" s="447">
        <f t="shared" si="136"/>
        <v>1102.1607655806501</v>
      </c>
      <c r="M282" s="447">
        <f t="shared" si="136"/>
        <v>1098.0876412483931</v>
      </c>
      <c r="N282" s="447">
        <f t="shared" si="136"/>
        <v>1095.8804003032556</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5"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5"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5" ht="15.75">
      <c r="B291" s="333"/>
      <c r="H291" s="320"/>
    </row>
    <row r="292" spans="2:15" ht="15.75">
      <c r="B292" s="333" t="s">
        <v>264</v>
      </c>
      <c r="H292" s="320"/>
    </row>
    <row r="293" spans="2:15"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5">
      <c r="B294" s="356" t="s">
        <v>268</v>
      </c>
      <c r="C294" s="447">
        <f>C36-C15+C279-C290</f>
        <v>1364.77471129794</v>
      </c>
      <c r="D294" s="447">
        <f>D36-D15+D279-D290</f>
        <v>1349.6959609004903</v>
      </c>
      <c r="E294" s="447">
        <f>E36-E15+E279-E290</f>
        <v>1406.4197824196981</v>
      </c>
      <c r="F294" s="447">
        <f t="shared" ref="F294:N294" si="141">F36-F15+F279-F290</f>
        <v>1405.2986902079674</v>
      </c>
      <c r="G294" s="447">
        <f t="shared" si="141"/>
        <v>1415.8934456737647</v>
      </c>
      <c r="H294" s="447">
        <f t="shared" si="141"/>
        <v>1423.1531405668202</v>
      </c>
      <c r="I294" s="447">
        <f t="shared" si="141"/>
        <v>1484.3072768959455</v>
      </c>
      <c r="J294" s="447">
        <f t="shared" si="141"/>
        <v>1442.582639065382</v>
      </c>
      <c r="K294" s="447">
        <f t="shared" si="141"/>
        <v>1385.8260693521245</v>
      </c>
      <c r="L294" s="447">
        <f t="shared" si="141"/>
        <v>1346.3437167591787</v>
      </c>
      <c r="M294" s="447">
        <f t="shared" si="141"/>
        <v>1361.1555290030012</v>
      </c>
      <c r="N294" s="447">
        <f t="shared" si="141"/>
        <v>1370.9924203509631</v>
      </c>
    </row>
    <row r="295" spans="2:15" ht="12.75" customHeight="1">
      <c r="B295" s="1327" t="s">
        <v>265</v>
      </c>
      <c r="C295" s="1327"/>
      <c r="D295" s="1327"/>
      <c r="E295" s="1327"/>
      <c r="F295" s="1327"/>
      <c r="G295" s="1327"/>
      <c r="H295" s="1327"/>
      <c r="I295" s="1327"/>
      <c r="J295" s="1327"/>
      <c r="K295" s="1327"/>
      <c r="L295" s="1327"/>
      <c r="M295" s="1327"/>
      <c r="N295" s="1327"/>
    </row>
    <row r="296" spans="2:15">
      <c r="B296" s="319" t="s">
        <v>0</v>
      </c>
      <c r="C296" s="276">
        <f>IF(C294&lt;0,0,C294)</f>
        <v>1364.77471129794</v>
      </c>
      <c r="D296" s="276">
        <f t="shared" ref="D296:N296" si="142">IF(D294&lt;0,0,D294)</f>
        <v>1349.6959609004903</v>
      </c>
      <c r="E296" s="276">
        <f t="shared" si="142"/>
        <v>1406.4197824196981</v>
      </c>
      <c r="F296" s="276">
        <f t="shared" si="142"/>
        <v>1405.2986902079674</v>
      </c>
      <c r="G296" s="276">
        <f t="shared" si="142"/>
        <v>1415.8934456737647</v>
      </c>
      <c r="H296" s="276">
        <f t="shared" si="142"/>
        <v>1423.1531405668202</v>
      </c>
      <c r="I296" s="276">
        <f t="shared" si="142"/>
        <v>1484.3072768959455</v>
      </c>
      <c r="J296" s="276">
        <f t="shared" si="142"/>
        <v>1442.582639065382</v>
      </c>
      <c r="K296" s="276">
        <f t="shared" si="142"/>
        <v>1385.8260693521245</v>
      </c>
      <c r="L296" s="276">
        <f t="shared" si="142"/>
        <v>1346.3437167591787</v>
      </c>
      <c r="M296" s="276">
        <f t="shared" si="142"/>
        <v>1361.1555290030012</v>
      </c>
      <c r="N296" s="276">
        <f t="shared" si="142"/>
        <v>1370.9924203509631</v>
      </c>
    </row>
    <row r="297" spans="2:15" ht="15.75">
      <c r="B297" s="333"/>
      <c r="H297" s="320"/>
    </row>
    <row r="298" spans="2:15" ht="15.75">
      <c r="B298" s="333" t="s">
        <v>175</v>
      </c>
      <c r="H298" s="320"/>
    </row>
    <row r="299" spans="2:15" ht="15.75">
      <c r="B299" s="333"/>
      <c r="H299" s="320"/>
    </row>
    <row r="300" spans="2:15">
      <c r="B300" s="334" t="s">
        <v>46</v>
      </c>
      <c r="H300" s="318"/>
    </row>
    <row r="301" spans="2:15">
      <c r="H301" s="318"/>
    </row>
    <row r="302" spans="2:15">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5">
      <c r="B303" s="331" t="str">
        <f t="shared" si="143"/>
        <v>20-24</v>
      </c>
      <c r="C303" s="447">
        <f>C$296*Entrant_age_breakdowns!$K76*$G$31</f>
        <v>154.64408761407091</v>
      </c>
      <c r="D303" s="447">
        <f>D$296*Entrant_age_breakdowns!$K76*$G$31</f>
        <v>152.93549821959402</v>
      </c>
      <c r="E303" s="447">
        <f>E$296*Entrant_age_breakdowns!$K76*$G$31</f>
        <v>159.36293532859415</v>
      </c>
      <c r="F303" s="447">
        <f>F$296*Entrant_age_breakdowns!$K76*$G$31</f>
        <v>159.23590316659761</v>
      </c>
      <c r="G303" s="447">
        <f>G$296*Entrant_age_breakdowns!$K76*$G$31</f>
        <v>160.43640628182916</v>
      </c>
      <c r="H303" s="447">
        <f>H$296*Entrant_age_breakdowns!$K76*$G$31</f>
        <v>161.2590101033972</v>
      </c>
      <c r="I303" s="447">
        <f>I$296*Entrant_age_breakdowns!$K76*$G$31</f>
        <v>168.1884509394236</v>
      </c>
      <c r="J303" s="447">
        <f>J$296*Entrant_age_breakdowns!$K76*$G$31</f>
        <v>163.46058743571129</v>
      </c>
      <c r="K303" s="447">
        <f>K$296*Entrant_age_breakdowns!$K76*$G$31</f>
        <v>157.02943959368844</v>
      </c>
      <c r="L303" s="447">
        <f>L$296*Entrant_age_breakdowns!$K76*$G$31</f>
        <v>152.55565183732941</v>
      </c>
      <c r="M303" s="447">
        <f>M$296*Entrant_age_breakdowns!$K76*$G$31</f>
        <v>154.23399418306241</v>
      </c>
      <c r="N303" s="447">
        <f>N$296*Entrant_age_breakdowns!$K76*$G$31</f>
        <v>155.34862290153976</v>
      </c>
      <c r="O303" s="320"/>
    </row>
    <row r="304" spans="2:15">
      <c r="B304" s="331" t="str">
        <f t="shared" si="143"/>
        <v>25-29</v>
      </c>
      <c r="C304" s="447">
        <f>C$296*Entrant_age_breakdowns!$K77*$G$31</f>
        <v>157.8577804736012</v>
      </c>
      <c r="D304" s="447">
        <f>D$296*Entrant_age_breakdowns!$K77*$G$31</f>
        <v>156.11368450644107</v>
      </c>
      <c r="E304" s="447">
        <f>E$296*Entrant_age_breakdowns!$K77*$G$31</f>
        <v>162.67469160224744</v>
      </c>
      <c r="F304" s="447">
        <f>F$296*Entrant_age_breakdowns!$K77*$G$31</f>
        <v>162.54501955690174</v>
      </c>
      <c r="G304" s="447">
        <f>G$296*Entrant_age_breakdowns!$K77*$G$31</f>
        <v>163.77047059189402</v>
      </c>
      <c r="H304" s="447">
        <f>H$296*Entrant_age_breakdowns!$K77*$G$31</f>
        <v>164.61016912473346</v>
      </c>
      <c r="I304" s="447">
        <f>I$296*Entrant_age_breakdowns!$K77*$G$31</f>
        <v>171.68361219763071</v>
      </c>
      <c r="J304" s="447">
        <f>J$296*Entrant_age_breakdowns!$K77*$G$31</f>
        <v>166.85749792069367</v>
      </c>
      <c r="K304" s="447">
        <f>K$296*Entrant_age_breakdowns!$K77*$G$31</f>
        <v>160.29270297830399</v>
      </c>
      <c r="L304" s="447">
        <f>L$296*Entrant_age_breakdowns!$K77*$G$31</f>
        <v>155.72594445280996</v>
      </c>
      <c r="M304" s="447">
        <f>M$296*Entrant_age_breakdowns!$K77*$G$31</f>
        <v>157.43916480064146</v>
      </c>
      <c r="N304" s="447">
        <f>N$296*Entrant_age_breakdowns!$K77*$G$31</f>
        <v>158.57695686411873</v>
      </c>
      <c r="O304" s="320"/>
    </row>
    <row r="305" spans="1:15">
      <c r="B305" s="331" t="str">
        <f t="shared" si="143"/>
        <v>30-34</v>
      </c>
      <c r="C305" s="447">
        <f>C$296*Entrant_age_breakdowns!$K78*$G$31</f>
        <v>78.400479750299937</v>
      </c>
      <c r="D305" s="447">
        <f>D$296*Entrant_age_breakdowns!$K78*$G$31</f>
        <v>77.534269924305434</v>
      </c>
      <c r="E305" s="447">
        <f>E$296*Entrant_age_breakdowns!$K78*$G$31</f>
        <v>80.792811267108362</v>
      </c>
      <c r="F305" s="447">
        <f>F$296*Entrant_age_breakdowns!$K78*$G$31</f>
        <v>80.728409306465053</v>
      </c>
      <c r="G305" s="447">
        <f>G$296*Entrant_age_breakdowns!$K78*$G$31</f>
        <v>81.337032769721986</v>
      </c>
      <c r="H305" s="447">
        <f>H$296*Entrant_age_breakdowns!$K78*$G$31</f>
        <v>81.754071243357714</v>
      </c>
      <c r="I305" s="447">
        <f>I$296*Entrant_age_breakdowns!$K78*$G$31</f>
        <v>85.267115255111833</v>
      </c>
      <c r="J305" s="447">
        <f>J$296*Entrant_age_breakdowns!$K78*$G$31</f>
        <v>82.870212970622205</v>
      </c>
      <c r="K305" s="447">
        <f>K$296*Entrant_age_breakdowns!$K78*$G$31</f>
        <v>79.609790383901725</v>
      </c>
      <c r="L305" s="447">
        <f>L$296*Entrant_age_breakdowns!$K78*$G$31</f>
        <v>77.341697812041573</v>
      </c>
      <c r="M305" s="447">
        <f>M$296*Entrant_age_breakdowns!$K78*$G$31</f>
        <v>78.192573180902016</v>
      </c>
      <c r="N305" s="447">
        <f>N$296*Entrant_age_breakdowns!$K78*$G$31</f>
        <v>78.757660586572314</v>
      </c>
      <c r="O305" s="320"/>
    </row>
    <row r="306" spans="1:15">
      <c r="B306" s="331" t="str">
        <f t="shared" si="143"/>
        <v>35-39</v>
      </c>
      <c r="C306" s="447">
        <f>C$296*Entrant_age_breakdowns!$K79*$G$31</f>
        <v>58.434454323740162</v>
      </c>
      <c r="D306" s="447">
        <f>D$296*Entrant_age_breakdowns!$K79*$G$31</f>
        <v>57.788839670959192</v>
      </c>
      <c r="E306" s="447">
        <f>E$296*Entrant_age_breakdowns!$K79*$G$31</f>
        <v>60.217537631283967</v>
      </c>
      <c r="F306" s="447">
        <f>F$296*Entrant_age_breakdowns!$K79*$G$31</f>
        <v>60.169536733335931</v>
      </c>
      <c r="G306" s="447">
        <f>G$296*Entrant_age_breakdowns!$K79*$G$31</f>
        <v>60.623163803952266</v>
      </c>
      <c r="H306" s="447">
        <f>H$296*Entrant_age_breakdowns!$K79*$G$31</f>
        <v>60.933996285035605</v>
      </c>
      <c r="I306" s="447">
        <f>I$296*Entrant_age_breakdowns!$K79*$G$31</f>
        <v>63.552383449195126</v>
      </c>
      <c r="J306" s="447">
        <f>J$296*Entrant_age_breakdowns!$K79*$G$31</f>
        <v>61.765893398272425</v>
      </c>
      <c r="K306" s="447">
        <f>K$296*Entrant_age_breakdowns!$K79*$G$31</f>
        <v>59.335793285025616</v>
      </c>
      <c r="L306" s="447">
        <f>L$296*Entrant_age_breakdowns!$K79*$G$31</f>
        <v>57.645309346477148</v>
      </c>
      <c r="M306" s="447">
        <f>M$296*Entrant_age_breakdowns!$K79*$G$31</f>
        <v>58.279494724362934</v>
      </c>
      <c r="N306" s="447">
        <f>N$296*Entrant_age_breakdowns!$K79*$G$31</f>
        <v>58.700672940372968</v>
      </c>
      <c r="O306" s="320"/>
    </row>
    <row r="307" spans="1:15">
      <c r="B307" s="331" t="str">
        <f t="shared" si="143"/>
        <v>40-44</v>
      </c>
      <c r="C307" s="447">
        <f>C$296*Entrant_age_breakdowns!$K80*$G$31</f>
        <v>50.20959047182086</v>
      </c>
      <c r="D307" s="447">
        <f>D$296*Entrant_age_breakdowns!$K80*$G$31</f>
        <v>49.654848450287702</v>
      </c>
      <c r="E307" s="447">
        <f>E$296*Entrant_age_breakdowns!$K80*$G$31</f>
        <v>51.741698261394966</v>
      </c>
      <c r="F307" s="447">
        <f>F$296*Entrant_age_breakdowns!$K80*$G$31</f>
        <v>51.700453665956488</v>
      </c>
      <c r="G307" s="447">
        <f>G$296*Entrant_age_breakdowns!$K80*$G$31</f>
        <v>52.09023106194946</v>
      </c>
      <c r="H307" s="447">
        <f>H$296*Entrant_age_breakdowns!$K80*$G$31</f>
        <v>52.357312730823608</v>
      </c>
      <c r="I307" s="447">
        <f>I$296*Entrant_age_breakdowns!$K80*$G$31</f>
        <v>54.607152294324258</v>
      </c>
      <c r="J307" s="447">
        <f>J$296*Entrant_age_breakdowns!$K80*$G$31</f>
        <v>53.072117273001759</v>
      </c>
      <c r="K307" s="447">
        <f>K$296*Entrant_age_breakdowns!$K80*$G$31</f>
        <v>50.984062667140961</v>
      </c>
      <c r="L307" s="447">
        <f>L$296*Entrant_age_breakdowns!$K80*$G$31</f>
        <v>49.531520545613425</v>
      </c>
      <c r="M307" s="447">
        <f>M$296*Entrant_age_breakdowns!$K80*$G$31</f>
        <v>50.076442004628845</v>
      </c>
      <c r="N307" s="447">
        <f>N$296*Entrant_age_breakdowns!$K80*$G$31</f>
        <v>50.438337841361673</v>
      </c>
      <c r="O307" s="320"/>
    </row>
    <row r="308" spans="1:15">
      <c r="B308" s="331" t="str">
        <f t="shared" si="143"/>
        <v>45-49</v>
      </c>
      <c r="C308" s="447">
        <f>C$296*Entrant_age_breakdowns!$K81*$G$31</f>
        <v>40.471786028514494</v>
      </c>
      <c r="D308" s="447">
        <f>D$296*Entrant_age_breakdowns!$K81*$G$31</f>
        <v>40.024632403369594</v>
      </c>
      <c r="E308" s="447">
        <f>E$296*Entrant_age_breakdowns!$K81*$G$31</f>
        <v>41.706752058899944</v>
      </c>
      <c r="F308" s="447">
        <f>F$296*Entrant_age_breakdowns!$K81*$G$31</f>
        <v>41.673506568830561</v>
      </c>
      <c r="G308" s="447">
        <f>G$296*Entrant_age_breakdowns!$K81*$G$31</f>
        <v>41.987689321988697</v>
      </c>
      <c r="H308" s="447">
        <f>H$296*Entrant_age_breakdowns!$K81*$G$31</f>
        <v>42.202972339699812</v>
      </c>
      <c r="I308" s="447">
        <f>I$296*Entrant_age_breakdowns!$K81*$G$31</f>
        <v>44.016471007122476</v>
      </c>
      <c r="J308" s="447">
        <f>J$296*Entrant_age_breakdowns!$K81*$G$31</f>
        <v>42.779145461435995</v>
      </c>
      <c r="K308" s="447">
        <f>K$296*Entrant_age_breakdowns!$K81*$G$31</f>
        <v>41.096054672801095</v>
      </c>
      <c r="L308" s="447">
        <f>L$296*Entrant_age_breakdowns!$K81*$G$31</f>
        <v>39.925223096852271</v>
      </c>
      <c r="M308" s="447">
        <f>M$296*Entrant_age_breakdowns!$K81*$G$31</f>
        <v>40.364460789977763</v>
      </c>
      <c r="N308" s="447">
        <f>N$296*Entrant_age_breakdowns!$K81*$G$31</f>
        <v>40.656169420365437</v>
      </c>
      <c r="O308" s="320"/>
    </row>
    <row r="309" spans="1:15">
      <c r="B309" s="331" t="str">
        <f t="shared" si="143"/>
        <v>50-54</v>
      </c>
      <c r="C309" s="447">
        <f>C$296*Entrant_age_breakdowns!$K82*$G$31</f>
        <v>29.989754635063072</v>
      </c>
      <c r="D309" s="447">
        <f>D$296*Entrant_age_breakdowns!$K82*$G$31</f>
        <v>29.658412017941437</v>
      </c>
      <c r="E309" s="447">
        <f>E$296*Entrant_age_breakdowns!$K82*$G$31</f>
        <v>30.904869382106934</v>
      </c>
      <c r="F309" s="447">
        <f>F$296*Entrant_age_breakdowns!$K82*$G$31</f>
        <v>30.880234341557923</v>
      </c>
      <c r="G309" s="447">
        <f>G$296*Entrant_age_breakdowns!$K82*$G$31</f>
        <v>31.11304501295114</v>
      </c>
      <c r="H309" s="447">
        <f>H$296*Entrant_age_breakdowns!$K82*$G$31</f>
        <v>31.27257058648782</v>
      </c>
      <c r="I309" s="447">
        <f>I$296*Entrant_age_breakdowns!$K82*$G$31</f>
        <v>32.616380321711794</v>
      </c>
      <c r="J309" s="447">
        <f>J$296*Entrant_age_breakdowns!$K82*$G$31</f>
        <v>31.699517164432567</v>
      </c>
      <c r="K309" s="447">
        <f>K$296*Entrant_age_breakdowns!$K82*$G$31</f>
        <v>30.452340186768847</v>
      </c>
      <c r="L309" s="447">
        <f>L$296*Entrant_age_breakdowns!$K82*$G$31</f>
        <v>29.584749325892325</v>
      </c>
      <c r="M309" s="447">
        <f>M$296*Entrant_age_breakdowns!$K82*$G$31</f>
        <v>29.910226205860596</v>
      </c>
      <c r="N309" s="447">
        <f>N$296*Entrant_age_breakdowns!$K82*$G$31</f>
        <v>30.126383462772687</v>
      </c>
      <c r="O309" s="320"/>
    </row>
    <row r="310" spans="1:15">
      <c r="B310" s="331" t="str">
        <f t="shared" si="143"/>
        <v>55-59</v>
      </c>
      <c r="C310" s="447">
        <f>C$296*Entrant_age_breakdowns!$K83*$G$31</f>
        <v>19.435928873072825</v>
      </c>
      <c r="D310" s="447">
        <f>D$296*Entrant_age_breakdowns!$K83*$G$31</f>
        <v>19.221190486001646</v>
      </c>
      <c r="E310" s="447">
        <f>E$296*Entrant_age_breakdowns!$K83*$G$31</f>
        <v>20.029001585760163</v>
      </c>
      <c r="F310" s="447">
        <f>F$296*Entrant_age_breakdowns!$K83*$G$31</f>
        <v>20.01303597011168</v>
      </c>
      <c r="G310" s="447">
        <f>G$296*Entrant_age_breakdowns!$K83*$G$31</f>
        <v>20.163917219563469</v>
      </c>
      <c r="H310" s="447">
        <f>H$296*Entrant_age_breakdowns!$K83*$G$31</f>
        <v>20.267303450575508</v>
      </c>
      <c r="I310" s="447">
        <f>I$296*Entrant_age_breakdowns!$K83*$G$31</f>
        <v>21.138207222566344</v>
      </c>
      <c r="J310" s="447">
        <f>J$296*Entrant_age_breakdowns!$K83*$G$31</f>
        <v>20.544001390339048</v>
      </c>
      <c r="K310" s="447">
        <f>K$296*Entrant_age_breakdowns!$K83*$G$31</f>
        <v>19.735723919416849</v>
      </c>
      <c r="L310" s="447">
        <f>L$296*Entrant_age_breakdowns!$K83*$G$31</f>
        <v>19.173450754193645</v>
      </c>
      <c r="M310" s="447">
        <f>M$296*Entrant_age_breakdowns!$K83*$G$31</f>
        <v>19.384387641336332</v>
      </c>
      <c r="N310" s="447">
        <f>N$296*Entrant_age_breakdowns!$K83*$G$31</f>
        <v>19.524476052257505</v>
      </c>
      <c r="O310" s="320"/>
    </row>
    <row r="311" spans="1:15">
      <c r="B311" s="331" t="str">
        <f t="shared" si="143"/>
        <v>60-64</v>
      </c>
      <c r="C311" s="447">
        <f>C$296*Entrant_age_breakdowns!$K84*$G$31</f>
        <v>9.9117511234532643</v>
      </c>
      <c r="D311" s="447">
        <f>D$296*Entrant_age_breakdowns!$K84*$G$31</f>
        <v>9.8022408724536287</v>
      </c>
      <c r="E311" s="447">
        <f>E$296*Entrant_age_breakdowns!$K84*$G$31</f>
        <v>10.214200734411262</v>
      </c>
      <c r="F311" s="447">
        <f>F$296*Entrant_age_breakdowns!$K84*$G$31</f>
        <v>10.206058740793468</v>
      </c>
      <c r="G311" s="447">
        <f>G$296*Entrant_age_breakdowns!$K84*$G$31</f>
        <v>10.283003732902062</v>
      </c>
      <c r="H311" s="447">
        <f>H$296*Entrant_age_breakdowns!$K84*$G$31</f>
        <v>10.335727664856909</v>
      </c>
      <c r="I311" s="447">
        <f>I$296*Entrant_age_breakdowns!$K84*$G$31</f>
        <v>10.779862930880093</v>
      </c>
      <c r="J311" s="447">
        <f>J$296*Entrant_age_breakdowns!$K84*$G$31</f>
        <v>10.476835462339546</v>
      </c>
      <c r="K311" s="447">
        <f>K$296*Entrant_age_breakdowns!$K84*$G$31</f>
        <v>10.064637764828193</v>
      </c>
      <c r="L311" s="447">
        <f>L$296*Entrant_age_breakdowns!$K84*$G$31</f>
        <v>9.7778950156915716</v>
      </c>
      <c r="M311" s="447">
        <f>M$296*Entrant_age_breakdowns!$K84*$G$31</f>
        <v>9.8854666137236507</v>
      </c>
      <c r="N311" s="447">
        <f>N$296*Entrant_age_breakdowns!$K84*$G$31</f>
        <v>9.9569075761493995</v>
      </c>
      <c r="O311" s="320"/>
    </row>
    <row r="312" spans="1:15">
      <c r="B312" s="331" t="str">
        <f t="shared" si="143"/>
        <v>65 plus</v>
      </c>
      <c r="C312" s="447">
        <f>C$296*Entrant_age_breakdowns!$K85*$G$31</f>
        <v>2.9844121895458886</v>
      </c>
      <c r="D312" s="447">
        <f>D$296*Entrant_age_breakdowns!$K85*$G$31</f>
        <v>2.9514388305608947</v>
      </c>
      <c r="E312" s="447">
        <f>E$296*Entrant_age_breakdowns!$K85*$G$31</f>
        <v>3.0754792769277182</v>
      </c>
      <c r="F312" s="447">
        <f>F$296*Entrant_age_breakdowns!$K85*$G$31</f>
        <v>3.0730277358531386</v>
      </c>
      <c r="G312" s="447">
        <f>G$296*Entrant_age_breakdowns!$K85*$G$31</f>
        <v>3.0961957481965916</v>
      </c>
      <c r="H312" s="447">
        <f>H$296*Entrant_age_breakdowns!$K85*$G$31</f>
        <v>3.1120708386066522</v>
      </c>
      <c r="I312" s="447">
        <f>I$296*Entrant_age_breakdowns!$K85*$G$31</f>
        <v>3.2457992469592813</v>
      </c>
      <c r="J312" s="447">
        <f>J$296*Entrant_age_breakdowns!$K85*$G$31</f>
        <v>3.1545581675964498</v>
      </c>
      <c r="K312" s="447">
        <f>K$296*Entrant_age_breakdowns!$K85*$G$31</f>
        <v>3.0304461093300956</v>
      </c>
      <c r="L312" s="447">
        <f>L$296*Entrant_age_breakdowns!$K85*$G$31</f>
        <v>2.9441083325711204</v>
      </c>
      <c r="M312" s="447">
        <f>M$296*Entrant_age_breakdowns!$K85*$G$31</f>
        <v>2.9764979662914648</v>
      </c>
      <c r="N312" s="447">
        <f>N$296*Entrant_age_breakdowns!$K85*$G$31</f>
        <v>2.998008724223209</v>
      </c>
      <c r="O312" s="320"/>
    </row>
    <row r="313" spans="1:15">
      <c r="B313" s="331" t="str">
        <f t="shared" si="143"/>
        <v>Total</v>
      </c>
      <c r="C313" s="447">
        <f>C$296*Entrant_age_breakdowns!$K86*$G$31</f>
        <v>602.34002548318267</v>
      </c>
      <c r="D313" s="447">
        <f>D$296*Entrant_age_breakdowns!$K86*$G$31</f>
        <v>595.68505538191459</v>
      </c>
      <c r="E313" s="447">
        <f>E$296*Entrant_age_breakdowns!$K86*$G$31</f>
        <v>620.71997712873497</v>
      </c>
      <c r="F313" s="447">
        <f>F$296*Entrant_age_breakdowns!$K86*$G$31</f>
        <v>620.2251857864037</v>
      </c>
      <c r="G313" s="447">
        <f>G$296*Entrant_age_breakdowns!$K86*$G$31</f>
        <v>624.90115554494889</v>
      </c>
      <c r="H313" s="447">
        <f>H$296*Entrant_age_breakdowns!$K86*$G$31</f>
        <v>628.10520436757429</v>
      </c>
      <c r="I313" s="447">
        <f>I$296*Entrant_age_breakdowns!$K86*$G$31</f>
        <v>655.09543486492555</v>
      </c>
      <c r="J313" s="447">
        <f>J$296*Entrant_age_breakdowns!$K86*$G$31</f>
        <v>636.68036664444503</v>
      </c>
      <c r="K313" s="447">
        <f>K$296*Entrant_age_breakdowns!$K86*$G$31</f>
        <v>611.63099156120586</v>
      </c>
      <c r="L313" s="447">
        <f>L$296*Entrant_age_breakdowns!$K86*$G$31</f>
        <v>594.20555051947247</v>
      </c>
      <c r="M313" s="447">
        <f>M$296*Entrant_age_breakdowns!$K86*$G$31</f>
        <v>600.74270811078748</v>
      </c>
      <c r="N313" s="447">
        <f>N$296*Entrant_age_breakdowns!$K86*$G$31</f>
        <v>605.08419636973372</v>
      </c>
      <c r="O313" s="320"/>
    </row>
    <row r="314" spans="1:15">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5">
      <c r="B316" s="334" t="s">
        <v>47</v>
      </c>
      <c r="H316" s="318"/>
    </row>
    <row r="317" spans="1:15">
      <c r="H317" s="318"/>
    </row>
    <row r="318" spans="1:15">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5">
      <c r="B319" s="331" t="str">
        <f t="shared" si="146"/>
        <v>20-24</v>
      </c>
      <c r="C319" s="447">
        <f>C$296*Entrant_age_breakdowns!$K76*$H$31</f>
        <v>195.74660717351898</v>
      </c>
      <c r="D319" s="447">
        <f>D$296*Entrant_age_breakdowns!$K76*$H$31</f>
        <v>193.58389547738119</v>
      </c>
      <c r="E319" s="447">
        <f>E$296*Entrant_age_breakdowns!$K76*$H$31</f>
        <v>201.71966727648012</v>
      </c>
      <c r="F319" s="447">
        <f>F$296*Entrant_age_breakdowns!$K76*$H$31</f>
        <v>201.55887150926793</v>
      </c>
      <c r="G319" s="447">
        <f>G$296*Entrant_age_breakdowns!$K76*$H$31</f>
        <v>203.07845376639418</v>
      </c>
      <c r="H319" s="447">
        <f>H$296*Entrant_age_breakdowns!$K76*$H$31</f>
        <v>204.11969568908415</v>
      </c>
      <c r="I319" s="447">
        <f>I$296*Entrant_age_breakdowns!$K76*$H$31</f>
        <v>212.89089770649889</v>
      </c>
      <c r="J319" s="447">
        <f>J$296*Entrant_age_breakdowns!$K76*$H$31</f>
        <v>206.90642552712418</v>
      </c>
      <c r="K319" s="447">
        <f>K$296*Entrant_age_breakdowns!$K76*$H$31</f>
        <v>198.76595672725051</v>
      </c>
      <c r="L319" s="447">
        <f>L$296*Entrant_age_breakdowns!$K76*$H$31</f>
        <v>193.10309054185083</v>
      </c>
      <c r="M319" s="447">
        <f>M$296*Entrant_age_breakdowns!$K76*$H$31</f>
        <v>195.22751589119076</v>
      </c>
      <c r="N319" s="447">
        <f>N$296*Entrant_age_breakdowns!$K76*$H$31</f>
        <v>196.63839938028096</v>
      </c>
    </row>
    <row r="320" spans="1:15">
      <c r="B320" s="331" t="str">
        <f t="shared" si="146"/>
        <v>25-29</v>
      </c>
      <c r="C320" s="447">
        <f>C$296*Entrant_age_breakdowns!$K77*$H$31</f>
        <v>199.81446054868789</v>
      </c>
      <c r="D320" s="447">
        <f>D$296*Entrant_age_breakdowns!$K77*$H$31</f>
        <v>197.60680506425319</v>
      </c>
      <c r="E320" s="447">
        <f>E$296*Entrant_age_breakdowns!$K77*$H$31</f>
        <v>205.91164812977377</v>
      </c>
      <c r="F320" s="447">
        <f>F$296*Entrant_age_breakdowns!$K77*$H$31</f>
        <v>205.74751083029284</v>
      </c>
      <c r="G320" s="447">
        <f>G$296*Entrant_age_breakdowns!$K77*$H$31</f>
        <v>207.29867186113449</v>
      </c>
      <c r="H320" s="447">
        <f>H$296*Entrant_age_breakdowns!$K77*$H$31</f>
        <v>208.36155206165083</v>
      </c>
      <c r="I320" s="447">
        <f>I$296*Entrant_age_breakdowns!$K77*$H$31</f>
        <v>217.31503036086698</v>
      </c>
      <c r="J320" s="447">
        <f>J$296*Entrant_age_breakdowns!$K77*$H$31</f>
        <v>211.20619354649301</v>
      </c>
      <c r="K320" s="447">
        <f>K$296*Entrant_age_breakdowns!$K77*$H$31</f>
        <v>202.89655587078968</v>
      </c>
      <c r="L320" s="447">
        <f>L$296*Entrant_age_breakdowns!$K77*$H$31</f>
        <v>197.11600841541534</v>
      </c>
      <c r="M320" s="447">
        <f>M$296*Entrant_age_breakdowns!$K77*$H$31</f>
        <v>199.28458191604327</v>
      </c>
      <c r="N320" s="447">
        <f>N$296*Entrant_age_breakdowns!$K77*$H$31</f>
        <v>200.72478528579924</v>
      </c>
    </row>
    <row r="321" spans="1:14">
      <c r="B321" s="331" t="str">
        <f t="shared" si="146"/>
        <v>30-34</v>
      </c>
      <c r="C321" s="447">
        <f>C$296*Entrant_age_breakdowns!$K78*$H$31</f>
        <v>99.238374700728073</v>
      </c>
      <c r="D321" s="447">
        <f>D$296*Entrant_age_breakdowns!$K78*$H$31</f>
        <v>98.141936827448788</v>
      </c>
      <c r="E321" s="447">
        <f>E$296*Entrant_age_breakdowns!$K78*$H$31</f>
        <v>102.26655886783439</v>
      </c>
      <c r="F321" s="447">
        <f>F$296*Entrant_age_breakdowns!$K78*$H$31</f>
        <v>102.18503964853703</v>
      </c>
      <c r="G321" s="447">
        <f>G$296*Entrant_age_breakdowns!$K78*$H$31</f>
        <v>102.9554278335419</v>
      </c>
      <c r="H321" s="447">
        <f>H$296*Entrant_age_breakdowns!$K78*$H$31</f>
        <v>103.48331006644526</v>
      </c>
      <c r="I321" s="447">
        <f>I$296*Entrant_age_breakdowns!$K78*$H$31</f>
        <v>107.93007849297737</v>
      </c>
      <c r="J321" s="447">
        <f>J$296*Entrant_age_breakdowns!$K78*$H$31</f>
        <v>104.89610870367513</v>
      </c>
      <c r="K321" s="447">
        <f>K$296*Entrant_age_breakdowns!$K78*$H$31</f>
        <v>100.76910540759584</v>
      </c>
      <c r="L321" s="447">
        <f>L$296*Entrant_age_breakdowns!$K78*$H$31</f>
        <v>97.898181387499719</v>
      </c>
      <c r="M321" s="447">
        <f>M$296*Entrant_age_breakdowns!$K78*$H$31</f>
        <v>98.975209091252665</v>
      </c>
      <c r="N321" s="447">
        <f>N$296*Entrant_age_breakdowns!$K78*$H$31</f>
        <v>99.690489863528256</v>
      </c>
    </row>
    <row r="322" spans="1:14">
      <c r="B322" s="331" t="str">
        <f t="shared" si="146"/>
        <v>35-39</v>
      </c>
      <c r="C322" s="447">
        <f>C$296*Entrant_age_breakdowns!$K79*$H$31</f>
        <v>73.965622303347217</v>
      </c>
      <c r="D322" s="447">
        <f>D$296*Entrant_age_breakdowns!$K79*$H$31</f>
        <v>73.148411120086394</v>
      </c>
      <c r="E322" s="447">
        <f>E$296*Entrant_age_breakdowns!$K79*$H$31</f>
        <v>76.222627489542759</v>
      </c>
      <c r="F322" s="447">
        <f>F$296*Entrant_age_breakdowns!$K79*$H$31</f>
        <v>76.161868536131877</v>
      </c>
      <c r="G322" s="447">
        <f>G$296*Entrant_age_breakdowns!$K79*$H$31</f>
        <v>76.736064170541184</v>
      </c>
      <c r="H322" s="447">
        <f>H$296*Entrant_age_breakdowns!$K79*$H$31</f>
        <v>77.129512148476394</v>
      </c>
      <c r="I322" s="447">
        <f>I$296*Entrant_age_breakdowns!$K79*$H$31</f>
        <v>80.443834807419634</v>
      </c>
      <c r="J322" s="447">
        <f>J$296*Entrant_age_breakdowns!$K79*$H$31</f>
        <v>78.182517406847069</v>
      </c>
      <c r="K322" s="447">
        <f>K$296*Entrant_age_breakdowns!$K79*$H$31</f>
        <v>75.106526209258178</v>
      </c>
      <c r="L322" s="447">
        <f>L$296*Entrant_age_breakdowns!$K79*$H$31</f>
        <v>72.966732179252972</v>
      </c>
      <c r="M322" s="447">
        <f>M$296*Entrant_age_breakdowns!$K79*$H$31</f>
        <v>73.769476325217369</v>
      </c>
      <c r="N322" s="447">
        <f>N$296*Entrant_age_breakdowns!$K79*$H$31</f>
        <v>74.302598593720163</v>
      </c>
    </row>
    <row r="323" spans="1:14">
      <c r="B323" s="331" t="str">
        <f t="shared" si="146"/>
        <v>40-44</v>
      </c>
      <c r="C323" s="447">
        <f>C$296*Entrant_age_breakdowns!$K80*$H$31</f>
        <v>63.554689571827552</v>
      </c>
      <c r="D323" s="447">
        <f>D$296*Entrant_age_breakdowns!$K80*$H$31</f>
        <v>62.852503861096153</v>
      </c>
      <c r="E323" s="447">
        <f>E$296*Entrant_age_breakdowns!$K80*$H$31</f>
        <v>65.494012996734</v>
      </c>
      <c r="F323" s="447">
        <f>F$296*Entrant_age_breakdowns!$K80*$H$31</f>
        <v>65.441806088950528</v>
      </c>
      <c r="G323" s="447">
        <f>G$296*Entrant_age_breakdowns!$K80*$H$31</f>
        <v>65.935181580996243</v>
      </c>
      <c r="H323" s="447">
        <f>H$296*Entrant_age_breakdowns!$K80*$H$31</f>
        <v>66.273250312410184</v>
      </c>
      <c r="I323" s="447">
        <f>I$296*Entrant_age_breakdowns!$K80*$H$31</f>
        <v>69.121069896299232</v>
      </c>
      <c r="J323" s="447">
        <f>J$296*Entrant_age_breakdowns!$K80*$H$31</f>
        <v>67.178041217011597</v>
      </c>
      <c r="K323" s="447">
        <f>K$296*Entrant_age_breakdowns!$K80*$H$31</f>
        <v>64.535007066813009</v>
      </c>
      <c r="L323" s="447">
        <f>L$296*Entrant_age_breakdowns!$K80*$H$31</f>
        <v>62.696396897795658</v>
      </c>
      <c r="M323" s="447">
        <f>M$296*Entrant_age_breakdowns!$K80*$H$31</f>
        <v>63.386151859812117</v>
      </c>
      <c r="N323" s="447">
        <f>N$296*Entrant_age_breakdowns!$K80*$H$31</f>
        <v>63.844235212907776</v>
      </c>
    </row>
    <row r="324" spans="1:14">
      <c r="B324" s="331" t="str">
        <f t="shared" si="146"/>
        <v>45-49</v>
      </c>
      <c r="C324" s="447">
        <f>C$296*Entrant_age_breakdowns!$K81*$H$31</f>
        <v>51.228695021984841</v>
      </c>
      <c r="D324" s="447">
        <f>D$296*Entrant_age_breakdowns!$K81*$H$31</f>
        <v>50.662693396200794</v>
      </c>
      <c r="E324" s="447">
        <f>E$296*Entrant_age_breakdowns!$K81*$H$31</f>
        <v>52.791900018387842</v>
      </c>
      <c r="F324" s="447">
        <f>F$296*Entrant_age_breakdowns!$K81*$H$31</f>
        <v>52.749818280991306</v>
      </c>
      <c r="G324" s="447">
        <f>G$296*Entrant_age_breakdowns!$K81*$H$31</f>
        <v>53.147506992612918</v>
      </c>
      <c r="H324" s="447">
        <f>H$296*Entrant_age_breakdowns!$K81*$H$31</f>
        <v>53.420009620739222</v>
      </c>
      <c r="I324" s="447">
        <f>I$296*Entrant_age_breakdowns!$K81*$H$31</f>
        <v>55.715514199922268</v>
      </c>
      <c r="J324" s="447">
        <f>J$296*Entrant_age_breakdowns!$K81*$H$31</f>
        <v>54.149322557719366</v>
      </c>
      <c r="K324" s="447">
        <f>K$296*Entrant_age_breakdowns!$K81*$H$31</f>
        <v>52.018886687047861</v>
      </c>
      <c r="L324" s="447">
        <f>L$296*Entrant_age_breakdowns!$K81*$H$31</f>
        <v>50.536862303835981</v>
      </c>
      <c r="M324" s="447">
        <f>M$296*Entrant_age_breakdowns!$K81*$H$31</f>
        <v>51.092844039048565</v>
      </c>
      <c r="N324" s="447">
        <f>N$296*Entrant_age_breakdowns!$K81*$H$31</f>
        <v>51.462085279128324</v>
      </c>
    </row>
    <row r="325" spans="1:14">
      <c r="B325" s="331" t="str">
        <f t="shared" si="146"/>
        <v>50-54</v>
      </c>
      <c r="C325" s="447">
        <f>C$296*Entrant_age_breakdowns!$K82*$H$31</f>
        <v>37.960667041018972</v>
      </c>
      <c r="D325" s="447">
        <f>D$296*Entrant_age_breakdowns!$K82*$H$31</f>
        <v>37.541257582085002</v>
      </c>
      <c r="E325" s="447">
        <f>E$296*Entrant_age_breakdowns!$K82*$H$31</f>
        <v>39.119008169166889</v>
      </c>
      <c r="F325" s="447">
        <f>F$296*Entrant_age_breakdowns!$K82*$H$31</f>
        <v>39.08782543415613</v>
      </c>
      <c r="G325" s="447">
        <f>G$296*Entrant_age_breakdowns!$K82*$H$31</f>
        <v>39.38251435335193</v>
      </c>
      <c r="H325" s="447">
        <f>H$296*Entrant_age_breakdowns!$K82*$H$31</f>
        <v>39.584439886096149</v>
      </c>
      <c r="I325" s="447">
        <f>I$296*Entrant_age_breakdowns!$K82*$H$31</f>
        <v>41.285417921630845</v>
      </c>
      <c r="J325" s="447">
        <f>J$296*Entrant_age_breakdowns!$K82*$H$31</f>
        <v>40.124863677050207</v>
      </c>
      <c r="K325" s="447">
        <f>K$296*Entrant_age_breakdowns!$K82*$H$31</f>
        <v>38.546202211945591</v>
      </c>
      <c r="L325" s="447">
        <f>L$296*Entrant_age_breakdowns!$K82*$H$31</f>
        <v>37.448016241492233</v>
      </c>
      <c r="M325" s="447">
        <f>M$296*Entrant_age_breakdowns!$K82*$H$31</f>
        <v>37.860000921606286</v>
      </c>
      <c r="N325" s="447">
        <f>N$296*Entrant_age_breakdowns!$K82*$H$31</f>
        <v>38.133610151091155</v>
      </c>
    </row>
    <row r="326" spans="1:14">
      <c r="B326" s="331" t="str">
        <f t="shared" si="146"/>
        <v>55-59</v>
      </c>
      <c r="C326" s="447">
        <f>C$296*Entrant_age_breakdowns!$K83*$H$31</f>
        <v>24.6017626206595</v>
      </c>
      <c r="D326" s="447">
        <f>D$296*Entrant_age_breakdowns!$K83*$H$31</f>
        <v>24.329949379379961</v>
      </c>
      <c r="E326" s="447">
        <f>E$296*Entrant_age_breakdowns!$K83*$H$31</f>
        <v>25.352466854535287</v>
      </c>
      <c r="F326" s="447">
        <f>F$296*Entrant_age_breakdowns!$K83*$H$31</f>
        <v>25.332257772229944</v>
      </c>
      <c r="G326" s="447">
        <f>G$296*Entrant_age_breakdowns!$K83*$H$31</f>
        <v>25.523241424576195</v>
      </c>
      <c r="H326" s="447">
        <f>H$296*Entrant_age_breakdowns!$K83*$H$31</f>
        <v>25.654106459646716</v>
      </c>
      <c r="I326" s="447">
        <f>I$296*Entrant_age_breakdowns!$K83*$H$31</f>
        <v>26.75648587273664</v>
      </c>
      <c r="J326" s="447">
        <f>J$296*Entrant_age_breakdowns!$K83*$H$31</f>
        <v>26.004347349914596</v>
      </c>
      <c r="K326" s="447">
        <f>K$296*Entrant_age_breakdowns!$K83*$H$31</f>
        <v>24.981239547806702</v>
      </c>
      <c r="L326" s="447">
        <f>L$296*Entrant_age_breakdowns!$K83*$H$31</f>
        <v>24.269521006895971</v>
      </c>
      <c r="M326" s="447">
        <f>M$296*Entrant_age_breakdowns!$K83*$H$31</f>
        <v>24.536522355754308</v>
      </c>
      <c r="N326" s="447">
        <f>N$296*Entrant_age_breakdowns!$K83*$H$31</f>
        <v>24.713844564221688</v>
      </c>
    </row>
    <row r="327" spans="1:14">
      <c r="B327" s="331" t="str">
        <f t="shared" si="146"/>
        <v>60-64</v>
      </c>
      <c r="C327" s="447">
        <f>C$296*Entrant_age_breakdowns!$K84*$H$31</f>
        <v>12.546174144117462</v>
      </c>
      <c r="D327" s="447">
        <f>D$296*Entrant_age_breakdowns!$K84*$H$31</f>
        <v>12.407557398953587</v>
      </c>
      <c r="E327" s="447">
        <f>E$296*Entrant_age_breakdowns!$K84*$H$31</f>
        <v>12.929011186900025</v>
      </c>
      <c r="F327" s="447">
        <f>F$296*Entrant_age_breakdowns!$K84*$H$31</f>
        <v>12.918705150303987</v>
      </c>
      <c r="G327" s="447">
        <f>G$296*Entrant_age_breakdowns!$K84*$H$31</f>
        <v>13.016101186432044</v>
      </c>
      <c r="H327" s="447">
        <f>H$296*Entrant_age_breakdowns!$K84*$H$31</f>
        <v>13.082838498903795</v>
      </c>
      <c r="I327" s="447">
        <f>I$296*Entrant_age_breakdowns!$K84*$H$31</f>
        <v>13.645019522384679</v>
      </c>
      <c r="J327" s="447">
        <f>J$296*Entrant_age_breakdowns!$K84*$H$31</f>
        <v>13.261451034495105</v>
      </c>
      <c r="K327" s="447">
        <f>K$296*Entrant_age_breakdowns!$K84*$H$31</f>
        <v>12.739696197194474</v>
      </c>
      <c r="L327" s="447">
        <f>L$296*Entrant_age_breakdowns!$K84*$H$31</f>
        <v>12.376740709266764</v>
      </c>
      <c r="M327" s="447">
        <f>M$296*Entrant_age_breakdowns!$K84*$H$31</f>
        <v>12.512903531058967</v>
      </c>
      <c r="N327" s="447">
        <f>N$296*Entrant_age_breakdowns!$K84*$H$31</f>
        <v>12.603332633288536</v>
      </c>
    </row>
    <row r="328" spans="1:14">
      <c r="B328" s="331" t="str">
        <f t="shared" si="146"/>
        <v>65 plus</v>
      </c>
      <c r="C328" s="447">
        <f>C$296*Entrant_age_breakdowns!$K85*$H$31</f>
        <v>3.777632688866833</v>
      </c>
      <c r="D328" s="447">
        <f>D$296*Entrant_age_breakdowns!$K85*$H$31</f>
        <v>3.7358954116905161</v>
      </c>
      <c r="E328" s="447">
        <f>E$296*Entrant_age_breakdowns!$K85*$H$31</f>
        <v>3.8929043016080462</v>
      </c>
      <c r="F328" s="447">
        <f>F$296*Entrant_age_breakdowns!$K85*$H$31</f>
        <v>3.889801170702111</v>
      </c>
      <c r="G328" s="447">
        <f>G$296*Entrant_age_breakdowns!$K85*$H$31</f>
        <v>3.9191269592346982</v>
      </c>
      <c r="H328" s="447">
        <f>H$296*Entrant_age_breakdowns!$K85*$H$31</f>
        <v>3.9392214557931262</v>
      </c>
      <c r="I328" s="447">
        <f>I$296*Entrant_age_breakdowns!$K85*$H$31</f>
        <v>4.1084932502833817</v>
      </c>
      <c r="J328" s="447">
        <f>J$296*Entrant_age_breakdowns!$K85*$H$31</f>
        <v>3.9930014006066208</v>
      </c>
      <c r="K328" s="447">
        <f>K$296*Entrant_age_breakdowns!$K85*$H$31</f>
        <v>3.8359018652167505</v>
      </c>
      <c r="L328" s="447">
        <f>L$296*Entrant_age_breakdowns!$K85*$H$31</f>
        <v>3.7266165564007392</v>
      </c>
      <c r="M328" s="447">
        <f>M$296*Entrant_age_breakdowns!$K85*$H$31</f>
        <v>3.7676149612293344</v>
      </c>
      <c r="N328" s="447">
        <f>N$296*Entrant_age_breakdowns!$K85*$H$31</f>
        <v>3.7948430172632506</v>
      </c>
    </row>
    <row r="329" spans="1:14">
      <c r="B329" s="331" t="str">
        <f t="shared" si="146"/>
        <v>Total</v>
      </c>
      <c r="C329" s="447">
        <f>C$296*Entrant_age_breakdowns!$K86*$H$31</f>
        <v>762.43468581475736</v>
      </c>
      <c r="D329" s="447">
        <f>D$296*Entrant_age_breakdowns!$K86*$H$31</f>
        <v>754.01090551857567</v>
      </c>
      <c r="E329" s="447">
        <f>E$296*Entrant_age_breakdowns!$K86*$H$31</f>
        <v>785.69980529096313</v>
      </c>
      <c r="F329" s="447">
        <f>F$296*Entrant_age_breakdowns!$K86*$H$31</f>
        <v>785.07350442156371</v>
      </c>
      <c r="G329" s="447">
        <f>G$296*Entrant_age_breakdowns!$K86*$H$31</f>
        <v>790.99229012881585</v>
      </c>
      <c r="H329" s="447">
        <f>H$296*Entrant_age_breakdowns!$K86*$H$31</f>
        <v>795.0479361992459</v>
      </c>
      <c r="I329" s="447">
        <f>I$296*Entrant_age_breakdowns!$K86*$H$31</f>
        <v>829.21184203101996</v>
      </c>
      <c r="J329" s="447">
        <f>J$296*Entrant_age_breakdowns!$K86*$H$31</f>
        <v>805.90227242093692</v>
      </c>
      <c r="K329" s="447">
        <f>K$296*Entrant_age_breakdowns!$K86*$H$31</f>
        <v>774.19507779091862</v>
      </c>
      <c r="L329" s="447">
        <f>L$296*Entrant_age_breakdowns!$K86*$H$31</f>
        <v>752.13816623970627</v>
      </c>
      <c r="M329" s="447">
        <f>M$296*Entrant_age_breakdowns!$K86*$H$31</f>
        <v>760.41282089221374</v>
      </c>
      <c r="N329" s="447">
        <f>N$296*Entrant_age_breakdowns!$K86*$H$31</f>
        <v>765.90822398122941</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1364.77471129794</v>
      </c>
      <c r="D331" s="322">
        <f t="shared" ref="D331:N331" si="149">D296</f>
        <v>1349.6959609004903</v>
      </c>
      <c r="E331" s="322">
        <f t="shared" si="149"/>
        <v>1406.4197824196981</v>
      </c>
      <c r="F331" s="322">
        <f t="shared" si="149"/>
        <v>1405.2986902079674</v>
      </c>
      <c r="G331" s="322">
        <f t="shared" si="149"/>
        <v>1415.8934456737647</v>
      </c>
      <c r="H331" s="322">
        <f t="shared" si="149"/>
        <v>1423.1531405668202</v>
      </c>
      <c r="I331" s="322">
        <f t="shared" si="149"/>
        <v>1484.3072768959455</v>
      </c>
      <c r="J331" s="322">
        <f t="shared" si="149"/>
        <v>1442.582639065382</v>
      </c>
      <c r="K331" s="322">
        <f t="shared" si="149"/>
        <v>1385.8260693521245</v>
      </c>
      <c r="L331" s="322">
        <f t="shared" si="149"/>
        <v>1346.3437167591787</v>
      </c>
      <c r="M331" s="322">
        <f t="shared" si="149"/>
        <v>1361.1555290030012</v>
      </c>
      <c r="N331" s="322">
        <f t="shared" si="149"/>
        <v>1370.9924203509631</v>
      </c>
    </row>
    <row r="332" spans="1:14">
      <c r="C332" s="322">
        <f>C313+C329</f>
        <v>1364.77471129794</v>
      </c>
      <c r="D332" s="322">
        <f t="shared" ref="D332:N332" si="150">D313+D329</f>
        <v>1349.6959609004903</v>
      </c>
      <c r="E332" s="322">
        <f t="shared" si="150"/>
        <v>1406.4197824196981</v>
      </c>
      <c r="F332" s="322">
        <f t="shared" si="150"/>
        <v>1405.2986902079674</v>
      </c>
      <c r="G332" s="322">
        <f t="shared" si="150"/>
        <v>1415.8934456737647</v>
      </c>
      <c r="H332" s="322">
        <f t="shared" si="150"/>
        <v>1423.1531405668202</v>
      </c>
      <c r="I332" s="322">
        <f t="shared" si="150"/>
        <v>1484.3072768959455</v>
      </c>
      <c r="J332" s="322">
        <f t="shared" si="150"/>
        <v>1442.582639065382</v>
      </c>
      <c r="K332" s="322">
        <f t="shared" si="150"/>
        <v>1385.8260693521245</v>
      </c>
      <c r="L332" s="322">
        <f t="shared" si="150"/>
        <v>1346.3437167591787</v>
      </c>
      <c r="M332" s="322">
        <f t="shared" si="150"/>
        <v>1361.1555290030012</v>
      </c>
      <c r="N332" s="322">
        <f t="shared" si="150"/>
        <v>1370.9924203509631</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325.76659985999993</v>
      </c>
      <c r="D340" s="447">
        <f t="shared" si="154"/>
        <v>378.59932823340512</v>
      </c>
      <c r="E340" s="447">
        <f t="shared" si="154"/>
        <v>420.10059809708093</v>
      </c>
      <c r="F340" s="447">
        <f t="shared" si="154"/>
        <v>449.43314938000645</v>
      </c>
      <c r="G340" s="447">
        <f t="shared" si="154"/>
        <v>470.89600309715615</v>
      </c>
      <c r="H340" s="447">
        <f t="shared" si="154"/>
        <v>486.54472493143584</v>
      </c>
      <c r="I340" s="447">
        <f t="shared" si="154"/>
        <v>504.28399561211813</v>
      </c>
      <c r="J340" s="447">
        <f t="shared" si="154"/>
        <v>511.8100720568051</v>
      </c>
      <c r="K340" s="447">
        <f t="shared" si="154"/>
        <v>510.57779007913183</v>
      </c>
      <c r="L340" s="447">
        <f t="shared" si="154"/>
        <v>505.25276612339815</v>
      </c>
      <c r="M340" s="447">
        <f t="shared" si="154"/>
        <v>503.25268645551324</v>
      </c>
      <c r="N340" s="447">
        <f t="shared" si="154"/>
        <v>502.98569940277594</v>
      </c>
    </row>
    <row r="341" spans="1:14">
      <c r="B341" s="331" t="str">
        <f t="shared" si="153"/>
        <v>25-29</v>
      </c>
      <c r="C341" s="447">
        <f t="shared" ref="C341:N341" si="155">C304+C248</f>
        <v>749.09542690881051</v>
      </c>
      <c r="D341" s="447">
        <f t="shared" si="155"/>
        <v>737.17228458936279</v>
      </c>
      <c r="E341" s="447">
        <f t="shared" si="155"/>
        <v>741.50107778380675</v>
      </c>
      <c r="F341" s="447">
        <f t="shared" si="155"/>
        <v>753.25764207314114</v>
      </c>
      <c r="G341" s="447">
        <f t="shared" si="155"/>
        <v>767.80403655054715</v>
      </c>
      <c r="H341" s="447">
        <f t="shared" si="155"/>
        <v>782.53855972312999</v>
      </c>
      <c r="I341" s="447">
        <f t="shared" si="155"/>
        <v>802.62381843494506</v>
      </c>
      <c r="J341" s="447">
        <f t="shared" si="155"/>
        <v>814.90800524101269</v>
      </c>
      <c r="K341" s="447">
        <f t="shared" si="155"/>
        <v>818.22815068467082</v>
      </c>
      <c r="L341" s="447">
        <f t="shared" si="155"/>
        <v>815.76324161768548</v>
      </c>
      <c r="M341" s="447">
        <f t="shared" si="155"/>
        <v>814.82746829781081</v>
      </c>
      <c r="N341" s="447">
        <f t="shared" si="155"/>
        <v>814.96335261056743</v>
      </c>
    </row>
    <row r="342" spans="1:14">
      <c r="B342" s="331" t="str">
        <f t="shared" si="153"/>
        <v>30-34</v>
      </c>
      <c r="C342" s="447">
        <f t="shared" ref="C342:N342" si="156">C305+C249</f>
        <v>911.35805437876832</v>
      </c>
      <c r="D342" s="447">
        <f t="shared" si="156"/>
        <v>884.55734296932451</v>
      </c>
      <c r="E342" s="447">
        <f t="shared" si="156"/>
        <v>863.32804953230584</v>
      </c>
      <c r="F342" s="447">
        <f t="shared" si="156"/>
        <v>849.84345861085114</v>
      </c>
      <c r="G342" s="447">
        <f t="shared" si="156"/>
        <v>842.71808902396128</v>
      </c>
      <c r="H342" s="447">
        <f t="shared" si="156"/>
        <v>840.57647606000614</v>
      </c>
      <c r="I342" s="447">
        <f t="shared" si="156"/>
        <v>845.22043011777942</v>
      </c>
      <c r="J342" s="447">
        <f t="shared" si="156"/>
        <v>849.91199938257546</v>
      </c>
      <c r="K342" s="447">
        <f t="shared" si="156"/>
        <v>852.34464999741476</v>
      </c>
      <c r="L342" s="447">
        <f t="shared" si="156"/>
        <v>852.46939971832671</v>
      </c>
      <c r="M342" s="447">
        <f t="shared" si="156"/>
        <v>852.95982731320214</v>
      </c>
      <c r="N342" s="447">
        <f t="shared" si="156"/>
        <v>853.71301930906452</v>
      </c>
    </row>
    <row r="343" spans="1:14">
      <c r="B343" s="331" t="str">
        <f t="shared" si="153"/>
        <v>35-39</v>
      </c>
      <c r="C343" s="447">
        <f t="shared" ref="C343:N343" si="157">C306+C250</f>
        <v>857.3661356209783</v>
      </c>
      <c r="D343" s="447">
        <f t="shared" si="157"/>
        <v>863.74674219405347</v>
      </c>
      <c r="E343" s="447">
        <f t="shared" si="157"/>
        <v>863.63153671852035</v>
      </c>
      <c r="F343" s="447">
        <f t="shared" si="157"/>
        <v>860.75934508548823</v>
      </c>
      <c r="G343" s="447">
        <f t="shared" si="157"/>
        <v>856.58256673984181</v>
      </c>
      <c r="H343" s="447">
        <f t="shared" si="157"/>
        <v>852.47452769233848</v>
      </c>
      <c r="I343" s="447">
        <f t="shared" si="157"/>
        <v>851.64908150526333</v>
      </c>
      <c r="J343" s="447">
        <f t="shared" si="157"/>
        <v>850.11144818302341</v>
      </c>
      <c r="K343" s="447">
        <f t="shared" si="157"/>
        <v>847.41083598776368</v>
      </c>
      <c r="L343" s="447">
        <f t="shared" si="157"/>
        <v>844.16847586140864</v>
      </c>
      <c r="M343" s="447">
        <f t="shared" si="157"/>
        <v>842.42107815062263</v>
      </c>
      <c r="N343" s="447">
        <f t="shared" si="157"/>
        <v>841.63722173074552</v>
      </c>
    </row>
    <row r="344" spans="1:14">
      <c r="B344" s="331" t="str">
        <f t="shared" si="153"/>
        <v>40-44</v>
      </c>
      <c r="C344" s="447">
        <f t="shared" ref="C344:N344" si="158">C307+C251</f>
        <v>762.75937472014562</v>
      </c>
      <c r="D344" s="447">
        <f t="shared" si="158"/>
        <v>774.50743328567773</v>
      </c>
      <c r="E344" s="447">
        <f t="shared" si="158"/>
        <v>784.37253484109306</v>
      </c>
      <c r="F344" s="447">
        <f t="shared" si="158"/>
        <v>792.71887050597707</v>
      </c>
      <c r="G344" s="447">
        <f t="shared" si="158"/>
        <v>798.75976493787994</v>
      </c>
      <c r="H344" s="447">
        <f t="shared" si="158"/>
        <v>802.72845521422391</v>
      </c>
      <c r="I344" s="447">
        <f t="shared" si="158"/>
        <v>807.15752311832773</v>
      </c>
      <c r="J344" s="447">
        <f t="shared" si="158"/>
        <v>808.75071406263601</v>
      </c>
      <c r="K344" s="447">
        <f t="shared" si="158"/>
        <v>807.55813852615506</v>
      </c>
      <c r="L344" s="447">
        <f t="shared" si="158"/>
        <v>804.72196312235462</v>
      </c>
      <c r="M344" s="447">
        <f t="shared" si="158"/>
        <v>802.56532180144029</v>
      </c>
      <c r="N344" s="447">
        <f t="shared" si="158"/>
        <v>801.00593199458694</v>
      </c>
    </row>
    <row r="345" spans="1:14">
      <c r="B345" s="331" t="str">
        <f t="shared" si="153"/>
        <v>45-49</v>
      </c>
      <c r="C345" s="447">
        <f t="shared" ref="C345:N345" si="159">C308+C252</f>
        <v>641.32972591559417</v>
      </c>
      <c r="D345" s="447">
        <f t="shared" si="159"/>
        <v>647.02587373129631</v>
      </c>
      <c r="E345" s="447">
        <f t="shared" si="159"/>
        <v>652.84708093153665</v>
      </c>
      <c r="F345" s="447">
        <f t="shared" si="159"/>
        <v>659.97072386553441</v>
      </c>
      <c r="G345" s="447">
        <f t="shared" si="159"/>
        <v>666.99286736073873</v>
      </c>
      <c r="H345" s="447">
        <f t="shared" si="159"/>
        <v>673.42241464095298</v>
      </c>
      <c r="I345" s="447">
        <f t="shared" si="159"/>
        <v>680.64127478287492</v>
      </c>
      <c r="J345" s="447">
        <f t="shared" si="159"/>
        <v>685.46800550298542</v>
      </c>
      <c r="K345" s="447">
        <f t="shared" si="159"/>
        <v>687.59038946868293</v>
      </c>
      <c r="L345" s="447">
        <f t="shared" si="159"/>
        <v>687.74818215468667</v>
      </c>
      <c r="M345" s="447">
        <f t="shared" si="159"/>
        <v>687.78593449532286</v>
      </c>
      <c r="N345" s="447">
        <f t="shared" si="159"/>
        <v>687.71245938326513</v>
      </c>
    </row>
    <row r="346" spans="1:14">
      <c r="B346" s="331" t="str">
        <f t="shared" si="153"/>
        <v>50-54</v>
      </c>
      <c r="C346" s="447">
        <f t="shared" ref="C346:N346" si="160">C309+C253</f>
        <v>463.9805542059147</v>
      </c>
      <c r="D346" s="447">
        <f t="shared" si="160"/>
        <v>482.04800873162162</v>
      </c>
      <c r="E346" s="447">
        <f t="shared" si="160"/>
        <v>496.17576675799734</v>
      </c>
      <c r="F346" s="447">
        <f t="shared" si="160"/>
        <v>508.0735725093154</v>
      </c>
      <c r="G346" s="447">
        <f t="shared" si="160"/>
        <v>518.20555781635335</v>
      </c>
      <c r="H346" s="447">
        <f t="shared" si="160"/>
        <v>526.96798471361183</v>
      </c>
      <c r="I346" s="447">
        <f t="shared" si="160"/>
        <v>535.81634336179218</v>
      </c>
      <c r="J346" s="447">
        <f t="shared" si="160"/>
        <v>542.60902202577961</v>
      </c>
      <c r="K346" s="447">
        <f t="shared" si="160"/>
        <v>547.15091707149782</v>
      </c>
      <c r="L346" s="447">
        <f t="shared" si="160"/>
        <v>549.95424626150111</v>
      </c>
      <c r="M346" s="447">
        <f t="shared" si="160"/>
        <v>552.3370177409314</v>
      </c>
      <c r="N346" s="447">
        <f t="shared" si="160"/>
        <v>554.28439738784004</v>
      </c>
    </row>
    <row r="347" spans="1:14">
      <c r="B347" s="331" t="str">
        <f t="shared" si="153"/>
        <v>55-59</v>
      </c>
      <c r="C347" s="447">
        <f t="shared" ref="C347:N347" si="161">C310+C254</f>
        <v>250.17971897721912</v>
      </c>
      <c r="D347" s="447">
        <f t="shared" si="161"/>
        <v>238.32594804365101</v>
      </c>
      <c r="E347" s="447">
        <f t="shared" si="161"/>
        <v>234.15021607569474</v>
      </c>
      <c r="F347" s="447">
        <f t="shared" si="161"/>
        <v>234.05761883936376</v>
      </c>
      <c r="G347" s="447">
        <f t="shared" si="161"/>
        <v>235.93059763585069</v>
      </c>
      <c r="H347" s="447">
        <f t="shared" si="161"/>
        <v>238.66684397064418</v>
      </c>
      <c r="I347" s="447">
        <f t="shared" si="161"/>
        <v>242.48186669330255</v>
      </c>
      <c r="J347" s="447">
        <f t="shared" si="161"/>
        <v>245.48925716945396</v>
      </c>
      <c r="K347" s="447">
        <f t="shared" si="161"/>
        <v>247.49286156750563</v>
      </c>
      <c r="L347" s="447">
        <f t="shared" si="161"/>
        <v>248.80639419272916</v>
      </c>
      <c r="M347" s="447">
        <f t="shared" si="161"/>
        <v>250.22104669131861</v>
      </c>
      <c r="N347" s="447">
        <f t="shared" si="161"/>
        <v>251.56244876546944</v>
      </c>
    </row>
    <row r="348" spans="1:14">
      <c r="B348" s="331" t="str">
        <f t="shared" si="153"/>
        <v>60-64</v>
      </c>
      <c r="C348" s="447">
        <f t="shared" ref="C348:N348" si="162">C311+C255</f>
        <v>85.582347912163272</v>
      </c>
      <c r="D348" s="447">
        <f t="shared" si="162"/>
        <v>87.512058455049768</v>
      </c>
      <c r="E348" s="447">
        <f t="shared" si="162"/>
        <v>87.216143617140261</v>
      </c>
      <c r="F348" s="447">
        <f t="shared" si="162"/>
        <v>86.591774584144147</v>
      </c>
      <c r="G348" s="447">
        <f t="shared" si="162"/>
        <v>86.329372081927815</v>
      </c>
      <c r="H348" s="447">
        <f t="shared" si="162"/>
        <v>86.489972546803585</v>
      </c>
      <c r="I348" s="447">
        <f t="shared" si="162"/>
        <v>87.376773187856571</v>
      </c>
      <c r="J348" s="447">
        <f t="shared" si="162"/>
        <v>88.038333338461371</v>
      </c>
      <c r="K348" s="447">
        <f t="shared" si="162"/>
        <v>88.366865831770212</v>
      </c>
      <c r="L348" s="447">
        <f t="shared" si="162"/>
        <v>88.514807620726117</v>
      </c>
      <c r="M348" s="447">
        <f t="shared" si="162"/>
        <v>88.872008713638763</v>
      </c>
      <c r="N348" s="447">
        <f t="shared" si="162"/>
        <v>89.315995093480467</v>
      </c>
    </row>
    <row r="349" spans="1:14">
      <c r="B349" s="331" t="str">
        <f t="shared" si="153"/>
        <v>65 plus</v>
      </c>
      <c r="C349" s="447">
        <f t="shared" ref="C349:N349" si="163">C312+C256</f>
        <v>16.203334649272705</v>
      </c>
      <c r="D349" s="447">
        <f t="shared" si="163"/>
        <v>22.034478185128819</v>
      </c>
      <c r="E349" s="447">
        <f t="shared" si="163"/>
        <v>25.540723865368545</v>
      </c>
      <c r="F349" s="447">
        <f t="shared" si="163"/>
        <v>27.597655895366731</v>
      </c>
      <c r="G349" s="447">
        <f t="shared" si="163"/>
        <v>28.72316575059925</v>
      </c>
      <c r="H349" s="447">
        <f t="shared" si="163"/>
        <v>29.351261084740646</v>
      </c>
      <c r="I349" s="447">
        <f t="shared" si="163"/>
        <v>29.861677463371464</v>
      </c>
      <c r="J349" s="447">
        <f t="shared" si="163"/>
        <v>30.162849414250324</v>
      </c>
      <c r="K349" s="447">
        <f t="shared" si="163"/>
        <v>30.286062992805402</v>
      </c>
      <c r="L349" s="447">
        <f t="shared" si="163"/>
        <v>30.307514155093813</v>
      </c>
      <c r="M349" s="447">
        <f t="shared" si="163"/>
        <v>30.369024546120183</v>
      </c>
      <c r="N349" s="447">
        <f t="shared" si="163"/>
        <v>30.466390688861019</v>
      </c>
    </row>
    <row r="350" spans="1:14">
      <c r="B350" s="331" t="str">
        <f t="shared" si="153"/>
        <v>Total</v>
      </c>
      <c r="C350" s="447">
        <f t="shared" ref="C350:N350" si="164">SUM(C340:C349)</f>
        <v>5063.6212731488667</v>
      </c>
      <c r="D350" s="447">
        <f t="shared" si="164"/>
        <v>5115.5294984185712</v>
      </c>
      <c r="E350" s="447">
        <f t="shared" si="164"/>
        <v>5168.8637282205445</v>
      </c>
      <c r="F350" s="447">
        <f t="shared" si="164"/>
        <v>5222.3038113491884</v>
      </c>
      <c r="G350" s="447">
        <f t="shared" si="164"/>
        <v>5272.9420209948557</v>
      </c>
      <c r="H350" s="447">
        <f t="shared" si="164"/>
        <v>5319.7612205778896</v>
      </c>
      <c r="I350" s="447">
        <f t="shared" si="164"/>
        <v>5387.1127842776314</v>
      </c>
      <c r="J350" s="447">
        <f t="shared" si="164"/>
        <v>5427.2597063769836</v>
      </c>
      <c r="K350" s="447">
        <f t="shared" si="164"/>
        <v>5437.0066622073973</v>
      </c>
      <c r="L350" s="447">
        <f t="shared" si="164"/>
        <v>5427.70699082791</v>
      </c>
      <c r="M350" s="447">
        <f t="shared" si="164"/>
        <v>5425.6114142059214</v>
      </c>
      <c r="N350" s="447">
        <f t="shared" si="164"/>
        <v>5427.6469163666561</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N356" si="168">C319+C263</f>
        <v>507.05551790754998</v>
      </c>
      <c r="D356" s="447">
        <f t="shared" si="168"/>
        <v>550.35518987833052</v>
      </c>
      <c r="E356" s="447">
        <f t="shared" si="168"/>
        <v>588.07416369688417</v>
      </c>
      <c r="F356" s="447">
        <f t="shared" si="168"/>
        <v>613.65163536340128</v>
      </c>
      <c r="G356" s="447">
        <f t="shared" si="168"/>
        <v>633.09462191565092</v>
      </c>
      <c r="H356" s="447">
        <f t="shared" si="168"/>
        <v>647.76052984224498</v>
      </c>
      <c r="I356" s="447">
        <f t="shared" si="168"/>
        <v>666.80886169292262</v>
      </c>
      <c r="J356" s="447">
        <f t="shared" si="168"/>
        <v>674.17250137381075</v>
      </c>
      <c r="K356" s="447">
        <f t="shared" si="168"/>
        <v>671.19210049640276</v>
      </c>
      <c r="L356" s="447">
        <f t="shared" si="168"/>
        <v>663.44071944198834</v>
      </c>
      <c r="M356" s="447">
        <f t="shared" si="168"/>
        <v>660.13336723742327</v>
      </c>
      <c r="N356" s="447">
        <f t="shared" si="168"/>
        <v>659.22662482972135</v>
      </c>
    </row>
    <row r="357" spans="1:14">
      <c r="B357" s="331" t="str">
        <f t="shared" si="166"/>
        <v>25-29</v>
      </c>
      <c r="C357" s="447">
        <f t="shared" ref="C357:N357" si="169">C320+C264</f>
        <v>1200.7556115196762</v>
      </c>
      <c r="D357" s="447">
        <f t="shared" si="169"/>
        <v>1141.8457902538225</v>
      </c>
      <c r="E357" s="447">
        <f t="shared" si="169"/>
        <v>1114.0611940448559</v>
      </c>
      <c r="F357" s="447">
        <f t="shared" si="169"/>
        <v>1099.4079877108009</v>
      </c>
      <c r="G357" s="447">
        <f t="shared" si="169"/>
        <v>1095.1065469798857</v>
      </c>
      <c r="H357" s="447">
        <f t="shared" si="169"/>
        <v>1096.5657776805674</v>
      </c>
      <c r="I357" s="447">
        <f t="shared" si="169"/>
        <v>1109.1515737823161</v>
      </c>
      <c r="J357" s="447">
        <f t="shared" si="169"/>
        <v>1115.3362608805705</v>
      </c>
      <c r="K357" s="447">
        <f t="shared" si="169"/>
        <v>1112.7139391293897</v>
      </c>
      <c r="L357" s="447">
        <f t="shared" si="169"/>
        <v>1104.5470779139914</v>
      </c>
      <c r="M357" s="447">
        <f t="shared" si="169"/>
        <v>1099.5549806335732</v>
      </c>
      <c r="N357" s="447">
        <f t="shared" si="169"/>
        <v>1096.8716124486202</v>
      </c>
    </row>
    <row r="358" spans="1:14">
      <c r="B358" s="331" t="str">
        <f t="shared" si="166"/>
        <v>30-34</v>
      </c>
      <c r="C358" s="447">
        <f t="shared" ref="C358:N358" si="170">C321+C265</f>
        <v>1195.819312952668</v>
      </c>
      <c r="D358" s="447">
        <f t="shared" si="170"/>
        <v>1182.8053476445384</v>
      </c>
      <c r="E358" s="447">
        <f t="shared" si="170"/>
        <v>1164.9875981991611</v>
      </c>
      <c r="F358" s="447">
        <f t="shared" si="170"/>
        <v>1145.5705701380241</v>
      </c>
      <c r="G358" s="447">
        <f t="shared" si="170"/>
        <v>1129.6581501034982</v>
      </c>
      <c r="H358" s="447">
        <f t="shared" si="170"/>
        <v>1117.9070101645639</v>
      </c>
      <c r="I358" s="447">
        <f t="shared" si="170"/>
        <v>1114.1235669604639</v>
      </c>
      <c r="J358" s="447">
        <f t="shared" si="170"/>
        <v>1110.6291682308818</v>
      </c>
      <c r="K358" s="447">
        <f t="shared" si="170"/>
        <v>1105.0939572896305</v>
      </c>
      <c r="L358" s="447">
        <f t="shared" si="170"/>
        <v>1097.7482364666346</v>
      </c>
      <c r="M358" s="447">
        <f t="shared" si="170"/>
        <v>1092.0398846290882</v>
      </c>
      <c r="N358" s="447">
        <f t="shared" si="170"/>
        <v>1087.726992445095</v>
      </c>
    </row>
    <row r="359" spans="1:14">
      <c r="B359" s="331" t="str">
        <f t="shared" si="166"/>
        <v>35-39</v>
      </c>
      <c r="C359" s="447">
        <f t="shared" ref="C359:N359" si="171">C322+C266</f>
        <v>1137.0857200113107</v>
      </c>
      <c r="D359" s="447">
        <f t="shared" si="171"/>
        <v>1123.1321900801811</v>
      </c>
      <c r="E359" s="447">
        <f t="shared" si="171"/>
        <v>1112.0137492362633</v>
      </c>
      <c r="F359" s="447">
        <f t="shared" si="171"/>
        <v>1099.3330241292324</v>
      </c>
      <c r="G359" s="447">
        <f t="shared" si="171"/>
        <v>1087.1217918127375</v>
      </c>
      <c r="H359" s="447">
        <f t="shared" si="171"/>
        <v>1075.7109730683314</v>
      </c>
      <c r="I359" s="447">
        <f t="shared" si="171"/>
        <v>1068.5631784638911</v>
      </c>
      <c r="J359" s="447">
        <f t="shared" si="171"/>
        <v>1060.4004665067575</v>
      </c>
      <c r="K359" s="447">
        <f t="shared" si="171"/>
        <v>1050.7357539404659</v>
      </c>
      <c r="L359" s="447">
        <f t="shared" si="171"/>
        <v>1040.5400636815525</v>
      </c>
      <c r="M359" s="447">
        <f t="shared" si="171"/>
        <v>1032.5697273519017</v>
      </c>
      <c r="N359" s="447">
        <f t="shared" si="171"/>
        <v>1026.2508271698848</v>
      </c>
    </row>
    <row r="360" spans="1:14">
      <c r="B360" s="331" t="str">
        <f t="shared" si="166"/>
        <v>40-44</v>
      </c>
      <c r="C360" s="447">
        <f t="shared" ref="C360:N360" si="172">C323+C267</f>
        <v>913.87572253014696</v>
      </c>
      <c r="D360" s="447">
        <f t="shared" si="172"/>
        <v>942.19432447422366</v>
      </c>
      <c r="E360" s="447">
        <f t="shared" si="172"/>
        <v>961.73205963998612</v>
      </c>
      <c r="F360" s="447">
        <f t="shared" si="172"/>
        <v>972.90454421827872</v>
      </c>
      <c r="G360" s="447">
        <f t="shared" si="172"/>
        <v>979.25545309806989</v>
      </c>
      <c r="H360" s="447">
        <f t="shared" si="172"/>
        <v>982.00766871046415</v>
      </c>
      <c r="I360" s="447">
        <f t="shared" si="172"/>
        <v>984.78193220904063</v>
      </c>
      <c r="J360" s="447">
        <f t="shared" si="172"/>
        <v>983.56159916691308</v>
      </c>
      <c r="K360" s="447">
        <f t="shared" si="172"/>
        <v>978.53156713941212</v>
      </c>
      <c r="L360" s="447">
        <f t="shared" si="172"/>
        <v>971.24247314917363</v>
      </c>
      <c r="M360" s="447">
        <f t="shared" si="172"/>
        <v>964.7309876347316</v>
      </c>
      <c r="N360" s="447">
        <f t="shared" si="172"/>
        <v>958.96425424216204</v>
      </c>
    </row>
    <row r="361" spans="1:14">
      <c r="B361" s="331" t="str">
        <f t="shared" si="166"/>
        <v>45-49</v>
      </c>
      <c r="C361" s="447">
        <f t="shared" ref="C361:N361" si="173">C324+C268</f>
        <v>657.48327339438538</v>
      </c>
      <c r="D361" s="447">
        <f t="shared" si="173"/>
        <v>696.81250899486611</v>
      </c>
      <c r="E361" s="447">
        <f t="shared" si="173"/>
        <v>731.7153740010408</v>
      </c>
      <c r="F361" s="447">
        <f t="shared" si="173"/>
        <v>759.76656855239401</v>
      </c>
      <c r="G361" s="447">
        <f t="shared" si="173"/>
        <v>782.5964786166702</v>
      </c>
      <c r="H361" s="447">
        <f t="shared" si="173"/>
        <v>800.62725637945573</v>
      </c>
      <c r="I361" s="447">
        <f t="shared" si="173"/>
        <v>816.53645171228561</v>
      </c>
      <c r="J361" s="447">
        <f t="shared" si="173"/>
        <v>827.04499105594516</v>
      </c>
      <c r="K361" s="447">
        <f t="shared" si="173"/>
        <v>832.33524779117363</v>
      </c>
      <c r="L361" s="447">
        <f t="shared" si="173"/>
        <v>833.78613049612284</v>
      </c>
      <c r="M361" s="447">
        <f t="shared" si="173"/>
        <v>834.07200993597883</v>
      </c>
      <c r="N361" s="447">
        <f t="shared" si="173"/>
        <v>833.46525739748381</v>
      </c>
    </row>
    <row r="362" spans="1:14">
      <c r="B362" s="331" t="str">
        <f t="shared" si="166"/>
        <v>50-54</v>
      </c>
      <c r="C362" s="447">
        <f t="shared" ref="C362:N362" si="174">C325+C269</f>
        <v>421.28940671469383</v>
      </c>
      <c r="D362" s="447">
        <f t="shared" si="174"/>
        <v>453.97555739855011</v>
      </c>
      <c r="E362" s="447">
        <f t="shared" si="174"/>
        <v>485.07910927678211</v>
      </c>
      <c r="F362" s="447">
        <f t="shared" si="174"/>
        <v>512.73348050584195</v>
      </c>
      <c r="G362" s="447">
        <f t="shared" si="174"/>
        <v>537.60864681730118</v>
      </c>
      <c r="H362" s="447">
        <f t="shared" si="174"/>
        <v>559.49494947354401</v>
      </c>
      <c r="I362" s="447">
        <f t="shared" si="174"/>
        <v>579.91037842686967</v>
      </c>
      <c r="J362" s="447">
        <f t="shared" si="174"/>
        <v>596.04529122487077</v>
      </c>
      <c r="K362" s="447">
        <f t="shared" si="174"/>
        <v>607.76970842089452</v>
      </c>
      <c r="L362" s="447">
        <f t="shared" si="174"/>
        <v>615.92237944498459</v>
      </c>
      <c r="M362" s="447">
        <f t="shared" si="174"/>
        <v>622.37213397997289</v>
      </c>
      <c r="N362" s="447">
        <f t="shared" si="174"/>
        <v>627.26956480855108</v>
      </c>
    </row>
    <row r="363" spans="1:14">
      <c r="B363" s="331" t="str">
        <f t="shared" si="166"/>
        <v>55-59</v>
      </c>
      <c r="C363" s="447">
        <f t="shared" ref="C363:N363" si="175">C326+C270</f>
        <v>267.63141542602818</v>
      </c>
      <c r="D363" s="447">
        <f t="shared" si="175"/>
        <v>252.8151310990491</v>
      </c>
      <c r="E363" s="447">
        <f t="shared" si="175"/>
        <v>249.51112522553046</v>
      </c>
      <c r="F363" s="447">
        <f t="shared" si="175"/>
        <v>252.02422429382071</v>
      </c>
      <c r="G363" s="447">
        <f t="shared" si="175"/>
        <v>257.97859895254425</v>
      </c>
      <c r="H363" s="447">
        <f t="shared" si="175"/>
        <v>265.55202366106926</v>
      </c>
      <c r="I363" s="447">
        <f t="shared" si="175"/>
        <v>274.62999396204106</v>
      </c>
      <c r="J363" s="447">
        <f t="shared" si="175"/>
        <v>282.54849179532664</v>
      </c>
      <c r="K363" s="447">
        <f t="shared" si="175"/>
        <v>288.83286289811173</v>
      </c>
      <c r="L363" s="447">
        <f t="shared" si="175"/>
        <v>293.75539959237017</v>
      </c>
      <c r="M363" s="447">
        <f t="shared" si="175"/>
        <v>298.27811036256105</v>
      </c>
      <c r="N363" s="447">
        <f t="shared" si="175"/>
        <v>302.20640537932911</v>
      </c>
    </row>
    <row r="364" spans="1:14">
      <c r="B364" s="331" t="str">
        <f t="shared" si="166"/>
        <v>60-64</v>
      </c>
      <c r="C364" s="447">
        <f t="shared" ref="C364:N364" si="176">C327+C271</f>
        <v>98.595529938110872</v>
      </c>
      <c r="D364" s="447">
        <f t="shared" si="176"/>
        <v>96.633096054402259</v>
      </c>
      <c r="E364" s="447">
        <f t="shared" si="176"/>
        <v>94.157168606748883</v>
      </c>
      <c r="F364" s="447">
        <f t="shared" si="176"/>
        <v>92.381444030568133</v>
      </c>
      <c r="G364" s="447">
        <f t="shared" si="176"/>
        <v>91.896353506282836</v>
      </c>
      <c r="H364" s="447">
        <f t="shared" si="176"/>
        <v>92.472504902031417</v>
      </c>
      <c r="I364" s="447">
        <f t="shared" si="176"/>
        <v>94.288296288792083</v>
      </c>
      <c r="J364" s="447">
        <f t="shared" si="176"/>
        <v>95.978564045808696</v>
      </c>
      <c r="K364" s="447">
        <f t="shared" si="176"/>
        <v>97.319777746767116</v>
      </c>
      <c r="L364" s="447">
        <f t="shared" si="176"/>
        <v>98.435213181902526</v>
      </c>
      <c r="M364" s="447">
        <f t="shared" si="176"/>
        <v>99.762324841730617</v>
      </c>
      <c r="N364" s="447">
        <f t="shared" si="176"/>
        <v>101.10041571942257</v>
      </c>
    </row>
    <row r="365" spans="1:14">
      <c r="B365" s="331" t="str">
        <f t="shared" si="166"/>
        <v>65 plus</v>
      </c>
      <c r="C365" s="447">
        <f t="shared" ref="C365:N365" si="177">C328+C272</f>
        <v>15.572499987645456</v>
      </c>
      <c r="D365" s="447">
        <f t="shared" si="177"/>
        <v>25.869870184478913</v>
      </c>
      <c r="E365" s="447">
        <f t="shared" si="177"/>
        <v>32.173266783253496</v>
      </c>
      <c r="F365" s="447">
        <f t="shared" si="177"/>
        <v>35.74627170042114</v>
      </c>
      <c r="G365" s="447">
        <f t="shared" si="177"/>
        <v>37.785405630284544</v>
      </c>
      <c r="H365" s="447">
        <f t="shared" si="177"/>
        <v>39.018505103492764</v>
      </c>
      <c r="I365" s="447">
        <f t="shared" si="177"/>
        <v>40.029915496884449</v>
      </c>
      <c r="J365" s="447">
        <f t="shared" si="177"/>
        <v>40.772950526444511</v>
      </c>
      <c r="K365" s="447">
        <f t="shared" si="177"/>
        <v>41.2910763365376</v>
      </c>
      <c r="L365" s="447">
        <f t="shared" si="177"/>
        <v>41.672940398266064</v>
      </c>
      <c r="M365" s="447">
        <f t="shared" si="177"/>
        <v>42.091778654159192</v>
      </c>
      <c r="N365" s="447">
        <f t="shared" si="177"/>
        <v>42.546381580275977</v>
      </c>
    </row>
    <row r="366" spans="1:14">
      <c r="B366" s="331" t="str">
        <f t="shared" si="166"/>
        <v>Total</v>
      </c>
      <c r="C366" s="447">
        <f t="shared" ref="C366:N366" si="178">SUM(C356:C365)</f>
        <v>6415.1640103822165</v>
      </c>
      <c r="D366" s="447">
        <f t="shared" si="178"/>
        <v>6466.4390060624419</v>
      </c>
      <c r="E366" s="447">
        <f t="shared" si="178"/>
        <v>6533.5048087105069</v>
      </c>
      <c r="F366" s="447">
        <f t="shared" si="178"/>
        <v>6583.519750642783</v>
      </c>
      <c r="G366" s="447">
        <f t="shared" si="178"/>
        <v>6632.1020474329262</v>
      </c>
      <c r="H366" s="447">
        <f t="shared" si="178"/>
        <v>6677.1171989857639</v>
      </c>
      <c r="I366" s="447">
        <f t="shared" si="178"/>
        <v>6748.824148995508</v>
      </c>
      <c r="J366" s="447">
        <f t="shared" si="178"/>
        <v>6786.4902848073289</v>
      </c>
      <c r="K366" s="447">
        <f t="shared" si="178"/>
        <v>6785.815991188786</v>
      </c>
      <c r="L366" s="447">
        <f t="shared" si="178"/>
        <v>6761.0906337669858</v>
      </c>
      <c r="M366" s="447">
        <f t="shared" si="178"/>
        <v>6745.6053052611205</v>
      </c>
      <c r="N366" s="447">
        <f t="shared" si="178"/>
        <v>6735.6283360205462</v>
      </c>
    </row>
    <row r="367" spans="1:14">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4">
      <c r="C368" s="322">
        <f>C350+C366</f>
        <v>11478.785283531084</v>
      </c>
      <c r="D368" s="322">
        <f t="shared" ref="D368:N368" si="180">D350+D366</f>
        <v>11581.968504481014</v>
      </c>
      <c r="E368" s="322">
        <f t="shared" si="180"/>
        <v>11702.368536931051</v>
      </c>
      <c r="F368" s="322">
        <f t="shared" si="180"/>
        <v>11805.823561991972</v>
      </c>
      <c r="G368" s="322">
        <f t="shared" si="180"/>
        <v>11905.044068427782</v>
      </c>
      <c r="H368" s="322">
        <f t="shared" si="180"/>
        <v>11996.878419563654</v>
      </c>
      <c r="I368" s="322">
        <f t="shared" si="180"/>
        <v>12135.93693327314</v>
      </c>
      <c r="J368" s="322">
        <f t="shared" si="180"/>
        <v>12213.749991184312</v>
      </c>
      <c r="K368" s="322">
        <f t="shared" si="180"/>
        <v>12222.822653396182</v>
      </c>
      <c r="L368" s="322">
        <f t="shared" si="180"/>
        <v>12188.797624594896</v>
      </c>
      <c r="M368" s="322">
        <f t="shared" si="180"/>
        <v>12171.216719467042</v>
      </c>
      <c r="N368" s="322">
        <f t="shared" si="180"/>
        <v>12163.275252387202</v>
      </c>
    </row>
    <row r="369" spans="1:14">
      <c r="C369" s="322">
        <f t="shared" ref="C369:N369" si="181">C36</f>
        <v>11478.78528353108</v>
      </c>
      <c r="D369" s="322">
        <f t="shared" si="181"/>
        <v>11581.968504481012</v>
      </c>
      <c r="E369" s="322">
        <f t="shared" si="181"/>
        <v>11702.36853693105</v>
      </c>
      <c r="F369" s="322">
        <f t="shared" si="181"/>
        <v>11805.823561991971</v>
      </c>
      <c r="G369" s="322">
        <f t="shared" si="181"/>
        <v>11905.04406842778</v>
      </c>
      <c r="H369" s="322">
        <f t="shared" si="181"/>
        <v>11996.878419563651</v>
      </c>
      <c r="I369" s="322">
        <f t="shared" si="181"/>
        <v>12135.936933273137</v>
      </c>
      <c r="J369" s="322">
        <f t="shared" si="181"/>
        <v>12213.749991184312</v>
      </c>
      <c r="K369" s="322">
        <f t="shared" si="181"/>
        <v>12222.822653396182</v>
      </c>
      <c r="L369" s="322">
        <f t="shared" si="181"/>
        <v>12188.797624594896</v>
      </c>
      <c r="M369" s="322">
        <f t="shared" si="181"/>
        <v>12171.21671946704</v>
      </c>
      <c r="N369" s="322">
        <f t="shared" si="181"/>
        <v>12163.2752523872</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596</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9" t="str">
        <f>Forecast_stock_figures!B28</f>
        <v>Mathematics</v>
      </c>
      <c r="C15" s="300">
        <f>Forecast_stock_figures!C52</f>
        <v>30407.496560320695</v>
      </c>
      <c r="D15" s="300">
        <f>Forecast_stock_figures!D52</f>
        <v>31263.995988909792</v>
      </c>
      <c r="E15" s="300">
        <f>Forecast_stock_figures!E52</f>
        <v>31800.404380466622</v>
      </c>
      <c r="F15" s="300">
        <f>Forecast_stock_figures!F52</f>
        <v>32332.887872631094</v>
      </c>
      <c r="G15" s="300">
        <f>Forecast_stock_figures!G52</f>
        <v>32621.070537865755</v>
      </c>
      <c r="H15" s="300">
        <f>Forecast_stock_figures!H52</f>
        <v>32924.224090463504</v>
      </c>
      <c r="I15" s="300">
        <f>Forecast_stock_figures!I52</f>
        <v>33241.002281772227</v>
      </c>
      <c r="J15" s="300">
        <f>Forecast_stock_figures!J52</f>
        <v>33619.675080212059</v>
      </c>
      <c r="K15" s="300">
        <f>Forecast_stock_figures!K52</f>
        <v>33841.805741803691</v>
      </c>
      <c r="L15" s="300">
        <f>Forecast_stock_figures!L52</f>
        <v>33939.843565007715</v>
      </c>
      <c r="M15" s="300">
        <f>Forecast_stock_figures!M52</f>
        <v>33934.401268075904</v>
      </c>
      <c r="N15" s="300">
        <f>Forecast_stock_figures!N52</f>
        <v>33872.600336963915</v>
      </c>
    </row>
    <row r="17" spans="1:9" ht="15.75">
      <c r="B17" s="333" t="s">
        <v>162</v>
      </c>
    </row>
    <row r="19" spans="1:9">
      <c r="B19" s="1327" t="str">
        <f>Stock_ages_breakdowns!B73</f>
        <v>Age group</v>
      </c>
      <c r="C19" s="1328" t="str">
        <f>Stock_ages_breakdowns!AA73</f>
        <v>Mathematics</v>
      </c>
      <c r="D19" s="1329"/>
      <c r="H19" s="318" t="s">
        <v>133</v>
      </c>
    </row>
    <row r="20" spans="1:9">
      <c r="B20" s="1327"/>
      <c r="C20" s="356" t="str">
        <f>Stock_ages_breakdowns!AA74</f>
        <v>Male</v>
      </c>
      <c r="D20" s="356" t="str">
        <f>Stock_ages_breakdowns!AB74</f>
        <v>Female</v>
      </c>
    </row>
    <row r="21" spans="1:9">
      <c r="B21" s="356" t="str">
        <f>Stock_ages_breakdowns!B75</f>
        <v>20-24</v>
      </c>
      <c r="C21" s="324">
        <f>Stock_ages_breakdowns!AA20</f>
        <v>712.63790669584978</v>
      </c>
      <c r="D21" s="324">
        <f>Stock_ages_breakdowns!AB20</f>
        <v>1175.8696482537703</v>
      </c>
    </row>
    <row r="22" spans="1:9">
      <c r="B22" s="356" t="str">
        <f>Stock_ages_breakdowns!B76</f>
        <v>25-29</v>
      </c>
      <c r="C22" s="324">
        <f>Stock_ages_breakdowns!AA21</f>
        <v>2170.4229126970768</v>
      </c>
      <c r="D22" s="324">
        <f>Stock_ages_breakdowns!AB21</f>
        <v>3059.8446186500482</v>
      </c>
    </row>
    <row r="23" spans="1:9">
      <c r="B23" s="356" t="str">
        <f>Stock_ages_breakdowns!B77</f>
        <v>30-34</v>
      </c>
      <c r="C23" s="324">
        <f>Stock_ages_breakdowns!AA22</f>
        <v>2194.58702906806</v>
      </c>
      <c r="D23" s="324">
        <f>Stock_ages_breakdowns!AB22</f>
        <v>2229.4955311090675</v>
      </c>
    </row>
    <row r="24" spans="1:9">
      <c r="B24" s="356" t="str">
        <f>Stock_ages_breakdowns!B78</f>
        <v>35-39</v>
      </c>
      <c r="C24" s="324">
        <f>Stock_ages_breakdowns!AA23</f>
        <v>2063.1500780530114</v>
      </c>
      <c r="D24" s="324">
        <f>Stock_ages_breakdowns!AB23</f>
        <v>2222.3966155839967</v>
      </c>
    </row>
    <row r="25" spans="1:9">
      <c r="B25" s="356" t="str">
        <f>Stock_ages_breakdowns!B79</f>
        <v>40-44</v>
      </c>
      <c r="C25" s="324">
        <f>Stock_ages_breakdowns!AA24</f>
        <v>1948.9773535515974</v>
      </c>
      <c r="D25" s="324">
        <f>Stock_ages_breakdowns!AB24</f>
        <v>2123.5138629827347</v>
      </c>
    </row>
    <row r="26" spans="1:9">
      <c r="B26" s="356" t="str">
        <f>Stock_ages_breakdowns!B80</f>
        <v>45-49</v>
      </c>
      <c r="C26" s="324">
        <f>Stock_ages_breakdowns!AA25</f>
        <v>2014.3587855916728</v>
      </c>
      <c r="D26" s="324">
        <f>Stock_ages_breakdowns!AB25</f>
        <v>2175.8676148833947</v>
      </c>
    </row>
    <row r="27" spans="1:9">
      <c r="B27" s="356" t="str">
        <f>Stock_ages_breakdowns!B81</f>
        <v>50-54</v>
      </c>
      <c r="C27" s="324">
        <f>Stock_ages_breakdowns!AA26</f>
        <v>1533.6367883698415</v>
      </c>
      <c r="D27" s="324">
        <f>Stock_ages_breakdowns!AB26</f>
        <v>1831.0201409765189</v>
      </c>
    </row>
    <row r="28" spans="1:9">
      <c r="B28" s="356" t="str">
        <f>Stock_ages_breakdowns!B82</f>
        <v>55-59</v>
      </c>
      <c r="C28" s="324">
        <f>Stock_ages_breakdowns!AA27</f>
        <v>990.98880474601822</v>
      </c>
      <c r="D28" s="324">
        <f>Stock_ages_breakdowns!AB27</f>
        <v>1068.0997495048923</v>
      </c>
    </row>
    <row r="29" spans="1:9">
      <c r="B29" s="356" t="str">
        <f>Stock_ages_breakdowns!B83</f>
        <v>60-64</v>
      </c>
      <c r="C29" s="324">
        <f>Stock_ages_breakdowns!AA28</f>
        <v>381.38918657798274</v>
      </c>
      <c r="D29" s="324">
        <f>Stock_ages_breakdowns!AB28</f>
        <v>361.76665592119355</v>
      </c>
      <c r="F29" s="318"/>
    </row>
    <row r="30" spans="1:9">
      <c r="B30" s="356" t="str">
        <f>Stock_ages_breakdowns!B84</f>
        <v>65 plus</v>
      </c>
      <c r="C30" s="324">
        <f>Stock_ages_breakdowns!AA29</f>
        <v>86.019093615144342</v>
      </c>
      <c r="D30" s="324">
        <f>Stock_ages_breakdowns!AB29</f>
        <v>63.454183488820199</v>
      </c>
      <c r="G30" s="319" t="s">
        <v>46</v>
      </c>
      <c r="H30" s="319" t="s">
        <v>47</v>
      </c>
    </row>
    <row r="31" spans="1:9">
      <c r="A31" s="302">
        <f>I31</f>
        <v>0</v>
      </c>
      <c r="B31" s="356" t="str">
        <f>Stock_ages_breakdowns!B85</f>
        <v>Total</v>
      </c>
      <c r="C31" s="324">
        <f>Stock_ages_breakdowns!AA30</f>
        <v>14096.167938966257</v>
      </c>
      <c r="D31" s="324">
        <f>Stock_ages_breakdowns!AB30</f>
        <v>16311.328621354438</v>
      </c>
      <c r="E31" s="320">
        <f>SUM(C31:D31)</f>
        <v>30407.496560320695</v>
      </c>
      <c r="G31" s="359">
        <f>C31/$E$31</f>
        <v>0.4635754183512959</v>
      </c>
      <c r="H31" s="359">
        <f>D31/$E$31</f>
        <v>0.5364245816487041</v>
      </c>
      <c r="I31" s="302">
        <f>(G31+H31)-1</f>
        <v>0</v>
      </c>
    </row>
    <row r="33" spans="2:15" ht="15.75">
      <c r="B33" s="333" t="s">
        <v>263</v>
      </c>
      <c r="H33" s="318"/>
    </row>
    <row r="34" spans="2:15">
      <c r="H34" s="318"/>
    </row>
    <row r="35" spans="2:15">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5">
      <c r="B36" s="319" t="str">
        <f>B15</f>
        <v>Mathematics</v>
      </c>
      <c r="C36" s="300">
        <f>Teacher_need_by_subject!C635</f>
        <v>31263.995988909792</v>
      </c>
      <c r="D36" s="300">
        <f>Teacher_need_by_subject!D635</f>
        <v>31800.404380466622</v>
      </c>
      <c r="E36" s="300">
        <f>Teacher_need_by_subject!E635</f>
        <v>32332.887872631094</v>
      </c>
      <c r="F36" s="300">
        <f>Teacher_need_by_subject!F635</f>
        <v>32621.070537865755</v>
      </c>
      <c r="G36" s="300">
        <f>Teacher_need_by_subject!G635</f>
        <v>32924.224090463504</v>
      </c>
      <c r="H36" s="300">
        <f>Teacher_need_by_subject!H635</f>
        <v>33241.002281772227</v>
      </c>
      <c r="I36" s="300">
        <f>Teacher_need_by_subject!I635</f>
        <v>33619.675080212059</v>
      </c>
      <c r="J36" s="300">
        <f>Teacher_need_by_subject!J635</f>
        <v>33841.805741803691</v>
      </c>
      <c r="K36" s="300">
        <f>Teacher_need_by_subject!K635</f>
        <v>33939.843565007715</v>
      </c>
      <c r="L36" s="300">
        <f>Teacher_need_by_subject!L635</f>
        <v>33934.401268075904</v>
      </c>
      <c r="M36" s="300">
        <f>Teacher_need_by_subject!M635</f>
        <v>33872.600336963915</v>
      </c>
      <c r="N36" s="300">
        <f>Teacher_need_by_subject!N635</f>
        <v>33758.753682238399</v>
      </c>
    </row>
    <row r="37" spans="2:15">
      <c r="H37" s="318"/>
    </row>
    <row r="38" spans="2:15" ht="15.75">
      <c r="B38" s="333" t="s">
        <v>170</v>
      </c>
      <c r="H38" s="318"/>
    </row>
    <row r="39" spans="2:15">
      <c r="H39" s="318"/>
    </row>
    <row r="40" spans="2:15">
      <c r="B40" s="334" t="s">
        <v>46</v>
      </c>
      <c r="H40" s="318"/>
    </row>
    <row r="41" spans="2:15">
      <c r="H41" s="318"/>
    </row>
    <row r="42" spans="2:15">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5">
      <c r="B43" s="356" t="str">
        <f>B21</f>
        <v>20-24</v>
      </c>
      <c r="C43" s="300">
        <f>C21</f>
        <v>712.63790669584978</v>
      </c>
      <c r="D43" s="300">
        <f>C340</f>
        <v>1033.1346962098983</v>
      </c>
      <c r="E43" s="300">
        <f t="shared" ref="E43:L43" si="2">D340</f>
        <v>1214.2997442657982</v>
      </c>
      <c r="F43" s="300">
        <f t="shared" si="2"/>
        <v>1340.9328746139695</v>
      </c>
      <c r="G43" s="300">
        <f t="shared" si="2"/>
        <v>1402.2798714447727</v>
      </c>
      <c r="H43" s="300">
        <f t="shared" si="2"/>
        <v>1445.5774593168812</v>
      </c>
      <c r="I43" s="300">
        <f t="shared" si="2"/>
        <v>1477.4924481656155</v>
      </c>
      <c r="J43" s="300">
        <f t="shared" si="2"/>
        <v>1508.2560999308762</v>
      </c>
      <c r="K43" s="300">
        <f t="shared" si="2"/>
        <v>1513.5543492527258</v>
      </c>
      <c r="L43" s="300">
        <f t="shared" si="2"/>
        <v>1503.8425822957763</v>
      </c>
      <c r="M43" s="300">
        <f>L340</f>
        <v>1485.1186266106952</v>
      </c>
      <c r="N43" s="300">
        <f>M340</f>
        <v>1464.8031103067565</v>
      </c>
      <c r="O43" s="320"/>
    </row>
    <row r="44" spans="2:15">
      <c r="B44" s="356" t="str">
        <f t="shared" ref="B44:C53" si="3">B22</f>
        <v>25-29</v>
      </c>
      <c r="C44" s="300">
        <f t="shared" si="3"/>
        <v>2170.4229126970768</v>
      </c>
      <c r="D44" s="300">
        <f t="shared" ref="D44:K53" si="4">C341</f>
        <v>2209.7990354629164</v>
      </c>
      <c r="E44" s="300">
        <f t="shared" si="4"/>
        <v>2267.9910627731801</v>
      </c>
      <c r="F44" s="300">
        <f t="shared" si="4"/>
        <v>2344.5701099815669</v>
      </c>
      <c r="G44" s="300">
        <f t="shared" si="4"/>
        <v>2399.5008775125843</v>
      </c>
      <c r="H44" s="300">
        <f t="shared" si="4"/>
        <v>2451.5669848022026</v>
      </c>
      <c r="I44" s="300">
        <f t="shared" si="4"/>
        <v>2498.9528212628475</v>
      </c>
      <c r="J44" s="300">
        <f t="shared" si="4"/>
        <v>2547.5393392878505</v>
      </c>
      <c r="K44" s="300">
        <f t="shared" si="4"/>
        <v>2571.5366529960638</v>
      </c>
      <c r="L44" s="300">
        <f t="shared" ref="L44:L53" si="5">K341</f>
        <v>2575.7018728744024</v>
      </c>
      <c r="M44" s="300">
        <f t="shared" ref="M44:M53" si="6">L341</f>
        <v>2564.2938713554067</v>
      </c>
      <c r="N44" s="300">
        <f t="shared" ref="N44:N53" si="7">M341</f>
        <v>2544.8831559059081</v>
      </c>
      <c r="O44" s="320"/>
    </row>
    <row r="45" spans="2:15">
      <c r="B45" s="356" t="str">
        <f t="shared" si="3"/>
        <v>30-34</v>
      </c>
      <c r="C45" s="300">
        <f t="shared" si="3"/>
        <v>2194.58702906806</v>
      </c>
      <c r="D45" s="300">
        <f t="shared" si="4"/>
        <v>2271.7207764770451</v>
      </c>
      <c r="E45" s="300">
        <f t="shared" si="4"/>
        <v>2325.4099768230949</v>
      </c>
      <c r="F45" s="300">
        <f t="shared" si="4"/>
        <v>2374.2691666124119</v>
      </c>
      <c r="G45" s="300">
        <f t="shared" si="4"/>
        <v>2415.0477624076734</v>
      </c>
      <c r="H45" s="300">
        <f t="shared" si="4"/>
        <v>2456.2002222006936</v>
      </c>
      <c r="I45" s="300">
        <f t="shared" si="4"/>
        <v>2497.3294866029792</v>
      </c>
      <c r="J45" s="300">
        <f t="shared" si="4"/>
        <v>2540.7899222011015</v>
      </c>
      <c r="K45" s="300">
        <f t="shared" si="4"/>
        <v>2573.6331912266596</v>
      </c>
      <c r="L45" s="300">
        <f t="shared" si="5"/>
        <v>2595.1535414743821</v>
      </c>
      <c r="M45" s="300">
        <f t="shared" si="6"/>
        <v>2605.2695173321176</v>
      </c>
      <c r="N45" s="300">
        <f t="shared" si="7"/>
        <v>2606.4646555728741</v>
      </c>
      <c r="O45" s="320"/>
    </row>
    <row r="46" spans="2:15">
      <c r="B46" s="356" t="str">
        <f t="shared" si="3"/>
        <v>35-39</v>
      </c>
      <c r="C46" s="300">
        <f t="shared" si="3"/>
        <v>2063.1500780530114</v>
      </c>
      <c r="D46" s="300">
        <f t="shared" si="4"/>
        <v>2113.1278904199503</v>
      </c>
      <c r="E46" s="300">
        <f t="shared" si="4"/>
        <v>2157.8188709535034</v>
      </c>
      <c r="F46" s="300">
        <f t="shared" si="4"/>
        <v>2198.2974038665297</v>
      </c>
      <c r="G46" s="300">
        <f t="shared" si="4"/>
        <v>2230.9529229425193</v>
      </c>
      <c r="H46" s="300">
        <f t="shared" si="4"/>
        <v>2263.3284247386982</v>
      </c>
      <c r="I46" s="300">
        <f t="shared" si="4"/>
        <v>2295.7360389776686</v>
      </c>
      <c r="J46" s="300">
        <f t="shared" si="4"/>
        <v>2330.5461013129516</v>
      </c>
      <c r="K46" s="300">
        <f t="shared" si="4"/>
        <v>2358.1926906253075</v>
      </c>
      <c r="L46" s="300">
        <f t="shared" si="5"/>
        <v>2379.3232631280462</v>
      </c>
      <c r="M46" s="300">
        <f t="shared" si="6"/>
        <v>2393.958431715434</v>
      </c>
      <c r="N46" s="300">
        <f t="shared" si="7"/>
        <v>2403.4173030162879</v>
      </c>
      <c r="O46" s="320"/>
    </row>
    <row r="47" spans="2:15">
      <c r="B47" s="356" t="str">
        <f t="shared" si="3"/>
        <v>40-44</v>
      </c>
      <c r="C47" s="300">
        <f t="shared" si="3"/>
        <v>1948.9773535515974</v>
      </c>
      <c r="D47" s="300">
        <f t="shared" si="4"/>
        <v>1995.045025236371</v>
      </c>
      <c r="E47" s="300">
        <f t="shared" si="4"/>
        <v>2033.0383635396454</v>
      </c>
      <c r="F47" s="300">
        <f t="shared" si="4"/>
        <v>2067.8098225419958</v>
      </c>
      <c r="G47" s="300">
        <f t="shared" si="4"/>
        <v>2095.8312824214549</v>
      </c>
      <c r="H47" s="300">
        <f t="shared" si="4"/>
        <v>2123.4620446015151</v>
      </c>
      <c r="I47" s="300">
        <f t="shared" si="4"/>
        <v>2150.8981522367603</v>
      </c>
      <c r="J47" s="300">
        <f t="shared" si="4"/>
        <v>2180.2447732048063</v>
      </c>
      <c r="K47" s="300">
        <f t="shared" si="4"/>
        <v>2203.4159163561967</v>
      </c>
      <c r="L47" s="300">
        <f t="shared" si="5"/>
        <v>2221.2698927608817</v>
      </c>
      <c r="M47" s="300">
        <f t="shared" si="6"/>
        <v>2234.2803141062163</v>
      </c>
      <c r="N47" s="300">
        <f t="shared" si="7"/>
        <v>2243.9327287596675</v>
      </c>
      <c r="O47" s="320"/>
    </row>
    <row r="48" spans="2:15">
      <c r="B48" s="356" t="str">
        <f t="shared" si="3"/>
        <v>45-49</v>
      </c>
      <c r="C48" s="300">
        <f t="shared" si="3"/>
        <v>2014.3587855916728</v>
      </c>
      <c r="D48" s="300">
        <f t="shared" si="4"/>
        <v>1943.5286739075516</v>
      </c>
      <c r="E48" s="300">
        <f t="shared" si="4"/>
        <v>1899.2901509985898</v>
      </c>
      <c r="F48" s="300">
        <f t="shared" si="4"/>
        <v>1870.8983765210921</v>
      </c>
      <c r="G48" s="300">
        <f t="shared" si="4"/>
        <v>1853.8350079640427</v>
      </c>
      <c r="H48" s="300">
        <f t="shared" si="4"/>
        <v>1847.4146624058033</v>
      </c>
      <c r="I48" s="300">
        <f t="shared" si="4"/>
        <v>1848.6924669129289</v>
      </c>
      <c r="J48" s="300">
        <f t="shared" si="4"/>
        <v>1857.1207111494184</v>
      </c>
      <c r="K48" s="300">
        <f t="shared" si="4"/>
        <v>1864.5662384968214</v>
      </c>
      <c r="L48" s="300">
        <f t="shared" si="5"/>
        <v>1870.6339782477107</v>
      </c>
      <c r="M48" s="300">
        <f t="shared" si="6"/>
        <v>1874.9708711460075</v>
      </c>
      <c r="N48" s="300">
        <f t="shared" si="7"/>
        <v>1878.3216952166372</v>
      </c>
      <c r="O48" s="320"/>
    </row>
    <row r="49" spans="1:15">
      <c r="B49" s="356" t="str">
        <f t="shared" si="3"/>
        <v>50-54</v>
      </c>
      <c r="C49" s="300">
        <f t="shared" si="3"/>
        <v>1533.6367883698415</v>
      </c>
      <c r="D49" s="300">
        <f t="shared" si="4"/>
        <v>1523.3017323981308</v>
      </c>
      <c r="E49" s="300">
        <f t="shared" si="4"/>
        <v>1503.3164327564273</v>
      </c>
      <c r="F49" s="300">
        <f t="shared" si="4"/>
        <v>1478.4957544500674</v>
      </c>
      <c r="G49" s="300">
        <f t="shared" si="4"/>
        <v>1454.5208092074977</v>
      </c>
      <c r="H49" s="300">
        <f t="shared" si="4"/>
        <v>1435.4893427678958</v>
      </c>
      <c r="I49" s="300">
        <f t="shared" si="4"/>
        <v>1421.8304045655852</v>
      </c>
      <c r="J49" s="300">
        <f t="shared" si="4"/>
        <v>1414.467405286332</v>
      </c>
      <c r="K49" s="300">
        <f t="shared" si="4"/>
        <v>1407.9318031740208</v>
      </c>
      <c r="L49" s="300">
        <f t="shared" si="5"/>
        <v>1402.1257231531924</v>
      </c>
      <c r="M49" s="300">
        <f t="shared" si="6"/>
        <v>1396.7470041535069</v>
      </c>
      <c r="N49" s="300">
        <f t="shared" si="7"/>
        <v>1392.2011285607432</v>
      </c>
      <c r="O49" s="320"/>
    </row>
    <row r="50" spans="1:15">
      <c r="B50" s="356" t="str">
        <f t="shared" si="3"/>
        <v>55-59</v>
      </c>
      <c r="C50" s="300">
        <f t="shared" si="3"/>
        <v>990.98880474601822</v>
      </c>
      <c r="D50" s="300">
        <f t="shared" si="4"/>
        <v>873.71338194841508</v>
      </c>
      <c r="E50" s="300">
        <f t="shared" si="4"/>
        <v>802.18813490522564</v>
      </c>
      <c r="F50" s="300">
        <f t="shared" si="4"/>
        <v>756.60783790371511</v>
      </c>
      <c r="G50" s="300">
        <f t="shared" si="4"/>
        <v>724.47829357454179</v>
      </c>
      <c r="H50" s="300">
        <f t="shared" si="4"/>
        <v>702.57165272813154</v>
      </c>
      <c r="I50" s="300">
        <f t="shared" si="4"/>
        <v>687.42246685885732</v>
      </c>
      <c r="J50" s="300">
        <f t="shared" si="4"/>
        <v>677.80356296244906</v>
      </c>
      <c r="K50" s="300">
        <f t="shared" si="4"/>
        <v>669.2338262606122</v>
      </c>
      <c r="L50" s="300">
        <f t="shared" si="5"/>
        <v>661.60936969133706</v>
      </c>
      <c r="M50" s="300">
        <f t="shared" si="6"/>
        <v>654.74789385126519</v>
      </c>
      <c r="N50" s="300">
        <f t="shared" si="7"/>
        <v>648.93729165657805</v>
      </c>
      <c r="O50" s="320"/>
    </row>
    <row r="51" spans="1:15">
      <c r="B51" s="356" t="str">
        <f t="shared" si="3"/>
        <v>60-64</v>
      </c>
      <c r="C51" s="300">
        <f t="shared" si="3"/>
        <v>381.38918657798274</v>
      </c>
      <c r="D51" s="300">
        <f t="shared" si="4"/>
        <v>345.94659789354546</v>
      </c>
      <c r="E51" s="300">
        <f t="shared" si="4"/>
        <v>313.21096839112067</v>
      </c>
      <c r="F51" s="300">
        <f t="shared" si="4"/>
        <v>287.92311587052615</v>
      </c>
      <c r="G51" s="300">
        <f t="shared" si="4"/>
        <v>268.8347457700076</v>
      </c>
      <c r="H51" s="300">
        <f t="shared" si="4"/>
        <v>255.6585267880601</v>
      </c>
      <c r="I51" s="300">
        <f t="shared" si="4"/>
        <v>246.68681180215134</v>
      </c>
      <c r="J51" s="300">
        <f t="shared" si="4"/>
        <v>241.02597055769138</v>
      </c>
      <c r="K51" s="300">
        <f t="shared" si="4"/>
        <v>236.0959217717778</v>
      </c>
      <c r="L51" s="300">
        <f t="shared" si="5"/>
        <v>231.76307631248193</v>
      </c>
      <c r="M51" s="300">
        <f t="shared" si="6"/>
        <v>227.89406038945097</v>
      </c>
      <c r="N51" s="300">
        <f t="shared" si="7"/>
        <v>224.6243421289916</v>
      </c>
      <c r="O51" s="320"/>
    </row>
    <row r="52" spans="1:15">
      <c r="B52" s="356" t="str">
        <f t="shared" si="3"/>
        <v>65 plus</v>
      </c>
      <c r="C52" s="300">
        <f t="shared" si="3"/>
        <v>86.019093615144342</v>
      </c>
      <c r="D52" s="300">
        <f t="shared" si="4"/>
        <v>103.87602100381736</v>
      </c>
      <c r="E52" s="300">
        <f t="shared" si="4"/>
        <v>110.14526396281508</v>
      </c>
      <c r="F52" s="300">
        <f t="shared" si="4"/>
        <v>109.500511079525</v>
      </c>
      <c r="G52" s="300">
        <f t="shared" si="4"/>
        <v>106.13205844549236</v>
      </c>
      <c r="H52" s="300">
        <f t="shared" si="4"/>
        <v>102.06186480974638</v>
      </c>
      <c r="I52" s="300">
        <f t="shared" si="4"/>
        <v>98.276510754552234</v>
      </c>
      <c r="J52" s="300">
        <f t="shared" si="4"/>
        <v>95.259862210430853</v>
      </c>
      <c r="K52" s="300">
        <f t="shared" si="4"/>
        <v>92.588680882296956</v>
      </c>
      <c r="L52" s="300">
        <f t="shared" si="5"/>
        <v>90.232400537798853</v>
      </c>
      <c r="M52" s="300">
        <f t="shared" si="6"/>
        <v>88.141633429027721</v>
      </c>
      <c r="N52" s="300">
        <f t="shared" si="7"/>
        <v>86.340026219562901</v>
      </c>
      <c r="O52" s="320"/>
    </row>
    <row r="53" spans="1:15">
      <c r="B53" s="356" t="str">
        <f t="shared" si="3"/>
        <v>Total</v>
      </c>
      <c r="C53" s="300">
        <f t="shared" si="3"/>
        <v>14096.167938966257</v>
      </c>
      <c r="D53" s="300">
        <f t="shared" si="4"/>
        <v>14413.193830957644</v>
      </c>
      <c r="E53" s="300">
        <f t="shared" si="4"/>
        <v>14626.7089693694</v>
      </c>
      <c r="F53" s="300">
        <f t="shared" si="4"/>
        <v>14829.3049734414</v>
      </c>
      <c r="G53" s="300">
        <f t="shared" si="4"/>
        <v>14951.413631690586</v>
      </c>
      <c r="H53" s="300">
        <f t="shared" si="4"/>
        <v>15083.331185159628</v>
      </c>
      <c r="I53" s="300">
        <f t="shared" si="4"/>
        <v>15223.317608139951</v>
      </c>
      <c r="J53" s="300">
        <f t="shared" si="4"/>
        <v>15393.053748103906</v>
      </c>
      <c r="K53" s="300">
        <f t="shared" si="4"/>
        <v>15490.749271042479</v>
      </c>
      <c r="L53" s="300">
        <f t="shared" si="5"/>
        <v>15531.655700476009</v>
      </c>
      <c r="M53" s="300">
        <f t="shared" si="6"/>
        <v>15525.42222408913</v>
      </c>
      <c r="N53" s="300">
        <f t="shared" si="7"/>
        <v>15493.925437344004</v>
      </c>
      <c r="O53" s="320"/>
    </row>
    <row r="54" spans="1:15">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5">
      <c r="B56" s="334" t="s">
        <v>47</v>
      </c>
      <c r="H56" s="318"/>
    </row>
    <row r="57" spans="1:15">
      <c r="H57" s="318"/>
    </row>
    <row r="58" spans="1:15">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5">
      <c r="B59" s="331" t="str">
        <f t="shared" si="9"/>
        <v>20-24</v>
      </c>
      <c r="C59" s="300">
        <f t="shared" ref="C59:C69" si="11">D21</f>
        <v>1175.8696482537703</v>
      </c>
      <c r="D59" s="300">
        <f>C356</f>
        <v>1461.3432652208203</v>
      </c>
      <c r="E59" s="300">
        <f t="shared" ref="E59:L59" si="12">D356</f>
        <v>1616.981155387055</v>
      </c>
      <c r="F59" s="300">
        <f t="shared" si="12"/>
        <v>1736.2822008492808</v>
      </c>
      <c r="G59" s="300">
        <f t="shared" si="12"/>
        <v>1785.9737368704725</v>
      </c>
      <c r="H59" s="300">
        <f t="shared" si="12"/>
        <v>1823.3330473436458</v>
      </c>
      <c r="I59" s="300">
        <f t="shared" si="12"/>
        <v>1852.8250585174742</v>
      </c>
      <c r="J59" s="300">
        <f t="shared" si="12"/>
        <v>1884.2684387943232</v>
      </c>
      <c r="K59" s="300">
        <f t="shared" si="12"/>
        <v>1888.4438644845827</v>
      </c>
      <c r="L59" s="300">
        <f t="shared" si="12"/>
        <v>1876.0264606394869</v>
      </c>
      <c r="M59" s="300">
        <f>L356</f>
        <v>1853.2843546271902</v>
      </c>
      <c r="N59" s="300">
        <f>M356</f>
        <v>1828.5167007399712</v>
      </c>
    </row>
    <row r="60" spans="1:15">
      <c r="B60" s="331" t="str">
        <f t="shared" si="9"/>
        <v>25-29</v>
      </c>
      <c r="C60" s="300">
        <f t="shared" si="11"/>
        <v>3059.8446186500482</v>
      </c>
      <c r="D60" s="300">
        <f t="shared" ref="D60:K69" si="13">C357</f>
        <v>3042.768271929237</v>
      </c>
      <c r="E60" s="300">
        <f t="shared" si="13"/>
        <v>3040.0943171479221</v>
      </c>
      <c r="F60" s="300">
        <f t="shared" si="13"/>
        <v>3076.8201758063965</v>
      </c>
      <c r="G60" s="300">
        <f t="shared" si="13"/>
        <v>3089.9496937230138</v>
      </c>
      <c r="H60" s="300">
        <f t="shared" si="13"/>
        <v>3111.597794826549</v>
      </c>
      <c r="I60" s="300">
        <f t="shared" si="13"/>
        <v>3137.5972306904337</v>
      </c>
      <c r="J60" s="300">
        <f t="shared" si="13"/>
        <v>3172.7253075943136</v>
      </c>
      <c r="K60" s="300">
        <f t="shared" si="13"/>
        <v>3185.4343796664389</v>
      </c>
      <c r="L60" s="300">
        <f t="shared" ref="L60:L69" si="14">K357</f>
        <v>3179.5433447223718</v>
      </c>
      <c r="M60" s="300">
        <f t="shared" ref="M60:M69" si="15">L357</f>
        <v>3158.6113500506885</v>
      </c>
      <c r="N60" s="300">
        <f t="shared" ref="N60:N69" si="16">M357</f>
        <v>3130.3698450877419</v>
      </c>
    </row>
    <row r="61" spans="1:15">
      <c r="B61" s="331" t="str">
        <f t="shared" si="9"/>
        <v>30-34</v>
      </c>
      <c r="C61" s="300">
        <f t="shared" si="11"/>
        <v>2229.4955311090675</v>
      </c>
      <c r="D61" s="300">
        <f t="shared" si="13"/>
        <v>2504.8498199992619</v>
      </c>
      <c r="E61" s="300">
        <f t="shared" si="13"/>
        <v>2680.6140457921656</v>
      </c>
      <c r="F61" s="300">
        <f t="shared" si="13"/>
        <v>2811.4061191696142</v>
      </c>
      <c r="G61" s="300">
        <f t="shared" si="13"/>
        <v>2894.5137016790873</v>
      </c>
      <c r="H61" s="300">
        <f t="shared" si="13"/>
        <v>2958.7569196810414</v>
      </c>
      <c r="I61" s="300">
        <f t="shared" si="13"/>
        <v>3011.1684513234895</v>
      </c>
      <c r="J61" s="300">
        <f t="shared" si="13"/>
        <v>3059.5166160577942</v>
      </c>
      <c r="K61" s="300">
        <f t="shared" si="13"/>
        <v>3092.0811740847166</v>
      </c>
      <c r="L61" s="300">
        <f t="shared" si="14"/>
        <v>3110.1740893220426</v>
      </c>
      <c r="M61" s="300">
        <f t="shared" si="15"/>
        <v>3114.9327411096456</v>
      </c>
      <c r="N61" s="300">
        <f t="shared" si="16"/>
        <v>3109.86961476034</v>
      </c>
    </row>
    <row r="62" spans="1:15">
      <c r="B62" s="331" t="str">
        <f t="shared" si="9"/>
        <v>35-39</v>
      </c>
      <c r="C62" s="300">
        <f t="shared" si="11"/>
        <v>2222.3966155839967</v>
      </c>
      <c r="D62" s="300">
        <f t="shared" si="13"/>
        <v>2278.6920693206248</v>
      </c>
      <c r="E62" s="300">
        <f t="shared" si="13"/>
        <v>2354.4726443285699</v>
      </c>
      <c r="F62" s="300">
        <f t="shared" si="13"/>
        <v>2444.4753961996134</v>
      </c>
      <c r="G62" s="300">
        <f t="shared" si="13"/>
        <v>2520.1283527578521</v>
      </c>
      <c r="H62" s="300">
        <f t="shared" si="13"/>
        <v>2591.6821223702132</v>
      </c>
      <c r="I62" s="300">
        <f t="shared" si="13"/>
        <v>2657.0129343718932</v>
      </c>
      <c r="J62" s="300">
        <f t="shared" si="13"/>
        <v>2718.4180922955147</v>
      </c>
      <c r="K62" s="300">
        <f t="shared" si="13"/>
        <v>2765.4212299328187</v>
      </c>
      <c r="L62" s="300">
        <f t="shared" si="14"/>
        <v>2799.8005567742484</v>
      </c>
      <c r="M62" s="300">
        <f t="shared" si="15"/>
        <v>2822.7162816417108</v>
      </c>
      <c r="N62" s="300">
        <f t="shared" si="16"/>
        <v>2836.7461952434323</v>
      </c>
    </row>
    <row r="63" spans="1:15">
      <c r="B63" s="331" t="str">
        <f t="shared" si="9"/>
        <v>40-44</v>
      </c>
      <c r="C63" s="300">
        <f t="shared" si="11"/>
        <v>2123.5138629827347</v>
      </c>
      <c r="D63" s="300">
        <f t="shared" si="13"/>
        <v>2171.3035170561625</v>
      </c>
      <c r="E63" s="300">
        <f t="shared" si="13"/>
        <v>2203.0216286063878</v>
      </c>
      <c r="F63" s="300">
        <f t="shared" si="13"/>
        <v>2242.0738710242849</v>
      </c>
      <c r="G63" s="300">
        <f t="shared" si="13"/>
        <v>2275.0142384596206</v>
      </c>
      <c r="H63" s="300">
        <f t="shared" si="13"/>
        <v>2313.9492383167394</v>
      </c>
      <c r="I63" s="300">
        <f t="shared" si="13"/>
        <v>2356.671312714665</v>
      </c>
      <c r="J63" s="300">
        <f t="shared" si="13"/>
        <v>2403.3883503544571</v>
      </c>
      <c r="K63" s="300">
        <f t="shared" si="13"/>
        <v>2443.0165625264885</v>
      </c>
      <c r="L63" s="300">
        <f t="shared" si="14"/>
        <v>2475.4884367897812</v>
      </c>
      <c r="M63" s="300">
        <f t="shared" si="15"/>
        <v>2500.7580656964915</v>
      </c>
      <c r="N63" s="300">
        <f t="shared" si="16"/>
        <v>2520.3146592580624</v>
      </c>
    </row>
    <row r="64" spans="1:15">
      <c r="B64" s="331" t="str">
        <f t="shared" si="9"/>
        <v>45-49</v>
      </c>
      <c r="C64" s="300">
        <f t="shared" si="11"/>
        <v>2175.8676148833947</v>
      </c>
      <c r="D64" s="300">
        <f t="shared" si="13"/>
        <v>2130.9056859660318</v>
      </c>
      <c r="E64" s="300">
        <f t="shared" si="13"/>
        <v>2095.8962525182283</v>
      </c>
      <c r="F64" s="300">
        <f t="shared" si="13"/>
        <v>2077.2169024443756</v>
      </c>
      <c r="G64" s="300">
        <f t="shared" si="13"/>
        <v>2060.6178222649296</v>
      </c>
      <c r="H64" s="300">
        <f t="shared" si="13"/>
        <v>2055.525167475992</v>
      </c>
      <c r="I64" s="300">
        <f t="shared" si="13"/>
        <v>2059.9449775671919</v>
      </c>
      <c r="J64" s="300">
        <f t="shared" si="13"/>
        <v>2073.8169132149542</v>
      </c>
      <c r="K64" s="300">
        <f t="shared" si="13"/>
        <v>2087.7415079797347</v>
      </c>
      <c r="L64" s="300">
        <f t="shared" si="14"/>
        <v>2100.9338608062121</v>
      </c>
      <c r="M64" s="300">
        <f t="shared" si="15"/>
        <v>2112.5574368269872</v>
      </c>
      <c r="N64" s="300">
        <f t="shared" si="16"/>
        <v>2123.0577832257077</v>
      </c>
    </row>
    <row r="65" spans="1:14">
      <c r="B65" s="331" t="str">
        <f t="shared" si="9"/>
        <v>50-54</v>
      </c>
      <c r="C65" s="300">
        <f t="shared" si="11"/>
        <v>1831.0201409765189</v>
      </c>
      <c r="D65" s="300">
        <f t="shared" si="13"/>
        <v>1797.0834535185666</v>
      </c>
      <c r="E65" s="300">
        <f t="shared" si="13"/>
        <v>1756.9477731472534</v>
      </c>
      <c r="F65" s="300">
        <f t="shared" si="13"/>
        <v>1722.8382061742859</v>
      </c>
      <c r="G65" s="300">
        <f t="shared" si="13"/>
        <v>1687.8030818219406</v>
      </c>
      <c r="H65" s="300">
        <f t="shared" si="13"/>
        <v>1661.0550960683067</v>
      </c>
      <c r="I65" s="300">
        <f t="shared" si="13"/>
        <v>1642.2254758751792</v>
      </c>
      <c r="J65" s="300">
        <f t="shared" si="13"/>
        <v>1632.0224428061915</v>
      </c>
      <c r="K65" s="300">
        <f t="shared" si="13"/>
        <v>1623.9708694191361</v>
      </c>
      <c r="L65" s="300">
        <f t="shared" si="14"/>
        <v>1617.8115219812985</v>
      </c>
      <c r="M65" s="300">
        <f t="shared" si="15"/>
        <v>1613.0339563843443</v>
      </c>
      <c r="N65" s="300">
        <f t="shared" si="16"/>
        <v>1609.9174822305056</v>
      </c>
    </row>
    <row r="66" spans="1:14">
      <c r="B66" s="331" t="str">
        <f t="shared" si="9"/>
        <v>55-59</v>
      </c>
      <c r="C66" s="300">
        <f t="shared" si="11"/>
        <v>1068.0997495048923</v>
      </c>
      <c r="D66" s="300">
        <f t="shared" si="13"/>
        <v>1002.5188493217205</v>
      </c>
      <c r="E66" s="300">
        <f t="shared" si="13"/>
        <v>952.63207486168858</v>
      </c>
      <c r="F66" s="300">
        <f t="shared" si="13"/>
        <v>917.34585637122439</v>
      </c>
      <c r="G66" s="300">
        <f t="shared" si="13"/>
        <v>886.43059261424582</v>
      </c>
      <c r="H66" s="300">
        <f t="shared" si="13"/>
        <v>863.03430913021361</v>
      </c>
      <c r="I66" s="300">
        <f t="shared" si="13"/>
        <v>845.46742278506349</v>
      </c>
      <c r="J66" s="300">
        <f t="shared" si="13"/>
        <v>833.51158750858724</v>
      </c>
      <c r="K66" s="300">
        <f t="shared" si="13"/>
        <v>822.63093842157605</v>
      </c>
      <c r="L66" s="300">
        <f t="shared" si="14"/>
        <v>812.96367003720184</v>
      </c>
      <c r="M66" s="300">
        <f t="shared" si="15"/>
        <v>804.42981041781718</v>
      </c>
      <c r="N66" s="300">
        <f t="shared" si="16"/>
        <v>797.41221409056379</v>
      </c>
    </row>
    <row r="67" spans="1:14">
      <c r="B67" s="331" t="str">
        <f t="shared" si="9"/>
        <v>60-64</v>
      </c>
      <c r="C67" s="300">
        <f t="shared" si="11"/>
        <v>361.76665592119355</v>
      </c>
      <c r="D67" s="300">
        <f t="shared" si="13"/>
        <v>360.62507072832204</v>
      </c>
      <c r="E67" s="300">
        <f t="shared" si="13"/>
        <v>349.12567989106174</v>
      </c>
      <c r="F67" s="300">
        <f t="shared" si="13"/>
        <v>337.57977690373207</v>
      </c>
      <c r="G67" s="300">
        <f t="shared" si="13"/>
        <v>325.09369722211886</v>
      </c>
      <c r="H67" s="300">
        <f t="shared" si="13"/>
        <v>315.11622694284137</v>
      </c>
      <c r="I67" s="300">
        <f t="shared" si="13"/>
        <v>307.38758300865038</v>
      </c>
      <c r="J67" s="300">
        <f t="shared" si="13"/>
        <v>301.99812268872773</v>
      </c>
      <c r="K67" s="300">
        <f t="shared" si="13"/>
        <v>296.66540745210034</v>
      </c>
      <c r="L67" s="300">
        <f t="shared" si="14"/>
        <v>291.62141192826198</v>
      </c>
      <c r="M67" s="300">
        <f t="shared" si="15"/>
        <v>286.93743623317789</v>
      </c>
      <c r="N67" s="300">
        <f t="shared" si="16"/>
        <v>282.89826228428439</v>
      </c>
    </row>
    <row r="68" spans="1:14">
      <c r="B68" s="331" t="str">
        <f t="shared" si="9"/>
        <v>65 plus</v>
      </c>
      <c r="C68" s="300">
        <f t="shared" si="11"/>
        <v>63.454183488820199</v>
      </c>
      <c r="D68" s="300">
        <f t="shared" si="13"/>
        <v>100.71215489139861</v>
      </c>
      <c r="E68" s="300">
        <f t="shared" si="13"/>
        <v>123.90983941688501</v>
      </c>
      <c r="F68" s="300">
        <f t="shared" si="13"/>
        <v>137.54439424688334</v>
      </c>
      <c r="G68" s="300">
        <f t="shared" si="13"/>
        <v>144.13198876188238</v>
      </c>
      <c r="H68" s="300">
        <f t="shared" si="13"/>
        <v>146.84298314832779</v>
      </c>
      <c r="I68" s="300">
        <f t="shared" si="13"/>
        <v>147.3842267782336</v>
      </c>
      <c r="J68" s="300">
        <f t="shared" si="13"/>
        <v>146.95546079327963</v>
      </c>
      <c r="K68" s="300">
        <f t="shared" si="13"/>
        <v>145.65053679360875</v>
      </c>
      <c r="L68" s="300">
        <f t="shared" si="14"/>
        <v>143.82451153079214</v>
      </c>
      <c r="M68" s="300">
        <f t="shared" si="15"/>
        <v>141.71761099871341</v>
      </c>
      <c r="N68" s="300">
        <f t="shared" si="16"/>
        <v>139.5721426992888</v>
      </c>
    </row>
    <row r="69" spans="1:14">
      <c r="B69" s="331" t="str">
        <f t="shared" si="9"/>
        <v>Total</v>
      </c>
      <c r="C69" s="300">
        <f t="shared" si="11"/>
        <v>16311.328621354438</v>
      </c>
      <c r="D69" s="300">
        <f t="shared" si="13"/>
        <v>16850.802157952148</v>
      </c>
      <c r="E69" s="300">
        <f t="shared" si="13"/>
        <v>17173.695411097222</v>
      </c>
      <c r="F69" s="300">
        <f t="shared" si="13"/>
        <v>17503.582899189689</v>
      </c>
      <c r="G69" s="300">
        <f t="shared" si="13"/>
        <v>17669.656906175158</v>
      </c>
      <c r="H69" s="300">
        <f t="shared" si="13"/>
        <v>17840.89290530387</v>
      </c>
      <c r="I69" s="300">
        <f t="shared" si="13"/>
        <v>18017.684673632277</v>
      </c>
      <c r="J69" s="300">
        <f t="shared" si="13"/>
        <v>18226.621332108141</v>
      </c>
      <c r="K69" s="300">
        <f t="shared" si="13"/>
        <v>18351.056470761199</v>
      </c>
      <c r="L69" s="300">
        <f t="shared" si="14"/>
        <v>18408.187864531697</v>
      </c>
      <c r="M69" s="300">
        <f t="shared" si="15"/>
        <v>18408.979043986761</v>
      </c>
      <c r="N69" s="300">
        <f t="shared" si="16"/>
        <v>18378.674899619902</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570.11032535667982</v>
      </c>
      <c r="D77" s="447">
        <f>D43-(0.2*D43)</f>
        <v>826.50775696791857</v>
      </c>
      <c r="E77" s="447">
        <f t="shared" ref="E77:N77" si="20">E43-(0.2*E43)</f>
        <v>971.43979541263855</v>
      </c>
      <c r="F77" s="447">
        <f t="shared" si="20"/>
        <v>1072.7462996911756</v>
      </c>
      <c r="G77" s="447">
        <f t="shared" si="20"/>
        <v>1121.823897155818</v>
      </c>
      <c r="H77" s="447">
        <f t="shared" si="20"/>
        <v>1156.4619674535049</v>
      </c>
      <c r="I77" s="447">
        <f t="shared" si="20"/>
        <v>1181.9939585324923</v>
      </c>
      <c r="J77" s="447">
        <f t="shared" si="20"/>
        <v>1206.604879944701</v>
      </c>
      <c r="K77" s="447">
        <f t="shared" si="20"/>
        <v>1210.8434794021807</v>
      </c>
      <c r="L77" s="447">
        <f t="shared" si="20"/>
        <v>1203.074065836621</v>
      </c>
      <c r="M77" s="447">
        <f t="shared" si="20"/>
        <v>1188.0949012885562</v>
      </c>
      <c r="N77" s="447">
        <f t="shared" si="20"/>
        <v>1171.8424882454051</v>
      </c>
    </row>
    <row r="78" spans="1:14">
      <c r="B78" s="331" t="str">
        <f t="shared" si="18"/>
        <v>25-29</v>
      </c>
      <c r="C78" s="447">
        <f t="shared" ref="C78:C85" si="21">C44+(0.2*C43)-(0.2*C44)</f>
        <v>1878.8659114968314</v>
      </c>
      <c r="D78" s="447">
        <f t="shared" ref="D78:N78" si="22">D44+(0.2*D43)-(0.2*D44)</f>
        <v>1974.4661676123126</v>
      </c>
      <c r="E78" s="447">
        <f t="shared" si="22"/>
        <v>2057.2527990717035</v>
      </c>
      <c r="F78" s="447">
        <f t="shared" si="22"/>
        <v>2143.8426629080477</v>
      </c>
      <c r="G78" s="447">
        <f t="shared" si="22"/>
        <v>2200.056676299022</v>
      </c>
      <c r="H78" s="447">
        <f t="shared" si="22"/>
        <v>2250.3690797051381</v>
      </c>
      <c r="I78" s="447">
        <f t="shared" si="22"/>
        <v>2294.6607466434007</v>
      </c>
      <c r="J78" s="447">
        <f t="shared" si="22"/>
        <v>2339.6826914164558</v>
      </c>
      <c r="K78" s="447">
        <f t="shared" si="22"/>
        <v>2359.9401922473962</v>
      </c>
      <c r="L78" s="447">
        <f t="shared" si="22"/>
        <v>2361.330014758677</v>
      </c>
      <c r="M78" s="447">
        <f t="shared" si="22"/>
        <v>2348.4588224064642</v>
      </c>
      <c r="N78" s="447">
        <f t="shared" si="22"/>
        <v>2328.8671467860777</v>
      </c>
    </row>
    <row r="79" spans="1:14">
      <c r="B79" s="331" t="str">
        <f t="shared" si="18"/>
        <v>30-34</v>
      </c>
      <c r="C79" s="447">
        <f t="shared" si="21"/>
        <v>2189.7542057938635</v>
      </c>
      <c r="D79" s="447">
        <f t="shared" ref="D79:N79" si="23">D45+(0.2*D44)-(0.2*D45)</f>
        <v>2259.3364282742195</v>
      </c>
      <c r="E79" s="447">
        <f t="shared" si="23"/>
        <v>2313.9261940131119</v>
      </c>
      <c r="F79" s="447">
        <f t="shared" si="23"/>
        <v>2368.3293552862428</v>
      </c>
      <c r="G79" s="447">
        <f t="shared" si="23"/>
        <v>2411.9383854286557</v>
      </c>
      <c r="H79" s="447">
        <f t="shared" si="23"/>
        <v>2455.2735747209954</v>
      </c>
      <c r="I79" s="447">
        <f t="shared" si="23"/>
        <v>2497.6541535349525</v>
      </c>
      <c r="J79" s="447">
        <f t="shared" si="23"/>
        <v>2542.1398056184512</v>
      </c>
      <c r="K79" s="447">
        <f t="shared" si="23"/>
        <v>2573.2138835805408</v>
      </c>
      <c r="L79" s="447">
        <f t="shared" si="23"/>
        <v>2591.2632077543858</v>
      </c>
      <c r="M79" s="447">
        <f t="shared" si="23"/>
        <v>2597.0743881367757</v>
      </c>
      <c r="N79" s="447">
        <f t="shared" si="23"/>
        <v>2594.148355639481</v>
      </c>
    </row>
    <row r="80" spans="1:14">
      <c r="B80" s="331" t="str">
        <f t="shared" si="18"/>
        <v>35-39</v>
      </c>
      <c r="C80" s="447">
        <f t="shared" si="21"/>
        <v>2089.4374682560215</v>
      </c>
      <c r="D80" s="447">
        <f t="shared" ref="D80:N80" si="24">D46+(0.2*D45)-(0.2*D46)</f>
        <v>2144.8464676313693</v>
      </c>
      <c r="E80" s="447">
        <f t="shared" si="24"/>
        <v>2191.3370921274218</v>
      </c>
      <c r="F80" s="447">
        <f t="shared" si="24"/>
        <v>2233.4917564157063</v>
      </c>
      <c r="G80" s="447">
        <f t="shared" si="24"/>
        <v>2267.77189083555</v>
      </c>
      <c r="H80" s="447">
        <f t="shared" si="24"/>
        <v>2301.902784231097</v>
      </c>
      <c r="I80" s="447">
        <f t="shared" si="24"/>
        <v>2336.054728502731</v>
      </c>
      <c r="J80" s="447">
        <f t="shared" si="24"/>
        <v>2372.5948654905815</v>
      </c>
      <c r="K80" s="447">
        <f t="shared" si="24"/>
        <v>2401.2807907455776</v>
      </c>
      <c r="L80" s="447">
        <f t="shared" si="24"/>
        <v>2422.4893187973134</v>
      </c>
      <c r="M80" s="447">
        <f t="shared" si="24"/>
        <v>2436.2206488387706</v>
      </c>
      <c r="N80" s="447">
        <f t="shared" si="24"/>
        <v>2444.0267735276052</v>
      </c>
    </row>
    <row r="81" spans="1:15">
      <c r="B81" s="331" t="str">
        <f t="shared" si="18"/>
        <v>40-44</v>
      </c>
      <c r="C81" s="447">
        <f t="shared" si="21"/>
        <v>1971.8118984518801</v>
      </c>
      <c r="D81" s="447">
        <f t="shared" ref="D81:N81" si="25">D47+(0.2*D46)-(0.2*D47)</f>
        <v>2018.6615982730866</v>
      </c>
      <c r="E81" s="447">
        <f t="shared" si="25"/>
        <v>2057.994465022417</v>
      </c>
      <c r="F81" s="447">
        <f t="shared" si="25"/>
        <v>2093.9073388069023</v>
      </c>
      <c r="G81" s="447">
        <f t="shared" si="25"/>
        <v>2122.855610525668</v>
      </c>
      <c r="H81" s="447">
        <f t="shared" si="25"/>
        <v>2151.4353206289516</v>
      </c>
      <c r="I81" s="447">
        <f t="shared" si="25"/>
        <v>2179.8657295849416</v>
      </c>
      <c r="J81" s="447">
        <f t="shared" si="25"/>
        <v>2210.3050388264355</v>
      </c>
      <c r="K81" s="447">
        <f t="shared" si="25"/>
        <v>2234.3712712100187</v>
      </c>
      <c r="L81" s="447">
        <f t="shared" si="25"/>
        <v>2252.8805668343148</v>
      </c>
      <c r="M81" s="447">
        <f t="shared" si="25"/>
        <v>2266.2159376280597</v>
      </c>
      <c r="N81" s="447">
        <f t="shared" si="25"/>
        <v>2275.8296436109913</v>
      </c>
    </row>
    <row r="82" spans="1:15">
      <c r="B82" s="331" t="str">
        <f t="shared" si="18"/>
        <v>45-49</v>
      </c>
      <c r="C82" s="447">
        <f t="shared" si="21"/>
        <v>2001.2824991836574</v>
      </c>
      <c r="D82" s="447">
        <f t="shared" ref="D82:N82" si="26">D48+(0.2*D47)-(0.2*D48)</f>
        <v>1953.8319441733156</v>
      </c>
      <c r="E82" s="447">
        <f t="shared" si="26"/>
        <v>1926.0397935068008</v>
      </c>
      <c r="F82" s="447">
        <f t="shared" si="26"/>
        <v>1910.2806657252727</v>
      </c>
      <c r="G82" s="447">
        <f t="shared" si="26"/>
        <v>1902.234262855525</v>
      </c>
      <c r="H82" s="447">
        <f t="shared" si="26"/>
        <v>1902.6241388449453</v>
      </c>
      <c r="I82" s="447">
        <f t="shared" si="26"/>
        <v>1909.1336039776954</v>
      </c>
      <c r="J82" s="447">
        <f t="shared" si="26"/>
        <v>1921.7455235604957</v>
      </c>
      <c r="K82" s="447">
        <f t="shared" si="26"/>
        <v>1932.3361740686962</v>
      </c>
      <c r="L82" s="447">
        <f t="shared" si="26"/>
        <v>1940.7611611503448</v>
      </c>
      <c r="M82" s="447">
        <f t="shared" si="26"/>
        <v>1946.8327597380492</v>
      </c>
      <c r="N82" s="447">
        <f t="shared" si="26"/>
        <v>1951.4439019252432</v>
      </c>
    </row>
    <row r="83" spans="1:15">
      <c r="B83" s="331" t="str">
        <f t="shared" si="18"/>
        <v>50-54</v>
      </c>
      <c r="C83" s="447">
        <f t="shared" si="21"/>
        <v>1629.7811878142077</v>
      </c>
      <c r="D83" s="447">
        <f t="shared" ref="D83:N83" si="27">D49+(0.2*D48)-(0.2*D49)</f>
        <v>1607.3471207000148</v>
      </c>
      <c r="E83" s="447">
        <f t="shared" si="27"/>
        <v>1582.51117640486</v>
      </c>
      <c r="F83" s="447">
        <f t="shared" si="27"/>
        <v>1556.9762788642722</v>
      </c>
      <c r="G83" s="447">
        <f t="shared" si="27"/>
        <v>1534.3836489588066</v>
      </c>
      <c r="H83" s="447">
        <f t="shared" si="27"/>
        <v>1517.8744066954773</v>
      </c>
      <c r="I83" s="447">
        <f t="shared" si="27"/>
        <v>1507.2028170350541</v>
      </c>
      <c r="J83" s="447">
        <f t="shared" si="27"/>
        <v>1502.9980664589493</v>
      </c>
      <c r="K83" s="447">
        <f t="shared" si="27"/>
        <v>1499.258690238581</v>
      </c>
      <c r="L83" s="447">
        <f t="shared" si="27"/>
        <v>1495.8273741720961</v>
      </c>
      <c r="M83" s="447">
        <f t="shared" si="27"/>
        <v>1492.3917775520069</v>
      </c>
      <c r="N83" s="447">
        <f t="shared" si="27"/>
        <v>1489.4252418919218</v>
      </c>
    </row>
    <row r="84" spans="1:15">
      <c r="B84" s="331" t="str">
        <f t="shared" si="18"/>
        <v>55-59</v>
      </c>
      <c r="C84" s="447">
        <f t="shared" si="21"/>
        <v>1099.5184014707829</v>
      </c>
      <c r="D84" s="447">
        <f t="shared" ref="D84:N84" si="28">D50+(0.2*D49)-(0.2*D50)</f>
        <v>1003.6310520383581</v>
      </c>
      <c r="E84" s="447">
        <f t="shared" si="28"/>
        <v>942.41379447546603</v>
      </c>
      <c r="F84" s="447">
        <f t="shared" si="28"/>
        <v>900.98542121298556</v>
      </c>
      <c r="G84" s="447">
        <f t="shared" si="28"/>
        <v>870.48679670113302</v>
      </c>
      <c r="H84" s="447">
        <f t="shared" si="28"/>
        <v>849.15519073608448</v>
      </c>
      <c r="I84" s="447">
        <f t="shared" si="28"/>
        <v>834.30405440020297</v>
      </c>
      <c r="J84" s="447">
        <f t="shared" si="28"/>
        <v>825.13633142722563</v>
      </c>
      <c r="K84" s="447">
        <f t="shared" si="28"/>
        <v>816.97342164329393</v>
      </c>
      <c r="L84" s="447">
        <f t="shared" si="28"/>
        <v>809.71264038370816</v>
      </c>
      <c r="M84" s="447">
        <f t="shared" si="28"/>
        <v>803.14771591171348</v>
      </c>
      <c r="N84" s="447">
        <f t="shared" si="28"/>
        <v>797.59005903741115</v>
      </c>
    </row>
    <row r="85" spans="1:15">
      <c r="B85" s="331" t="str">
        <f t="shared" si="18"/>
        <v>60-64</v>
      </c>
      <c r="C85" s="447">
        <f t="shared" si="21"/>
        <v>503.30911021158977</v>
      </c>
      <c r="D85" s="447">
        <f t="shared" ref="D85:N85" si="29">D51+(0.2*D50)-(0.2*D51)</f>
        <v>451.49995470451944</v>
      </c>
      <c r="E85" s="447">
        <f t="shared" si="29"/>
        <v>411.00640169394165</v>
      </c>
      <c r="F85" s="447">
        <f t="shared" si="29"/>
        <v>381.66006027716395</v>
      </c>
      <c r="G85" s="447">
        <f t="shared" si="29"/>
        <v>359.96345533091448</v>
      </c>
      <c r="H85" s="447">
        <f t="shared" si="29"/>
        <v>345.04115197607439</v>
      </c>
      <c r="I85" s="447">
        <f t="shared" si="29"/>
        <v>334.83394281349251</v>
      </c>
      <c r="J85" s="447">
        <f t="shared" si="29"/>
        <v>328.38148903864294</v>
      </c>
      <c r="K85" s="447">
        <f t="shared" si="29"/>
        <v>322.7235026695447</v>
      </c>
      <c r="L85" s="447">
        <f t="shared" si="29"/>
        <v>317.73233498825294</v>
      </c>
      <c r="M85" s="447">
        <f t="shared" si="29"/>
        <v>313.26482708181385</v>
      </c>
      <c r="N85" s="447">
        <f t="shared" si="29"/>
        <v>309.48693203450887</v>
      </c>
    </row>
    <row r="86" spans="1:15">
      <c r="B86" s="331" t="str">
        <f t="shared" si="18"/>
        <v>65 plus</v>
      </c>
      <c r="C86" s="447">
        <f>C52+(0.2*C51)</f>
        <v>162.2969309307409</v>
      </c>
      <c r="D86" s="447">
        <f t="shared" ref="D86:N86" si="30">D52+(0.2*D51)</f>
        <v>173.06534058252646</v>
      </c>
      <c r="E86" s="447">
        <f t="shared" si="30"/>
        <v>172.78745764103923</v>
      </c>
      <c r="F86" s="447">
        <f t="shared" si="30"/>
        <v>167.08513425363023</v>
      </c>
      <c r="G86" s="447">
        <f t="shared" si="30"/>
        <v>159.89900759949387</v>
      </c>
      <c r="H86" s="447">
        <f t="shared" si="30"/>
        <v>153.19357016735842</v>
      </c>
      <c r="I86" s="447">
        <f t="shared" si="30"/>
        <v>147.61387311498251</v>
      </c>
      <c r="J86" s="447">
        <f t="shared" si="30"/>
        <v>143.46505632196914</v>
      </c>
      <c r="K86" s="447">
        <f t="shared" si="30"/>
        <v>139.8078652366525</v>
      </c>
      <c r="L86" s="447">
        <f t="shared" si="30"/>
        <v>136.58501580029525</v>
      </c>
      <c r="M86" s="447">
        <f t="shared" si="30"/>
        <v>133.72044550691791</v>
      </c>
      <c r="N86" s="447">
        <f t="shared" si="30"/>
        <v>131.26489464536121</v>
      </c>
    </row>
    <row r="87" spans="1:15">
      <c r="B87" s="331" t="str">
        <f t="shared" si="18"/>
        <v>Total</v>
      </c>
      <c r="C87" s="447">
        <f>SUM(C77:C86)</f>
        <v>14096.167938966255</v>
      </c>
      <c r="D87" s="447">
        <f t="shared" ref="D87:N87" si="31">SUM(D77:D86)</f>
        <v>14413.19383095764</v>
      </c>
      <c r="E87" s="447">
        <f t="shared" si="31"/>
        <v>14626.7089693694</v>
      </c>
      <c r="F87" s="447">
        <f t="shared" si="31"/>
        <v>14829.304973441398</v>
      </c>
      <c r="G87" s="447">
        <f t="shared" si="31"/>
        <v>14951.413631690586</v>
      </c>
      <c r="H87" s="447">
        <f t="shared" si="31"/>
        <v>15083.331185159626</v>
      </c>
      <c r="I87" s="447">
        <f t="shared" si="31"/>
        <v>15223.317608139949</v>
      </c>
      <c r="J87" s="447">
        <f t="shared" si="31"/>
        <v>15393.053748103906</v>
      </c>
      <c r="K87" s="447">
        <f t="shared" si="31"/>
        <v>15490.749271042483</v>
      </c>
      <c r="L87" s="447">
        <f t="shared" si="31"/>
        <v>15531.655700476012</v>
      </c>
      <c r="M87" s="447">
        <f t="shared" si="31"/>
        <v>15525.422224089129</v>
      </c>
      <c r="N87" s="447">
        <f t="shared" si="31"/>
        <v>15493.925437344005</v>
      </c>
    </row>
    <row r="88" spans="1:15">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5">
      <c r="B90" s="334" t="s">
        <v>47</v>
      </c>
      <c r="H90" s="318"/>
    </row>
    <row r="91" spans="1:15">
      <c r="H91" s="318"/>
    </row>
    <row r="92" spans="1:15">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5">
      <c r="B93" s="331" t="str">
        <f t="shared" si="33"/>
        <v>20-24</v>
      </c>
      <c r="C93" s="447">
        <f>C59-(0.2*C59)</f>
        <v>940.69571860301619</v>
      </c>
      <c r="D93" s="447">
        <f t="shared" ref="D93:N93" si="35">D59-(0.2*D59)</f>
        <v>1169.0746121766563</v>
      </c>
      <c r="E93" s="447">
        <f t="shared" si="35"/>
        <v>1293.5849243096441</v>
      </c>
      <c r="F93" s="447">
        <f t="shared" si="35"/>
        <v>1389.0257606794246</v>
      </c>
      <c r="G93" s="447">
        <f t="shared" si="35"/>
        <v>1428.778989496378</v>
      </c>
      <c r="H93" s="447">
        <f t="shared" si="35"/>
        <v>1458.6664378749167</v>
      </c>
      <c r="I93" s="447">
        <f t="shared" si="35"/>
        <v>1482.2600468139794</v>
      </c>
      <c r="J93" s="447">
        <f t="shared" si="35"/>
        <v>1507.4147510354585</v>
      </c>
      <c r="K93" s="447">
        <f t="shared" si="35"/>
        <v>1510.7550915876661</v>
      </c>
      <c r="L93" s="447">
        <f t="shared" si="35"/>
        <v>1500.8211685115896</v>
      </c>
      <c r="M93" s="447">
        <f t="shared" si="35"/>
        <v>1482.6274837017522</v>
      </c>
      <c r="N93" s="447">
        <f t="shared" si="35"/>
        <v>1462.813360591977</v>
      </c>
      <c r="O93" s="320"/>
    </row>
    <row r="94" spans="1:15">
      <c r="B94" s="331" t="str">
        <f t="shared" si="33"/>
        <v>25-29</v>
      </c>
      <c r="C94" s="447">
        <f t="shared" ref="C94:C101" si="36">C60+(0.2*C59)-(0.2*C60)</f>
        <v>2683.0496245707927</v>
      </c>
      <c r="D94" s="447">
        <f t="shared" ref="D94:N94" si="37">D60+(0.2*D59)-(0.2*D60)</f>
        <v>2726.4832705875538</v>
      </c>
      <c r="E94" s="447">
        <f t="shared" si="37"/>
        <v>2755.4716847957484</v>
      </c>
      <c r="F94" s="447">
        <f t="shared" si="37"/>
        <v>2808.7125808149731</v>
      </c>
      <c r="G94" s="447">
        <f t="shared" si="37"/>
        <v>2829.154502352505</v>
      </c>
      <c r="H94" s="447">
        <f t="shared" si="37"/>
        <v>2853.9448453299683</v>
      </c>
      <c r="I94" s="447">
        <f t="shared" si="37"/>
        <v>2880.6427962558419</v>
      </c>
      <c r="J94" s="447">
        <f t="shared" si="37"/>
        <v>2915.0339338343156</v>
      </c>
      <c r="K94" s="447">
        <f t="shared" si="37"/>
        <v>2926.0362766300677</v>
      </c>
      <c r="L94" s="447">
        <f t="shared" si="37"/>
        <v>2918.8399679057948</v>
      </c>
      <c r="M94" s="447">
        <f t="shared" si="37"/>
        <v>2897.5459509659886</v>
      </c>
      <c r="N94" s="447">
        <f t="shared" si="37"/>
        <v>2869.9992162181879</v>
      </c>
      <c r="O94" s="320"/>
    </row>
    <row r="95" spans="1:15">
      <c r="B95" s="331" t="str">
        <f t="shared" si="33"/>
        <v>30-34</v>
      </c>
      <c r="C95" s="447">
        <f t="shared" si="36"/>
        <v>2395.5653486172632</v>
      </c>
      <c r="D95" s="447">
        <f t="shared" ref="D95:N95" si="38">D61+(0.2*D60)-(0.2*D61)</f>
        <v>2612.4335103852568</v>
      </c>
      <c r="E95" s="447">
        <f t="shared" si="38"/>
        <v>2752.5101000633172</v>
      </c>
      <c r="F95" s="447">
        <f t="shared" si="38"/>
        <v>2864.4889304969706</v>
      </c>
      <c r="G95" s="447">
        <f t="shared" si="38"/>
        <v>2933.6009000878721</v>
      </c>
      <c r="H95" s="447">
        <f t="shared" si="38"/>
        <v>2989.3250947101433</v>
      </c>
      <c r="I95" s="447">
        <f t="shared" si="38"/>
        <v>3036.4542071968785</v>
      </c>
      <c r="J95" s="447">
        <f t="shared" si="38"/>
        <v>3082.1583543650981</v>
      </c>
      <c r="K95" s="447">
        <f t="shared" si="38"/>
        <v>3110.7518152010612</v>
      </c>
      <c r="L95" s="447">
        <f t="shared" si="38"/>
        <v>3124.0479404021085</v>
      </c>
      <c r="M95" s="447">
        <f t="shared" si="38"/>
        <v>3123.6684628978542</v>
      </c>
      <c r="N95" s="447">
        <f t="shared" si="38"/>
        <v>3113.96966082582</v>
      </c>
      <c r="O95" s="320"/>
    </row>
    <row r="96" spans="1:15">
      <c r="B96" s="331" t="str">
        <f t="shared" si="33"/>
        <v>35-39</v>
      </c>
      <c r="C96" s="447">
        <f t="shared" si="36"/>
        <v>2223.8163986890104</v>
      </c>
      <c r="D96" s="447">
        <f t="shared" ref="D96:N96" si="39">D62+(0.2*D61)-(0.2*D62)</f>
        <v>2323.9236194563523</v>
      </c>
      <c r="E96" s="447">
        <f t="shared" si="39"/>
        <v>2419.7009246212888</v>
      </c>
      <c r="F96" s="447">
        <f t="shared" si="39"/>
        <v>2517.8615407936136</v>
      </c>
      <c r="G96" s="447">
        <f t="shared" si="39"/>
        <v>2595.005422542099</v>
      </c>
      <c r="H96" s="447">
        <f t="shared" si="39"/>
        <v>2665.0970818323785</v>
      </c>
      <c r="I96" s="447">
        <f t="shared" si="39"/>
        <v>2727.8440377622123</v>
      </c>
      <c r="J96" s="447">
        <f t="shared" si="39"/>
        <v>2786.6377970479707</v>
      </c>
      <c r="K96" s="447">
        <f t="shared" si="39"/>
        <v>2830.7532187631982</v>
      </c>
      <c r="L96" s="447">
        <f t="shared" si="39"/>
        <v>2861.8752632838073</v>
      </c>
      <c r="M96" s="447">
        <f t="shared" si="39"/>
        <v>2881.159573535298</v>
      </c>
      <c r="N96" s="447">
        <f t="shared" si="39"/>
        <v>2891.3708791468143</v>
      </c>
      <c r="O96" s="320"/>
    </row>
    <row r="97" spans="1:15">
      <c r="B97" s="331" t="str">
        <f t="shared" si="33"/>
        <v>40-44</v>
      </c>
      <c r="C97" s="447">
        <f t="shared" si="36"/>
        <v>2143.2904135029867</v>
      </c>
      <c r="D97" s="447">
        <f t="shared" ref="D97:N97" si="40">D63+(0.2*D62)-(0.2*D63)</f>
        <v>2192.781227509055</v>
      </c>
      <c r="E97" s="447">
        <f t="shared" si="40"/>
        <v>2233.3118317508242</v>
      </c>
      <c r="F97" s="447">
        <f t="shared" si="40"/>
        <v>2282.5541760593505</v>
      </c>
      <c r="G97" s="447">
        <f t="shared" si="40"/>
        <v>2324.0370613192667</v>
      </c>
      <c r="H97" s="447">
        <f t="shared" si="40"/>
        <v>2369.4958151274341</v>
      </c>
      <c r="I97" s="447">
        <f t="shared" si="40"/>
        <v>2416.7396370461106</v>
      </c>
      <c r="J97" s="447">
        <f t="shared" si="40"/>
        <v>2466.3942987426685</v>
      </c>
      <c r="K97" s="447">
        <f t="shared" si="40"/>
        <v>2507.4974960077548</v>
      </c>
      <c r="L97" s="447">
        <f t="shared" si="40"/>
        <v>2540.3508607866747</v>
      </c>
      <c r="M97" s="447">
        <f t="shared" si="40"/>
        <v>2565.1497088855353</v>
      </c>
      <c r="N97" s="447">
        <f t="shared" si="40"/>
        <v>2583.6009664551361</v>
      </c>
      <c r="O97" s="320"/>
    </row>
    <row r="98" spans="1:15">
      <c r="B98" s="331" t="str">
        <f t="shared" si="33"/>
        <v>45-49</v>
      </c>
      <c r="C98" s="447">
        <f t="shared" si="36"/>
        <v>2165.3968645032628</v>
      </c>
      <c r="D98" s="447">
        <f t="shared" ref="D98:N98" si="41">D64+(0.2*D63)-(0.2*D64)</f>
        <v>2138.985252184058</v>
      </c>
      <c r="E98" s="447">
        <f t="shared" si="41"/>
        <v>2117.3213277358605</v>
      </c>
      <c r="F98" s="447">
        <f t="shared" si="41"/>
        <v>2110.1882961603578</v>
      </c>
      <c r="G98" s="447">
        <f t="shared" si="41"/>
        <v>2103.4971055038677</v>
      </c>
      <c r="H98" s="447">
        <f t="shared" si="41"/>
        <v>2107.2099816441419</v>
      </c>
      <c r="I98" s="447">
        <f t="shared" si="41"/>
        <v>2119.2902445966865</v>
      </c>
      <c r="J98" s="447">
        <f t="shared" si="41"/>
        <v>2139.7312006428547</v>
      </c>
      <c r="K98" s="447">
        <f t="shared" si="41"/>
        <v>2158.7965188890853</v>
      </c>
      <c r="L98" s="447">
        <f t="shared" si="41"/>
        <v>2175.8447760029258</v>
      </c>
      <c r="M98" s="447">
        <f t="shared" si="41"/>
        <v>2190.197562600888</v>
      </c>
      <c r="N98" s="447">
        <f t="shared" si="41"/>
        <v>2202.5091584321785</v>
      </c>
      <c r="O98" s="320"/>
    </row>
    <row r="99" spans="1:15">
      <c r="B99" s="331" t="str">
        <f t="shared" si="33"/>
        <v>50-54</v>
      </c>
      <c r="C99" s="447">
        <f t="shared" si="36"/>
        <v>1899.9896357578939</v>
      </c>
      <c r="D99" s="447">
        <f t="shared" ref="D99:N99" si="42">D65+(0.2*D64)-(0.2*D65)</f>
        <v>1863.8479000080597</v>
      </c>
      <c r="E99" s="447">
        <f t="shared" si="42"/>
        <v>1824.7374690214483</v>
      </c>
      <c r="F99" s="447">
        <f t="shared" si="42"/>
        <v>1793.7139454283038</v>
      </c>
      <c r="G99" s="447">
        <f t="shared" si="42"/>
        <v>1762.3660299105384</v>
      </c>
      <c r="H99" s="447">
        <f t="shared" si="42"/>
        <v>1739.9491103498437</v>
      </c>
      <c r="I99" s="447">
        <f t="shared" si="42"/>
        <v>1725.7693762135818</v>
      </c>
      <c r="J99" s="447">
        <f t="shared" si="42"/>
        <v>1720.3813368879439</v>
      </c>
      <c r="K99" s="447">
        <f t="shared" si="42"/>
        <v>1716.7249971312558</v>
      </c>
      <c r="L99" s="447">
        <f t="shared" si="42"/>
        <v>1714.4359897462814</v>
      </c>
      <c r="M99" s="447">
        <f t="shared" si="42"/>
        <v>1712.9386524728729</v>
      </c>
      <c r="N99" s="447">
        <f t="shared" si="42"/>
        <v>1712.545542429546</v>
      </c>
      <c r="O99" s="320"/>
    </row>
    <row r="100" spans="1:15">
      <c r="B100" s="331" t="str">
        <f t="shared" si="33"/>
        <v>55-59</v>
      </c>
      <c r="C100" s="447">
        <f t="shared" si="36"/>
        <v>1220.6838277992176</v>
      </c>
      <c r="D100" s="447">
        <f t="shared" ref="D100:N100" si="43">D66+(0.2*D65)-(0.2*D66)</f>
        <v>1161.4317701610898</v>
      </c>
      <c r="E100" s="447">
        <f t="shared" si="43"/>
        <v>1113.4952145188015</v>
      </c>
      <c r="F100" s="447">
        <f t="shared" si="43"/>
        <v>1078.4443263318367</v>
      </c>
      <c r="G100" s="447">
        <f t="shared" si="43"/>
        <v>1046.7050904557848</v>
      </c>
      <c r="H100" s="447">
        <f t="shared" si="43"/>
        <v>1022.6384665178322</v>
      </c>
      <c r="I100" s="447">
        <f t="shared" si="43"/>
        <v>1004.8190334030867</v>
      </c>
      <c r="J100" s="447">
        <f t="shared" si="43"/>
        <v>993.21375856810801</v>
      </c>
      <c r="K100" s="447">
        <f t="shared" si="43"/>
        <v>982.89892462108799</v>
      </c>
      <c r="L100" s="447">
        <f t="shared" si="43"/>
        <v>973.93324042602126</v>
      </c>
      <c r="M100" s="447">
        <f t="shared" si="43"/>
        <v>966.15063961112253</v>
      </c>
      <c r="N100" s="447">
        <f t="shared" si="43"/>
        <v>959.91326771855211</v>
      </c>
      <c r="O100" s="320"/>
    </row>
    <row r="101" spans="1:15">
      <c r="B101" s="331" t="str">
        <f t="shared" si="33"/>
        <v>60-64</v>
      </c>
      <c r="C101" s="447">
        <f t="shared" si="36"/>
        <v>503.03327463793329</v>
      </c>
      <c r="D101" s="447">
        <f t="shared" ref="D101:N101" si="44">D67+(0.2*D66)-(0.2*D67)</f>
        <v>489.00382644700176</v>
      </c>
      <c r="E101" s="447">
        <f t="shared" si="44"/>
        <v>469.82695888518714</v>
      </c>
      <c r="F101" s="447">
        <f t="shared" si="44"/>
        <v>453.53299279723058</v>
      </c>
      <c r="G101" s="447">
        <f t="shared" si="44"/>
        <v>437.36107630054425</v>
      </c>
      <c r="H101" s="447">
        <f t="shared" si="44"/>
        <v>424.69984338031583</v>
      </c>
      <c r="I101" s="447">
        <f t="shared" si="44"/>
        <v>415.00355096393304</v>
      </c>
      <c r="J101" s="447">
        <f t="shared" si="44"/>
        <v>408.30081565269961</v>
      </c>
      <c r="K101" s="447">
        <f t="shared" si="44"/>
        <v>401.85851364599552</v>
      </c>
      <c r="L101" s="447">
        <f t="shared" si="44"/>
        <v>395.88986355004999</v>
      </c>
      <c r="M101" s="447">
        <f t="shared" si="44"/>
        <v>390.4359110701057</v>
      </c>
      <c r="N101" s="447">
        <f t="shared" si="44"/>
        <v>385.80105264554027</v>
      </c>
      <c r="O101" s="320"/>
    </row>
    <row r="102" spans="1:15">
      <c r="B102" s="331" t="str">
        <f t="shared" si="33"/>
        <v>65 plus</v>
      </c>
      <c r="C102" s="447">
        <f>C68+(0.2*C67)</f>
        <v>135.8075146730589</v>
      </c>
      <c r="D102" s="447">
        <f t="shared" ref="D102:N102" si="45">D68+(0.2*D67)</f>
        <v>172.83716903706301</v>
      </c>
      <c r="E102" s="447">
        <f t="shared" si="45"/>
        <v>193.73497539509736</v>
      </c>
      <c r="F102" s="447">
        <f t="shared" si="45"/>
        <v>205.06034962762976</v>
      </c>
      <c r="G102" s="447">
        <f t="shared" si="45"/>
        <v>209.15072820630616</v>
      </c>
      <c r="H102" s="447">
        <f t="shared" si="45"/>
        <v>209.86622853689607</v>
      </c>
      <c r="I102" s="447">
        <f t="shared" si="45"/>
        <v>208.86174337996368</v>
      </c>
      <c r="J102" s="447">
        <f t="shared" si="45"/>
        <v>207.35508533102518</v>
      </c>
      <c r="K102" s="447">
        <f t="shared" si="45"/>
        <v>204.98361828402881</v>
      </c>
      <c r="L102" s="447">
        <f t="shared" si="45"/>
        <v>202.14879391644453</v>
      </c>
      <c r="M102" s="447">
        <f t="shared" si="45"/>
        <v>199.10509824534898</v>
      </c>
      <c r="N102" s="447">
        <f t="shared" si="45"/>
        <v>196.15179515614568</v>
      </c>
      <c r="O102" s="320"/>
    </row>
    <row r="103" spans="1:15">
      <c r="B103" s="331" t="str">
        <f t="shared" si="33"/>
        <v>Total</v>
      </c>
      <c r="C103" s="447">
        <f>SUM(C93:C102)</f>
        <v>16311.328621354436</v>
      </c>
      <c r="D103" s="447">
        <f t="shared" ref="D103:N103" si="46">SUM(D93:D102)</f>
        <v>16850.802157952145</v>
      </c>
      <c r="E103" s="447">
        <f t="shared" si="46"/>
        <v>17173.695411097218</v>
      </c>
      <c r="F103" s="447">
        <f t="shared" si="46"/>
        <v>17503.582899189696</v>
      </c>
      <c r="G103" s="447">
        <f t="shared" si="46"/>
        <v>17669.656906175162</v>
      </c>
      <c r="H103" s="447">
        <f t="shared" si="46"/>
        <v>17840.89290530387</v>
      </c>
      <c r="I103" s="447">
        <f t="shared" si="46"/>
        <v>18017.684673632277</v>
      </c>
      <c r="J103" s="447">
        <f t="shared" si="46"/>
        <v>18226.621332108145</v>
      </c>
      <c r="K103" s="447">
        <f t="shared" si="46"/>
        <v>18351.056470761203</v>
      </c>
      <c r="L103" s="447">
        <f t="shared" si="46"/>
        <v>18408.187864531697</v>
      </c>
      <c r="M103" s="447">
        <f t="shared" si="46"/>
        <v>18408.979043986765</v>
      </c>
      <c r="N103" s="447">
        <f t="shared" si="46"/>
        <v>18378.674899619898</v>
      </c>
      <c r="O103" s="320"/>
    </row>
    <row r="104" spans="1:15">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5" ht="15.75">
      <c r="B106" s="333" t="s">
        <v>164</v>
      </c>
      <c r="H106" s="318"/>
    </row>
    <row r="107" spans="1:15">
      <c r="D107" s="318"/>
      <c r="H107" s="318"/>
    </row>
    <row r="108" spans="1:15">
      <c r="B108" s="334" t="s">
        <v>46</v>
      </c>
      <c r="H108" s="318"/>
    </row>
    <row r="109" spans="1:15">
      <c r="H109" s="318"/>
    </row>
    <row r="110" spans="1:15">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5">
      <c r="B111" s="331" t="str">
        <f t="shared" si="48"/>
        <v>20-24</v>
      </c>
      <c r="C111" s="447">
        <f>C77*Group_1_rates!E74</f>
        <v>105.09564510773897</v>
      </c>
      <c r="D111" s="447">
        <f>D77*Group_1_rates!F74</f>
        <v>146.88257305350203</v>
      </c>
      <c r="E111" s="447">
        <f>E77*Group_1_rates!G74</f>
        <v>179.11777265531126</v>
      </c>
      <c r="F111" s="447">
        <f>F77*Group_1_rates!H74</f>
        <v>194.08290253906216</v>
      </c>
      <c r="G111" s="447">
        <f>G77*Group_1_rates!I74</f>
        <v>202.96209659298117</v>
      </c>
      <c r="H111" s="447">
        <f>H77*Group_1_rates!J74</f>
        <v>209.22886928999489</v>
      </c>
      <c r="I111" s="447">
        <f>I77*Group_1_rates!K74</f>
        <v>213.84815619654293</v>
      </c>
      <c r="J111" s="447">
        <f>J77*Group_1_rates!L74</f>
        <v>218.30080176914225</v>
      </c>
      <c r="K111" s="447">
        <f>K77*Group_1_rates!M74</f>
        <v>219.067655670801</v>
      </c>
      <c r="L111" s="447">
        <f>L77*Group_1_rates!N74</f>
        <v>217.66200147626844</v>
      </c>
      <c r="M111" s="447">
        <f>M77*Group_1_rates!O74</f>
        <v>214.95194809837699</v>
      </c>
      <c r="N111" s="447">
        <f>N77*Group_1_rates!P74</f>
        <v>212.01153665385692</v>
      </c>
    </row>
    <row r="112" spans="1:15">
      <c r="B112" s="331" t="str">
        <f t="shared" si="48"/>
        <v>25-29</v>
      </c>
      <c r="C112" s="447">
        <f>C78*Group_1_rates!E75</f>
        <v>248.82272791073953</v>
      </c>
      <c r="D112" s="447">
        <f>D78*Group_1_rates!F75</f>
        <v>252.0817938909228</v>
      </c>
      <c r="E112" s="447">
        <f>E78*Group_1_rates!G75</f>
        <v>272.50777500572451</v>
      </c>
      <c r="F112" s="447">
        <f>F78*Group_1_rates!H75</f>
        <v>278.64522738455054</v>
      </c>
      <c r="G112" s="447">
        <f>G78*Group_1_rates!I75</f>
        <v>285.95162482431357</v>
      </c>
      <c r="H112" s="447">
        <f>H78*Group_1_rates!J75</f>
        <v>292.49096249583084</v>
      </c>
      <c r="I112" s="447">
        <f>I78*Group_1_rates!K75</f>
        <v>298.24775697463457</v>
      </c>
      <c r="J112" s="447">
        <f>J78*Group_1_rates!L75</f>
        <v>304.09946906882601</v>
      </c>
      <c r="K112" s="447">
        <f>K78*Group_1_rates!M75</f>
        <v>306.73243091016906</v>
      </c>
      <c r="L112" s="447">
        <f>L78*Group_1_rates!N75</f>
        <v>306.91307262253923</v>
      </c>
      <c r="M112" s="447">
        <f>M78*Group_1_rates!O75</f>
        <v>305.24014373566484</v>
      </c>
      <c r="N112" s="447">
        <f>N78*Group_1_rates!P75</f>
        <v>302.69372230160224</v>
      </c>
    </row>
    <row r="113" spans="1:16">
      <c r="B113" s="331" t="str">
        <f t="shared" si="48"/>
        <v>30-34</v>
      </c>
      <c r="C113" s="447">
        <f>C79*Group_1_rates!E76</f>
        <v>205.15429830098478</v>
      </c>
      <c r="D113" s="447">
        <f>D79*Group_1_rates!F76</f>
        <v>204.06272428526617</v>
      </c>
      <c r="E113" s="447">
        <f>E79*Group_1_rates!G76</f>
        <v>216.83617097739204</v>
      </c>
      <c r="F113" s="447">
        <f>F79*Group_1_rates!H76</f>
        <v>217.7668600306383</v>
      </c>
      <c r="G113" s="447">
        <f>G79*Group_1_rates!I76</f>
        <v>221.77669149343623</v>
      </c>
      <c r="H113" s="447">
        <f>H79*Group_1_rates!J76</f>
        <v>225.76134340849288</v>
      </c>
      <c r="I113" s="447">
        <f>I79*Group_1_rates!K76</f>
        <v>229.65821930288507</v>
      </c>
      <c r="J113" s="447">
        <f>J79*Group_1_rates!L76</f>
        <v>233.74865577406925</v>
      </c>
      <c r="K113" s="447">
        <f>K79*Group_1_rates!M76</f>
        <v>236.6059038046472</v>
      </c>
      <c r="L113" s="447">
        <f>L79*Group_1_rates!N76</f>
        <v>238.26553135697225</v>
      </c>
      <c r="M113" s="447">
        <f>M79*Group_1_rates!O76</f>
        <v>238.79986688007847</v>
      </c>
      <c r="N113" s="447">
        <f>N79*Group_1_rates!P76</f>
        <v>238.53081945731981</v>
      </c>
    </row>
    <row r="114" spans="1:16">
      <c r="B114" s="331" t="str">
        <f t="shared" si="48"/>
        <v>35-39</v>
      </c>
      <c r="C114" s="447">
        <f>C80*Group_1_rates!E77</f>
        <v>189.23798675622643</v>
      </c>
      <c r="D114" s="447">
        <f>D80*Group_1_rates!F77</f>
        <v>187.27192510673649</v>
      </c>
      <c r="E114" s="447">
        <f>E80*Group_1_rates!G77</f>
        <v>198.51124201797418</v>
      </c>
      <c r="F114" s="447">
        <f>F80*Group_1_rates!H77</f>
        <v>198.53072762077096</v>
      </c>
      <c r="G114" s="447">
        <f>G80*Group_1_rates!I77</f>
        <v>201.57782193386174</v>
      </c>
      <c r="H114" s="447">
        <f>H80*Group_1_rates!J77</f>
        <v>204.61165050327588</v>
      </c>
      <c r="I114" s="447">
        <f>I80*Group_1_rates!K77</f>
        <v>207.64735024402279</v>
      </c>
      <c r="J114" s="447">
        <f>J80*Group_1_rates!L77</f>
        <v>210.89533177908891</v>
      </c>
      <c r="K114" s="447">
        <f>K80*Group_1_rates!M77</f>
        <v>213.44516774646618</v>
      </c>
      <c r="L114" s="447">
        <f>L80*Group_1_rates!N77</f>
        <v>215.33035245502035</v>
      </c>
      <c r="M114" s="447">
        <f>M80*Group_1_rates!O77</f>
        <v>216.55090361062713</v>
      </c>
      <c r="N114" s="447">
        <f>N80*Group_1_rates!P77</f>
        <v>217.24477481472766</v>
      </c>
    </row>
    <row r="115" spans="1:16">
      <c r="B115" s="331" t="str">
        <f t="shared" si="48"/>
        <v>40-44</v>
      </c>
      <c r="C115" s="447">
        <f>C81*Group_1_rates!E78</f>
        <v>158.47498023288455</v>
      </c>
      <c r="D115" s="447">
        <f>D81*Group_1_rates!F78</f>
        <v>156.40702984640487</v>
      </c>
      <c r="E115" s="447">
        <f>E81*Group_1_rates!G78</f>
        <v>165.43843060311033</v>
      </c>
      <c r="F115" s="447">
        <f>F81*Group_1_rates!H78</f>
        <v>165.1646578458444</v>
      </c>
      <c r="G115" s="447">
        <f>G81*Group_1_rates!I78</f>
        <v>167.44805945824947</v>
      </c>
      <c r="H115" s="447">
        <f>H81*Group_1_rates!J78</f>
        <v>169.7023894150048</v>
      </c>
      <c r="I115" s="447">
        <f>I81*Group_1_rates!K78</f>
        <v>171.94494269356062</v>
      </c>
      <c r="J115" s="447">
        <f>J81*Group_1_rates!L78</f>
        <v>174.34595538536382</v>
      </c>
      <c r="K115" s="447">
        <f>K81*Group_1_rates!M78</f>
        <v>176.24426815384476</v>
      </c>
      <c r="L115" s="447">
        <f>L81*Group_1_rates!N78</f>
        <v>177.70425705693364</v>
      </c>
      <c r="M115" s="447">
        <f>M81*Group_1_rates!O78</f>
        <v>178.75613357199057</v>
      </c>
      <c r="N115" s="447">
        <f>N81*Group_1_rates!P78</f>
        <v>179.51445005996189</v>
      </c>
    </row>
    <row r="116" spans="1:16">
      <c r="B116" s="331" t="str">
        <f t="shared" si="48"/>
        <v>45-49</v>
      </c>
      <c r="C116" s="447">
        <f>C82*Group_1_rates!E79</f>
        <v>201.42429355104321</v>
      </c>
      <c r="D116" s="447">
        <f>D82*Group_1_rates!F79</f>
        <v>189.57810665266402</v>
      </c>
      <c r="E116" s="447">
        <f>E82*Group_1_rates!G79</f>
        <v>193.89458620700933</v>
      </c>
      <c r="F116" s="447">
        <f>F82*Group_1_rates!H79</f>
        <v>188.69703291419009</v>
      </c>
      <c r="G116" s="447">
        <f>G82*Group_1_rates!I79</f>
        <v>187.90221130792253</v>
      </c>
      <c r="H116" s="447">
        <f>H82*Group_1_rates!J79</f>
        <v>187.94072315789728</v>
      </c>
      <c r="I116" s="447">
        <f>I82*Group_1_rates!K79</f>
        <v>188.58372644974182</v>
      </c>
      <c r="J116" s="447">
        <f>J82*Group_1_rates!L79</f>
        <v>189.82952862286032</v>
      </c>
      <c r="K116" s="447">
        <f>K82*Group_1_rates!M79</f>
        <v>190.87567035657767</v>
      </c>
      <c r="L116" s="447">
        <f>L82*Group_1_rates!N79</f>
        <v>191.7078884139404</v>
      </c>
      <c r="M116" s="447">
        <f>M82*Group_1_rates!O79</f>
        <v>192.30763936106672</v>
      </c>
      <c r="N116" s="447">
        <f>N82*Group_1_rates!P79</f>
        <v>192.76312680052033</v>
      </c>
    </row>
    <row r="117" spans="1:16">
      <c r="B117" s="331" t="str">
        <f t="shared" si="48"/>
        <v>50-54</v>
      </c>
      <c r="C117" s="447">
        <f>C83*Group_1_rates!E80</f>
        <v>167.86737592487566</v>
      </c>
      <c r="D117" s="447">
        <f>D83*Group_1_rates!F80</f>
        <v>159.60415819707868</v>
      </c>
      <c r="E117" s="447">
        <f>E83*Group_1_rates!G80</f>
        <v>163.03496811357684</v>
      </c>
      <c r="F117" s="447">
        <f>F83*Group_1_rates!H80</f>
        <v>157.39228365585464</v>
      </c>
      <c r="G117" s="447">
        <f>G83*Group_1_rates!I80</f>
        <v>155.10843022604735</v>
      </c>
      <c r="H117" s="447">
        <f>H83*Group_1_rates!J80</f>
        <v>153.43953688674191</v>
      </c>
      <c r="I117" s="447">
        <f>I83*Group_1_rates!K80</f>
        <v>152.36076266924553</v>
      </c>
      <c r="J117" s="447">
        <f>J83*Group_1_rates!L80</f>
        <v>151.93571104555662</v>
      </c>
      <c r="K117" s="447">
        <f>K83*Group_1_rates!M80</f>
        <v>151.55770338367913</v>
      </c>
      <c r="L117" s="447">
        <f>L83*Group_1_rates!N80</f>
        <v>151.21083703832736</v>
      </c>
      <c r="M117" s="447">
        <f>M83*Group_1_rates!O80</f>
        <v>150.86353797854295</v>
      </c>
      <c r="N117" s="447">
        <f>N83*Group_1_rates!P80</f>
        <v>150.56365555359815</v>
      </c>
    </row>
    <row r="118" spans="1:16">
      <c r="B118" s="331" t="str">
        <f t="shared" si="48"/>
        <v>55-59</v>
      </c>
      <c r="C118" s="447">
        <f>C84*Group_1_rates!E81</f>
        <v>80.64179085427503</v>
      </c>
      <c r="D118" s="447">
        <f>D84*Group_1_rates!F81</f>
        <v>70.962560209456313</v>
      </c>
      <c r="E118" s="447">
        <f>E84*Group_1_rates!G81</f>
        <v>69.134730148903685</v>
      </c>
      <c r="F118" s="447">
        <f>F84*Group_1_rates!H81</f>
        <v>64.854462615266058</v>
      </c>
      <c r="G118" s="447">
        <f>G84*Group_1_rates!I81</f>
        <v>62.659119764370587</v>
      </c>
      <c r="H118" s="447">
        <f>H84*Group_1_rates!J81</f>
        <v>61.123634495673002</v>
      </c>
      <c r="I118" s="447">
        <f>I84*Group_1_rates!K81</f>
        <v>60.054624449991074</v>
      </c>
      <c r="J118" s="447">
        <f>J84*Group_1_rates!L81</f>
        <v>59.394716161999447</v>
      </c>
      <c r="K118" s="447">
        <f>K84*Group_1_rates!M81</f>
        <v>58.807136035895894</v>
      </c>
      <c r="L118" s="447">
        <f>L84*Group_1_rates!N81</f>
        <v>58.2844926549148</v>
      </c>
      <c r="M118" s="447">
        <f>M84*Group_1_rates!O81</f>
        <v>57.811938228709081</v>
      </c>
      <c r="N118" s="447">
        <f>N84*Group_1_rates!P81</f>
        <v>57.411888636899192</v>
      </c>
    </row>
    <row r="119" spans="1:16">
      <c r="B119" s="331" t="str">
        <f t="shared" si="48"/>
        <v>60-64</v>
      </c>
      <c r="C119" s="447">
        <f>C85*Group_1_rates!E82</f>
        <v>39.390859968087142</v>
      </c>
      <c r="D119" s="447">
        <f>D85*Group_1_rates!F82</f>
        <v>34.065589292170984</v>
      </c>
      <c r="E119" s="447">
        <f>E85*Group_1_rates!G82</f>
        <v>32.174087088377114</v>
      </c>
      <c r="F119" s="447">
        <f>F85*Group_1_rates!H82</f>
        <v>29.315805052036367</v>
      </c>
      <c r="G119" s="447">
        <f>G85*Group_1_rates!I82</f>
        <v>27.649260639625513</v>
      </c>
      <c r="H119" s="447">
        <f>H85*Group_1_rates!J82</f>
        <v>26.503059133080253</v>
      </c>
      <c r="I119" s="447">
        <f>I85*Group_1_rates!K82</f>
        <v>25.719030136914647</v>
      </c>
      <c r="J119" s="447">
        <f>J85*Group_1_rates!L82</f>
        <v>25.223408779957889</v>
      </c>
      <c r="K119" s="447">
        <f>K85*Group_1_rates!M82</f>
        <v>24.78881149654524</v>
      </c>
      <c r="L119" s="447">
        <f>L85*Group_1_rates!N82</f>
        <v>24.40543342282038</v>
      </c>
      <c r="M119" s="447">
        <f>M85*Group_1_rates!O82</f>
        <v>24.062278336698739</v>
      </c>
      <c r="N119" s="447">
        <f>N85*Group_1_rates!P82</f>
        <v>23.772093310176924</v>
      </c>
    </row>
    <row r="120" spans="1:16">
      <c r="B120" s="331" t="str">
        <f t="shared" si="48"/>
        <v>65 plus</v>
      </c>
      <c r="C120" s="447">
        <f>C86*Group_1_rates!E83</f>
        <v>19.560977124486431</v>
      </c>
      <c r="D120" s="447">
        <f>D86*Group_1_rates!F83</f>
        <v>20.108879120461197</v>
      </c>
      <c r="E120" s="447">
        <f>E86*Group_1_rates!G83</f>
        <v>20.830007595690642</v>
      </c>
      <c r="F120" s="447">
        <f>F86*Group_1_rates!H83</f>
        <v>19.764347880910258</v>
      </c>
      <c r="G120" s="447">
        <f>G86*Group_1_rates!I83</f>
        <v>18.914307524279629</v>
      </c>
      <c r="H120" s="447">
        <f>H86*Group_1_rates!J83</f>
        <v>18.121127456559012</v>
      </c>
      <c r="I120" s="447">
        <f>I86*Group_1_rates!K83</f>
        <v>17.461110189877186</v>
      </c>
      <c r="J120" s="447">
        <f>J86*Group_1_rates!L83</f>
        <v>16.970350441814816</v>
      </c>
      <c r="K120" s="447">
        <f>K86*Group_1_rates!M83</f>
        <v>16.537744649563784</v>
      </c>
      <c r="L120" s="447">
        <f>L86*Group_1_rates!N83</f>
        <v>16.156516734151097</v>
      </c>
      <c r="M120" s="447">
        <f>M86*Group_1_rates!O83</f>
        <v>15.817669331235594</v>
      </c>
      <c r="N120" s="447">
        <f>N86*Group_1_rates!P83</f>
        <v>15.527204463227619</v>
      </c>
    </row>
    <row r="121" spans="1:16">
      <c r="B121" s="331" t="str">
        <f t="shared" si="48"/>
        <v>Total</v>
      </c>
      <c r="C121" s="447">
        <f>SUM(C111:C120)</f>
        <v>1415.6709357313418</v>
      </c>
      <c r="D121" s="447">
        <f t="shared" ref="D121:N121" si="50">SUM(D111:D120)</f>
        <v>1421.0253396546634</v>
      </c>
      <c r="E121" s="447">
        <f t="shared" si="50"/>
        <v>1511.4797704130697</v>
      </c>
      <c r="F121" s="447">
        <f t="shared" si="50"/>
        <v>1514.2143075391239</v>
      </c>
      <c r="G121" s="447">
        <f t="shared" si="50"/>
        <v>1531.9496237650878</v>
      </c>
      <c r="H121" s="447">
        <f t="shared" si="50"/>
        <v>1548.9232962425508</v>
      </c>
      <c r="I121" s="447">
        <f t="shared" si="50"/>
        <v>1565.5256793074163</v>
      </c>
      <c r="J121" s="447">
        <f t="shared" si="50"/>
        <v>1584.7439288286796</v>
      </c>
      <c r="K121" s="447">
        <f t="shared" si="50"/>
        <v>1594.6624922081901</v>
      </c>
      <c r="L121" s="447">
        <f t="shared" si="50"/>
        <v>1597.6403832318881</v>
      </c>
      <c r="M121" s="447">
        <f t="shared" si="50"/>
        <v>1595.1620591329911</v>
      </c>
      <c r="N121" s="447">
        <f t="shared" si="50"/>
        <v>1590.0332720518907</v>
      </c>
    </row>
    <row r="122" spans="1:16">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6">
      <c r="B124" s="334" t="s">
        <v>47</v>
      </c>
      <c r="C124" s="322"/>
      <c r="D124" s="322"/>
      <c r="E124" s="322"/>
      <c r="F124" s="322"/>
      <c r="G124" s="322"/>
      <c r="H124" s="332"/>
      <c r="I124" s="322"/>
      <c r="J124" s="322"/>
      <c r="K124" s="322"/>
      <c r="L124" s="322"/>
    </row>
    <row r="125" spans="1:16">
      <c r="C125" s="322"/>
      <c r="D125" s="322"/>
      <c r="E125" s="322"/>
      <c r="F125" s="322"/>
      <c r="G125" s="322"/>
      <c r="H125" s="332"/>
      <c r="I125" s="322"/>
      <c r="J125" s="322"/>
      <c r="K125" s="322"/>
      <c r="L125" s="322"/>
    </row>
    <row r="126" spans="1:16">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6">
      <c r="B127" s="331" t="str">
        <f t="shared" si="52"/>
        <v>20-24</v>
      </c>
      <c r="C127" s="447">
        <f>C93*Group_1_rates!E89</f>
        <v>136.75042968552646</v>
      </c>
      <c r="D127" s="447">
        <f>D93*Group_1_rates!F89</f>
        <v>170.79014777192839</v>
      </c>
      <c r="E127" s="447">
        <f>E93*Group_1_rates!G89</f>
        <v>192.12574263979624</v>
      </c>
      <c r="F127" s="447">
        <f>F93*Group_1_rates!H89</f>
        <v>208.95289138678956</v>
      </c>
      <c r="G127" s="447">
        <f>G93*Group_1_rates!I89</f>
        <v>214.93301957332517</v>
      </c>
      <c r="H127" s="447">
        <f>H93*Group_1_rates!J89</f>
        <v>219.4290260057864</v>
      </c>
      <c r="I127" s="447">
        <f>I93*Group_1_rates!K89</f>
        <v>222.978242259094</v>
      </c>
      <c r="J127" s="447">
        <f>J93*Group_1_rates!L89</f>
        <v>226.76229603825973</v>
      </c>
      <c r="K127" s="447">
        <f>K93*Group_1_rates!M89</f>
        <v>227.26478766682314</v>
      </c>
      <c r="L127" s="447">
        <f>L93*Group_1_rates!N89</f>
        <v>225.7704151301001</v>
      </c>
      <c r="M127" s="447">
        <f>M93*Group_1_rates!O89</f>
        <v>223.03351625204337</v>
      </c>
      <c r="N127" s="447">
        <f>N93*Group_1_rates!P89</f>
        <v>220.05285280339993</v>
      </c>
      <c r="O127" s="320"/>
      <c r="P127" s="320"/>
    </row>
    <row r="128" spans="1:16">
      <c r="B128" s="331" t="str">
        <f t="shared" si="52"/>
        <v>25-29</v>
      </c>
      <c r="C128" s="447">
        <f>C94*Group_1_rates!E90</f>
        <v>311.02700946123258</v>
      </c>
      <c r="D128" s="447">
        <f>D94*Group_1_rates!F90</f>
        <v>317.62398431811812</v>
      </c>
      <c r="E128" s="447">
        <f>E94*Group_1_rates!G90</f>
        <v>326.34460190369037</v>
      </c>
      <c r="F128" s="447">
        <f>F94*Group_1_rates!H90</f>
        <v>336.92656290689899</v>
      </c>
      <c r="G128" s="447">
        <f>G94*Group_1_rates!I90</f>
        <v>339.37872779194203</v>
      </c>
      <c r="H128" s="447">
        <f>H94*Group_1_rates!J90</f>
        <v>342.35251909751463</v>
      </c>
      <c r="I128" s="447">
        <f>I94*Group_1_rates!K90</f>
        <v>345.55514257118512</v>
      </c>
      <c r="J128" s="447">
        <f>J94*Group_1_rates!L90</f>
        <v>349.68062264270287</v>
      </c>
      <c r="K128" s="447">
        <f>K94*Group_1_rates!M90</f>
        <v>351.00043783754228</v>
      </c>
      <c r="L128" s="447">
        <f>L94*Group_1_rates!N90</f>
        <v>350.13718554870087</v>
      </c>
      <c r="M128" s="447">
        <f>M94*Group_1_rates!O90</f>
        <v>347.58280530096175</v>
      </c>
      <c r="N128" s="447">
        <f>N94*Group_1_rates!P90</f>
        <v>344.278363713994</v>
      </c>
      <c r="O128" s="320"/>
      <c r="P128" s="320"/>
    </row>
    <row r="129" spans="1:16">
      <c r="B129" s="331" t="str">
        <f t="shared" si="52"/>
        <v>30-34</v>
      </c>
      <c r="C129" s="447">
        <f>C95*Group_1_rates!E91</f>
        <v>223.58083382736521</v>
      </c>
      <c r="D129" s="447">
        <f>D95*Group_1_rates!F91</f>
        <v>245.02638215069908</v>
      </c>
      <c r="E129" s="447">
        <f>E95*Group_1_rates!G91</f>
        <v>262.46207120821782</v>
      </c>
      <c r="F129" s="447">
        <f>F95*Group_1_rates!H91</f>
        <v>276.65100359588877</v>
      </c>
      <c r="G129" s="447">
        <f>G95*Group_1_rates!I91</f>
        <v>283.32580535345545</v>
      </c>
      <c r="H129" s="447">
        <f>H95*Group_1_rates!J91</f>
        <v>288.70762205475069</v>
      </c>
      <c r="I129" s="447">
        <f>I95*Group_1_rates!K91</f>
        <v>293.25932973608451</v>
      </c>
      <c r="J129" s="447">
        <f>J95*Group_1_rates!L91</f>
        <v>297.67341493221352</v>
      </c>
      <c r="K129" s="447">
        <f>K95*Group_1_rates!M91</f>
        <v>300.43495803064559</v>
      </c>
      <c r="L129" s="447">
        <f>L95*Group_1_rates!N91</f>
        <v>301.71909159515133</v>
      </c>
      <c r="M129" s="447">
        <f>M95*Group_1_rates!O91</f>
        <v>301.68244183495284</v>
      </c>
      <c r="N129" s="447">
        <f>N95*Group_1_rates!P91</f>
        <v>300.74573605880568</v>
      </c>
      <c r="O129" s="320"/>
      <c r="P129" s="320"/>
    </row>
    <row r="130" spans="1:16">
      <c r="B130" s="331" t="str">
        <f t="shared" si="52"/>
        <v>35-39</v>
      </c>
      <c r="C130" s="447">
        <f>C96*Group_1_rates!E92</f>
        <v>191.84728076448781</v>
      </c>
      <c r="D130" s="447">
        <f>D96*Group_1_rates!F92</f>
        <v>201.47428450154482</v>
      </c>
      <c r="E130" s="447">
        <f>E96*Group_1_rates!G92</f>
        <v>213.26986368346834</v>
      </c>
      <c r="F130" s="447">
        <f>F96*Group_1_rates!H92</f>
        <v>224.77453939913022</v>
      </c>
      <c r="G130" s="447">
        <f>G96*Group_1_rates!I92</f>
        <v>231.66132813097261</v>
      </c>
      <c r="H130" s="447">
        <f>H96*Group_1_rates!J92</f>
        <v>237.91855084852025</v>
      </c>
      <c r="I130" s="447">
        <f>I96*Group_1_rates!K92</f>
        <v>243.52009719621199</v>
      </c>
      <c r="J130" s="447">
        <f>J96*Group_1_rates!L92</f>
        <v>248.76873376692441</v>
      </c>
      <c r="K130" s="447">
        <f>K96*Group_1_rates!M92</f>
        <v>252.70700576313322</v>
      </c>
      <c r="L130" s="447">
        <f>L96*Group_1_rates!N92</f>
        <v>255.48533297014643</v>
      </c>
      <c r="M130" s="447">
        <f>M96*Group_1_rates!O92</f>
        <v>257.20688194501281</v>
      </c>
      <c r="N130" s="447">
        <f>N96*Group_1_rates!P92</f>
        <v>258.1184656355</v>
      </c>
      <c r="O130" s="320"/>
      <c r="P130" s="320"/>
    </row>
    <row r="131" spans="1:16">
      <c r="B131" s="331" t="str">
        <f t="shared" si="52"/>
        <v>40-44</v>
      </c>
      <c r="C131" s="447">
        <f>C97*Group_1_rates!E93</f>
        <v>183.03385821165369</v>
      </c>
      <c r="D131" s="447">
        <f>D97*Group_1_rates!F93</f>
        <v>188.18576557726072</v>
      </c>
      <c r="E131" s="447">
        <f>E97*Group_1_rates!G93</f>
        <v>194.85468900401241</v>
      </c>
      <c r="F131" s="447">
        <f>F97*Group_1_rates!H93</f>
        <v>201.71122175347926</v>
      </c>
      <c r="G131" s="447">
        <f>G97*Group_1_rates!I93</f>
        <v>205.37709902176081</v>
      </c>
      <c r="H131" s="447">
        <f>H97*Group_1_rates!J93</f>
        <v>209.39432711921896</v>
      </c>
      <c r="I131" s="447">
        <f>I97*Group_1_rates!K93</f>
        <v>213.56930317870166</v>
      </c>
      <c r="J131" s="447">
        <f>J97*Group_1_rates!L93</f>
        <v>217.95732716587381</v>
      </c>
      <c r="K131" s="447">
        <f>K97*Group_1_rates!M93</f>
        <v>221.58965108846675</v>
      </c>
      <c r="L131" s="447">
        <f>L97*Group_1_rates!N93</f>
        <v>224.49293041378357</v>
      </c>
      <c r="M131" s="447">
        <f>M97*Group_1_rates!O93</f>
        <v>226.68442536297948</v>
      </c>
      <c r="N131" s="447">
        <f>N97*Group_1_rates!P93</f>
        <v>228.31497842773862</v>
      </c>
      <c r="O131" s="320"/>
      <c r="P131" s="320"/>
    </row>
    <row r="132" spans="1:16">
      <c r="B132" s="331" t="str">
        <f t="shared" si="52"/>
        <v>45-49</v>
      </c>
      <c r="C132" s="447">
        <f>C98*Group_1_rates!E94</f>
        <v>202.48690791071843</v>
      </c>
      <c r="D132" s="447">
        <f>D98*Group_1_rates!F94</f>
        <v>201.00566056083846</v>
      </c>
      <c r="E132" s="447">
        <f>E98*Group_1_rates!G94</f>
        <v>202.28202777402643</v>
      </c>
      <c r="F132" s="447">
        <f>F98*Group_1_rates!H94</f>
        <v>204.19222786629197</v>
      </c>
      <c r="G132" s="447">
        <f>G98*Group_1_rates!I94</f>
        <v>203.54475525462368</v>
      </c>
      <c r="H132" s="447">
        <f>H98*Group_1_rates!J94</f>
        <v>203.90403146341208</v>
      </c>
      <c r="I132" s="447">
        <f>I98*Group_1_rates!K94</f>
        <v>205.07297729160149</v>
      </c>
      <c r="J132" s="447">
        <f>J98*Group_1_rates!L94</f>
        <v>207.05094502195934</v>
      </c>
      <c r="K132" s="447">
        <f>K98*Group_1_rates!M94</f>
        <v>208.89579925357521</v>
      </c>
      <c r="L132" s="447">
        <f>L98*Group_1_rates!N94</f>
        <v>210.54547270103322</v>
      </c>
      <c r="M132" s="447">
        <f>M98*Group_1_rates!O94</f>
        <v>211.93431912618877</v>
      </c>
      <c r="N132" s="447">
        <f>N98*Group_1_rates!P94</f>
        <v>213.12564986475596</v>
      </c>
      <c r="O132" s="320"/>
      <c r="P132" s="320"/>
    </row>
    <row r="133" spans="1:16">
      <c r="B133" s="331" t="str">
        <f t="shared" si="52"/>
        <v>50-54</v>
      </c>
      <c r="C133" s="447">
        <f>C99*Group_1_rates!E95</f>
        <v>179.71186611261282</v>
      </c>
      <c r="D133" s="447">
        <f>D99*Group_1_rates!F95</f>
        <v>177.1646388935755</v>
      </c>
      <c r="E133" s="447">
        <f>E99*Group_1_rates!G95</f>
        <v>176.33437925689029</v>
      </c>
      <c r="F133" s="447">
        <f>F99*Group_1_rates!H95</f>
        <v>175.56472448460875</v>
      </c>
      <c r="G133" s="447">
        <f>G99*Group_1_rates!I95</f>
        <v>172.49646035862008</v>
      </c>
      <c r="H133" s="447">
        <f>H99*Group_1_rates!J95</f>
        <v>170.30234221815635</v>
      </c>
      <c r="I133" s="447">
        <f>I99*Group_1_rates!K95</f>
        <v>168.91446143413123</v>
      </c>
      <c r="J133" s="447">
        <f>J99*Group_1_rates!L95</f>
        <v>168.38709214978752</v>
      </c>
      <c r="K133" s="447">
        <f>K99*Group_1_rates!M95</f>
        <v>168.02921776093018</v>
      </c>
      <c r="L133" s="447">
        <f>L99*Group_1_rates!N95</f>
        <v>167.80517481812399</v>
      </c>
      <c r="M133" s="447">
        <f>M99*Group_1_rates!O95</f>
        <v>167.65861878195304</v>
      </c>
      <c r="N133" s="447">
        <f>N99*Group_1_rates!P95</f>
        <v>167.62014204678314</v>
      </c>
      <c r="O133" s="320"/>
      <c r="P133" s="320"/>
    </row>
    <row r="134" spans="1:16">
      <c r="B134" s="331" t="str">
        <f t="shared" si="52"/>
        <v>55-59</v>
      </c>
      <c r="C134" s="447">
        <f>C100*Group_1_rates!E96</f>
        <v>78.884354393668005</v>
      </c>
      <c r="D134" s="447">
        <f>D100*Group_1_rates!F96</f>
        <v>75.426236591904285</v>
      </c>
      <c r="E134" s="447">
        <f>E100*Group_1_rates!G96</f>
        <v>73.51688903484569</v>
      </c>
      <c r="F134" s="447">
        <f>F100*Group_1_rates!H96</f>
        <v>72.118048674147573</v>
      </c>
      <c r="G134" s="447">
        <f>G100*Group_1_rates!I96</f>
        <v>69.995573084169777</v>
      </c>
      <c r="H134" s="447">
        <f>H100*Group_1_rates!J96</f>
        <v>68.386182674112007</v>
      </c>
      <c r="I134" s="447">
        <f>I100*Group_1_rates!K96</f>
        <v>67.194556260641036</v>
      </c>
      <c r="J134" s="447">
        <f>J100*Group_1_rates!L96</f>
        <v>66.418484881720047</v>
      </c>
      <c r="K134" s="447">
        <f>K100*Group_1_rates!M96</f>
        <v>65.728708248384564</v>
      </c>
      <c r="L134" s="447">
        <f>L100*Group_1_rates!N96</f>
        <v>65.129152357190691</v>
      </c>
      <c r="M134" s="447">
        <f>M100*Group_1_rates!O96</f>
        <v>64.608711968497289</v>
      </c>
      <c r="N134" s="447">
        <f>N100*Group_1_rates!P96</f>
        <v>64.191604586350664</v>
      </c>
      <c r="O134" s="320"/>
      <c r="P134" s="320"/>
    </row>
    <row r="135" spans="1:16">
      <c r="B135" s="331" t="str">
        <f t="shared" si="52"/>
        <v>60-64</v>
      </c>
      <c r="C135" s="447">
        <f>C101*Group_1_rates!E97</f>
        <v>28.367497827949304</v>
      </c>
      <c r="D135" s="447">
        <f>D101*Group_1_rates!F97</f>
        <v>27.712622556693312</v>
      </c>
      <c r="E135" s="447">
        <f>E101*Group_1_rates!G97</f>
        <v>27.069069753102525</v>
      </c>
      <c r="F135" s="447">
        <f>F101*Group_1_rates!H97</f>
        <v>26.466210057412731</v>
      </c>
      <c r="G135" s="447">
        <f>G101*Group_1_rates!I97</f>
        <v>25.522487448849176</v>
      </c>
      <c r="H135" s="447">
        <f>H101*Group_1_rates!J97</f>
        <v>24.783633042721302</v>
      </c>
      <c r="I135" s="447">
        <f>I101*Group_1_rates!K97</f>
        <v>24.217799650342684</v>
      </c>
      <c r="J135" s="447">
        <f>J101*Group_1_rates!L97</f>
        <v>23.826657211923319</v>
      </c>
      <c r="K135" s="447">
        <f>K101*Group_1_rates!M97</f>
        <v>23.450712526816467</v>
      </c>
      <c r="L135" s="447">
        <f>L101*Group_1_rates!N97</f>
        <v>23.102408104189564</v>
      </c>
      <c r="M135" s="447">
        <f>M101*Group_1_rates!O97</f>
        <v>22.784139192622444</v>
      </c>
      <c r="N135" s="447">
        <f>N101*Group_1_rates!P97</f>
        <v>22.513669042492133</v>
      </c>
      <c r="O135" s="320"/>
      <c r="P135" s="320"/>
    </row>
    <row r="136" spans="1:16">
      <c r="B136" s="331" t="str">
        <f t="shared" si="52"/>
        <v>65 plus</v>
      </c>
      <c r="C136" s="447">
        <f>C102*Group_1_rates!E98</f>
        <v>9.0083241335006079</v>
      </c>
      <c r="D136" s="447">
        <f>D102*Group_1_rates!F98</f>
        <v>11.521218146355533</v>
      </c>
      <c r="E136" s="447">
        <f>E102*Group_1_rates!G98</f>
        <v>13.129231807373904</v>
      </c>
      <c r="F136" s="447">
        <f>F102*Group_1_rates!H98</f>
        <v>14.075390387647396</v>
      </c>
      <c r="G136" s="447">
        <f>G102*Group_1_rates!I98</f>
        <v>14.356154930537764</v>
      </c>
      <c r="H136" s="447">
        <f>H102*Group_1_rates!J98</f>
        <v>14.405267040674277</v>
      </c>
      <c r="I136" s="447">
        <f>I102*Group_1_rates!K98</f>
        <v>14.336318944428001</v>
      </c>
      <c r="J136" s="447">
        <f>J102*Group_1_rates!L98</f>
        <v>14.232901583353517</v>
      </c>
      <c r="K136" s="447">
        <f>K102*Group_1_rates!M98</f>
        <v>14.070123530265588</v>
      </c>
      <c r="L136" s="447">
        <f>L102*Group_1_rates!N98</f>
        <v>13.875540522255404</v>
      </c>
      <c r="M136" s="447">
        <f>M102*Group_1_rates!O98</f>
        <v>13.666620539091141</v>
      </c>
      <c r="N136" s="447">
        <f>N102*Group_1_rates!P98</f>
        <v>13.463905123902068</v>
      </c>
      <c r="O136" s="320"/>
      <c r="P136" s="320"/>
    </row>
    <row r="137" spans="1:16">
      <c r="B137" s="331" t="str">
        <f t="shared" si="52"/>
        <v>Total</v>
      </c>
      <c r="C137" s="447">
        <f>SUM(C127:C136)</f>
        <v>1544.6983623287149</v>
      </c>
      <c r="D137" s="447">
        <f t="shared" ref="D137:N137" si="54">SUM(D127:D136)</f>
        <v>1615.9309410689184</v>
      </c>
      <c r="E137" s="447">
        <f t="shared" si="54"/>
        <v>1681.3885660654237</v>
      </c>
      <c r="F137" s="447">
        <f t="shared" si="54"/>
        <v>1741.4328205122952</v>
      </c>
      <c r="G137" s="447">
        <f t="shared" si="54"/>
        <v>1760.5914109482567</v>
      </c>
      <c r="H137" s="447">
        <f t="shared" si="54"/>
        <v>1779.583501564867</v>
      </c>
      <c r="I137" s="447">
        <f t="shared" si="54"/>
        <v>1798.6182285224218</v>
      </c>
      <c r="J137" s="447">
        <f t="shared" si="54"/>
        <v>1820.7584753947181</v>
      </c>
      <c r="K137" s="447">
        <f t="shared" si="54"/>
        <v>1833.1714017065829</v>
      </c>
      <c r="L137" s="447">
        <f t="shared" si="54"/>
        <v>1838.0627041606754</v>
      </c>
      <c r="M137" s="447">
        <f t="shared" si="54"/>
        <v>1836.8424803043029</v>
      </c>
      <c r="N137" s="447">
        <f t="shared" si="54"/>
        <v>1832.4253673037226</v>
      </c>
      <c r="O137" s="320"/>
      <c r="P137" s="320"/>
    </row>
    <row r="138" spans="1:16">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6" ht="15.75">
      <c r="B140" s="333" t="s">
        <v>165</v>
      </c>
      <c r="H140" s="318"/>
    </row>
    <row r="141" spans="1:16">
      <c r="H141" s="318"/>
    </row>
    <row r="142" spans="1:16">
      <c r="B142" s="334" t="s">
        <v>46</v>
      </c>
      <c r="H142" s="318"/>
    </row>
    <row r="143" spans="1:16">
      <c r="H143" s="318"/>
    </row>
    <row r="144" spans="1:16">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5">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row>
    <row r="146" spans="1:15">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row>
    <row r="147" spans="1:15">
      <c r="B147" s="331" t="str">
        <f t="shared" si="56"/>
        <v>30-34</v>
      </c>
      <c r="C147" s="447">
        <f>C79*Calc_SEC_retirement_rates!$G126</f>
        <v>0.29945973210832516</v>
      </c>
      <c r="D147" s="447">
        <f>D79*Calc_SEC_retirement_rates!$G126</f>
        <v>0.30897544562920187</v>
      </c>
      <c r="E147" s="447">
        <f>E79*Calc_SEC_retirement_rates!$G126</f>
        <v>0.31644086644253849</v>
      </c>
      <c r="F147" s="447">
        <f>F79*Calc_SEC_retirement_rates!$G126</f>
        <v>0.32388076817104849</v>
      </c>
      <c r="G147" s="447">
        <f>G79*Calc_SEC_retirement_rates!$G126</f>
        <v>0.32984451901093625</v>
      </c>
      <c r="H147" s="447">
        <f>H79*Calc_SEC_retirement_rates!$G126</f>
        <v>0.33577082075841613</v>
      </c>
      <c r="I147" s="447">
        <f>I79*Calc_SEC_retirement_rates!$G126</f>
        <v>0.34156657479539593</v>
      </c>
      <c r="J147" s="447">
        <f>J79*Calc_SEC_retirement_rates!$G126</f>
        <v>0.34765020802708058</v>
      </c>
      <c r="K147" s="447">
        <f>K79*Calc_SEC_retirement_rates!$G126</f>
        <v>0.35189974207862817</v>
      </c>
      <c r="L147" s="447">
        <f>L79*Calc_SEC_retirement_rates!$G126</f>
        <v>0.35436807654627511</v>
      </c>
      <c r="M147" s="447">
        <f>M79*Calc_SEC_retirement_rates!$G126</f>
        <v>0.35516278424266373</v>
      </c>
      <c r="N147" s="447">
        <f>N79*Calc_SEC_retirement_rates!$G126</f>
        <v>0.35476263480787246</v>
      </c>
      <c r="O147" s="320"/>
    </row>
    <row r="148" spans="1:15">
      <c r="B148" s="331" t="str">
        <f t="shared" si="56"/>
        <v>35-39</v>
      </c>
      <c r="C148" s="447">
        <f>C80*Calc_SEC_retirement_rates!$G127</f>
        <v>0.61492641062530717</v>
      </c>
      <c r="D148" s="447">
        <f>D80*Calc_SEC_retirement_rates!$G127</f>
        <v>0.63123341077241457</v>
      </c>
      <c r="E148" s="447">
        <f>E80*Calc_SEC_retirement_rates!$G127</f>
        <v>0.64491571200584086</v>
      </c>
      <c r="F148" s="447">
        <f>F80*Calc_SEC_retirement_rates!$G127</f>
        <v>0.65732192984951043</v>
      </c>
      <c r="G148" s="447">
        <f>G80*Calc_SEC_retirement_rates!$G127</f>
        <v>0.66741065484597661</v>
      </c>
      <c r="H148" s="447">
        <f>H80*Calc_SEC_retirement_rates!$G127</f>
        <v>0.67745545785445171</v>
      </c>
      <c r="I148" s="447">
        <f>I80*Calc_SEC_retirement_rates!$G127</f>
        <v>0.68750645618576822</v>
      </c>
      <c r="J148" s="447">
        <f>J80*Calc_SEC_retirement_rates!$G127</f>
        <v>0.69826030530691485</v>
      </c>
      <c r="K148" s="447">
        <f>K80*Calc_SEC_retirement_rates!$G127</f>
        <v>0.70670264125642956</v>
      </c>
      <c r="L148" s="447">
        <f>L80*Calc_SEC_retirement_rates!$G127</f>
        <v>0.71294436144554119</v>
      </c>
      <c r="M148" s="447">
        <f>M80*Calc_SEC_retirement_rates!$G127</f>
        <v>0.71698552449721775</v>
      </c>
      <c r="N148" s="447">
        <f>N80*Calc_SEC_retirement_rates!$G127</f>
        <v>0.71928288553755804</v>
      </c>
      <c r="O148" s="320"/>
    </row>
    <row r="149" spans="1:15">
      <c r="B149" s="331" t="str">
        <f t="shared" si="56"/>
        <v>40-44</v>
      </c>
      <c r="C149" s="447">
        <f>C81*Calc_SEC_retirement_rates!$G128</f>
        <v>1.1570197992745641</v>
      </c>
      <c r="D149" s="447">
        <f>D81*Calc_SEC_retirement_rates!$G128</f>
        <v>1.1845102664564309</v>
      </c>
      <c r="E149" s="447">
        <f>E81*Calc_SEC_retirement_rates!$G128</f>
        <v>1.2075900062769145</v>
      </c>
      <c r="F149" s="447">
        <f>F81*Calc_SEC_retirement_rates!$G128</f>
        <v>1.2286629626020698</v>
      </c>
      <c r="G149" s="447">
        <f>G81*Calc_SEC_retirement_rates!$G128</f>
        <v>1.2456492296794155</v>
      </c>
      <c r="H149" s="447">
        <f>H81*Calc_SEC_retirement_rates!$G128</f>
        <v>1.2624192321695051</v>
      </c>
      <c r="I149" s="447">
        <f>I81*Calc_SEC_retirement_rates!$G128</f>
        <v>1.2791016277313636</v>
      </c>
      <c r="J149" s="447">
        <f>J81*Calc_SEC_retirement_rates!$G128</f>
        <v>1.296962805816505</v>
      </c>
      <c r="K149" s="447">
        <f>K81*Calc_SEC_retirement_rates!$G128</f>
        <v>1.3110843898193252</v>
      </c>
      <c r="L149" s="447">
        <f>L81*Calc_SEC_retirement_rates!$G128</f>
        <v>1.3219452744324824</v>
      </c>
      <c r="M149" s="447">
        <f>M81*Calc_SEC_retirement_rates!$G128</f>
        <v>1.3297702033981433</v>
      </c>
      <c r="N149" s="447">
        <f>N81*Calc_SEC_retirement_rates!$G128</f>
        <v>1.3354113338606328</v>
      </c>
      <c r="O149" s="320"/>
    </row>
    <row r="150" spans="1:15">
      <c r="B150" s="331" t="str">
        <f t="shared" si="56"/>
        <v>45-49</v>
      </c>
      <c r="C150" s="447">
        <f>C82*Calc_SEC_retirement_rates!$G129</f>
        <v>2.5585833143522563</v>
      </c>
      <c r="D150" s="447">
        <f>D82*Calc_SEC_retirement_rates!$G129</f>
        <v>2.4979191160915226</v>
      </c>
      <c r="E150" s="447">
        <f>E82*Calc_SEC_retirement_rates!$G129</f>
        <v>2.4623876341571558</v>
      </c>
      <c r="F150" s="447">
        <f>F82*Calc_SEC_retirement_rates!$G129</f>
        <v>2.4422400331028267</v>
      </c>
      <c r="G150" s="447">
        <f>G82*Calc_SEC_retirement_rates!$G129</f>
        <v>2.4319529336396122</v>
      </c>
      <c r="H150" s="447">
        <f>H82*Calc_SEC_retirement_rates!$G129</f>
        <v>2.4324513791122548</v>
      </c>
      <c r="I150" s="447">
        <f>I82*Calc_SEC_retirement_rates!$G129</f>
        <v>2.4407735469625242</v>
      </c>
      <c r="J150" s="447">
        <f>J82*Calc_SEC_retirement_rates!$G129</f>
        <v>2.4568975309676149</v>
      </c>
      <c r="K150" s="447">
        <f>K82*Calc_SEC_retirement_rates!$G129</f>
        <v>2.4704373793845531</v>
      </c>
      <c r="L150" s="447">
        <f>L82*Calc_SEC_retirement_rates!$G129</f>
        <v>2.4812084881008549</v>
      </c>
      <c r="M150" s="447">
        <f>M82*Calc_SEC_retirement_rates!$G129</f>
        <v>2.4889708559046415</v>
      </c>
      <c r="N150" s="447">
        <f>N82*Calc_SEC_retirement_rates!$G129</f>
        <v>2.4948660713302862</v>
      </c>
      <c r="O150" s="320"/>
    </row>
    <row r="151" spans="1:15">
      <c r="B151" s="331" t="str">
        <f t="shared" si="56"/>
        <v>50-54</v>
      </c>
      <c r="C151" s="447">
        <f>C83*Calc_SEC_retirement_rates!$G130</f>
        <v>46.476144847521518</v>
      </c>
      <c r="D151" s="447">
        <f>D83*Calc_SEC_retirement_rates!$G130</f>
        <v>45.836397033205046</v>
      </c>
      <c r="E151" s="447">
        <f>E83*Calc_SEC_retirement_rates!$G130</f>
        <v>45.12815536670584</v>
      </c>
      <c r="F151" s="447">
        <f>F83*Calc_SEC_retirement_rates!$G130</f>
        <v>44.399981790009562</v>
      </c>
      <c r="G151" s="447">
        <f>G83*Calc_SEC_retirement_rates!$G130</f>
        <v>43.75571227222165</v>
      </c>
      <c r="H151" s="447">
        <f>H83*Calc_SEC_retirement_rates!$G130</f>
        <v>43.284921505651099</v>
      </c>
      <c r="I151" s="447">
        <f>I83*Calc_SEC_retirement_rates!$G130</f>
        <v>42.980601913230032</v>
      </c>
      <c r="J151" s="447">
        <f>J83*Calc_SEC_retirement_rates!$G130</f>
        <v>42.860695880270583</v>
      </c>
      <c r="K151" s="447">
        <f>K83*Calc_SEC_retirement_rates!$G130</f>
        <v>42.754060834930357</v>
      </c>
      <c r="L151" s="447">
        <f>L83*Calc_SEC_retirement_rates!$G130</f>
        <v>42.656210679513201</v>
      </c>
      <c r="M151" s="447">
        <f>M83*Calc_SEC_retirement_rates!$G130</f>
        <v>42.558238456403252</v>
      </c>
      <c r="N151" s="447">
        <f>N83*Calc_SEC_retirement_rates!$G130</f>
        <v>42.473642351070637</v>
      </c>
      <c r="O151" s="320"/>
    </row>
    <row r="152" spans="1:15">
      <c r="B152" s="331" t="str">
        <f t="shared" si="56"/>
        <v>55-59</v>
      </c>
      <c r="C152" s="447">
        <f>C84*Calc_SEC_retirement_rates!$G131</f>
        <v>214.38989459248089</v>
      </c>
      <c r="D152" s="447">
        <f>D84*Calc_SEC_retirement_rates!$G131</f>
        <v>195.69327368093337</v>
      </c>
      <c r="E152" s="447">
        <f>E84*Calc_SEC_retirement_rates!$G131</f>
        <v>183.75681006323197</v>
      </c>
      <c r="F152" s="447">
        <f>F84*Calc_SEC_retirement_rates!$G131</f>
        <v>175.67888743365137</v>
      </c>
      <c r="G152" s="447">
        <f>G84*Calc_SEC_retirement_rates!$G131</f>
        <v>169.7321048372298</v>
      </c>
      <c r="H152" s="447">
        <f>H84*Calc_SEC_retirement_rates!$G131</f>
        <v>165.57275584569169</v>
      </c>
      <c r="I152" s="447">
        <f>I84*Calc_SEC_retirement_rates!$G131</f>
        <v>162.67700298755926</v>
      </c>
      <c r="J152" s="447">
        <f>J84*Calc_SEC_retirement_rates!$G131</f>
        <v>160.88943202994679</v>
      </c>
      <c r="K152" s="447">
        <f>K84*Calc_SEC_retirement_rates!$G131</f>
        <v>159.29778484532116</v>
      </c>
      <c r="L152" s="447">
        <f>L84*Calc_SEC_retirement_rates!$G131</f>
        <v>157.88203943640448</v>
      </c>
      <c r="M152" s="447">
        <f>M84*Calc_SEC_retirement_rates!$G131</f>
        <v>156.60197585249736</v>
      </c>
      <c r="N152" s="447">
        <f>N84*Calc_SEC_retirement_rates!$G131</f>
        <v>155.51831461511466</v>
      </c>
      <c r="O152" s="320"/>
    </row>
    <row r="153" spans="1:15">
      <c r="B153" s="331" t="str">
        <f t="shared" si="56"/>
        <v>60-64</v>
      </c>
      <c r="C153" s="447">
        <f>C85*Calc_SEC_retirement_rates!$G132</f>
        <v>152.73922212613058</v>
      </c>
      <c r="D153" s="447">
        <f>D85*Calc_SEC_retirement_rates!$G132</f>
        <v>137.01669704043337</v>
      </c>
      <c r="E153" s="447">
        <f>E85*Calc_SEC_retirement_rates!$G132</f>
        <v>124.72811798936326</v>
      </c>
      <c r="F153" s="447">
        <f>F85*Calc_SEC_retirement_rates!$G132</f>
        <v>115.82238338352211</v>
      </c>
      <c r="G153" s="447">
        <f>G85*Calc_SEC_retirement_rates!$G132</f>
        <v>109.23811440242828</v>
      </c>
      <c r="H153" s="447">
        <f>H85*Calc_SEC_retirement_rates!$G132</f>
        <v>104.70964281209636</v>
      </c>
      <c r="I153" s="447">
        <f>I85*Calc_SEC_retirement_rates!$G132</f>
        <v>101.6120609167159</v>
      </c>
      <c r="J153" s="447">
        <f>J85*Calc_SEC_retirement_rates!$G132</f>
        <v>99.653934686970089</v>
      </c>
      <c r="K153" s="447">
        <f>K85*Calc_SEC_retirement_rates!$G132</f>
        <v>97.936905491029236</v>
      </c>
      <c r="L153" s="447">
        <f>L85*Calc_SEC_retirement_rates!$G132</f>
        <v>96.422235770822695</v>
      </c>
      <c r="M153" s="447">
        <f>M85*Calc_SEC_retirement_rates!$G132</f>
        <v>95.06648108920173</v>
      </c>
      <c r="N153" s="447">
        <f>N85*Calc_SEC_retirement_rates!$G132</f>
        <v>93.920003230780011</v>
      </c>
      <c r="O153" s="320"/>
    </row>
    <row r="154" spans="1:15">
      <c r="B154" s="331" t="str">
        <f t="shared" si="56"/>
        <v>65 plus</v>
      </c>
      <c r="C154" s="447">
        <f>C86*Calc_SEC_retirement_rates!$G133</f>
        <v>49.272688500480328</v>
      </c>
      <c r="D154" s="447">
        <f>D86*Calc_SEC_retirement_rates!$G133</f>
        <v>52.541933897637108</v>
      </c>
      <c r="E154" s="447">
        <f>E86*Calc_SEC_retirement_rates!$G133</f>
        <v>52.457569766183873</v>
      </c>
      <c r="F154" s="447">
        <f>F86*Calc_SEC_retirement_rates!$G133</f>
        <v>50.726367565467527</v>
      </c>
      <c r="G154" s="447">
        <f>G86*Calc_SEC_retirement_rates!$G133</f>
        <v>48.54468872456966</v>
      </c>
      <c r="H154" s="447">
        <f>H86*Calc_SEC_retirement_rates!$G133</f>
        <v>46.508945177490112</v>
      </c>
      <c r="I154" s="447">
        <f>I86*Calc_SEC_retirement_rates!$G133</f>
        <v>44.814971833618998</v>
      </c>
      <c r="J154" s="447">
        <f>J86*Calc_SEC_retirement_rates!$G133</f>
        <v>43.555407920023207</v>
      </c>
      <c r="K154" s="447">
        <f>K86*Calc_SEC_retirement_rates!$G133</f>
        <v>42.445099572846644</v>
      </c>
      <c r="L154" s="447">
        <f>L86*Calc_SEC_retirement_rates!$G133</f>
        <v>41.466655584713891</v>
      </c>
      <c r="M154" s="447">
        <f>M86*Calc_SEC_retirement_rates!$G133</f>
        <v>40.596983688000428</v>
      </c>
      <c r="N154" s="447">
        <f>N86*Calc_SEC_retirement_rates!$G133</f>
        <v>39.851488428141195</v>
      </c>
      <c r="O154" s="320"/>
    </row>
    <row r="155" spans="1:15">
      <c r="B155" s="331" t="str">
        <f t="shared" si="56"/>
        <v>Total</v>
      </c>
      <c r="C155" s="447">
        <f>SUM(C145:C154)</f>
        <v>467.50793932297375</v>
      </c>
      <c r="D155" s="447">
        <f t="shared" ref="D155:N155" si="58">SUM(D145:D154)</f>
        <v>435.71093989115843</v>
      </c>
      <c r="E155" s="447">
        <f t="shared" si="58"/>
        <v>410.7019874043674</v>
      </c>
      <c r="F155" s="447">
        <f t="shared" si="58"/>
        <v>391.279725866376</v>
      </c>
      <c r="G155" s="447">
        <f t="shared" si="58"/>
        <v>375.94547757362534</v>
      </c>
      <c r="H155" s="447">
        <f t="shared" si="58"/>
        <v>364.78436223082389</v>
      </c>
      <c r="I155" s="447">
        <f t="shared" si="58"/>
        <v>356.83358585679923</v>
      </c>
      <c r="J155" s="447">
        <f t="shared" si="58"/>
        <v>351.75924136732874</v>
      </c>
      <c r="K155" s="447">
        <f t="shared" si="58"/>
        <v>347.27397489666629</v>
      </c>
      <c r="L155" s="447">
        <f t="shared" si="58"/>
        <v>343.29760767197945</v>
      </c>
      <c r="M155" s="447">
        <f t="shared" si="58"/>
        <v>339.71456845414542</v>
      </c>
      <c r="N155" s="447">
        <f t="shared" si="58"/>
        <v>336.66777155064284</v>
      </c>
      <c r="O155" s="320"/>
    </row>
    <row r="156" spans="1:15">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5">
      <c r="B158" s="334" t="s">
        <v>47</v>
      </c>
      <c r="C158" s="322"/>
      <c r="D158" s="322"/>
      <c r="E158" s="322"/>
      <c r="F158" s="322"/>
      <c r="G158" s="322"/>
      <c r="H158" s="332"/>
      <c r="I158" s="322"/>
      <c r="J158" s="322"/>
      <c r="K158" s="322"/>
      <c r="L158" s="322"/>
    </row>
    <row r="159" spans="1:15">
      <c r="C159" s="322"/>
      <c r="D159" s="322"/>
      <c r="E159" s="322"/>
      <c r="F159" s="322"/>
      <c r="G159" s="322"/>
      <c r="H159" s="332"/>
      <c r="I159" s="322"/>
      <c r="J159" s="322"/>
      <c r="K159" s="322"/>
      <c r="L159" s="322"/>
    </row>
    <row r="160" spans="1:15">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0.19976638815015066</v>
      </c>
      <c r="D163" s="447">
        <f>D95*Calc_SEC_retirement_rates!$G142</f>
        <v>0.21785104169807451</v>
      </c>
      <c r="E163" s="447">
        <f>E95*Calc_SEC_retirement_rates!$G142</f>
        <v>0.22953203983929765</v>
      </c>
      <c r="F163" s="447">
        <f>F95*Calc_SEC_retirement_rates!$G142</f>
        <v>0.23886996356486873</v>
      </c>
      <c r="G163" s="447">
        <f>G95*Calc_SEC_retirement_rates!$G142</f>
        <v>0.24463321629812709</v>
      </c>
      <c r="H163" s="447">
        <f>H95*Calc_SEC_retirement_rates!$G142</f>
        <v>0.24928006139408429</v>
      </c>
      <c r="I163" s="447">
        <f>I95*Calc_SEC_retirement_rates!$G142</f>
        <v>0.25321016189567636</v>
      </c>
      <c r="J163" s="447">
        <f>J95*Calc_SEC_retirement_rates!$G142</f>
        <v>0.25702143442412068</v>
      </c>
      <c r="K163" s="447">
        <f>K95*Calc_SEC_retirement_rates!$G142</f>
        <v>0.25940584543557993</v>
      </c>
      <c r="L163" s="447">
        <f>L95*Calc_SEC_retirement_rates!$G142</f>
        <v>0.2605146103913506</v>
      </c>
      <c r="M163" s="447">
        <f>M95*Calc_SEC_retirement_rates!$G142</f>
        <v>0.26048296573158253</v>
      </c>
      <c r="N163" s="447">
        <f>N95*Calc_SEC_retirement_rates!$G142</f>
        <v>0.25967418184245517</v>
      </c>
    </row>
    <row r="164" spans="1:14">
      <c r="B164" s="331" t="str">
        <f t="shared" si="60"/>
        <v>35-39</v>
      </c>
      <c r="C164" s="447">
        <f>C96*Calc_SEC_retirement_rates!$G143</f>
        <v>0.69113125796943808</v>
      </c>
      <c r="D164" s="447">
        <f>D96*Calc_SEC_retirement_rates!$G143</f>
        <v>0.72224319214779231</v>
      </c>
      <c r="E164" s="447">
        <f>E96*Calc_SEC_retirement_rates!$G143</f>
        <v>0.7520094486798462</v>
      </c>
      <c r="F164" s="447">
        <f>F96*Calc_SEC_retirement_rates!$G143</f>
        <v>0.7825164051795952</v>
      </c>
      <c r="G164" s="447">
        <f>G96*Calc_SEC_retirement_rates!$G143</f>
        <v>0.80649165244771837</v>
      </c>
      <c r="H164" s="447">
        <f>H96*Calc_SEC_retirement_rates!$G143</f>
        <v>0.82827516689927749</v>
      </c>
      <c r="I164" s="447">
        <f>I96*Calc_SEC_retirement_rates!$G143</f>
        <v>0.84777604953109198</v>
      </c>
      <c r="J164" s="447">
        <f>J96*Calc_SEC_retirement_rates!$G143</f>
        <v>0.8660483335379342</v>
      </c>
      <c r="K164" s="447">
        <f>K96*Calc_SEC_retirement_rates!$G143</f>
        <v>0.87975879404351898</v>
      </c>
      <c r="L164" s="447">
        <f>L96*Calc_SEC_retirement_rates!$G143</f>
        <v>0.88943109333620773</v>
      </c>
      <c r="M164" s="447">
        <f>M96*Calc_SEC_retirement_rates!$G143</f>
        <v>0.89542438919059697</v>
      </c>
      <c r="N164" s="447">
        <f>N96*Calc_SEC_retirement_rates!$G143</f>
        <v>0.89859792118584536</v>
      </c>
    </row>
    <row r="165" spans="1:14">
      <c r="B165" s="331" t="str">
        <f t="shared" si="60"/>
        <v>40-44</v>
      </c>
      <c r="C165" s="447">
        <f>C97*Calc_SEC_retirement_rates!$G144</f>
        <v>1.5565849550865785</v>
      </c>
      <c r="D165" s="447">
        <f>D97*Calc_SEC_retirement_rates!$G144</f>
        <v>1.5925281273284242</v>
      </c>
      <c r="E165" s="447">
        <f>E97*Calc_SEC_retirement_rates!$G144</f>
        <v>1.6219638623953267</v>
      </c>
      <c r="F165" s="447">
        <f>F97*Calc_SEC_retirement_rates!$G144</f>
        <v>1.6577265811668669</v>
      </c>
      <c r="G165" s="447">
        <f>G97*Calc_SEC_retirement_rates!$G144</f>
        <v>1.6878539193392206</v>
      </c>
      <c r="H165" s="447">
        <f>H97*Calc_SEC_retirement_rates!$G144</f>
        <v>1.7208687696875351</v>
      </c>
      <c r="I165" s="447">
        <f>I97*Calc_SEC_retirement_rates!$G144</f>
        <v>1.7551800426518038</v>
      </c>
      <c r="J165" s="447">
        <f>J97*Calc_SEC_retirement_rates!$G144</f>
        <v>1.7912422108301471</v>
      </c>
      <c r="K165" s="447">
        <f>K97*Calc_SEC_retirement_rates!$G144</f>
        <v>1.8210937970014394</v>
      </c>
      <c r="L165" s="447">
        <f>L97*Calc_SEC_retirement_rates!$G144</f>
        <v>1.8449538642217544</v>
      </c>
      <c r="M165" s="447">
        <f>M97*Calc_SEC_retirement_rates!$G144</f>
        <v>1.8629642624444918</v>
      </c>
      <c r="N165" s="447">
        <f>N97*Calc_SEC_retirement_rates!$G144</f>
        <v>1.8763646629475323</v>
      </c>
    </row>
    <row r="166" spans="1:14">
      <c r="B166" s="331" t="str">
        <f t="shared" si="60"/>
        <v>45-49</v>
      </c>
      <c r="C166" s="447">
        <f>C98*Calc_SEC_retirement_rates!$G145</f>
        <v>2.3997767246643766</v>
      </c>
      <c r="D166" s="447">
        <f>D98*Calc_SEC_retirement_rates!$G145</f>
        <v>2.3705063523167071</v>
      </c>
      <c r="E166" s="447">
        <f>E98*Calc_SEC_retirement_rates!$G145</f>
        <v>2.3464975516631617</v>
      </c>
      <c r="F166" s="447">
        <f>F98*Calc_SEC_retirement_rates!$G145</f>
        <v>2.3385924496323085</v>
      </c>
      <c r="G166" s="447">
        <f>G98*Calc_SEC_retirement_rates!$G145</f>
        <v>2.3311770128313412</v>
      </c>
      <c r="H166" s="447">
        <f>H98*Calc_SEC_retirement_rates!$G145</f>
        <v>2.3352917660615931</v>
      </c>
      <c r="I166" s="447">
        <f>I98*Calc_SEC_retirement_rates!$G145</f>
        <v>2.3486795816332169</v>
      </c>
      <c r="J166" s="447">
        <f>J98*Calc_SEC_retirement_rates!$G145</f>
        <v>2.3713330413077944</v>
      </c>
      <c r="K166" s="447">
        <f>K98*Calc_SEC_retirement_rates!$G145</f>
        <v>2.3924619658599777</v>
      </c>
      <c r="L166" s="447">
        <f>L98*Calc_SEC_retirement_rates!$G145</f>
        <v>2.411355505094539</v>
      </c>
      <c r="M166" s="447">
        <f>M98*Calc_SEC_retirement_rates!$G145</f>
        <v>2.427261819441108</v>
      </c>
      <c r="N166" s="447">
        <f>N98*Calc_SEC_retirement_rates!$G145</f>
        <v>2.440906007074207</v>
      </c>
    </row>
    <row r="167" spans="1:14">
      <c r="B167" s="331" t="str">
        <f t="shared" si="60"/>
        <v>50-54</v>
      </c>
      <c r="C167" s="447">
        <f>C99*Calc_SEC_retirement_rates!$G146</f>
        <v>48.275002435444939</v>
      </c>
      <c r="D167" s="447">
        <f>D99*Calc_SEC_retirement_rates!$G146</f>
        <v>47.35671196242955</v>
      </c>
      <c r="E167" s="447">
        <f>E99*Calc_SEC_retirement_rates!$G146</f>
        <v>46.362992778073668</v>
      </c>
      <c r="F167" s="447">
        <f>F99*Calc_SEC_retirement_rates!$G146</f>
        <v>45.574746016707664</v>
      </c>
      <c r="G167" s="447">
        <f>G99*Calc_SEC_retirement_rates!$G146</f>
        <v>44.778257094091728</v>
      </c>
      <c r="H167" s="447">
        <f>H99*Calc_SEC_retirement_rates!$G146</f>
        <v>44.208687225908719</v>
      </c>
      <c r="I167" s="447">
        <f>I99*Calc_SEC_retirement_rates!$G146</f>
        <v>43.848408050128398</v>
      </c>
      <c r="J167" s="447">
        <f>J99*Calc_SEC_retirement_rates!$G146</f>
        <v>43.711508560430026</v>
      </c>
      <c r="K167" s="447">
        <f>K99*Calc_SEC_retirement_rates!$G146</f>
        <v>43.618608153324111</v>
      </c>
      <c r="L167" s="447">
        <f>L99*Calc_SEC_retirement_rates!$G146</f>
        <v>43.560448974450324</v>
      </c>
      <c r="M167" s="447">
        <f>M99*Calc_SEC_retirement_rates!$G146</f>
        <v>43.522404577175678</v>
      </c>
      <c r="N167" s="447">
        <f>N99*Calc_SEC_retirement_rates!$G146</f>
        <v>43.51241642358692</v>
      </c>
    </row>
    <row r="168" spans="1:14">
      <c r="B168" s="331" t="str">
        <f t="shared" si="60"/>
        <v>55-59</v>
      </c>
      <c r="C168" s="447">
        <f>C100*Calc_SEC_retirement_rates!$G147</f>
        <v>219.68277944696828</v>
      </c>
      <c r="D168" s="447">
        <f>D100*Calc_SEC_retirement_rates!$G147</f>
        <v>209.0193657001312</v>
      </c>
      <c r="E168" s="447">
        <f>E100*Calc_SEC_retirement_rates!$G147</f>
        <v>200.392368650782</v>
      </c>
      <c r="F168" s="447">
        <f>F100*Calc_SEC_retirement_rates!$G147</f>
        <v>194.08436623144965</v>
      </c>
      <c r="G168" s="447">
        <f>G100*Calc_SEC_retirement_rates!$G147</f>
        <v>188.37235187033133</v>
      </c>
      <c r="H168" s="447">
        <f>H100*Calc_SEC_retirement_rates!$G147</f>
        <v>184.04115429222759</v>
      </c>
      <c r="I168" s="447">
        <f>I100*Calc_SEC_retirement_rates!$G147</f>
        <v>180.83424476687216</v>
      </c>
      <c r="J168" s="447">
        <f>J100*Calc_SEC_retirement_rates!$G147</f>
        <v>178.74567852725011</v>
      </c>
      <c r="K168" s="447">
        <f>K100*Calc_SEC_retirement_rates!$G147</f>
        <v>176.88934903437834</v>
      </c>
      <c r="L168" s="447">
        <f>L100*Calc_SEC_retirement_rates!$G147</f>
        <v>175.27582194508526</v>
      </c>
      <c r="M168" s="447">
        <f>M100*Calc_SEC_retirement_rates!$G147</f>
        <v>173.87521079631168</v>
      </c>
      <c r="N168" s="447">
        <f>N100*Calc_SEC_retirement_rates!$G147</f>
        <v>172.75268982683616</v>
      </c>
    </row>
    <row r="169" spans="1:14">
      <c r="B169" s="331" t="str">
        <f t="shared" si="60"/>
        <v>60-64</v>
      </c>
      <c r="C169" s="447">
        <f>C101*Calc_SEC_retirement_rates!$G148</f>
        <v>155.27454500702663</v>
      </c>
      <c r="D169" s="447">
        <f>D101*Calc_SEC_retirement_rates!$G148</f>
        <v>150.94398419847079</v>
      </c>
      <c r="E169" s="447">
        <f>E101*Calc_SEC_retirement_rates!$G148</f>
        <v>145.02453605169757</v>
      </c>
      <c r="F169" s="447">
        <f>F101*Calc_SEC_retirement_rates!$G148</f>
        <v>139.99497180967319</v>
      </c>
      <c r="G169" s="447">
        <f>G101*Calc_SEC_retirement_rates!$G148</f>
        <v>135.00308140695185</v>
      </c>
      <c r="H169" s="447">
        <f>H101*Calc_SEC_retirement_rates!$G148</f>
        <v>131.094856484194</v>
      </c>
      <c r="I169" s="447">
        <f>I101*Calc_SEC_retirement_rates!$G148</f>
        <v>128.10183898591302</v>
      </c>
      <c r="J169" s="447">
        <f>J101*Calc_SEC_retirement_rates!$G148</f>
        <v>126.0328621841231</v>
      </c>
      <c r="K169" s="447">
        <f>K101*Calc_SEC_retirement_rates!$G148</f>
        <v>124.04427502036374</v>
      </c>
      <c r="L169" s="447">
        <f>L101*Calc_SEC_retirement_rates!$G148</f>
        <v>122.2018930653705</v>
      </c>
      <c r="M169" s="447">
        <f>M101*Calc_SEC_retirement_rates!$G148</f>
        <v>120.51838616332145</v>
      </c>
      <c r="N169" s="447">
        <f>N101*Calc_SEC_retirement_rates!$G148</f>
        <v>119.08771433835246</v>
      </c>
    </row>
    <row r="170" spans="1:14">
      <c r="B170" s="331" t="str">
        <f t="shared" si="60"/>
        <v>65 plus</v>
      </c>
      <c r="C170" s="447">
        <f>C102*Calc_SEC_retirement_rates!$G149</f>
        <v>37.843984696309377</v>
      </c>
      <c r="D170" s="447">
        <f>D102*Calc_SEC_retirement_rates!$G149</f>
        <v>48.162630733199066</v>
      </c>
      <c r="E170" s="447">
        <f>E102*Calc_SEC_retirement_rates!$G149</f>
        <v>53.985992318924168</v>
      </c>
      <c r="F170" s="447">
        <f>F102*Calc_SEC_retirement_rates!$G149</f>
        <v>57.141909649181862</v>
      </c>
      <c r="G170" s="447">
        <f>G102*Calc_SEC_retirement_rates!$G149</f>
        <v>58.28173040730556</v>
      </c>
      <c r="H170" s="447">
        <f>H102*Calc_SEC_retirement_rates!$G149</f>
        <v>58.48111100584044</v>
      </c>
      <c r="I170" s="447">
        <f>I102*Calc_SEC_retirement_rates!$G149</f>
        <v>58.201202187848054</v>
      </c>
      <c r="J170" s="447">
        <f>J102*Calc_SEC_retirement_rates!$G149</f>
        <v>57.78135837961797</v>
      </c>
      <c r="K170" s="447">
        <f>K102*Calc_SEC_retirement_rates!$G149</f>
        <v>57.120527770572622</v>
      </c>
      <c r="L170" s="447">
        <f>L102*Calc_SEC_retirement_rates!$G149</f>
        <v>56.330578479166682</v>
      </c>
      <c r="M170" s="447">
        <f>M102*Calc_SEC_retirement_rates!$G149</f>
        <v>55.482425321556377</v>
      </c>
      <c r="N170" s="447">
        <f>N102*Calc_SEC_retirement_rates!$G149</f>
        <v>54.659460869401912</v>
      </c>
    </row>
    <row r="171" spans="1:14">
      <c r="B171" s="331" t="str">
        <f t="shared" si="60"/>
        <v>Total</v>
      </c>
      <c r="C171" s="447">
        <f>SUM(C161:C170)</f>
        <v>465.92357091161978</v>
      </c>
      <c r="D171" s="447">
        <f t="shared" ref="D171:N171" si="62">SUM(D161:D170)</f>
        <v>460.38582130772164</v>
      </c>
      <c r="E171" s="447">
        <f t="shared" si="62"/>
        <v>450.71589270205504</v>
      </c>
      <c r="F171" s="447">
        <f t="shared" si="62"/>
        <v>441.81369910655599</v>
      </c>
      <c r="G171" s="447">
        <f t="shared" si="62"/>
        <v>431.50557657959689</v>
      </c>
      <c r="H171" s="447">
        <f t="shared" si="62"/>
        <v>422.95952477221323</v>
      </c>
      <c r="I171" s="447">
        <f t="shared" si="62"/>
        <v>416.19053982647335</v>
      </c>
      <c r="J171" s="447">
        <f t="shared" si="62"/>
        <v>411.55705267152126</v>
      </c>
      <c r="K171" s="447">
        <f t="shared" si="62"/>
        <v>407.02548038097933</v>
      </c>
      <c r="L171" s="447">
        <f t="shared" si="62"/>
        <v>402.77499753711658</v>
      </c>
      <c r="M171" s="447">
        <f t="shared" si="62"/>
        <v>398.84456029517293</v>
      </c>
      <c r="N171" s="447">
        <f t="shared" si="62"/>
        <v>395.48782423122748</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0.1703913173803569</v>
      </c>
      <c r="D180" s="447">
        <f>D78*Calc_SEC_death_rates!$G125</f>
        <v>0.17906115032678527</v>
      </c>
      <c r="E180" s="447">
        <f>E78*Calc_SEC_death_rates!$G125</f>
        <v>0.18656893633191313</v>
      </c>
      <c r="F180" s="447">
        <f>F78*Calc_SEC_death_rates!$G125</f>
        <v>0.19442163134361104</v>
      </c>
      <c r="G180" s="447">
        <f>G78*Calc_SEC_death_rates!$G125</f>
        <v>0.19951958949928078</v>
      </c>
      <c r="H180" s="447">
        <f>H78*Calc_SEC_death_rates!$G125</f>
        <v>0.20408234016950311</v>
      </c>
      <c r="I180" s="447">
        <f>I78*Calc_SEC_death_rates!$G125</f>
        <v>0.20809907996578278</v>
      </c>
      <c r="J180" s="447">
        <f>J78*Calc_SEC_death_rates!$G125</f>
        <v>0.21218204748036981</v>
      </c>
      <c r="K180" s="447">
        <f>K78*Calc_SEC_death_rates!$G125</f>
        <v>0.21401916753896288</v>
      </c>
      <c r="L180" s="447">
        <f>L78*Calc_SEC_death_rates!$G125</f>
        <v>0.21414520829960096</v>
      </c>
      <c r="M180" s="447">
        <f>M78*Calc_SEC_death_rates!$G125</f>
        <v>0.21297794063684247</v>
      </c>
      <c r="N180" s="447">
        <f>N78*Calc_SEC_death_rates!$G125</f>
        <v>0.21120120319207888</v>
      </c>
    </row>
    <row r="181" spans="1:14">
      <c r="B181" s="331" t="str">
        <f t="shared" si="64"/>
        <v>30-34</v>
      </c>
      <c r="C181" s="447">
        <f>C79*Calc_SEC_death_rates!$G126</f>
        <v>0.60155750185966561</v>
      </c>
      <c r="D181" s="447">
        <f>D79*Calc_SEC_death_rates!$G126</f>
        <v>0.62067275589976523</v>
      </c>
      <c r="E181" s="447">
        <f>E79*Calc_SEC_death_rates!$G126</f>
        <v>0.63566936283313891</v>
      </c>
      <c r="F181" s="447">
        <f>F79*Calc_SEC_death_rates!$G126</f>
        <v>0.65061470679098676</v>
      </c>
      <c r="G181" s="447">
        <f>G79*Calc_SEC_death_rates!$G126</f>
        <v>0.66259474508093819</v>
      </c>
      <c r="H181" s="447">
        <f>H79*Calc_SEC_death_rates!$G126</f>
        <v>0.67449955528490579</v>
      </c>
      <c r="I181" s="447">
        <f>I79*Calc_SEC_death_rates!$G126</f>
        <v>0.68614212003086461</v>
      </c>
      <c r="J181" s="447">
        <f>J79*Calc_SEC_death_rates!$G126</f>
        <v>0.69836297918717616</v>
      </c>
      <c r="K181" s="447">
        <f>K79*Calc_SEC_death_rates!$G126</f>
        <v>0.70689948281028048</v>
      </c>
      <c r="L181" s="447">
        <f>L79*Calc_SEC_death_rates!$G126</f>
        <v>0.71185789610230432</v>
      </c>
      <c r="M181" s="447">
        <f>M79*Calc_SEC_death_rates!$G126</f>
        <v>0.71345431233223411</v>
      </c>
      <c r="N181" s="447">
        <f>N79*Calc_SEC_death_rates!$G126</f>
        <v>0.71265048841684875</v>
      </c>
    </row>
    <row r="182" spans="1:14">
      <c r="B182" s="331" t="str">
        <f t="shared" si="64"/>
        <v>35-39</v>
      </c>
      <c r="C182" s="447">
        <f>C80*Calc_SEC_death_rates!$G127</f>
        <v>1.1288427994391306</v>
      </c>
      <c r="D182" s="447">
        <f>D80*Calc_SEC_death_rates!$G127</f>
        <v>1.1587781532935799</v>
      </c>
      <c r="E182" s="447">
        <f>E80*Calc_SEC_death_rates!$G127</f>
        <v>1.1838952517955039</v>
      </c>
      <c r="F182" s="447">
        <f>F80*Calc_SEC_death_rates!$G127</f>
        <v>1.2066697975608396</v>
      </c>
      <c r="G182" s="447">
        <f>G80*Calc_SEC_death_rates!$G127</f>
        <v>1.2251900373342486</v>
      </c>
      <c r="H182" s="447">
        <f>H80*Calc_SEC_death_rates!$G127</f>
        <v>1.2436296479152469</v>
      </c>
      <c r="I182" s="447">
        <f>I80*Calc_SEC_death_rates!$G127</f>
        <v>1.2620806314759363</v>
      </c>
      <c r="J182" s="447">
        <f>J80*Calc_SEC_death_rates!$G127</f>
        <v>1.2818218638200096</v>
      </c>
      <c r="K182" s="447">
        <f>K80*Calc_SEC_death_rates!$G127</f>
        <v>1.297319767280303</v>
      </c>
      <c r="L182" s="447">
        <f>L80*Calc_SEC_death_rates!$G127</f>
        <v>1.3087779202720207</v>
      </c>
      <c r="M182" s="447">
        <f>M80*Calc_SEC_death_rates!$G127</f>
        <v>1.3161964304114788</v>
      </c>
      <c r="N182" s="447">
        <f>N80*Calc_SEC_death_rates!$G127</f>
        <v>1.3204137797126139</v>
      </c>
    </row>
    <row r="183" spans="1:14">
      <c r="B183" s="331" t="str">
        <f t="shared" si="64"/>
        <v>40-44</v>
      </c>
      <c r="C183" s="447">
        <f>C81*Calc_SEC_death_rates!$G128</f>
        <v>1.5911545733702759</v>
      </c>
      <c r="D183" s="447">
        <f>D81*Calc_SEC_death_rates!$G128</f>
        <v>1.628959961495819</v>
      </c>
      <c r="E183" s="447">
        <f>E81*Calc_SEC_death_rates!$G128</f>
        <v>1.6606996375070537</v>
      </c>
      <c r="F183" s="447">
        <f>F81*Calc_SEC_death_rates!$G128</f>
        <v>1.6896795485269223</v>
      </c>
      <c r="G183" s="447">
        <f>G81*Calc_SEC_death_rates!$G128</f>
        <v>1.7130393705122968</v>
      </c>
      <c r="H183" s="447">
        <f>H81*Calc_SEC_death_rates!$G128</f>
        <v>1.7361017815222617</v>
      </c>
      <c r="I183" s="447">
        <f>I81*Calc_SEC_death_rates!$G128</f>
        <v>1.7590437138985839</v>
      </c>
      <c r="J183" s="447">
        <f>J81*Calc_SEC_death_rates!$G128</f>
        <v>1.7836067293403011</v>
      </c>
      <c r="K183" s="447">
        <f>K81*Calc_SEC_death_rates!$G128</f>
        <v>1.8030269873025313</v>
      </c>
      <c r="L183" s="447">
        <f>L81*Calc_SEC_death_rates!$G128</f>
        <v>1.8179630724359985</v>
      </c>
      <c r="M183" s="447">
        <f>M81*Calc_SEC_death_rates!$G128</f>
        <v>1.8287240564034424</v>
      </c>
      <c r="N183" s="447">
        <f>N81*Calc_SEC_death_rates!$G128</f>
        <v>1.8364818411362502</v>
      </c>
    </row>
    <row r="184" spans="1:14">
      <c r="B184" s="331" t="str">
        <f t="shared" si="64"/>
        <v>45-49</v>
      </c>
      <c r="C184" s="447">
        <f>C82*Calc_SEC_death_rates!$G129</f>
        <v>2.4532037703133258</v>
      </c>
      <c r="D184" s="447">
        <f>D82*Calc_SEC_death_rates!$G129</f>
        <v>2.3950381287798028</v>
      </c>
      <c r="E184" s="447">
        <f>E82*Calc_SEC_death_rates!$G129</f>
        <v>2.3609700705081589</v>
      </c>
      <c r="F184" s="447">
        <f>F82*Calc_SEC_death_rates!$G129</f>
        <v>2.3416522821867876</v>
      </c>
      <c r="G184" s="447">
        <f>G82*Calc_SEC_death_rates!$G129</f>
        <v>2.3317888741643937</v>
      </c>
      <c r="H184" s="447">
        <f>H82*Calc_SEC_death_rates!$G129</f>
        <v>2.3322667903244514</v>
      </c>
      <c r="I184" s="447">
        <f>I82*Calc_SEC_death_rates!$G129</f>
        <v>2.3402461957371803</v>
      </c>
      <c r="J184" s="447">
        <f>J82*Calc_SEC_death_rates!$G129</f>
        <v>2.3557060864242945</v>
      </c>
      <c r="K184" s="447">
        <f>K82*Calc_SEC_death_rates!$G129</f>
        <v>2.3686882734805375</v>
      </c>
      <c r="L184" s="447">
        <f>L82*Calc_SEC_death_rates!$G129</f>
        <v>2.3790157560233434</v>
      </c>
      <c r="M184" s="447">
        <f>M82*Calc_SEC_death_rates!$G129</f>
        <v>2.386458417693178</v>
      </c>
      <c r="N184" s="447">
        <f>N82*Calc_SEC_death_rates!$G129</f>
        <v>2.392110828786409</v>
      </c>
    </row>
    <row r="185" spans="1:14">
      <c r="B185" s="331" t="str">
        <f t="shared" si="64"/>
        <v>50-54</v>
      </c>
      <c r="C185" s="447">
        <f>C83*Calc_SEC_death_rates!$G130</f>
        <v>2.3100780254598781</v>
      </c>
      <c r="D185" s="447">
        <f>D83*Calc_SEC_death_rates!$G130</f>
        <v>2.2782796185021357</v>
      </c>
      <c r="E185" s="447">
        <f>E83*Calc_SEC_death_rates!$G130</f>
        <v>2.2430767522604849</v>
      </c>
      <c r="F185" s="447">
        <f>F83*Calc_SEC_death_rates!$G130</f>
        <v>2.2068831784654694</v>
      </c>
      <c r="G185" s="447">
        <f>G83*Calc_SEC_death_rates!$G130</f>
        <v>2.1748600220612899</v>
      </c>
      <c r="H185" s="447">
        <f>H83*Calc_SEC_death_rates!$G130</f>
        <v>2.1514595569837298</v>
      </c>
      <c r="I185" s="447">
        <f>I83*Calc_SEC_death_rates!$G130</f>
        <v>2.1363334744423486</v>
      </c>
      <c r="J185" s="447">
        <f>J83*Calc_SEC_death_rates!$G130</f>
        <v>2.1303735934589225</v>
      </c>
      <c r="K185" s="447">
        <f>K83*Calc_SEC_death_rates!$G130</f>
        <v>2.1250733415599634</v>
      </c>
      <c r="L185" s="447">
        <f>L83*Calc_SEC_death_rates!$G130</f>
        <v>2.1202097390697268</v>
      </c>
      <c r="M185" s="447">
        <f>M83*Calc_SEC_death_rates!$G130</f>
        <v>2.1153400692540769</v>
      </c>
      <c r="N185" s="447">
        <f>N83*Calc_SEC_death_rates!$G130</f>
        <v>2.1111352539749801</v>
      </c>
    </row>
    <row r="186" spans="1:14">
      <c r="B186" s="331" t="str">
        <f t="shared" si="64"/>
        <v>55-59</v>
      </c>
      <c r="C186" s="447">
        <f>C84*Calc_SEC_death_rates!$G131</f>
        <v>2.1756126363183403</v>
      </c>
      <c r="D186" s="447">
        <f>D84*Calc_SEC_death_rates!$G131</f>
        <v>1.9858807238653964</v>
      </c>
      <c r="E186" s="447">
        <f>E84*Calc_SEC_death_rates!$G131</f>
        <v>1.8647503826756298</v>
      </c>
      <c r="F186" s="447">
        <f>F84*Calc_SEC_death_rates!$G131</f>
        <v>1.7827762272168406</v>
      </c>
      <c r="G186" s="447">
        <f>G84*Calc_SEC_death_rates!$G131</f>
        <v>1.7224287216275238</v>
      </c>
      <c r="H186" s="447">
        <f>H84*Calc_SEC_death_rates!$G131</f>
        <v>1.680219958746936</v>
      </c>
      <c r="I186" s="447">
        <f>I84*Calc_SEC_death_rates!$G131</f>
        <v>1.6508340750429344</v>
      </c>
      <c r="J186" s="447">
        <f>J84*Calc_SEC_death_rates!$G131</f>
        <v>1.6326939384889712</v>
      </c>
      <c r="K186" s="447">
        <f>K84*Calc_SEC_death_rates!$G131</f>
        <v>1.6165420217486124</v>
      </c>
      <c r="L186" s="447">
        <f>L84*Calc_SEC_death_rates!$G131</f>
        <v>1.6021751430890394</v>
      </c>
      <c r="M186" s="447">
        <f>M84*Calc_SEC_death_rates!$G131</f>
        <v>1.5891851534548127</v>
      </c>
      <c r="N186" s="447">
        <f>N84*Calc_SEC_death_rates!$G131</f>
        <v>1.5781882401627025</v>
      </c>
    </row>
    <row r="187" spans="1:14">
      <c r="B187" s="331" t="str">
        <f t="shared" si="64"/>
        <v>60-64</v>
      </c>
      <c r="C187" s="447">
        <f>C85*Calc_SEC_death_rates!$G132</f>
        <v>1.6454887075764535</v>
      </c>
      <c r="D187" s="447">
        <f>D85*Calc_SEC_death_rates!$G132</f>
        <v>1.4761069526940171</v>
      </c>
      <c r="E187" s="447">
        <f>E85*Calc_SEC_death_rates!$G132</f>
        <v>1.3437197519526229</v>
      </c>
      <c r="F187" s="447">
        <f>F85*Calc_SEC_death_rates!$G132</f>
        <v>1.2477765782046051</v>
      </c>
      <c r="G187" s="447">
        <f>G85*Calc_SEC_death_rates!$G132</f>
        <v>1.1768429954272297</v>
      </c>
      <c r="H187" s="447">
        <f>H85*Calc_SEC_death_rates!$G132</f>
        <v>1.1280569091767803</v>
      </c>
      <c r="I187" s="447">
        <f>I85*Calc_SEC_death_rates!$G132</f>
        <v>1.0946860699208834</v>
      </c>
      <c r="J187" s="447">
        <f>J85*Calc_SEC_death_rates!$G132</f>
        <v>1.0735908033992612</v>
      </c>
      <c r="K187" s="447">
        <f>K85*Calc_SEC_death_rates!$G132</f>
        <v>1.0550929211056967</v>
      </c>
      <c r="L187" s="447">
        <f>L85*Calc_SEC_death_rates!$G132</f>
        <v>1.0387750959549986</v>
      </c>
      <c r="M187" s="447">
        <f>M85*Calc_SEC_death_rates!$G132</f>
        <v>1.0241692927579065</v>
      </c>
      <c r="N187" s="447">
        <f>N85*Calc_SEC_death_rates!$G132</f>
        <v>1.0118180686043521</v>
      </c>
    </row>
    <row r="188" spans="1:14">
      <c r="B188" s="331" t="str">
        <f t="shared" si="64"/>
        <v>65 plus</v>
      </c>
      <c r="C188" s="447">
        <f>C86*Calc_SEC_death_rates!$G133</f>
        <v>0.55115716094806744</v>
      </c>
      <c r="D188" s="447">
        <f>D86*Calc_SEC_death_rates!$G133</f>
        <v>0.58772646671107442</v>
      </c>
      <c r="E188" s="447">
        <f>E86*Calc_SEC_death_rates!$G133</f>
        <v>0.58678278174902565</v>
      </c>
      <c r="F188" s="447">
        <f>F86*Calc_SEC_death_rates!$G133</f>
        <v>0.56741780453726742</v>
      </c>
      <c r="G188" s="447">
        <f>G86*Calc_SEC_death_rates!$G133</f>
        <v>0.54301386083855863</v>
      </c>
      <c r="H188" s="447">
        <f>H86*Calc_SEC_death_rates!$G133</f>
        <v>0.52024232821119298</v>
      </c>
      <c r="I188" s="447">
        <f>I86*Calc_SEC_death_rates!$G133</f>
        <v>0.50129378760292864</v>
      </c>
      <c r="J188" s="447">
        <f>J86*Calc_SEC_death_rates!$G133</f>
        <v>0.48720448799746219</v>
      </c>
      <c r="K188" s="447">
        <f>K86*Calc_SEC_death_rates!$G133</f>
        <v>0.47478473955201633</v>
      </c>
      <c r="L188" s="447">
        <f>L86*Calc_SEC_death_rates!$G133</f>
        <v>0.46384000673840714</v>
      </c>
      <c r="M188" s="447">
        <f>M86*Calc_SEC_death_rates!$G133</f>
        <v>0.45411198279377823</v>
      </c>
      <c r="N188" s="447">
        <f>N86*Calc_SEC_death_rates!$G133</f>
        <v>0.44577298073343291</v>
      </c>
    </row>
    <row r="189" spans="1:14">
      <c r="B189" s="331" t="str">
        <f t="shared" si="64"/>
        <v>Total</v>
      </c>
      <c r="C189" s="447">
        <f>SUM(C179:C188)</f>
        <v>12.627486492665494</v>
      </c>
      <c r="D189" s="447">
        <f t="shared" ref="D189:N189" si="66">SUM(D179:D188)</f>
        <v>12.310503911568377</v>
      </c>
      <c r="E189" s="447">
        <f t="shared" si="66"/>
        <v>12.066132927613534</v>
      </c>
      <c r="F189" s="447">
        <f t="shared" si="66"/>
        <v>11.88789175483333</v>
      </c>
      <c r="G189" s="447">
        <f t="shared" si="66"/>
        <v>11.749278216545759</v>
      </c>
      <c r="H189" s="447">
        <f t="shared" si="66"/>
        <v>11.670558868335007</v>
      </c>
      <c r="I189" s="447">
        <f t="shared" si="66"/>
        <v>11.638759148117444</v>
      </c>
      <c r="J189" s="447">
        <f t="shared" si="66"/>
        <v>11.655542529596769</v>
      </c>
      <c r="K189" s="447">
        <f t="shared" si="66"/>
        <v>11.661446702378903</v>
      </c>
      <c r="L189" s="447">
        <f t="shared" si="66"/>
        <v>11.656759837985438</v>
      </c>
      <c r="M189" s="447">
        <f t="shared" si="66"/>
        <v>11.640617655737747</v>
      </c>
      <c r="N189" s="447">
        <f t="shared" si="66"/>
        <v>11.619772684719669</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0.31385168259530971</v>
      </c>
      <c r="D196" s="447">
        <f>D94*Calc_SEC_death_rates!$G141</f>
        <v>0.31893236494973698</v>
      </c>
      <c r="E196" s="447">
        <f>E94*Calc_SEC_death_rates!$G141</f>
        <v>0.32232330579991492</v>
      </c>
      <c r="F196" s="447">
        <f>F94*Calc_SEC_death_rates!$G141</f>
        <v>0.32855119836123442</v>
      </c>
      <c r="G196" s="447">
        <f>G94*Calc_SEC_death_rates!$G141</f>
        <v>0.33094240701100436</v>
      </c>
      <c r="H196" s="447">
        <f>H94*Calc_SEC_death_rates!$G141</f>
        <v>0.33384227542355238</v>
      </c>
      <c r="I196" s="447">
        <f>I94*Calc_SEC_death_rates!$G141</f>
        <v>0.33696528766424955</v>
      </c>
      <c r="J196" s="447">
        <f>J94*Calc_SEC_death_rates!$G141</f>
        <v>0.34098821601284368</v>
      </c>
      <c r="K196" s="447">
        <f>K94*Calc_SEC_death_rates!$G141</f>
        <v>0.34227522306903618</v>
      </c>
      <c r="L196" s="447">
        <f>L94*Calc_SEC_death_rates!$G141</f>
        <v>0.34143342961843992</v>
      </c>
      <c r="M196" s="447">
        <f>M94*Calc_SEC_death_rates!$G141</f>
        <v>0.33894254648882199</v>
      </c>
      <c r="N196" s="447">
        <f>N94*Calc_SEC_death_rates!$G141</f>
        <v>0.33572024714279813</v>
      </c>
    </row>
    <row r="197" spans="1:14">
      <c r="B197" s="331" t="str">
        <f t="shared" si="68"/>
        <v>30-34</v>
      </c>
      <c r="C197" s="447">
        <f>C95*Calc_SEC_death_rates!$G142</f>
        <v>0.21838931100284883</v>
      </c>
      <c r="D197" s="447">
        <f>D95*Calc_SEC_death_rates!$G142</f>
        <v>0.23815987933833757</v>
      </c>
      <c r="E197" s="447">
        <f>E95*Calc_SEC_death_rates!$G142</f>
        <v>0.25092982106632167</v>
      </c>
      <c r="F197" s="447">
        <f>F95*Calc_SEC_death_rates!$G142</f>
        <v>0.2611382587695244</v>
      </c>
      <c r="G197" s="447">
        <f>G95*Calc_SEC_death_rates!$G142</f>
        <v>0.26743878212185906</v>
      </c>
      <c r="H197" s="447">
        <f>H95*Calc_SEC_death_rates!$G142</f>
        <v>0.27251882240411263</v>
      </c>
      <c r="I197" s="447">
        <f>I95*Calc_SEC_death_rates!$G142</f>
        <v>0.27681530064883875</v>
      </c>
      <c r="J197" s="447">
        <f>J95*Calc_SEC_death_rates!$G142</f>
        <v>0.28098187336028724</v>
      </c>
      <c r="K197" s="447">
        <f>K95*Calc_SEC_death_rates!$G142</f>
        <v>0.2835885675232151</v>
      </c>
      <c r="L197" s="447">
        <f>L95*Calc_SEC_death_rates!$G142</f>
        <v>0.28480069543420716</v>
      </c>
      <c r="M197" s="447">
        <f>M95*Calc_SEC_death_rates!$G142</f>
        <v>0.28476610074834602</v>
      </c>
      <c r="N197" s="447">
        <f>N95*Calc_SEC_death_rates!$G142</f>
        <v>0.28388191919041561</v>
      </c>
    </row>
    <row r="198" spans="1:14">
      <c r="B198" s="331" t="str">
        <f t="shared" si="68"/>
        <v>35-39</v>
      </c>
      <c r="C198" s="447">
        <f>C96*Calc_SEC_death_rates!$G143</f>
        <v>0.99303469194492366</v>
      </c>
      <c r="D198" s="447">
        <f>D96*Calc_SEC_death_rates!$G143</f>
        <v>1.0377370977706761</v>
      </c>
      <c r="E198" s="447">
        <f>E96*Calc_SEC_death_rates!$G143</f>
        <v>1.0805060002690332</v>
      </c>
      <c r="F198" s="447">
        <f>F96*Calc_SEC_death_rates!$G143</f>
        <v>1.1243391590222798</v>
      </c>
      <c r="G198" s="447">
        <f>G96*Calc_SEC_death_rates!$G143</f>
        <v>1.1587873944488662</v>
      </c>
      <c r="H198" s="447">
        <f>H96*Calc_SEC_death_rates!$G143</f>
        <v>1.1900864933008508</v>
      </c>
      <c r="I198" s="447">
        <f>I96*Calc_SEC_death_rates!$G143</f>
        <v>1.2181058496150667</v>
      </c>
      <c r="J198" s="447">
        <f>J96*Calc_SEC_death_rates!$G143</f>
        <v>1.2443599246704697</v>
      </c>
      <c r="K198" s="447">
        <f>K96*Calc_SEC_death_rates!$G143</f>
        <v>1.2640594575270614</v>
      </c>
      <c r="L198" s="447">
        <f>L96*Calc_SEC_death_rates!$G143</f>
        <v>1.2779568592691468</v>
      </c>
      <c r="M198" s="447">
        <f>M96*Calc_SEC_death_rates!$G143</f>
        <v>1.2865681767777546</v>
      </c>
      <c r="N198" s="447">
        <f>N96*Calc_SEC_death_rates!$G143</f>
        <v>1.2911279869888248</v>
      </c>
    </row>
    <row r="199" spans="1:14">
      <c r="B199" s="331" t="str">
        <f t="shared" si="68"/>
        <v>40-44</v>
      </c>
      <c r="C199" s="447">
        <f>C97*Calc_SEC_death_rates!$G144</f>
        <v>0.83935741210516401</v>
      </c>
      <c r="D199" s="447">
        <f>D97*Calc_SEC_death_rates!$G144</f>
        <v>0.85873905133865358</v>
      </c>
      <c r="E199" s="447">
        <f>E97*Calc_SEC_death_rates!$G144</f>
        <v>0.87461168477792151</v>
      </c>
      <c r="F199" s="447">
        <f>F97*Calc_SEC_death_rates!$G144</f>
        <v>0.89389601807424013</v>
      </c>
      <c r="G199" s="447">
        <f>G97*Calc_SEC_death_rates!$G144</f>
        <v>0.91014158470350093</v>
      </c>
      <c r="H199" s="447">
        <f>H97*Calc_SEC_death_rates!$G144</f>
        <v>0.92794418472147366</v>
      </c>
      <c r="I199" s="447">
        <f>I97*Calc_SEC_death_rates!$G144</f>
        <v>0.94644585479557553</v>
      </c>
      <c r="J199" s="447">
        <f>J97*Calc_SEC_death_rates!$G144</f>
        <v>0.96589166021606543</v>
      </c>
      <c r="K199" s="447">
        <f>K97*Calc_SEC_death_rates!$G144</f>
        <v>0.98198853307487866</v>
      </c>
      <c r="L199" s="447">
        <f>L97*Calc_SEC_death_rates!$G144</f>
        <v>0.99485459875876858</v>
      </c>
      <c r="M199" s="447">
        <f>M97*Calc_SEC_death_rates!$G144</f>
        <v>1.0045663470278372</v>
      </c>
      <c r="N199" s="447">
        <f>N97*Calc_SEC_death_rates!$G144</f>
        <v>1.0117922459102913</v>
      </c>
    </row>
    <row r="200" spans="1:14">
      <c r="B200" s="331" t="str">
        <f t="shared" si="68"/>
        <v>45-49</v>
      </c>
      <c r="C200" s="447">
        <f>C98*Calc_SEC_death_rates!$G145</f>
        <v>1.6516160584016515</v>
      </c>
      <c r="D200" s="447">
        <f>D98*Calc_SEC_death_rates!$G145</f>
        <v>1.6314710938689332</v>
      </c>
      <c r="E200" s="447">
        <f>E98*Calc_SEC_death_rates!$G145</f>
        <v>1.6149473396817988</v>
      </c>
      <c r="F200" s="447">
        <f>F98*Calc_SEC_death_rates!$G145</f>
        <v>1.6095067529291767</v>
      </c>
      <c r="G200" s="447">
        <f>G98*Calc_SEC_death_rates!$G145</f>
        <v>1.6044031720940666</v>
      </c>
      <c r="H200" s="447">
        <f>H98*Calc_SEC_death_rates!$G145</f>
        <v>1.6072350990986066</v>
      </c>
      <c r="I200" s="447">
        <f>I98*Calc_SEC_death_rates!$G145</f>
        <v>1.6164490942831404</v>
      </c>
      <c r="J200" s="447">
        <f>J98*Calc_SEC_death_rates!$G145</f>
        <v>1.6320400521386549</v>
      </c>
      <c r="K200" s="447">
        <f>K98*Calc_SEC_death_rates!$G145</f>
        <v>1.6465817679276615</v>
      </c>
      <c r="L200" s="447">
        <f>L98*Calc_SEC_death_rates!$G145</f>
        <v>1.6595850079704231</v>
      </c>
      <c r="M200" s="447">
        <f>M98*Calc_SEC_death_rates!$G145</f>
        <v>1.670532328166827</v>
      </c>
      <c r="N200" s="447">
        <f>N98*Calc_SEC_death_rates!$G145</f>
        <v>1.6799227681886264</v>
      </c>
    </row>
    <row r="201" spans="1:14">
      <c r="B201" s="331" t="str">
        <f t="shared" si="68"/>
        <v>50-54</v>
      </c>
      <c r="C201" s="447">
        <f>C99*Calc_SEC_death_rates!$G146</f>
        <v>2.4069164253945692</v>
      </c>
      <c r="D201" s="447">
        <f>D99*Calc_SEC_death_rates!$G146</f>
        <v>2.3611318927942921</v>
      </c>
      <c r="E201" s="447">
        <f>E99*Calc_SEC_death_rates!$G146</f>
        <v>2.3115866021388589</v>
      </c>
      <c r="F201" s="447">
        <f>F99*Calc_SEC_death_rates!$G146</f>
        <v>2.2722858464375415</v>
      </c>
      <c r="G201" s="447">
        <f>G99*Calc_SEC_death_rates!$G146</f>
        <v>2.2325741494147873</v>
      </c>
      <c r="H201" s="447">
        <f>H99*Calc_SEC_death_rates!$G146</f>
        <v>2.2041762829833411</v>
      </c>
      <c r="I201" s="447">
        <f>I99*Calc_SEC_death_rates!$G146</f>
        <v>2.1862133244713684</v>
      </c>
      <c r="J201" s="447">
        <f>J99*Calc_SEC_death_rates!$G146</f>
        <v>2.1793877291578569</v>
      </c>
      <c r="K201" s="447">
        <f>K99*Calc_SEC_death_rates!$G146</f>
        <v>2.1747558595667971</v>
      </c>
      <c r="L201" s="447">
        <f>L99*Calc_SEC_death_rates!$G146</f>
        <v>2.1718561335003721</v>
      </c>
      <c r="M201" s="447">
        <f>M99*Calc_SEC_death_rates!$G146</f>
        <v>2.1699592991124916</v>
      </c>
      <c r="N201" s="447">
        <f>N99*Calc_SEC_death_rates!$G146</f>
        <v>2.1694613053327023</v>
      </c>
    </row>
    <row r="202" spans="1:14">
      <c r="B202" s="331" t="str">
        <f t="shared" si="68"/>
        <v>55-59</v>
      </c>
      <c r="C202" s="447">
        <f>C100*Calc_SEC_death_rates!$G147</f>
        <v>2.2207273210027667</v>
      </c>
      <c r="D202" s="447">
        <f>D100*Calc_SEC_death_rates!$G147</f>
        <v>2.1129330992509701</v>
      </c>
      <c r="E202" s="447">
        <f>E100*Calc_SEC_death_rates!$G147</f>
        <v>2.0257245884431172</v>
      </c>
      <c r="F202" s="447">
        <f>F100*Calc_SEC_death_rates!$G147</f>
        <v>1.9619583098625764</v>
      </c>
      <c r="G202" s="447">
        <f>G100*Calc_SEC_death_rates!$G147</f>
        <v>1.904216750047881</v>
      </c>
      <c r="H202" s="447">
        <f>H100*Calc_SEC_death_rates!$G147</f>
        <v>1.8604335786105501</v>
      </c>
      <c r="I202" s="447">
        <f>I100*Calc_SEC_death_rates!$G147</f>
        <v>1.8280156002106547</v>
      </c>
      <c r="J202" s="447">
        <f>J100*Calc_SEC_death_rates!$G147</f>
        <v>1.8069027204404295</v>
      </c>
      <c r="K202" s="447">
        <f>K100*Calc_SEC_death_rates!$G147</f>
        <v>1.7881374734238844</v>
      </c>
      <c r="L202" s="447">
        <f>L100*Calc_SEC_death_rates!$G147</f>
        <v>1.7718266651785062</v>
      </c>
      <c r="M202" s="447">
        <f>M100*Calc_SEC_death_rates!$G147</f>
        <v>1.7576681796931501</v>
      </c>
      <c r="N202" s="447">
        <f>N100*Calc_SEC_death_rates!$G147</f>
        <v>1.7463208497313378</v>
      </c>
    </row>
    <row r="203" spans="1:14">
      <c r="B203" s="331" t="str">
        <f t="shared" si="68"/>
        <v>60-64</v>
      </c>
      <c r="C203" s="447">
        <f>C101*Calc_SEC_death_rates!$G148</f>
        <v>0.9013970911692808</v>
      </c>
      <c r="D203" s="447">
        <f>D101*Calc_SEC_death_rates!$G148</f>
        <v>0.87625739479607756</v>
      </c>
      <c r="E203" s="447">
        <f>E101*Calc_SEC_death_rates!$G148</f>
        <v>0.84189391724998464</v>
      </c>
      <c r="F203" s="447">
        <f>F101*Calc_SEC_death_rates!$G148</f>
        <v>0.81269637828824015</v>
      </c>
      <c r="G203" s="447">
        <f>G101*Calc_SEC_death_rates!$G148</f>
        <v>0.78371754284392925</v>
      </c>
      <c r="H203" s="447">
        <f>H101*Calc_SEC_death_rates!$G148</f>
        <v>0.76102958341793459</v>
      </c>
      <c r="I203" s="447">
        <f>I101*Calc_SEC_death_rates!$G148</f>
        <v>0.7436545702330809</v>
      </c>
      <c r="J203" s="447">
        <f>J101*Calc_SEC_death_rates!$G148</f>
        <v>0.73164378204660929</v>
      </c>
      <c r="K203" s="447">
        <f>K101*Calc_SEC_death_rates!$G148</f>
        <v>0.72009967039026446</v>
      </c>
      <c r="L203" s="447">
        <f>L101*Calc_SEC_death_rates!$G148</f>
        <v>0.70940430667190013</v>
      </c>
      <c r="M203" s="447">
        <f>M101*Calc_SEC_death_rates!$G148</f>
        <v>0.69963124165083213</v>
      </c>
      <c r="N203" s="447">
        <f>N101*Calc_SEC_death_rates!$G148</f>
        <v>0.69132593042685431</v>
      </c>
    </row>
    <row r="204" spans="1:14">
      <c r="B204" s="331" t="str">
        <f t="shared" si="68"/>
        <v>65 plus</v>
      </c>
      <c r="C204" s="447">
        <f>C102*Calc_SEC_death_rates!$G149</f>
        <v>0.92990218640046951</v>
      </c>
      <c r="D204" s="447">
        <f>D102*Calc_SEC_death_rates!$G149</f>
        <v>1.1834519007711133</v>
      </c>
      <c r="E204" s="447">
        <f>E102*Calc_SEC_death_rates!$G149</f>
        <v>1.326543510024786</v>
      </c>
      <c r="F204" s="447">
        <f>F102*Calc_SEC_death_rates!$G149</f>
        <v>1.404090693521876</v>
      </c>
      <c r="G204" s="447">
        <f>G102*Calc_SEC_death_rates!$G149</f>
        <v>1.4320983629993247</v>
      </c>
      <c r="H204" s="447">
        <f>H102*Calc_SEC_death_rates!$G149</f>
        <v>1.4369975419835479</v>
      </c>
      <c r="I204" s="447">
        <f>I102*Calc_SEC_death_rates!$G149</f>
        <v>1.4301196240282203</v>
      </c>
      <c r="J204" s="447">
        <f>J102*Calc_SEC_death_rates!$G149</f>
        <v>1.4198032242528571</v>
      </c>
      <c r="K204" s="447">
        <f>K102*Calc_SEC_death_rates!$G149</f>
        <v>1.4035652981168296</v>
      </c>
      <c r="L204" s="447">
        <f>L102*Calc_SEC_death_rates!$G149</f>
        <v>1.3841546684191721</v>
      </c>
      <c r="M204" s="447">
        <f>M102*Calc_SEC_death_rates!$G149</f>
        <v>1.3633138536372866</v>
      </c>
      <c r="N204" s="447">
        <f>N102*Calc_SEC_death_rates!$G149</f>
        <v>1.3430919755890449</v>
      </c>
    </row>
    <row r="205" spans="1:14">
      <c r="B205" s="331" t="str">
        <f t="shared" si="68"/>
        <v>Total</v>
      </c>
      <c r="C205" s="447">
        <f>SUM(C195:C204)</f>
        <v>10.475192180016986</v>
      </c>
      <c r="D205" s="447">
        <f t="shared" ref="D205:N205" si="70">SUM(D195:D204)</f>
        <v>10.61881377487879</v>
      </c>
      <c r="E205" s="447">
        <f t="shared" si="70"/>
        <v>10.649066769451737</v>
      </c>
      <c r="F205" s="447">
        <f t="shared" si="70"/>
        <v>10.668462615266691</v>
      </c>
      <c r="G205" s="447">
        <f t="shared" si="70"/>
        <v>10.624320145685219</v>
      </c>
      <c r="H205" s="447">
        <f t="shared" si="70"/>
        <v>10.59426386194397</v>
      </c>
      <c r="I205" s="447">
        <f t="shared" si="70"/>
        <v>10.582784505950196</v>
      </c>
      <c r="J205" s="447">
        <f t="shared" si="70"/>
        <v>10.601999182296073</v>
      </c>
      <c r="K205" s="447">
        <f t="shared" si="70"/>
        <v>10.605051850619629</v>
      </c>
      <c r="L205" s="447">
        <f t="shared" si="70"/>
        <v>10.595872364820938</v>
      </c>
      <c r="M205" s="447">
        <f t="shared" si="70"/>
        <v>10.575948073303348</v>
      </c>
      <c r="N205" s="447">
        <f t="shared" si="70"/>
        <v>10.552645228500896</v>
      </c>
    </row>
    <row r="206" spans="1:14">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105.09564510773897</v>
      </c>
      <c r="D213" s="447">
        <f t="shared" ref="D213:N213" si="75">D111+D145+D179</f>
        <v>146.88257305350203</v>
      </c>
      <c r="E213" s="447">
        <f t="shared" si="75"/>
        <v>179.11777265531126</v>
      </c>
      <c r="F213" s="447">
        <f t="shared" si="75"/>
        <v>194.08290253906216</v>
      </c>
      <c r="G213" s="447">
        <f t="shared" si="75"/>
        <v>202.96209659298117</v>
      </c>
      <c r="H213" s="447">
        <f t="shared" si="75"/>
        <v>209.22886928999489</v>
      </c>
      <c r="I213" s="447">
        <f t="shared" si="75"/>
        <v>213.84815619654293</v>
      </c>
      <c r="J213" s="447">
        <f t="shared" si="75"/>
        <v>218.30080176914225</v>
      </c>
      <c r="K213" s="447">
        <f t="shared" si="75"/>
        <v>219.067655670801</v>
      </c>
      <c r="L213" s="447">
        <f t="shared" si="75"/>
        <v>217.66200147626844</v>
      </c>
      <c r="M213" s="447">
        <f t="shared" si="75"/>
        <v>214.95194809837699</v>
      </c>
      <c r="N213" s="447">
        <f t="shared" si="75"/>
        <v>212.01153665385692</v>
      </c>
    </row>
    <row r="214" spans="1:14">
      <c r="B214" s="331" t="str">
        <f t="shared" si="72"/>
        <v>25-29</v>
      </c>
      <c r="C214" s="447">
        <f t="shared" si="74"/>
        <v>248.99311922811989</v>
      </c>
      <c r="D214" s="447">
        <f t="shared" ref="D214:N214" si="76">D112+D146+D180</f>
        <v>252.26085504124958</v>
      </c>
      <c r="E214" s="447">
        <f t="shared" si="76"/>
        <v>272.69434394205643</v>
      </c>
      <c r="F214" s="447">
        <f t="shared" si="76"/>
        <v>278.83964901589417</v>
      </c>
      <c r="G214" s="447">
        <f t="shared" si="76"/>
        <v>286.15114441381286</v>
      </c>
      <c r="H214" s="447">
        <f t="shared" si="76"/>
        <v>292.69504483600036</v>
      </c>
      <c r="I214" s="447">
        <f t="shared" si="76"/>
        <v>298.45585605460036</v>
      </c>
      <c r="J214" s="447">
        <f t="shared" si="76"/>
        <v>304.31165111630639</v>
      </c>
      <c r="K214" s="447">
        <f t="shared" si="76"/>
        <v>306.94645007770799</v>
      </c>
      <c r="L214" s="447">
        <f t="shared" si="76"/>
        <v>307.12721783083884</v>
      </c>
      <c r="M214" s="447">
        <f t="shared" si="76"/>
        <v>305.45312167630169</v>
      </c>
      <c r="N214" s="447">
        <f t="shared" si="76"/>
        <v>302.90492350479434</v>
      </c>
    </row>
    <row r="215" spans="1:14">
      <c r="B215" s="331" t="str">
        <f t="shared" si="72"/>
        <v>30-34</v>
      </c>
      <c r="C215" s="447">
        <f t="shared" si="74"/>
        <v>206.05531553495277</v>
      </c>
      <c r="D215" s="447">
        <f t="shared" ref="D215:N215" si="77">D113+D147+D181</f>
        <v>204.99237248679515</v>
      </c>
      <c r="E215" s="447">
        <f t="shared" si="77"/>
        <v>217.78828120666773</v>
      </c>
      <c r="F215" s="447">
        <f t="shared" si="77"/>
        <v>218.74135550560032</v>
      </c>
      <c r="G215" s="447">
        <f t="shared" si="77"/>
        <v>222.76913075752813</v>
      </c>
      <c r="H215" s="447">
        <f t="shared" si="77"/>
        <v>226.77161378453621</v>
      </c>
      <c r="I215" s="447">
        <f t="shared" si="77"/>
        <v>230.68592799771133</v>
      </c>
      <c r="J215" s="447">
        <f t="shared" si="77"/>
        <v>234.79466896128352</v>
      </c>
      <c r="K215" s="447">
        <f t="shared" si="77"/>
        <v>237.6647030295361</v>
      </c>
      <c r="L215" s="447">
        <f t="shared" si="77"/>
        <v>239.33175732962084</v>
      </c>
      <c r="M215" s="447">
        <f t="shared" si="77"/>
        <v>239.86848397665335</v>
      </c>
      <c r="N215" s="447">
        <f t="shared" si="77"/>
        <v>239.59823258054453</v>
      </c>
    </row>
    <row r="216" spans="1:14">
      <c r="B216" s="331" t="str">
        <f t="shared" si="72"/>
        <v>35-39</v>
      </c>
      <c r="C216" s="447">
        <f t="shared" si="74"/>
        <v>190.98175596629088</v>
      </c>
      <c r="D216" s="447">
        <f t="shared" ref="D216:N216" si="78">D114+D148+D182</f>
        <v>189.06193667080248</v>
      </c>
      <c r="E216" s="447">
        <f t="shared" si="78"/>
        <v>200.34005298177553</v>
      </c>
      <c r="F216" s="447">
        <f t="shared" si="78"/>
        <v>200.3947193481813</v>
      </c>
      <c r="G216" s="447">
        <f t="shared" si="78"/>
        <v>203.47042262604197</v>
      </c>
      <c r="H216" s="447">
        <f t="shared" si="78"/>
        <v>206.53273560904557</v>
      </c>
      <c r="I216" s="447">
        <f t="shared" si="78"/>
        <v>209.59693733168447</v>
      </c>
      <c r="J216" s="447">
        <f t="shared" si="78"/>
        <v>212.87541394821582</v>
      </c>
      <c r="K216" s="447">
        <f t="shared" si="78"/>
        <v>215.44919015500292</v>
      </c>
      <c r="L216" s="447">
        <f t="shared" si="78"/>
        <v>217.3520747367379</v>
      </c>
      <c r="M216" s="447">
        <f t="shared" si="78"/>
        <v>218.58408556553582</v>
      </c>
      <c r="N216" s="447">
        <f t="shared" si="78"/>
        <v>219.28447147997784</v>
      </c>
    </row>
    <row r="217" spans="1:14">
      <c r="B217" s="331" t="str">
        <f t="shared" si="72"/>
        <v>40-44</v>
      </c>
      <c r="C217" s="447">
        <f t="shared" si="74"/>
        <v>161.2231546055294</v>
      </c>
      <c r="D217" s="447">
        <f t="shared" ref="D217:N217" si="79">D115+D149+D183</f>
        <v>159.22050007435712</v>
      </c>
      <c r="E217" s="447">
        <f t="shared" si="79"/>
        <v>168.30672024689432</v>
      </c>
      <c r="F217" s="447">
        <f t="shared" si="79"/>
        <v>168.0830003569734</v>
      </c>
      <c r="G217" s="447">
        <f t="shared" si="79"/>
        <v>170.4067480584412</v>
      </c>
      <c r="H217" s="447">
        <f t="shared" si="79"/>
        <v>172.70091042869655</v>
      </c>
      <c r="I217" s="447">
        <f t="shared" si="79"/>
        <v>174.98308803519058</v>
      </c>
      <c r="J217" s="447">
        <f t="shared" si="79"/>
        <v>177.42652492052062</v>
      </c>
      <c r="K217" s="447">
        <f t="shared" si="79"/>
        <v>179.3583795309666</v>
      </c>
      <c r="L217" s="447">
        <f t="shared" si="79"/>
        <v>180.84416540380212</v>
      </c>
      <c r="M217" s="447">
        <f t="shared" si="79"/>
        <v>181.91462783179216</v>
      </c>
      <c r="N217" s="447">
        <f t="shared" si="79"/>
        <v>182.68634323495877</v>
      </c>
    </row>
    <row r="218" spans="1:14">
      <c r="B218" s="331" t="str">
        <f t="shared" si="72"/>
        <v>45-49</v>
      </c>
      <c r="C218" s="447">
        <f t="shared" si="74"/>
        <v>206.43608063570881</v>
      </c>
      <c r="D218" s="447">
        <f t="shared" ref="D218:N218" si="80">D116+D150+D184</f>
        <v>194.47106389753534</v>
      </c>
      <c r="E218" s="447">
        <f t="shared" si="80"/>
        <v>198.71794391167464</v>
      </c>
      <c r="F218" s="447">
        <f t="shared" si="80"/>
        <v>193.48092522947971</v>
      </c>
      <c r="G218" s="447">
        <f t="shared" si="80"/>
        <v>192.66595311572655</v>
      </c>
      <c r="H218" s="447">
        <f t="shared" si="80"/>
        <v>192.70544132733397</v>
      </c>
      <c r="I218" s="447">
        <f t="shared" si="80"/>
        <v>193.36474619244154</v>
      </c>
      <c r="J218" s="447">
        <f t="shared" si="80"/>
        <v>194.64213224025224</v>
      </c>
      <c r="K218" s="447">
        <f t="shared" si="80"/>
        <v>195.71479600944275</v>
      </c>
      <c r="L218" s="447">
        <f t="shared" si="80"/>
        <v>196.56811265806459</v>
      </c>
      <c r="M218" s="447">
        <f t="shared" si="80"/>
        <v>197.18306863466455</v>
      </c>
      <c r="N218" s="447">
        <f t="shared" si="80"/>
        <v>197.650103700637</v>
      </c>
    </row>
    <row r="219" spans="1:14">
      <c r="B219" s="331" t="str">
        <f t="shared" si="72"/>
        <v>50-54</v>
      </c>
      <c r="C219" s="447">
        <f t="shared" si="74"/>
        <v>216.65359879785706</v>
      </c>
      <c r="D219" s="447">
        <f t="shared" ref="D219:N219" si="81">D117+D151+D185</f>
        <v>207.71883484878586</v>
      </c>
      <c r="E219" s="447">
        <f t="shared" si="81"/>
        <v>210.40620023254317</v>
      </c>
      <c r="F219" s="447">
        <f t="shared" si="81"/>
        <v>203.99914862432965</v>
      </c>
      <c r="G219" s="447">
        <f t="shared" si="81"/>
        <v>201.03900252033029</v>
      </c>
      <c r="H219" s="447">
        <f t="shared" si="81"/>
        <v>198.87591794937671</v>
      </c>
      <c r="I219" s="447">
        <f t="shared" si="81"/>
        <v>197.47769805691792</v>
      </c>
      <c r="J219" s="447">
        <f t="shared" si="81"/>
        <v>196.92678051928613</v>
      </c>
      <c r="K219" s="447">
        <f t="shared" si="81"/>
        <v>196.43683756016944</v>
      </c>
      <c r="L219" s="447">
        <f t="shared" si="81"/>
        <v>195.9872574569103</v>
      </c>
      <c r="M219" s="447">
        <f t="shared" si="81"/>
        <v>195.53711650420027</v>
      </c>
      <c r="N219" s="447">
        <f t="shared" si="81"/>
        <v>195.14843315864377</v>
      </c>
    </row>
    <row r="220" spans="1:14">
      <c r="B220" s="331" t="str">
        <f t="shared" si="72"/>
        <v>55-59</v>
      </c>
      <c r="C220" s="447">
        <f t="shared" si="74"/>
        <v>297.20729808307425</v>
      </c>
      <c r="D220" s="447">
        <f t="shared" ref="D220:N220" si="82">D118+D152+D186</f>
        <v>268.64171461425508</v>
      </c>
      <c r="E220" s="447">
        <f t="shared" si="82"/>
        <v>254.75629059481128</v>
      </c>
      <c r="F220" s="447">
        <f t="shared" si="82"/>
        <v>242.31612627613427</v>
      </c>
      <c r="G220" s="447">
        <f t="shared" si="82"/>
        <v>234.11365332322791</v>
      </c>
      <c r="H220" s="447">
        <f t="shared" si="82"/>
        <v>228.37661030011162</v>
      </c>
      <c r="I220" s="447">
        <f t="shared" si="82"/>
        <v>224.38246151259327</v>
      </c>
      <c r="J220" s="447">
        <f t="shared" si="82"/>
        <v>221.91684213043521</v>
      </c>
      <c r="K220" s="447">
        <f t="shared" si="82"/>
        <v>219.72146290296567</v>
      </c>
      <c r="L220" s="447">
        <f t="shared" si="82"/>
        <v>217.76870723440831</v>
      </c>
      <c r="M220" s="447">
        <f t="shared" si="82"/>
        <v>216.00309923466125</v>
      </c>
      <c r="N220" s="447">
        <f t="shared" si="82"/>
        <v>214.50839149217654</v>
      </c>
    </row>
    <row r="221" spans="1:14">
      <c r="B221" s="331" t="str">
        <f t="shared" si="72"/>
        <v>60-64</v>
      </c>
      <c r="C221" s="447">
        <f t="shared" si="74"/>
        <v>193.77557080179417</v>
      </c>
      <c r="D221" s="447">
        <f t="shared" ref="D221:N221" si="83">D119+D153+D187</f>
        <v>172.55839328529837</v>
      </c>
      <c r="E221" s="447">
        <f t="shared" si="83"/>
        <v>158.245924829693</v>
      </c>
      <c r="F221" s="447">
        <f t="shared" si="83"/>
        <v>146.38596501376307</v>
      </c>
      <c r="G221" s="447">
        <f t="shared" si="83"/>
        <v>138.06421803748103</v>
      </c>
      <c r="H221" s="447">
        <f t="shared" si="83"/>
        <v>132.3407588543534</v>
      </c>
      <c r="I221" s="447">
        <f t="shared" si="83"/>
        <v>128.42577712355146</v>
      </c>
      <c r="J221" s="447">
        <f t="shared" si="83"/>
        <v>125.95093427032724</v>
      </c>
      <c r="K221" s="447">
        <f t="shared" si="83"/>
        <v>123.78080990868017</v>
      </c>
      <c r="L221" s="447">
        <f t="shared" si="83"/>
        <v>121.86644428959808</v>
      </c>
      <c r="M221" s="447">
        <f t="shared" si="83"/>
        <v>120.15292871865837</v>
      </c>
      <c r="N221" s="447">
        <f t="shared" si="83"/>
        <v>118.70391460956129</v>
      </c>
    </row>
    <row r="222" spans="1:14">
      <c r="B222" s="331" t="str">
        <f t="shared" si="72"/>
        <v>65 plus</v>
      </c>
      <c r="C222" s="447">
        <f t="shared" si="74"/>
        <v>69.384822785914821</v>
      </c>
      <c r="D222" s="447">
        <f t="shared" ref="D222:N222" si="84">D120+D154+D188</f>
        <v>73.23853948480938</v>
      </c>
      <c r="E222" s="447">
        <f t="shared" si="84"/>
        <v>73.874360143623534</v>
      </c>
      <c r="F222" s="447">
        <f t="shared" si="84"/>
        <v>71.058133250915049</v>
      </c>
      <c r="G222" s="447">
        <f t="shared" si="84"/>
        <v>68.002010109687845</v>
      </c>
      <c r="H222" s="447">
        <f t="shared" si="84"/>
        <v>65.150314962260325</v>
      </c>
      <c r="I222" s="447">
        <f t="shared" si="84"/>
        <v>62.777375811099112</v>
      </c>
      <c r="J222" s="447">
        <f t="shared" si="84"/>
        <v>61.012962849835482</v>
      </c>
      <c r="K222" s="447">
        <f t="shared" si="84"/>
        <v>59.457628961962442</v>
      </c>
      <c r="L222" s="447">
        <f t="shared" si="84"/>
        <v>58.087012325603396</v>
      </c>
      <c r="M222" s="447">
        <f t="shared" si="84"/>
        <v>56.868765002029797</v>
      </c>
      <c r="N222" s="447">
        <f t="shared" si="84"/>
        <v>55.824465872102245</v>
      </c>
    </row>
    <row r="223" spans="1:14">
      <c r="B223" s="331" t="str">
        <f t="shared" si="72"/>
        <v>Total</v>
      </c>
      <c r="C223" s="447">
        <f>SUM(C213:C222)</f>
        <v>1895.806361546981</v>
      </c>
      <c r="D223" s="447">
        <f t="shared" ref="D223:N223" si="85">SUM(D213:D222)</f>
        <v>1869.0467834573903</v>
      </c>
      <c r="E223" s="447">
        <f t="shared" si="85"/>
        <v>1934.2478907450511</v>
      </c>
      <c r="F223" s="447">
        <f t="shared" si="85"/>
        <v>1917.3819251603331</v>
      </c>
      <c r="G223" s="447">
        <f t="shared" si="85"/>
        <v>1919.6443795552591</v>
      </c>
      <c r="H223" s="447">
        <f t="shared" si="85"/>
        <v>1925.3782173417098</v>
      </c>
      <c r="I223" s="447">
        <f t="shared" si="85"/>
        <v>1933.9980243123327</v>
      </c>
      <c r="J223" s="447">
        <f t="shared" si="85"/>
        <v>1948.158712725605</v>
      </c>
      <c r="K223" s="447">
        <f t="shared" si="85"/>
        <v>1953.597913807235</v>
      </c>
      <c r="L223" s="447">
        <f t="shared" si="85"/>
        <v>1952.594750741853</v>
      </c>
      <c r="M223" s="447">
        <f t="shared" si="85"/>
        <v>1946.517245242874</v>
      </c>
      <c r="N223" s="447">
        <f t="shared" si="85"/>
        <v>1938.3208162872531</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5">
      <c r="B226" s="334" t="s">
        <v>47</v>
      </c>
      <c r="C226" s="322"/>
      <c r="D226" s="322"/>
      <c r="E226" s="322"/>
      <c r="F226" s="322"/>
      <c r="G226" s="322"/>
      <c r="H226" s="332"/>
      <c r="I226" s="322"/>
      <c r="J226" s="322"/>
      <c r="K226" s="322"/>
      <c r="L226" s="322"/>
    </row>
    <row r="227" spans="1:15">
      <c r="C227" s="322"/>
      <c r="D227" s="322"/>
      <c r="E227" s="322"/>
      <c r="F227" s="322"/>
      <c r="G227" s="322"/>
      <c r="H227" s="332"/>
      <c r="I227" s="322"/>
      <c r="J227" s="322"/>
      <c r="K227" s="322"/>
      <c r="L227" s="322"/>
    </row>
    <row r="228" spans="1:15">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5">
      <c r="B229" s="331" t="str">
        <f t="shared" si="87"/>
        <v>20-24</v>
      </c>
      <c r="C229" s="447">
        <f t="shared" ref="C229:C238" si="89">C195+C161+C127</f>
        <v>136.75042968552646</v>
      </c>
      <c r="D229" s="447">
        <f t="shared" ref="D229:N229" si="90">D195+D161+D127</f>
        <v>170.79014777192839</v>
      </c>
      <c r="E229" s="447">
        <f t="shared" si="90"/>
        <v>192.12574263979624</v>
      </c>
      <c r="F229" s="447">
        <f t="shared" si="90"/>
        <v>208.95289138678956</v>
      </c>
      <c r="G229" s="447">
        <f t="shared" si="90"/>
        <v>214.93301957332517</v>
      </c>
      <c r="H229" s="447">
        <f t="shared" si="90"/>
        <v>219.4290260057864</v>
      </c>
      <c r="I229" s="447">
        <f t="shared" si="90"/>
        <v>222.978242259094</v>
      </c>
      <c r="J229" s="447">
        <f t="shared" si="90"/>
        <v>226.76229603825973</v>
      </c>
      <c r="K229" s="447">
        <f t="shared" si="90"/>
        <v>227.26478766682314</v>
      </c>
      <c r="L229" s="447">
        <f t="shared" si="90"/>
        <v>225.7704151301001</v>
      </c>
      <c r="M229" s="447">
        <f t="shared" si="90"/>
        <v>223.03351625204337</v>
      </c>
      <c r="N229" s="447">
        <f t="shared" si="90"/>
        <v>220.05285280339993</v>
      </c>
      <c r="O229" s="320"/>
    </row>
    <row r="230" spans="1:15">
      <c r="B230" s="331" t="str">
        <f t="shared" si="87"/>
        <v>25-29</v>
      </c>
      <c r="C230" s="447">
        <f t="shared" si="89"/>
        <v>311.34086114382791</v>
      </c>
      <c r="D230" s="447">
        <f t="shared" ref="D230:N230" si="91">D196+D162+D128</f>
        <v>317.94291668306784</v>
      </c>
      <c r="E230" s="447">
        <f t="shared" si="91"/>
        <v>326.66692520949027</v>
      </c>
      <c r="F230" s="447">
        <f t="shared" si="91"/>
        <v>337.25511410526025</v>
      </c>
      <c r="G230" s="447">
        <f t="shared" si="91"/>
        <v>339.70967019895301</v>
      </c>
      <c r="H230" s="447">
        <f t="shared" si="91"/>
        <v>342.68636137293817</v>
      </c>
      <c r="I230" s="447">
        <f t="shared" si="91"/>
        <v>345.89210785884939</v>
      </c>
      <c r="J230" s="447">
        <f t="shared" si="91"/>
        <v>350.02161085871569</v>
      </c>
      <c r="K230" s="447">
        <f t="shared" si="91"/>
        <v>351.34271306061129</v>
      </c>
      <c r="L230" s="447">
        <f t="shared" si="91"/>
        <v>350.47861897831933</v>
      </c>
      <c r="M230" s="447">
        <f t="shared" si="91"/>
        <v>347.92174784745055</v>
      </c>
      <c r="N230" s="447">
        <f t="shared" si="91"/>
        <v>344.61408396113677</v>
      </c>
      <c r="O230" s="320"/>
    </row>
    <row r="231" spans="1:15">
      <c r="B231" s="331" t="str">
        <f t="shared" si="87"/>
        <v>30-34</v>
      </c>
      <c r="C231" s="447">
        <f t="shared" si="89"/>
        <v>223.99898952651822</v>
      </c>
      <c r="D231" s="447">
        <f t="shared" ref="D231:N231" si="92">D197+D163+D129</f>
        <v>245.48239307173549</v>
      </c>
      <c r="E231" s="447">
        <f t="shared" si="92"/>
        <v>262.94253306912344</v>
      </c>
      <c r="F231" s="447">
        <f t="shared" si="92"/>
        <v>277.15101181822314</v>
      </c>
      <c r="G231" s="447">
        <f t="shared" si="92"/>
        <v>283.83787735187542</v>
      </c>
      <c r="H231" s="447">
        <f t="shared" si="92"/>
        <v>289.22942093854886</v>
      </c>
      <c r="I231" s="447">
        <f t="shared" si="92"/>
        <v>293.78935519862904</v>
      </c>
      <c r="J231" s="447">
        <f t="shared" si="92"/>
        <v>298.21141823999795</v>
      </c>
      <c r="K231" s="447">
        <f t="shared" si="92"/>
        <v>300.97795244360441</v>
      </c>
      <c r="L231" s="447">
        <f t="shared" si="92"/>
        <v>302.26440690097689</v>
      </c>
      <c r="M231" s="447">
        <f t="shared" si="92"/>
        <v>302.22769090143277</v>
      </c>
      <c r="N231" s="447">
        <f t="shared" si="92"/>
        <v>301.28929215983857</v>
      </c>
      <c r="O231" s="320"/>
    </row>
    <row r="232" spans="1:15">
      <c r="B232" s="331" t="str">
        <f t="shared" si="87"/>
        <v>35-39</v>
      </c>
      <c r="C232" s="447">
        <f t="shared" si="89"/>
        <v>193.53144671440216</v>
      </c>
      <c r="D232" s="447">
        <f t="shared" ref="D232:N232" si="93">D198+D164+D130</f>
        <v>203.23426479146329</v>
      </c>
      <c r="E232" s="447">
        <f t="shared" si="93"/>
        <v>215.10237913241721</v>
      </c>
      <c r="F232" s="447">
        <f t="shared" si="93"/>
        <v>226.68139496333208</v>
      </c>
      <c r="G232" s="447">
        <f t="shared" si="93"/>
        <v>233.6266071778692</v>
      </c>
      <c r="H232" s="447">
        <f t="shared" si="93"/>
        <v>239.93691250872038</v>
      </c>
      <c r="I232" s="447">
        <f t="shared" si="93"/>
        <v>245.58597909535814</v>
      </c>
      <c r="J232" s="447">
        <f t="shared" si="93"/>
        <v>250.87914202513281</v>
      </c>
      <c r="K232" s="447">
        <f t="shared" si="93"/>
        <v>254.85082401470382</v>
      </c>
      <c r="L232" s="447">
        <f t="shared" si="93"/>
        <v>257.65272092275177</v>
      </c>
      <c r="M232" s="447">
        <f t="shared" si="93"/>
        <v>259.38887451098117</v>
      </c>
      <c r="N232" s="447">
        <f t="shared" si="93"/>
        <v>260.3081915436747</v>
      </c>
      <c r="O232" s="320"/>
    </row>
    <row r="233" spans="1:15">
      <c r="B233" s="331" t="str">
        <f t="shared" si="87"/>
        <v>40-44</v>
      </c>
      <c r="C233" s="447">
        <f t="shared" si="89"/>
        <v>185.42980057884543</v>
      </c>
      <c r="D233" s="447">
        <f t="shared" ref="D233:N233" si="94">D199+D165+D131</f>
        <v>190.63703275592781</v>
      </c>
      <c r="E233" s="447">
        <f t="shared" si="94"/>
        <v>197.35126455118566</v>
      </c>
      <c r="F233" s="447">
        <f t="shared" si="94"/>
        <v>204.26284435272038</v>
      </c>
      <c r="G233" s="447">
        <f t="shared" si="94"/>
        <v>207.97509452580354</v>
      </c>
      <c r="H233" s="447">
        <f t="shared" si="94"/>
        <v>212.04314007362797</v>
      </c>
      <c r="I233" s="447">
        <f t="shared" si="94"/>
        <v>216.27092907614903</v>
      </c>
      <c r="J233" s="447">
        <f t="shared" si="94"/>
        <v>220.71446103692003</v>
      </c>
      <c r="K233" s="447">
        <f t="shared" si="94"/>
        <v>224.39273341854306</v>
      </c>
      <c r="L233" s="447">
        <f t="shared" si="94"/>
        <v>227.3327388767641</v>
      </c>
      <c r="M233" s="447">
        <f t="shared" si="94"/>
        <v>229.55195597245182</v>
      </c>
      <c r="N233" s="447">
        <f t="shared" si="94"/>
        <v>231.20313533659646</v>
      </c>
      <c r="O233" s="320"/>
    </row>
    <row r="234" spans="1:15">
      <c r="B234" s="331" t="str">
        <f t="shared" si="87"/>
        <v>45-49</v>
      </c>
      <c r="C234" s="447">
        <f t="shared" si="89"/>
        <v>206.53830069378446</v>
      </c>
      <c r="D234" s="447">
        <f t="shared" ref="D234:N234" si="95">D200+D166+D132</f>
        <v>205.0076380070241</v>
      </c>
      <c r="E234" s="447">
        <f t="shared" si="95"/>
        <v>206.2434726653714</v>
      </c>
      <c r="F234" s="447">
        <f t="shared" si="95"/>
        <v>208.14032706885345</v>
      </c>
      <c r="G234" s="447">
        <f t="shared" si="95"/>
        <v>207.48033543954909</v>
      </c>
      <c r="H234" s="447">
        <f t="shared" si="95"/>
        <v>207.84655832857229</v>
      </c>
      <c r="I234" s="447">
        <f t="shared" si="95"/>
        <v>209.03810596751785</v>
      </c>
      <c r="J234" s="447">
        <f t="shared" si="95"/>
        <v>211.05431811540578</v>
      </c>
      <c r="K234" s="447">
        <f t="shared" si="95"/>
        <v>212.93484298736286</v>
      </c>
      <c r="L234" s="447">
        <f t="shared" si="95"/>
        <v>214.61641321409817</v>
      </c>
      <c r="M234" s="447">
        <f t="shared" si="95"/>
        <v>216.03211327379671</v>
      </c>
      <c r="N234" s="447">
        <f t="shared" si="95"/>
        <v>217.24647864001878</v>
      </c>
      <c r="O234" s="320"/>
    </row>
    <row r="235" spans="1:15">
      <c r="B235" s="331" t="str">
        <f t="shared" si="87"/>
        <v>50-54</v>
      </c>
      <c r="C235" s="447">
        <f t="shared" si="89"/>
        <v>230.39378497345234</v>
      </c>
      <c r="D235" s="447">
        <f t="shared" ref="D235:N235" si="96">D201+D167+D133</f>
        <v>226.88248274879933</v>
      </c>
      <c r="E235" s="447">
        <f t="shared" si="96"/>
        <v>225.00895863710281</v>
      </c>
      <c r="F235" s="447">
        <f t="shared" si="96"/>
        <v>223.41175634775396</v>
      </c>
      <c r="G235" s="447">
        <f t="shared" si="96"/>
        <v>219.5072916021266</v>
      </c>
      <c r="H235" s="447">
        <f t="shared" si="96"/>
        <v>216.71520572704841</v>
      </c>
      <c r="I235" s="447">
        <f t="shared" si="96"/>
        <v>214.94908280873099</v>
      </c>
      <c r="J235" s="447">
        <f t="shared" si="96"/>
        <v>214.27798843937541</v>
      </c>
      <c r="K235" s="447">
        <f t="shared" si="96"/>
        <v>213.82258177382107</v>
      </c>
      <c r="L235" s="447">
        <f t="shared" si="96"/>
        <v>213.5374799260747</v>
      </c>
      <c r="M235" s="447">
        <f t="shared" si="96"/>
        <v>213.35098265824121</v>
      </c>
      <c r="N235" s="447">
        <f t="shared" si="96"/>
        <v>213.30201977570277</v>
      </c>
      <c r="O235" s="320"/>
    </row>
    <row r="236" spans="1:15">
      <c r="B236" s="331" t="str">
        <f t="shared" si="87"/>
        <v>55-59</v>
      </c>
      <c r="C236" s="447">
        <f t="shared" si="89"/>
        <v>300.78786116163906</v>
      </c>
      <c r="D236" s="447">
        <f t="shared" ref="D236:N236" si="97">D202+D168+D134</f>
        <v>286.55853539128645</v>
      </c>
      <c r="E236" s="447">
        <f t="shared" si="97"/>
        <v>275.93498227407082</v>
      </c>
      <c r="F236" s="447">
        <f t="shared" si="97"/>
        <v>268.16437321545982</v>
      </c>
      <c r="G236" s="447">
        <f t="shared" si="97"/>
        <v>260.27214170454897</v>
      </c>
      <c r="H236" s="447">
        <f t="shared" si="97"/>
        <v>254.28777054495015</v>
      </c>
      <c r="I236" s="447">
        <f t="shared" si="97"/>
        <v>249.85681662772384</v>
      </c>
      <c r="J236" s="447">
        <f t="shared" si="97"/>
        <v>246.97106612941059</v>
      </c>
      <c r="K236" s="447">
        <f t="shared" si="97"/>
        <v>244.40619475618678</v>
      </c>
      <c r="L236" s="447">
        <f t="shared" si="97"/>
        <v>242.17680096745445</v>
      </c>
      <c r="M236" s="447">
        <f t="shared" si="97"/>
        <v>240.24159094450212</v>
      </c>
      <c r="N236" s="447">
        <f t="shared" si="97"/>
        <v>238.69061526291819</v>
      </c>
      <c r="O236" s="320"/>
    </row>
    <row r="237" spans="1:15">
      <c r="B237" s="331" t="str">
        <f t="shared" si="87"/>
        <v>60-64</v>
      </c>
      <c r="C237" s="447">
        <f t="shared" si="89"/>
        <v>184.54343992614523</v>
      </c>
      <c r="D237" s="447">
        <f t="shared" ref="D237:N237" si="98">D203+D169+D135</f>
        <v>179.53286414996018</v>
      </c>
      <c r="E237" s="447">
        <f t="shared" si="98"/>
        <v>172.93549972205008</v>
      </c>
      <c r="F237" s="447">
        <f t="shared" si="98"/>
        <v>167.27387824537416</v>
      </c>
      <c r="G237" s="447">
        <f t="shared" si="98"/>
        <v>161.30928639864496</v>
      </c>
      <c r="H237" s="447">
        <f t="shared" si="98"/>
        <v>156.63951911033323</v>
      </c>
      <c r="I237" s="447">
        <f t="shared" si="98"/>
        <v>153.06329320648877</v>
      </c>
      <c r="J237" s="447">
        <f t="shared" si="98"/>
        <v>150.59116317809304</v>
      </c>
      <c r="K237" s="447">
        <f t="shared" si="98"/>
        <v>148.21508721757047</v>
      </c>
      <c r="L237" s="447">
        <f t="shared" si="98"/>
        <v>146.01370547623196</v>
      </c>
      <c r="M237" s="447">
        <f t="shared" si="98"/>
        <v>144.00215659759473</v>
      </c>
      <c r="N237" s="447">
        <f t="shared" si="98"/>
        <v>142.29270931127144</v>
      </c>
      <c r="O237" s="320"/>
    </row>
    <row r="238" spans="1:15">
      <c r="B238" s="331" t="str">
        <f t="shared" si="87"/>
        <v>65 plus</v>
      </c>
      <c r="C238" s="447">
        <f t="shared" si="89"/>
        <v>47.782211016210454</v>
      </c>
      <c r="D238" s="447">
        <f t="shared" ref="D238:N238" si="99">D204+D170+D136</f>
        <v>60.867300780325706</v>
      </c>
      <c r="E238" s="447">
        <f t="shared" si="99"/>
        <v>68.441767636322851</v>
      </c>
      <c r="F238" s="447">
        <f t="shared" si="99"/>
        <v>72.621390730351123</v>
      </c>
      <c r="G238" s="447">
        <f t="shared" si="99"/>
        <v>74.069983700842656</v>
      </c>
      <c r="H238" s="447">
        <f t="shared" si="99"/>
        <v>74.323375588498266</v>
      </c>
      <c r="I238" s="447">
        <f t="shared" si="99"/>
        <v>73.967640756304277</v>
      </c>
      <c r="J238" s="447">
        <f t="shared" si="99"/>
        <v>73.434063187224353</v>
      </c>
      <c r="K238" s="447">
        <f t="shared" si="99"/>
        <v>72.594216598955043</v>
      </c>
      <c r="L238" s="447">
        <f t="shared" si="99"/>
        <v>71.590273669841253</v>
      </c>
      <c r="M238" s="447">
        <f t="shared" si="99"/>
        <v>70.512359714284798</v>
      </c>
      <c r="N238" s="447">
        <f t="shared" si="99"/>
        <v>69.466457968893025</v>
      </c>
      <c r="O238" s="320"/>
    </row>
    <row r="239" spans="1:15">
      <c r="B239" s="331" t="str">
        <f t="shared" si="87"/>
        <v>Total</v>
      </c>
      <c r="C239" s="447">
        <f>SUM(C229:C238)</f>
        <v>2021.0971254203519</v>
      </c>
      <c r="D239" s="447">
        <f t="shared" ref="D239:N239" si="100">SUM(D229:D238)</f>
        <v>2086.9355761515185</v>
      </c>
      <c r="E239" s="447">
        <f t="shared" si="100"/>
        <v>2142.7535255369307</v>
      </c>
      <c r="F239" s="447">
        <f t="shared" si="100"/>
        <v>2193.9149822341178</v>
      </c>
      <c r="G239" s="447">
        <f t="shared" si="100"/>
        <v>2202.7213076735384</v>
      </c>
      <c r="H239" s="447">
        <f t="shared" si="100"/>
        <v>2213.1372901990244</v>
      </c>
      <c r="I239" s="447">
        <f t="shared" si="100"/>
        <v>2225.3915528548455</v>
      </c>
      <c r="J239" s="447">
        <f t="shared" si="100"/>
        <v>2242.9175272485354</v>
      </c>
      <c r="K239" s="447">
        <f t="shared" si="100"/>
        <v>2250.8019339381817</v>
      </c>
      <c r="L239" s="447">
        <f t="shared" si="100"/>
        <v>2251.4335740626125</v>
      </c>
      <c r="M239" s="447">
        <f t="shared" si="100"/>
        <v>2246.2629886727791</v>
      </c>
      <c r="N239" s="447">
        <f t="shared" si="100"/>
        <v>2238.4658367634506</v>
      </c>
      <c r="O239" s="320"/>
    </row>
    <row r="240" spans="1:15">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465.01468024894086</v>
      </c>
      <c r="D247" s="447">
        <f t="shared" ref="D247:N247" si="105">D77-D213</f>
        <v>679.62518391441654</v>
      </c>
      <c r="E247" s="447">
        <f t="shared" si="105"/>
        <v>792.32202275732732</v>
      </c>
      <c r="F247" s="447">
        <f t="shared" si="105"/>
        <v>878.66339715211348</v>
      </c>
      <c r="G247" s="447">
        <f t="shared" si="105"/>
        <v>918.86180056283683</v>
      </c>
      <c r="H247" s="447">
        <f t="shared" si="105"/>
        <v>947.23309816351002</v>
      </c>
      <c r="I247" s="447">
        <f t="shared" si="105"/>
        <v>968.14580233594938</v>
      </c>
      <c r="J247" s="447">
        <f t="shared" si="105"/>
        <v>988.30407817555874</v>
      </c>
      <c r="K247" s="447">
        <f t="shared" si="105"/>
        <v>991.77582373137966</v>
      </c>
      <c r="L247" s="447">
        <f t="shared" si="105"/>
        <v>985.41206436035259</v>
      </c>
      <c r="M247" s="447">
        <f t="shared" si="105"/>
        <v>973.14295319017924</v>
      </c>
      <c r="N247" s="447">
        <f t="shared" si="105"/>
        <v>959.83095159154823</v>
      </c>
    </row>
    <row r="248" spans="2:14">
      <c r="B248" s="331" t="str">
        <f t="shared" si="102"/>
        <v>25-29</v>
      </c>
      <c r="C248" s="447">
        <f t="shared" si="104"/>
        <v>1629.8727922687115</v>
      </c>
      <c r="D248" s="447">
        <f t="shared" ref="D248:N248" si="106">D78-D214</f>
        <v>1722.2053125710629</v>
      </c>
      <c r="E248" s="447">
        <f t="shared" si="106"/>
        <v>1784.558455129647</v>
      </c>
      <c r="F248" s="447">
        <f t="shared" si="106"/>
        <v>1865.0030138921536</v>
      </c>
      <c r="G248" s="447">
        <f t="shared" si="106"/>
        <v>1913.9055318852093</v>
      </c>
      <c r="H248" s="447">
        <f t="shared" si="106"/>
        <v>1957.6740348691378</v>
      </c>
      <c r="I248" s="447">
        <f t="shared" si="106"/>
        <v>1996.2048905888003</v>
      </c>
      <c r="J248" s="447">
        <f t="shared" si="106"/>
        <v>2035.3710403001494</v>
      </c>
      <c r="K248" s="447">
        <f t="shared" si="106"/>
        <v>2052.9937421696882</v>
      </c>
      <c r="L248" s="447">
        <f t="shared" si="106"/>
        <v>2054.2027969278379</v>
      </c>
      <c r="M248" s="447">
        <f t="shared" si="106"/>
        <v>2043.0057007301625</v>
      </c>
      <c r="N248" s="447">
        <f t="shared" si="106"/>
        <v>2025.9622232812833</v>
      </c>
    </row>
    <row r="249" spans="2:14">
      <c r="B249" s="331" t="str">
        <f t="shared" si="102"/>
        <v>30-34</v>
      </c>
      <c r="C249" s="447">
        <f t="shared" si="104"/>
        <v>1983.6988902589108</v>
      </c>
      <c r="D249" s="447">
        <f t="shared" ref="D249:N249" si="107">D79-D215</f>
        <v>2054.3440557874246</v>
      </c>
      <c r="E249" s="447">
        <f t="shared" si="107"/>
        <v>2096.1379128064441</v>
      </c>
      <c r="F249" s="447">
        <f t="shared" si="107"/>
        <v>2149.5879997806423</v>
      </c>
      <c r="G249" s="447">
        <f t="shared" si="107"/>
        <v>2189.1692546711274</v>
      </c>
      <c r="H249" s="447">
        <f t="shared" si="107"/>
        <v>2228.501960936459</v>
      </c>
      <c r="I249" s="447">
        <f t="shared" si="107"/>
        <v>2266.9682255372413</v>
      </c>
      <c r="J249" s="447">
        <f t="shared" si="107"/>
        <v>2307.3451366571676</v>
      </c>
      <c r="K249" s="447">
        <f t="shared" si="107"/>
        <v>2335.5491805510046</v>
      </c>
      <c r="L249" s="447">
        <f t="shared" si="107"/>
        <v>2351.931450424765</v>
      </c>
      <c r="M249" s="447">
        <f t="shared" si="107"/>
        <v>2357.2059041601224</v>
      </c>
      <c r="N249" s="447">
        <f t="shared" si="107"/>
        <v>2354.5501230589366</v>
      </c>
    </row>
    <row r="250" spans="2:14">
      <c r="B250" s="331" t="str">
        <f t="shared" si="102"/>
        <v>35-39</v>
      </c>
      <c r="C250" s="447">
        <f t="shared" si="104"/>
        <v>1898.4557122897306</v>
      </c>
      <c r="D250" s="447">
        <f t="shared" ref="D250:N250" si="108">D80-D216</f>
        <v>1955.7845309605668</v>
      </c>
      <c r="E250" s="447">
        <f t="shared" si="108"/>
        <v>1990.9970391456463</v>
      </c>
      <c r="F250" s="447">
        <f t="shared" si="108"/>
        <v>2033.097037067525</v>
      </c>
      <c r="G250" s="447">
        <f t="shared" si="108"/>
        <v>2064.3014682095081</v>
      </c>
      <c r="H250" s="447">
        <f t="shared" si="108"/>
        <v>2095.3700486220514</v>
      </c>
      <c r="I250" s="447">
        <f t="shared" si="108"/>
        <v>2126.4577911710467</v>
      </c>
      <c r="J250" s="447">
        <f t="shared" si="108"/>
        <v>2159.7194515423657</v>
      </c>
      <c r="K250" s="447">
        <f t="shared" si="108"/>
        <v>2185.8316005905749</v>
      </c>
      <c r="L250" s="447">
        <f t="shared" si="108"/>
        <v>2205.1372440605755</v>
      </c>
      <c r="M250" s="447">
        <f t="shared" si="108"/>
        <v>2217.636563273235</v>
      </c>
      <c r="N250" s="447">
        <f t="shared" si="108"/>
        <v>2224.7423020476272</v>
      </c>
    </row>
    <row r="251" spans="2:14">
      <c r="B251" s="331" t="str">
        <f t="shared" si="102"/>
        <v>40-44</v>
      </c>
      <c r="C251" s="447">
        <f t="shared" si="104"/>
        <v>1810.5887438463508</v>
      </c>
      <c r="D251" s="447">
        <f t="shared" ref="D251:N251" si="109">D81-D217</f>
        <v>1859.4410981987294</v>
      </c>
      <c r="E251" s="447">
        <f t="shared" si="109"/>
        <v>1889.6877447755228</v>
      </c>
      <c r="F251" s="447">
        <f t="shared" si="109"/>
        <v>1925.824338449929</v>
      </c>
      <c r="G251" s="447">
        <f t="shared" si="109"/>
        <v>1952.4488624672267</v>
      </c>
      <c r="H251" s="447">
        <f t="shared" si="109"/>
        <v>1978.7344102002551</v>
      </c>
      <c r="I251" s="447">
        <f t="shared" si="109"/>
        <v>2004.882641549751</v>
      </c>
      <c r="J251" s="447">
        <f t="shared" si="109"/>
        <v>2032.8785139059148</v>
      </c>
      <c r="K251" s="447">
        <f t="shared" si="109"/>
        <v>2055.0128916790522</v>
      </c>
      <c r="L251" s="447">
        <f t="shared" si="109"/>
        <v>2072.0364014305128</v>
      </c>
      <c r="M251" s="447">
        <f t="shared" si="109"/>
        <v>2084.3013097962676</v>
      </c>
      <c r="N251" s="447">
        <f t="shared" si="109"/>
        <v>2093.1433003760326</v>
      </c>
    </row>
    <row r="252" spans="2:14">
      <c r="B252" s="331" t="str">
        <f t="shared" si="102"/>
        <v>45-49</v>
      </c>
      <c r="C252" s="447">
        <f t="shared" si="104"/>
        <v>1794.8464185479486</v>
      </c>
      <c r="D252" s="447">
        <f t="shared" ref="D252:N252" si="110">D82-D218</f>
        <v>1759.3608802757803</v>
      </c>
      <c r="E252" s="447">
        <f t="shared" si="110"/>
        <v>1727.3218495951262</v>
      </c>
      <c r="F252" s="447">
        <f t="shared" si="110"/>
        <v>1716.799740495793</v>
      </c>
      <c r="G252" s="447">
        <f t="shared" si="110"/>
        <v>1709.5683097397985</v>
      </c>
      <c r="H252" s="447">
        <f t="shared" si="110"/>
        <v>1709.9186975176112</v>
      </c>
      <c r="I252" s="447">
        <f t="shared" si="110"/>
        <v>1715.7688577852539</v>
      </c>
      <c r="J252" s="447">
        <f t="shared" si="110"/>
        <v>1727.1033913202434</v>
      </c>
      <c r="K252" s="447">
        <f t="shared" si="110"/>
        <v>1736.6213780592534</v>
      </c>
      <c r="L252" s="447">
        <f t="shared" si="110"/>
        <v>1744.1930484922802</v>
      </c>
      <c r="M252" s="447">
        <f t="shared" si="110"/>
        <v>1749.6496911033846</v>
      </c>
      <c r="N252" s="447">
        <f t="shared" si="110"/>
        <v>1753.7937982246062</v>
      </c>
    </row>
    <row r="253" spans="2:14">
      <c r="B253" s="331" t="str">
        <f t="shared" si="102"/>
        <v>50-54</v>
      </c>
      <c r="C253" s="447">
        <f t="shared" si="104"/>
        <v>1413.1275890163506</v>
      </c>
      <c r="D253" s="447">
        <f t="shared" ref="D253:N253" si="111">D83-D219</f>
        <v>1399.6282858512288</v>
      </c>
      <c r="E253" s="447">
        <f t="shared" si="111"/>
        <v>1372.1049761723168</v>
      </c>
      <c r="F253" s="447">
        <f t="shared" si="111"/>
        <v>1352.9771302399427</v>
      </c>
      <c r="G253" s="447">
        <f t="shared" si="111"/>
        <v>1333.3446464384763</v>
      </c>
      <c r="H253" s="447">
        <f t="shared" si="111"/>
        <v>1318.9984887461005</v>
      </c>
      <c r="I253" s="447">
        <f t="shared" si="111"/>
        <v>1309.7251189781362</v>
      </c>
      <c r="J253" s="447">
        <f t="shared" si="111"/>
        <v>1306.0712859396631</v>
      </c>
      <c r="K253" s="447">
        <f t="shared" si="111"/>
        <v>1302.8218526784117</v>
      </c>
      <c r="L253" s="447">
        <f t="shared" si="111"/>
        <v>1299.8401167151858</v>
      </c>
      <c r="M253" s="447">
        <f t="shared" si="111"/>
        <v>1296.8546610478068</v>
      </c>
      <c r="N253" s="447">
        <f t="shared" si="111"/>
        <v>1294.2768087332781</v>
      </c>
    </row>
    <row r="254" spans="2:14">
      <c r="B254" s="331" t="str">
        <f t="shared" si="102"/>
        <v>55-59</v>
      </c>
      <c r="C254" s="447">
        <f t="shared" si="104"/>
        <v>802.31110338770873</v>
      </c>
      <c r="D254" s="447">
        <f t="shared" ref="D254:N254" si="112">D84-D220</f>
        <v>734.98933742410304</v>
      </c>
      <c r="E254" s="447">
        <f t="shared" si="112"/>
        <v>687.65750388065476</v>
      </c>
      <c r="F254" s="447">
        <f t="shared" si="112"/>
        <v>658.66929493685132</v>
      </c>
      <c r="G254" s="447">
        <f t="shared" si="112"/>
        <v>636.37314337790508</v>
      </c>
      <c r="H254" s="447">
        <f t="shared" si="112"/>
        <v>620.7785804359728</v>
      </c>
      <c r="I254" s="447">
        <f t="shared" si="112"/>
        <v>609.92159288760968</v>
      </c>
      <c r="J254" s="447">
        <f t="shared" si="112"/>
        <v>603.21948929679047</v>
      </c>
      <c r="K254" s="447">
        <f t="shared" si="112"/>
        <v>597.25195874032829</v>
      </c>
      <c r="L254" s="447">
        <f t="shared" si="112"/>
        <v>591.94393314929982</v>
      </c>
      <c r="M254" s="447">
        <f t="shared" si="112"/>
        <v>587.14461667705223</v>
      </c>
      <c r="N254" s="447">
        <f t="shared" si="112"/>
        <v>583.08166754523461</v>
      </c>
    </row>
    <row r="255" spans="2:14">
      <c r="B255" s="331" t="str">
        <f t="shared" si="102"/>
        <v>60-64</v>
      </c>
      <c r="C255" s="447">
        <f t="shared" si="104"/>
        <v>309.53353940979559</v>
      </c>
      <c r="D255" s="447">
        <f t="shared" ref="D255:N255" si="113">D85-D221</f>
        <v>278.9415614192211</v>
      </c>
      <c r="E255" s="447">
        <f t="shared" si="113"/>
        <v>252.76047686424866</v>
      </c>
      <c r="F255" s="447">
        <f t="shared" si="113"/>
        <v>235.27409526340088</v>
      </c>
      <c r="G255" s="447">
        <f t="shared" si="113"/>
        <v>221.89923729343346</v>
      </c>
      <c r="H255" s="447">
        <f t="shared" si="113"/>
        <v>212.70039312172099</v>
      </c>
      <c r="I255" s="447">
        <f t="shared" si="113"/>
        <v>206.40816568994106</v>
      </c>
      <c r="J255" s="447">
        <f t="shared" si="113"/>
        <v>202.43055476831569</v>
      </c>
      <c r="K255" s="447">
        <f t="shared" si="113"/>
        <v>198.94269276086453</v>
      </c>
      <c r="L255" s="447">
        <f t="shared" si="113"/>
        <v>195.86589069865488</v>
      </c>
      <c r="M255" s="447">
        <f t="shared" si="113"/>
        <v>193.11189836315549</v>
      </c>
      <c r="N255" s="447">
        <f t="shared" si="113"/>
        <v>190.78301742494756</v>
      </c>
    </row>
    <row r="256" spans="2:14">
      <c r="B256" s="331" t="str">
        <f t="shared" si="102"/>
        <v>65 plus</v>
      </c>
      <c r="C256" s="447">
        <f t="shared" si="104"/>
        <v>92.912108144826078</v>
      </c>
      <c r="D256" s="447">
        <f t="shared" ref="D256:N256" si="114">D86-D222</f>
        <v>99.82680109771708</v>
      </c>
      <c r="E256" s="447">
        <f t="shared" si="114"/>
        <v>98.913097497415691</v>
      </c>
      <c r="F256" s="447">
        <f t="shared" si="114"/>
        <v>96.027001002715181</v>
      </c>
      <c r="G256" s="447">
        <f t="shared" si="114"/>
        <v>91.896997489806026</v>
      </c>
      <c r="H256" s="447">
        <f t="shared" si="114"/>
        <v>88.043255205098092</v>
      </c>
      <c r="I256" s="447">
        <f t="shared" si="114"/>
        <v>84.836497303883391</v>
      </c>
      <c r="J256" s="447">
        <f t="shared" si="114"/>
        <v>82.452093472133669</v>
      </c>
      <c r="K256" s="447">
        <f t="shared" si="114"/>
        <v>80.350236274690062</v>
      </c>
      <c r="L256" s="447">
        <f t="shared" si="114"/>
        <v>78.498003474691856</v>
      </c>
      <c r="M256" s="447">
        <f t="shared" si="114"/>
        <v>76.851680504888122</v>
      </c>
      <c r="N256" s="447">
        <f t="shared" si="114"/>
        <v>75.440428773258958</v>
      </c>
    </row>
    <row r="257" spans="1:15">
      <c r="B257" s="331" t="str">
        <f t="shared" si="102"/>
        <v>Total</v>
      </c>
      <c r="C257" s="447">
        <f>SUM(C247:C256)</f>
        <v>12200.361577419275</v>
      </c>
      <c r="D257" s="447">
        <f t="shared" ref="D257:N257" si="115">SUM(D247:D256)</f>
        <v>12544.147047500252</v>
      </c>
      <c r="E257" s="447">
        <f t="shared" si="115"/>
        <v>12692.46107862435</v>
      </c>
      <c r="F257" s="447">
        <f t="shared" si="115"/>
        <v>12911.923048281065</v>
      </c>
      <c r="G257" s="447">
        <f t="shared" si="115"/>
        <v>13031.769252135327</v>
      </c>
      <c r="H257" s="447">
        <f t="shared" si="115"/>
        <v>13157.952967817919</v>
      </c>
      <c r="I257" s="447">
        <f t="shared" si="115"/>
        <v>13289.319583827613</v>
      </c>
      <c r="J257" s="447">
        <f t="shared" si="115"/>
        <v>13444.895035378302</v>
      </c>
      <c r="K257" s="447">
        <f t="shared" si="115"/>
        <v>13537.151357235245</v>
      </c>
      <c r="L257" s="447">
        <f t="shared" si="115"/>
        <v>13579.060949734156</v>
      </c>
      <c r="M257" s="447">
        <f t="shared" si="115"/>
        <v>13578.904978846253</v>
      </c>
      <c r="N257" s="447">
        <f t="shared" si="115"/>
        <v>13555.604621056755</v>
      </c>
    </row>
    <row r="258" spans="1:15">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5">
      <c r="B263" s="331" t="str">
        <f t="shared" si="117"/>
        <v>20-24</v>
      </c>
      <c r="C263" s="447">
        <f t="shared" ref="C263:C272" si="119">C93-C229</f>
        <v>803.94528891748973</v>
      </c>
      <c r="D263" s="447">
        <f t="shared" ref="D263:N263" si="120">D93-D229</f>
        <v>998.28446440472794</v>
      </c>
      <c r="E263" s="447">
        <f t="shared" si="120"/>
        <v>1101.4591816698478</v>
      </c>
      <c r="F263" s="447">
        <f t="shared" si="120"/>
        <v>1180.072869292635</v>
      </c>
      <c r="G263" s="447">
        <f t="shared" si="120"/>
        <v>1213.845969923053</v>
      </c>
      <c r="H263" s="447">
        <f t="shared" si="120"/>
        <v>1239.2374118691303</v>
      </c>
      <c r="I263" s="447">
        <f t="shared" si="120"/>
        <v>1259.2818045548854</v>
      </c>
      <c r="J263" s="447">
        <f t="shared" si="120"/>
        <v>1280.6524549971987</v>
      </c>
      <c r="K263" s="447">
        <f t="shared" si="120"/>
        <v>1283.490303920843</v>
      </c>
      <c r="L263" s="447">
        <f t="shared" si="120"/>
        <v>1275.0507533814894</v>
      </c>
      <c r="M263" s="447">
        <f t="shared" si="120"/>
        <v>1259.5939674497088</v>
      </c>
      <c r="N263" s="447">
        <f t="shared" si="120"/>
        <v>1242.7605077885771</v>
      </c>
      <c r="O263" s="320"/>
    </row>
    <row r="264" spans="1:15">
      <c r="B264" s="331" t="str">
        <f t="shared" si="117"/>
        <v>25-29</v>
      </c>
      <c r="C264" s="447">
        <f t="shared" si="119"/>
        <v>2371.7087634269647</v>
      </c>
      <c r="D264" s="447">
        <f t="shared" ref="D264:N264" si="121">D94-D230</f>
        <v>2408.540353904486</v>
      </c>
      <c r="E264" s="447">
        <f t="shared" si="121"/>
        <v>2428.8047595862581</v>
      </c>
      <c r="F264" s="447">
        <f t="shared" si="121"/>
        <v>2471.4574667097127</v>
      </c>
      <c r="G264" s="447">
        <f t="shared" si="121"/>
        <v>2489.4448321535519</v>
      </c>
      <c r="H264" s="447">
        <f t="shared" si="121"/>
        <v>2511.25848395703</v>
      </c>
      <c r="I264" s="447">
        <f t="shared" si="121"/>
        <v>2534.7506883969927</v>
      </c>
      <c r="J264" s="447">
        <f t="shared" si="121"/>
        <v>2565.0123229756</v>
      </c>
      <c r="K264" s="447">
        <f t="shared" si="121"/>
        <v>2574.6935635694563</v>
      </c>
      <c r="L264" s="447">
        <f t="shared" si="121"/>
        <v>2568.3613489274753</v>
      </c>
      <c r="M264" s="447">
        <f t="shared" si="121"/>
        <v>2549.6242031185379</v>
      </c>
      <c r="N264" s="447">
        <f t="shared" si="121"/>
        <v>2525.3851322570513</v>
      </c>
      <c r="O264" s="320"/>
    </row>
    <row r="265" spans="1:15">
      <c r="B265" s="331" t="str">
        <f t="shared" si="117"/>
        <v>30-34</v>
      </c>
      <c r="C265" s="447">
        <f t="shared" si="119"/>
        <v>2171.5663590907452</v>
      </c>
      <c r="D265" s="447">
        <f t="shared" ref="D265:N265" si="122">D95-D231</f>
        <v>2366.9511173135215</v>
      </c>
      <c r="E265" s="447">
        <f t="shared" si="122"/>
        <v>2489.5675669941938</v>
      </c>
      <c r="F265" s="447">
        <f t="shared" si="122"/>
        <v>2587.3379186787474</v>
      </c>
      <c r="G265" s="447">
        <f t="shared" si="122"/>
        <v>2649.7630227359969</v>
      </c>
      <c r="H265" s="447">
        <f t="shared" si="122"/>
        <v>2700.0956737715942</v>
      </c>
      <c r="I265" s="447">
        <f t="shared" si="122"/>
        <v>2742.6648519982496</v>
      </c>
      <c r="J265" s="447">
        <f t="shared" si="122"/>
        <v>2783.9469361251004</v>
      </c>
      <c r="K265" s="447">
        <f t="shared" si="122"/>
        <v>2809.7738627574568</v>
      </c>
      <c r="L265" s="447">
        <f t="shared" si="122"/>
        <v>2821.7835335011314</v>
      </c>
      <c r="M265" s="447">
        <f t="shared" si="122"/>
        <v>2821.4407719964215</v>
      </c>
      <c r="N265" s="447">
        <f t="shared" si="122"/>
        <v>2812.6803686659814</v>
      </c>
      <c r="O265" s="320"/>
    </row>
    <row r="266" spans="1:15">
      <c r="B266" s="331" t="str">
        <f t="shared" si="117"/>
        <v>35-39</v>
      </c>
      <c r="C266" s="447">
        <f t="shared" si="119"/>
        <v>2030.2849519746082</v>
      </c>
      <c r="D266" s="447">
        <f t="shared" ref="D266:N266" si="123">D96-D232</f>
        <v>2120.6893546648889</v>
      </c>
      <c r="E266" s="447">
        <f t="shared" si="123"/>
        <v>2204.5985454888714</v>
      </c>
      <c r="F266" s="447">
        <f t="shared" si="123"/>
        <v>2291.1801458302816</v>
      </c>
      <c r="G266" s="447">
        <f t="shared" si="123"/>
        <v>2361.3788153642299</v>
      </c>
      <c r="H266" s="447">
        <f t="shared" si="123"/>
        <v>2425.160169323658</v>
      </c>
      <c r="I266" s="447">
        <f t="shared" si="123"/>
        <v>2482.2580586668541</v>
      </c>
      <c r="J266" s="447">
        <f t="shared" si="123"/>
        <v>2535.758655022838</v>
      </c>
      <c r="K266" s="447">
        <f t="shared" si="123"/>
        <v>2575.9023947484943</v>
      </c>
      <c r="L266" s="447">
        <f t="shared" si="123"/>
        <v>2604.2225423610553</v>
      </c>
      <c r="M266" s="447">
        <f t="shared" si="123"/>
        <v>2621.7706990243169</v>
      </c>
      <c r="N266" s="447">
        <f t="shared" si="123"/>
        <v>2631.0626876031397</v>
      </c>
      <c r="O266" s="320"/>
    </row>
    <row r="267" spans="1:15">
      <c r="B267" s="331" t="str">
        <f t="shared" si="117"/>
        <v>40-44</v>
      </c>
      <c r="C267" s="447">
        <f t="shared" si="119"/>
        <v>1957.8606129241412</v>
      </c>
      <c r="D267" s="447">
        <f t="shared" ref="D267:N267" si="124">D97-D233</f>
        <v>2002.1441947531273</v>
      </c>
      <c r="E267" s="447">
        <f t="shared" si="124"/>
        <v>2035.9605671996385</v>
      </c>
      <c r="F267" s="447">
        <f t="shared" si="124"/>
        <v>2078.29133170663</v>
      </c>
      <c r="G267" s="447">
        <f t="shared" si="124"/>
        <v>2116.0619667934634</v>
      </c>
      <c r="H267" s="447">
        <f t="shared" si="124"/>
        <v>2157.4526750538062</v>
      </c>
      <c r="I267" s="447">
        <f t="shared" si="124"/>
        <v>2200.4687079699615</v>
      </c>
      <c r="J267" s="447">
        <f t="shared" si="124"/>
        <v>2245.6798377057485</v>
      </c>
      <c r="K267" s="447">
        <f t="shared" si="124"/>
        <v>2283.1047625892115</v>
      </c>
      <c r="L267" s="447">
        <f t="shared" si="124"/>
        <v>2313.0181219099104</v>
      </c>
      <c r="M267" s="447">
        <f t="shared" si="124"/>
        <v>2335.5977529130837</v>
      </c>
      <c r="N267" s="447">
        <f t="shared" si="124"/>
        <v>2352.3978311185397</v>
      </c>
      <c r="O267" s="320"/>
    </row>
    <row r="268" spans="1:15">
      <c r="B268" s="331" t="str">
        <f t="shared" si="117"/>
        <v>45-49</v>
      </c>
      <c r="C268" s="447">
        <f t="shared" si="119"/>
        <v>1958.8585638094783</v>
      </c>
      <c r="D268" s="447">
        <f t="shared" ref="D268:N268" si="125">D98-D234</f>
        <v>1933.977614177034</v>
      </c>
      <c r="E268" s="447">
        <f t="shared" si="125"/>
        <v>1911.077855070489</v>
      </c>
      <c r="F268" s="447">
        <f t="shared" si="125"/>
        <v>1902.0479690915045</v>
      </c>
      <c r="G268" s="447">
        <f t="shared" si="125"/>
        <v>1896.0167700643187</v>
      </c>
      <c r="H268" s="447">
        <f t="shared" si="125"/>
        <v>1899.3634233155697</v>
      </c>
      <c r="I268" s="447">
        <f t="shared" si="125"/>
        <v>1910.2521386291687</v>
      </c>
      <c r="J268" s="447">
        <f t="shared" si="125"/>
        <v>1928.6768825274489</v>
      </c>
      <c r="K268" s="447">
        <f t="shared" si="125"/>
        <v>1945.8616759017225</v>
      </c>
      <c r="L268" s="447">
        <f t="shared" si="125"/>
        <v>1961.2283627888276</v>
      </c>
      <c r="M268" s="447">
        <f t="shared" si="125"/>
        <v>1974.1654493270912</v>
      </c>
      <c r="N268" s="447">
        <f t="shared" si="125"/>
        <v>1985.2626797921598</v>
      </c>
      <c r="O268" s="320"/>
    </row>
    <row r="269" spans="1:15">
      <c r="B269" s="331" t="str">
        <f t="shared" si="117"/>
        <v>50-54</v>
      </c>
      <c r="C269" s="447">
        <f t="shared" si="119"/>
        <v>1669.5958507844416</v>
      </c>
      <c r="D269" s="447">
        <f t="shared" ref="D269:N269" si="126">D99-D235</f>
        <v>1636.9654172592604</v>
      </c>
      <c r="E269" s="447">
        <f t="shared" si="126"/>
        <v>1599.7285103843456</v>
      </c>
      <c r="F269" s="447">
        <f t="shared" si="126"/>
        <v>1570.3021890805499</v>
      </c>
      <c r="G269" s="447">
        <f t="shared" si="126"/>
        <v>1542.8587383084118</v>
      </c>
      <c r="H269" s="447">
        <f t="shared" si="126"/>
        <v>1523.2339046227953</v>
      </c>
      <c r="I269" s="447">
        <f t="shared" si="126"/>
        <v>1510.8202934048509</v>
      </c>
      <c r="J269" s="447">
        <f t="shared" si="126"/>
        <v>1506.1033484485686</v>
      </c>
      <c r="K269" s="447">
        <f t="shared" si="126"/>
        <v>1502.9024153574346</v>
      </c>
      <c r="L269" s="447">
        <f t="shared" si="126"/>
        <v>1500.8985098202068</v>
      </c>
      <c r="M269" s="447">
        <f t="shared" si="126"/>
        <v>1499.5876698146317</v>
      </c>
      <c r="N269" s="447">
        <f t="shared" si="126"/>
        <v>1499.2435226538432</v>
      </c>
      <c r="O269" s="320"/>
    </row>
    <row r="270" spans="1:15">
      <c r="B270" s="331" t="str">
        <f t="shared" si="117"/>
        <v>55-59</v>
      </c>
      <c r="C270" s="447">
        <f t="shared" si="119"/>
        <v>919.89596663757857</v>
      </c>
      <c r="D270" s="447">
        <f t="shared" ref="D270:N270" si="127">D100-D236</f>
        <v>874.87323476980339</v>
      </c>
      <c r="E270" s="447">
        <f t="shared" si="127"/>
        <v>837.56023224473074</v>
      </c>
      <c r="F270" s="447">
        <f t="shared" si="127"/>
        <v>810.27995311637687</v>
      </c>
      <c r="G270" s="447">
        <f t="shared" si="127"/>
        <v>786.43294875123581</v>
      </c>
      <c r="H270" s="447">
        <f t="shared" si="127"/>
        <v>768.35069597288202</v>
      </c>
      <c r="I270" s="447">
        <f t="shared" si="127"/>
        <v>754.96221677536278</v>
      </c>
      <c r="J270" s="447">
        <f t="shared" si="127"/>
        <v>746.24269243869742</v>
      </c>
      <c r="K270" s="447">
        <f t="shared" si="127"/>
        <v>738.49272986490121</v>
      </c>
      <c r="L270" s="447">
        <f t="shared" si="127"/>
        <v>731.75643945856677</v>
      </c>
      <c r="M270" s="447">
        <f t="shared" si="127"/>
        <v>725.90904866662038</v>
      </c>
      <c r="N270" s="447">
        <f t="shared" si="127"/>
        <v>721.22265245563392</v>
      </c>
      <c r="O270" s="320"/>
    </row>
    <row r="271" spans="1:15">
      <c r="B271" s="331" t="str">
        <f t="shared" si="117"/>
        <v>60-64</v>
      </c>
      <c r="C271" s="447">
        <f t="shared" si="119"/>
        <v>318.48983471178803</v>
      </c>
      <c r="D271" s="447">
        <f t="shared" ref="D271:N271" si="128">D101-D237</f>
        <v>309.47096229704158</v>
      </c>
      <c r="E271" s="447">
        <f t="shared" si="128"/>
        <v>296.89145916313703</v>
      </c>
      <c r="F271" s="447">
        <f t="shared" si="128"/>
        <v>286.25911455185644</v>
      </c>
      <c r="G271" s="447">
        <f t="shared" si="128"/>
        <v>276.05178990189927</v>
      </c>
      <c r="H271" s="447">
        <f t="shared" si="128"/>
        <v>268.06032426998263</v>
      </c>
      <c r="I271" s="447">
        <f t="shared" si="128"/>
        <v>261.94025775744427</v>
      </c>
      <c r="J271" s="447">
        <f t="shared" si="128"/>
        <v>257.70965247460657</v>
      </c>
      <c r="K271" s="447">
        <f t="shared" si="128"/>
        <v>253.64342642842504</v>
      </c>
      <c r="L271" s="447">
        <f t="shared" si="128"/>
        <v>249.87615807381803</v>
      </c>
      <c r="M271" s="447">
        <f t="shared" si="128"/>
        <v>246.43375447251097</v>
      </c>
      <c r="N271" s="447">
        <f t="shared" si="128"/>
        <v>243.50834333426883</v>
      </c>
      <c r="O271" s="320"/>
    </row>
    <row r="272" spans="1:15">
      <c r="B272" s="331" t="str">
        <f t="shared" si="117"/>
        <v>65 plus</v>
      </c>
      <c r="C272" s="447">
        <f t="shared" si="119"/>
        <v>88.02530365684845</v>
      </c>
      <c r="D272" s="447">
        <f t="shared" ref="D272:N272" si="129">D102-D238</f>
        <v>111.9698682567373</v>
      </c>
      <c r="E272" s="447">
        <f t="shared" si="129"/>
        <v>125.29320775877451</v>
      </c>
      <c r="F272" s="447">
        <f t="shared" si="129"/>
        <v>132.43895889727864</v>
      </c>
      <c r="G272" s="447">
        <f t="shared" si="129"/>
        <v>135.08074450546349</v>
      </c>
      <c r="H272" s="447">
        <f t="shared" si="129"/>
        <v>135.54285294839781</v>
      </c>
      <c r="I272" s="447">
        <f t="shared" si="129"/>
        <v>134.89410262365942</v>
      </c>
      <c r="J272" s="447">
        <f t="shared" si="129"/>
        <v>133.92102214380083</v>
      </c>
      <c r="K272" s="447">
        <f t="shared" si="129"/>
        <v>132.38940168507378</v>
      </c>
      <c r="L272" s="447">
        <f t="shared" si="129"/>
        <v>130.55852024660328</v>
      </c>
      <c r="M272" s="447">
        <f t="shared" si="129"/>
        <v>128.59273853106419</v>
      </c>
      <c r="N272" s="447">
        <f t="shared" si="129"/>
        <v>126.68533718725266</v>
      </c>
      <c r="O272" s="320"/>
    </row>
    <row r="273" spans="1:15">
      <c r="B273" s="331" t="str">
        <f t="shared" si="117"/>
        <v>Total</v>
      </c>
      <c r="C273" s="447">
        <f>SUM(C263:C272)</f>
        <v>14290.231495934082</v>
      </c>
      <c r="D273" s="447">
        <f t="shared" ref="D273:N273" si="130">SUM(D263:D272)</f>
        <v>14763.86658180063</v>
      </c>
      <c r="E273" s="447">
        <f t="shared" si="130"/>
        <v>15030.941885560285</v>
      </c>
      <c r="F273" s="447">
        <f t="shared" si="130"/>
        <v>15309.667916955574</v>
      </c>
      <c r="G273" s="447">
        <f t="shared" si="130"/>
        <v>15466.935598501621</v>
      </c>
      <c r="H273" s="447">
        <f t="shared" si="130"/>
        <v>15627.755615104845</v>
      </c>
      <c r="I273" s="447">
        <f t="shared" si="130"/>
        <v>15792.293120777427</v>
      </c>
      <c r="J273" s="447">
        <f t="shared" si="130"/>
        <v>15983.70380485961</v>
      </c>
      <c r="K273" s="447">
        <f t="shared" si="130"/>
        <v>16100.254536823018</v>
      </c>
      <c r="L273" s="447">
        <f t="shared" si="130"/>
        <v>16156.754290469084</v>
      </c>
      <c r="M273" s="447">
        <f t="shared" si="130"/>
        <v>16162.716055313987</v>
      </c>
      <c r="N273" s="447">
        <f t="shared" si="130"/>
        <v>16140.209062856447</v>
      </c>
      <c r="O273" s="320"/>
    </row>
    <row r="274" spans="1:15">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5" ht="15.75">
      <c r="B275" s="333"/>
      <c r="H275" s="320"/>
    </row>
    <row r="276" spans="1:15" ht="15.75">
      <c r="B276" s="333" t="s">
        <v>528</v>
      </c>
      <c r="H276" s="320"/>
    </row>
    <row r="277" spans="1:15" ht="15.75">
      <c r="B277" s="333"/>
      <c r="H277" s="320"/>
    </row>
    <row r="278" spans="1:15"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5">
      <c r="B279" s="319" t="s">
        <v>597</v>
      </c>
      <c r="C279" s="447">
        <f>C223+C239</f>
        <v>3916.9034869673328</v>
      </c>
      <c r="D279" s="447">
        <f t="shared" ref="D279:N279" si="133">D223+D239</f>
        <v>3955.9823596089091</v>
      </c>
      <c r="E279" s="447">
        <f t="shared" si="133"/>
        <v>4077.0014162819816</v>
      </c>
      <c r="F279" s="447">
        <f t="shared" si="133"/>
        <v>4111.2969073944514</v>
      </c>
      <c r="G279" s="447">
        <f t="shared" si="133"/>
        <v>4122.3656872287975</v>
      </c>
      <c r="H279" s="447">
        <f t="shared" si="133"/>
        <v>4138.5155075407347</v>
      </c>
      <c r="I279" s="447">
        <f t="shared" si="133"/>
        <v>4159.3895771671778</v>
      </c>
      <c r="J279" s="447">
        <f t="shared" si="133"/>
        <v>4191.0762399741407</v>
      </c>
      <c r="K279" s="447">
        <f t="shared" si="133"/>
        <v>4204.399847745417</v>
      </c>
      <c r="L279" s="447">
        <f t="shared" si="133"/>
        <v>4204.0283248044652</v>
      </c>
      <c r="M279" s="447">
        <f t="shared" si="133"/>
        <v>4192.7802339156533</v>
      </c>
      <c r="N279" s="447">
        <f t="shared" si="133"/>
        <v>4176.7866530507035</v>
      </c>
    </row>
    <row r="280" spans="1:15">
      <c r="B280" s="319" t="s">
        <v>598</v>
      </c>
      <c r="C280" s="447">
        <f>C155+C171</f>
        <v>933.43151023459359</v>
      </c>
      <c r="D280" s="447">
        <f t="shared" ref="D280:N280" si="134">D155+D171</f>
        <v>896.09676119888013</v>
      </c>
      <c r="E280" s="447">
        <f t="shared" si="134"/>
        <v>861.41788010642244</v>
      </c>
      <c r="F280" s="447">
        <f t="shared" si="134"/>
        <v>833.09342497293198</v>
      </c>
      <c r="G280" s="447">
        <f t="shared" si="134"/>
        <v>807.45105415322223</v>
      </c>
      <c r="H280" s="447">
        <f t="shared" si="134"/>
        <v>787.74388700303712</v>
      </c>
      <c r="I280" s="447">
        <f t="shared" si="134"/>
        <v>773.02412568327259</v>
      </c>
      <c r="J280" s="447">
        <f t="shared" si="134"/>
        <v>763.31629403884995</v>
      </c>
      <c r="K280" s="447">
        <f t="shared" si="134"/>
        <v>754.29945527764562</v>
      </c>
      <c r="L280" s="447">
        <f t="shared" si="134"/>
        <v>746.07260520909608</v>
      </c>
      <c r="M280" s="447">
        <f t="shared" si="134"/>
        <v>738.55912874931835</v>
      </c>
      <c r="N280" s="447">
        <f t="shared" si="134"/>
        <v>732.15559578187026</v>
      </c>
    </row>
    <row r="281" spans="1:15">
      <c r="B281" s="319" t="s">
        <v>599</v>
      </c>
      <c r="C281" s="447">
        <f>C189+C205</f>
        <v>23.10267867268248</v>
      </c>
      <c r="D281" s="447">
        <f t="shared" ref="D281:N281" si="135">D189+D205</f>
        <v>22.929317686447167</v>
      </c>
      <c r="E281" s="447">
        <f t="shared" si="135"/>
        <v>22.715199697065273</v>
      </c>
      <c r="F281" s="447">
        <f t="shared" si="135"/>
        <v>22.556354370100021</v>
      </c>
      <c r="G281" s="447">
        <f t="shared" si="135"/>
        <v>22.373598362230979</v>
      </c>
      <c r="H281" s="447">
        <f t="shared" si="135"/>
        <v>22.264822730278979</v>
      </c>
      <c r="I281" s="447">
        <f t="shared" si="135"/>
        <v>22.221543654067638</v>
      </c>
      <c r="J281" s="447">
        <f t="shared" si="135"/>
        <v>22.257541711892841</v>
      </c>
      <c r="K281" s="447">
        <f t="shared" si="135"/>
        <v>22.266498552998534</v>
      </c>
      <c r="L281" s="447">
        <f t="shared" si="135"/>
        <v>22.252632202806375</v>
      </c>
      <c r="M281" s="447">
        <f t="shared" si="135"/>
        <v>22.216565729041093</v>
      </c>
      <c r="N281" s="447">
        <f t="shared" si="135"/>
        <v>22.172417913220563</v>
      </c>
    </row>
    <row r="282" spans="1:15">
      <c r="B282" s="319" t="s">
        <v>600</v>
      </c>
      <c r="C282" s="447">
        <f>C121+C137</f>
        <v>2960.3692980600567</v>
      </c>
      <c r="D282" s="447">
        <f t="shared" ref="D282:N282" si="136">D121+D137</f>
        <v>3036.9562807235816</v>
      </c>
      <c r="E282" s="447">
        <f t="shared" si="136"/>
        <v>3192.8683364784933</v>
      </c>
      <c r="F282" s="447">
        <f t="shared" si="136"/>
        <v>3255.6471280514188</v>
      </c>
      <c r="G282" s="447">
        <f t="shared" si="136"/>
        <v>3292.5410347133447</v>
      </c>
      <c r="H282" s="447">
        <f t="shared" si="136"/>
        <v>3328.5067978074176</v>
      </c>
      <c r="I282" s="447">
        <f t="shared" si="136"/>
        <v>3364.1439078298381</v>
      </c>
      <c r="J282" s="447">
        <f t="shared" si="136"/>
        <v>3405.5024042233977</v>
      </c>
      <c r="K282" s="447">
        <f t="shared" si="136"/>
        <v>3427.8338939147729</v>
      </c>
      <c r="L282" s="447">
        <f t="shared" si="136"/>
        <v>3435.7030873925632</v>
      </c>
      <c r="M282" s="447">
        <f t="shared" si="136"/>
        <v>3432.0045394372937</v>
      </c>
      <c r="N282" s="447">
        <f t="shared" si="136"/>
        <v>3422.4586393556133</v>
      </c>
    </row>
    <row r="283" spans="1:15"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5" ht="15.75">
      <c r="B284" s="333"/>
      <c r="H284" s="320"/>
    </row>
    <row r="285" spans="1:15" ht="15.75">
      <c r="B285" s="333" t="s">
        <v>266</v>
      </c>
      <c r="F285" s="357"/>
      <c r="G285" s="357" t="s">
        <v>267</v>
      </c>
      <c r="H285" s="320"/>
    </row>
    <row r="286" spans="1:15" ht="15.75">
      <c r="B286" s="333"/>
      <c r="H286" s="320"/>
    </row>
    <row r="287" spans="1:15" ht="15.75">
      <c r="B287" s="333" t="s">
        <v>212</v>
      </c>
      <c r="H287" s="320"/>
    </row>
    <row r="288" spans="1:15" ht="15.75">
      <c r="B288" s="333"/>
      <c r="H288" s="320"/>
    </row>
    <row r="289" spans="2:16" ht="15.75">
      <c r="B289" s="333"/>
      <c r="C289" s="319" t="str">
        <f>C278</f>
        <v>2017/18</v>
      </c>
      <c r="D289" s="319" t="str">
        <f t="shared" ref="D289:L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row>
    <row r="290" spans="2:16" ht="15.75">
      <c r="B290" s="333"/>
      <c r="C290" s="447">
        <f>C53+C69-C15</f>
        <v>0</v>
      </c>
      <c r="D290" s="447">
        <f>D53+D69-D15</f>
        <v>0</v>
      </c>
      <c r="E290" s="447">
        <f>E53+E69-E15</f>
        <v>0</v>
      </c>
      <c r="F290" s="447">
        <f t="shared" ref="F290:L290" si="139">F53+F69-F15</f>
        <v>0</v>
      </c>
      <c r="G290" s="447">
        <f t="shared" si="139"/>
        <v>0</v>
      </c>
      <c r="H290" s="447">
        <f t="shared" si="139"/>
        <v>0</v>
      </c>
      <c r="I290" s="447">
        <f t="shared" si="139"/>
        <v>0</v>
      </c>
      <c r="J290" s="447">
        <f t="shared" si="139"/>
        <v>0</v>
      </c>
      <c r="K290" s="447">
        <f t="shared" si="139"/>
        <v>0</v>
      </c>
      <c r="L290" s="447">
        <f t="shared" si="139"/>
        <v>0</v>
      </c>
    </row>
    <row r="291" spans="2:16" ht="15.75">
      <c r="B291" s="333"/>
      <c r="H291" s="320"/>
    </row>
    <row r="292" spans="2:16" ht="15.75">
      <c r="B292" s="333" t="s">
        <v>264</v>
      </c>
      <c r="H292" s="320"/>
    </row>
    <row r="293" spans="2:16"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6">
      <c r="B294" s="356" t="s">
        <v>268</v>
      </c>
      <c r="C294" s="447">
        <f>C36-C15+C279-C290</f>
        <v>4773.4029155564294</v>
      </c>
      <c r="D294" s="447">
        <f>D36-D15+D279-D290</f>
        <v>4492.3907511657389</v>
      </c>
      <c r="E294" s="447">
        <f>E36-E15+E279-E290</f>
        <v>4609.484908446454</v>
      </c>
      <c r="F294" s="447">
        <f t="shared" ref="F294:N294" si="141">F36-F15+F279-F290</f>
        <v>4399.4795726291122</v>
      </c>
      <c r="G294" s="447">
        <f t="shared" si="141"/>
        <v>4425.5192398265463</v>
      </c>
      <c r="H294" s="447">
        <f t="shared" si="141"/>
        <v>4455.2936988494585</v>
      </c>
      <c r="I294" s="447">
        <f t="shared" si="141"/>
        <v>4538.062375607009</v>
      </c>
      <c r="J294" s="447">
        <f t="shared" si="141"/>
        <v>4413.2069015657735</v>
      </c>
      <c r="K294" s="447">
        <f t="shared" si="141"/>
        <v>4302.4376709494409</v>
      </c>
      <c r="L294" s="447">
        <f t="shared" si="141"/>
        <v>4198.5860278726541</v>
      </c>
      <c r="M294" s="447">
        <f t="shared" si="141"/>
        <v>4130.9793028036638</v>
      </c>
      <c r="N294" s="447">
        <f t="shared" si="141"/>
        <v>4062.9399983251878</v>
      </c>
    </row>
    <row r="295" spans="2:16" ht="12.75" customHeight="1">
      <c r="B295" s="1327" t="s">
        <v>265</v>
      </c>
      <c r="C295" s="1327"/>
      <c r="D295" s="1327"/>
      <c r="E295" s="1327"/>
      <c r="F295" s="1327"/>
      <c r="G295" s="1327"/>
      <c r="H295" s="1327"/>
      <c r="I295" s="1327"/>
      <c r="J295" s="1327"/>
      <c r="K295" s="1327"/>
      <c r="L295" s="1327"/>
      <c r="M295" s="1327"/>
      <c r="N295" s="1327"/>
    </row>
    <row r="296" spans="2:16">
      <c r="B296" s="526" t="s">
        <v>573</v>
      </c>
      <c r="C296" s="527">
        <f>IF(C294&lt;0,0,C294)</f>
        <v>4773.4029155564294</v>
      </c>
      <c r="D296" s="527">
        <f t="shared" ref="D296:N296" si="142">IF(D294&lt;0,0,D294)</f>
        <v>4492.3907511657389</v>
      </c>
      <c r="E296" s="527">
        <f t="shared" si="142"/>
        <v>4609.484908446454</v>
      </c>
      <c r="F296" s="527">
        <f t="shared" si="142"/>
        <v>4399.4795726291122</v>
      </c>
      <c r="G296" s="527">
        <f t="shared" si="142"/>
        <v>4425.5192398265463</v>
      </c>
      <c r="H296" s="527">
        <f t="shared" si="142"/>
        <v>4455.2936988494585</v>
      </c>
      <c r="I296" s="527">
        <f t="shared" si="142"/>
        <v>4538.062375607009</v>
      </c>
      <c r="J296" s="527">
        <f t="shared" si="142"/>
        <v>4413.2069015657735</v>
      </c>
      <c r="K296" s="527">
        <f t="shared" si="142"/>
        <v>4302.4376709494409</v>
      </c>
      <c r="L296" s="527">
        <f t="shared" si="142"/>
        <v>4198.5860278726541</v>
      </c>
      <c r="M296" s="527">
        <f t="shared" si="142"/>
        <v>4130.9793028036638</v>
      </c>
      <c r="N296" s="527">
        <f t="shared" si="142"/>
        <v>4062.9399983251878</v>
      </c>
    </row>
    <row r="297" spans="2:16" ht="15.75">
      <c r="B297" s="333"/>
      <c r="H297" s="320"/>
    </row>
    <row r="298" spans="2:16" ht="15.75">
      <c r="B298" s="333" t="s">
        <v>175</v>
      </c>
      <c r="H298" s="320"/>
    </row>
    <row r="299" spans="2:16" ht="15.75">
      <c r="B299" s="333"/>
      <c r="H299" s="320"/>
    </row>
    <row r="300" spans="2:16">
      <c r="B300" s="334" t="s">
        <v>46</v>
      </c>
      <c r="H300" s="318"/>
    </row>
    <row r="301" spans="2:16">
      <c r="H301" s="318"/>
    </row>
    <row r="302" spans="2:16">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6">
      <c r="B303" s="331" t="str">
        <f t="shared" si="143"/>
        <v>20-24</v>
      </c>
      <c r="C303" s="447">
        <f>C$296*Entrant_age_breakdowns!$K76*$G$31</f>
        <v>568.1200159609574</v>
      </c>
      <c r="D303" s="447">
        <f>D$296*Entrant_age_breakdowns!$K76*$G$31</f>
        <v>534.67456035138161</v>
      </c>
      <c r="E303" s="447">
        <f>E$296*Entrant_age_breakdowns!$K76*$G$31</f>
        <v>548.61085185664217</v>
      </c>
      <c r="F303" s="447">
        <f>F$296*Entrant_age_breakdowns!$K76*$G$31</f>
        <v>523.61647429265918</v>
      </c>
      <c r="G303" s="447">
        <f>G$296*Entrant_age_breakdowns!$K76*$G$31</f>
        <v>526.71565875404451</v>
      </c>
      <c r="H303" s="447">
        <f>H$296*Entrant_age_breakdowns!$K76*$G$31</f>
        <v>530.25935000210552</v>
      </c>
      <c r="I303" s="447">
        <f>I$296*Entrant_age_breakdowns!$K76*$G$31</f>
        <v>540.11029759492681</v>
      </c>
      <c r="J303" s="447">
        <f>J$296*Entrant_age_breakdowns!$K76*$G$31</f>
        <v>525.25027107716721</v>
      </c>
      <c r="K303" s="447">
        <f>K$296*Entrant_age_breakdowns!$K76*$G$31</f>
        <v>512.06675856439665</v>
      </c>
      <c r="L303" s="447">
        <f>L$296*Entrant_age_breakdowns!$K76*$G$31</f>
        <v>499.70656225034253</v>
      </c>
      <c r="M303" s="447">
        <f>M$296*Entrant_age_breakdowns!$K76*$G$31</f>
        <v>491.6601571165773</v>
      </c>
      <c r="N303" s="447">
        <f>N$296*Entrant_age_breakdowns!$K76*$G$31</f>
        <v>483.56226732388666</v>
      </c>
      <c r="O303" s="320"/>
      <c r="P303" s="320"/>
    </row>
    <row r="304" spans="2:16">
      <c r="B304" s="331" t="str">
        <f t="shared" si="143"/>
        <v>25-29</v>
      </c>
      <c r="C304" s="447">
        <f>C$296*Entrant_age_breakdowns!$K77*$G$31</f>
        <v>579.92624319420497</v>
      </c>
      <c r="D304" s="447">
        <f>D$296*Entrant_age_breakdowns!$K77*$G$31</f>
        <v>545.78575020211724</v>
      </c>
      <c r="E304" s="447">
        <f>E$296*Entrant_age_breakdowns!$K77*$G$31</f>
        <v>560.01165485192007</v>
      </c>
      <c r="F304" s="447">
        <f>F$296*Entrant_age_breakdowns!$K77*$G$31</f>
        <v>534.49786362043096</v>
      </c>
      <c r="G304" s="447">
        <f>G$296*Entrant_age_breakdowns!$K77*$G$31</f>
        <v>537.66145291699354</v>
      </c>
      <c r="H304" s="447">
        <f>H$296*Entrant_age_breakdowns!$K77*$G$31</f>
        <v>541.27878639370977</v>
      </c>
      <c r="I304" s="447">
        <f>I$296*Entrant_age_breakdowns!$K77*$G$31</f>
        <v>551.33444869904997</v>
      </c>
      <c r="J304" s="447">
        <f>J$296*Entrant_age_breakdowns!$K77*$G$31</f>
        <v>536.16561269591421</v>
      </c>
      <c r="K304" s="447">
        <f>K$296*Entrant_age_breakdowns!$K77*$G$31</f>
        <v>522.70813070471434</v>
      </c>
      <c r="L304" s="447">
        <f>L$296*Entrant_age_breakdowns!$K77*$G$31</f>
        <v>510.09107442756869</v>
      </c>
      <c r="M304" s="447">
        <f>M$296*Entrant_age_breakdowns!$K77*$G$31</f>
        <v>501.87745517574552</v>
      </c>
      <c r="N304" s="447">
        <f>N$296*Entrant_age_breakdowns!$K77*$G$31</f>
        <v>493.61128135095544</v>
      </c>
      <c r="O304" s="320"/>
      <c r="P304" s="320"/>
    </row>
    <row r="305" spans="1:16">
      <c r="B305" s="331" t="str">
        <f t="shared" si="143"/>
        <v>30-34</v>
      </c>
      <c r="C305" s="447">
        <f>C$296*Entrant_age_breakdowns!$K78*$G$31</f>
        <v>288.02188621813428</v>
      </c>
      <c r="D305" s="447">
        <f>D$296*Entrant_age_breakdowns!$K78*$G$31</f>
        <v>271.06592103567027</v>
      </c>
      <c r="E305" s="447">
        <f>E$296*Entrant_age_breakdowns!$K78*$G$31</f>
        <v>278.13125380596773</v>
      </c>
      <c r="F305" s="447">
        <f>F$296*Entrant_age_breakdowns!$K78*$G$31</f>
        <v>265.45976262703118</v>
      </c>
      <c r="G305" s="447">
        <f>G$296*Entrant_age_breakdowns!$K78*$G$31</f>
        <v>267.03096752956623</v>
      </c>
      <c r="H305" s="447">
        <f>H$296*Entrant_age_breakdowns!$K78*$G$31</f>
        <v>268.82752566652039</v>
      </c>
      <c r="I305" s="447">
        <f>I$296*Entrant_age_breakdowns!$K78*$G$31</f>
        <v>273.82169666386011</v>
      </c>
      <c r="J305" s="447">
        <f>J$296*Entrant_age_breakdowns!$K78*$G$31</f>
        <v>266.28805456949192</v>
      </c>
      <c r="K305" s="447">
        <f>K$296*Entrant_age_breakdowns!$K78*$G$31</f>
        <v>259.60436092337767</v>
      </c>
      <c r="L305" s="447">
        <f>L$296*Entrant_age_breakdowns!$K78*$G$31</f>
        <v>253.33806690735244</v>
      </c>
      <c r="M305" s="447">
        <f>M$296*Entrant_age_breakdowns!$K78*$G$31</f>
        <v>249.25875141275176</v>
      </c>
      <c r="N305" s="447">
        <f>N$296*Entrant_age_breakdowns!$K78*$G$31</f>
        <v>245.15333455196367</v>
      </c>
      <c r="O305" s="320"/>
      <c r="P305" s="320"/>
    </row>
    <row r="306" spans="1:16">
      <c r="B306" s="331" t="str">
        <f t="shared" si="143"/>
        <v>35-39</v>
      </c>
      <c r="C306" s="447">
        <f>C$296*Entrant_age_breakdowns!$K79*$G$31</f>
        <v>214.67217813021949</v>
      </c>
      <c r="D306" s="447">
        <f>D$296*Entrant_age_breakdowns!$K79*$G$31</f>
        <v>202.03433999293648</v>
      </c>
      <c r="E306" s="447">
        <f>E$296*Entrant_age_breakdowns!$K79*$G$31</f>
        <v>207.30036472088332</v>
      </c>
      <c r="F306" s="447">
        <f>F$296*Entrant_age_breakdowns!$K79*$G$31</f>
        <v>197.85588587499447</v>
      </c>
      <c r="G306" s="447">
        <f>G$296*Entrant_age_breakdowns!$K79*$G$31</f>
        <v>199.0269565291899</v>
      </c>
      <c r="H306" s="447">
        <f>H$296*Entrant_age_breakdowns!$K79*$G$31</f>
        <v>200.36599035561736</v>
      </c>
      <c r="I306" s="447">
        <f>I$296*Entrant_age_breakdowns!$K79*$G$31</f>
        <v>204.08831014190514</v>
      </c>
      <c r="J306" s="447">
        <f>J$296*Entrant_age_breakdowns!$K79*$G$31</f>
        <v>198.4732390829416</v>
      </c>
      <c r="K306" s="447">
        <f>K$296*Entrant_age_breakdowns!$K79*$G$31</f>
        <v>193.49166253747106</v>
      </c>
      <c r="L306" s="447">
        <f>L$296*Entrant_age_breakdowns!$K79*$G$31</f>
        <v>188.82118765485848</v>
      </c>
      <c r="M306" s="447">
        <f>M$296*Entrant_age_breakdowns!$K79*$G$31</f>
        <v>185.78073974305269</v>
      </c>
      <c r="N306" s="447">
        <f>N$296*Entrant_age_breakdowns!$K79*$G$31</f>
        <v>182.72083762516141</v>
      </c>
      <c r="O306" s="320"/>
      <c r="P306" s="320"/>
    </row>
    <row r="307" spans="1:16">
      <c r="B307" s="331" t="str">
        <f t="shared" si="143"/>
        <v>40-44</v>
      </c>
      <c r="C307" s="447">
        <f>C$296*Entrant_age_breakdowns!$K80*$G$31</f>
        <v>184.45628139002022</v>
      </c>
      <c r="D307" s="447">
        <f>D$296*Entrant_age_breakdowns!$K80*$G$31</f>
        <v>173.59726534091607</v>
      </c>
      <c r="E307" s="447">
        <f>E$296*Entrant_age_breakdowns!$K80*$G$31</f>
        <v>178.1220777664729</v>
      </c>
      <c r="F307" s="447">
        <f>F$296*Entrant_age_breakdowns!$K80*$G$31</f>
        <v>170.00694397152614</v>
      </c>
      <c r="G307" s="447">
        <f>G$296*Entrant_age_breakdowns!$K80*$G$31</f>
        <v>171.01318213428817</v>
      </c>
      <c r="H307" s="447">
        <f>H$296*Entrant_age_breakdowns!$K80*$G$31</f>
        <v>172.16374203650537</v>
      </c>
      <c r="I307" s="447">
        <f>I$296*Entrant_age_breakdowns!$K80*$G$31</f>
        <v>175.36213165505504</v>
      </c>
      <c r="J307" s="447">
        <f>J$296*Entrant_age_breakdowns!$K80*$G$31</f>
        <v>170.53740245028186</v>
      </c>
      <c r="K307" s="447">
        <f>K$296*Entrant_age_breakdowns!$K80*$G$31</f>
        <v>166.25700108182949</v>
      </c>
      <c r="L307" s="447">
        <f>L$296*Entrant_age_breakdowns!$K80*$G$31</f>
        <v>162.24391267570346</v>
      </c>
      <c r="M307" s="447">
        <f>M$296*Entrant_age_breakdowns!$K80*$G$31</f>
        <v>159.63141896339974</v>
      </c>
      <c r="N307" s="447">
        <f>N$296*Entrant_age_breakdowns!$K80*$G$31</f>
        <v>157.00220929589779</v>
      </c>
      <c r="O307" s="320"/>
      <c r="P307" s="320"/>
    </row>
    <row r="308" spans="1:16">
      <c r="B308" s="331" t="str">
        <f t="shared" si="143"/>
        <v>45-49</v>
      </c>
      <c r="C308" s="447">
        <f>C$296*Entrant_age_breakdowns!$K81*$G$31</f>
        <v>148.682255359603</v>
      </c>
      <c r="D308" s="447">
        <f>D$296*Entrant_age_breakdowns!$K81*$G$31</f>
        <v>139.92927072280938</v>
      </c>
      <c r="E308" s="447">
        <f>E$296*Entrant_age_breakdowns!$K81*$G$31</f>
        <v>143.57652692596594</v>
      </c>
      <c r="F308" s="447">
        <f>F$296*Entrant_age_breakdowns!$K81*$G$31</f>
        <v>137.0352674682498</v>
      </c>
      <c r="G308" s="447">
        <f>G$296*Entrant_age_breakdowns!$K81*$G$31</f>
        <v>137.84635266600472</v>
      </c>
      <c r="H308" s="447">
        <f>H$296*Entrant_age_breakdowns!$K81*$G$31</f>
        <v>138.77376939531777</v>
      </c>
      <c r="I308" s="447">
        <f>I$296*Entrant_age_breakdowns!$K81*$G$31</f>
        <v>141.35185336416453</v>
      </c>
      <c r="J308" s="447">
        <f>J$296*Entrant_age_breakdowns!$K81*$G$31</f>
        <v>137.46284717657787</v>
      </c>
      <c r="K308" s="447">
        <f>K$296*Entrant_age_breakdowns!$K81*$G$31</f>
        <v>134.01260018845736</v>
      </c>
      <c r="L308" s="447">
        <f>L$296*Entrant_age_breakdowns!$K81*$G$31</f>
        <v>130.77782265372724</v>
      </c>
      <c r="M308" s="447">
        <f>M$296*Entrant_age_breakdowns!$K81*$G$31</f>
        <v>128.67200411325265</v>
      </c>
      <c r="N308" s="447">
        <f>N$296*Entrant_age_breakdowns!$K81*$G$31</f>
        <v>126.55271156202262</v>
      </c>
      <c r="O308" s="320"/>
      <c r="P308" s="320"/>
    </row>
    <row r="309" spans="1:16">
      <c r="B309" s="331" t="str">
        <f t="shared" si="143"/>
        <v>50-54</v>
      </c>
      <c r="C309" s="447">
        <f>C$296*Entrant_age_breakdowns!$K82*$G$31</f>
        <v>110.17414338178021</v>
      </c>
      <c r="D309" s="447">
        <f>D$296*Entrant_age_breakdowns!$K82*$G$31</f>
        <v>103.68814690519841</v>
      </c>
      <c r="E309" s="447">
        <f>E$296*Entrant_age_breakdowns!$K82*$G$31</f>
        <v>106.39077827775046</v>
      </c>
      <c r="F309" s="447">
        <f>F$296*Entrant_age_breakdowns!$K82*$G$31</f>
        <v>101.54367896755497</v>
      </c>
      <c r="G309" s="447">
        <f>G$296*Entrant_age_breakdowns!$K82*$G$31</f>
        <v>102.14469632941945</v>
      </c>
      <c r="H309" s="447">
        <f>H$296*Entrant_age_breakdowns!$K82*$G$31</f>
        <v>102.83191581948482</v>
      </c>
      <c r="I309" s="447">
        <f>I$296*Entrant_age_breakdowns!$K82*$G$31</f>
        <v>104.74228630819593</v>
      </c>
      <c r="J309" s="447">
        <f>J$296*Entrant_age_breakdowns!$K82*$G$31</f>
        <v>101.86051723435781</v>
      </c>
      <c r="K309" s="447">
        <f>K$296*Entrant_age_breakdowns!$K82*$G$31</f>
        <v>99.303870474780695</v>
      </c>
      <c r="L309" s="447">
        <f>L$296*Entrant_age_breakdowns!$K82*$G$31</f>
        <v>96.906887438321135</v>
      </c>
      <c r="M309" s="447">
        <f>M$296*Entrant_age_breakdowns!$K82*$G$31</f>
        <v>95.346467512936471</v>
      </c>
      <c r="N309" s="447">
        <f>N$296*Entrant_age_breakdowns!$K82*$G$31</f>
        <v>93.776063291918732</v>
      </c>
      <c r="O309" s="320"/>
      <c r="P309" s="320"/>
    </row>
    <row r="310" spans="1:16">
      <c r="B310" s="331" t="str">
        <f t="shared" si="143"/>
        <v>55-59</v>
      </c>
      <c r="C310" s="447">
        <f>C$296*Entrant_age_breakdowns!$K83*$G$31</f>
        <v>71.402278560706335</v>
      </c>
      <c r="D310" s="447">
        <f>D$296*Entrant_age_breakdowns!$K83*$G$31</f>
        <v>67.198797481122639</v>
      </c>
      <c r="E310" s="447">
        <f>E$296*Entrant_age_breakdowns!$K83*$G$31</f>
        <v>68.950334023060293</v>
      </c>
      <c r="F310" s="447">
        <f>F$296*Entrant_age_breakdowns!$K83*$G$31</f>
        <v>65.808998637690536</v>
      </c>
      <c r="G310" s="447">
        <f>G$296*Entrant_age_breakdowns!$K83*$G$31</f>
        <v>66.198509350226431</v>
      </c>
      <c r="H310" s="447">
        <f>H$296*Entrant_age_breakdowns!$K83*$G$31</f>
        <v>66.643886422884563</v>
      </c>
      <c r="I310" s="447">
        <f>I$296*Entrant_age_breakdowns!$K83*$G$31</f>
        <v>67.881970074839344</v>
      </c>
      <c r="J310" s="447">
        <f>J$296*Entrant_age_breakdowns!$K83*$G$31</f>
        <v>66.014336963821691</v>
      </c>
      <c r="K310" s="447">
        <f>K$296*Entrant_age_breakdowns!$K83*$G$31</f>
        <v>64.357410951008774</v>
      </c>
      <c r="L310" s="447">
        <f>L$296*Entrant_age_breakdowns!$K83*$G$31</f>
        <v>62.803960701965337</v>
      </c>
      <c r="M310" s="447">
        <f>M$296*Entrant_age_breakdowns!$K83*$G$31</f>
        <v>61.792674979525877</v>
      </c>
      <c r="N310" s="447">
        <f>N$296*Entrant_age_breakdowns!$K83*$G$31</f>
        <v>60.774918578611931</v>
      </c>
      <c r="O310" s="320"/>
      <c r="P310" s="320"/>
    </row>
    <row r="311" spans="1:16">
      <c r="B311" s="331" t="str">
        <f t="shared" si="143"/>
        <v>60-64</v>
      </c>
      <c r="C311" s="447">
        <f>C$296*Entrant_age_breakdowns!$K84*$G$31</f>
        <v>36.413058483749893</v>
      </c>
      <c r="D311" s="447">
        <f>D$296*Entrant_age_breakdowns!$K84*$G$31</f>
        <v>34.269406971899556</v>
      </c>
      <c r="E311" s="447">
        <f>E$296*Entrant_age_breakdowns!$K84*$G$31</f>
        <v>35.162639006277502</v>
      </c>
      <c r="F311" s="447">
        <f>F$296*Entrant_age_breakdowns!$K84*$G$31</f>
        <v>33.560650506606713</v>
      </c>
      <c r="G311" s="447">
        <f>G$296*Entrant_age_breakdowns!$K84*$G$31</f>
        <v>33.75928949462665</v>
      </c>
      <c r="H311" s="447">
        <f>H$296*Entrant_age_breakdowns!$K84*$G$31</f>
        <v>33.986418680430347</v>
      </c>
      <c r="I311" s="447">
        <f>I$296*Entrant_age_breakdowns!$K84*$G$31</f>
        <v>34.61780486775033</v>
      </c>
      <c r="J311" s="447">
        <f>J$296*Entrant_age_breakdowns!$K84*$G$31</f>
        <v>33.665367003462094</v>
      </c>
      <c r="K311" s="447">
        <f>K$296*Entrant_age_breakdowns!$K84*$G$31</f>
        <v>32.820383551617383</v>
      </c>
      <c r="L311" s="447">
        <f>L$296*Entrant_age_breakdowns!$K84*$G$31</f>
        <v>32.028169690796091</v>
      </c>
      <c r="M311" s="447">
        <f>M$296*Entrant_age_breakdowns!$K84*$G$31</f>
        <v>31.512443765836121</v>
      </c>
      <c r="N311" s="447">
        <f>N$296*Entrant_age_breakdowns!$K84*$G$31</f>
        <v>30.993417985486801</v>
      </c>
      <c r="O311" s="320"/>
      <c r="P311" s="320"/>
    </row>
    <row r="312" spans="1:16">
      <c r="B312" s="331" t="str">
        <f t="shared" si="143"/>
        <v>65 plus</v>
      </c>
      <c r="C312" s="447">
        <f>C$296*Entrant_age_breakdowns!$K85*$G$31</f>
        <v>10.96391285899128</v>
      </c>
      <c r="D312" s="447">
        <f>D$296*Entrant_age_breakdowns!$K85*$G$31</f>
        <v>10.318462865098002</v>
      </c>
      <c r="E312" s="447">
        <f>E$296*Entrant_age_breakdowns!$K85*$G$31</f>
        <v>10.587413582109312</v>
      </c>
      <c r="F312" s="447">
        <f>F$296*Entrant_age_breakdowns!$K85*$G$31</f>
        <v>10.105057442777181</v>
      </c>
      <c r="G312" s="447">
        <f>G$296*Entrant_age_breakdowns!$K85*$G$31</f>
        <v>10.164867319940361</v>
      </c>
      <c r="H312" s="447">
        <f>H$296*Entrant_age_breakdowns!$K85*$G$31</f>
        <v>10.233255549454141</v>
      </c>
      <c r="I312" s="447">
        <f>I$296*Entrant_age_breakdowns!$K85*$G$31</f>
        <v>10.423364906547459</v>
      </c>
      <c r="J312" s="447">
        <f>J$296*Entrant_age_breakdowns!$K85*$G$31</f>
        <v>10.136587410163292</v>
      </c>
      <c r="K312" s="447">
        <f>K$296*Entrant_age_breakdowns!$K85*$G$31</f>
        <v>9.8821642631087947</v>
      </c>
      <c r="L312" s="447">
        <f>L$296*Entrant_age_breakdowns!$K85*$G$31</f>
        <v>9.6436299543358608</v>
      </c>
      <c r="M312" s="447">
        <f>M$296*Entrant_age_breakdowns!$K85*$G$31</f>
        <v>9.4883457146747752</v>
      </c>
      <c r="N312" s="447">
        <f>N$296*Entrant_age_breakdowns!$K85*$G$31</f>
        <v>9.3320678939072774</v>
      </c>
      <c r="O312" s="320"/>
      <c r="P312" s="320"/>
    </row>
    <row r="313" spans="1:16">
      <c r="B313" s="331" t="str">
        <f t="shared" si="143"/>
        <v>Total</v>
      </c>
      <c r="C313" s="447">
        <f>C$296*Entrant_age_breakdowns!$K86*$G$31</f>
        <v>2212.8322535383672</v>
      </c>
      <c r="D313" s="447">
        <f>D$296*Entrant_age_breakdowns!$K86*$G$31</f>
        <v>2082.56192186915</v>
      </c>
      <c r="E313" s="447">
        <f>E$296*Entrant_age_breakdowns!$K86*$G$31</f>
        <v>2136.8438948170497</v>
      </c>
      <c r="F313" s="447">
        <f>F$296*Entrant_age_breakdowns!$K86*$G$31</f>
        <v>2039.4905834095212</v>
      </c>
      <c r="G313" s="447">
        <f>G$296*Entrant_age_breakdowns!$K86*$G$31</f>
        <v>2051.5619330243003</v>
      </c>
      <c r="H313" s="447">
        <f>H$296*Entrant_age_breakdowns!$K86*$G$31</f>
        <v>2065.36464032203</v>
      </c>
      <c r="I313" s="447">
        <f>I$296*Entrant_age_breakdowns!$K86*$G$31</f>
        <v>2103.7341642762949</v>
      </c>
      <c r="J313" s="447">
        <f>J$296*Entrant_age_breakdowns!$K86*$G$31</f>
        <v>2045.8542356641797</v>
      </c>
      <c r="K313" s="447">
        <f>K$296*Entrant_age_breakdowns!$K86*$G$31</f>
        <v>1994.5043432407622</v>
      </c>
      <c r="L313" s="447">
        <f>L$296*Entrant_age_breakdowns!$K86*$G$31</f>
        <v>1946.3612743549713</v>
      </c>
      <c r="M313" s="447">
        <f>M$296*Entrant_age_breakdowns!$K86*$G$31</f>
        <v>1915.020458497753</v>
      </c>
      <c r="N313" s="447">
        <f>N$296*Entrant_age_breakdowns!$K86*$G$31</f>
        <v>1883.4791094598124</v>
      </c>
      <c r="O313" s="320"/>
      <c r="P313" s="320"/>
    </row>
    <row r="314" spans="1:16">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6">
      <c r="B316" s="334" t="s">
        <v>47</v>
      </c>
      <c r="H316" s="318"/>
    </row>
    <row r="317" spans="1:16">
      <c r="H317" s="318"/>
    </row>
    <row r="318" spans="1:16">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6">
      <c r="B319" s="331" t="str">
        <f t="shared" si="146"/>
        <v>20-24</v>
      </c>
      <c r="C319" s="447">
        <f>C$296*Entrant_age_breakdowns!$K76*$H$31</f>
        <v>657.39797630333044</v>
      </c>
      <c r="D319" s="447">
        <f>D$296*Entrant_age_breakdowns!$K76*$H$31</f>
        <v>618.69669098232703</v>
      </c>
      <c r="E319" s="447">
        <f>E$296*Entrant_age_breakdowns!$K76*$H$31</f>
        <v>634.82301917943312</v>
      </c>
      <c r="F319" s="447">
        <f>F$296*Entrant_age_breakdowns!$K76*$H$31</f>
        <v>605.90086757783752</v>
      </c>
      <c r="G319" s="447">
        <f>G$296*Entrant_age_breakdowns!$K76*$H$31</f>
        <v>609.48707742059275</v>
      </c>
      <c r="H319" s="447">
        <f>H$296*Entrant_age_breakdowns!$K76*$H$31</f>
        <v>613.58764664834393</v>
      </c>
      <c r="I319" s="447">
        <f>I$296*Entrant_age_breakdowns!$K76*$H$31</f>
        <v>624.98663423943776</v>
      </c>
      <c r="J319" s="447">
        <f>J$296*Entrant_age_breakdowns!$K76*$H$31</f>
        <v>607.79140948738393</v>
      </c>
      <c r="K319" s="447">
        <f>K$296*Entrant_age_breakdowns!$K76*$H$31</f>
        <v>592.53615671864395</v>
      </c>
      <c r="L319" s="447">
        <f>L$296*Entrant_age_breakdowns!$K76*$H$31</f>
        <v>578.2336012457007</v>
      </c>
      <c r="M319" s="447">
        <f>M$296*Entrant_age_breakdowns!$K76*$H$31</f>
        <v>568.92273329026239</v>
      </c>
      <c r="N319" s="447">
        <f>N$296*Entrant_age_breakdowns!$K76*$H$31</f>
        <v>559.5522900520715</v>
      </c>
      <c r="O319" s="320"/>
    </row>
    <row r="320" spans="1:16">
      <c r="B320" s="331" t="str">
        <f t="shared" si="146"/>
        <v>25-29</v>
      </c>
      <c r="C320" s="447">
        <f>C$296*Entrant_age_breakdowns!$K77*$H$31</f>
        <v>671.05950850227259</v>
      </c>
      <c r="D320" s="447">
        <f>D$296*Entrant_age_breakdowns!$K77*$H$31</f>
        <v>631.5539632434361</v>
      </c>
      <c r="E320" s="447">
        <f>E$296*Entrant_age_breakdowns!$K77*$H$31</f>
        <v>648.01541622013826</v>
      </c>
      <c r="F320" s="447">
        <f>F$296*Entrant_age_breakdowns!$K77*$H$31</f>
        <v>618.49222701330109</v>
      </c>
      <c r="G320" s="447">
        <f>G$296*Entrant_age_breakdowns!$K77*$H$31</f>
        <v>622.15296267299686</v>
      </c>
      <c r="H320" s="447">
        <f>H$296*Entrant_age_breakdowns!$K77*$H$31</f>
        <v>626.33874673340381</v>
      </c>
      <c r="I320" s="447">
        <f>I$296*Entrant_age_breakdowns!$K77*$H$31</f>
        <v>637.97461919732109</v>
      </c>
      <c r="J320" s="447">
        <f>J$296*Entrant_age_breakdowns!$K77*$H$31</f>
        <v>620.42205669083864</v>
      </c>
      <c r="K320" s="447">
        <f>K$296*Entrant_age_breakdowns!$K77*$H$31</f>
        <v>604.8497811529154</v>
      </c>
      <c r="L320" s="447">
        <f>L$296*Entrant_age_breakdowns!$K77*$H$31</f>
        <v>590.25000112321334</v>
      </c>
      <c r="M320" s="447">
        <f>M$296*Entrant_age_breakdowns!$K77*$H$31</f>
        <v>580.7456419692038</v>
      </c>
      <c r="N320" s="447">
        <f>N$296*Entrant_age_breakdowns!$K77*$H$31</f>
        <v>571.18046948536369</v>
      </c>
      <c r="O320" s="320"/>
    </row>
    <row r="321" spans="1:15">
      <c r="B321" s="331" t="str">
        <f t="shared" si="146"/>
        <v>30-34</v>
      </c>
      <c r="C321" s="447">
        <f>C$296*Entrant_age_breakdowns!$K78*$H$31</f>
        <v>333.28346090851659</v>
      </c>
      <c r="D321" s="447">
        <f>D$296*Entrant_age_breakdowns!$K78*$H$31</f>
        <v>313.66292847864418</v>
      </c>
      <c r="E321" s="447">
        <f>E$296*Entrant_age_breakdowns!$K78*$H$31</f>
        <v>321.8385521754202</v>
      </c>
      <c r="F321" s="447">
        <f>F$296*Entrant_age_breakdowns!$K78*$H$31</f>
        <v>307.17578300033995</v>
      </c>
      <c r="G321" s="447">
        <f>G$296*Entrant_age_breakdowns!$K78*$H$31</f>
        <v>308.99389694504458</v>
      </c>
      <c r="H321" s="447">
        <f>H$296*Entrant_age_breakdowns!$K78*$H$31</f>
        <v>311.07277755189534</v>
      </c>
      <c r="I321" s="447">
        <f>I$296*Entrant_age_breakdowns!$K78*$H$31</f>
        <v>316.85176405954468</v>
      </c>
      <c r="J321" s="447">
        <f>J$296*Entrant_age_breakdowns!$K78*$H$31</f>
        <v>308.13423795961648</v>
      </c>
      <c r="K321" s="447">
        <f>K$296*Entrant_age_breakdowns!$K78*$H$31</f>
        <v>300.40022656458603</v>
      </c>
      <c r="L321" s="447">
        <f>L$296*Entrant_age_breakdowns!$K78*$H$31</f>
        <v>293.14920760851436</v>
      </c>
      <c r="M321" s="447">
        <f>M$296*Entrant_age_breakdowns!$K78*$H$31</f>
        <v>288.42884276391857</v>
      </c>
      <c r="N321" s="447">
        <f>N$296*Entrant_age_breakdowns!$K78*$H$31</f>
        <v>283.67827481992776</v>
      </c>
      <c r="O321" s="320"/>
    </row>
    <row r="322" spans="1:15">
      <c r="B322" s="331" t="str">
        <f t="shared" si="146"/>
        <v>35-39</v>
      </c>
      <c r="C322" s="447">
        <f>C$296*Entrant_age_breakdowns!$K79*$H$31</f>
        <v>248.40711734601655</v>
      </c>
      <c r="D322" s="447">
        <f>D$296*Entrant_age_breakdowns!$K79*$H$31</f>
        <v>233.78328966368079</v>
      </c>
      <c r="E322" s="447">
        <f>E$296*Entrant_age_breakdowns!$K79*$H$31</f>
        <v>239.8768507107421</v>
      </c>
      <c r="F322" s="447">
        <f>F$296*Entrant_age_breakdowns!$K79*$H$31</f>
        <v>228.94820692757068</v>
      </c>
      <c r="G322" s="447">
        <f>G$296*Entrant_age_breakdowns!$K79*$H$31</f>
        <v>230.30330700598304</v>
      </c>
      <c r="H322" s="447">
        <f>H$296*Entrant_age_breakdowns!$K79*$H$31</f>
        <v>231.85276504823517</v>
      </c>
      <c r="I322" s="447">
        <f>I$296*Entrant_age_breakdowns!$K79*$H$31</f>
        <v>236.16003362866059</v>
      </c>
      <c r="J322" s="447">
        <f>J$296*Entrant_age_breakdowns!$K79*$H$31</f>
        <v>229.6625749099808</v>
      </c>
      <c r="K322" s="447">
        <f>K$296*Entrant_age_breakdowns!$K79*$H$31</f>
        <v>223.89816202575398</v>
      </c>
      <c r="L322" s="447">
        <f>L$296*Entrant_age_breakdowns!$K79*$H$31</f>
        <v>218.49373928065563</v>
      </c>
      <c r="M322" s="447">
        <f>M$296*Entrant_age_breakdowns!$K79*$H$31</f>
        <v>214.97549621911534</v>
      </c>
      <c r="N322" s="447">
        <f>N$296*Entrant_age_breakdowns!$K79*$H$31</f>
        <v>211.4347417949194</v>
      </c>
      <c r="O322" s="320"/>
    </row>
    <row r="323" spans="1:15">
      <c r="B323" s="331" t="str">
        <f t="shared" si="146"/>
        <v>40-44</v>
      </c>
      <c r="C323" s="447">
        <f>C$296*Entrant_age_breakdowns!$K80*$H$31</f>
        <v>213.44290413202114</v>
      </c>
      <c r="D323" s="447">
        <f>D$296*Entrant_age_breakdowns!$K80*$H$31</f>
        <v>200.87743385326047</v>
      </c>
      <c r="E323" s="447">
        <f>E$296*Entrant_age_breakdowns!$K80*$H$31</f>
        <v>206.11330382464627</v>
      </c>
      <c r="F323" s="447">
        <f>F$296*Entrant_age_breakdowns!$K80*$H$31</f>
        <v>196.72290675299058</v>
      </c>
      <c r="G323" s="447">
        <f>G$296*Entrant_age_breakdowns!$K80*$H$31</f>
        <v>197.88727152327601</v>
      </c>
      <c r="H323" s="447">
        <f>H$296*Entrant_age_breakdowns!$K80*$H$31</f>
        <v>199.21863766085869</v>
      </c>
      <c r="I323" s="447">
        <f>I$296*Entrant_age_breakdowns!$K80*$H$31</f>
        <v>202.91964238449552</v>
      </c>
      <c r="J323" s="447">
        <f>J$296*Entrant_age_breakdowns!$K80*$H$31</f>
        <v>197.33672482074005</v>
      </c>
      <c r="K323" s="447">
        <f>K$296*Entrant_age_breakdowns!$K80*$H$31</f>
        <v>192.38367420056974</v>
      </c>
      <c r="L323" s="447">
        <f>L$296*Entrant_age_breakdowns!$K80*$H$31</f>
        <v>187.73994378658111</v>
      </c>
      <c r="M323" s="447">
        <f>M$296*Entrant_age_breakdowns!$K80*$H$31</f>
        <v>184.71690634497887</v>
      </c>
      <c r="N323" s="447">
        <f>N$296*Entrant_age_breakdowns!$K80*$H$31</f>
        <v>181.67452609761273</v>
      </c>
      <c r="O323" s="320"/>
    </row>
    <row r="324" spans="1:15">
      <c r="B324" s="331" t="str">
        <f t="shared" si="146"/>
        <v>45-49</v>
      </c>
      <c r="C324" s="447">
        <f>C$296*Entrant_age_breakdowns!$K81*$H$31</f>
        <v>172.0471221565536</v>
      </c>
      <c r="D324" s="447">
        <f>D$296*Entrant_age_breakdowns!$K81*$H$31</f>
        <v>161.91863834119417</v>
      </c>
      <c r="E324" s="447">
        <f>E$296*Entrant_age_breakdowns!$K81*$H$31</f>
        <v>166.13904737388646</v>
      </c>
      <c r="F324" s="447">
        <f>F$296*Entrant_age_breakdowns!$K81*$H$31</f>
        <v>158.56985317342526</v>
      </c>
      <c r="G324" s="447">
        <f>G$296*Entrant_age_breakdowns!$K81*$H$31</f>
        <v>159.50839741167349</v>
      </c>
      <c r="H324" s="447">
        <f>H$296*Entrant_age_breakdowns!$K81*$H$31</f>
        <v>160.58155425162218</v>
      </c>
      <c r="I324" s="447">
        <f>I$296*Entrant_age_breakdowns!$K81*$H$31</f>
        <v>163.56477458578553</v>
      </c>
      <c r="J324" s="447">
        <f>J$296*Entrant_age_breakdowns!$K81*$H$31</f>
        <v>159.0646254522857</v>
      </c>
      <c r="K324" s="447">
        <f>K$296*Entrant_age_breakdowns!$K81*$H$31</f>
        <v>155.0721849044896</v>
      </c>
      <c r="L324" s="447">
        <f>L$296*Entrant_age_breakdowns!$K81*$H$31</f>
        <v>151.32907403815955</v>
      </c>
      <c r="M324" s="447">
        <f>M$296*Entrant_age_breakdowns!$K81*$H$31</f>
        <v>148.89233389861633</v>
      </c>
      <c r="N324" s="447">
        <f>N$296*Entrant_age_breakdowns!$K81*$H$31</f>
        <v>146.44000235733668</v>
      </c>
      <c r="O324" s="320"/>
    </row>
    <row r="325" spans="1:15">
      <c r="B325" s="331" t="str">
        <f t="shared" si="146"/>
        <v>50-54</v>
      </c>
      <c r="C325" s="447">
        <f>C$296*Entrant_age_breakdowns!$K82*$H$31</f>
        <v>127.48760273412496</v>
      </c>
      <c r="D325" s="447">
        <f>D$296*Entrant_age_breakdowns!$K82*$H$31</f>
        <v>119.98235588799301</v>
      </c>
      <c r="E325" s="447">
        <f>E$296*Entrant_age_breakdowns!$K82*$H$31</f>
        <v>123.10969578994025</v>
      </c>
      <c r="F325" s="447">
        <f>F$296*Entrant_age_breakdowns!$K82*$H$31</f>
        <v>117.5008927413908</v>
      </c>
      <c r="G325" s="447">
        <f>G$296*Entrant_age_breakdowns!$K82*$H$31</f>
        <v>118.19635775989497</v>
      </c>
      <c r="H325" s="447">
        <f>H$296*Entrant_age_breakdowns!$K82*$H$31</f>
        <v>118.99157125238391</v>
      </c>
      <c r="I325" s="447">
        <f>I$296*Entrant_age_breakdowns!$K82*$H$31</f>
        <v>121.20214940134071</v>
      </c>
      <c r="J325" s="447">
        <f>J$296*Entrant_age_breakdowns!$K82*$H$31</f>
        <v>117.86752097056757</v>
      </c>
      <c r="K325" s="447">
        <f>K$296*Entrant_age_breakdowns!$K82*$H$31</f>
        <v>114.90910662386381</v>
      </c>
      <c r="L325" s="447">
        <f>L$296*Entrant_age_breakdowns!$K82*$H$31</f>
        <v>112.13544656413761</v>
      </c>
      <c r="M325" s="447">
        <f>M$296*Entrant_age_breakdowns!$K82*$H$31</f>
        <v>110.32981241587382</v>
      </c>
      <c r="N325" s="447">
        <f>N$296*Entrant_age_breakdowns!$K82*$H$31</f>
        <v>108.5126249768271</v>
      </c>
      <c r="O325" s="320"/>
    </row>
    <row r="326" spans="1:15">
      <c r="B326" s="331" t="str">
        <f t="shared" si="146"/>
        <v>55-59</v>
      </c>
      <c r="C326" s="447">
        <f>C$296*Entrant_age_breakdowns!$K83*$H$31</f>
        <v>82.622882684141914</v>
      </c>
      <c r="D326" s="447">
        <f>D$296*Entrant_age_breakdowns!$K83*$H$31</f>
        <v>77.758840091885205</v>
      </c>
      <c r="E326" s="447">
        <f>E$296*Entrant_age_breakdowns!$K83*$H$31</f>
        <v>79.785624126493616</v>
      </c>
      <c r="F326" s="447">
        <f>F$296*Entrant_age_breakdowns!$K83*$H$31</f>
        <v>76.150639497868895</v>
      </c>
      <c r="G326" s="447">
        <f>G$296*Entrant_age_breakdowns!$K83*$H$31</f>
        <v>76.601360378977859</v>
      </c>
      <c r="H326" s="447">
        <f>H$296*Entrant_age_breakdowns!$K83*$H$31</f>
        <v>77.116726812181426</v>
      </c>
      <c r="I326" s="447">
        <f>I$296*Entrant_age_breakdowns!$K83*$H$31</f>
        <v>78.549370733224421</v>
      </c>
      <c r="J326" s="447">
        <f>J$296*Entrant_age_breakdowns!$K83*$H$31</f>
        <v>76.388245982878587</v>
      </c>
      <c r="K326" s="447">
        <f>K$296*Entrant_age_breakdowns!$K83*$H$31</f>
        <v>74.470940172300658</v>
      </c>
      <c r="L326" s="447">
        <f>L$296*Entrant_age_breakdowns!$K83*$H$31</f>
        <v>72.673370959250377</v>
      </c>
      <c r="M326" s="447">
        <f>M$296*Entrant_age_breakdowns!$K83*$H$31</f>
        <v>71.503165423943472</v>
      </c>
      <c r="N326" s="447">
        <f>N$296*Entrant_age_breakdowns!$K83*$H$31</f>
        <v>70.325472366959957</v>
      </c>
      <c r="O326" s="320"/>
    </row>
    <row r="327" spans="1:15">
      <c r="B327" s="331" t="str">
        <f t="shared" si="146"/>
        <v>60-64</v>
      </c>
      <c r="C327" s="447">
        <f>C$296*Entrant_age_breakdowns!$K84*$H$31</f>
        <v>42.13523601653398</v>
      </c>
      <c r="D327" s="447">
        <f>D$296*Entrant_age_breakdowns!$K84*$H$31</f>
        <v>39.654717594020184</v>
      </c>
      <c r="E327" s="447">
        <f>E$296*Entrant_age_breakdowns!$K84*$H$31</f>
        <v>40.688317740595068</v>
      </c>
      <c r="F327" s="447">
        <f>F$296*Entrant_age_breakdowns!$K84*$H$31</f>
        <v>38.8345826702624</v>
      </c>
      <c r="G327" s="447">
        <f>G$296*Entrant_age_breakdowns!$K84*$H$31</f>
        <v>39.064437040942103</v>
      </c>
      <c r="H327" s="447">
        <f>H$296*Entrant_age_breakdowns!$K84*$H$31</f>
        <v>39.327258738667737</v>
      </c>
      <c r="I327" s="447">
        <f>I$296*Entrant_age_breakdowns!$K84*$H$31</f>
        <v>40.057864931283483</v>
      </c>
      <c r="J327" s="447">
        <f>J$296*Entrant_age_breakdowns!$K84*$H$31</f>
        <v>38.95575497749374</v>
      </c>
      <c r="K327" s="447">
        <f>K$296*Entrant_age_breakdowns!$K84*$H$31</f>
        <v>37.977985499836947</v>
      </c>
      <c r="L327" s="447">
        <f>L$296*Entrant_age_breakdowns!$K84*$H$31</f>
        <v>37.061278159359873</v>
      </c>
      <c r="M327" s="447">
        <f>M$296*Entrant_age_breakdowns!$K84*$H$31</f>
        <v>36.464507811773409</v>
      </c>
      <c r="N327" s="447">
        <f>N$296*Entrant_age_breakdowns!$K84*$H$31</f>
        <v>35.863919048721712</v>
      </c>
      <c r="O327" s="320"/>
    </row>
    <row r="328" spans="1:15">
      <c r="B328" s="331" t="str">
        <f t="shared" si="146"/>
        <v>65 plus</v>
      </c>
      <c r="C328" s="447">
        <f>C$296*Entrant_age_breakdowns!$K85*$H$31</f>
        <v>12.68685123455016</v>
      </c>
      <c r="D328" s="447">
        <f>D$296*Entrant_age_breakdowns!$K85*$H$31</f>
        <v>11.939971160147714</v>
      </c>
      <c r="E328" s="447">
        <f>E$296*Entrant_age_breakdowns!$K85*$H$31</f>
        <v>12.25118648810883</v>
      </c>
      <c r="F328" s="447">
        <f>F$296*Entrant_age_breakdowns!$K85*$H$31</f>
        <v>11.693029864603734</v>
      </c>
      <c r="G328" s="447">
        <f>G$296*Entrant_age_breakdowns!$K85*$H$31</f>
        <v>11.762238642864292</v>
      </c>
      <c r="H328" s="447">
        <f>H$296*Entrant_age_breakdowns!$K85*$H$31</f>
        <v>11.841373829835797</v>
      </c>
      <c r="I328" s="447">
        <f>I$296*Entrant_age_breakdowns!$K85*$H$31</f>
        <v>12.061358169620199</v>
      </c>
      <c r="J328" s="447">
        <f>J$296*Entrant_age_breakdowns!$K85*$H$31</f>
        <v>11.72951464980793</v>
      </c>
      <c r="K328" s="447">
        <f>K$296*Entrant_age_breakdowns!$K85*$H$31</f>
        <v>11.435109845718355</v>
      </c>
      <c r="L328" s="447">
        <f>L$296*Entrant_age_breakdowns!$K85*$H$31</f>
        <v>11.159090752110121</v>
      </c>
      <c r="M328" s="447">
        <f>M$296*Entrant_age_breakdowns!$K85*$H$31</f>
        <v>10.979404168224622</v>
      </c>
      <c r="N328" s="447">
        <f>N$296*Entrant_age_breakdowns!$K85*$H$31</f>
        <v>10.798567865634803</v>
      </c>
      <c r="O328" s="320"/>
    </row>
    <row r="329" spans="1:15">
      <c r="B329" s="331" t="str">
        <f t="shared" si="146"/>
        <v>Total</v>
      </c>
      <c r="C329" s="447">
        <f>C$296*Entrant_age_breakdowns!$K86*$H$31</f>
        <v>2560.5706620180622</v>
      </c>
      <c r="D329" s="447">
        <f>D$296*Entrant_age_breakdowns!$K86*$H$31</f>
        <v>2409.828829296589</v>
      </c>
      <c r="E329" s="447">
        <f>E$296*Entrant_age_breakdowns!$K86*$H$31</f>
        <v>2472.6410136294044</v>
      </c>
      <c r="F329" s="447">
        <f>F$296*Entrant_age_breakdowns!$K86*$H$31</f>
        <v>2359.9889892195911</v>
      </c>
      <c r="G329" s="447">
        <f>G$296*Entrant_age_breakdowns!$K86*$H$31</f>
        <v>2373.957306802246</v>
      </c>
      <c r="H329" s="447">
        <f>H$296*Entrant_age_breakdowns!$K86*$H$31</f>
        <v>2389.9290585274284</v>
      </c>
      <c r="I329" s="447">
        <f>I$296*Entrant_age_breakdowns!$K86*$H$31</f>
        <v>2434.3282113307141</v>
      </c>
      <c r="J329" s="447">
        <f>J$296*Entrant_age_breakdowns!$K86*$H$31</f>
        <v>2367.3526659015938</v>
      </c>
      <c r="K329" s="447">
        <f>K$296*Entrant_age_breakdowns!$K86*$H$31</f>
        <v>2307.9333277086785</v>
      </c>
      <c r="L329" s="447">
        <f>L$296*Entrant_age_breakdowns!$K86*$H$31</f>
        <v>2252.224753517683</v>
      </c>
      <c r="M329" s="447">
        <f>M$296*Entrant_age_breakdowns!$K86*$H$31</f>
        <v>2215.9588443059106</v>
      </c>
      <c r="N329" s="447">
        <f>N$296*Entrant_age_breakdowns!$K86*$H$31</f>
        <v>2179.4608888653756</v>
      </c>
      <c r="O329" s="320"/>
    </row>
    <row r="330" spans="1:15">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5">
      <c r="C331" s="322">
        <f>C296</f>
        <v>4773.4029155564294</v>
      </c>
      <c r="D331" s="322">
        <f t="shared" ref="D331:N331" si="149">D296</f>
        <v>4492.3907511657389</v>
      </c>
      <c r="E331" s="322">
        <f t="shared" si="149"/>
        <v>4609.484908446454</v>
      </c>
      <c r="F331" s="322">
        <f t="shared" si="149"/>
        <v>4399.4795726291122</v>
      </c>
      <c r="G331" s="322">
        <f t="shared" si="149"/>
        <v>4425.5192398265463</v>
      </c>
      <c r="H331" s="322">
        <f t="shared" si="149"/>
        <v>4455.2936988494585</v>
      </c>
      <c r="I331" s="322">
        <f t="shared" si="149"/>
        <v>4538.062375607009</v>
      </c>
      <c r="J331" s="322">
        <f t="shared" si="149"/>
        <v>4413.2069015657735</v>
      </c>
      <c r="K331" s="322">
        <f t="shared" si="149"/>
        <v>4302.4376709494409</v>
      </c>
      <c r="L331" s="322">
        <f t="shared" si="149"/>
        <v>4198.5860278726541</v>
      </c>
      <c r="M331" s="322">
        <f t="shared" si="149"/>
        <v>4130.9793028036638</v>
      </c>
      <c r="N331" s="322">
        <f t="shared" si="149"/>
        <v>4062.9399983251878</v>
      </c>
    </row>
    <row r="332" spans="1:15">
      <c r="C332" s="322">
        <f>C313+C329</f>
        <v>4773.4029155564294</v>
      </c>
      <c r="D332" s="322">
        <f t="shared" ref="D332:N332" si="150">D313+D329</f>
        <v>4492.3907511657389</v>
      </c>
      <c r="E332" s="322">
        <f t="shared" si="150"/>
        <v>4609.484908446454</v>
      </c>
      <c r="F332" s="322">
        <f t="shared" si="150"/>
        <v>4399.4795726291122</v>
      </c>
      <c r="G332" s="322">
        <f t="shared" si="150"/>
        <v>4425.5192398265463</v>
      </c>
      <c r="H332" s="322">
        <f t="shared" si="150"/>
        <v>4455.2936988494585</v>
      </c>
      <c r="I332" s="322">
        <f t="shared" si="150"/>
        <v>4538.062375607009</v>
      </c>
      <c r="J332" s="322">
        <f t="shared" si="150"/>
        <v>4413.2069015657735</v>
      </c>
      <c r="K332" s="322">
        <f t="shared" si="150"/>
        <v>4302.4376709494409</v>
      </c>
      <c r="L332" s="322">
        <f t="shared" si="150"/>
        <v>4198.5860278726541</v>
      </c>
      <c r="M332" s="322">
        <f t="shared" si="150"/>
        <v>4130.9793028036638</v>
      </c>
      <c r="N332" s="322">
        <f t="shared" si="150"/>
        <v>4062.9399983251878</v>
      </c>
    </row>
    <row r="333" spans="1:15">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5">
      <c r="C334" s="322"/>
      <c r="D334" s="322"/>
      <c r="E334" s="322"/>
      <c r="F334" s="322"/>
      <c r="G334" s="322"/>
      <c r="H334" s="335"/>
      <c r="I334" s="322"/>
      <c r="J334" s="322"/>
      <c r="K334" s="322"/>
      <c r="L334" s="322"/>
    </row>
    <row r="335" spans="1:15" ht="15.75">
      <c r="B335" s="333" t="s">
        <v>176</v>
      </c>
      <c r="C335" s="322"/>
      <c r="D335" s="322"/>
      <c r="E335" s="322"/>
      <c r="F335" s="322"/>
      <c r="G335" s="322"/>
      <c r="H335" s="335"/>
      <c r="I335" s="322"/>
      <c r="J335" s="322"/>
      <c r="K335" s="322"/>
      <c r="L335" s="322"/>
    </row>
    <row r="336" spans="1:15"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1033.1346962098983</v>
      </c>
      <c r="D340" s="447">
        <f t="shared" si="154"/>
        <v>1214.2997442657982</v>
      </c>
      <c r="E340" s="447">
        <f t="shared" si="154"/>
        <v>1340.9328746139695</v>
      </c>
      <c r="F340" s="447">
        <f t="shared" si="154"/>
        <v>1402.2798714447727</v>
      </c>
      <c r="G340" s="447">
        <f t="shared" si="154"/>
        <v>1445.5774593168812</v>
      </c>
      <c r="H340" s="447">
        <f t="shared" si="154"/>
        <v>1477.4924481656155</v>
      </c>
      <c r="I340" s="447">
        <f t="shared" si="154"/>
        <v>1508.2560999308762</v>
      </c>
      <c r="J340" s="447">
        <f t="shared" si="154"/>
        <v>1513.5543492527258</v>
      </c>
      <c r="K340" s="447">
        <f t="shared" si="154"/>
        <v>1503.8425822957763</v>
      </c>
      <c r="L340" s="447">
        <f t="shared" si="154"/>
        <v>1485.1186266106952</v>
      </c>
      <c r="M340" s="447">
        <f t="shared" si="154"/>
        <v>1464.8031103067565</v>
      </c>
      <c r="N340" s="447">
        <f t="shared" si="154"/>
        <v>1443.3932189154348</v>
      </c>
    </row>
    <row r="341" spans="1:14">
      <c r="B341" s="331" t="str">
        <f t="shared" si="153"/>
        <v>25-29</v>
      </c>
      <c r="C341" s="447">
        <f t="shared" ref="C341:N341" si="155">C304+C248</f>
        <v>2209.7990354629164</v>
      </c>
      <c r="D341" s="447">
        <f t="shared" si="155"/>
        <v>2267.9910627731801</v>
      </c>
      <c r="E341" s="447">
        <f t="shared" si="155"/>
        <v>2344.5701099815669</v>
      </c>
      <c r="F341" s="447">
        <f t="shared" si="155"/>
        <v>2399.5008775125843</v>
      </c>
      <c r="G341" s="447">
        <f t="shared" si="155"/>
        <v>2451.5669848022026</v>
      </c>
      <c r="H341" s="447">
        <f t="shared" si="155"/>
        <v>2498.9528212628475</v>
      </c>
      <c r="I341" s="447">
        <f t="shared" si="155"/>
        <v>2547.5393392878505</v>
      </c>
      <c r="J341" s="447">
        <f t="shared" si="155"/>
        <v>2571.5366529960638</v>
      </c>
      <c r="K341" s="447">
        <f t="shared" si="155"/>
        <v>2575.7018728744024</v>
      </c>
      <c r="L341" s="447">
        <f t="shared" si="155"/>
        <v>2564.2938713554067</v>
      </c>
      <c r="M341" s="447">
        <f t="shared" si="155"/>
        <v>2544.8831559059081</v>
      </c>
      <c r="N341" s="447">
        <f t="shared" si="155"/>
        <v>2519.5735046322388</v>
      </c>
    </row>
    <row r="342" spans="1:14">
      <c r="B342" s="331" t="str">
        <f t="shared" si="153"/>
        <v>30-34</v>
      </c>
      <c r="C342" s="447">
        <f t="shared" ref="C342:N342" si="156">C305+C249</f>
        <v>2271.7207764770451</v>
      </c>
      <c r="D342" s="447">
        <f t="shared" si="156"/>
        <v>2325.4099768230949</v>
      </c>
      <c r="E342" s="447">
        <f t="shared" si="156"/>
        <v>2374.2691666124119</v>
      </c>
      <c r="F342" s="447">
        <f t="shared" si="156"/>
        <v>2415.0477624076734</v>
      </c>
      <c r="G342" s="447">
        <f t="shared" si="156"/>
        <v>2456.2002222006936</v>
      </c>
      <c r="H342" s="447">
        <f t="shared" si="156"/>
        <v>2497.3294866029792</v>
      </c>
      <c r="I342" s="447">
        <f t="shared" si="156"/>
        <v>2540.7899222011015</v>
      </c>
      <c r="J342" s="447">
        <f t="shared" si="156"/>
        <v>2573.6331912266596</v>
      </c>
      <c r="K342" s="447">
        <f t="shared" si="156"/>
        <v>2595.1535414743821</v>
      </c>
      <c r="L342" s="447">
        <f t="shared" si="156"/>
        <v>2605.2695173321176</v>
      </c>
      <c r="M342" s="447">
        <f t="shared" si="156"/>
        <v>2606.4646555728741</v>
      </c>
      <c r="N342" s="447">
        <f t="shared" si="156"/>
        <v>2599.7034576109004</v>
      </c>
    </row>
    <row r="343" spans="1:14">
      <c r="B343" s="331" t="str">
        <f t="shared" si="153"/>
        <v>35-39</v>
      </c>
      <c r="C343" s="447">
        <f t="shared" ref="C343:N343" si="157">C306+C250</f>
        <v>2113.1278904199503</v>
      </c>
      <c r="D343" s="447">
        <f t="shared" si="157"/>
        <v>2157.8188709535034</v>
      </c>
      <c r="E343" s="447">
        <f t="shared" si="157"/>
        <v>2198.2974038665297</v>
      </c>
      <c r="F343" s="447">
        <f t="shared" si="157"/>
        <v>2230.9529229425193</v>
      </c>
      <c r="G343" s="447">
        <f t="shared" si="157"/>
        <v>2263.3284247386982</v>
      </c>
      <c r="H343" s="447">
        <f t="shared" si="157"/>
        <v>2295.7360389776686</v>
      </c>
      <c r="I343" s="447">
        <f t="shared" si="157"/>
        <v>2330.5461013129516</v>
      </c>
      <c r="J343" s="447">
        <f t="shared" si="157"/>
        <v>2358.1926906253075</v>
      </c>
      <c r="K343" s="447">
        <f t="shared" si="157"/>
        <v>2379.3232631280462</v>
      </c>
      <c r="L343" s="447">
        <f t="shared" si="157"/>
        <v>2393.958431715434</v>
      </c>
      <c r="M343" s="447">
        <f t="shared" si="157"/>
        <v>2403.4173030162879</v>
      </c>
      <c r="N343" s="447">
        <f t="shared" si="157"/>
        <v>2407.4631396727887</v>
      </c>
    </row>
    <row r="344" spans="1:14">
      <c r="B344" s="331" t="str">
        <f t="shared" si="153"/>
        <v>40-44</v>
      </c>
      <c r="C344" s="447">
        <f t="shared" ref="C344:N344" si="158">C307+C251</f>
        <v>1995.045025236371</v>
      </c>
      <c r="D344" s="447">
        <f t="shared" si="158"/>
        <v>2033.0383635396454</v>
      </c>
      <c r="E344" s="447">
        <f t="shared" si="158"/>
        <v>2067.8098225419958</v>
      </c>
      <c r="F344" s="447">
        <f t="shared" si="158"/>
        <v>2095.8312824214549</v>
      </c>
      <c r="G344" s="447">
        <f t="shared" si="158"/>
        <v>2123.4620446015151</v>
      </c>
      <c r="H344" s="447">
        <f t="shared" si="158"/>
        <v>2150.8981522367603</v>
      </c>
      <c r="I344" s="447">
        <f t="shared" si="158"/>
        <v>2180.2447732048063</v>
      </c>
      <c r="J344" s="447">
        <f t="shared" si="158"/>
        <v>2203.4159163561967</v>
      </c>
      <c r="K344" s="447">
        <f t="shared" si="158"/>
        <v>2221.2698927608817</v>
      </c>
      <c r="L344" s="447">
        <f t="shared" si="158"/>
        <v>2234.2803141062163</v>
      </c>
      <c r="M344" s="447">
        <f t="shared" si="158"/>
        <v>2243.9327287596675</v>
      </c>
      <c r="N344" s="447">
        <f t="shared" si="158"/>
        <v>2250.1455096719305</v>
      </c>
    </row>
    <row r="345" spans="1:14">
      <c r="B345" s="331" t="str">
        <f t="shared" si="153"/>
        <v>45-49</v>
      </c>
      <c r="C345" s="447">
        <f t="shared" ref="C345:N345" si="159">C308+C252</f>
        <v>1943.5286739075516</v>
      </c>
      <c r="D345" s="447">
        <f t="shared" si="159"/>
        <v>1899.2901509985898</v>
      </c>
      <c r="E345" s="447">
        <f t="shared" si="159"/>
        <v>1870.8983765210921</v>
      </c>
      <c r="F345" s="447">
        <f t="shared" si="159"/>
        <v>1853.8350079640427</v>
      </c>
      <c r="G345" s="447">
        <f t="shared" si="159"/>
        <v>1847.4146624058033</v>
      </c>
      <c r="H345" s="447">
        <f t="shared" si="159"/>
        <v>1848.6924669129289</v>
      </c>
      <c r="I345" s="447">
        <f t="shared" si="159"/>
        <v>1857.1207111494184</v>
      </c>
      <c r="J345" s="447">
        <f t="shared" si="159"/>
        <v>1864.5662384968214</v>
      </c>
      <c r="K345" s="447">
        <f t="shared" si="159"/>
        <v>1870.6339782477107</v>
      </c>
      <c r="L345" s="447">
        <f t="shared" si="159"/>
        <v>1874.9708711460075</v>
      </c>
      <c r="M345" s="447">
        <f t="shared" si="159"/>
        <v>1878.3216952166372</v>
      </c>
      <c r="N345" s="447">
        <f t="shared" si="159"/>
        <v>1880.3465097866288</v>
      </c>
    </row>
    <row r="346" spans="1:14">
      <c r="B346" s="331" t="str">
        <f t="shared" si="153"/>
        <v>50-54</v>
      </c>
      <c r="C346" s="447">
        <f t="shared" ref="C346:N346" si="160">C309+C253</f>
        <v>1523.3017323981308</v>
      </c>
      <c r="D346" s="447">
        <f t="shared" si="160"/>
        <v>1503.3164327564273</v>
      </c>
      <c r="E346" s="447">
        <f t="shared" si="160"/>
        <v>1478.4957544500674</v>
      </c>
      <c r="F346" s="447">
        <f t="shared" si="160"/>
        <v>1454.5208092074977</v>
      </c>
      <c r="G346" s="447">
        <f t="shared" si="160"/>
        <v>1435.4893427678958</v>
      </c>
      <c r="H346" s="447">
        <f t="shared" si="160"/>
        <v>1421.8304045655852</v>
      </c>
      <c r="I346" s="447">
        <f t="shared" si="160"/>
        <v>1414.467405286332</v>
      </c>
      <c r="J346" s="447">
        <f t="shared" si="160"/>
        <v>1407.9318031740208</v>
      </c>
      <c r="K346" s="447">
        <f t="shared" si="160"/>
        <v>1402.1257231531924</v>
      </c>
      <c r="L346" s="447">
        <f t="shared" si="160"/>
        <v>1396.7470041535069</v>
      </c>
      <c r="M346" s="447">
        <f t="shared" si="160"/>
        <v>1392.2011285607432</v>
      </c>
      <c r="N346" s="447">
        <f t="shared" si="160"/>
        <v>1388.0528720251968</v>
      </c>
    </row>
    <row r="347" spans="1:14">
      <c r="B347" s="331" t="str">
        <f t="shared" si="153"/>
        <v>55-59</v>
      </c>
      <c r="C347" s="447">
        <f t="shared" ref="C347:N347" si="161">C310+C254</f>
        <v>873.71338194841508</v>
      </c>
      <c r="D347" s="447">
        <f t="shared" si="161"/>
        <v>802.18813490522564</v>
      </c>
      <c r="E347" s="447">
        <f t="shared" si="161"/>
        <v>756.60783790371511</v>
      </c>
      <c r="F347" s="447">
        <f t="shared" si="161"/>
        <v>724.47829357454179</v>
      </c>
      <c r="G347" s="447">
        <f t="shared" si="161"/>
        <v>702.57165272813154</v>
      </c>
      <c r="H347" s="447">
        <f t="shared" si="161"/>
        <v>687.42246685885732</v>
      </c>
      <c r="I347" s="447">
        <f t="shared" si="161"/>
        <v>677.80356296244906</v>
      </c>
      <c r="J347" s="447">
        <f t="shared" si="161"/>
        <v>669.2338262606122</v>
      </c>
      <c r="K347" s="447">
        <f t="shared" si="161"/>
        <v>661.60936969133706</v>
      </c>
      <c r="L347" s="447">
        <f t="shared" si="161"/>
        <v>654.74789385126519</v>
      </c>
      <c r="M347" s="447">
        <f t="shared" si="161"/>
        <v>648.93729165657805</v>
      </c>
      <c r="N347" s="447">
        <f t="shared" si="161"/>
        <v>643.85658612384657</v>
      </c>
    </row>
    <row r="348" spans="1:14">
      <c r="B348" s="331" t="str">
        <f t="shared" si="153"/>
        <v>60-64</v>
      </c>
      <c r="C348" s="447">
        <f t="shared" ref="C348:N348" si="162">C311+C255</f>
        <v>345.94659789354546</v>
      </c>
      <c r="D348" s="447">
        <f t="shared" si="162"/>
        <v>313.21096839112067</v>
      </c>
      <c r="E348" s="447">
        <f t="shared" si="162"/>
        <v>287.92311587052615</v>
      </c>
      <c r="F348" s="447">
        <f t="shared" si="162"/>
        <v>268.8347457700076</v>
      </c>
      <c r="G348" s="447">
        <f t="shared" si="162"/>
        <v>255.6585267880601</v>
      </c>
      <c r="H348" s="447">
        <f t="shared" si="162"/>
        <v>246.68681180215134</v>
      </c>
      <c r="I348" s="447">
        <f t="shared" si="162"/>
        <v>241.02597055769138</v>
      </c>
      <c r="J348" s="447">
        <f t="shared" si="162"/>
        <v>236.0959217717778</v>
      </c>
      <c r="K348" s="447">
        <f t="shared" si="162"/>
        <v>231.76307631248193</v>
      </c>
      <c r="L348" s="447">
        <f t="shared" si="162"/>
        <v>227.89406038945097</v>
      </c>
      <c r="M348" s="447">
        <f t="shared" si="162"/>
        <v>224.6243421289916</v>
      </c>
      <c r="N348" s="447">
        <f t="shared" si="162"/>
        <v>221.77643541043437</v>
      </c>
    </row>
    <row r="349" spans="1:14">
      <c r="B349" s="331" t="str">
        <f t="shared" si="153"/>
        <v>65 plus</v>
      </c>
      <c r="C349" s="447">
        <f t="shared" ref="C349:N349" si="163">C312+C256</f>
        <v>103.87602100381736</v>
      </c>
      <c r="D349" s="447">
        <f t="shared" si="163"/>
        <v>110.14526396281508</v>
      </c>
      <c r="E349" s="447">
        <f t="shared" si="163"/>
        <v>109.500511079525</v>
      </c>
      <c r="F349" s="447">
        <f t="shared" si="163"/>
        <v>106.13205844549236</v>
      </c>
      <c r="G349" s="447">
        <f t="shared" si="163"/>
        <v>102.06186480974638</v>
      </c>
      <c r="H349" s="447">
        <f t="shared" si="163"/>
        <v>98.276510754552234</v>
      </c>
      <c r="I349" s="447">
        <f t="shared" si="163"/>
        <v>95.259862210430853</v>
      </c>
      <c r="J349" s="447">
        <f t="shared" si="163"/>
        <v>92.588680882296956</v>
      </c>
      <c r="K349" s="447">
        <f t="shared" si="163"/>
        <v>90.232400537798853</v>
      </c>
      <c r="L349" s="447">
        <f t="shared" si="163"/>
        <v>88.141633429027721</v>
      </c>
      <c r="M349" s="447">
        <f t="shared" si="163"/>
        <v>86.340026219562901</v>
      </c>
      <c r="N349" s="447">
        <f t="shared" si="163"/>
        <v>84.772496667166237</v>
      </c>
    </row>
    <row r="350" spans="1:14">
      <c r="B350" s="331" t="str">
        <f t="shared" si="153"/>
        <v>Total</v>
      </c>
      <c r="C350" s="447">
        <f t="shared" ref="C350:N350" si="164">SUM(C340:C349)</f>
        <v>14413.193830957644</v>
      </c>
      <c r="D350" s="447">
        <f t="shared" si="164"/>
        <v>14626.7089693694</v>
      </c>
      <c r="E350" s="447">
        <f t="shared" si="164"/>
        <v>14829.3049734414</v>
      </c>
      <c r="F350" s="447">
        <f t="shared" si="164"/>
        <v>14951.413631690586</v>
      </c>
      <c r="G350" s="447">
        <f t="shared" si="164"/>
        <v>15083.331185159628</v>
      </c>
      <c r="H350" s="447">
        <f t="shared" si="164"/>
        <v>15223.317608139951</v>
      </c>
      <c r="I350" s="447">
        <f t="shared" si="164"/>
        <v>15393.053748103906</v>
      </c>
      <c r="J350" s="447">
        <f t="shared" si="164"/>
        <v>15490.749271042479</v>
      </c>
      <c r="K350" s="447">
        <f t="shared" si="164"/>
        <v>15531.655700476009</v>
      </c>
      <c r="L350" s="447">
        <f t="shared" si="164"/>
        <v>15525.42222408913</v>
      </c>
      <c r="M350" s="447">
        <f t="shared" si="164"/>
        <v>15493.925437344004</v>
      </c>
      <c r="N350" s="447">
        <f t="shared" si="164"/>
        <v>15439.083730516566</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N356" si="168">C319+C263</f>
        <v>1461.3432652208203</v>
      </c>
      <c r="D356" s="447">
        <f t="shared" si="168"/>
        <v>1616.981155387055</v>
      </c>
      <c r="E356" s="447">
        <f t="shared" si="168"/>
        <v>1736.2822008492808</v>
      </c>
      <c r="F356" s="447">
        <f t="shared" si="168"/>
        <v>1785.9737368704725</v>
      </c>
      <c r="G356" s="447">
        <f t="shared" si="168"/>
        <v>1823.3330473436458</v>
      </c>
      <c r="H356" s="447">
        <f t="shared" si="168"/>
        <v>1852.8250585174742</v>
      </c>
      <c r="I356" s="447">
        <f t="shared" si="168"/>
        <v>1884.2684387943232</v>
      </c>
      <c r="J356" s="447">
        <f t="shared" si="168"/>
        <v>1888.4438644845827</v>
      </c>
      <c r="K356" s="447">
        <f t="shared" si="168"/>
        <v>1876.0264606394869</v>
      </c>
      <c r="L356" s="447">
        <f t="shared" si="168"/>
        <v>1853.2843546271902</v>
      </c>
      <c r="M356" s="447">
        <f t="shared" si="168"/>
        <v>1828.5167007399712</v>
      </c>
      <c r="N356" s="447">
        <f t="shared" si="168"/>
        <v>1802.3127978406487</v>
      </c>
    </row>
    <row r="357" spans="1:14">
      <c r="B357" s="331" t="str">
        <f t="shared" si="166"/>
        <v>25-29</v>
      </c>
      <c r="C357" s="447">
        <f t="shared" ref="C357:N357" si="169">C320+C264</f>
        <v>3042.768271929237</v>
      </c>
      <c r="D357" s="447">
        <f t="shared" si="169"/>
        <v>3040.0943171479221</v>
      </c>
      <c r="E357" s="447">
        <f t="shared" si="169"/>
        <v>3076.8201758063965</v>
      </c>
      <c r="F357" s="447">
        <f t="shared" si="169"/>
        <v>3089.9496937230138</v>
      </c>
      <c r="G357" s="447">
        <f t="shared" si="169"/>
        <v>3111.597794826549</v>
      </c>
      <c r="H357" s="447">
        <f t="shared" si="169"/>
        <v>3137.5972306904337</v>
      </c>
      <c r="I357" s="447">
        <f t="shared" si="169"/>
        <v>3172.7253075943136</v>
      </c>
      <c r="J357" s="447">
        <f t="shared" si="169"/>
        <v>3185.4343796664389</v>
      </c>
      <c r="K357" s="447">
        <f t="shared" si="169"/>
        <v>3179.5433447223718</v>
      </c>
      <c r="L357" s="447">
        <f t="shared" si="169"/>
        <v>3158.6113500506885</v>
      </c>
      <c r="M357" s="447">
        <f t="shared" si="169"/>
        <v>3130.3698450877419</v>
      </c>
      <c r="N357" s="447">
        <f t="shared" si="169"/>
        <v>3096.5656017424149</v>
      </c>
    </row>
    <row r="358" spans="1:14">
      <c r="B358" s="331" t="str">
        <f t="shared" si="166"/>
        <v>30-34</v>
      </c>
      <c r="C358" s="447">
        <f t="shared" ref="C358:N358" si="170">C321+C265</f>
        <v>2504.8498199992619</v>
      </c>
      <c r="D358" s="447">
        <f t="shared" si="170"/>
        <v>2680.6140457921656</v>
      </c>
      <c r="E358" s="447">
        <f t="shared" si="170"/>
        <v>2811.4061191696142</v>
      </c>
      <c r="F358" s="447">
        <f t="shared" si="170"/>
        <v>2894.5137016790873</v>
      </c>
      <c r="G358" s="447">
        <f t="shared" si="170"/>
        <v>2958.7569196810414</v>
      </c>
      <c r="H358" s="447">
        <f t="shared" si="170"/>
        <v>3011.1684513234895</v>
      </c>
      <c r="I358" s="447">
        <f t="shared" si="170"/>
        <v>3059.5166160577942</v>
      </c>
      <c r="J358" s="447">
        <f t="shared" si="170"/>
        <v>3092.0811740847166</v>
      </c>
      <c r="K358" s="447">
        <f t="shared" si="170"/>
        <v>3110.1740893220426</v>
      </c>
      <c r="L358" s="447">
        <f t="shared" si="170"/>
        <v>3114.9327411096456</v>
      </c>
      <c r="M358" s="447">
        <f t="shared" si="170"/>
        <v>3109.86961476034</v>
      </c>
      <c r="N358" s="447">
        <f t="shared" si="170"/>
        <v>3096.3586434859089</v>
      </c>
    </row>
    <row r="359" spans="1:14">
      <c r="B359" s="331" t="str">
        <f t="shared" si="166"/>
        <v>35-39</v>
      </c>
      <c r="C359" s="447">
        <f t="shared" ref="C359:N359" si="171">C322+C266</f>
        <v>2278.6920693206248</v>
      </c>
      <c r="D359" s="447">
        <f t="shared" si="171"/>
        <v>2354.4726443285699</v>
      </c>
      <c r="E359" s="447">
        <f t="shared" si="171"/>
        <v>2444.4753961996134</v>
      </c>
      <c r="F359" s="447">
        <f t="shared" si="171"/>
        <v>2520.1283527578521</v>
      </c>
      <c r="G359" s="447">
        <f t="shared" si="171"/>
        <v>2591.6821223702132</v>
      </c>
      <c r="H359" s="447">
        <f t="shared" si="171"/>
        <v>2657.0129343718932</v>
      </c>
      <c r="I359" s="447">
        <f t="shared" si="171"/>
        <v>2718.4180922955147</v>
      </c>
      <c r="J359" s="447">
        <f t="shared" si="171"/>
        <v>2765.4212299328187</v>
      </c>
      <c r="K359" s="447">
        <f t="shared" si="171"/>
        <v>2799.8005567742484</v>
      </c>
      <c r="L359" s="447">
        <f t="shared" si="171"/>
        <v>2822.7162816417108</v>
      </c>
      <c r="M359" s="447">
        <f t="shared" si="171"/>
        <v>2836.7461952434323</v>
      </c>
      <c r="N359" s="447">
        <f t="shared" si="171"/>
        <v>2842.497429398059</v>
      </c>
    </row>
    <row r="360" spans="1:14">
      <c r="B360" s="331" t="str">
        <f t="shared" si="166"/>
        <v>40-44</v>
      </c>
      <c r="C360" s="447">
        <f t="shared" ref="C360:N360" si="172">C323+C267</f>
        <v>2171.3035170561625</v>
      </c>
      <c r="D360" s="447">
        <f t="shared" si="172"/>
        <v>2203.0216286063878</v>
      </c>
      <c r="E360" s="447">
        <f t="shared" si="172"/>
        <v>2242.0738710242849</v>
      </c>
      <c r="F360" s="447">
        <f t="shared" si="172"/>
        <v>2275.0142384596206</v>
      </c>
      <c r="G360" s="447">
        <f t="shared" si="172"/>
        <v>2313.9492383167394</v>
      </c>
      <c r="H360" s="447">
        <f t="shared" si="172"/>
        <v>2356.671312714665</v>
      </c>
      <c r="I360" s="447">
        <f t="shared" si="172"/>
        <v>2403.3883503544571</v>
      </c>
      <c r="J360" s="447">
        <f t="shared" si="172"/>
        <v>2443.0165625264885</v>
      </c>
      <c r="K360" s="447">
        <f t="shared" si="172"/>
        <v>2475.4884367897812</v>
      </c>
      <c r="L360" s="447">
        <f t="shared" si="172"/>
        <v>2500.7580656964915</v>
      </c>
      <c r="M360" s="447">
        <f t="shared" si="172"/>
        <v>2520.3146592580624</v>
      </c>
      <c r="N360" s="447">
        <f t="shared" si="172"/>
        <v>2534.0723572161523</v>
      </c>
    </row>
    <row r="361" spans="1:14">
      <c r="B361" s="331" t="str">
        <f t="shared" si="166"/>
        <v>45-49</v>
      </c>
      <c r="C361" s="447">
        <f t="shared" ref="C361:N361" si="173">C324+C268</f>
        <v>2130.9056859660318</v>
      </c>
      <c r="D361" s="447">
        <f t="shared" si="173"/>
        <v>2095.8962525182283</v>
      </c>
      <c r="E361" s="447">
        <f t="shared" si="173"/>
        <v>2077.2169024443756</v>
      </c>
      <c r="F361" s="447">
        <f t="shared" si="173"/>
        <v>2060.6178222649296</v>
      </c>
      <c r="G361" s="447">
        <f t="shared" si="173"/>
        <v>2055.525167475992</v>
      </c>
      <c r="H361" s="447">
        <f t="shared" si="173"/>
        <v>2059.9449775671919</v>
      </c>
      <c r="I361" s="447">
        <f t="shared" si="173"/>
        <v>2073.8169132149542</v>
      </c>
      <c r="J361" s="447">
        <f t="shared" si="173"/>
        <v>2087.7415079797347</v>
      </c>
      <c r="K361" s="447">
        <f t="shared" si="173"/>
        <v>2100.9338608062121</v>
      </c>
      <c r="L361" s="447">
        <f t="shared" si="173"/>
        <v>2112.5574368269872</v>
      </c>
      <c r="M361" s="447">
        <f t="shared" si="173"/>
        <v>2123.0577832257077</v>
      </c>
      <c r="N361" s="447">
        <f t="shared" si="173"/>
        <v>2131.7026821494965</v>
      </c>
    </row>
    <row r="362" spans="1:14">
      <c r="B362" s="331" t="str">
        <f t="shared" si="166"/>
        <v>50-54</v>
      </c>
      <c r="C362" s="447">
        <f t="shared" ref="C362:N362" si="174">C325+C269</f>
        <v>1797.0834535185666</v>
      </c>
      <c r="D362" s="447">
        <f t="shared" si="174"/>
        <v>1756.9477731472534</v>
      </c>
      <c r="E362" s="447">
        <f t="shared" si="174"/>
        <v>1722.8382061742859</v>
      </c>
      <c r="F362" s="447">
        <f t="shared" si="174"/>
        <v>1687.8030818219406</v>
      </c>
      <c r="G362" s="447">
        <f t="shared" si="174"/>
        <v>1661.0550960683067</v>
      </c>
      <c r="H362" s="447">
        <f t="shared" si="174"/>
        <v>1642.2254758751792</v>
      </c>
      <c r="I362" s="447">
        <f t="shared" si="174"/>
        <v>1632.0224428061915</v>
      </c>
      <c r="J362" s="447">
        <f t="shared" si="174"/>
        <v>1623.9708694191361</v>
      </c>
      <c r="K362" s="447">
        <f t="shared" si="174"/>
        <v>1617.8115219812985</v>
      </c>
      <c r="L362" s="447">
        <f t="shared" si="174"/>
        <v>1613.0339563843443</v>
      </c>
      <c r="M362" s="447">
        <f t="shared" si="174"/>
        <v>1609.9174822305056</v>
      </c>
      <c r="N362" s="447">
        <f t="shared" si="174"/>
        <v>1607.7561476306703</v>
      </c>
    </row>
    <row r="363" spans="1:14">
      <c r="B363" s="331" t="str">
        <f t="shared" si="166"/>
        <v>55-59</v>
      </c>
      <c r="C363" s="447">
        <f t="shared" ref="C363:N363" si="175">C326+C270</f>
        <v>1002.5188493217205</v>
      </c>
      <c r="D363" s="447">
        <f t="shared" si="175"/>
        <v>952.63207486168858</v>
      </c>
      <c r="E363" s="447">
        <f t="shared" si="175"/>
        <v>917.34585637122439</v>
      </c>
      <c r="F363" s="447">
        <f t="shared" si="175"/>
        <v>886.43059261424582</v>
      </c>
      <c r="G363" s="447">
        <f t="shared" si="175"/>
        <v>863.03430913021361</v>
      </c>
      <c r="H363" s="447">
        <f t="shared" si="175"/>
        <v>845.46742278506349</v>
      </c>
      <c r="I363" s="447">
        <f t="shared" si="175"/>
        <v>833.51158750858724</v>
      </c>
      <c r="J363" s="447">
        <f t="shared" si="175"/>
        <v>822.63093842157605</v>
      </c>
      <c r="K363" s="447">
        <f t="shared" si="175"/>
        <v>812.96367003720184</v>
      </c>
      <c r="L363" s="447">
        <f t="shared" si="175"/>
        <v>804.42981041781718</v>
      </c>
      <c r="M363" s="447">
        <f t="shared" si="175"/>
        <v>797.41221409056379</v>
      </c>
      <c r="N363" s="447">
        <f t="shared" si="175"/>
        <v>791.54812482259388</v>
      </c>
    </row>
    <row r="364" spans="1:14">
      <c r="B364" s="331" t="str">
        <f t="shared" si="166"/>
        <v>60-64</v>
      </c>
      <c r="C364" s="447">
        <f t="shared" ref="C364:N364" si="176">C327+C271</f>
        <v>360.62507072832204</v>
      </c>
      <c r="D364" s="447">
        <f t="shared" si="176"/>
        <v>349.12567989106174</v>
      </c>
      <c r="E364" s="447">
        <f t="shared" si="176"/>
        <v>337.57977690373207</v>
      </c>
      <c r="F364" s="447">
        <f t="shared" si="176"/>
        <v>325.09369722211886</v>
      </c>
      <c r="G364" s="447">
        <f t="shared" si="176"/>
        <v>315.11622694284137</v>
      </c>
      <c r="H364" s="447">
        <f t="shared" si="176"/>
        <v>307.38758300865038</v>
      </c>
      <c r="I364" s="447">
        <f t="shared" si="176"/>
        <v>301.99812268872773</v>
      </c>
      <c r="J364" s="447">
        <f t="shared" si="176"/>
        <v>296.66540745210034</v>
      </c>
      <c r="K364" s="447">
        <f t="shared" si="176"/>
        <v>291.62141192826198</v>
      </c>
      <c r="L364" s="447">
        <f t="shared" si="176"/>
        <v>286.93743623317789</v>
      </c>
      <c r="M364" s="447">
        <f t="shared" si="176"/>
        <v>282.89826228428439</v>
      </c>
      <c r="N364" s="447">
        <f t="shared" si="176"/>
        <v>279.37226238299053</v>
      </c>
    </row>
    <row r="365" spans="1:14">
      <c r="B365" s="331" t="str">
        <f t="shared" si="166"/>
        <v>65 plus</v>
      </c>
      <c r="C365" s="447">
        <f t="shared" ref="C365:N365" si="177">C328+C272</f>
        <v>100.71215489139861</v>
      </c>
      <c r="D365" s="447">
        <f t="shared" si="177"/>
        <v>123.90983941688501</v>
      </c>
      <c r="E365" s="447">
        <f t="shared" si="177"/>
        <v>137.54439424688334</v>
      </c>
      <c r="F365" s="447">
        <f t="shared" si="177"/>
        <v>144.13198876188238</v>
      </c>
      <c r="G365" s="447">
        <f t="shared" si="177"/>
        <v>146.84298314832779</v>
      </c>
      <c r="H365" s="447">
        <f t="shared" si="177"/>
        <v>147.3842267782336</v>
      </c>
      <c r="I365" s="447">
        <f t="shared" si="177"/>
        <v>146.95546079327963</v>
      </c>
      <c r="J365" s="447">
        <f t="shared" si="177"/>
        <v>145.65053679360875</v>
      </c>
      <c r="K365" s="447">
        <f t="shared" si="177"/>
        <v>143.82451153079214</v>
      </c>
      <c r="L365" s="447">
        <f t="shared" si="177"/>
        <v>141.71761099871341</v>
      </c>
      <c r="M365" s="447">
        <f t="shared" si="177"/>
        <v>139.5721426992888</v>
      </c>
      <c r="N365" s="447">
        <f t="shared" si="177"/>
        <v>137.48390505288745</v>
      </c>
    </row>
    <row r="366" spans="1:14">
      <c r="B366" s="331" t="str">
        <f t="shared" si="166"/>
        <v>Total</v>
      </c>
      <c r="C366" s="447">
        <f t="shared" ref="C366:N366" si="178">SUM(C356:C365)</f>
        <v>16850.802157952148</v>
      </c>
      <c r="D366" s="447">
        <f t="shared" si="178"/>
        <v>17173.695411097222</v>
      </c>
      <c r="E366" s="447">
        <f t="shared" si="178"/>
        <v>17503.582899189689</v>
      </c>
      <c r="F366" s="447">
        <f t="shared" si="178"/>
        <v>17669.656906175158</v>
      </c>
      <c r="G366" s="447">
        <f t="shared" si="178"/>
        <v>17840.89290530387</v>
      </c>
      <c r="H366" s="447">
        <f t="shared" si="178"/>
        <v>18017.684673632277</v>
      </c>
      <c r="I366" s="447">
        <f t="shared" si="178"/>
        <v>18226.621332108141</v>
      </c>
      <c r="J366" s="447">
        <f t="shared" si="178"/>
        <v>18351.056470761199</v>
      </c>
      <c r="K366" s="447">
        <f t="shared" si="178"/>
        <v>18408.187864531697</v>
      </c>
      <c r="L366" s="447">
        <f t="shared" si="178"/>
        <v>18408.979043986761</v>
      </c>
      <c r="M366" s="447">
        <f t="shared" si="178"/>
        <v>18378.674899619902</v>
      </c>
      <c r="N366" s="447">
        <f t="shared" si="178"/>
        <v>18319.669951721822</v>
      </c>
    </row>
    <row r="367" spans="1:14">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4">
      <c r="C368" s="322">
        <f>C350+C366</f>
        <v>31263.995988909792</v>
      </c>
      <c r="D368" s="322">
        <f t="shared" ref="D368:N368" si="180">D350+D366</f>
        <v>31800.404380466622</v>
      </c>
      <c r="E368" s="322">
        <f t="shared" si="180"/>
        <v>32332.887872631087</v>
      </c>
      <c r="F368" s="322">
        <f t="shared" si="180"/>
        <v>32621.070537865744</v>
      </c>
      <c r="G368" s="322">
        <f t="shared" si="180"/>
        <v>32924.224090463496</v>
      </c>
      <c r="H368" s="322">
        <f t="shared" si="180"/>
        <v>33241.002281772227</v>
      </c>
      <c r="I368" s="322">
        <f t="shared" si="180"/>
        <v>33619.675080212051</v>
      </c>
      <c r="J368" s="322">
        <f t="shared" si="180"/>
        <v>33841.805741803677</v>
      </c>
      <c r="K368" s="322">
        <f t="shared" si="180"/>
        <v>33939.843565007708</v>
      </c>
      <c r="L368" s="322">
        <f t="shared" si="180"/>
        <v>33934.40126807589</v>
      </c>
      <c r="M368" s="322">
        <f t="shared" si="180"/>
        <v>33872.600336963907</v>
      </c>
      <c r="N368" s="322">
        <f t="shared" si="180"/>
        <v>33758.753682238384</v>
      </c>
    </row>
    <row r="369" spans="1:14">
      <c r="C369" s="322">
        <f t="shared" ref="C369:N369" si="181">C36</f>
        <v>31263.995988909792</v>
      </c>
      <c r="D369" s="322">
        <f t="shared" si="181"/>
        <v>31800.404380466622</v>
      </c>
      <c r="E369" s="322">
        <f t="shared" si="181"/>
        <v>32332.887872631094</v>
      </c>
      <c r="F369" s="322">
        <f t="shared" si="181"/>
        <v>32621.070537865755</v>
      </c>
      <c r="G369" s="322">
        <f t="shared" si="181"/>
        <v>32924.224090463504</v>
      </c>
      <c r="H369" s="322">
        <f t="shared" si="181"/>
        <v>33241.002281772227</v>
      </c>
      <c r="I369" s="322">
        <f t="shared" si="181"/>
        <v>33619.675080212059</v>
      </c>
      <c r="J369" s="322">
        <f t="shared" si="181"/>
        <v>33841.805741803691</v>
      </c>
      <c r="K369" s="322">
        <f t="shared" si="181"/>
        <v>33939.843565007715</v>
      </c>
      <c r="L369" s="322">
        <f t="shared" si="181"/>
        <v>33934.401268075904</v>
      </c>
      <c r="M369" s="322">
        <f t="shared" si="181"/>
        <v>33872.600336963915</v>
      </c>
      <c r="N369" s="322">
        <f t="shared" si="181"/>
        <v>33758.753682238399</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601</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Forecast_stock_figures!B29</f>
        <v>Modern Foreign Languages</v>
      </c>
      <c r="C15" s="300">
        <f>Forecast_stock_figures!C53</f>
        <v>14825.501850585661</v>
      </c>
      <c r="D15" s="300">
        <f>Forecast_stock_figures!D53</f>
        <v>14971.501798068488</v>
      </c>
      <c r="E15" s="300">
        <f>Forecast_stock_figures!E53</f>
        <v>15518.448326772366</v>
      </c>
      <c r="F15" s="300">
        <f>Forecast_stock_figures!F53</f>
        <v>16134.071227593558</v>
      </c>
      <c r="G15" s="300">
        <f>Forecast_stock_figures!G53</f>
        <v>16812.756948289185</v>
      </c>
      <c r="H15" s="300">
        <f>Forecast_stock_figures!H53</f>
        <v>17630.402554431716</v>
      </c>
      <c r="I15" s="300">
        <f>Forecast_stock_figures!I53</f>
        <v>18578.0202666437</v>
      </c>
      <c r="J15" s="300">
        <f>Forecast_stock_figures!J53</f>
        <v>19452.46551534941</v>
      </c>
      <c r="K15" s="300">
        <f>Forecast_stock_figures!K53</f>
        <v>19600.61185016208</v>
      </c>
      <c r="L15" s="300">
        <f>Forecast_stock_figures!L53</f>
        <v>19598.097876335123</v>
      </c>
      <c r="M15" s="300">
        <f>Forecast_stock_figures!M53</f>
        <v>19497.170074560905</v>
      </c>
      <c r="N15" s="300">
        <f>Forecast_stock_figures!N53</f>
        <v>19427.392336902663</v>
      </c>
    </row>
    <row r="17" spans="1:9" ht="15.75">
      <c r="B17" s="333" t="s">
        <v>162</v>
      </c>
    </row>
    <row r="19" spans="1:9">
      <c r="B19" s="1327" t="str">
        <f>Stock_ages_breakdowns!B73</f>
        <v>Age group</v>
      </c>
      <c r="C19" s="1325" t="str">
        <f>Stock_ages_breakdowns!AC73</f>
        <v>Modern Foreign Languages</v>
      </c>
      <c r="D19" s="1332"/>
      <c r="H19" s="318" t="s">
        <v>133</v>
      </c>
    </row>
    <row r="20" spans="1:9">
      <c r="B20" s="1327"/>
      <c r="C20" s="356" t="str">
        <f>Stock_ages_breakdowns!AC74</f>
        <v>Male</v>
      </c>
      <c r="D20" s="356" t="str">
        <f>Stock_ages_breakdowns!AD74</f>
        <v>Female</v>
      </c>
    </row>
    <row r="21" spans="1:9">
      <c r="B21" s="356" t="str">
        <f>Stock_ages_breakdowns!B75</f>
        <v>20-24</v>
      </c>
      <c r="C21" s="324">
        <f>Stock_ages_breakdowns!AC20</f>
        <v>84.301529484628063</v>
      </c>
      <c r="D21" s="324">
        <f>Stock_ages_breakdowns!AD20</f>
        <v>326.36956958571091</v>
      </c>
    </row>
    <row r="22" spans="1:9">
      <c r="B22" s="356" t="str">
        <f>Stock_ages_breakdowns!B76</f>
        <v>25-29</v>
      </c>
      <c r="C22" s="324">
        <f>Stock_ages_breakdowns!AC21</f>
        <v>396.60664269755426</v>
      </c>
      <c r="D22" s="324">
        <f>Stock_ages_breakdowns!AD21</f>
        <v>1640.2915340317595</v>
      </c>
    </row>
    <row r="23" spans="1:9">
      <c r="B23" s="356" t="str">
        <f>Stock_ages_breakdowns!B77</f>
        <v>30-34</v>
      </c>
      <c r="C23" s="324">
        <f>Stock_ages_breakdowns!AC22</f>
        <v>374.43031312672434</v>
      </c>
      <c r="D23" s="324">
        <f>Stock_ages_breakdowns!AD22</f>
        <v>1603.099417432566</v>
      </c>
    </row>
    <row r="24" spans="1:9">
      <c r="B24" s="356" t="str">
        <f>Stock_ages_breakdowns!B78</f>
        <v>35-39</v>
      </c>
      <c r="C24" s="324">
        <f>Stock_ages_breakdowns!AC23</f>
        <v>473.33461780610332</v>
      </c>
      <c r="D24" s="324">
        <f>Stock_ages_breakdowns!AD23</f>
        <v>1951.1420837238798</v>
      </c>
    </row>
    <row r="25" spans="1:9">
      <c r="B25" s="356" t="str">
        <f>Stock_ages_breakdowns!B79</f>
        <v>40-44</v>
      </c>
      <c r="C25" s="324">
        <f>Stock_ages_breakdowns!AC24</f>
        <v>452.6840261254643</v>
      </c>
      <c r="D25" s="324">
        <f>Stock_ages_breakdowns!AD24</f>
        <v>2197.1166944938677</v>
      </c>
    </row>
    <row r="26" spans="1:9">
      <c r="B26" s="356" t="str">
        <f>Stock_ages_breakdowns!B80</f>
        <v>45-49</v>
      </c>
      <c r="C26" s="324">
        <f>Stock_ages_breakdowns!AC25</f>
        <v>382.38580320330453</v>
      </c>
      <c r="D26" s="324">
        <f>Stock_ages_breakdowns!AD25</f>
        <v>1855.5398688015891</v>
      </c>
    </row>
    <row r="27" spans="1:9">
      <c r="B27" s="356" t="str">
        <f>Stock_ages_breakdowns!B81</f>
        <v>50-54</v>
      </c>
      <c r="C27" s="324">
        <f>Stock_ages_breakdowns!AC26</f>
        <v>330.32425813814399</v>
      </c>
      <c r="D27" s="324">
        <f>Stock_ages_breakdowns!AD26</f>
        <v>1321.7501426224617</v>
      </c>
    </row>
    <row r="28" spans="1:9">
      <c r="B28" s="356" t="str">
        <f>Stock_ages_breakdowns!B82</f>
        <v>55-59</v>
      </c>
      <c r="C28" s="324">
        <f>Stock_ages_breakdowns!AC27</f>
        <v>178.73989309909214</v>
      </c>
      <c r="D28" s="324">
        <f>Stock_ages_breakdowns!AD27</f>
        <v>906.63515651715807</v>
      </c>
    </row>
    <row r="29" spans="1:9">
      <c r="B29" s="356" t="str">
        <f>Stock_ages_breakdowns!B83</f>
        <v>60-64</v>
      </c>
      <c r="C29" s="324">
        <f>Stock_ages_breakdowns!AC28</f>
        <v>48.736398822214909</v>
      </c>
      <c r="D29" s="324">
        <f>Stock_ages_breakdowns!AD28</f>
        <v>254.63382489316101</v>
      </c>
      <c r="F29" s="318"/>
    </row>
    <row r="30" spans="1:9">
      <c r="B30" s="356" t="str">
        <f>Stock_ages_breakdowns!B84</f>
        <v>65 plus</v>
      </c>
      <c r="C30" s="324">
        <f>Stock_ages_breakdowns!AC29</f>
        <v>6.1721210183346811</v>
      </c>
      <c r="D30" s="324">
        <f>Stock_ages_breakdowns!AD29</f>
        <v>41.207954961943109</v>
      </c>
      <c r="G30" s="319" t="s">
        <v>46</v>
      </c>
      <c r="H30" s="319" t="s">
        <v>47</v>
      </c>
    </row>
    <row r="31" spans="1:9">
      <c r="A31" s="302">
        <f>I31</f>
        <v>0</v>
      </c>
      <c r="B31" s="356" t="str">
        <f>Stock_ages_breakdowns!B85</f>
        <v>Total</v>
      </c>
      <c r="C31" s="324">
        <f>Stock_ages_breakdowns!AC30</f>
        <v>2727.7156035215648</v>
      </c>
      <c r="D31" s="324">
        <f>Stock_ages_breakdowns!AD30</f>
        <v>12097.786247064096</v>
      </c>
      <c r="E31" s="320">
        <f>SUM(C31:D31)</f>
        <v>14825.501850585661</v>
      </c>
      <c r="G31" s="359">
        <f>C31/$E$31</f>
        <v>0.18398807885304808</v>
      </c>
      <c r="H31" s="359">
        <f>D31/$E$31</f>
        <v>0.81601192114695187</v>
      </c>
      <c r="I31" s="302">
        <f>(G31+H31)-1</f>
        <v>0</v>
      </c>
    </row>
    <row r="33" spans="2:15" ht="15.75">
      <c r="B33" s="333" t="s">
        <v>263</v>
      </c>
      <c r="H33" s="318"/>
    </row>
    <row r="34" spans="2:15">
      <c r="H34" s="318"/>
    </row>
    <row r="35" spans="2:15">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5">
      <c r="B36" s="315" t="str">
        <f>B15</f>
        <v>Modern Foreign Languages</v>
      </c>
      <c r="C36" s="300">
        <f>Teacher_need_by_subject!C636</f>
        <v>14971.501798068488</v>
      </c>
      <c r="D36" s="300">
        <f>Teacher_need_by_subject!D636</f>
        <v>15518.448326772366</v>
      </c>
      <c r="E36" s="300">
        <f>Teacher_need_by_subject!E636</f>
        <v>16134.071227593558</v>
      </c>
      <c r="F36" s="300">
        <f>Teacher_need_by_subject!F636</f>
        <v>16812.756948289185</v>
      </c>
      <c r="G36" s="300">
        <f>Teacher_need_by_subject!G636</f>
        <v>17630.402554431716</v>
      </c>
      <c r="H36" s="300">
        <f>Teacher_need_by_subject!H636</f>
        <v>18578.0202666437</v>
      </c>
      <c r="I36" s="300">
        <f>Teacher_need_by_subject!I636</f>
        <v>19452.46551534941</v>
      </c>
      <c r="J36" s="300">
        <f>Teacher_need_by_subject!J636</f>
        <v>19600.61185016208</v>
      </c>
      <c r="K36" s="300">
        <f>Teacher_need_by_subject!K636</f>
        <v>19598.097876335123</v>
      </c>
      <c r="L36" s="300">
        <f>Teacher_need_by_subject!L636</f>
        <v>19497.170074560905</v>
      </c>
      <c r="M36" s="300">
        <f>Teacher_need_by_subject!M636</f>
        <v>19427.392336902663</v>
      </c>
      <c r="N36" s="300">
        <f>Teacher_need_by_subject!N636</f>
        <v>19438.746388143565</v>
      </c>
    </row>
    <row r="37" spans="2:15">
      <c r="H37" s="318"/>
    </row>
    <row r="38" spans="2:15" ht="15.75">
      <c r="B38" s="333" t="s">
        <v>170</v>
      </c>
      <c r="H38" s="318"/>
    </row>
    <row r="39" spans="2:15">
      <c r="H39" s="318"/>
    </row>
    <row r="40" spans="2:15">
      <c r="B40" s="334" t="s">
        <v>46</v>
      </c>
      <c r="H40" s="318"/>
    </row>
    <row r="41" spans="2:15">
      <c r="H41" s="318"/>
    </row>
    <row r="42" spans="2:15">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5">
      <c r="B43" s="356" t="str">
        <f>B21</f>
        <v>20-24</v>
      </c>
      <c r="C43" s="300">
        <f>C21</f>
        <v>84.301529484628063</v>
      </c>
      <c r="D43" s="300">
        <f>C340</f>
        <v>145.84559941602484</v>
      </c>
      <c r="E43" s="300">
        <f t="shared" ref="E43:L43" si="2">D340</f>
        <v>208.59023187530389</v>
      </c>
      <c r="F43" s="300">
        <f t="shared" si="2"/>
        <v>258.76864937101129</v>
      </c>
      <c r="G43" s="300">
        <f t="shared" si="2"/>
        <v>300.68849553600995</v>
      </c>
      <c r="H43" s="300">
        <f t="shared" si="2"/>
        <v>339.86236112293324</v>
      </c>
      <c r="I43" s="300">
        <f t="shared" si="2"/>
        <v>377.42963796018478</v>
      </c>
      <c r="J43" s="300">
        <f t="shared" si="2"/>
        <v>404.95511762252079</v>
      </c>
      <c r="K43" s="300">
        <f t="shared" si="2"/>
        <v>394.22128457748306</v>
      </c>
      <c r="L43" s="300">
        <f t="shared" si="2"/>
        <v>380.15220493594529</v>
      </c>
      <c r="M43" s="300">
        <f>L340</f>
        <v>365.44592741396065</v>
      </c>
      <c r="N43" s="300">
        <f>M340</f>
        <v>355.91988235655185</v>
      </c>
      <c r="O43" s="320"/>
    </row>
    <row r="44" spans="2:15">
      <c r="B44" s="356" t="str">
        <f t="shared" ref="B44:C53" si="3">B22</f>
        <v>25-29</v>
      </c>
      <c r="C44" s="300">
        <f t="shared" si="3"/>
        <v>396.60664269755426</v>
      </c>
      <c r="D44" s="300">
        <f t="shared" ref="D44:K53" si="4">C341</f>
        <v>380.2653931487697</v>
      </c>
      <c r="E44" s="300">
        <f t="shared" si="4"/>
        <v>401.34537129104274</v>
      </c>
      <c r="F44" s="300">
        <f t="shared" si="4"/>
        <v>433.07148592545207</v>
      </c>
      <c r="G44" s="300">
        <f t="shared" si="4"/>
        <v>471.81354231131405</v>
      </c>
      <c r="H44" s="300">
        <f t="shared" si="4"/>
        <v>516.5898206720384</v>
      </c>
      <c r="I44" s="300">
        <f t="shared" si="4"/>
        <v>565.39409775755462</v>
      </c>
      <c r="J44" s="300">
        <f t="shared" si="4"/>
        <v>607.61125630188485</v>
      </c>
      <c r="K44" s="300">
        <f t="shared" si="4"/>
        <v>611.50650189829332</v>
      </c>
      <c r="L44" s="300">
        <f t="shared" ref="L44:L53" si="5">K341</f>
        <v>605.55945239993935</v>
      </c>
      <c r="M44" s="300">
        <f t="shared" ref="M44:M53" si="6">L341</f>
        <v>593.86389368647735</v>
      </c>
      <c r="N44" s="300">
        <f t="shared" ref="N44:N53" si="7">M341</f>
        <v>583.78301480911762</v>
      </c>
      <c r="O44" s="320"/>
    </row>
    <row r="45" spans="2:15">
      <c r="B45" s="356" t="str">
        <f t="shared" si="3"/>
        <v>30-34</v>
      </c>
      <c r="C45" s="300">
        <f t="shared" si="3"/>
        <v>374.43031312672434</v>
      </c>
      <c r="D45" s="300">
        <f t="shared" si="4"/>
        <v>391.23485160732309</v>
      </c>
      <c r="E45" s="300">
        <f t="shared" si="4"/>
        <v>411.75312471792807</v>
      </c>
      <c r="F45" s="300">
        <f t="shared" si="4"/>
        <v>433.27506707991921</v>
      </c>
      <c r="G45" s="300">
        <f t="shared" si="4"/>
        <v>458.98398199859423</v>
      </c>
      <c r="H45" s="300">
        <f t="shared" si="4"/>
        <v>490.12159796593795</v>
      </c>
      <c r="I45" s="300">
        <f t="shared" si="4"/>
        <v>526.49413633789698</v>
      </c>
      <c r="J45" s="300">
        <f t="shared" si="4"/>
        <v>562.91618941655918</v>
      </c>
      <c r="K45" s="300">
        <f t="shared" si="4"/>
        <v>582.28706271223996</v>
      </c>
      <c r="L45" s="300">
        <f t="shared" si="5"/>
        <v>593.83419304399445</v>
      </c>
      <c r="M45" s="300">
        <f t="shared" si="6"/>
        <v>598.68383004006478</v>
      </c>
      <c r="N45" s="300">
        <f t="shared" si="7"/>
        <v>600.41695989587595</v>
      </c>
      <c r="O45" s="320"/>
    </row>
    <row r="46" spans="2:15">
      <c r="B46" s="356" t="str">
        <f t="shared" si="3"/>
        <v>35-39</v>
      </c>
      <c r="C46" s="300">
        <f t="shared" si="3"/>
        <v>473.33461780610332</v>
      </c>
      <c r="D46" s="300">
        <f t="shared" si="4"/>
        <v>453.02845674644436</v>
      </c>
      <c r="E46" s="300">
        <f t="shared" si="4"/>
        <v>449.73771131715824</v>
      </c>
      <c r="F46" s="300">
        <f t="shared" si="4"/>
        <v>452.78270426231364</v>
      </c>
      <c r="G46" s="300">
        <f t="shared" si="4"/>
        <v>462.21916557334129</v>
      </c>
      <c r="H46" s="300">
        <f t="shared" si="4"/>
        <v>477.8449879308896</v>
      </c>
      <c r="I46" s="300">
        <f t="shared" si="4"/>
        <v>499.17742523683268</v>
      </c>
      <c r="J46" s="300">
        <f t="shared" si="4"/>
        <v>522.33774900652179</v>
      </c>
      <c r="K46" s="300">
        <f t="shared" si="4"/>
        <v>535.0272142045103</v>
      </c>
      <c r="L46" s="300">
        <f t="shared" si="5"/>
        <v>545.51560674602035</v>
      </c>
      <c r="M46" s="300">
        <f t="shared" si="6"/>
        <v>553.55072778287536</v>
      </c>
      <c r="N46" s="300">
        <f t="shared" si="7"/>
        <v>560.64830552038723</v>
      </c>
      <c r="O46" s="320"/>
    </row>
    <row r="47" spans="2:15">
      <c r="B47" s="356" t="str">
        <f t="shared" si="3"/>
        <v>40-44</v>
      </c>
      <c r="C47" s="300">
        <f t="shared" si="3"/>
        <v>452.6840261254643</v>
      </c>
      <c r="D47" s="300">
        <f t="shared" si="4"/>
        <v>450.89110424398842</v>
      </c>
      <c r="E47" s="300">
        <f t="shared" si="4"/>
        <v>453.43034487223258</v>
      </c>
      <c r="F47" s="300">
        <f t="shared" si="4"/>
        <v>455.94500323525136</v>
      </c>
      <c r="G47" s="300">
        <f t="shared" si="4"/>
        <v>461.21553766108428</v>
      </c>
      <c r="H47" s="300">
        <f t="shared" si="4"/>
        <v>470.18472687444489</v>
      </c>
      <c r="I47" s="300">
        <f t="shared" si="4"/>
        <v>483.13445311829116</v>
      </c>
      <c r="J47" s="300">
        <f t="shared" si="4"/>
        <v>497.18985772488759</v>
      </c>
      <c r="K47" s="300">
        <f t="shared" si="4"/>
        <v>502.23310757472393</v>
      </c>
      <c r="L47" s="300">
        <f t="shared" si="5"/>
        <v>506.15879748120807</v>
      </c>
      <c r="M47" s="300">
        <f t="shared" si="6"/>
        <v>509.39009207056523</v>
      </c>
      <c r="N47" s="300">
        <f t="shared" si="7"/>
        <v>513.47743986079126</v>
      </c>
      <c r="O47" s="320"/>
    </row>
    <row r="48" spans="2:15">
      <c r="B48" s="356" t="str">
        <f t="shared" si="3"/>
        <v>45-49</v>
      </c>
      <c r="C48" s="300">
        <f t="shared" si="3"/>
        <v>382.38580320330453</v>
      </c>
      <c r="D48" s="300">
        <f t="shared" si="4"/>
        <v>383.2436540515605</v>
      </c>
      <c r="E48" s="300">
        <f t="shared" si="4"/>
        <v>389.98272731477761</v>
      </c>
      <c r="F48" s="300">
        <f t="shared" si="4"/>
        <v>396.04645329589556</v>
      </c>
      <c r="G48" s="300">
        <f t="shared" si="4"/>
        <v>403.3770926177026</v>
      </c>
      <c r="H48" s="300">
        <f t="shared" si="4"/>
        <v>412.34951463459419</v>
      </c>
      <c r="I48" s="300">
        <f t="shared" si="4"/>
        <v>423.26709120814712</v>
      </c>
      <c r="J48" s="300">
        <f t="shared" si="4"/>
        <v>433.98854265314037</v>
      </c>
      <c r="K48" s="300">
        <f t="shared" si="4"/>
        <v>436.57105065492914</v>
      </c>
      <c r="L48" s="300">
        <f t="shared" si="5"/>
        <v>437.62869752031332</v>
      </c>
      <c r="M48" s="300">
        <f t="shared" si="6"/>
        <v>437.8084757388749</v>
      </c>
      <c r="N48" s="300">
        <f t="shared" si="7"/>
        <v>438.69336239092837</v>
      </c>
      <c r="O48" s="320"/>
    </row>
    <row r="49" spans="1:15">
      <c r="B49" s="356" t="str">
        <f t="shared" si="3"/>
        <v>50-54</v>
      </c>
      <c r="C49" s="300">
        <f t="shared" si="3"/>
        <v>330.32425813814399</v>
      </c>
      <c r="D49" s="300">
        <f t="shared" si="4"/>
        <v>324.8377063495256</v>
      </c>
      <c r="E49" s="300">
        <f t="shared" si="4"/>
        <v>325.66931909434931</v>
      </c>
      <c r="F49" s="300">
        <f t="shared" si="4"/>
        <v>328.14090421089014</v>
      </c>
      <c r="G49" s="300">
        <f t="shared" si="4"/>
        <v>332.77355579746137</v>
      </c>
      <c r="H49" s="300">
        <f t="shared" si="4"/>
        <v>339.43370169470904</v>
      </c>
      <c r="I49" s="300">
        <f t="shared" si="4"/>
        <v>347.91445815157965</v>
      </c>
      <c r="J49" s="300">
        <f t="shared" si="4"/>
        <v>356.33253793002893</v>
      </c>
      <c r="K49" s="300">
        <f t="shared" si="4"/>
        <v>358.59545231475352</v>
      </c>
      <c r="L49" s="300">
        <f t="shared" si="5"/>
        <v>359.40987611773062</v>
      </c>
      <c r="M49" s="300">
        <f t="shared" si="6"/>
        <v>359.22338078693485</v>
      </c>
      <c r="N49" s="300">
        <f t="shared" si="7"/>
        <v>359.24365180843279</v>
      </c>
      <c r="O49" s="320"/>
    </row>
    <row r="50" spans="1:15">
      <c r="B50" s="356" t="str">
        <f t="shared" si="3"/>
        <v>55-59</v>
      </c>
      <c r="C50" s="300">
        <f t="shared" si="3"/>
        <v>178.73989309909214</v>
      </c>
      <c r="D50" s="300">
        <f t="shared" si="4"/>
        <v>166.96785836910817</v>
      </c>
      <c r="E50" s="300">
        <f t="shared" si="4"/>
        <v>162.01800907075773</v>
      </c>
      <c r="F50" s="300">
        <f t="shared" si="4"/>
        <v>159.72743247838068</v>
      </c>
      <c r="G50" s="300">
        <f t="shared" si="4"/>
        <v>159.79424506980237</v>
      </c>
      <c r="H50" s="300">
        <f t="shared" si="4"/>
        <v>161.81027025484963</v>
      </c>
      <c r="I50" s="300">
        <f t="shared" si="4"/>
        <v>165.33045153786264</v>
      </c>
      <c r="J50" s="300">
        <f t="shared" si="4"/>
        <v>168.89886031589521</v>
      </c>
      <c r="K50" s="300">
        <f t="shared" si="4"/>
        <v>168.5500432495127</v>
      </c>
      <c r="L50" s="300">
        <f t="shared" si="5"/>
        <v>167.84333120382232</v>
      </c>
      <c r="M50" s="300">
        <f t="shared" si="6"/>
        <v>166.91583804020019</v>
      </c>
      <c r="N50" s="300">
        <f t="shared" si="7"/>
        <v>166.41326571291097</v>
      </c>
      <c r="O50" s="320"/>
    </row>
    <row r="51" spans="1:15">
      <c r="B51" s="356" t="str">
        <f t="shared" si="3"/>
        <v>60-64</v>
      </c>
      <c r="C51" s="300">
        <f t="shared" si="3"/>
        <v>48.736398822214909</v>
      </c>
      <c r="D51" s="300">
        <f t="shared" si="4"/>
        <v>54.532309969112177</v>
      </c>
      <c r="E51" s="300">
        <f t="shared" si="4"/>
        <v>57.400930146460688</v>
      </c>
      <c r="F51" s="300">
        <f t="shared" si="4"/>
        <v>58.630626162180221</v>
      </c>
      <c r="G51" s="300">
        <f t="shared" si="4"/>
        <v>59.469403096299921</v>
      </c>
      <c r="H51" s="300">
        <f t="shared" si="4"/>
        <v>60.572551165573842</v>
      </c>
      <c r="I51" s="300">
        <f t="shared" si="4"/>
        <v>62.088237384457635</v>
      </c>
      <c r="J51" s="300">
        <f t="shared" si="4"/>
        <v>63.444709333796027</v>
      </c>
      <c r="K51" s="300">
        <f t="shared" si="4"/>
        <v>62.716468295054135</v>
      </c>
      <c r="L51" s="300">
        <f t="shared" si="5"/>
        <v>61.862610503455386</v>
      </c>
      <c r="M51" s="300">
        <f t="shared" si="6"/>
        <v>61.002856381480861</v>
      </c>
      <c r="N51" s="300">
        <f t="shared" si="7"/>
        <v>60.471319160223565</v>
      </c>
      <c r="O51" s="320"/>
    </row>
    <row r="52" spans="1:15">
      <c r="B52" s="356" t="str">
        <f t="shared" si="3"/>
        <v>65 plus</v>
      </c>
      <c r="C52" s="300">
        <f t="shared" si="3"/>
        <v>6.1721210183346811</v>
      </c>
      <c r="D52" s="300">
        <f t="shared" si="4"/>
        <v>10.740144638759077</v>
      </c>
      <c r="E52" s="300">
        <f t="shared" si="4"/>
        <v>14.473290857630648</v>
      </c>
      <c r="F52" s="300">
        <f t="shared" si="4"/>
        <v>16.968566313946781</v>
      </c>
      <c r="G52" s="300">
        <f t="shared" si="4"/>
        <v>18.725041790931073</v>
      </c>
      <c r="H52" s="300">
        <f t="shared" si="4"/>
        <v>20.020080915500785</v>
      </c>
      <c r="I52" s="300">
        <f t="shared" si="4"/>
        <v>21.087615653189683</v>
      </c>
      <c r="J52" s="300">
        <f t="shared" si="4"/>
        <v>21.900047124924644</v>
      </c>
      <c r="K52" s="300">
        <f t="shared" si="4"/>
        <v>21.944278009071493</v>
      </c>
      <c r="L52" s="300">
        <f t="shared" si="5"/>
        <v>21.757994330824996</v>
      </c>
      <c r="M52" s="300">
        <f t="shared" si="6"/>
        <v>21.458021079612305</v>
      </c>
      <c r="N52" s="300">
        <f t="shared" si="7"/>
        <v>21.200974753317023</v>
      </c>
      <c r="O52" s="320"/>
    </row>
    <row r="53" spans="1:15">
      <c r="B53" s="356" t="str">
        <f t="shared" si="3"/>
        <v>Total</v>
      </c>
      <c r="C53" s="300">
        <f t="shared" si="3"/>
        <v>2727.7156035215648</v>
      </c>
      <c r="D53" s="300">
        <f t="shared" si="4"/>
        <v>2761.5870785406155</v>
      </c>
      <c r="E53" s="300">
        <f t="shared" si="4"/>
        <v>2874.4010605576414</v>
      </c>
      <c r="F53" s="300">
        <f t="shared" si="4"/>
        <v>2993.3568923352409</v>
      </c>
      <c r="G53" s="300">
        <f t="shared" si="4"/>
        <v>3129.060061452542</v>
      </c>
      <c r="H53" s="300">
        <f t="shared" si="4"/>
        <v>3288.7896132314713</v>
      </c>
      <c r="I53" s="300">
        <f t="shared" si="4"/>
        <v>3471.3176043459966</v>
      </c>
      <c r="J53" s="300">
        <f t="shared" si="4"/>
        <v>3639.5748674301594</v>
      </c>
      <c r="K53" s="300">
        <f t="shared" si="4"/>
        <v>3673.6524634905718</v>
      </c>
      <c r="L53" s="300">
        <f t="shared" si="5"/>
        <v>3679.7227642832545</v>
      </c>
      <c r="M53" s="300">
        <f t="shared" si="6"/>
        <v>3667.343043021046</v>
      </c>
      <c r="N53" s="300">
        <f t="shared" si="7"/>
        <v>3660.268176268537</v>
      </c>
      <c r="O53" s="320"/>
    </row>
    <row r="54" spans="1:15">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5">
      <c r="B56" s="334" t="s">
        <v>47</v>
      </c>
      <c r="H56" s="318"/>
    </row>
    <row r="57" spans="1:15">
      <c r="H57" s="318"/>
    </row>
    <row r="58" spans="1:15">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5">
      <c r="B59" s="331" t="str">
        <f t="shared" si="9"/>
        <v>20-24</v>
      </c>
      <c r="C59" s="300">
        <f t="shared" ref="C59:C69" si="11">D21</f>
        <v>326.36956958571091</v>
      </c>
      <c r="D59" s="300">
        <f>C356</f>
        <v>619.13499175727645</v>
      </c>
      <c r="E59" s="300">
        <f t="shared" ref="E59:L59" si="12">D356</f>
        <v>912.67776307357724</v>
      </c>
      <c r="F59" s="300">
        <f t="shared" si="12"/>
        <v>1151.2570629134946</v>
      </c>
      <c r="G59" s="300">
        <f t="shared" si="12"/>
        <v>1347.5464264689213</v>
      </c>
      <c r="H59" s="300">
        <f t="shared" si="12"/>
        <v>1530.4075004075075</v>
      </c>
      <c r="I59" s="300">
        <f t="shared" si="12"/>
        <v>1705.1461392498168</v>
      </c>
      <c r="J59" s="300">
        <f t="shared" si="12"/>
        <v>1834.5783734025201</v>
      </c>
      <c r="K59" s="300">
        <f t="shared" si="12"/>
        <v>1793.342047599939</v>
      </c>
      <c r="L59" s="300">
        <f t="shared" si="12"/>
        <v>1734.9327302257382</v>
      </c>
      <c r="M59" s="300">
        <f>L356</f>
        <v>1671.8815949669968</v>
      </c>
      <c r="N59" s="300">
        <f>M356</f>
        <v>1630.5049221495015</v>
      </c>
    </row>
    <row r="60" spans="1:15">
      <c r="B60" s="331" t="str">
        <f t="shared" si="9"/>
        <v>25-29</v>
      </c>
      <c r="C60" s="300">
        <f t="shared" si="11"/>
        <v>1640.2915340317595</v>
      </c>
      <c r="D60" s="300">
        <f t="shared" ref="D60:K69" si="13">C357</f>
        <v>1622.9264089463898</v>
      </c>
      <c r="E60" s="300">
        <f t="shared" si="13"/>
        <v>1751.4103049000464</v>
      </c>
      <c r="F60" s="300">
        <f t="shared" si="13"/>
        <v>1926.2748947210121</v>
      </c>
      <c r="G60" s="300">
        <f t="shared" si="13"/>
        <v>2121.0498264090652</v>
      </c>
      <c r="H60" s="300">
        <f t="shared" si="13"/>
        <v>2340.1044819592962</v>
      </c>
      <c r="I60" s="300">
        <f t="shared" si="13"/>
        <v>2575.3001020480829</v>
      </c>
      <c r="J60" s="300">
        <f t="shared" si="13"/>
        <v>2780.0571334944916</v>
      </c>
      <c r="K60" s="300">
        <f t="shared" si="13"/>
        <v>2813.4103427251293</v>
      </c>
      <c r="L60" s="300">
        <f t="shared" ref="L60:L69" si="14">K357</f>
        <v>2799.6142044734197</v>
      </c>
      <c r="M60" s="300">
        <f t="shared" ref="M60:M69" si="15">L357</f>
        <v>2756.9091888453227</v>
      </c>
      <c r="N60" s="300">
        <f t="shared" ref="N60:N69" si="16">M357</f>
        <v>2718.3408615217159</v>
      </c>
    </row>
    <row r="61" spans="1:15">
      <c r="B61" s="331" t="str">
        <f t="shared" si="9"/>
        <v>30-34</v>
      </c>
      <c r="C61" s="300">
        <f t="shared" si="11"/>
        <v>1603.099417432566</v>
      </c>
      <c r="D61" s="300">
        <f t="shared" si="13"/>
        <v>1657.7542117893695</v>
      </c>
      <c r="E61" s="300">
        <f t="shared" si="13"/>
        <v>1737.9561190090355</v>
      </c>
      <c r="F61" s="300">
        <f t="shared" si="13"/>
        <v>1833.6695818119083</v>
      </c>
      <c r="G61" s="300">
        <f t="shared" si="13"/>
        <v>1947.6620538880945</v>
      </c>
      <c r="H61" s="300">
        <f t="shared" si="13"/>
        <v>2088.2257533159363</v>
      </c>
      <c r="I61" s="300">
        <f t="shared" si="13"/>
        <v>2253.0356664394121</v>
      </c>
      <c r="J61" s="300">
        <f t="shared" si="13"/>
        <v>2418.2042744565001</v>
      </c>
      <c r="K61" s="300">
        <f t="shared" si="13"/>
        <v>2507.7029468842884</v>
      </c>
      <c r="L61" s="300">
        <f t="shared" si="14"/>
        <v>2563.4586768490735</v>
      </c>
      <c r="M61" s="300">
        <f t="shared" si="15"/>
        <v>2590.052063793828</v>
      </c>
      <c r="N61" s="300">
        <f t="shared" si="16"/>
        <v>2602.9799709897202</v>
      </c>
    </row>
    <row r="62" spans="1:15">
      <c r="B62" s="331" t="str">
        <f t="shared" si="9"/>
        <v>35-39</v>
      </c>
      <c r="C62" s="300">
        <f t="shared" si="11"/>
        <v>1951.1420837238798</v>
      </c>
      <c r="D62" s="300">
        <f t="shared" si="13"/>
        <v>1867.548877854917</v>
      </c>
      <c r="E62" s="300">
        <f t="shared" si="13"/>
        <v>1848.7697302581867</v>
      </c>
      <c r="F62" s="300">
        <f t="shared" si="13"/>
        <v>1859.7655776641673</v>
      </c>
      <c r="G62" s="300">
        <f t="shared" si="13"/>
        <v>1894.626335684605</v>
      </c>
      <c r="H62" s="300">
        <f t="shared" si="13"/>
        <v>1957.9452641883058</v>
      </c>
      <c r="I62" s="300">
        <f t="shared" si="13"/>
        <v>2047.344136604632</v>
      </c>
      <c r="J62" s="300">
        <f t="shared" si="13"/>
        <v>2145.2096666354491</v>
      </c>
      <c r="K62" s="300">
        <f t="shared" si="13"/>
        <v>2196.8210178121662</v>
      </c>
      <c r="L62" s="300">
        <f t="shared" si="14"/>
        <v>2239.6151665793268</v>
      </c>
      <c r="M62" s="300">
        <f t="shared" si="15"/>
        <v>2272.6227649001144</v>
      </c>
      <c r="N62" s="300">
        <f t="shared" si="16"/>
        <v>2302.5978686963717</v>
      </c>
    </row>
    <row r="63" spans="1:15">
      <c r="B63" s="331" t="str">
        <f t="shared" si="9"/>
        <v>40-44</v>
      </c>
      <c r="C63" s="300">
        <f t="shared" si="11"/>
        <v>2197.1166944938677</v>
      </c>
      <c r="D63" s="300">
        <f t="shared" si="13"/>
        <v>2097.7698951886109</v>
      </c>
      <c r="E63" s="300">
        <f t="shared" si="13"/>
        <v>2037.134598133229</v>
      </c>
      <c r="F63" s="300">
        <f t="shared" si="13"/>
        <v>1997.3531898636152</v>
      </c>
      <c r="G63" s="300">
        <f t="shared" si="13"/>
        <v>1977.9398532003106</v>
      </c>
      <c r="H63" s="300">
        <f t="shared" si="13"/>
        <v>1984.8206357569161</v>
      </c>
      <c r="I63" s="300">
        <f t="shared" si="13"/>
        <v>2016.5739235929</v>
      </c>
      <c r="J63" s="300">
        <f t="shared" si="13"/>
        <v>2058.4439088563481</v>
      </c>
      <c r="K63" s="300">
        <f t="shared" si="13"/>
        <v>2064.1641257208466</v>
      </c>
      <c r="L63" s="300">
        <f t="shared" si="14"/>
        <v>2068.2136213814224</v>
      </c>
      <c r="M63" s="300">
        <f t="shared" si="15"/>
        <v>2071.826746188066</v>
      </c>
      <c r="N63" s="300">
        <f t="shared" si="16"/>
        <v>2081.4228912499925</v>
      </c>
    </row>
    <row r="64" spans="1:15">
      <c r="B64" s="331" t="str">
        <f t="shared" si="9"/>
        <v>45-49</v>
      </c>
      <c r="C64" s="300">
        <f t="shared" si="11"/>
        <v>1855.5398688015891</v>
      </c>
      <c r="D64" s="300">
        <f t="shared" si="13"/>
        <v>1856.6145738800178</v>
      </c>
      <c r="E64" s="300">
        <f t="shared" si="13"/>
        <v>1861.4190442654967</v>
      </c>
      <c r="F64" s="300">
        <f t="shared" si="13"/>
        <v>1859.9054058404627</v>
      </c>
      <c r="G64" s="300">
        <f t="shared" si="13"/>
        <v>1857.3462278804116</v>
      </c>
      <c r="H64" s="300">
        <f t="shared" si="13"/>
        <v>1863.813716320527</v>
      </c>
      <c r="I64" s="300">
        <f t="shared" si="13"/>
        <v>1881.9637312363927</v>
      </c>
      <c r="J64" s="300">
        <f t="shared" si="13"/>
        <v>1902.7648883269055</v>
      </c>
      <c r="K64" s="300">
        <f t="shared" si="13"/>
        <v>1890.9768703810596</v>
      </c>
      <c r="L64" s="300">
        <f t="shared" si="14"/>
        <v>1875.7199900757423</v>
      </c>
      <c r="M64" s="300">
        <f t="shared" si="15"/>
        <v>1859.5711282406951</v>
      </c>
      <c r="N64" s="300">
        <f t="shared" si="16"/>
        <v>1849.2178949927491</v>
      </c>
    </row>
    <row r="65" spans="1:14">
      <c r="B65" s="331" t="str">
        <f t="shared" si="9"/>
        <v>50-54</v>
      </c>
      <c r="C65" s="300">
        <f t="shared" si="11"/>
        <v>1321.7501426224617</v>
      </c>
      <c r="D65" s="300">
        <f t="shared" si="13"/>
        <v>1345.7755499010682</v>
      </c>
      <c r="E65" s="300">
        <f t="shared" si="13"/>
        <v>1379.4643370945612</v>
      </c>
      <c r="F65" s="300">
        <f t="shared" si="13"/>
        <v>1408.6937038528451</v>
      </c>
      <c r="G65" s="300">
        <f t="shared" si="13"/>
        <v>1433.3873582202468</v>
      </c>
      <c r="H65" s="300">
        <f t="shared" si="13"/>
        <v>1459.229678568817</v>
      </c>
      <c r="I65" s="300">
        <f t="shared" si="13"/>
        <v>1487.7361915339711</v>
      </c>
      <c r="J65" s="300">
        <f t="shared" si="13"/>
        <v>1512.5202131933156</v>
      </c>
      <c r="K65" s="300">
        <f t="shared" si="13"/>
        <v>1508.1943329947389</v>
      </c>
      <c r="L65" s="300">
        <f t="shared" si="14"/>
        <v>1497.3141724226657</v>
      </c>
      <c r="M65" s="300">
        <f t="shared" si="15"/>
        <v>1482.605401745272</v>
      </c>
      <c r="N65" s="300">
        <f t="shared" si="16"/>
        <v>1469.857947428045</v>
      </c>
    </row>
    <row r="66" spans="1:14">
      <c r="B66" s="331" t="str">
        <f t="shared" si="9"/>
        <v>55-59</v>
      </c>
      <c r="C66" s="300">
        <f t="shared" si="11"/>
        <v>906.63515651715807</v>
      </c>
      <c r="D66" s="300">
        <f t="shared" si="13"/>
        <v>807.06447643149136</v>
      </c>
      <c r="E66" s="300">
        <f t="shared" si="13"/>
        <v>760.51115892106498</v>
      </c>
      <c r="F66" s="300">
        <f t="shared" si="13"/>
        <v>740.58971314373798</v>
      </c>
      <c r="G66" s="300">
        <f t="shared" si="13"/>
        <v>736.07422082150401</v>
      </c>
      <c r="H66" s="300">
        <f t="shared" si="13"/>
        <v>742.7826676469648</v>
      </c>
      <c r="I66" s="300">
        <f t="shared" si="13"/>
        <v>756.69070339481084</v>
      </c>
      <c r="J66" s="300">
        <f t="shared" si="13"/>
        <v>770.42888496778664</v>
      </c>
      <c r="K66" s="300">
        <f t="shared" si="13"/>
        <v>766.03453193892301</v>
      </c>
      <c r="L66" s="300">
        <f t="shared" si="14"/>
        <v>758.97742456288483</v>
      </c>
      <c r="M66" s="300">
        <f t="shared" si="15"/>
        <v>750.21958559209997</v>
      </c>
      <c r="N66" s="300">
        <f t="shared" si="16"/>
        <v>742.9696354392247</v>
      </c>
    </row>
    <row r="67" spans="1:14">
      <c r="B67" s="331" t="str">
        <f t="shared" si="9"/>
        <v>60-64</v>
      </c>
      <c r="C67" s="300">
        <f t="shared" si="11"/>
        <v>254.63382489316101</v>
      </c>
      <c r="D67" s="300">
        <f t="shared" si="13"/>
        <v>269.98792312887889</v>
      </c>
      <c r="E67" s="300">
        <f t="shared" si="13"/>
        <v>270.65385399033181</v>
      </c>
      <c r="F67" s="300">
        <f t="shared" si="13"/>
        <v>266.8895957392499</v>
      </c>
      <c r="G67" s="300">
        <f t="shared" si="13"/>
        <v>264.13239135083234</v>
      </c>
      <c r="H67" s="300">
        <f t="shared" si="13"/>
        <v>265.06386441938798</v>
      </c>
      <c r="I67" s="300">
        <f t="shared" si="13"/>
        <v>269.37477706287018</v>
      </c>
      <c r="J67" s="300">
        <f t="shared" si="13"/>
        <v>273.77584921581598</v>
      </c>
      <c r="K67" s="300">
        <f t="shared" si="13"/>
        <v>269.29719415254959</v>
      </c>
      <c r="L67" s="300">
        <f t="shared" si="14"/>
        <v>264.57438260200308</v>
      </c>
      <c r="M67" s="300">
        <f t="shared" si="15"/>
        <v>259.86349327409567</v>
      </c>
      <c r="N67" s="300">
        <f t="shared" si="16"/>
        <v>256.54050181300175</v>
      </c>
    </row>
    <row r="68" spans="1:14">
      <c r="B68" s="331" t="str">
        <f t="shared" si="9"/>
        <v>65 plus</v>
      </c>
      <c r="C68" s="300">
        <f t="shared" si="11"/>
        <v>41.207954961943109</v>
      </c>
      <c r="D68" s="300">
        <f t="shared" si="13"/>
        <v>65.33781064985196</v>
      </c>
      <c r="E68" s="300">
        <f t="shared" si="13"/>
        <v>84.050356569194463</v>
      </c>
      <c r="F68" s="300">
        <f t="shared" si="13"/>
        <v>96.315609707823725</v>
      </c>
      <c r="G68" s="300">
        <f t="shared" si="13"/>
        <v>103.93219291265177</v>
      </c>
      <c r="H68" s="300">
        <f t="shared" si="13"/>
        <v>109.21937861658309</v>
      </c>
      <c r="I68" s="300">
        <f t="shared" si="13"/>
        <v>113.53729113481209</v>
      </c>
      <c r="J68" s="300">
        <f t="shared" si="13"/>
        <v>116.90745537011486</v>
      </c>
      <c r="K68" s="300">
        <f t="shared" si="13"/>
        <v>117.01597646186555</v>
      </c>
      <c r="L68" s="300">
        <f t="shared" si="14"/>
        <v>115.95474287959013</v>
      </c>
      <c r="M68" s="300">
        <f t="shared" si="15"/>
        <v>114.27506399336551</v>
      </c>
      <c r="N68" s="300">
        <f t="shared" si="16"/>
        <v>112.69166635380269</v>
      </c>
    </row>
    <row r="69" spans="1:14">
      <c r="B69" s="331" t="str">
        <f t="shared" si="9"/>
        <v>Total</v>
      </c>
      <c r="C69" s="300">
        <f t="shared" si="11"/>
        <v>12097.786247064096</v>
      </c>
      <c r="D69" s="300">
        <f t="shared" si="13"/>
        <v>12209.914719527871</v>
      </c>
      <c r="E69" s="300">
        <f t="shared" si="13"/>
        <v>12644.047266214724</v>
      </c>
      <c r="F69" s="300">
        <f t="shared" si="13"/>
        <v>13140.714335258317</v>
      </c>
      <c r="G69" s="300">
        <f t="shared" si="13"/>
        <v>13683.696886836642</v>
      </c>
      <c r="H69" s="300">
        <f t="shared" si="13"/>
        <v>14341.612941200241</v>
      </c>
      <c r="I69" s="300">
        <f t="shared" si="13"/>
        <v>15106.702662297699</v>
      </c>
      <c r="J69" s="300">
        <f t="shared" si="13"/>
        <v>15812.890647919248</v>
      </c>
      <c r="K69" s="300">
        <f t="shared" si="13"/>
        <v>15926.959386671508</v>
      </c>
      <c r="L69" s="300">
        <f t="shared" si="14"/>
        <v>15918.375112051868</v>
      </c>
      <c r="M69" s="300">
        <f t="shared" si="15"/>
        <v>15829.827031539855</v>
      </c>
      <c r="N69" s="300">
        <f t="shared" si="16"/>
        <v>15767.124160634126</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67.441223587702453</v>
      </c>
      <c r="D77" s="447">
        <f>D43-(0.2*D43)</f>
        <v>116.67647953281987</v>
      </c>
      <c r="E77" s="447">
        <f t="shared" ref="E77:N77" si="20">E43-(0.2*E43)</f>
        <v>166.87218550024312</v>
      </c>
      <c r="F77" s="447">
        <f t="shared" si="20"/>
        <v>207.01491949680903</v>
      </c>
      <c r="G77" s="447">
        <f t="shared" si="20"/>
        <v>240.55079642880796</v>
      </c>
      <c r="H77" s="447">
        <f t="shared" si="20"/>
        <v>271.88988889834661</v>
      </c>
      <c r="I77" s="447">
        <f t="shared" si="20"/>
        <v>301.94371036814783</v>
      </c>
      <c r="J77" s="447">
        <f t="shared" si="20"/>
        <v>323.96409409801663</v>
      </c>
      <c r="K77" s="447">
        <f t="shared" si="20"/>
        <v>315.37702766198646</v>
      </c>
      <c r="L77" s="447">
        <f t="shared" si="20"/>
        <v>304.12176394875621</v>
      </c>
      <c r="M77" s="447">
        <f t="shared" si="20"/>
        <v>292.35674193116853</v>
      </c>
      <c r="N77" s="447">
        <f t="shared" si="20"/>
        <v>284.73590588524149</v>
      </c>
    </row>
    <row r="78" spans="1:14">
      <c r="B78" s="331" t="str">
        <f t="shared" si="18"/>
        <v>25-29</v>
      </c>
      <c r="C78" s="447">
        <f t="shared" ref="C78:C85" si="21">C44+(0.2*C43)-(0.2*C44)</f>
        <v>334.14562005496907</v>
      </c>
      <c r="D78" s="447">
        <f t="shared" ref="D78:N78" si="22">D44+(0.2*D43)-(0.2*D44)</f>
        <v>333.38143440222075</v>
      </c>
      <c r="E78" s="447">
        <f t="shared" si="22"/>
        <v>362.79434340789498</v>
      </c>
      <c r="F78" s="447">
        <f t="shared" si="22"/>
        <v>398.21091861456387</v>
      </c>
      <c r="G78" s="447">
        <f t="shared" si="22"/>
        <v>437.58853295625318</v>
      </c>
      <c r="H78" s="447">
        <f t="shared" si="22"/>
        <v>481.24432876221738</v>
      </c>
      <c r="I78" s="447">
        <f t="shared" si="22"/>
        <v>527.80120579808067</v>
      </c>
      <c r="J78" s="447">
        <f t="shared" si="22"/>
        <v>567.08002856601206</v>
      </c>
      <c r="K78" s="447">
        <f t="shared" si="22"/>
        <v>568.04945843413134</v>
      </c>
      <c r="L78" s="447">
        <f t="shared" si="22"/>
        <v>560.47800290714054</v>
      </c>
      <c r="M78" s="447">
        <f t="shared" si="22"/>
        <v>548.18030043197405</v>
      </c>
      <c r="N78" s="447">
        <f t="shared" si="22"/>
        <v>538.21038831860449</v>
      </c>
    </row>
    <row r="79" spans="1:14">
      <c r="B79" s="331" t="str">
        <f t="shared" si="18"/>
        <v>30-34</v>
      </c>
      <c r="C79" s="447">
        <f t="shared" si="21"/>
        <v>378.86557904089028</v>
      </c>
      <c r="D79" s="447">
        <f t="shared" ref="D79:N79" si="23">D45+(0.2*D44)-(0.2*D45)</f>
        <v>389.0409599156124</v>
      </c>
      <c r="E79" s="447">
        <f t="shared" si="23"/>
        <v>409.67157403255101</v>
      </c>
      <c r="F79" s="447">
        <f t="shared" si="23"/>
        <v>433.23435084902576</v>
      </c>
      <c r="G79" s="447">
        <f t="shared" si="23"/>
        <v>461.54989406113822</v>
      </c>
      <c r="H79" s="447">
        <f t="shared" si="23"/>
        <v>495.41524250715798</v>
      </c>
      <c r="I79" s="447">
        <f t="shared" si="23"/>
        <v>534.27412862182848</v>
      </c>
      <c r="J79" s="447">
        <f t="shared" si="23"/>
        <v>571.85520279362424</v>
      </c>
      <c r="K79" s="447">
        <f t="shared" si="23"/>
        <v>588.13095054945063</v>
      </c>
      <c r="L79" s="447">
        <f t="shared" si="23"/>
        <v>596.1792449151834</v>
      </c>
      <c r="M79" s="447">
        <f t="shared" si="23"/>
        <v>597.71984276934734</v>
      </c>
      <c r="N79" s="447">
        <f t="shared" si="23"/>
        <v>597.0901708785243</v>
      </c>
    </row>
    <row r="80" spans="1:14">
      <c r="B80" s="331" t="str">
        <f t="shared" si="18"/>
        <v>35-39</v>
      </c>
      <c r="C80" s="447">
        <f t="shared" si="21"/>
        <v>453.55375687022752</v>
      </c>
      <c r="D80" s="447">
        <f t="shared" ref="D80:N80" si="24">D46+(0.2*D45)-(0.2*D46)</f>
        <v>440.66973571862019</v>
      </c>
      <c r="E80" s="447">
        <f t="shared" si="24"/>
        <v>442.14079399731219</v>
      </c>
      <c r="F80" s="447">
        <f t="shared" si="24"/>
        <v>448.88117682583481</v>
      </c>
      <c r="G80" s="447">
        <f t="shared" si="24"/>
        <v>461.57212885839186</v>
      </c>
      <c r="H80" s="447">
        <f t="shared" si="24"/>
        <v>480.30030993789921</v>
      </c>
      <c r="I80" s="447">
        <f t="shared" si="24"/>
        <v>504.64076745704551</v>
      </c>
      <c r="J80" s="447">
        <f t="shared" si="24"/>
        <v>530.45343708852931</v>
      </c>
      <c r="K80" s="447">
        <f t="shared" si="24"/>
        <v>544.47918390605616</v>
      </c>
      <c r="L80" s="447">
        <f t="shared" si="24"/>
        <v>555.17932400561517</v>
      </c>
      <c r="M80" s="447">
        <f t="shared" si="24"/>
        <v>562.57734823431326</v>
      </c>
      <c r="N80" s="447">
        <f t="shared" si="24"/>
        <v>568.6020363954849</v>
      </c>
    </row>
    <row r="81" spans="1:17">
      <c r="B81" s="331" t="str">
        <f t="shared" si="18"/>
        <v>40-44</v>
      </c>
      <c r="C81" s="447">
        <f t="shared" si="21"/>
        <v>456.81414446159215</v>
      </c>
      <c r="D81" s="447">
        <f t="shared" ref="D81:N81" si="25">D47+(0.2*D46)-(0.2*D47)</f>
        <v>451.31857474447958</v>
      </c>
      <c r="E81" s="447">
        <f t="shared" si="25"/>
        <v>452.69181816121767</v>
      </c>
      <c r="F81" s="447">
        <f t="shared" si="25"/>
        <v>455.31254344066383</v>
      </c>
      <c r="G81" s="447">
        <f t="shared" si="25"/>
        <v>461.4162632435357</v>
      </c>
      <c r="H81" s="447">
        <f t="shared" si="25"/>
        <v>471.71677908573383</v>
      </c>
      <c r="I81" s="447">
        <f t="shared" si="25"/>
        <v>486.34304754199945</v>
      </c>
      <c r="J81" s="447">
        <f t="shared" si="25"/>
        <v>502.21943598121442</v>
      </c>
      <c r="K81" s="447">
        <f t="shared" si="25"/>
        <v>508.79192890068123</v>
      </c>
      <c r="L81" s="447">
        <f t="shared" si="25"/>
        <v>514.03015933417055</v>
      </c>
      <c r="M81" s="447">
        <f t="shared" si="25"/>
        <v>518.2222192130273</v>
      </c>
      <c r="N81" s="447">
        <f t="shared" si="25"/>
        <v>522.9116129927105</v>
      </c>
    </row>
    <row r="82" spans="1:17">
      <c r="B82" s="331" t="str">
        <f t="shared" si="18"/>
        <v>45-49</v>
      </c>
      <c r="C82" s="447">
        <f t="shared" si="21"/>
        <v>396.4454477877365</v>
      </c>
      <c r="D82" s="447">
        <f t="shared" ref="D82:N82" si="26">D48+(0.2*D47)-(0.2*D48)</f>
        <v>396.77314409004612</v>
      </c>
      <c r="E82" s="447">
        <f t="shared" si="26"/>
        <v>402.67225082626862</v>
      </c>
      <c r="F82" s="447">
        <f t="shared" si="26"/>
        <v>408.02616328376666</v>
      </c>
      <c r="G82" s="447">
        <f t="shared" si="26"/>
        <v>414.94478162637893</v>
      </c>
      <c r="H82" s="447">
        <f t="shared" si="26"/>
        <v>423.91655708256434</v>
      </c>
      <c r="I82" s="447">
        <f t="shared" si="26"/>
        <v>435.24056359017595</v>
      </c>
      <c r="J82" s="447">
        <f t="shared" si="26"/>
        <v>446.62880566748987</v>
      </c>
      <c r="K82" s="447">
        <f t="shared" si="26"/>
        <v>449.70346203888806</v>
      </c>
      <c r="L82" s="447">
        <f t="shared" si="26"/>
        <v>451.33471751249226</v>
      </c>
      <c r="M82" s="447">
        <f t="shared" si="26"/>
        <v>452.12479900521299</v>
      </c>
      <c r="N82" s="447">
        <f t="shared" si="26"/>
        <v>453.65017788490093</v>
      </c>
    </row>
    <row r="83" spans="1:17">
      <c r="B83" s="331" t="str">
        <f t="shared" si="18"/>
        <v>50-54</v>
      </c>
      <c r="C83" s="447">
        <f t="shared" si="21"/>
        <v>340.73656715117608</v>
      </c>
      <c r="D83" s="447">
        <f t="shared" ref="D83:N83" si="27">D49+(0.2*D48)-(0.2*D49)</f>
        <v>336.51889588993254</v>
      </c>
      <c r="E83" s="447">
        <f t="shared" si="27"/>
        <v>338.53200073843493</v>
      </c>
      <c r="F83" s="447">
        <f t="shared" si="27"/>
        <v>341.72201402789119</v>
      </c>
      <c r="G83" s="447">
        <f t="shared" si="27"/>
        <v>346.89426316150963</v>
      </c>
      <c r="H83" s="447">
        <f t="shared" si="27"/>
        <v>354.01686428268607</v>
      </c>
      <c r="I83" s="447">
        <f t="shared" si="27"/>
        <v>362.98498476289313</v>
      </c>
      <c r="J83" s="447">
        <f t="shared" si="27"/>
        <v>371.86373887465123</v>
      </c>
      <c r="K83" s="447">
        <f t="shared" si="27"/>
        <v>374.19057198278864</v>
      </c>
      <c r="L83" s="447">
        <f t="shared" si="27"/>
        <v>375.05364039824718</v>
      </c>
      <c r="M83" s="447">
        <f t="shared" si="27"/>
        <v>374.94039977732285</v>
      </c>
      <c r="N83" s="447">
        <f t="shared" si="27"/>
        <v>375.13359392493192</v>
      </c>
    </row>
    <row r="84" spans="1:17">
      <c r="B84" s="331" t="str">
        <f t="shared" si="18"/>
        <v>55-59</v>
      </c>
      <c r="C84" s="447">
        <f t="shared" si="21"/>
        <v>209.0567661069025</v>
      </c>
      <c r="D84" s="447">
        <f t="shared" ref="D84:N84" si="28">D50+(0.2*D49)-(0.2*D50)</f>
        <v>198.54182796519166</v>
      </c>
      <c r="E84" s="447">
        <f t="shared" si="28"/>
        <v>194.74827107547605</v>
      </c>
      <c r="F84" s="447">
        <f t="shared" si="28"/>
        <v>193.41012682488255</v>
      </c>
      <c r="G84" s="447">
        <f t="shared" si="28"/>
        <v>194.39010721533415</v>
      </c>
      <c r="H84" s="447">
        <f t="shared" si="28"/>
        <v>197.33495654282152</v>
      </c>
      <c r="I84" s="447">
        <f t="shared" si="28"/>
        <v>201.84725286060606</v>
      </c>
      <c r="J84" s="447">
        <f t="shared" si="28"/>
        <v>206.38559583872194</v>
      </c>
      <c r="K84" s="447">
        <f t="shared" si="28"/>
        <v>206.55912506256087</v>
      </c>
      <c r="L84" s="447">
        <f t="shared" si="28"/>
        <v>206.15664018660397</v>
      </c>
      <c r="M84" s="447">
        <f t="shared" si="28"/>
        <v>205.37734658954713</v>
      </c>
      <c r="N84" s="447">
        <f t="shared" si="28"/>
        <v>204.97934293201533</v>
      </c>
    </row>
    <row r="85" spans="1:17">
      <c r="B85" s="331" t="str">
        <f t="shared" si="18"/>
        <v>60-64</v>
      </c>
      <c r="C85" s="447">
        <f t="shared" si="21"/>
        <v>74.73709767759037</v>
      </c>
      <c r="D85" s="447">
        <f t="shared" ref="D85:N85" si="29">D51+(0.2*D50)-(0.2*D51)</f>
        <v>77.01941964911137</v>
      </c>
      <c r="E85" s="447">
        <f t="shared" si="29"/>
        <v>78.324345931320096</v>
      </c>
      <c r="F85" s="447">
        <f t="shared" si="29"/>
        <v>78.849987425420309</v>
      </c>
      <c r="G85" s="447">
        <f t="shared" si="29"/>
        <v>79.5343714910004</v>
      </c>
      <c r="H85" s="447">
        <f t="shared" si="29"/>
        <v>80.820094983428987</v>
      </c>
      <c r="I85" s="447">
        <f t="shared" si="29"/>
        <v>82.736680215138634</v>
      </c>
      <c r="J85" s="447">
        <f t="shared" si="29"/>
        <v>84.535539530215871</v>
      </c>
      <c r="K85" s="447">
        <f t="shared" si="29"/>
        <v>83.883183285945847</v>
      </c>
      <c r="L85" s="447">
        <f t="shared" si="29"/>
        <v>83.058754643528772</v>
      </c>
      <c r="M85" s="447">
        <f t="shared" si="29"/>
        <v>82.185452713224734</v>
      </c>
      <c r="N85" s="447">
        <f t="shared" si="29"/>
        <v>81.659708470761046</v>
      </c>
    </row>
    <row r="86" spans="1:17">
      <c r="B86" s="331" t="str">
        <f t="shared" si="18"/>
        <v>65 plus</v>
      </c>
      <c r="C86" s="447">
        <f>C52+(0.2*C51)</f>
        <v>15.919400782777664</v>
      </c>
      <c r="D86" s="447">
        <f t="shared" ref="D86:N86" si="30">D52+(0.2*D51)</f>
        <v>21.646606632581513</v>
      </c>
      <c r="E86" s="447">
        <f t="shared" si="30"/>
        <v>25.953476886922786</v>
      </c>
      <c r="F86" s="447">
        <f t="shared" si="30"/>
        <v>28.694691546382828</v>
      </c>
      <c r="G86" s="447">
        <f t="shared" si="30"/>
        <v>30.618922410191058</v>
      </c>
      <c r="H86" s="447">
        <f t="shared" si="30"/>
        <v>32.134591148615556</v>
      </c>
      <c r="I86" s="447">
        <f t="shared" si="30"/>
        <v>33.505263130081211</v>
      </c>
      <c r="J86" s="447">
        <f t="shared" si="30"/>
        <v>34.588988991683848</v>
      </c>
      <c r="K86" s="447">
        <f t="shared" si="30"/>
        <v>34.487571668082325</v>
      </c>
      <c r="L86" s="447">
        <f t="shared" si="30"/>
        <v>34.130516431516071</v>
      </c>
      <c r="M86" s="447">
        <f t="shared" si="30"/>
        <v>33.658592355908482</v>
      </c>
      <c r="N86" s="447">
        <f t="shared" si="30"/>
        <v>33.295238585361737</v>
      </c>
    </row>
    <row r="87" spans="1:17">
      <c r="B87" s="331" t="str">
        <f t="shared" si="18"/>
        <v>Total</v>
      </c>
      <c r="C87" s="447">
        <f>SUM(C77:C86)</f>
        <v>2727.7156035215648</v>
      </c>
      <c r="D87" s="447">
        <f t="shared" ref="D87:N87" si="31">SUM(D77:D86)</f>
        <v>2761.5870785406164</v>
      </c>
      <c r="E87" s="447">
        <f t="shared" si="31"/>
        <v>2874.4010605576418</v>
      </c>
      <c r="F87" s="447">
        <f t="shared" si="31"/>
        <v>2993.3568923352409</v>
      </c>
      <c r="G87" s="447">
        <f t="shared" si="31"/>
        <v>3129.0600614525406</v>
      </c>
      <c r="H87" s="447">
        <f t="shared" si="31"/>
        <v>3288.7896132314718</v>
      </c>
      <c r="I87" s="447">
        <f t="shared" si="31"/>
        <v>3471.3176043459971</v>
      </c>
      <c r="J87" s="447">
        <f t="shared" si="31"/>
        <v>3639.5748674301594</v>
      </c>
      <c r="K87" s="447">
        <f t="shared" si="31"/>
        <v>3673.6524634905718</v>
      </c>
      <c r="L87" s="447">
        <f t="shared" si="31"/>
        <v>3679.722764283254</v>
      </c>
      <c r="M87" s="447">
        <f t="shared" si="31"/>
        <v>3667.3430430210469</v>
      </c>
      <c r="N87" s="447">
        <f t="shared" si="31"/>
        <v>3660.268176268537</v>
      </c>
    </row>
    <row r="88" spans="1:17">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7">
      <c r="B90" s="334" t="s">
        <v>47</v>
      </c>
      <c r="H90" s="318"/>
    </row>
    <row r="91" spans="1:17">
      <c r="H91" s="318"/>
    </row>
    <row r="92" spans="1:17">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7">
      <c r="B93" s="331" t="str">
        <f t="shared" si="33"/>
        <v>20-24</v>
      </c>
      <c r="C93" s="447">
        <f>C59-(0.2*C59)</f>
        <v>261.09565566856872</v>
      </c>
      <c r="D93" s="447">
        <f t="shared" ref="D93:N93" si="35">D59-(0.2*D59)</f>
        <v>495.30799340582115</v>
      </c>
      <c r="E93" s="447">
        <f t="shared" si="35"/>
        <v>730.14221045886177</v>
      </c>
      <c r="F93" s="447">
        <f t="shared" si="35"/>
        <v>921.00565033079567</v>
      </c>
      <c r="G93" s="447">
        <f t="shared" si="35"/>
        <v>1078.0371411751371</v>
      </c>
      <c r="H93" s="447">
        <f t="shared" si="35"/>
        <v>1224.3260003260061</v>
      </c>
      <c r="I93" s="447">
        <f t="shared" si="35"/>
        <v>1364.1169113998535</v>
      </c>
      <c r="J93" s="447">
        <f t="shared" si="35"/>
        <v>1467.6626987220161</v>
      </c>
      <c r="K93" s="447">
        <f t="shared" si="35"/>
        <v>1434.6736380799512</v>
      </c>
      <c r="L93" s="447">
        <f t="shared" si="35"/>
        <v>1387.9461841805905</v>
      </c>
      <c r="M93" s="447">
        <f t="shared" si="35"/>
        <v>1337.5052759735975</v>
      </c>
      <c r="N93" s="447">
        <f t="shared" si="35"/>
        <v>1304.4039377196011</v>
      </c>
      <c r="O93" s="320"/>
      <c r="P93" s="320"/>
      <c r="Q93" s="320"/>
    </row>
    <row r="94" spans="1:17">
      <c r="B94" s="331" t="str">
        <f t="shared" si="33"/>
        <v>25-29</v>
      </c>
      <c r="C94" s="447">
        <f t="shared" ref="C94:C101" si="36">C60+(0.2*C59)-(0.2*C60)</f>
        <v>1377.5071411425497</v>
      </c>
      <c r="D94" s="447">
        <f t="shared" ref="D94:N94" si="37">D60+(0.2*D59)-(0.2*D60)</f>
        <v>1422.1681255085671</v>
      </c>
      <c r="E94" s="447">
        <f t="shared" si="37"/>
        <v>1583.6637965347527</v>
      </c>
      <c r="F94" s="447">
        <f t="shared" si="37"/>
        <v>1771.2713283595085</v>
      </c>
      <c r="G94" s="447">
        <f t="shared" si="37"/>
        <v>1966.3491464210363</v>
      </c>
      <c r="H94" s="447">
        <f t="shared" si="37"/>
        <v>2178.1650856489382</v>
      </c>
      <c r="I94" s="447">
        <f t="shared" si="37"/>
        <v>2401.2693094884294</v>
      </c>
      <c r="J94" s="447">
        <f t="shared" si="37"/>
        <v>2590.9613814760969</v>
      </c>
      <c r="K94" s="447">
        <f t="shared" si="37"/>
        <v>2609.3966837000917</v>
      </c>
      <c r="L94" s="447">
        <f t="shared" si="37"/>
        <v>2586.6779096238834</v>
      </c>
      <c r="M94" s="447">
        <f t="shared" si="37"/>
        <v>2539.9036700696574</v>
      </c>
      <c r="N94" s="447">
        <f t="shared" si="37"/>
        <v>2500.7736736472734</v>
      </c>
      <c r="O94" s="320"/>
      <c r="P94" s="320"/>
      <c r="Q94" s="320"/>
    </row>
    <row r="95" spans="1:17">
      <c r="B95" s="331" t="str">
        <f t="shared" si="33"/>
        <v>30-34</v>
      </c>
      <c r="C95" s="447">
        <f t="shared" si="36"/>
        <v>1610.5378407524049</v>
      </c>
      <c r="D95" s="447">
        <f t="shared" ref="D95:N95" si="38">D61+(0.2*D60)-(0.2*D61)</f>
        <v>1650.7886512207735</v>
      </c>
      <c r="E95" s="447">
        <f t="shared" si="38"/>
        <v>1740.6469561872377</v>
      </c>
      <c r="F95" s="447">
        <f t="shared" si="38"/>
        <v>1852.1906443937289</v>
      </c>
      <c r="G95" s="447">
        <f t="shared" si="38"/>
        <v>1982.3396083922887</v>
      </c>
      <c r="H95" s="447">
        <f t="shared" si="38"/>
        <v>2138.6014990446083</v>
      </c>
      <c r="I95" s="447">
        <f t="shared" si="38"/>
        <v>2317.4885535611465</v>
      </c>
      <c r="J95" s="447">
        <f t="shared" si="38"/>
        <v>2490.5748462640986</v>
      </c>
      <c r="K95" s="447">
        <f t="shared" si="38"/>
        <v>2568.8444260524566</v>
      </c>
      <c r="L95" s="447">
        <f t="shared" si="38"/>
        <v>2610.6897823739428</v>
      </c>
      <c r="M95" s="447">
        <f t="shared" si="38"/>
        <v>2623.4234888041269</v>
      </c>
      <c r="N95" s="447">
        <f t="shared" si="38"/>
        <v>2626.0521490961196</v>
      </c>
      <c r="O95" s="320"/>
      <c r="P95" s="320"/>
      <c r="Q95" s="320"/>
    </row>
    <row r="96" spans="1:17">
      <c r="B96" s="331" t="str">
        <f t="shared" si="33"/>
        <v>35-39</v>
      </c>
      <c r="C96" s="447">
        <f t="shared" si="36"/>
        <v>1881.5335504656168</v>
      </c>
      <c r="D96" s="447">
        <f t="shared" ref="D96:N96" si="39">D62+(0.2*D61)-(0.2*D62)</f>
        <v>1825.5899446418075</v>
      </c>
      <c r="E96" s="447">
        <f t="shared" si="39"/>
        <v>1826.6070080083564</v>
      </c>
      <c r="F96" s="447">
        <f t="shared" si="39"/>
        <v>1854.5463784937153</v>
      </c>
      <c r="G96" s="447">
        <f t="shared" si="39"/>
        <v>1905.2334793253028</v>
      </c>
      <c r="H96" s="447">
        <f t="shared" si="39"/>
        <v>1984.001362013832</v>
      </c>
      <c r="I96" s="447">
        <f t="shared" si="39"/>
        <v>2088.4824425715883</v>
      </c>
      <c r="J96" s="447">
        <f t="shared" si="39"/>
        <v>2199.8085881996594</v>
      </c>
      <c r="K96" s="447">
        <f t="shared" si="39"/>
        <v>2258.9974036265903</v>
      </c>
      <c r="L96" s="447">
        <f t="shared" si="39"/>
        <v>2304.3838686332761</v>
      </c>
      <c r="M96" s="447">
        <f t="shared" si="39"/>
        <v>2336.1086246788573</v>
      </c>
      <c r="N96" s="447">
        <f t="shared" si="39"/>
        <v>2362.6742891550412</v>
      </c>
      <c r="O96" s="320"/>
      <c r="P96" s="320"/>
      <c r="Q96" s="320"/>
    </row>
    <row r="97" spans="1:17">
      <c r="B97" s="331" t="str">
        <f t="shared" si="33"/>
        <v>40-44</v>
      </c>
      <c r="C97" s="447">
        <f t="shared" si="36"/>
        <v>2147.9217723398701</v>
      </c>
      <c r="D97" s="447">
        <f t="shared" ref="D97:N97" si="40">D63+(0.2*D62)-(0.2*D63)</f>
        <v>2051.725691721872</v>
      </c>
      <c r="E97" s="447">
        <f t="shared" si="40"/>
        <v>1999.4616245582206</v>
      </c>
      <c r="F97" s="447">
        <f t="shared" si="40"/>
        <v>1969.8356674237257</v>
      </c>
      <c r="G97" s="447">
        <f t="shared" si="40"/>
        <v>1961.2771496971693</v>
      </c>
      <c r="H97" s="447">
        <f t="shared" si="40"/>
        <v>1979.445561443194</v>
      </c>
      <c r="I97" s="447">
        <f t="shared" si="40"/>
        <v>2022.7279661952462</v>
      </c>
      <c r="J97" s="447">
        <f t="shared" si="40"/>
        <v>2075.7970604121683</v>
      </c>
      <c r="K97" s="447">
        <f t="shared" si="40"/>
        <v>2090.6955041391107</v>
      </c>
      <c r="L97" s="447">
        <f t="shared" si="40"/>
        <v>2102.4939304210029</v>
      </c>
      <c r="M97" s="447">
        <f t="shared" si="40"/>
        <v>2111.9859499304757</v>
      </c>
      <c r="N97" s="447">
        <f t="shared" si="40"/>
        <v>2125.6578867392686</v>
      </c>
      <c r="O97" s="320"/>
      <c r="P97" s="320"/>
      <c r="Q97" s="320"/>
    </row>
    <row r="98" spans="1:17">
      <c r="B98" s="331" t="str">
        <f t="shared" si="33"/>
        <v>45-49</v>
      </c>
      <c r="C98" s="447">
        <f t="shared" si="36"/>
        <v>1923.8552339400446</v>
      </c>
      <c r="D98" s="447">
        <f t="shared" ref="D98:N98" si="41">D64+(0.2*D63)-(0.2*D64)</f>
        <v>1904.8456381417368</v>
      </c>
      <c r="E98" s="447">
        <f t="shared" si="41"/>
        <v>1896.5621550390433</v>
      </c>
      <c r="F98" s="447">
        <f t="shared" si="41"/>
        <v>1887.3949626450933</v>
      </c>
      <c r="G98" s="447">
        <f t="shared" si="41"/>
        <v>1881.4649529443914</v>
      </c>
      <c r="H98" s="447">
        <f t="shared" si="41"/>
        <v>1888.0151002078048</v>
      </c>
      <c r="I98" s="447">
        <f t="shared" si="41"/>
        <v>1908.885769707694</v>
      </c>
      <c r="J98" s="447">
        <f t="shared" si="41"/>
        <v>1933.9006924327941</v>
      </c>
      <c r="K98" s="447">
        <f t="shared" si="41"/>
        <v>1925.6143214490171</v>
      </c>
      <c r="L98" s="447">
        <f t="shared" si="41"/>
        <v>1914.2187163368785</v>
      </c>
      <c r="M98" s="447">
        <f t="shared" si="41"/>
        <v>1902.0222518301694</v>
      </c>
      <c r="N98" s="447">
        <f t="shared" si="41"/>
        <v>1895.6588942441974</v>
      </c>
      <c r="O98" s="320"/>
      <c r="P98" s="320"/>
      <c r="Q98" s="320"/>
    </row>
    <row r="99" spans="1:17">
      <c r="B99" s="331" t="str">
        <f t="shared" si="33"/>
        <v>50-54</v>
      </c>
      <c r="C99" s="447">
        <f t="shared" si="36"/>
        <v>1428.5080878582871</v>
      </c>
      <c r="D99" s="447">
        <f t="shared" ref="D99:N99" si="42">D65+(0.2*D64)-(0.2*D65)</f>
        <v>1447.943354696858</v>
      </c>
      <c r="E99" s="447">
        <f t="shared" si="42"/>
        <v>1475.8552785287484</v>
      </c>
      <c r="F99" s="447">
        <f t="shared" si="42"/>
        <v>1498.9360442503685</v>
      </c>
      <c r="G99" s="447">
        <f t="shared" si="42"/>
        <v>1518.1791321522799</v>
      </c>
      <c r="H99" s="447">
        <f t="shared" si="42"/>
        <v>1540.1464861191589</v>
      </c>
      <c r="I99" s="447">
        <f t="shared" si="42"/>
        <v>1566.5816994744555</v>
      </c>
      <c r="J99" s="447">
        <f t="shared" si="42"/>
        <v>1590.5691482200336</v>
      </c>
      <c r="K99" s="447">
        <f t="shared" si="42"/>
        <v>1584.7508404720031</v>
      </c>
      <c r="L99" s="447">
        <f t="shared" si="42"/>
        <v>1572.995335953281</v>
      </c>
      <c r="M99" s="447">
        <f t="shared" si="42"/>
        <v>1557.9985470443567</v>
      </c>
      <c r="N99" s="447">
        <f t="shared" si="42"/>
        <v>1545.7299369409859</v>
      </c>
      <c r="O99" s="320"/>
      <c r="P99" s="320"/>
      <c r="Q99" s="320"/>
    </row>
    <row r="100" spans="1:17">
      <c r="B100" s="331" t="str">
        <f t="shared" si="33"/>
        <v>55-59</v>
      </c>
      <c r="C100" s="447">
        <f t="shared" si="36"/>
        <v>989.65815373821874</v>
      </c>
      <c r="D100" s="447">
        <f t="shared" ref="D100:N100" si="43">D66+(0.2*D65)-(0.2*D66)</f>
        <v>914.8066911254067</v>
      </c>
      <c r="E100" s="447">
        <f t="shared" si="43"/>
        <v>884.30179455576422</v>
      </c>
      <c r="F100" s="447">
        <f t="shared" si="43"/>
        <v>874.21051128555939</v>
      </c>
      <c r="G100" s="447">
        <f t="shared" si="43"/>
        <v>875.53684830125258</v>
      </c>
      <c r="H100" s="447">
        <f t="shared" si="43"/>
        <v>886.07206983133528</v>
      </c>
      <c r="I100" s="447">
        <f t="shared" si="43"/>
        <v>902.89980102264281</v>
      </c>
      <c r="J100" s="447">
        <f t="shared" si="43"/>
        <v>918.84715061289239</v>
      </c>
      <c r="K100" s="447">
        <f t="shared" si="43"/>
        <v>914.4664921500862</v>
      </c>
      <c r="L100" s="447">
        <f t="shared" si="43"/>
        <v>906.6447741348411</v>
      </c>
      <c r="M100" s="447">
        <f t="shared" si="43"/>
        <v>896.69674882273443</v>
      </c>
      <c r="N100" s="447">
        <f t="shared" si="43"/>
        <v>888.34729783698879</v>
      </c>
      <c r="O100" s="320"/>
      <c r="P100" s="320"/>
      <c r="Q100" s="320"/>
    </row>
    <row r="101" spans="1:17">
      <c r="B101" s="331" t="str">
        <f t="shared" si="33"/>
        <v>60-64</v>
      </c>
      <c r="C101" s="447">
        <f t="shared" si="36"/>
        <v>385.03409121796045</v>
      </c>
      <c r="D101" s="447">
        <f t="shared" ref="D101:N101" si="44">D67+(0.2*D66)-(0.2*D67)</f>
        <v>377.40323378940138</v>
      </c>
      <c r="E101" s="447">
        <f t="shared" si="44"/>
        <v>368.62531497647842</v>
      </c>
      <c r="F101" s="447">
        <f t="shared" si="44"/>
        <v>361.62961922014756</v>
      </c>
      <c r="G101" s="447">
        <f t="shared" si="44"/>
        <v>358.52075724496666</v>
      </c>
      <c r="H101" s="447">
        <f t="shared" si="44"/>
        <v>360.60762506490335</v>
      </c>
      <c r="I101" s="447">
        <f t="shared" si="44"/>
        <v>366.83796232925835</v>
      </c>
      <c r="J101" s="447">
        <f t="shared" si="44"/>
        <v>373.10645636621007</v>
      </c>
      <c r="K101" s="447">
        <f t="shared" si="44"/>
        <v>368.64466170982428</v>
      </c>
      <c r="L101" s="447">
        <f t="shared" si="44"/>
        <v>363.45499099417941</v>
      </c>
      <c r="M101" s="447">
        <f t="shared" si="44"/>
        <v>357.93471173769649</v>
      </c>
      <c r="N101" s="447">
        <f t="shared" si="44"/>
        <v>353.82632853824634</v>
      </c>
      <c r="O101" s="320"/>
      <c r="P101" s="320"/>
      <c r="Q101" s="320"/>
    </row>
    <row r="102" spans="1:17">
      <c r="B102" s="331" t="str">
        <f t="shared" si="33"/>
        <v>65 plus</v>
      </c>
      <c r="C102" s="447">
        <f>C68+(0.2*C67)</f>
        <v>92.134719940575309</v>
      </c>
      <c r="D102" s="447">
        <f t="shared" ref="D102:N102" si="45">D68+(0.2*D67)</f>
        <v>119.33539527562775</v>
      </c>
      <c r="E102" s="447">
        <f t="shared" si="45"/>
        <v>138.18112736726084</v>
      </c>
      <c r="F102" s="447">
        <f t="shared" si="45"/>
        <v>149.69352885567372</v>
      </c>
      <c r="G102" s="447">
        <f t="shared" si="45"/>
        <v>156.75867118281823</v>
      </c>
      <c r="H102" s="447">
        <f t="shared" si="45"/>
        <v>162.2321515004607</v>
      </c>
      <c r="I102" s="447">
        <f t="shared" si="45"/>
        <v>167.41224654738613</v>
      </c>
      <c r="J102" s="447">
        <f t="shared" si="45"/>
        <v>171.66262521327806</v>
      </c>
      <c r="K102" s="447">
        <f t="shared" si="45"/>
        <v>170.87541529237546</v>
      </c>
      <c r="L102" s="447">
        <f t="shared" si="45"/>
        <v>168.86961939999074</v>
      </c>
      <c r="M102" s="447">
        <f t="shared" si="45"/>
        <v>166.24776264818465</v>
      </c>
      <c r="N102" s="447">
        <f t="shared" si="45"/>
        <v>163.99976671640303</v>
      </c>
      <c r="O102" s="320"/>
      <c r="P102" s="320"/>
      <c r="Q102" s="320"/>
    </row>
    <row r="103" spans="1:17">
      <c r="B103" s="331" t="str">
        <f t="shared" si="33"/>
        <v>Total</v>
      </c>
      <c r="C103" s="447">
        <f>SUM(C93:C102)</f>
        <v>12097.786247064096</v>
      </c>
      <c r="D103" s="447">
        <f t="shared" ref="D103:N103" si="46">SUM(D93:D102)</f>
        <v>12209.914719527873</v>
      </c>
      <c r="E103" s="447">
        <f t="shared" si="46"/>
        <v>12644.047266214722</v>
      </c>
      <c r="F103" s="447">
        <f t="shared" si="46"/>
        <v>13140.714335258317</v>
      </c>
      <c r="G103" s="447">
        <f t="shared" si="46"/>
        <v>13683.696886836644</v>
      </c>
      <c r="H103" s="447">
        <f t="shared" si="46"/>
        <v>14341.612941200241</v>
      </c>
      <c r="I103" s="447">
        <f t="shared" si="46"/>
        <v>15106.702662297699</v>
      </c>
      <c r="J103" s="447">
        <f t="shared" si="46"/>
        <v>15812.890647919246</v>
      </c>
      <c r="K103" s="447">
        <f t="shared" si="46"/>
        <v>15926.959386671506</v>
      </c>
      <c r="L103" s="447">
        <f t="shared" si="46"/>
        <v>15918.375112051865</v>
      </c>
      <c r="M103" s="447">
        <f t="shared" si="46"/>
        <v>15829.827031539857</v>
      </c>
      <c r="N103" s="447">
        <f t="shared" si="46"/>
        <v>15767.124160634125</v>
      </c>
      <c r="O103" s="320"/>
      <c r="P103" s="320"/>
      <c r="Q103" s="320"/>
    </row>
    <row r="104" spans="1:17">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7" ht="15.75">
      <c r="B106" s="333" t="s">
        <v>164</v>
      </c>
      <c r="H106" s="318"/>
    </row>
    <row r="107" spans="1:17">
      <c r="H107" s="318"/>
    </row>
    <row r="108" spans="1:17">
      <c r="B108" s="334" t="s">
        <v>46</v>
      </c>
      <c r="H108" s="318"/>
    </row>
    <row r="109" spans="1:17">
      <c r="H109" s="318"/>
    </row>
    <row r="110" spans="1:17">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7">
      <c r="B111" s="331" t="str">
        <f t="shared" si="48"/>
        <v>20-24</v>
      </c>
      <c r="C111" s="447">
        <f>C77*Group_2_rates!E74</f>
        <v>9.3814878186728539</v>
      </c>
      <c r="D111" s="447">
        <f>D77*Group_2_rates!F74</f>
        <v>15.646857192701624</v>
      </c>
      <c r="E111" s="447">
        <f>E77*Group_2_rates!G74</f>
        <v>23.218128348895355</v>
      </c>
      <c r="F111" s="447">
        <f>F77*Group_2_rates!H74</f>
        <v>28.262616372315069</v>
      </c>
      <c r="G111" s="447">
        <f>G77*Group_2_rates!I74</f>
        <v>32.84108649776352</v>
      </c>
      <c r="H111" s="447">
        <f>H77*Group_2_rates!J74</f>
        <v>37.119641638021093</v>
      </c>
      <c r="I111" s="447">
        <f>I77*Group_2_rates!K74</f>
        <v>41.222725748034385</v>
      </c>
      <c r="J111" s="447">
        <f>J77*Group_2_rates!L74</f>
        <v>44.229048477049297</v>
      </c>
      <c r="K111" s="447">
        <f>K77*Group_2_rates!M74</f>
        <v>43.0567031937479</v>
      </c>
      <c r="L111" s="447">
        <f>L77*Group_2_rates!N74</f>
        <v>41.520083508222442</v>
      </c>
      <c r="M111" s="447">
        <f>M77*Group_2_rates!O74</f>
        <v>39.913869305385496</v>
      </c>
      <c r="N111" s="447">
        <f>N77*Group_2_rates!P74</f>
        <v>38.873438180296148</v>
      </c>
      <c r="O111" s="320"/>
      <c r="P111" s="320"/>
    </row>
    <row r="112" spans="1:17">
      <c r="B112" s="331" t="str">
        <f t="shared" si="48"/>
        <v>25-29</v>
      </c>
      <c r="C112" s="447">
        <f>C78*Group_2_rates!E75</f>
        <v>43.46008480165375</v>
      </c>
      <c r="D112" s="447">
        <f>D78*Group_2_rates!F75</f>
        <v>41.8016795491259</v>
      </c>
      <c r="E112" s="447">
        <f>E78*Group_2_rates!G75</f>
        <v>47.196770174255093</v>
      </c>
      <c r="F112" s="447">
        <f>F78*Group_2_rates!H75</f>
        <v>50.83143849154682</v>
      </c>
      <c r="G112" s="447">
        <f>G78*Group_2_rates!I75</f>
        <v>55.857972641633353</v>
      </c>
      <c r="H112" s="447">
        <f>H78*Group_2_rates!J75</f>
        <v>61.430614665189452</v>
      </c>
      <c r="I112" s="447">
        <f>I78*Group_2_rates!K75</f>
        <v>67.373578357999762</v>
      </c>
      <c r="J112" s="447">
        <f>J78*Group_2_rates!L75</f>
        <v>72.387501809659355</v>
      </c>
      <c r="K112" s="447">
        <f>K78*Group_2_rates!M75</f>
        <v>72.511249081292732</v>
      </c>
      <c r="L112" s="447">
        <f>L78*Group_2_rates!N75</f>
        <v>71.544756305929539</v>
      </c>
      <c r="M112" s="447">
        <f>M78*Group_2_rates!O75</f>
        <v>69.974960306541533</v>
      </c>
      <c r="N112" s="447">
        <f>N78*Group_2_rates!P75</f>
        <v>68.702305663820894</v>
      </c>
      <c r="O112" s="320"/>
      <c r="P112" s="320"/>
    </row>
    <row r="113" spans="1:16">
      <c r="B113" s="331" t="str">
        <f t="shared" si="48"/>
        <v>30-34</v>
      </c>
      <c r="C113" s="447">
        <f>C79*Group_2_rates!E76</f>
        <v>31.979956735838609</v>
      </c>
      <c r="D113" s="447">
        <f>D79*Group_2_rates!F76</f>
        <v>31.658153022596853</v>
      </c>
      <c r="E113" s="447">
        <f>E79*Group_2_rates!G76</f>
        <v>34.58800618863993</v>
      </c>
      <c r="F113" s="447">
        <f>F79*Group_2_rates!H76</f>
        <v>35.890544365883926</v>
      </c>
      <c r="G113" s="447">
        <f>G79*Group_2_rates!I76</f>
        <v>38.236296169513579</v>
      </c>
      <c r="H113" s="447">
        <f>H79*Group_2_rates!J76</f>
        <v>41.04181191055774</v>
      </c>
      <c r="I113" s="447">
        <f>I79*Group_2_rates!K76</f>
        <v>44.261008572535793</v>
      </c>
      <c r="J113" s="447">
        <f>J79*Group_2_rates!L76</f>
        <v>47.374347132225502</v>
      </c>
      <c r="K113" s="447">
        <f>K79*Group_2_rates!M76</f>
        <v>48.722683075055635</v>
      </c>
      <c r="L113" s="447">
        <f>L79*Group_2_rates!N76</f>
        <v>49.389429987983803</v>
      </c>
      <c r="M113" s="447">
        <f>M79*Group_2_rates!O76</f>
        <v>49.517058130873437</v>
      </c>
      <c r="N113" s="447">
        <f>N79*Group_2_rates!P76</f>
        <v>49.464894061036297</v>
      </c>
      <c r="O113" s="320"/>
      <c r="P113" s="320"/>
    </row>
    <row r="114" spans="1:16">
      <c r="B114" s="331" t="str">
        <f t="shared" si="48"/>
        <v>35-39</v>
      </c>
      <c r="C114" s="447">
        <f>C80*Group_2_rates!E77</f>
        <v>33.317909893248491</v>
      </c>
      <c r="D114" s="447">
        <f>D80*Group_2_rates!F77</f>
        <v>31.207553950897449</v>
      </c>
      <c r="E114" s="447">
        <f>E80*Group_2_rates!G77</f>
        <v>32.4867707214013</v>
      </c>
      <c r="F114" s="447">
        <f>F80*Group_2_rates!H77</f>
        <v>32.36270501078674</v>
      </c>
      <c r="G114" s="447">
        <f>G80*Group_2_rates!I77</f>
        <v>33.277676629423013</v>
      </c>
      <c r="H114" s="447">
        <f>H80*Group_2_rates!J77</f>
        <v>34.627910568726413</v>
      </c>
      <c r="I114" s="447">
        <f>I80*Group_2_rates!K77</f>
        <v>36.382769286772756</v>
      </c>
      <c r="J114" s="447">
        <f>J80*Group_2_rates!L77</f>
        <v>38.243769159237274</v>
      </c>
      <c r="K114" s="447">
        <f>K80*Group_2_rates!M77</f>
        <v>39.254974641323507</v>
      </c>
      <c r="L114" s="447">
        <f>L80*Group_2_rates!N77</f>
        <v>40.026415939140449</v>
      </c>
      <c r="M114" s="447">
        <f>M80*Group_2_rates!O77</f>
        <v>40.559786657576488</v>
      </c>
      <c r="N114" s="447">
        <f>N80*Group_2_rates!P77</f>
        <v>40.994144825857681</v>
      </c>
      <c r="O114" s="320"/>
      <c r="P114" s="320"/>
    </row>
    <row r="115" spans="1:16">
      <c r="B115" s="331" t="str">
        <f t="shared" si="48"/>
        <v>40-44</v>
      </c>
      <c r="C115" s="447">
        <f>C81*Group_2_rates!E78</f>
        <v>33.788535631439878</v>
      </c>
      <c r="D115" s="447">
        <f>D81*Group_2_rates!F78</f>
        <v>32.181816913721946</v>
      </c>
      <c r="E115" s="447">
        <f>E81*Group_2_rates!G78</f>
        <v>33.491102829774746</v>
      </c>
      <c r="F115" s="447">
        <f>F81*Group_2_rates!H78</f>
        <v>33.05246713745624</v>
      </c>
      <c r="G115" s="447">
        <f>G81*Group_2_rates!I78</f>
        <v>33.495553982101789</v>
      </c>
      <c r="H115" s="447">
        <f>H81*Group_2_rates!J78</f>
        <v>34.24329850677568</v>
      </c>
      <c r="I115" s="447">
        <f>I81*Group_2_rates!K78</f>
        <v>35.305062045818907</v>
      </c>
      <c r="J115" s="447">
        <f>J81*Group_2_rates!L78</f>
        <v>36.457575445039659</v>
      </c>
      <c r="K115" s="447">
        <f>K81*Group_2_rates!M78</f>
        <v>36.934691899135657</v>
      </c>
      <c r="L115" s="447">
        <f>L81*Group_2_rates!N78</f>
        <v>37.314950343045389</v>
      </c>
      <c r="M115" s="447">
        <f>M81*Group_2_rates!O78</f>
        <v>37.619264211354661</v>
      </c>
      <c r="N115" s="447">
        <f>N81*Group_2_rates!P78</f>
        <v>37.95968099984529</v>
      </c>
      <c r="O115" s="320"/>
      <c r="P115" s="320"/>
    </row>
    <row r="116" spans="1:16">
      <c r="B116" s="331" t="str">
        <f t="shared" si="48"/>
        <v>45-49</v>
      </c>
      <c r="C116" s="447">
        <f>C82*Group_2_rates!E79</f>
        <v>35.183351600591166</v>
      </c>
      <c r="D116" s="447">
        <f>D82*Group_2_rates!F79</f>
        <v>33.946387633277389</v>
      </c>
      <c r="E116" s="447">
        <f>E82*Group_2_rates!G79</f>
        <v>35.743942365584658</v>
      </c>
      <c r="F116" s="447">
        <f>F82*Group_2_rates!H79</f>
        <v>35.539083539149203</v>
      </c>
      <c r="G116" s="447">
        <f>G82*Group_2_rates!I79</f>
        <v>36.141695276775906</v>
      </c>
      <c r="H116" s="447">
        <f>H82*Group_2_rates!J79</f>
        <v>36.92313702273109</v>
      </c>
      <c r="I116" s="447">
        <f>I82*Group_2_rates!K79</f>
        <v>37.909458120459306</v>
      </c>
      <c r="J116" s="447">
        <f>J82*Group_2_rates!L79</f>
        <v>38.901374137051214</v>
      </c>
      <c r="K116" s="447">
        <f>K82*Group_2_rates!M79</f>
        <v>39.169176742545666</v>
      </c>
      <c r="L116" s="447">
        <f>L82*Group_2_rates!N79</f>
        <v>39.311259113155309</v>
      </c>
      <c r="M116" s="447">
        <f>M82*Group_2_rates!O79</f>
        <v>39.380075220305308</v>
      </c>
      <c r="N116" s="447">
        <f>N82*Group_2_rates!P79</f>
        <v>39.512935738360817</v>
      </c>
      <c r="O116" s="320"/>
      <c r="P116" s="320"/>
    </row>
    <row r="117" spans="1:16">
      <c r="B117" s="331" t="str">
        <f t="shared" si="48"/>
        <v>50-54</v>
      </c>
      <c r="C117" s="447">
        <f>C83*Group_2_rates!E80</f>
        <v>22.723279283470134</v>
      </c>
      <c r="D117" s="447">
        <f>D83*Group_2_rates!F80</f>
        <v>21.635116700253761</v>
      </c>
      <c r="E117" s="447">
        <f>E83*Group_2_rates!G80</f>
        <v>22.581301344296737</v>
      </c>
      <c r="F117" s="447">
        <f>F83*Group_2_rates!H80</f>
        <v>22.366068958238774</v>
      </c>
      <c r="G117" s="447">
        <f>G83*Group_2_rates!I80</f>
        <v>22.704598160464123</v>
      </c>
      <c r="H117" s="447">
        <f>H83*Group_2_rates!J80</f>
        <v>23.170779972869273</v>
      </c>
      <c r="I117" s="447">
        <f>I83*Group_2_rates!K80</f>
        <v>23.757752988513893</v>
      </c>
      <c r="J117" s="447">
        <f>J83*Group_2_rates!L80</f>
        <v>24.338876880375949</v>
      </c>
      <c r="K117" s="447">
        <f>K83*Group_2_rates!M80</f>
        <v>24.491170579975492</v>
      </c>
      <c r="L117" s="447">
        <f>L83*Group_2_rates!N80</f>
        <v>24.54765932493018</v>
      </c>
      <c r="M117" s="447">
        <f>M83*Group_2_rates!O80</f>
        <v>24.54024760595248</v>
      </c>
      <c r="N117" s="447">
        <f>N83*Group_2_rates!P80</f>
        <v>24.552892368216465</v>
      </c>
      <c r="O117" s="320"/>
      <c r="P117" s="320"/>
    </row>
    <row r="118" spans="1:16">
      <c r="B118" s="331" t="str">
        <f t="shared" si="48"/>
        <v>55-59</v>
      </c>
      <c r="C118" s="447">
        <f>C84*Group_2_rates!E81</f>
        <v>11.945332453464845</v>
      </c>
      <c r="D118" s="447">
        <f>D84*Group_2_rates!F81</f>
        <v>10.936630852298132</v>
      </c>
      <c r="E118" s="447">
        <f>E84*Group_2_rates!G81</f>
        <v>11.130241814042305</v>
      </c>
      <c r="F118" s="447">
        <f>F84*Group_2_rates!H81</f>
        <v>10.846201351924876</v>
      </c>
      <c r="G118" s="447">
        <f>G84*Group_2_rates!I81</f>
        <v>10.901157443471208</v>
      </c>
      <c r="H118" s="447">
        <f>H84*Group_2_rates!J81</f>
        <v>11.066300961452187</v>
      </c>
      <c r="I118" s="447">
        <f>I84*Group_2_rates!K81</f>
        <v>11.319344973292131</v>
      </c>
      <c r="J118" s="447">
        <f>J84*Group_2_rates!L81</f>
        <v>11.573849649716376</v>
      </c>
      <c r="K118" s="447">
        <f>K84*Group_2_rates!M81</f>
        <v>11.583580954550815</v>
      </c>
      <c r="L118" s="447">
        <f>L84*Group_2_rates!N81</f>
        <v>11.561010099149403</v>
      </c>
      <c r="M118" s="447">
        <f>M84*Group_2_rates!O81</f>
        <v>11.517308275440879</v>
      </c>
      <c r="N118" s="447">
        <f>N84*Group_2_rates!P81</f>
        <v>11.494988721241418</v>
      </c>
      <c r="O118" s="320"/>
      <c r="P118" s="320"/>
    </row>
    <row r="119" spans="1:16">
      <c r="B119" s="331" t="str">
        <f t="shared" si="48"/>
        <v>60-64</v>
      </c>
      <c r="C119" s="447">
        <f>C85*Group_2_rates!E82</f>
        <v>2.9065218755108564</v>
      </c>
      <c r="D119" s="447">
        <f>D85*Group_2_rates!F82</f>
        <v>2.8875873690214577</v>
      </c>
      <c r="E119" s="447">
        <f>E85*Group_2_rates!G82</f>
        <v>3.0467100148458659</v>
      </c>
      <c r="F119" s="447">
        <f>F85*Group_2_rates!H82</f>
        <v>3.0095629756838651</v>
      </c>
      <c r="G119" s="447">
        <f>G85*Group_2_rates!I82</f>
        <v>3.0356846912626532</v>
      </c>
      <c r="H119" s="447">
        <f>H85*Group_2_rates!J82</f>
        <v>3.0847584571074469</v>
      </c>
      <c r="I119" s="447">
        <f>I85*Group_2_rates!K82</f>
        <v>3.1579110870752265</v>
      </c>
      <c r="J119" s="447">
        <f>J85*Group_2_rates!L82</f>
        <v>3.2265703293895145</v>
      </c>
      <c r="K119" s="447">
        <f>K85*Group_2_rates!M82</f>
        <v>3.2016710584597856</v>
      </c>
      <c r="L119" s="447">
        <f>L85*Group_2_rates!N82</f>
        <v>3.1702040918904055</v>
      </c>
      <c r="M119" s="447">
        <f>M85*Group_2_rates!O82</f>
        <v>3.1368717193453599</v>
      </c>
      <c r="N119" s="447">
        <f>N85*Group_2_rates!P82</f>
        <v>3.1168050020450657</v>
      </c>
      <c r="O119" s="320"/>
      <c r="P119" s="320"/>
    </row>
    <row r="120" spans="1:16">
      <c r="B120" s="331" t="str">
        <f t="shared" si="48"/>
        <v>65 plus</v>
      </c>
      <c r="C120" s="447">
        <f>C86*Group_2_rates!E83</f>
        <v>1.9862718279902645</v>
      </c>
      <c r="D120" s="447">
        <f>D86*Group_2_rates!F83</f>
        <v>2.6037501959269314</v>
      </c>
      <c r="E120" s="447">
        <f>E86*Group_2_rates!G83</f>
        <v>3.2389518287355257</v>
      </c>
      <c r="F120" s="447">
        <f>F86*Group_2_rates!H83</f>
        <v>3.5138075092940624</v>
      </c>
      <c r="G120" s="447">
        <f>G86*Group_2_rates!I83</f>
        <v>3.7494391364169917</v>
      </c>
      <c r="H120" s="447">
        <f>H86*Group_2_rates!J83</f>
        <v>3.9350403019172222</v>
      </c>
      <c r="I120" s="447">
        <f>I86*Group_2_rates!K83</f>
        <v>4.1028858943142632</v>
      </c>
      <c r="J120" s="447">
        <f>J86*Group_2_rates!L83</f>
        <v>4.2355935090436345</v>
      </c>
      <c r="K120" s="447">
        <f>K86*Group_2_rates!M83</f>
        <v>4.2231744540185092</v>
      </c>
      <c r="L120" s="447">
        <f>L86*Group_2_rates!N83</f>
        <v>4.1794512667714443</v>
      </c>
      <c r="M120" s="447">
        <f>M86*Group_2_rates!O83</f>
        <v>4.1216618196186081</v>
      </c>
      <c r="N120" s="447">
        <f>N86*Group_2_rates!P83</f>
        <v>4.0771673456001762</v>
      </c>
      <c r="O120" s="320"/>
      <c r="P120" s="320"/>
    </row>
    <row r="121" spans="1:16">
      <c r="B121" s="331" t="str">
        <f t="shared" si="48"/>
        <v>Total</v>
      </c>
      <c r="C121" s="447">
        <f>SUM(C111:C120)</f>
        <v>226.67273192188085</v>
      </c>
      <c r="D121" s="447">
        <f t="shared" ref="D121:N121" si="50">SUM(D111:D120)</f>
        <v>224.5055333798214</v>
      </c>
      <c r="E121" s="447">
        <f t="shared" si="50"/>
        <v>246.72192563047156</v>
      </c>
      <c r="F121" s="447">
        <f t="shared" si="50"/>
        <v>255.67449571227957</v>
      </c>
      <c r="G121" s="447">
        <f t="shared" si="50"/>
        <v>270.24116062882615</v>
      </c>
      <c r="H121" s="447">
        <f t="shared" si="50"/>
        <v>286.64329400534768</v>
      </c>
      <c r="I121" s="447">
        <f t="shared" si="50"/>
        <v>304.79249707481648</v>
      </c>
      <c r="J121" s="447">
        <f t="shared" si="50"/>
        <v>320.96850652878771</v>
      </c>
      <c r="K121" s="447">
        <f t="shared" si="50"/>
        <v>323.1490756801058</v>
      </c>
      <c r="L121" s="447">
        <f t="shared" si="50"/>
        <v>322.56521998021839</v>
      </c>
      <c r="M121" s="447">
        <f t="shared" si="50"/>
        <v>320.28110325239425</v>
      </c>
      <c r="N121" s="447">
        <f t="shared" si="50"/>
        <v>318.74925290632029</v>
      </c>
      <c r="O121" s="320"/>
      <c r="P121" s="320"/>
    </row>
    <row r="122" spans="1:16">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6">
      <c r="B124" s="334" t="s">
        <v>47</v>
      </c>
      <c r="C124" s="322"/>
      <c r="D124" s="322"/>
      <c r="E124" s="322"/>
      <c r="F124" s="322"/>
      <c r="G124" s="322"/>
      <c r="H124" s="332"/>
      <c r="I124" s="322"/>
      <c r="J124" s="322"/>
      <c r="K124" s="322"/>
      <c r="L124" s="322"/>
    </row>
    <row r="125" spans="1:16">
      <c r="C125" s="322"/>
      <c r="D125" s="322"/>
      <c r="E125" s="322"/>
      <c r="F125" s="322"/>
      <c r="G125" s="322"/>
      <c r="H125" s="332"/>
      <c r="I125" s="322"/>
      <c r="J125" s="322"/>
      <c r="K125" s="322"/>
      <c r="L125" s="322"/>
    </row>
    <row r="126" spans="1:16">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6">
      <c r="B127" s="331" t="str">
        <f t="shared" si="52"/>
        <v>20-24</v>
      </c>
      <c r="C127" s="447">
        <f>C93*Group_2_rates!E89</f>
        <v>31.302797872827455</v>
      </c>
      <c r="D127" s="447">
        <f>D93*Group_2_rates!F89</f>
        <v>59.676026851738975</v>
      </c>
      <c r="E127" s="447">
        <f>E93*Group_2_rates!G89</f>
        <v>89.433875130276249</v>
      </c>
      <c r="F127" s="447">
        <f>F93*Group_2_rates!H89</f>
        <v>114.26266747268384</v>
      </c>
      <c r="G127" s="447">
        <f>G93*Group_2_rates!I89</f>
        <v>133.74445568390959</v>
      </c>
      <c r="H127" s="447">
        <f>H93*Group_2_rates!J89</f>
        <v>151.89348143864888</v>
      </c>
      <c r="I127" s="447">
        <f>I93*Group_2_rates!K89</f>
        <v>169.23635265990316</v>
      </c>
      <c r="J127" s="447">
        <f>J93*Group_2_rates!L89</f>
        <v>182.08254731760158</v>
      </c>
      <c r="K127" s="447">
        <f>K93*Group_2_rates!M89</f>
        <v>177.98982751178212</v>
      </c>
      <c r="L127" s="447">
        <f>L93*Group_2_rates!N89</f>
        <v>172.19268226644064</v>
      </c>
      <c r="M127" s="447">
        <f>M93*Group_2_rates!O89</f>
        <v>165.93483496723488</v>
      </c>
      <c r="N127" s="447">
        <f>N93*Group_2_rates!P89</f>
        <v>161.82818567093713</v>
      </c>
    </row>
    <row r="128" spans="1:16">
      <c r="B128" s="331" t="str">
        <f t="shared" si="52"/>
        <v>25-29</v>
      </c>
      <c r="C128" s="447">
        <f>C94*Group_2_rates!E90</f>
        <v>151.85273593216124</v>
      </c>
      <c r="D128" s="447">
        <f>D94*Group_2_rates!F90</f>
        <v>157.55085178788096</v>
      </c>
      <c r="E128" s="447">
        <f>E94*Group_2_rates!G90</f>
        <v>178.36220477748188</v>
      </c>
      <c r="F128" s="447">
        <f>F94*Group_2_rates!H90</f>
        <v>202.05630533267126</v>
      </c>
      <c r="G128" s="447">
        <f>G94*Group_2_rates!I90</f>
        <v>224.309645370856</v>
      </c>
      <c r="H128" s="447">
        <f>H94*Group_2_rates!J90</f>
        <v>248.47237267621935</v>
      </c>
      <c r="I128" s="447">
        <f>I94*Group_2_rates!K90</f>
        <v>273.92280167112216</v>
      </c>
      <c r="J128" s="447">
        <f>J94*Group_2_rates!L90</f>
        <v>295.56176720003737</v>
      </c>
      <c r="K128" s="447">
        <f>K94*Group_2_rates!M90</f>
        <v>297.66475898646314</v>
      </c>
      <c r="L128" s="447">
        <f>L94*Group_2_rates!N90</f>
        <v>295.07313370690878</v>
      </c>
      <c r="M128" s="447">
        <f>M94*Group_2_rates!O90</f>
        <v>289.73740118656963</v>
      </c>
      <c r="N128" s="447">
        <f>N94*Group_2_rates!P90</f>
        <v>285.27367935118588</v>
      </c>
    </row>
    <row r="129" spans="1:14">
      <c r="B129" s="331" t="str">
        <f t="shared" si="52"/>
        <v>30-34</v>
      </c>
      <c r="C129" s="447">
        <f>C95*Group_2_rates!E91</f>
        <v>149.88871131255934</v>
      </c>
      <c r="D129" s="447">
        <f>D95*Group_2_rates!F91</f>
        <v>154.39403579219623</v>
      </c>
      <c r="E129" s="447">
        <f>E95*Group_2_rates!G91</f>
        <v>165.50829654718635</v>
      </c>
      <c r="F129" s="447">
        <f>F95*Group_2_rates!H91</f>
        <v>178.37838651601427</v>
      </c>
      <c r="G129" s="447">
        <f>G95*Group_2_rates!I91</f>
        <v>190.91260499674365</v>
      </c>
      <c r="H129" s="447">
        <f>H95*Group_2_rates!J91</f>
        <v>205.96167352155874</v>
      </c>
      <c r="I129" s="447">
        <f>I95*Group_2_rates!K91</f>
        <v>223.18969713232869</v>
      </c>
      <c r="J129" s="447">
        <f>J95*Group_2_rates!L91</f>
        <v>239.85906845965084</v>
      </c>
      <c r="K129" s="447">
        <f>K95*Group_2_rates!M91</f>
        <v>247.39695415095002</v>
      </c>
      <c r="L129" s="447">
        <f>L95*Group_2_rates!N91</f>
        <v>251.42694273036955</v>
      </c>
      <c r="M129" s="447">
        <f>M95*Group_2_rates!O91</f>
        <v>252.65328409769049</v>
      </c>
      <c r="N129" s="447">
        <f>N95*Group_2_rates!P91</f>
        <v>252.9064417210721</v>
      </c>
    </row>
    <row r="130" spans="1:14">
      <c r="B130" s="331" t="str">
        <f t="shared" si="52"/>
        <v>35-39</v>
      </c>
      <c r="C130" s="447">
        <f>C96*Group_2_rates!E92</f>
        <v>159.67815668234579</v>
      </c>
      <c r="D130" s="447">
        <f>D96*Group_2_rates!F92</f>
        <v>155.69613484968937</v>
      </c>
      <c r="E130" s="447">
        <f>E96*Group_2_rates!G92</f>
        <v>158.37613660691019</v>
      </c>
      <c r="F130" s="447">
        <f>F96*Group_2_rates!H92</f>
        <v>162.86576179577031</v>
      </c>
      <c r="G130" s="447">
        <f>G96*Group_2_rates!I92</f>
        <v>167.31708929336597</v>
      </c>
      <c r="H130" s="447">
        <f>H96*Group_2_rates!J92</f>
        <v>174.23446346522502</v>
      </c>
      <c r="I130" s="447">
        <f>I96*Group_2_rates!K92</f>
        <v>183.40996372535071</v>
      </c>
      <c r="J130" s="447">
        <f>J96*Group_2_rates!L92</f>
        <v>193.18659575017452</v>
      </c>
      <c r="K130" s="447">
        <f>K96*Group_2_rates!M92</f>
        <v>198.38454152607144</v>
      </c>
      <c r="L130" s="447">
        <f>L96*Group_2_rates!N92</f>
        <v>202.37036861794215</v>
      </c>
      <c r="M130" s="447">
        <f>M96*Group_2_rates!O92</f>
        <v>205.1564281207221</v>
      </c>
      <c r="N130" s="447">
        <f>N96*Group_2_rates!P92</f>
        <v>207.48941759604526</v>
      </c>
    </row>
    <row r="131" spans="1:14">
      <c r="B131" s="331" t="str">
        <f t="shared" si="52"/>
        <v>40-44</v>
      </c>
      <c r="C131" s="447">
        <f>C97*Group_2_rates!E93</f>
        <v>174.16172734666446</v>
      </c>
      <c r="D131" s="447">
        <f>D97*Group_2_rates!F93</f>
        <v>167.18396179981463</v>
      </c>
      <c r="E131" s="447">
        <f>E97*Group_2_rates!G93</f>
        <v>165.63740496911666</v>
      </c>
      <c r="F131" s="447">
        <f>F97*Group_2_rates!H93</f>
        <v>165.28095469341616</v>
      </c>
      <c r="G131" s="447">
        <f>G97*Group_2_rates!I93</f>
        <v>164.56284403880719</v>
      </c>
      <c r="H131" s="447">
        <f>H97*Group_2_rates!J93</f>
        <v>166.08728208625783</v>
      </c>
      <c r="I131" s="447">
        <f>I97*Group_2_rates!K93</f>
        <v>169.71893385150491</v>
      </c>
      <c r="J131" s="447">
        <f>J97*Group_2_rates!L93</f>
        <v>174.17174720134105</v>
      </c>
      <c r="K131" s="447">
        <f>K97*Group_2_rates!M93</f>
        <v>175.42181543970111</v>
      </c>
      <c r="L131" s="447">
        <f>L97*Group_2_rates!N93</f>
        <v>176.41177373520776</v>
      </c>
      <c r="M131" s="447">
        <f>M97*Group_2_rates!O93</f>
        <v>177.20821075401048</v>
      </c>
      <c r="N131" s="447">
        <f>N97*Group_2_rates!P93</f>
        <v>178.35536775072623</v>
      </c>
    </row>
    <row r="132" spans="1:14">
      <c r="B132" s="331" t="str">
        <f t="shared" si="52"/>
        <v>45-49</v>
      </c>
      <c r="C132" s="447">
        <f>C98*Group_2_rates!E94</f>
        <v>165.53561688469219</v>
      </c>
      <c r="D132" s="447">
        <f>D98*Group_2_rates!F94</f>
        <v>164.70997561269581</v>
      </c>
      <c r="E132" s="447">
        <f>E98*Group_2_rates!G94</f>
        <v>166.72365557865859</v>
      </c>
      <c r="F132" s="447">
        <f>F98*Group_2_rates!H94</f>
        <v>168.05073130553635</v>
      </c>
      <c r="G132" s="447">
        <f>G98*Group_2_rates!I94</f>
        <v>167.52273240410065</v>
      </c>
      <c r="H132" s="447">
        <f>H98*Group_2_rates!J94</f>
        <v>168.10594739596061</v>
      </c>
      <c r="I132" s="447">
        <f>I98*Group_2_rates!K94</f>
        <v>169.96423956146324</v>
      </c>
      <c r="J132" s="447">
        <f>J98*Group_2_rates!L94</f>
        <v>172.19152963095308</v>
      </c>
      <c r="K132" s="447">
        <f>K98*Group_2_rates!M94</f>
        <v>171.45372396162932</v>
      </c>
      <c r="L132" s="447">
        <f>L98*Group_2_rates!N94</f>
        <v>170.43907688951879</v>
      </c>
      <c r="M132" s="447">
        <f>M98*Group_2_rates!O94</f>
        <v>169.35312253430422</v>
      </c>
      <c r="N132" s="447">
        <f>N98*Group_2_rates!P94</f>
        <v>168.78653900671941</v>
      </c>
    </row>
    <row r="133" spans="1:14">
      <c r="B133" s="331" t="str">
        <f t="shared" si="52"/>
        <v>50-54</v>
      </c>
      <c r="C133" s="447">
        <f>C99*Group_2_rates!E95</f>
        <v>120.13149403723693</v>
      </c>
      <c r="D133" s="447">
        <f>D99*Group_2_rates!F95</f>
        <v>122.3677006389532</v>
      </c>
      <c r="E133" s="447">
        <f>E99*Group_2_rates!G95</f>
        <v>126.8028541731626</v>
      </c>
      <c r="F133" s="447">
        <f>F99*Group_2_rates!H95</f>
        <v>130.4415138537201</v>
      </c>
      <c r="G133" s="447">
        <f>G99*Group_2_rates!I95</f>
        <v>132.11609998884828</v>
      </c>
      <c r="H133" s="447">
        <f>H99*Group_2_rates!J95</f>
        <v>134.02775920725961</v>
      </c>
      <c r="I133" s="447">
        <f>I99*Group_2_rates!K95</f>
        <v>136.3282237683313</v>
      </c>
      <c r="J133" s="447">
        <f>J99*Group_2_rates!L95</f>
        <v>138.41567715893046</v>
      </c>
      <c r="K133" s="447">
        <f>K99*Group_2_rates!M95</f>
        <v>137.90935210681693</v>
      </c>
      <c r="L133" s="447">
        <f>L99*Group_2_rates!N95</f>
        <v>136.88635595470075</v>
      </c>
      <c r="M133" s="447">
        <f>M99*Group_2_rates!O95</f>
        <v>135.58129437070031</v>
      </c>
      <c r="N133" s="447">
        <f>N99*Group_2_rates!P95</f>
        <v>134.51364636736932</v>
      </c>
    </row>
    <row r="134" spans="1:14">
      <c r="B134" s="331" t="str">
        <f t="shared" si="52"/>
        <v>55-59</v>
      </c>
      <c r="C134" s="447">
        <f>C100*Group_2_rates!E96</f>
        <v>51.620629886590372</v>
      </c>
      <c r="D134" s="447">
        <f>D100*Group_2_rates!F96</f>
        <v>47.952193449959395</v>
      </c>
      <c r="E134" s="447">
        <f>E100*Group_2_rates!G96</f>
        <v>47.124817385365887</v>
      </c>
      <c r="F134" s="447">
        <f>F100*Group_2_rates!H96</f>
        <v>47.185946308703556</v>
      </c>
      <c r="G134" s="447">
        <f>G100*Group_2_rates!I96</f>
        <v>47.25753600752531</v>
      </c>
      <c r="H134" s="447">
        <f>H100*Group_2_rates!J96</f>
        <v>47.826179819343309</v>
      </c>
      <c r="I134" s="447">
        <f>I100*Group_2_rates!K96</f>
        <v>48.734464963756267</v>
      </c>
      <c r="J134" s="447">
        <f>J100*Group_2_rates!L96</f>
        <v>49.595231074226703</v>
      </c>
      <c r="K134" s="447">
        <f>K100*Group_2_rates!M96</f>
        <v>49.358782859118001</v>
      </c>
      <c r="L134" s="447">
        <f>L100*Group_2_rates!N96</f>
        <v>48.936601746508821</v>
      </c>
      <c r="M134" s="447">
        <f>M100*Group_2_rates!O96</f>
        <v>48.399652142042953</v>
      </c>
      <c r="N134" s="447">
        <f>N100*Group_2_rates!P96</f>
        <v>47.948986380381967</v>
      </c>
    </row>
    <row r="135" spans="1:14">
      <c r="B135" s="331" t="str">
        <f t="shared" si="52"/>
        <v>60-64</v>
      </c>
      <c r="C135" s="447">
        <f>C101*Group_2_rates!E97</f>
        <v>20.459722156765203</v>
      </c>
      <c r="D135" s="447">
        <f>D101*Group_2_rates!F97</f>
        <v>20.153348619029504</v>
      </c>
      <c r="E135" s="447">
        <f>E101*Group_2_rates!G97</f>
        <v>20.012289915217863</v>
      </c>
      <c r="F135" s="447">
        <f>F101*Group_2_rates!H97</f>
        <v>19.88488549551289</v>
      </c>
      <c r="G135" s="447">
        <f>G101*Group_2_rates!I97</f>
        <v>19.713938866386826</v>
      </c>
      <c r="H135" s="447">
        <f>H101*Group_2_rates!J97</f>
        <v>19.828689222657975</v>
      </c>
      <c r="I135" s="447">
        <f>I101*Group_2_rates!K97</f>
        <v>20.17127604772859</v>
      </c>
      <c r="J135" s="447">
        <f>J101*Group_2_rates!L97</f>
        <v>20.515960994782688</v>
      </c>
      <c r="K135" s="447">
        <f>K101*Group_2_rates!M97</f>
        <v>20.270620814854805</v>
      </c>
      <c r="L135" s="447">
        <f>L101*Group_2_rates!N97</f>
        <v>19.985256999350543</v>
      </c>
      <c r="M135" s="447">
        <f>M101*Group_2_rates!O97</f>
        <v>19.68171405075265</v>
      </c>
      <c r="N135" s="447">
        <f>N101*Group_2_rates!P97</f>
        <v>19.455806865193765</v>
      </c>
    </row>
    <row r="136" spans="1:14">
      <c r="B136" s="331" t="str">
        <f t="shared" si="52"/>
        <v>65 plus</v>
      </c>
      <c r="C136" s="447">
        <f>C102*Group_2_rates!E98</f>
        <v>8.0056284628067793</v>
      </c>
      <c r="D136" s="447">
        <f>D102*Group_2_rates!F98</f>
        <v>10.420353193672137</v>
      </c>
      <c r="E136" s="447">
        <f>E102*Group_2_rates!G98</f>
        <v>12.26681805801536</v>
      </c>
      <c r="F136" s="447">
        <f>F102*Group_2_rates!H98</f>
        <v>13.459647619847303</v>
      </c>
      <c r="G136" s="447">
        <f>G102*Group_2_rates!I98</f>
        <v>14.094907719828765</v>
      </c>
      <c r="H136" s="447">
        <f>H102*Group_2_rates!J98</f>
        <v>14.587054019624176</v>
      </c>
      <c r="I136" s="447">
        <f>I102*Group_2_rates!K98</f>
        <v>15.05282067301208</v>
      </c>
      <c r="J136" s="447">
        <f>J102*Group_2_rates!L98</f>
        <v>15.434992163865097</v>
      </c>
      <c r="K136" s="447">
        <f>K102*Group_2_rates!M98</f>
        <v>15.364210425875525</v>
      </c>
      <c r="L136" s="447">
        <f>L102*Group_2_rates!N98</f>
        <v>15.183859904946427</v>
      </c>
      <c r="M136" s="447">
        <f>M102*Group_2_rates!O98</f>
        <v>14.948116461266565</v>
      </c>
      <c r="N136" s="447">
        <f>N102*Group_2_rates!P98</f>
        <v>14.745988598265866</v>
      </c>
    </row>
    <row r="137" spans="1:14">
      <c r="B137" s="331" t="str">
        <f t="shared" si="52"/>
        <v>Total</v>
      </c>
      <c r="C137" s="447">
        <f>SUM(C127:C136)</f>
        <v>1032.6372205746497</v>
      </c>
      <c r="D137" s="447">
        <f t="shared" ref="D137:N137" si="54">SUM(D127:D136)</f>
        <v>1060.1045825956301</v>
      </c>
      <c r="E137" s="447">
        <f t="shared" si="54"/>
        <v>1130.2483531413918</v>
      </c>
      <c r="F137" s="447">
        <f t="shared" si="54"/>
        <v>1201.866800393876</v>
      </c>
      <c r="G137" s="447">
        <f t="shared" si="54"/>
        <v>1261.551854370372</v>
      </c>
      <c r="H137" s="447">
        <f t="shared" si="54"/>
        <v>1331.0249028527553</v>
      </c>
      <c r="I137" s="447">
        <f t="shared" si="54"/>
        <v>1409.7287740545009</v>
      </c>
      <c r="J137" s="447">
        <f t="shared" si="54"/>
        <v>1481.0151169515632</v>
      </c>
      <c r="K137" s="447">
        <f t="shared" si="54"/>
        <v>1491.2145877832625</v>
      </c>
      <c r="L137" s="447">
        <f t="shared" si="54"/>
        <v>1488.9060525518942</v>
      </c>
      <c r="M137" s="447">
        <f t="shared" si="54"/>
        <v>1478.6540586852943</v>
      </c>
      <c r="N137" s="447">
        <f t="shared" si="54"/>
        <v>1471.3040593078972</v>
      </c>
    </row>
    <row r="138" spans="1:14">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4" ht="15.75">
      <c r="B140" s="333" t="s">
        <v>165</v>
      </c>
      <c r="H140" s="318"/>
    </row>
    <row r="141" spans="1:14">
      <c r="H141" s="318"/>
    </row>
    <row r="142" spans="1:14">
      <c r="B142" s="334" t="s">
        <v>46</v>
      </c>
      <c r="H142" s="318"/>
    </row>
    <row r="143" spans="1:14">
      <c r="H143" s="318"/>
    </row>
    <row r="144" spans="1:14">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5.1811744215154526E-2</v>
      </c>
      <c r="D147" s="447">
        <f>D79*Calc_SEC_retirement_rates!$G126</f>
        <v>5.3203277941991131E-2</v>
      </c>
      <c r="E147" s="447">
        <f>E79*Calc_SEC_retirement_rates!$G126</f>
        <v>5.6024616592850761E-2</v>
      </c>
      <c r="F147" s="447">
        <f>F79*Calc_SEC_retirement_rates!$G126</f>
        <v>5.9246943014017152E-2</v>
      </c>
      <c r="G147" s="447">
        <f>G79*Calc_SEC_retirement_rates!$G126</f>
        <v>6.3119233777229472E-2</v>
      </c>
      <c r="H147" s="447">
        <f>H79*Calc_SEC_retirement_rates!$G126</f>
        <v>6.7750487890849753E-2</v>
      </c>
      <c r="I147" s="447">
        <f>I79*Calc_SEC_retirement_rates!$G126</f>
        <v>7.306463301048817E-2</v>
      </c>
      <c r="J147" s="447">
        <f>J79*Calc_SEC_retirement_rates!$G126</f>
        <v>7.8204031018745027E-2</v>
      </c>
      <c r="K147" s="447">
        <f>K79*Calc_SEC_retirement_rates!$G126</f>
        <v>8.0429820127827012E-2</v>
      </c>
      <c r="L147" s="447">
        <f>L79*Calc_SEC_retirement_rates!$G126</f>
        <v>8.1530464240446729E-2</v>
      </c>
      <c r="M147" s="447">
        <f>M79*Calc_SEC_retirement_rates!$G126</f>
        <v>8.1741148626609292E-2</v>
      </c>
      <c r="N147" s="447">
        <f>N79*Calc_SEC_retirement_rates!$G126</f>
        <v>8.1655037877173084E-2</v>
      </c>
    </row>
    <row r="148" spans="1:14">
      <c r="B148" s="331" t="str">
        <f t="shared" si="56"/>
        <v>35-39</v>
      </c>
      <c r="C148" s="447">
        <f>C80*Calc_SEC_retirement_rates!$G127</f>
        <v>0.13348194812004685</v>
      </c>
      <c r="D148" s="447">
        <f>D80*Calc_SEC_retirement_rates!$G127</f>
        <v>0.1296901500875404</v>
      </c>
      <c r="E148" s="447">
        <f>E80*Calc_SEC_retirement_rates!$G127</f>
        <v>0.13012308603364064</v>
      </c>
      <c r="F148" s="447">
        <f>F80*Calc_SEC_retirement_rates!$G127</f>
        <v>0.1321067967126893</v>
      </c>
      <c r="G148" s="447">
        <f>G80*Calc_SEC_retirement_rates!$G127</f>
        <v>0.13584177404479963</v>
      </c>
      <c r="H148" s="447">
        <f>H80*Calc_SEC_retirement_rates!$G127</f>
        <v>0.14135352222761299</v>
      </c>
      <c r="I148" s="447">
        <f>I80*Calc_SEC_retirement_rates!$G127</f>
        <v>0.14851697669927005</v>
      </c>
      <c r="J148" s="447">
        <f>J80*Calc_SEC_retirement_rates!$G127</f>
        <v>0.15611370669301031</v>
      </c>
      <c r="K148" s="447">
        <f>K80*Calc_SEC_retirement_rates!$G127</f>
        <v>0.16024151730130762</v>
      </c>
      <c r="L148" s="447">
        <f>L80*Calc_SEC_retirement_rates!$G127</f>
        <v>0.16339059395211625</v>
      </c>
      <c r="M148" s="447">
        <f>M80*Calc_SEC_retirement_rates!$G127</f>
        <v>0.16556785005754518</v>
      </c>
      <c r="N148" s="447">
        <f>N80*Calc_SEC_retirement_rates!$G127</f>
        <v>0.16734093009577108</v>
      </c>
    </row>
    <row r="149" spans="1:14">
      <c r="B149" s="331" t="str">
        <f t="shared" si="56"/>
        <v>40-44</v>
      </c>
      <c r="C149" s="447">
        <f>C81*Calc_SEC_retirement_rates!$G128</f>
        <v>0.26804940681497341</v>
      </c>
      <c r="D149" s="447">
        <f>D81*Calc_SEC_retirement_rates!$G128</f>
        <v>0.264824716378738</v>
      </c>
      <c r="E149" s="447">
        <f>E81*Calc_SEC_retirement_rates!$G128</f>
        <v>0.26563050816021416</v>
      </c>
      <c r="F149" s="447">
        <f>F81*Calc_SEC_retirement_rates!$G128</f>
        <v>0.26716829735763165</v>
      </c>
      <c r="G149" s="447">
        <f>G81*Calc_SEC_retirement_rates!$G128</f>
        <v>0.27074983810535291</v>
      </c>
      <c r="H149" s="447">
        <f>H81*Calc_SEC_retirement_rates!$G128</f>
        <v>0.27679397486176543</v>
      </c>
      <c r="I149" s="447">
        <f>I81*Calc_SEC_retirement_rates!$G128</f>
        <v>0.28537637676667882</v>
      </c>
      <c r="J149" s="447">
        <f>J81*Calc_SEC_retirement_rates!$G128</f>
        <v>0.29469232408374679</v>
      </c>
      <c r="K149" s="447">
        <f>K81*Calc_SEC_retirement_rates!$G128</f>
        <v>0.29854893152403328</v>
      </c>
      <c r="L149" s="447">
        <f>L81*Calc_SEC_retirement_rates!$G128</f>
        <v>0.30162262041366228</v>
      </c>
      <c r="M149" s="447">
        <f>M81*Calc_SEC_retirement_rates!$G128</f>
        <v>0.30408243733808082</v>
      </c>
      <c r="N149" s="447">
        <f>N81*Calc_SEC_retirement_rates!$G128</f>
        <v>0.30683407985223154</v>
      </c>
    </row>
    <row r="150" spans="1:14">
      <c r="B150" s="331" t="str">
        <f t="shared" si="56"/>
        <v>45-49</v>
      </c>
      <c r="C150" s="447">
        <f>C82*Calc_SEC_retirement_rates!$G129</f>
        <v>0.50684434015406121</v>
      </c>
      <c r="D150" s="447">
        <f>D82*Calc_SEC_retirement_rates!$G129</f>
        <v>0.50726329064786013</v>
      </c>
      <c r="E150" s="447">
        <f>E82*Calc_SEC_retirement_rates!$G129</f>
        <v>0.51480513247730642</v>
      </c>
      <c r="F150" s="447">
        <f>F82*Calc_SEC_retirement_rates!$G129</f>
        <v>0.52164995877536513</v>
      </c>
      <c r="G150" s="447">
        <f>G82*Calc_SEC_retirement_rates!$G129</f>
        <v>0.53049521748171968</v>
      </c>
      <c r="H150" s="447">
        <f>H82*Calc_SEC_retirement_rates!$G129</f>
        <v>0.54196537973601144</v>
      </c>
      <c r="I150" s="447">
        <f>I82*Calc_SEC_retirement_rates!$G129</f>
        <v>0.55644280314515537</v>
      </c>
      <c r="J150" s="447">
        <f>J82*Calc_SEC_retirement_rates!$G129</f>
        <v>0.57100234992113785</v>
      </c>
      <c r="K150" s="447">
        <f>K82*Calc_SEC_retirement_rates!$G129</f>
        <v>0.57493321150236654</v>
      </c>
      <c r="L150" s="447">
        <f>L82*Calc_SEC_retirement_rates!$G129</f>
        <v>0.57701872568535273</v>
      </c>
      <c r="M150" s="447">
        <f>M82*Calc_SEC_retirement_rates!$G129</f>
        <v>0.57802882262323041</v>
      </c>
      <c r="N150" s="447">
        <f>N82*Calc_SEC_retirement_rates!$G129</f>
        <v>0.5799789765626302</v>
      </c>
    </row>
    <row r="151" spans="1:14">
      <c r="B151" s="331" t="str">
        <f t="shared" si="56"/>
        <v>50-54</v>
      </c>
      <c r="C151" s="447">
        <f>C83*Calc_SEC_retirement_rates!$G130</f>
        <v>9.7167166783928991</v>
      </c>
      <c r="D151" s="447">
        <f>D83*Calc_SEC_retirement_rates!$G130</f>
        <v>9.596442188834164</v>
      </c>
      <c r="E151" s="447">
        <f>E83*Calc_SEC_retirement_rates!$G130</f>
        <v>9.6538494980065845</v>
      </c>
      <c r="F151" s="447">
        <f>F83*Calc_SEC_retirement_rates!$G130</f>
        <v>9.7448184702924454</v>
      </c>
      <c r="G151" s="447">
        <f>G83*Calc_SEC_retirement_rates!$G130</f>
        <v>9.8923144665150513</v>
      </c>
      <c r="H151" s="447">
        <f>H83*Calc_SEC_retirement_rates!$G130</f>
        <v>10.095428261099267</v>
      </c>
      <c r="I151" s="447">
        <f>I83*Calc_SEC_retirement_rates!$G130</f>
        <v>10.351170362900753</v>
      </c>
      <c r="J151" s="447">
        <f>J83*Calc_SEC_retirement_rates!$G130</f>
        <v>10.604364021809669</v>
      </c>
      <c r="K151" s="447">
        <f>K83*Calc_SEC_retirement_rates!$G130</f>
        <v>10.670717857145588</v>
      </c>
      <c r="L151" s="447">
        <f>L83*Calc_SEC_retirement_rates!$G130</f>
        <v>10.695329806890797</v>
      </c>
      <c r="M151" s="447">
        <f>M83*Calc_SEC_retirement_rates!$G130</f>
        <v>10.69210054670541</v>
      </c>
      <c r="N151" s="447">
        <f>N83*Calc_SEC_retirement_rates!$G130</f>
        <v>10.697609825653473</v>
      </c>
    </row>
    <row r="152" spans="1:14">
      <c r="B152" s="331" t="str">
        <f t="shared" si="56"/>
        <v>55-59</v>
      </c>
      <c r="C152" s="447">
        <f>C84*Calc_SEC_retirement_rates!$G131</f>
        <v>40.762990405208541</v>
      </c>
      <c r="D152" s="447">
        <f>D84*Calc_SEC_retirement_rates!$G131</f>
        <v>38.712732331462469</v>
      </c>
      <c r="E152" s="447">
        <f>E84*Calc_SEC_retirement_rates!$G131</f>
        <v>37.973044609429998</v>
      </c>
      <c r="F152" s="447">
        <f>F84*Calc_SEC_retirement_rates!$G131</f>
        <v>37.712126188737336</v>
      </c>
      <c r="G152" s="447">
        <f>G84*Calc_SEC_retirement_rates!$G131</f>
        <v>37.90320793173553</v>
      </c>
      <c r="H152" s="447">
        <f>H84*Calc_SEC_retirement_rates!$G131</f>
        <v>38.477410178888668</v>
      </c>
      <c r="I152" s="447">
        <f>I84*Calc_SEC_retirement_rates!$G131</f>
        <v>39.357241503808588</v>
      </c>
      <c r="J152" s="447">
        <f>J84*Calc_SEC_retirement_rates!$G131</f>
        <v>40.242151543878201</v>
      </c>
      <c r="K152" s="447">
        <f>K84*Calc_SEC_retirement_rates!$G131</f>
        <v>40.275987186790388</v>
      </c>
      <c r="L152" s="447">
        <f>L84*Calc_SEC_retirement_rates!$G131</f>
        <v>40.197508563771393</v>
      </c>
      <c r="M152" s="447">
        <f>M84*Calc_SEC_retirement_rates!$G131</f>
        <v>40.04555778977241</v>
      </c>
      <c r="N152" s="447">
        <f>N84*Calc_SEC_retirement_rates!$G131</f>
        <v>39.967952938346983</v>
      </c>
    </row>
    <row r="153" spans="1:14">
      <c r="B153" s="331" t="str">
        <f t="shared" si="56"/>
        <v>60-64</v>
      </c>
      <c r="C153" s="447">
        <f>C85*Calc_SEC_retirement_rates!$G132</f>
        <v>22.680467990020762</v>
      </c>
      <c r="D153" s="447">
        <f>D85*Calc_SEC_retirement_rates!$G132</f>
        <v>23.373084267967617</v>
      </c>
      <c r="E153" s="447">
        <f>E85*Calc_SEC_retirement_rates!$G132</f>
        <v>23.76909026355294</v>
      </c>
      <c r="F153" s="447">
        <f>F85*Calc_SEC_retirement_rates!$G132</f>
        <v>23.928606694503955</v>
      </c>
      <c r="G153" s="447">
        <f>G85*Calc_SEC_retirement_rates!$G132</f>
        <v>24.136296735656352</v>
      </c>
      <c r="H153" s="447">
        <f>H85*Calc_SEC_retirement_rates!$G132</f>
        <v>24.526475260381002</v>
      </c>
      <c r="I153" s="447">
        <f>I85*Calc_SEC_retirement_rates!$G132</f>
        <v>25.10810140521016</v>
      </c>
      <c r="J153" s="447">
        <f>J85*Calc_SEC_retirement_rates!$G132</f>
        <v>25.654001264610152</v>
      </c>
      <c r="K153" s="447">
        <f>K85*Calc_SEC_retirement_rates!$G132</f>
        <v>25.456030706801176</v>
      </c>
      <c r="L153" s="447">
        <f>L85*Calc_SEC_retirement_rates!$G132</f>
        <v>25.205841336121299</v>
      </c>
      <c r="M153" s="447">
        <f>M85*Calc_SEC_retirement_rates!$G132</f>
        <v>24.940820388140025</v>
      </c>
      <c r="N153" s="447">
        <f>N85*Calc_SEC_retirement_rates!$G132</f>
        <v>24.781272776141833</v>
      </c>
    </row>
    <row r="154" spans="1:14">
      <c r="B154" s="331" t="str">
        <f t="shared" si="56"/>
        <v>65 plus</v>
      </c>
      <c r="C154" s="447">
        <f>C86*Calc_SEC_retirement_rates!$G133</f>
        <v>4.8330653659670268</v>
      </c>
      <c r="D154" s="447">
        <f>D86*Calc_SEC_retirement_rates!$G133</f>
        <v>6.5718217811203026</v>
      </c>
      <c r="E154" s="447">
        <f>E86*Calc_SEC_retirement_rates!$G133</f>
        <v>7.879370083094674</v>
      </c>
      <c r="F154" s="447">
        <f>F86*Calc_SEC_retirement_rates!$G133</f>
        <v>8.7115917107862284</v>
      </c>
      <c r="G154" s="447">
        <f>G86*Calc_SEC_retirement_rates!$G133</f>
        <v>9.2957803791221281</v>
      </c>
      <c r="H154" s="447">
        <f>H86*Calc_SEC_retirement_rates!$G133</f>
        <v>9.7559312469791166</v>
      </c>
      <c r="I154" s="447">
        <f>I86*Calc_SEC_retirement_rates!$G133</f>
        <v>10.172061688829027</v>
      </c>
      <c r="J154" s="447">
        <f>J86*Calc_SEC_retirement_rates!$G133</f>
        <v>10.501076455112244</v>
      </c>
      <c r="K154" s="447">
        <f>K86*Calc_SEC_retirement_rates!$G133</f>
        <v>10.470286567923912</v>
      </c>
      <c r="L154" s="447">
        <f>L86*Calc_SEC_retirement_rates!$G133</f>
        <v>10.361886049516684</v>
      </c>
      <c r="M154" s="447">
        <f>M86*Calc_SEC_retirement_rates!$G133</f>
        <v>10.218611818513432</v>
      </c>
      <c r="N154" s="447">
        <f>N86*Calc_SEC_retirement_rates!$G133</f>
        <v>10.108299090792999</v>
      </c>
    </row>
    <row r="155" spans="1:14">
      <c r="B155" s="331" t="str">
        <f t="shared" si="56"/>
        <v>Total</v>
      </c>
      <c r="C155" s="447">
        <f>SUM(C145:C154)</f>
        <v>78.953427878893464</v>
      </c>
      <c r="D155" s="447">
        <f t="shared" ref="D155:N155" si="58">SUM(D145:D154)</f>
        <v>79.209062004440682</v>
      </c>
      <c r="E155" s="447">
        <f t="shared" si="58"/>
        <v>80.241937797348214</v>
      </c>
      <c r="F155" s="447">
        <f t="shared" si="58"/>
        <v>81.077315060179671</v>
      </c>
      <c r="G155" s="447">
        <f t="shared" si="58"/>
        <v>82.227805576438158</v>
      </c>
      <c r="H155" s="447">
        <f t="shared" si="58"/>
        <v>83.883108312064294</v>
      </c>
      <c r="I155" s="447">
        <f t="shared" si="58"/>
        <v>86.051975750370133</v>
      </c>
      <c r="J155" s="447">
        <f t="shared" si="58"/>
        <v>88.101605697126899</v>
      </c>
      <c r="K155" s="447">
        <f t="shared" si="58"/>
        <v>87.987175799116599</v>
      </c>
      <c r="L155" s="447">
        <f t="shared" si="58"/>
        <v>87.584128160591746</v>
      </c>
      <c r="M155" s="447">
        <f t="shared" si="58"/>
        <v>87.026510801776752</v>
      </c>
      <c r="N155" s="447">
        <f t="shared" si="58"/>
        <v>86.690943655323082</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6">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c r="P161" s="320"/>
    </row>
    <row r="162" spans="1:16">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c r="P162" s="320"/>
    </row>
    <row r="163" spans="1:16">
      <c r="B163" s="331" t="str">
        <f t="shared" si="60"/>
        <v>30-34</v>
      </c>
      <c r="C163" s="447">
        <f>C95*Calc_SEC_retirement_rates!$G142</f>
        <v>0.13430288078426078</v>
      </c>
      <c r="D163" s="447">
        <f>D95*Calc_SEC_retirement_rates!$G142</f>
        <v>0.13765939912429415</v>
      </c>
      <c r="E163" s="447">
        <f>E95*Calc_SEC_retirement_rates!$G142</f>
        <v>0.14515269044227325</v>
      </c>
      <c r="F163" s="447">
        <f>F95*Calc_SEC_retirement_rates!$G142</f>
        <v>0.15445432762233138</v>
      </c>
      <c r="G163" s="447">
        <f>G95*Calc_SEC_retirement_rates!$G142</f>
        <v>0.16530746025529561</v>
      </c>
      <c r="H163" s="447">
        <f>H95*Calc_SEC_retirement_rates!$G142</f>
        <v>0.1783381519536647</v>
      </c>
      <c r="I163" s="447">
        <f>I95*Calc_SEC_retirement_rates!$G142</f>
        <v>0.19325555789636412</v>
      </c>
      <c r="J163" s="447">
        <f>J95*Calc_SEC_retirement_rates!$G142</f>
        <v>0.20768923784232196</v>
      </c>
      <c r="K163" s="447">
        <f>K95*Calc_SEC_retirement_rates!$G142</f>
        <v>0.21421614443052056</v>
      </c>
      <c r="L163" s="447">
        <f>L95*Calc_SEC_retirement_rates!$G142</f>
        <v>0.21770563207819604</v>
      </c>
      <c r="M163" s="447">
        <f>M95*Calc_SEC_retirement_rates!$G142</f>
        <v>0.21876749688718175</v>
      </c>
      <c r="N163" s="447">
        <f>N95*Calc_SEC_retirement_rates!$G142</f>
        <v>0.21898670108151033</v>
      </c>
      <c r="O163" s="320"/>
      <c r="P163" s="320"/>
    </row>
    <row r="164" spans="1:16">
      <c r="B164" s="331" t="str">
        <f t="shared" si="60"/>
        <v>35-39</v>
      </c>
      <c r="C164" s="447">
        <f>C96*Calc_SEC_retirement_rates!$G143</f>
        <v>0.58475450150093866</v>
      </c>
      <c r="D164" s="447">
        <f>D96*Calc_SEC_retirement_rates!$G143</f>
        <v>0.56736800561434064</v>
      </c>
      <c r="E164" s="447">
        <f>E96*Calc_SEC_retirement_rates!$G143</f>
        <v>0.56768409478625781</v>
      </c>
      <c r="F164" s="447">
        <f>F96*Calc_SEC_retirement_rates!$G143</f>
        <v>0.57636726318172604</v>
      </c>
      <c r="G164" s="447">
        <f>G96*Calc_SEC_retirement_rates!$G143</f>
        <v>0.59212011030580103</v>
      </c>
      <c r="H164" s="447">
        <f>H96*Calc_SEC_retirement_rates!$G143</f>
        <v>0.61660007451606824</v>
      </c>
      <c r="I164" s="447">
        <f>I96*Calc_SEC_retirement_rates!$G143</f>
        <v>0.64907134358417018</v>
      </c>
      <c r="J164" s="447">
        <f>J96*Calc_SEC_retirement_rates!$G143</f>
        <v>0.68366996382915801</v>
      </c>
      <c r="K164" s="447">
        <f>K96*Calc_SEC_retirement_rates!$G143</f>
        <v>0.7020650257991351</v>
      </c>
      <c r="L164" s="447">
        <f>L96*Calc_SEC_retirement_rates!$G143</f>
        <v>0.71617050891066747</v>
      </c>
      <c r="M164" s="447">
        <f>M96*Calc_SEC_retirement_rates!$G143</f>
        <v>0.72603012257638289</v>
      </c>
      <c r="N164" s="447">
        <f>N96*Calc_SEC_retirement_rates!$G143</f>
        <v>0.73428636221875743</v>
      </c>
      <c r="O164" s="320"/>
      <c r="P164" s="320"/>
    </row>
    <row r="165" spans="1:16">
      <c r="B165" s="331" t="str">
        <f t="shared" si="60"/>
        <v>40-44</v>
      </c>
      <c r="C165" s="447">
        <f>C97*Calc_SEC_retirement_rates!$G144</f>
        <v>1.5599485232907202</v>
      </c>
      <c r="D165" s="447">
        <f>D97*Calc_SEC_retirement_rates!$G144</f>
        <v>1.4900852089750733</v>
      </c>
      <c r="E165" s="447">
        <f>E97*Calc_SEC_retirement_rates!$G144</f>
        <v>1.4521279353708816</v>
      </c>
      <c r="F165" s="447">
        <f>F97*Calc_SEC_retirement_rates!$G144</f>
        <v>1.4306118035088331</v>
      </c>
      <c r="G165" s="447">
        <f>G97*Calc_SEC_retirement_rates!$G144</f>
        <v>1.4243960989794475</v>
      </c>
      <c r="H165" s="447">
        <f>H97*Calc_SEC_retirement_rates!$G144</f>
        <v>1.4375910800251839</v>
      </c>
      <c r="I165" s="447">
        <f>I97*Calc_SEC_retirement_rates!$G144</f>
        <v>1.4690253362662213</v>
      </c>
      <c r="J165" s="447">
        <f>J97*Calc_SEC_retirement_rates!$G144</f>
        <v>1.5075672683896995</v>
      </c>
      <c r="K165" s="447">
        <f>K97*Calc_SEC_retirement_rates!$G144</f>
        <v>1.5183874042021204</v>
      </c>
      <c r="L165" s="447">
        <f>L97*Calc_SEC_retirement_rates!$G144</f>
        <v>1.526956122994678</v>
      </c>
      <c r="M165" s="447">
        <f>M97*Calc_SEC_retirement_rates!$G144</f>
        <v>1.5338497920321303</v>
      </c>
      <c r="N165" s="447">
        <f>N97*Calc_SEC_retirement_rates!$G144</f>
        <v>1.543779165582903</v>
      </c>
      <c r="O165" s="320"/>
      <c r="P165" s="320"/>
    </row>
    <row r="166" spans="1:16">
      <c r="B166" s="331" t="str">
        <f t="shared" si="60"/>
        <v>45-49</v>
      </c>
      <c r="C166" s="447">
        <f>C98*Calc_SEC_retirement_rates!$G145</f>
        <v>2.1320909287878496</v>
      </c>
      <c r="D166" s="447">
        <f>D98*Calc_SEC_retirement_rates!$G145</f>
        <v>2.1110237580119642</v>
      </c>
      <c r="E166" s="447">
        <f>E98*Calc_SEC_retirement_rates!$G145</f>
        <v>2.1018436810132131</v>
      </c>
      <c r="F166" s="447">
        <f>F98*Calc_SEC_retirement_rates!$G145</f>
        <v>2.0916842431299556</v>
      </c>
      <c r="G166" s="447">
        <f>G98*Calc_SEC_retirement_rates!$G145</f>
        <v>2.0851123765635728</v>
      </c>
      <c r="H166" s="447">
        <f>H98*Calc_SEC_retirement_rates!$G145</f>
        <v>2.0923715036102308</v>
      </c>
      <c r="I166" s="447">
        <f>I98*Calc_SEC_retirement_rates!$G145</f>
        <v>2.1155011883876611</v>
      </c>
      <c r="J166" s="447">
        <f>J98*Calc_SEC_retirement_rates!$G145</f>
        <v>2.1432236951987829</v>
      </c>
      <c r="K166" s="447">
        <f>K98*Calc_SEC_retirement_rates!$G145</f>
        <v>2.1340404177382957</v>
      </c>
      <c r="L166" s="447">
        <f>L98*Calc_SEC_retirement_rates!$G145</f>
        <v>2.1214113665191561</v>
      </c>
      <c r="M166" s="447">
        <f>M98*Calc_SEC_retirement_rates!$G145</f>
        <v>2.1078947718818446</v>
      </c>
      <c r="N166" s="447">
        <f>N98*Calc_SEC_retirement_rates!$G145</f>
        <v>2.1008426523947152</v>
      </c>
      <c r="O166" s="320"/>
      <c r="P166" s="320"/>
    </row>
    <row r="167" spans="1:16">
      <c r="B167" s="331" t="str">
        <f t="shared" si="60"/>
        <v>50-54</v>
      </c>
      <c r="C167" s="447">
        <f>C99*Calc_SEC_retirement_rates!$G146</f>
        <v>36.295582945589807</v>
      </c>
      <c r="D167" s="447">
        <f>D99*Calc_SEC_retirement_rates!$G146</f>
        <v>36.789394878196099</v>
      </c>
      <c r="E167" s="447">
        <f>E99*Calc_SEC_retirement_rates!$G146</f>
        <v>37.498582005116916</v>
      </c>
      <c r="F167" s="447">
        <f>F99*Calc_SEC_retirement_rates!$G146</f>
        <v>38.085018899536436</v>
      </c>
      <c r="G167" s="447">
        <f>G99*Calc_SEC_retirement_rates!$G146</f>
        <v>38.573947943067616</v>
      </c>
      <c r="H167" s="447">
        <f>H99*Calc_SEC_retirement_rates!$G146</f>
        <v>39.132095233080776</v>
      </c>
      <c r="I167" s="447">
        <f>I99*Calc_SEC_retirement_rates!$G146</f>
        <v>39.803762049094431</v>
      </c>
      <c r="J167" s="447">
        <f>J99*Calc_SEC_retirement_rates!$G146</f>
        <v>40.413235977172455</v>
      </c>
      <c r="K167" s="447">
        <f>K99*Calc_SEC_retirement_rates!$G146</f>
        <v>40.265404212503746</v>
      </c>
      <c r="L167" s="447">
        <f>L99*Calc_SEC_retirement_rates!$G146</f>
        <v>39.966719946763099</v>
      </c>
      <c r="M167" s="447">
        <f>M99*Calc_SEC_retirement_rates!$G146</f>
        <v>39.585681015035775</v>
      </c>
      <c r="N167" s="447">
        <f>N99*Calc_SEC_retirement_rates!$G146</f>
        <v>39.273959744838692</v>
      </c>
      <c r="O167" s="320"/>
      <c r="P167" s="320"/>
    </row>
    <row r="168" spans="1:16">
      <c r="B168" s="331" t="str">
        <f t="shared" si="60"/>
        <v>55-59</v>
      </c>
      <c r="C168" s="447">
        <f>C100*Calc_SEC_retirement_rates!$G147</f>
        <v>178.10578707144751</v>
      </c>
      <c r="D168" s="447">
        <f>D100*Calc_SEC_retirement_rates!$G147</f>
        <v>164.63499555445028</v>
      </c>
      <c r="E168" s="447">
        <f>E100*Calc_SEC_retirement_rates!$G147</f>
        <v>159.14512150799604</v>
      </c>
      <c r="F168" s="447">
        <f>F100*Calc_SEC_retirement_rates!$G147</f>
        <v>157.32902375483573</v>
      </c>
      <c r="G168" s="447">
        <f>G100*Calc_SEC_retirement_rates!$G147</f>
        <v>157.56772061921231</v>
      </c>
      <c r="H168" s="447">
        <f>H100*Calc_SEC_retirement_rates!$G147</f>
        <v>159.46371259937214</v>
      </c>
      <c r="I168" s="447">
        <f>I100*Calc_SEC_retirement_rates!$G147</f>
        <v>162.49214852659975</v>
      </c>
      <c r="J168" s="447">
        <f>J100*Calc_SEC_retirement_rates!$G147</f>
        <v>165.36214483769592</v>
      </c>
      <c r="K168" s="447">
        <f>K100*Calc_SEC_retirement_rates!$G147</f>
        <v>164.57377097298095</v>
      </c>
      <c r="L168" s="447">
        <f>L100*Calc_SEC_retirement_rates!$G147</f>
        <v>163.16612001987755</v>
      </c>
      <c r="M168" s="447">
        <f>M100*Calc_SEC_retirement_rates!$G147</f>
        <v>161.37580396849469</v>
      </c>
      <c r="N168" s="447">
        <f>N100*Calc_SEC_retirement_rates!$G147</f>
        <v>159.87317850755795</v>
      </c>
      <c r="O168" s="320"/>
      <c r="P168" s="320"/>
    </row>
    <row r="169" spans="1:16">
      <c r="B169" s="331" t="str">
        <f t="shared" si="60"/>
        <v>60-64</v>
      </c>
      <c r="C169" s="447">
        <f>C101*Calc_SEC_retirement_rates!$G148</f>
        <v>118.85097137777771</v>
      </c>
      <c r="D169" s="447">
        <f>D101*Calc_SEC_retirement_rates!$G148</f>
        <v>116.49550509955618</v>
      </c>
      <c r="E169" s="447">
        <f>E101*Calc_SEC_retirement_rates!$G148</f>
        <v>113.78596794067487</v>
      </c>
      <c r="F169" s="447">
        <f>F101*Calc_SEC_retirement_rates!$G148</f>
        <v>111.62656113731039</v>
      </c>
      <c r="G169" s="447">
        <f>G101*Calc_SEC_retirement_rates!$G148</f>
        <v>110.66692853838677</v>
      </c>
      <c r="H169" s="447">
        <f>H101*Calc_SEC_retirement_rates!$G148</f>
        <v>111.31109556980969</v>
      </c>
      <c r="I169" s="447">
        <f>I101*Calc_SEC_retirement_rates!$G148</f>
        <v>113.23425420113355</v>
      </c>
      <c r="J169" s="447">
        <f>J101*Calc_SEC_retirement_rates!$G148</f>
        <v>115.16919093104971</v>
      </c>
      <c r="K169" s="447">
        <f>K101*Calc_SEC_retirement_rates!$G148</f>
        <v>113.79193982239543</v>
      </c>
      <c r="L169" s="447">
        <f>L101*Calc_SEC_retirement_rates!$G148</f>
        <v>112.19001048742639</v>
      </c>
      <c r="M169" s="447">
        <f>M101*Calc_SEC_retirement_rates!$G148</f>
        <v>110.4860300688764</v>
      </c>
      <c r="N169" s="447">
        <f>N101*Calc_SEC_retirement_rates!$G148</f>
        <v>109.21786876788038</v>
      </c>
      <c r="O169" s="320"/>
      <c r="P169" s="320"/>
    </row>
    <row r="170" spans="1:16">
      <c r="B170" s="331" t="str">
        <f t="shared" si="60"/>
        <v>65 plus</v>
      </c>
      <c r="C170" s="447">
        <f>C102*Calc_SEC_retirement_rates!$G149</f>
        <v>25.67416788256396</v>
      </c>
      <c r="D170" s="447">
        <f>D102*Calc_SEC_retirement_rates!$G149</f>
        <v>33.25388056331748</v>
      </c>
      <c r="E170" s="447">
        <f>E102*Calc_SEC_retirement_rates!$G149</f>
        <v>38.505413209235137</v>
      </c>
      <c r="F170" s="447">
        <f>F102*Calc_SEC_retirement_rates!$G149</f>
        <v>41.713447365475339</v>
      </c>
      <c r="G170" s="447">
        <f>G102*Calc_SEC_retirement_rates!$G149</f>
        <v>43.682212781361017</v>
      </c>
      <c r="H170" s="447">
        <f>H102*Calc_SEC_retirement_rates!$G149</f>
        <v>45.207447271330693</v>
      </c>
      <c r="I170" s="447">
        <f>I102*Calc_SEC_retirement_rates!$G149</f>
        <v>46.65092731846363</v>
      </c>
      <c r="J170" s="447">
        <f>J102*Calc_SEC_retirement_rates!$G149</f>
        <v>47.835333539082313</v>
      </c>
      <c r="K170" s="447">
        <f>K102*Calc_SEC_retirement_rates!$G149</f>
        <v>47.615970418630987</v>
      </c>
      <c r="L170" s="447">
        <f>L102*Calc_SEC_retirement_rates!$G149</f>
        <v>47.057037363725556</v>
      </c>
      <c r="M170" s="447">
        <f>M102*Calc_SEC_retirement_rates!$G149</f>
        <v>46.326433412757673</v>
      </c>
      <c r="N170" s="447">
        <f>N102*Calc_SEC_retirement_rates!$G149</f>
        <v>45.700009139811414</v>
      </c>
      <c r="O170" s="320"/>
      <c r="P170" s="320"/>
    </row>
    <row r="171" spans="1:16">
      <c r="B171" s="331" t="str">
        <f t="shared" si="60"/>
        <v>Total</v>
      </c>
      <c r="C171" s="447">
        <f>SUM(C161:C170)</f>
        <v>363.33760611174279</v>
      </c>
      <c r="D171" s="447">
        <f t="shared" ref="D171:N171" si="62">SUM(D161:D170)</f>
        <v>355.4799124672457</v>
      </c>
      <c r="E171" s="447">
        <f t="shared" si="62"/>
        <v>353.20189306463561</v>
      </c>
      <c r="F171" s="447">
        <f t="shared" si="62"/>
        <v>353.00716879460077</v>
      </c>
      <c r="G171" s="447">
        <f t="shared" si="62"/>
        <v>354.75774592813184</v>
      </c>
      <c r="H171" s="447">
        <f t="shared" si="62"/>
        <v>359.43925148369846</v>
      </c>
      <c r="I171" s="447">
        <f t="shared" si="62"/>
        <v>366.60794552142573</v>
      </c>
      <c r="J171" s="447">
        <f t="shared" si="62"/>
        <v>373.32205545026034</v>
      </c>
      <c r="K171" s="447">
        <f t="shared" si="62"/>
        <v>370.81579441868121</v>
      </c>
      <c r="L171" s="447">
        <f t="shared" si="62"/>
        <v>366.96213144829528</v>
      </c>
      <c r="M171" s="447">
        <f t="shared" si="62"/>
        <v>362.36049064854211</v>
      </c>
      <c r="N171" s="447">
        <f t="shared" si="62"/>
        <v>358.66291104136633</v>
      </c>
      <c r="O171" s="320"/>
      <c r="P171" s="320"/>
    </row>
    <row r="172" spans="1:16">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6" ht="15.75">
      <c r="B174" s="333" t="s">
        <v>527</v>
      </c>
      <c r="H174" s="318"/>
    </row>
    <row r="175" spans="1:16">
      <c r="H175" s="318"/>
    </row>
    <row r="176" spans="1:16">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3.0303127035118602E-2</v>
      </c>
      <c r="D180" s="447">
        <f>D78*Calc_SEC_death_rates!$G125</f>
        <v>3.0233824271521589E-2</v>
      </c>
      <c r="E180" s="447">
        <f>E78*Calc_SEC_death_rates!$G125</f>
        <v>3.2901233522388634E-2</v>
      </c>
      <c r="F180" s="447">
        <f>F78*Calc_SEC_death_rates!$G125</f>
        <v>3.6113105572245119E-2</v>
      </c>
      <c r="G180" s="447">
        <f>G78*Calc_SEC_death_rates!$G125</f>
        <v>3.9684197868890575E-2</v>
      </c>
      <c r="H180" s="447">
        <f>H78*Calc_SEC_death_rates!$G125</f>
        <v>4.3643271538357509E-2</v>
      </c>
      <c r="I180" s="447">
        <f>I78*Calc_SEC_death_rates!$G125</f>
        <v>4.7865439582769023E-2</v>
      </c>
      <c r="J180" s="447">
        <f>J78*Calc_SEC_death_rates!$G125</f>
        <v>5.142757263102124E-2</v>
      </c>
      <c r="K180" s="447">
        <f>K78*Calc_SEC_death_rates!$G125</f>
        <v>5.1515488661285004E-2</v>
      </c>
      <c r="L180" s="447">
        <f>L78*Calc_SEC_death_rates!$G125</f>
        <v>5.0828845578435651E-2</v>
      </c>
      <c r="M180" s="447">
        <f>M78*Calc_SEC_death_rates!$G125</f>
        <v>4.9713586787122573E-2</v>
      </c>
      <c r="N180" s="447">
        <f>N78*Calc_SEC_death_rates!$G125</f>
        <v>4.8809431547108643E-2</v>
      </c>
    </row>
    <row r="181" spans="1:14">
      <c r="B181" s="331" t="str">
        <f t="shared" si="64"/>
        <v>30-34</v>
      </c>
      <c r="C181" s="447">
        <f>C79*Calc_SEC_death_rates!$G126</f>
        <v>0.10407991484406277</v>
      </c>
      <c r="D181" s="447">
        <f>D79*Calc_SEC_death_rates!$G126</f>
        <v>0.10687524076843946</v>
      </c>
      <c r="E181" s="447">
        <f>E79*Calc_SEC_death_rates!$G126</f>
        <v>0.11254277215492084</v>
      </c>
      <c r="F181" s="447">
        <f>F79*Calc_SEC_death_rates!$G126</f>
        <v>0.11901581151298737</v>
      </c>
      <c r="G181" s="447">
        <f>G79*Calc_SEC_death_rates!$G126</f>
        <v>0.12679450530127151</v>
      </c>
      <c r="H181" s="447">
        <f>H79*Calc_SEC_death_rates!$G126</f>
        <v>0.13609781174401867</v>
      </c>
      <c r="I181" s="447">
        <f>I79*Calc_SEC_death_rates!$G126</f>
        <v>0.14677291600656117</v>
      </c>
      <c r="J181" s="447">
        <f>J79*Calc_SEC_death_rates!$G126</f>
        <v>0.15709698664251293</v>
      </c>
      <c r="K181" s="447">
        <f>K79*Calc_SEC_death_rates!$G126</f>
        <v>0.16156817255688977</v>
      </c>
      <c r="L181" s="447">
        <f>L79*Calc_SEC_death_rates!$G126</f>
        <v>0.16377915671213025</v>
      </c>
      <c r="M181" s="447">
        <f>M79*Calc_SEC_death_rates!$G126</f>
        <v>0.16420238147136079</v>
      </c>
      <c r="N181" s="447">
        <f>N79*Calc_SEC_death_rates!$G126</f>
        <v>0.16402940139504332</v>
      </c>
    </row>
    <row r="182" spans="1:14">
      <c r="B182" s="331" t="str">
        <f t="shared" si="64"/>
        <v>35-39</v>
      </c>
      <c r="C182" s="447">
        <f>C80*Calc_SEC_death_rates!$G127</f>
        <v>0.2450376718040109</v>
      </c>
      <c r="D182" s="447">
        <f>D80*Calc_SEC_death_rates!$G127</f>
        <v>0.23807693010880585</v>
      </c>
      <c r="E182" s="447">
        <f>E80*Calc_SEC_death_rates!$G127</f>
        <v>0.23887168638684025</v>
      </c>
      <c r="F182" s="447">
        <f>F80*Calc_SEC_death_rates!$G127</f>
        <v>0.24251325630077109</v>
      </c>
      <c r="G182" s="447">
        <f>G80*Calc_SEC_death_rates!$G127</f>
        <v>0.24936969016760363</v>
      </c>
      <c r="H182" s="447">
        <f>H80*Calc_SEC_death_rates!$G127</f>
        <v>0.25948780697147228</v>
      </c>
      <c r="I182" s="447">
        <f>I80*Calc_SEC_death_rates!$G127</f>
        <v>0.27263802114298136</v>
      </c>
      <c r="J182" s="447">
        <f>J80*Calc_SEC_death_rates!$G127</f>
        <v>0.28658361496451956</v>
      </c>
      <c r="K182" s="447">
        <f>K80*Calc_SEC_death_rates!$G127</f>
        <v>0.29416118717822004</v>
      </c>
      <c r="L182" s="447">
        <f>L80*Calc_SEC_death_rates!$G127</f>
        <v>0.2999420618336644</v>
      </c>
      <c r="M182" s="447">
        <f>M80*Calc_SEC_death_rates!$G127</f>
        <v>0.30393893013315582</v>
      </c>
      <c r="N182" s="447">
        <f>N80*Calc_SEC_death_rates!$G127</f>
        <v>0.30719383771135733</v>
      </c>
    </row>
    <row r="183" spans="1:14">
      <c r="B183" s="331" t="str">
        <f t="shared" si="64"/>
        <v>40-44</v>
      </c>
      <c r="C183" s="447">
        <f>C81*Calc_SEC_death_rates!$G128</f>
        <v>0.36862639672220765</v>
      </c>
      <c r="D183" s="447">
        <f>D81*Calc_SEC_death_rates!$G128</f>
        <v>0.36419174405806448</v>
      </c>
      <c r="E183" s="447">
        <f>E81*Calc_SEC_death_rates!$G128</f>
        <v>0.36529988350311449</v>
      </c>
      <c r="F183" s="447">
        <f>F81*Calc_SEC_death_rates!$G128</f>
        <v>0.3674146790458393</v>
      </c>
      <c r="G183" s="447">
        <f>G81*Calc_SEC_death_rates!$G128</f>
        <v>0.3723400787183615</v>
      </c>
      <c r="H183" s="447">
        <f>H81*Calc_SEC_death_rates!$G128</f>
        <v>0.38065208500215286</v>
      </c>
      <c r="I183" s="447">
        <f>I81*Calc_SEC_death_rates!$G128</f>
        <v>0.39245475946810998</v>
      </c>
      <c r="J183" s="447">
        <f>J81*Calc_SEC_death_rates!$G128</f>
        <v>0.40526621886415759</v>
      </c>
      <c r="K183" s="447">
        <f>K81*Calc_SEC_death_rates!$G128</f>
        <v>0.41056989523179904</v>
      </c>
      <c r="L183" s="447">
        <f>L81*Calc_SEC_death_rates!$G128</f>
        <v>0.41479688783548385</v>
      </c>
      <c r="M183" s="447">
        <f>M81*Calc_SEC_death_rates!$G128</f>
        <v>0.41817967259975164</v>
      </c>
      <c r="N183" s="447">
        <f>N81*Calc_SEC_death_rates!$G128</f>
        <v>0.42196378119790717</v>
      </c>
    </row>
    <row r="184" spans="1:14">
      <c r="B184" s="331" t="str">
        <f t="shared" si="64"/>
        <v>45-49</v>
      </c>
      <c r="C184" s="447">
        <f>C82*Calc_SEC_death_rates!$G129</f>
        <v>0.48596910612726951</v>
      </c>
      <c r="D184" s="447">
        <f>D82*Calc_SEC_death_rates!$G129</f>
        <v>0.48637080144248446</v>
      </c>
      <c r="E184" s="447">
        <f>E82*Calc_SEC_death_rates!$G129</f>
        <v>0.49360201987001029</v>
      </c>
      <c r="F184" s="447">
        <f>F82*Calc_SEC_death_rates!$G129</f>
        <v>0.5001649305195659</v>
      </c>
      <c r="G184" s="447">
        <f>G82*Calc_SEC_death_rates!$G129</f>
        <v>0.50864588241435271</v>
      </c>
      <c r="H184" s="447">
        <f>H82*Calc_SEC_death_rates!$G129</f>
        <v>0.51964362680301168</v>
      </c>
      <c r="I184" s="447">
        <f>I82*Calc_SEC_death_rates!$G129</f>
        <v>0.53352477325327907</v>
      </c>
      <c r="J184" s="447">
        <f>J82*Calc_SEC_death_rates!$G129</f>
        <v>0.54748466068181723</v>
      </c>
      <c r="K184" s="447">
        <f>K82*Calc_SEC_death_rates!$G129</f>
        <v>0.55125362313754689</v>
      </c>
      <c r="L184" s="447">
        <f>L82*Calc_SEC_death_rates!$G129</f>
        <v>0.55325324192191261</v>
      </c>
      <c r="M184" s="447">
        <f>M82*Calc_SEC_death_rates!$G129</f>
        <v>0.55422173632367144</v>
      </c>
      <c r="N184" s="447">
        <f>N82*Calc_SEC_death_rates!$G129</f>
        <v>0.5560915699030553</v>
      </c>
    </row>
    <row r="185" spans="1:14">
      <c r="B185" s="331" t="str">
        <f t="shared" si="64"/>
        <v>50-54</v>
      </c>
      <c r="C185" s="447">
        <f>C83*Calc_SEC_death_rates!$G130</f>
        <v>0.48296548158236402</v>
      </c>
      <c r="D185" s="447">
        <f>D83*Calc_SEC_death_rates!$G130</f>
        <v>0.47698728661235124</v>
      </c>
      <c r="E185" s="447">
        <f>E83*Calc_SEC_death_rates!$G130</f>
        <v>0.4798406937496057</v>
      </c>
      <c r="F185" s="447">
        <f>F83*Calc_SEC_death_rates!$G130</f>
        <v>0.48436226980901592</v>
      </c>
      <c r="G185" s="447">
        <f>G83*Calc_SEC_death_rates!$G130</f>
        <v>0.49169349878325652</v>
      </c>
      <c r="H185" s="447">
        <f>H83*Calc_SEC_death_rates!$G130</f>
        <v>0.50178918798200889</v>
      </c>
      <c r="I185" s="447">
        <f>I83*Calc_SEC_death_rates!$G130</f>
        <v>0.51450074595427131</v>
      </c>
      <c r="J185" s="447">
        <f>J83*Calc_SEC_death_rates!$G130</f>
        <v>0.5270856346009134</v>
      </c>
      <c r="K185" s="447">
        <f>K83*Calc_SEC_death_rates!$G130</f>
        <v>0.53038372521099686</v>
      </c>
      <c r="L185" s="447">
        <f>L83*Calc_SEC_death_rates!$G130</f>
        <v>0.53160705224159854</v>
      </c>
      <c r="M185" s="447">
        <f>M83*Calc_SEC_death_rates!$G130</f>
        <v>0.53144654316716411</v>
      </c>
      <c r="N185" s="447">
        <f>N83*Calc_SEC_death_rates!$G130</f>
        <v>0.53172037965415764</v>
      </c>
    </row>
    <row r="186" spans="1:14">
      <c r="B186" s="331" t="str">
        <f t="shared" si="64"/>
        <v>55-59</v>
      </c>
      <c r="C186" s="447">
        <f>C84*Calc_SEC_death_rates!$G131</f>
        <v>0.41365978181140134</v>
      </c>
      <c r="D186" s="447">
        <f>D84*Calc_SEC_death_rates!$G131</f>
        <v>0.39285391602451603</v>
      </c>
      <c r="E186" s="447">
        <f>E84*Calc_SEC_death_rates!$G131</f>
        <v>0.3853476202728327</v>
      </c>
      <c r="F186" s="447">
        <f>F84*Calc_SEC_death_rates!$G131</f>
        <v>0.38269983962913118</v>
      </c>
      <c r="G186" s="447">
        <f>G84*Calc_SEC_death_rates!$G131</f>
        <v>0.38463892288408963</v>
      </c>
      <c r="H186" s="447">
        <f>H84*Calc_SEC_death_rates!$G131</f>
        <v>0.39046588439775315</v>
      </c>
      <c r="I186" s="447">
        <f>I84*Calc_SEC_death_rates!$G131</f>
        <v>0.39939434696341186</v>
      </c>
      <c r="J186" s="447">
        <f>J84*Calc_SEC_death_rates!$G131</f>
        <v>0.40837434795105143</v>
      </c>
      <c r="K186" s="447">
        <f>K84*Calc_SEC_death_rates!$G131</f>
        <v>0.40871770952794678</v>
      </c>
      <c r="L186" s="447">
        <f>L84*Calc_SEC_death_rates!$G131</f>
        <v>0.40792131432356682</v>
      </c>
      <c r="M186" s="447">
        <f>M84*Calc_SEC_death_rates!$G131</f>
        <v>0.40637932921909664</v>
      </c>
      <c r="N186" s="447">
        <f>N84*Calc_SEC_death_rates!$G131</f>
        <v>0.40559180098358111</v>
      </c>
    </row>
    <row r="187" spans="1:14">
      <c r="B187" s="331" t="str">
        <f t="shared" si="64"/>
        <v>60-64</v>
      </c>
      <c r="C187" s="447">
        <f>C85*Calc_SEC_death_rates!$G132</f>
        <v>0.24434099794818595</v>
      </c>
      <c r="D187" s="447">
        <f>D85*Calc_SEC_death_rates!$G132</f>
        <v>0.25180268492145097</v>
      </c>
      <c r="E187" s="447">
        <f>E85*Calc_SEC_death_rates!$G132</f>
        <v>0.2560689328753008</v>
      </c>
      <c r="F187" s="447">
        <f>F85*Calc_SEC_death_rates!$G132</f>
        <v>0.25778743374330992</v>
      </c>
      <c r="G187" s="447">
        <f>G85*Calc_SEC_death_rates!$G132</f>
        <v>0.2600249180818785</v>
      </c>
      <c r="H187" s="447">
        <f>H85*Calc_SEC_death_rates!$G132</f>
        <v>0.26422838558312756</v>
      </c>
      <c r="I187" s="447">
        <f>I85*Calc_SEC_death_rates!$G132</f>
        <v>0.27049435472992128</v>
      </c>
      <c r="J187" s="447">
        <f>J85*Calc_SEC_death_rates!$G132</f>
        <v>0.27637543780476159</v>
      </c>
      <c r="K187" s="447">
        <f>K85*Calc_SEC_death_rates!$G132</f>
        <v>0.2742426633099545</v>
      </c>
      <c r="L187" s="447">
        <f>L85*Calc_SEC_death_rates!$G132</f>
        <v>0.27154732560639183</v>
      </c>
      <c r="M187" s="447">
        <f>M85*Calc_SEC_death_rates!$G132</f>
        <v>0.26869220449798215</v>
      </c>
      <c r="N187" s="447">
        <f>N85*Calc_SEC_death_rates!$G132</f>
        <v>0.26697336771061769</v>
      </c>
    </row>
    <row r="188" spans="1:14">
      <c r="B188" s="331" t="str">
        <f t="shared" si="64"/>
        <v>65 plus</v>
      </c>
      <c r="C188" s="447">
        <f>C86*Calc_SEC_death_rates!$G133</f>
        <v>5.4061969558589267E-2</v>
      </c>
      <c r="D188" s="447">
        <f>D86*Calc_SEC_death_rates!$G133</f>
        <v>7.3511447119505718E-2</v>
      </c>
      <c r="E188" s="447">
        <f>E86*Calc_SEC_death_rates!$G133</f>
        <v>8.8137493147248558E-2</v>
      </c>
      <c r="F188" s="447">
        <f>F86*Calc_SEC_death_rates!$G133</f>
        <v>9.744660380382629E-2</v>
      </c>
      <c r="G188" s="447">
        <f>G86*Calc_SEC_death_rates!$G133</f>
        <v>0.10398125368181921</v>
      </c>
      <c r="H188" s="447">
        <f>H86*Calc_SEC_death_rates!$G133</f>
        <v>0.10912843467912516</v>
      </c>
      <c r="I188" s="447">
        <f>I86*Calc_SEC_death_rates!$G133</f>
        <v>0.11378320956342693</v>
      </c>
      <c r="J188" s="447">
        <f>J86*Calc_SEC_death_rates!$G133</f>
        <v>0.11746352111153503</v>
      </c>
      <c r="K188" s="447">
        <f>K86*Calc_SEC_death_rates!$G133</f>
        <v>0.11711910989053036</v>
      </c>
      <c r="L188" s="447">
        <f>L86*Calc_SEC_death_rates!$G133</f>
        <v>0.11590655738347477</v>
      </c>
      <c r="M188" s="447">
        <f>M86*Calc_SEC_death_rates!$G133</f>
        <v>0.11430391257557068</v>
      </c>
      <c r="N188" s="447">
        <f>N86*Calc_SEC_death_rates!$G133</f>
        <v>0.11306997037194527</v>
      </c>
    </row>
    <row r="189" spans="1:14">
      <c r="B189" s="331" t="str">
        <f t="shared" si="64"/>
        <v>Total</v>
      </c>
      <c r="C189" s="447">
        <f>SUM(C179:C188)</f>
        <v>2.4290444474332102</v>
      </c>
      <c r="D189" s="447">
        <f t="shared" ref="D189:N189" si="66">SUM(D179:D188)</f>
        <v>2.4209038753271397</v>
      </c>
      <c r="E189" s="447">
        <f t="shared" si="66"/>
        <v>2.4526123354822622</v>
      </c>
      <c r="F189" s="447">
        <f t="shared" si="66"/>
        <v>2.4875179299366916</v>
      </c>
      <c r="G189" s="447">
        <f t="shared" si="66"/>
        <v>2.5371729479015239</v>
      </c>
      <c r="H189" s="447">
        <f t="shared" si="66"/>
        <v>2.605136494701028</v>
      </c>
      <c r="I189" s="447">
        <f t="shared" si="66"/>
        <v>2.6914285666647317</v>
      </c>
      <c r="J189" s="447">
        <f t="shared" si="66"/>
        <v>2.7771579952522902</v>
      </c>
      <c r="K189" s="447">
        <f t="shared" si="66"/>
        <v>2.7995315747051692</v>
      </c>
      <c r="L189" s="447">
        <f t="shared" si="66"/>
        <v>2.8095824434366592</v>
      </c>
      <c r="M189" s="447">
        <f t="shared" si="66"/>
        <v>2.811078296774876</v>
      </c>
      <c r="N189" s="447">
        <f t="shared" si="66"/>
        <v>2.8154435404747735</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4">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8"/>
        <v>25-29</v>
      </c>
      <c r="C196" s="447">
        <f>C94*Calc_SEC_death_rates!$G141</f>
        <v>0.16113490040416389</v>
      </c>
      <c r="D196" s="447">
        <f>D94*Calc_SEC_death_rates!$G141</f>
        <v>0.16635915155526948</v>
      </c>
      <c r="E196" s="447">
        <f>E94*Calc_SEC_death_rates!$G141</f>
        <v>0.18525022521237156</v>
      </c>
      <c r="F196" s="447">
        <f>F94*Calc_SEC_death_rates!$G141</f>
        <v>0.20719575279096486</v>
      </c>
      <c r="G196" s="447">
        <f>G94*Calc_SEC_death_rates!$G141</f>
        <v>0.23001512253908363</v>
      </c>
      <c r="H196" s="447">
        <f>H94*Calc_SEC_death_rates!$G141</f>
        <v>0.25479244619287833</v>
      </c>
      <c r="I196" s="447">
        <f>I94*Calc_SEC_death_rates!$G141</f>
        <v>0.28089022515488554</v>
      </c>
      <c r="J196" s="447">
        <f>J94*Calc_SEC_death_rates!$G141</f>
        <v>0.303079593336193</v>
      </c>
      <c r="K196" s="447">
        <f>K94*Calc_SEC_death_rates!$G141</f>
        <v>0.30523607623131627</v>
      </c>
      <c r="L196" s="447">
        <f>L94*Calc_SEC_death_rates!$G141</f>
        <v>0.30257853109870941</v>
      </c>
      <c r="M196" s="447">
        <f>M94*Calc_SEC_death_rates!$G141</f>
        <v>0.29710708038390637</v>
      </c>
      <c r="N196" s="447">
        <f>N94*Calc_SEC_death_rates!$G141</f>
        <v>0.29252982057303789</v>
      </c>
    </row>
    <row r="197" spans="1:14">
      <c r="B197" s="331" t="str">
        <f t="shared" si="68"/>
        <v>30-34</v>
      </c>
      <c r="C197" s="447">
        <f>C95*Calc_SEC_death_rates!$G142</f>
        <v>0.14682306604115444</v>
      </c>
      <c r="D197" s="447">
        <f>D95*Calc_SEC_death_rates!$G142</f>
        <v>0.15049249078490737</v>
      </c>
      <c r="E197" s="447">
        <f>E95*Calc_SEC_death_rates!$G142</f>
        <v>0.15868433298233986</v>
      </c>
      <c r="F197" s="447">
        <f>F95*Calc_SEC_death_rates!$G142</f>
        <v>0.16885310138107837</v>
      </c>
      <c r="G197" s="447">
        <f>G95*Calc_SEC_death_rates!$G142</f>
        <v>0.180718001076587</v>
      </c>
      <c r="H197" s="447">
        <f>H95*Calc_SEC_death_rates!$G142</f>
        <v>0.19496345952557498</v>
      </c>
      <c r="I197" s="447">
        <f>I95*Calc_SEC_death_rates!$G142</f>
        <v>0.21127151833338234</v>
      </c>
      <c r="J197" s="447">
        <f>J95*Calc_SEC_death_rates!$G142</f>
        <v>0.22705075651164938</v>
      </c>
      <c r="K197" s="447">
        <f>K95*Calc_SEC_death_rates!$G142</f>
        <v>0.23418612420776685</v>
      </c>
      <c r="L197" s="447">
        <f>L95*Calc_SEC_death_rates!$G142</f>
        <v>0.2380009141240565</v>
      </c>
      <c r="M197" s="447">
        <f>M95*Calc_SEC_death_rates!$G142</f>
        <v>0.23916176969220271</v>
      </c>
      <c r="N197" s="447">
        <f>N95*Calc_SEC_death_rates!$G142</f>
        <v>0.23940140886980235</v>
      </c>
    </row>
    <row r="198" spans="1:14">
      <c r="B198" s="331" t="str">
        <f t="shared" si="68"/>
        <v>35-39</v>
      </c>
      <c r="C198" s="447">
        <f>C96*Calc_SEC_death_rates!$G143</f>
        <v>0.84018990541311889</v>
      </c>
      <c r="D198" s="447">
        <f>D96*Calc_SEC_death_rates!$G143</f>
        <v>0.81520855290205496</v>
      </c>
      <c r="E198" s="447">
        <f>E96*Calc_SEC_death_rates!$G143</f>
        <v>0.81566271773665411</v>
      </c>
      <c r="F198" s="447">
        <f>F96*Calc_SEC_death_rates!$G143</f>
        <v>0.82813891144555007</v>
      </c>
      <c r="G198" s="447">
        <f>G96*Calc_SEC_death_rates!$G143</f>
        <v>0.85077299652089611</v>
      </c>
      <c r="H198" s="447">
        <f>H96*Calc_SEC_death_rates!$G143</f>
        <v>0.88594642188410033</v>
      </c>
      <c r="I198" s="447">
        <f>I96*Calc_SEC_death_rates!$G143</f>
        <v>0.93260195410650371</v>
      </c>
      <c r="J198" s="447">
        <f>J96*Calc_SEC_death_rates!$G143</f>
        <v>0.9823141177520095</v>
      </c>
      <c r="K198" s="447">
        <f>K96*Calc_SEC_death_rates!$G143</f>
        <v>1.0087446032582399</v>
      </c>
      <c r="L198" s="447">
        <f>L96*Calc_SEC_death_rates!$G143</f>
        <v>1.0290117144833182</v>
      </c>
      <c r="M198" s="447">
        <f>M96*Calc_SEC_death_rates!$G143</f>
        <v>1.043178254205448</v>
      </c>
      <c r="N198" s="447">
        <f>N96*Calc_SEC_death_rates!$G143</f>
        <v>1.0550410259949587</v>
      </c>
    </row>
    <row r="199" spans="1:14">
      <c r="B199" s="331" t="str">
        <f t="shared" si="68"/>
        <v>40-44</v>
      </c>
      <c r="C199" s="447">
        <f>C97*Calc_SEC_death_rates!$G144</f>
        <v>0.84117114921860703</v>
      </c>
      <c r="D199" s="447">
        <f>D97*Calc_SEC_death_rates!$G144</f>
        <v>0.803498749447912</v>
      </c>
      <c r="E199" s="447">
        <f>E97*Calc_SEC_death_rates!$G144</f>
        <v>0.78303104619864738</v>
      </c>
      <c r="F199" s="447">
        <f>F97*Calc_SEC_death_rates!$G144</f>
        <v>0.77142890093877747</v>
      </c>
      <c r="G199" s="447">
        <f>G97*Calc_SEC_death_rates!$G144</f>
        <v>0.76807720615903108</v>
      </c>
      <c r="H199" s="447">
        <f>H97*Calc_SEC_death_rates!$G144</f>
        <v>0.77519233669343224</v>
      </c>
      <c r="I199" s="447">
        <f>I97*Calc_SEC_death_rates!$G144</f>
        <v>0.79214263284251729</v>
      </c>
      <c r="J199" s="447">
        <f>J97*Calc_SEC_death_rates!$G144</f>
        <v>0.81292560154524129</v>
      </c>
      <c r="K199" s="447">
        <f>K97*Calc_SEC_death_rates!$G144</f>
        <v>0.81876014412157949</v>
      </c>
      <c r="L199" s="447">
        <f>L97*Calc_SEC_death_rates!$G144</f>
        <v>0.82338065494386103</v>
      </c>
      <c r="M199" s="447">
        <f>M97*Calc_SEC_death_rates!$G144</f>
        <v>0.82709792857179709</v>
      </c>
      <c r="N199" s="447">
        <f>N97*Calc_SEC_death_rates!$G144</f>
        <v>0.83245214535268486</v>
      </c>
    </row>
    <row r="200" spans="1:14">
      <c r="B200" s="331" t="str">
        <f t="shared" si="68"/>
        <v>45-49</v>
      </c>
      <c r="C200" s="447">
        <f>C98*Calc_SEC_death_rates!$G145</f>
        <v>1.4673846861528306</v>
      </c>
      <c r="D200" s="447">
        <f>D98*Calc_SEC_death_rates!$G145</f>
        <v>1.4528854716213584</v>
      </c>
      <c r="E200" s="447">
        <f>E98*Calc_SEC_death_rates!$G145</f>
        <v>1.4465673994304458</v>
      </c>
      <c r="F200" s="447">
        <f>F98*Calc_SEC_death_rates!$G145</f>
        <v>1.4395752944650688</v>
      </c>
      <c r="G200" s="447">
        <f>G98*Calc_SEC_death_rates!$G145</f>
        <v>1.4350522902025666</v>
      </c>
      <c r="H200" s="447">
        <f>H98*Calc_SEC_death_rates!$G145</f>
        <v>1.4400482928210663</v>
      </c>
      <c r="I200" s="447">
        <f>I98*Calc_SEC_death_rates!$G145</f>
        <v>1.4559670065962051</v>
      </c>
      <c r="J200" s="447">
        <f>J98*Calc_SEC_death_rates!$G145</f>
        <v>1.4750466721991797</v>
      </c>
      <c r="K200" s="447">
        <f>K98*Calc_SEC_death_rates!$G145</f>
        <v>1.4687263973308502</v>
      </c>
      <c r="L200" s="447">
        <f>L98*Calc_SEC_death_rates!$G145</f>
        <v>1.4600346121403651</v>
      </c>
      <c r="M200" s="447">
        <f>M98*Calc_SEC_death_rates!$G145</f>
        <v>1.450731986388375</v>
      </c>
      <c r="N200" s="447">
        <f>N98*Calc_SEC_death_rates!$G145</f>
        <v>1.4458784541113927</v>
      </c>
    </row>
    <row r="201" spans="1:14">
      <c r="B201" s="331" t="str">
        <f t="shared" si="68"/>
        <v>50-54</v>
      </c>
      <c r="C201" s="447">
        <f>C99*Calc_SEC_death_rates!$G146</f>
        <v>1.809641229492067</v>
      </c>
      <c r="D201" s="447">
        <f>D99*Calc_SEC_death_rates!$G146</f>
        <v>1.8342619232607584</v>
      </c>
      <c r="E201" s="447">
        <f>E99*Calc_SEC_death_rates!$G146</f>
        <v>1.8696208887366625</v>
      </c>
      <c r="F201" s="447">
        <f>F99*Calc_SEC_death_rates!$G146</f>
        <v>1.8988597188231706</v>
      </c>
      <c r="G201" s="447">
        <f>G99*Calc_SEC_death_rates!$G146</f>
        <v>1.9232369593484573</v>
      </c>
      <c r="H201" s="447">
        <f>H99*Calc_SEC_death_rates!$G146</f>
        <v>1.9510653138248473</v>
      </c>
      <c r="I201" s="447">
        <f>I99*Calc_SEC_death_rates!$G146</f>
        <v>1.9845535750428052</v>
      </c>
      <c r="J201" s="447">
        <f>J99*Calc_SEC_death_rates!$G146</f>
        <v>2.0149409957436619</v>
      </c>
      <c r="K201" s="447">
        <f>K99*Calc_SEC_death_rates!$G146</f>
        <v>2.007570334228896</v>
      </c>
      <c r="L201" s="447">
        <f>L99*Calc_SEC_death_rates!$G146</f>
        <v>1.9926784019875781</v>
      </c>
      <c r="M201" s="447">
        <f>M99*Calc_SEC_death_rates!$G146</f>
        <v>1.973680394380728</v>
      </c>
      <c r="N201" s="447">
        <f>N99*Calc_SEC_death_rates!$G146</f>
        <v>1.9581384574044318</v>
      </c>
    </row>
    <row r="202" spans="1:14">
      <c r="B202" s="331" t="str">
        <f t="shared" si="68"/>
        <v>55-59</v>
      </c>
      <c r="C202" s="447">
        <f>C100*Calc_SEC_death_rates!$G147</f>
        <v>1.8004341914007189</v>
      </c>
      <c r="D202" s="447">
        <f>D100*Calc_SEC_death_rates!$G147</f>
        <v>1.6642607742915754</v>
      </c>
      <c r="E202" s="447">
        <f>E100*Calc_SEC_death_rates!$G147</f>
        <v>1.6087647845079609</v>
      </c>
      <c r="F202" s="447">
        <f>F100*Calc_SEC_death_rates!$G147</f>
        <v>1.5904062317428889</v>
      </c>
      <c r="G202" s="447">
        <f>G100*Calc_SEC_death_rates!$G147</f>
        <v>1.5928191684759965</v>
      </c>
      <c r="H202" s="447">
        <f>H100*Calc_SEC_death_rates!$G147</f>
        <v>1.6119853552901955</v>
      </c>
      <c r="I202" s="447">
        <f>I100*Calc_SEC_death_rates!$G147</f>
        <v>1.642599181373565</v>
      </c>
      <c r="J202" s="447">
        <f>J100*Calc_SEC_death_rates!$G147</f>
        <v>1.671611374478883</v>
      </c>
      <c r="K202" s="447">
        <f>K100*Calc_SEC_death_rates!$G147</f>
        <v>1.6636418677886249</v>
      </c>
      <c r="L202" s="447">
        <f>L100*Calc_SEC_death_rates!$G147</f>
        <v>1.6494122183920643</v>
      </c>
      <c r="M202" s="447">
        <f>M100*Calc_SEC_death_rates!$G147</f>
        <v>1.6313142874639124</v>
      </c>
      <c r="N202" s="447">
        <f>N100*Calc_SEC_death_rates!$G147</f>
        <v>1.6161245606098684</v>
      </c>
    </row>
    <row r="203" spans="1:14">
      <c r="B203" s="331" t="str">
        <f t="shared" si="68"/>
        <v>60-64</v>
      </c>
      <c r="C203" s="447">
        <f>C101*Calc_SEC_death_rates!$G148</f>
        <v>0.68995159430494057</v>
      </c>
      <c r="D203" s="447">
        <f>D101*Calc_SEC_death_rates!$G148</f>
        <v>0.67627768238692376</v>
      </c>
      <c r="E203" s="447">
        <f>E101*Calc_SEC_death_rates!$G148</f>
        <v>0.66054832434359367</v>
      </c>
      <c r="F203" s="447">
        <f>F101*Calc_SEC_death_rates!$G148</f>
        <v>0.64801257348297581</v>
      </c>
      <c r="G203" s="447">
        <f>G101*Calc_SEC_death_rates!$G148</f>
        <v>0.64244173099091229</v>
      </c>
      <c r="H203" s="447">
        <f>H101*Calc_SEC_death_rates!$G148</f>
        <v>0.6461812382509432</v>
      </c>
      <c r="I203" s="447">
        <f>I101*Calc_SEC_death_rates!$G148</f>
        <v>0.65734552532745005</v>
      </c>
      <c r="J203" s="447">
        <f>J101*Calc_SEC_death_rates!$G148</f>
        <v>0.66857818641728994</v>
      </c>
      <c r="K203" s="447">
        <f>K101*Calc_SEC_death_rates!$G148</f>
        <v>0.66058299220761152</v>
      </c>
      <c r="L203" s="447">
        <f>L101*Calc_SEC_death_rates!$G148</f>
        <v>0.65128349986175083</v>
      </c>
      <c r="M203" s="447">
        <f>M101*Calc_SEC_death_rates!$G148</f>
        <v>0.64139158233836757</v>
      </c>
      <c r="N203" s="447">
        <f>N101*Calc_SEC_death_rates!$G148</f>
        <v>0.63402967438494517</v>
      </c>
    </row>
    <row r="204" spans="1:14">
      <c r="B204" s="331" t="str">
        <f t="shared" si="68"/>
        <v>65 plus</v>
      </c>
      <c r="C204" s="447">
        <f>C102*Calc_SEC_death_rates!$G149</f>
        <v>0.63086551375593447</v>
      </c>
      <c r="D204" s="447">
        <f>D102*Calc_SEC_death_rates!$G149</f>
        <v>0.81711417257666996</v>
      </c>
      <c r="E204" s="447">
        <f>E102*Calc_SEC_death_rates!$G149</f>
        <v>0.94615480422739862</v>
      </c>
      <c r="F204" s="447">
        <f>F102*Calc_SEC_death_rates!$G149</f>
        <v>1.0249826020894477</v>
      </c>
      <c r="G204" s="447">
        <f>G102*Calc_SEC_death_rates!$G149</f>
        <v>1.0733590951948435</v>
      </c>
      <c r="H204" s="447">
        <f>H102*Calc_SEC_death_rates!$G149</f>
        <v>1.1108371487977593</v>
      </c>
      <c r="I204" s="447">
        <f>I102*Calc_SEC_death_rates!$G149</f>
        <v>1.1463063326753564</v>
      </c>
      <c r="J204" s="447">
        <f>J102*Calc_SEC_death_rates!$G149</f>
        <v>1.1754095558950572</v>
      </c>
      <c r="K204" s="447">
        <f>K102*Calc_SEC_death_rates!$G149</f>
        <v>1.1700193664908425</v>
      </c>
      <c r="L204" s="447">
        <f>L102*Calc_SEC_death_rates!$G149</f>
        <v>1.1562852665016636</v>
      </c>
      <c r="M204" s="447">
        <f>M102*Calc_SEC_death_rates!$G149</f>
        <v>1.138332870186904</v>
      </c>
      <c r="N204" s="447">
        <f>N102*Calc_SEC_death_rates!$G149</f>
        <v>1.1229403763546184</v>
      </c>
    </row>
    <row r="205" spans="1:14">
      <c r="B205" s="331" t="str">
        <f t="shared" si="68"/>
        <v>Total</v>
      </c>
      <c r="C205" s="447">
        <f>SUM(C195:C204)</f>
        <v>8.3875962361835352</v>
      </c>
      <c r="D205" s="447">
        <f t="shared" ref="D205:N205" si="70">SUM(D195:D204)</f>
        <v>8.38035896882743</v>
      </c>
      <c r="E205" s="447">
        <f t="shared" si="70"/>
        <v>8.474284523376074</v>
      </c>
      <c r="F205" s="447">
        <f t="shared" si="70"/>
        <v>8.5774530871599222</v>
      </c>
      <c r="G205" s="447">
        <f t="shared" si="70"/>
        <v>8.696492570508374</v>
      </c>
      <c r="H205" s="447">
        <f t="shared" si="70"/>
        <v>8.8710120132807972</v>
      </c>
      <c r="I205" s="447">
        <f t="shared" si="70"/>
        <v>9.1036779514526707</v>
      </c>
      <c r="J205" s="447">
        <f t="shared" si="70"/>
        <v>9.3309568538791652</v>
      </c>
      <c r="K205" s="447">
        <f t="shared" si="70"/>
        <v>9.3374679058657293</v>
      </c>
      <c r="L205" s="447">
        <f t="shared" si="70"/>
        <v>9.302665813533368</v>
      </c>
      <c r="M205" s="447">
        <f t="shared" si="70"/>
        <v>9.2419961536116411</v>
      </c>
      <c r="N205" s="447">
        <f t="shared" si="70"/>
        <v>9.1965359236557394</v>
      </c>
    </row>
    <row r="206" spans="1:14">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4" ht="15.75">
      <c r="B208" s="333" t="s">
        <v>166</v>
      </c>
      <c r="C208" s="322"/>
      <c r="D208" s="322"/>
      <c r="E208" s="322"/>
      <c r="F208" s="322"/>
      <c r="G208" s="322"/>
      <c r="H208" s="332"/>
      <c r="I208" s="322"/>
      <c r="J208" s="322"/>
      <c r="K208" s="322"/>
      <c r="L208" s="322"/>
    </row>
    <row r="209" spans="1:15">
      <c r="C209" s="322"/>
      <c r="D209" s="322"/>
      <c r="E209" s="322"/>
      <c r="F209" s="322"/>
      <c r="G209" s="322"/>
      <c r="H209" s="332"/>
      <c r="I209" s="322"/>
      <c r="J209" s="322"/>
      <c r="K209" s="322"/>
      <c r="L209" s="322"/>
    </row>
    <row r="210" spans="1:15">
      <c r="B210" s="334" t="s">
        <v>46</v>
      </c>
      <c r="C210" s="322"/>
      <c r="D210" s="322"/>
      <c r="E210" s="322"/>
      <c r="F210" s="322"/>
      <c r="G210" s="322"/>
      <c r="H210" s="332"/>
      <c r="I210" s="322"/>
      <c r="J210" s="322"/>
      <c r="K210" s="322"/>
      <c r="L210" s="322"/>
    </row>
    <row r="211" spans="1:15">
      <c r="C211" s="322"/>
      <c r="D211" s="322"/>
      <c r="E211" s="322"/>
      <c r="F211" s="322"/>
      <c r="G211" s="322"/>
      <c r="H211" s="332"/>
      <c r="I211" s="322"/>
      <c r="J211" s="322"/>
      <c r="K211" s="322"/>
      <c r="L211" s="322"/>
    </row>
    <row r="212" spans="1:15">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5">
      <c r="B213" s="331" t="str">
        <f t="shared" si="72"/>
        <v>20-24</v>
      </c>
      <c r="C213" s="447">
        <f t="shared" ref="C213:C222" si="74">C111+C145+C179</f>
        <v>9.3814878186728539</v>
      </c>
      <c r="D213" s="447">
        <f t="shared" ref="D213:N213" si="75">D111+D145+D179</f>
        <v>15.646857192701624</v>
      </c>
      <c r="E213" s="447">
        <f t="shared" si="75"/>
        <v>23.218128348895355</v>
      </c>
      <c r="F213" s="447">
        <f t="shared" si="75"/>
        <v>28.262616372315069</v>
      </c>
      <c r="G213" s="447">
        <f t="shared" si="75"/>
        <v>32.84108649776352</v>
      </c>
      <c r="H213" s="447">
        <f t="shared" si="75"/>
        <v>37.119641638021093</v>
      </c>
      <c r="I213" s="447">
        <f t="shared" si="75"/>
        <v>41.222725748034385</v>
      </c>
      <c r="J213" s="447">
        <f t="shared" si="75"/>
        <v>44.229048477049297</v>
      </c>
      <c r="K213" s="447">
        <f t="shared" si="75"/>
        <v>43.0567031937479</v>
      </c>
      <c r="L213" s="447">
        <f t="shared" si="75"/>
        <v>41.520083508222442</v>
      </c>
      <c r="M213" s="447">
        <f t="shared" si="75"/>
        <v>39.913869305385496</v>
      </c>
      <c r="N213" s="447">
        <f t="shared" si="75"/>
        <v>38.873438180296148</v>
      </c>
      <c r="O213" s="320"/>
    </row>
    <row r="214" spans="1:15">
      <c r="B214" s="331" t="str">
        <f t="shared" si="72"/>
        <v>25-29</v>
      </c>
      <c r="C214" s="447">
        <f t="shared" si="74"/>
        <v>43.490387928688868</v>
      </c>
      <c r="D214" s="447">
        <f t="shared" ref="D214:N214" si="76">D112+D146+D180</f>
        <v>41.83191337339742</v>
      </c>
      <c r="E214" s="447">
        <f t="shared" si="76"/>
        <v>47.229671407777481</v>
      </c>
      <c r="F214" s="447">
        <f t="shared" si="76"/>
        <v>50.867551597119068</v>
      </c>
      <c r="G214" s="447">
        <f t="shared" si="76"/>
        <v>55.897656839502247</v>
      </c>
      <c r="H214" s="447">
        <f t="shared" si="76"/>
        <v>61.47425793672781</v>
      </c>
      <c r="I214" s="447">
        <f t="shared" si="76"/>
        <v>67.421443797582526</v>
      </c>
      <c r="J214" s="447">
        <f t="shared" si="76"/>
        <v>72.438929382290382</v>
      </c>
      <c r="K214" s="447">
        <f t="shared" si="76"/>
        <v>72.562764569954012</v>
      </c>
      <c r="L214" s="447">
        <f t="shared" si="76"/>
        <v>71.595585151507976</v>
      </c>
      <c r="M214" s="447">
        <f t="shared" si="76"/>
        <v>70.024673893328654</v>
      </c>
      <c r="N214" s="447">
        <f t="shared" si="76"/>
        <v>68.751115095368007</v>
      </c>
      <c r="O214" s="320"/>
    </row>
    <row r="215" spans="1:15">
      <c r="B215" s="331" t="str">
        <f t="shared" si="72"/>
        <v>30-34</v>
      </c>
      <c r="C215" s="447">
        <f t="shared" si="74"/>
        <v>32.135848394897828</v>
      </c>
      <c r="D215" s="447">
        <f t="shared" ref="D215:N215" si="77">D113+D147+D181</f>
        <v>31.818231541307284</v>
      </c>
      <c r="E215" s="447">
        <f t="shared" si="77"/>
        <v>34.756573577387705</v>
      </c>
      <c r="F215" s="447">
        <f t="shared" si="77"/>
        <v>36.068807120410931</v>
      </c>
      <c r="G215" s="447">
        <f t="shared" si="77"/>
        <v>38.426209908592078</v>
      </c>
      <c r="H215" s="447">
        <f t="shared" si="77"/>
        <v>41.245660210192604</v>
      </c>
      <c r="I215" s="447">
        <f t="shared" si="77"/>
        <v>44.480846121552844</v>
      </c>
      <c r="J215" s="447">
        <f t="shared" si="77"/>
        <v>47.609648149886759</v>
      </c>
      <c r="K215" s="447">
        <f t="shared" si="77"/>
        <v>48.964681067740351</v>
      </c>
      <c r="L215" s="447">
        <f t="shared" si="77"/>
        <v>49.634739608936378</v>
      </c>
      <c r="M215" s="447">
        <f t="shared" si="77"/>
        <v>49.763001660971412</v>
      </c>
      <c r="N215" s="447">
        <f t="shared" si="77"/>
        <v>49.710578500308515</v>
      </c>
      <c r="O215" s="320"/>
    </row>
    <row r="216" spans="1:15">
      <c r="B216" s="331" t="str">
        <f t="shared" si="72"/>
        <v>35-39</v>
      </c>
      <c r="C216" s="447">
        <f t="shared" si="74"/>
        <v>33.696429513172554</v>
      </c>
      <c r="D216" s="447">
        <f t="shared" ref="D216:N216" si="78">D114+D148+D182</f>
        <v>31.575321031093797</v>
      </c>
      <c r="E216" s="447">
        <f t="shared" si="78"/>
        <v>32.855765493821778</v>
      </c>
      <c r="F216" s="447">
        <f t="shared" si="78"/>
        <v>32.737325063800199</v>
      </c>
      <c r="G216" s="447">
        <f t="shared" si="78"/>
        <v>33.662888093635416</v>
      </c>
      <c r="H216" s="447">
        <f t="shared" si="78"/>
        <v>35.028751897925495</v>
      </c>
      <c r="I216" s="447">
        <f t="shared" si="78"/>
        <v>36.803924284615007</v>
      </c>
      <c r="J216" s="447">
        <f t="shared" si="78"/>
        <v>38.686466480894808</v>
      </c>
      <c r="K216" s="447">
        <f t="shared" si="78"/>
        <v>39.709377345803034</v>
      </c>
      <c r="L216" s="447">
        <f t="shared" si="78"/>
        <v>40.489748594926226</v>
      </c>
      <c r="M216" s="447">
        <f t="shared" si="78"/>
        <v>41.029293437767187</v>
      </c>
      <c r="N216" s="447">
        <f t="shared" si="78"/>
        <v>41.46867959366481</v>
      </c>
      <c r="O216" s="320"/>
    </row>
    <row r="217" spans="1:15">
      <c r="B217" s="331" t="str">
        <f t="shared" si="72"/>
        <v>40-44</v>
      </c>
      <c r="C217" s="447">
        <f t="shared" si="74"/>
        <v>34.425211434977058</v>
      </c>
      <c r="D217" s="447">
        <f t="shared" ref="D217:N217" si="79">D115+D149+D183</f>
        <v>32.810833374158747</v>
      </c>
      <c r="E217" s="447">
        <f t="shared" si="79"/>
        <v>34.122033221438073</v>
      </c>
      <c r="F217" s="447">
        <f t="shared" si="79"/>
        <v>33.687050113859705</v>
      </c>
      <c r="G217" s="447">
        <f t="shared" si="79"/>
        <v>34.138643898925501</v>
      </c>
      <c r="H217" s="447">
        <f t="shared" si="79"/>
        <v>34.900744566639602</v>
      </c>
      <c r="I217" s="447">
        <f t="shared" si="79"/>
        <v>35.982893182053694</v>
      </c>
      <c r="J217" s="447">
        <f t="shared" si="79"/>
        <v>37.157533987987563</v>
      </c>
      <c r="K217" s="447">
        <f t="shared" si="79"/>
        <v>37.643810725891491</v>
      </c>
      <c r="L217" s="447">
        <f t="shared" si="79"/>
        <v>38.031369851294535</v>
      </c>
      <c r="M217" s="447">
        <f t="shared" si="79"/>
        <v>38.341526321292491</v>
      </c>
      <c r="N217" s="447">
        <f t="shared" si="79"/>
        <v>38.68847886089543</v>
      </c>
      <c r="O217" s="320"/>
    </row>
    <row r="218" spans="1:15">
      <c r="B218" s="331" t="str">
        <f t="shared" si="72"/>
        <v>45-49</v>
      </c>
      <c r="C218" s="447">
        <f t="shared" si="74"/>
        <v>36.176165046872498</v>
      </c>
      <c r="D218" s="447">
        <f t="shared" ref="D218:N218" si="80">D116+D150+D184</f>
        <v>34.940021725367735</v>
      </c>
      <c r="E218" s="447">
        <f t="shared" si="80"/>
        <v>36.752349517931975</v>
      </c>
      <c r="F218" s="447">
        <f t="shared" si="80"/>
        <v>36.560898428444133</v>
      </c>
      <c r="G218" s="447">
        <f t="shared" si="80"/>
        <v>37.180836376671976</v>
      </c>
      <c r="H218" s="447">
        <f t="shared" si="80"/>
        <v>37.984746029270113</v>
      </c>
      <c r="I218" s="447">
        <f t="shared" si="80"/>
        <v>38.999425696857735</v>
      </c>
      <c r="J218" s="447">
        <f t="shared" si="80"/>
        <v>40.019861147654169</v>
      </c>
      <c r="K218" s="447">
        <f t="shared" si="80"/>
        <v>40.295363577185583</v>
      </c>
      <c r="L218" s="447">
        <f t="shared" si="80"/>
        <v>40.44153108076258</v>
      </c>
      <c r="M218" s="447">
        <f t="shared" si="80"/>
        <v>40.512325779252208</v>
      </c>
      <c r="N218" s="447">
        <f t="shared" si="80"/>
        <v>40.649006284826498</v>
      </c>
      <c r="O218" s="320"/>
    </row>
    <row r="219" spans="1:15">
      <c r="B219" s="331" t="str">
        <f t="shared" si="72"/>
        <v>50-54</v>
      </c>
      <c r="C219" s="447">
        <f t="shared" si="74"/>
        <v>32.922961443445395</v>
      </c>
      <c r="D219" s="447">
        <f t="shared" ref="D219:N219" si="81">D117+D151+D185</f>
        <v>31.708546175700278</v>
      </c>
      <c r="E219" s="447">
        <f t="shared" si="81"/>
        <v>32.714991536052928</v>
      </c>
      <c r="F219" s="447">
        <f t="shared" si="81"/>
        <v>32.59524969834024</v>
      </c>
      <c r="G219" s="447">
        <f t="shared" si="81"/>
        <v>33.088606125762432</v>
      </c>
      <c r="H219" s="447">
        <f t="shared" si="81"/>
        <v>33.767997421950547</v>
      </c>
      <c r="I219" s="447">
        <f t="shared" si="81"/>
        <v>34.623424097368918</v>
      </c>
      <c r="J219" s="447">
        <f t="shared" si="81"/>
        <v>35.470326536786537</v>
      </c>
      <c r="K219" s="447">
        <f t="shared" si="81"/>
        <v>35.692272162332074</v>
      </c>
      <c r="L219" s="447">
        <f t="shared" si="81"/>
        <v>35.774596184062574</v>
      </c>
      <c r="M219" s="447">
        <f t="shared" si="81"/>
        <v>35.763794695825055</v>
      </c>
      <c r="N219" s="447">
        <f t="shared" si="81"/>
        <v>35.782222573524095</v>
      </c>
      <c r="O219" s="320"/>
    </row>
    <row r="220" spans="1:15">
      <c r="B220" s="331" t="str">
        <f t="shared" si="72"/>
        <v>55-59</v>
      </c>
      <c r="C220" s="447">
        <f t="shared" si="74"/>
        <v>53.121982640484788</v>
      </c>
      <c r="D220" s="447">
        <f t="shared" ref="D220:N220" si="82">D118+D152+D186</f>
        <v>50.042217099785113</v>
      </c>
      <c r="E220" s="447">
        <f t="shared" si="82"/>
        <v>49.488634043745137</v>
      </c>
      <c r="F220" s="447">
        <f t="shared" si="82"/>
        <v>48.941027380291345</v>
      </c>
      <c r="G220" s="447">
        <f t="shared" si="82"/>
        <v>49.189004298090822</v>
      </c>
      <c r="H220" s="447">
        <f t="shared" si="82"/>
        <v>49.934177024738609</v>
      </c>
      <c r="I220" s="447">
        <f t="shared" si="82"/>
        <v>51.075980824064132</v>
      </c>
      <c r="J220" s="447">
        <f t="shared" si="82"/>
        <v>52.224375541545626</v>
      </c>
      <c r="K220" s="447">
        <f t="shared" si="82"/>
        <v>52.268285850869148</v>
      </c>
      <c r="L220" s="447">
        <f t="shared" si="82"/>
        <v>52.166439977244359</v>
      </c>
      <c r="M220" s="447">
        <f t="shared" si="82"/>
        <v>51.969245394432384</v>
      </c>
      <c r="N220" s="447">
        <f t="shared" si="82"/>
        <v>51.868533460571982</v>
      </c>
      <c r="O220" s="320"/>
    </row>
    <row r="221" spans="1:15">
      <c r="B221" s="331" t="str">
        <f t="shared" si="72"/>
        <v>60-64</v>
      </c>
      <c r="C221" s="447">
        <f t="shared" si="74"/>
        <v>25.831330863479806</v>
      </c>
      <c r="D221" s="447">
        <f t="shared" ref="D221:N221" si="83">D119+D153+D187</f>
        <v>26.512474321910524</v>
      </c>
      <c r="E221" s="447">
        <f t="shared" si="83"/>
        <v>27.071869211274105</v>
      </c>
      <c r="F221" s="447">
        <f t="shared" si="83"/>
        <v>27.195957103931129</v>
      </c>
      <c r="G221" s="447">
        <f t="shared" si="83"/>
        <v>27.432006345000882</v>
      </c>
      <c r="H221" s="447">
        <f t="shared" si="83"/>
        <v>27.875462103071577</v>
      </c>
      <c r="I221" s="447">
        <f t="shared" si="83"/>
        <v>28.53650684701531</v>
      </c>
      <c r="J221" s="447">
        <f t="shared" si="83"/>
        <v>29.156947031804428</v>
      </c>
      <c r="K221" s="447">
        <f t="shared" si="83"/>
        <v>28.931944428570915</v>
      </c>
      <c r="L221" s="447">
        <f t="shared" si="83"/>
        <v>28.647592753618095</v>
      </c>
      <c r="M221" s="447">
        <f t="shared" si="83"/>
        <v>28.346384311983368</v>
      </c>
      <c r="N221" s="447">
        <f t="shared" si="83"/>
        <v>28.165051145897518</v>
      </c>
      <c r="O221" s="320"/>
    </row>
    <row r="222" spans="1:15">
      <c r="B222" s="331" t="str">
        <f t="shared" si="72"/>
        <v>65 plus</v>
      </c>
      <c r="C222" s="447">
        <f t="shared" si="74"/>
        <v>6.87339916351588</v>
      </c>
      <c r="D222" s="447">
        <f t="shared" ref="D222:N222" si="84">D120+D154+D188</f>
        <v>9.2490834241667397</v>
      </c>
      <c r="E222" s="447">
        <f t="shared" si="84"/>
        <v>11.20645940497745</v>
      </c>
      <c r="F222" s="447">
        <f t="shared" si="84"/>
        <v>12.322845823884117</v>
      </c>
      <c r="G222" s="447">
        <f t="shared" si="84"/>
        <v>13.14920076922094</v>
      </c>
      <c r="H222" s="447">
        <f t="shared" si="84"/>
        <v>13.800099983575464</v>
      </c>
      <c r="I222" s="447">
        <f t="shared" si="84"/>
        <v>14.388730792706719</v>
      </c>
      <c r="J222" s="447">
        <f t="shared" si="84"/>
        <v>14.854133485267415</v>
      </c>
      <c r="K222" s="447">
        <f t="shared" si="84"/>
        <v>14.810580131832953</v>
      </c>
      <c r="L222" s="447">
        <f t="shared" si="84"/>
        <v>14.657243873671604</v>
      </c>
      <c r="M222" s="447">
        <f t="shared" si="84"/>
        <v>14.45457755070761</v>
      </c>
      <c r="N222" s="447">
        <f t="shared" si="84"/>
        <v>14.29853640676512</v>
      </c>
      <c r="O222" s="320"/>
    </row>
    <row r="223" spans="1:15">
      <c r="B223" s="331" t="str">
        <f t="shared" si="72"/>
        <v>Total</v>
      </c>
      <c r="C223" s="447">
        <f>SUM(C213:C222)</f>
        <v>308.05520424820753</v>
      </c>
      <c r="D223" s="447">
        <f t="shared" ref="D223:N223" si="85">SUM(D213:D222)</f>
        <v>306.13549925958921</v>
      </c>
      <c r="E223" s="447">
        <f t="shared" si="85"/>
        <v>329.416475763302</v>
      </c>
      <c r="F223" s="447">
        <f t="shared" si="85"/>
        <v>339.23932870239594</v>
      </c>
      <c r="G223" s="447">
        <f t="shared" si="85"/>
        <v>355.00613915316586</v>
      </c>
      <c r="H223" s="447">
        <f t="shared" si="85"/>
        <v>373.13153881211298</v>
      </c>
      <c r="I223" s="447">
        <f t="shared" si="85"/>
        <v>393.53590139185121</v>
      </c>
      <c r="J223" s="447">
        <f t="shared" si="85"/>
        <v>411.84727022116698</v>
      </c>
      <c r="K223" s="447">
        <f t="shared" si="85"/>
        <v>413.93578305392742</v>
      </c>
      <c r="L223" s="447">
        <f t="shared" si="85"/>
        <v>412.95893058424679</v>
      </c>
      <c r="M223" s="447">
        <f t="shared" si="85"/>
        <v>410.11869235094588</v>
      </c>
      <c r="N223" s="447">
        <f t="shared" si="85"/>
        <v>408.25564010211809</v>
      </c>
      <c r="O223" s="320"/>
    </row>
    <row r="224" spans="1:15">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31.302797872827455</v>
      </c>
      <c r="D229" s="447">
        <f t="shared" ref="D229:N229" si="90">D195+D161+D127</f>
        <v>59.676026851738975</v>
      </c>
      <c r="E229" s="447">
        <f t="shared" si="90"/>
        <v>89.433875130276249</v>
      </c>
      <c r="F229" s="447">
        <f t="shared" si="90"/>
        <v>114.26266747268384</v>
      </c>
      <c r="G229" s="447">
        <f t="shared" si="90"/>
        <v>133.74445568390959</v>
      </c>
      <c r="H229" s="447">
        <f t="shared" si="90"/>
        <v>151.89348143864888</v>
      </c>
      <c r="I229" s="447">
        <f t="shared" si="90"/>
        <v>169.23635265990316</v>
      </c>
      <c r="J229" s="447">
        <f t="shared" si="90"/>
        <v>182.08254731760158</v>
      </c>
      <c r="K229" s="447">
        <f t="shared" si="90"/>
        <v>177.98982751178212</v>
      </c>
      <c r="L229" s="447">
        <f t="shared" si="90"/>
        <v>172.19268226644064</v>
      </c>
      <c r="M229" s="447">
        <f t="shared" si="90"/>
        <v>165.93483496723488</v>
      </c>
      <c r="N229" s="447">
        <f t="shared" si="90"/>
        <v>161.82818567093713</v>
      </c>
    </row>
    <row r="230" spans="1:14">
      <c r="B230" s="331" t="str">
        <f t="shared" si="87"/>
        <v>25-29</v>
      </c>
      <c r="C230" s="447">
        <f t="shared" si="89"/>
        <v>152.0138708325654</v>
      </c>
      <c r="D230" s="447">
        <f t="shared" ref="D230:N230" si="91">D196+D162+D128</f>
        <v>157.71721093943623</v>
      </c>
      <c r="E230" s="447">
        <f t="shared" si="91"/>
        <v>178.54745500269425</v>
      </c>
      <c r="F230" s="447">
        <f t="shared" si="91"/>
        <v>202.26350108546222</v>
      </c>
      <c r="G230" s="447">
        <f t="shared" si="91"/>
        <v>224.53966049339508</v>
      </c>
      <c r="H230" s="447">
        <f t="shared" si="91"/>
        <v>248.72716512241223</v>
      </c>
      <c r="I230" s="447">
        <f t="shared" si="91"/>
        <v>274.20369189627706</v>
      </c>
      <c r="J230" s="447">
        <f t="shared" si="91"/>
        <v>295.86484679337354</v>
      </c>
      <c r="K230" s="447">
        <f t="shared" si="91"/>
        <v>297.96999506269447</v>
      </c>
      <c r="L230" s="447">
        <f t="shared" si="91"/>
        <v>295.37571223800751</v>
      </c>
      <c r="M230" s="447">
        <f t="shared" si="91"/>
        <v>290.03450826695354</v>
      </c>
      <c r="N230" s="447">
        <f t="shared" si="91"/>
        <v>285.56620917175894</v>
      </c>
    </row>
    <row r="231" spans="1:14">
      <c r="B231" s="331" t="str">
        <f t="shared" si="87"/>
        <v>30-34</v>
      </c>
      <c r="C231" s="447">
        <f t="shared" si="89"/>
        <v>150.16983725938476</v>
      </c>
      <c r="D231" s="447">
        <f t="shared" ref="D231:N231" si="92">D197+D163+D129</f>
        <v>154.68218768210545</v>
      </c>
      <c r="E231" s="447">
        <f t="shared" si="92"/>
        <v>165.81213357061097</v>
      </c>
      <c r="F231" s="447">
        <f t="shared" si="92"/>
        <v>178.70169394501769</v>
      </c>
      <c r="G231" s="447">
        <f t="shared" si="92"/>
        <v>191.25863045807554</v>
      </c>
      <c r="H231" s="447">
        <f t="shared" si="92"/>
        <v>206.33497513303797</v>
      </c>
      <c r="I231" s="447">
        <f t="shared" si="92"/>
        <v>223.59422420855844</v>
      </c>
      <c r="J231" s="447">
        <f t="shared" si="92"/>
        <v>240.29380845400482</v>
      </c>
      <c r="K231" s="447">
        <f t="shared" si="92"/>
        <v>247.84535641958831</v>
      </c>
      <c r="L231" s="447">
        <f t="shared" si="92"/>
        <v>251.88264927657181</v>
      </c>
      <c r="M231" s="447">
        <f t="shared" si="92"/>
        <v>253.11121336426987</v>
      </c>
      <c r="N231" s="447">
        <f t="shared" si="92"/>
        <v>253.3648298310234</v>
      </c>
    </row>
    <row r="232" spans="1:14">
      <c r="B232" s="331" t="str">
        <f t="shared" si="87"/>
        <v>35-39</v>
      </c>
      <c r="C232" s="447">
        <f t="shared" si="89"/>
        <v>161.10310108925984</v>
      </c>
      <c r="D232" s="447">
        <f t="shared" ref="D232:N232" si="93">D198+D164+D130</f>
        <v>157.07871140820578</v>
      </c>
      <c r="E232" s="447">
        <f t="shared" si="93"/>
        <v>159.75948341943311</v>
      </c>
      <c r="F232" s="447">
        <f t="shared" si="93"/>
        <v>164.27026797039758</v>
      </c>
      <c r="G232" s="447">
        <f t="shared" si="93"/>
        <v>168.75998240019265</v>
      </c>
      <c r="H232" s="447">
        <f t="shared" si="93"/>
        <v>175.73700996162518</v>
      </c>
      <c r="I232" s="447">
        <f t="shared" si="93"/>
        <v>184.99163702304139</v>
      </c>
      <c r="J232" s="447">
        <f t="shared" si="93"/>
        <v>194.85257983175569</v>
      </c>
      <c r="K232" s="447">
        <f t="shared" si="93"/>
        <v>200.09535115512881</v>
      </c>
      <c r="L232" s="447">
        <f t="shared" si="93"/>
        <v>204.11555084133613</v>
      </c>
      <c r="M232" s="447">
        <f t="shared" si="93"/>
        <v>206.92563649750392</v>
      </c>
      <c r="N232" s="447">
        <f t="shared" si="93"/>
        <v>209.27874498425896</v>
      </c>
    </row>
    <row r="233" spans="1:14">
      <c r="B233" s="331" t="str">
        <f t="shared" si="87"/>
        <v>40-44</v>
      </c>
      <c r="C233" s="447">
        <f t="shared" si="89"/>
        <v>176.5628470191738</v>
      </c>
      <c r="D233" s="447">
        <f t="shared" ref="D233:N233" si="94">D199+D165+D131</f>
        <v>169.47754575823762</v>
      </c>
      <c r="E233" s="447">
        <f t="shared" si="94"/>
        <v>167.87256395068619</v>
      </c>
      <c r="F233" s="447">
        <f t="shared" si="94"/>
        <v>167.48299539786376</v>
      </c>
      <c r="G233" s="447">
        <f t="shared" si="94"/>
        <v>166.75531734394568</v>
      </c>
      <c r="H233" s="447">
        <f t="shared" si="94"/>
        <v>168.30006550297645</v>
      </c>
      <c r="I233" s="447">
        <f t="shared" si="94"/>
        <v>171.98010182061364</v>
      </c>
      <c r="J233" s="447">
        <f t="shared" si="94"/>
        <v>176.492240071276</v>
      </c>
      <c r="K233" s="447">
        <f t="shared" si="94"/>
        <v>177.75896298802482</v>
      </c>
      <c r="L233" s="447">
        <f t="shared" si="94"/>
        <v>178.7621105131463</v>
      </c>
      <c r="M233" s="447">
        <f t="shared" si="94"/>
        <v>179.5691584746144</v>
      </c>
      <c r="N233" s="447">
        <f t="shared" si="94"/>
        <v>180.73159906166183</v>
      </c>
    </row>
    <row r="234" spans="1:14">
      <c r="B234" s="331" t="str">
        <f t="shared" si="87"/>
        <v>45-49</v>
      </c>
      <c r="C234" s="447">
        <f t="shared" si="89"/>
        <v>169.13509249963286</v>
      </c>
      <c r="D234" s="447">
        <f t="shared" ref="D234:N234" si="95">D200+D166+D132</f>
        <v>168.27388484232912</v>
      </c>
      <c r="E234" s="447">
        <f t="shared" si="95"/>
        <v>170.27206665910225</v>
      </c>
      <c r="F234" s="447">
        <f t="shared" si="95"/>
        <v>171.58199084313136</v>
      </c>
      <c r="G234" s="447">
        <f t="shared" si="95"/>
        <v>171.04289707086679</v>
      </c>
      <c r="H234" s="447">
        <f t="shared" si="95"/>
        <v>171.63836719239191</v>
      </c>
      <c r="I234" s="447">
        <f t="shared" si="95"/>
        <v>173.53570775644712</v>
      </c>
      <c r="J234" s="447">
        <f t="shared" si="95"/>
        <v>175.80979999835105</v>
      </c>
      <c r="K234" s="447">
        <f t="shared" si="95"/>
        <v>175.05649077669847</v>
      </c>
      <c r="L234" s="447">
        <f t="shared" si="95"/>
        <v>174.02052286817832</v>
      </c>
      <c r="M234" s="447">
        <f t="shared" si="95"/>
        <v>172.91174929257443</v>
      </c>
      <c r="N234" s="447">
        <f t="shared" si="95"/>
        <v>172.33326011322552</v>
      </c>
    </row>
    <row r="235" spans="1:14">
      <c r="B235" s="331" t="str">
        <f t="shared" si="87"/>
        <v>50-54</v>
      </c>
      <c r="C235" s="447">
        <f t="shared" si="89"/>
        <v>158.23671821231881</v>
      </c>
      <c r="D235" s="447">
        <f t="shared" ref="D235:N235" si="96">D201+D167+D133</f>
        <v>160.99135744041007</v>
      </c>
      <c r="E235" s="447">
        <f t="shared" si="96"/>
        <v>166.17105706701619</v>
      </c>
      <c r="F235" s="447">
        <f t="shared" si="96"/>
        <v>170.42539247207969</v>
      </c>
      <c r="G235" s="447">
        <f t="shared" si="96"/>
        <v>172.61328489126436</v>
      </c>
      <c r="H235" s="447">
        <f t="shared" si="96"/>
        <v>175.11091975416522</v>
      </c>
      <c r="I235" s="447">
        <f t="shared" si="96"/>
        <v>178.11653939246852</v>
      </c>
      <c r="J235" s="447">
        <f t="shared" si="96"/>
        <v>180.84385413184657</v>
      </c>
      <c r="K235" s="447">
        <f t="shared" si="96"/>
        <v>180.18232665354958</v>
      </c>
      <c r="L235" s="447">
        <f t="shared" si="96"/>
        <v>178.84575430345143</v>
      </c>
      <c r="M235" s="447">
        <f t="shared" si="96"/>
        <v>177.14065578011682</v>
      </c>
      <c r="N235" s="447">
        <f t="shared" si="96"/>
        <v>175.74574456961244</v>
      </c>
    </row>
    <row r="236" spans="1:14">
      <c r="B236" s="331" t="str">
        <f t="shared" si="87"/>
        <v>55-59</v>
      </c>
      <c r="C236" s="447">
        <f t="shared" si="89"/>
        <v>231.52685114943858</v>
      </c>
      <c r="D236" s="447">
        <f t="shared" ref="D236:N236" si="97">D202+D168+D134</f>
        <v>214.25144977870124</v>
      </c>
      <c r="E236" s="447">
        <f t="shared" si="97"/>
        <v>207.87870367786991</v>
      </c>
      <c r="F236" s="447">
        <f t="shared" si="97"/>
        <v>206.10537629528218</v>
      </c>
      <c r="G236" s="447">
        <f t="shared" si="97"/>
        <v>206.41807579521361</v>
      </c>
      <c r="H236" s="447">
        <f t="shared" si="97"/>
        <v>208.90187777400564</v>
      </c>
      <c r="I236" s="447">
        <f t="shared" si="97"/>
        <v>212.86921267172957</v>
      </c>
      <c r="J236" s="447">
        <f t="shared" si="97"/>
        <v>216.62898728640153</v>
      </c>
      <c r="K236" s="447">
        <f t="shared" si="97"/>
        <v>215.59619569988757</v>
      </c>
      <c r="L236" s="447">
        <f t="shared" si="97"/>
        <v>213.75213398477842</v>
      </c>
      <c r="M236" s="447">
        <f t="shared" si="97"/>
        <v>211.40677039800156</v>
      </c>
      <c r="N236" s="447">
        <f t="shared" si="97"/>
        <v>209.4382894485498</v>
      </c>
    </row>
    <row r="237" spans="1:14">
      <c r="B237" s="331" t="str">
        <f t="shared" si="87"/>
        <v>60-64</v>
      </c>
      <c r="C237" s="447">
        <f t="shared" si="89"/>
        <v>140.00064512884785</v>
      </c>
      <c r="D237" s="447">
        <f t="shared" ref="D237:N237" si="98">D203+D169+D135</f>
        <v>137.32513140097262</v>
      </c>
      <c r="E237" s="447">
        <f t="shared" si="98"/>
        <v>134.45880618023631</v>
      </c>
      <c r="F237" s="447">
        <f t="shared" si="98"/>
        <v>132.15945920630625</v>
      </c>
      <c r="G237" s="447">
        <f t="shared" si="98"/>
        <v>131.02330913576452</v>
      </c>
      <c r="H237" s="447">
        <f t="shared" si="98"/>
        <v>131.78596603071861</v>
      </c>
      <c r="I237" s="447">
        <f t="shared" si="98"/>
        <v>134.06287577418959</v>
      </c>
      <c r="J237" s="447">
        <f t="shared" si="98"/>
        <v>136.35373011224971</v>
      </c>
      <c r="K237" s="447">
        <f t="shared" si="98"/>
        <v>134.72314362945784</v>
      </c>
      <c r="L237" s="447">
        <f t="shared" si="98"/>
        <v>132.82655098663869</v>
      </c>
      <c r="M237" s="447">
        <f t="shared" si="98"/>
        <v>130.80913570196742</v>
      </c>
      <c r="N237" s="447">
        <f t="shared" si="98"/>
        <v>129.30770530745909</v>
      </c>
    </row>
    <row r="238" spans="1:14">
      <c r="B238" s="331" t="str">
        <f t="shared" si="87"/>
        <v>65 plus</v>
      </c>
      <c r="C238" s="447">
        <f t="shared" si="89"/>
        <v>34.310661859126675</v>
      </c>
      <c r="D238" s="447">
        <f t="shared" ref="D238:N238" si="99">D204+D170+D136</f>
        <v>44.491347929566288</v>
      </c>
      <c r="E238" s="447">
        <f t="shared" si="99"/>
        <v>51.718386071477894</v>
      </c>
      <c r="F238" s="447">
        <f t="shared" si="99"/>
        <v>56.198077587412087</v>
      </c>
      <c r="G238" s="447">
        <f t="shared" si="99"/>
        <v>58.850479596384631</v>
      </c>
      <c r="H238" s="447">
        <f t="shared" si="99"/>
        <v>60.905338439752626</v>
      </c>
      <c r="I238" s="447">
        <f t="shared" si="99"/>
        <v>62.850054324151067</v>
      </c>
      <c r="J238" s="447">
        <f t="shared" si="99"/>
        <v>64.445735258842461</v>
      </c>
      <c r="K238" s="447">
        <f t="shared" si="99"/>
        <v>64.150200210997355</v>
      </c>
      <c r="L238" s="447">
        <f t="shared" si="99"/>
        <v>63.397182535173641</v>
      </c>
      <c r="M238" s="447">
        <f t="shared" si="99"/>
        <v>62.412882744211146</v>
      </c>
      <c r="N238" s="447">
        <f t="shared" si="99"/>
        <v>61.568938114431901</v>
      </c>
    </row>
    <row r="239" spans="1:14">
      <c r="B239" s="331" t="str">
        <f t="shared" si="87"/>
        <v>Total</v>
      </c>
      <c r="C239" s="447">
        <f>SUM(C229:C238)</f>
        <v>1404.3624229225759</v>
      </c>
      <c r="D239" s="447">
        <f t="shared" ref="D239:N239" si="100">SUM(D229:D238)</f>
        <v>1423.9648540317035</v>
      </c>
      <c r="E239" s="447">
        <f t="shared" si="100"/>
        <v>1491.9245307294032</v>
      </c>
      <c r="F239" s="447">
        <f t="shared" si="100"/>
        <v>1563.451422275637</v>
      </c>
      <c r="G239" s="447">
        <f t="shared" si="100"/>
        <v>1625.0060928690125</v>
      </c>
      <c r="H239" s="447">
        <f t="shared" si="100"/>
        <v>1699.3351663497349</v>
      </c>
      <c r="I239" s="447">
        <f t="shared" si="100"/>
        <v>1785.4403975273797</v>
      </c>
      <c r="J239" s="447">
        <f t="shared" si="100"/>
        <v>1863.668129255703</v>
      </c>
      <c r="K239" s="447">
        <f t="shared" si="100"/>
        <v>1871.3678501078093</v>
      </c>
      <c r="L239" s="447">
        <f t="shared" si="100"/>
        <v>1865.1708498137232</v>
      </c>
      <c r="M239" s="447">
        <f t="shared" si="100"/>
        <v>1850.2565454874482</v>
      </c>
      <c r="N239" s="447">
        <f t="shared" si="100"/>
        <v>1839.1635062729192</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1" spans="2:15">
      <c r="C241" s="302">
        <f t="shared" ref="C241:H241" si="102">SUM(C223,C239)</f>
        <v>1712.4176271707834</v>
      </c>
      <c r="D241" s="302">
        <f t="shared" si="102"/>
        <v>1730.1003532912928</v>
      </c>
      <c r="E241" s="302">
        <f t="shared" si="102"/>
        <v>1821.3410064927052</v>
      </c>
      <c r="F241" s="302">
        <f t="shared" si="102"/>
        <v>1902.6907509780331</v>
      </c>
      <c r="G241" s="302">
        <f t="shared" si="102"/>
        <v>1980.0122320221783</v>
      </c>
      <c r="H241" s="302">
        <f t="shared" si="102"/>
        <v>2072.466705161848</v>
      </c>
    </row>
    <row r="242" spans="2:15" ht="15.75">
      <c r="B242" s="333" t="s">
        <v>167</v>
      </c>
      <c r="C242" s="322"/>
      <c r="D242" s="322"/>
      <c r="E242" s="322"/>
      <c r="F242" s="322"/>
      <c r="G242" s="322"/>
      <c r="H242" s="332"/>
      <c r="I242" s="322"/>
      <c r="J242" s="322"/>
      <c r="K242" s="322"/>
      <c r="L242" s="322"/>
    </row>
    <row r="243" spans="2:15">
      <c r="C243" s="322"/>
      <c r="D243" s="322"/>
      <c r="E243" s="322"/>
      <c r="F243" s="322"/>
      <c r="G243" s="322"/>
      <c r="H243" s="332"/>
      <c r="I243" s="322"/>
      <c r="J243" s="322"/>
      <c r="K243" s="322"/>
      <c r="L243" s="322"/>
    </row>
    <row r="244" spans="2:15">
      <c r="B244" s="334" t="s">
        <v>46</v>
      </c>
      <c r="C244" s="322"/>
      <c r="D244" s="322"/>
      <c r="E244" s="322"/>
      <c r="F244" s="322"/>
      <c r="G244" s="322"/>
      <c r="H244" s="332"/>
      <c r="I244" s="322"/>
      <c r="J244" s="322"/>
      <c r="K244" s="322"/>
      <c r="L244" s="322"/>
    </row>
    <row r="245" spans="2:15">
      <c r="C245" s="322"/>
      <c r="D245" s="322"/>
      <c r="E245" s="322"/>
      <c r="F245" s="322"/>
      <c r="G245" s="322"/>
      <c r="H245" s="332"/>
      <c r="I245" s="322"/>
      <c r="J245" s="322"/>
      <c r="K245" s="322"/>
      <c r="L245" s="322"/>
    </row>
    <row r="246" spans="2:15">
      <c r="B246" s="331" t="str">
        <f t="shared" ref="B246:B257" si="103">B212</f>
        <v>Age group</v>
      </c>
      <c r="C246" s="331" t="str">
        <f t="shared" ref="C246:N246" si="104">C212</f>
        <v>2017/18</v>
      </c>
      <c r="D246" s="331" t="str">
        <f t="shared" si="104"/>
        <v>2018/19</v>
      </c>
      <c r="E246" s="331" t="str">
        <f t="shared" si="104"/>
        <v>2019/20</v>
      </c>
      <c r="F246" s="331" t="str">
        <f t="shared" si="104"/>
        <v>2020/21</v>
      </c>
      <c r="G246" s="331" t="str">
        <f t="shared" si="104"/>
        <v>2021/22</v>
      </c>
      <c r="H246" s="331" t="str">
        <f t="shared" si="104"/>
        <v>2022/23</v>
      </c>
      <c r="I246" s="331" t="str">
        <f t="shared" si="104"/>
        <v>2023/24</v>
      </c>
      <c r="J246" s="331" t="str">
        <f t="shared" si="104"/>
        <v>2024/25</v>
      </c>
      <c r="K246" s="331" t="str">
        <f t="shared" si="104"/>
        <v>2025/26</v>
      </c>
      <c r="L246" s="331" t="str">
        <f t="shared" si="104"/>
        <v>2026/27</v>
      </c>
      <c r="M246" s="331" t="str">
        <f t="shared" si="104"/>
        <v>2027/28</v>
      </c>
      <c r="N246" s="331" t="str">
        <f t="shared" si="104"/>
        <v>2028/29</v>
      </c>
    </row>
    <row r="247" spans="2:15">
      <c r="B247" s="331" t="str">
        <f t="shared" si="103"/>
        <v>20-24</v>
      </c>
      <c r="C247" s="447">
        <f t="shared" ref="C247:C256" si="105">C77-C213</f>
        <v>58.059735769029601</v>
      </c>
      <c r="D247" s="447">
        <f t="shared" ref="D247:N247" si="106">D77-D213</f>
        <v>101.02962234011824</v>
      </c>
      <c r="E247" s="447">
        <f t="shared" si="106"/>
        <v>143.65405715134776</v>
      </c>
      <c r="F247" s="447">
        <f t="shared" si="106"/>
        <v>178.75230312449395</v>
      </c>
      <c r="G247" s="447">
        <f t="shared" si="106"/>
        <v>207.70970993104444</v>
      </c>
      <c r="H247" s="447">
        <f t="shared" si="106"/>
        <v>234.7702472603255</v>
      </c>
      <c r="I247" s="447">
        <f t="shared" si="106"/>
        <v>260.72098462011343</v>
      </c>
      <c r="J247" s="447">
        <f t="shared" si="106"/>
        <v>279.73504562096736</v>
      </c>
      <c r="K247" s="447">
        <f t="shared" si="106"/>
        <v>272.32032446823854</v>
      </c>
      <c r="L247" s="447">
        <f t="shared" si="106"/>
        <v>262.60168044053376</v>
      </c>
      <c r="M247" s="447">
        <f t="shared" si="106"/>
        <v>252.44287262578302</v>
      </c>
      <c r="N247" s="447">
        <f t="shared" si="106"/>
        <v>245.86246770494535</v>
      </c>
      <c r="O247" s="320"/>
    </row>
    <row r="248" spans="2:15">
      <c r="B248" s="331" t="str">
        <f t="shared" si="103"/>
        <v>25-29</v>
      </c>
      <c r="C248" s="447">
        <f t="shared" si="105"/>
        <v>290.65523212628023</v>
      </c>
      <c r="D248" s="447">
        <f t="shared" ref="D248:N248" si="107">D78-D214</f>
        <v>291.54952102882334</v>
      </c>
      <c r="E248" s="447">
        <f t="shared" si="107"/>
        <v>315.56467200011753</v>
      </c>
      <c r="F248" s="447">
        <f t="shared" si="107"/>
        <v>347.34336701744479</v>
      </c>
      <c r="G248" s="447">
        <f t="shared" si="107"/>
        <v>381.69087611675093</v>
      </c>
      <c r="H248" s="447">
        <f t="shared" si="107"/>
        <v>419.7700708254896</v>
      </c>
      <c r="I248" s="447">
        <f t="shared" si="107"/>
        <v>460.37976200049815</v>
      </c>
      <c r="J248" s="447">
        <f t="shared" si="107"/>
        <v>494.64109918372168</v>
      </c>
      <c r="K248" s="447">
        <f t="shared" si="107"/>
        <v>495.48669386417731</v>
      </c>
      <c r="L248" s="447">
        <f t="shared" si="107"/>
        <v>488.88241775563256</v>
      </c>
      <c r="M248" s="447">
        <f t="shared" si="107"/>
        <v>478.15562653864538</v>
      </c>
      <c r="N248" s="447">
        <f t="shared" si="107"/>
        <v>469.45927322323649</v>
      </c>
      <c r="O248" s="320"/>
    </row>
    <row r="249" spans="2:15">
      <c r="B249" s="331" t="str">
        <f t="shared" si="103"/>
        <v>30-34</v>
      </c>
      <c r="C249" s="447">
        <f t="shared" si="105"/>
        <v>346.72973064599245</v>
      </c>
      <c r="D249" s="447">
        <f t="shared" ref="D249:N249" si="108">D79-D215</f>
        <v>357.22272837430512</v>
      </c>
      <c r="E249" s="447">
        <f t="shared" si="108"/>
        <v>374.91500045516329</v>
      </c>
      <c r="F249" s="447">
        <f t="shared" si="108"/>
        <v>397.16554372861481</v>
      </c>
      <c r="G249" s="447">
        <f t="shared" si="108"/>
        <v>423.12368415254616</v>
      </c>
      <c r="H249" s="447">
        <f t="shared" si="108"/>
        <v>454.16958229696536</v>
      </c>
      <c r="I249" s="447">
        <f t="shared" si="108"/>
        <v>489.79328250027561</v>
      </c>
      <c r="J249" s="447">
        <f t="shared" si="108"/>
        <v>524.24555464373748</v>
      </c>
      <c r="K249" s="447">
        <f t="shared" si="108"/>
        <v>539.16626948171029</v>
      </c>
      <c r="L249" s="447">
        <f t="shared" si="108"/>
        <v>546.54450530624706</v>
      </c>
      <c r="M249" s="447">
        <f t="shared" si="108"/>
        <v>547.9568411083759</v>
      </c>
      <c r="N249" s="447">
        <f t="shared" si="108"/>
        <v>547.37959237821576</v>
      </c>
      <c r="O249" s="320"/>
    </row>
    <row r="250" spans="2:15">
      <c r="B250" s="331" t="str">
        <f t="shared" si="103"/>
        <v>35-39</v>
      </c>
      <c r="C250" s="447">
        <f t="shared" si="105"/>
        <v>419.85732735705494</v>
      </c>
      <c r="D250" s="447">
        <f t="shared" ref="D250:N250" si="109">D80-D216</f>
        <v>409.09441468752641</v>
      </c>
      <c r="E250" s="447">
        <f t="shared" si="109"/>
        <v>409.28502850349042</v>
      </c>
      <c r="F250" s="447">
        <f t="shared" si="109"/>
        <v>416.14385176203461</v>
      </c>
      <c r="G250" s="447">
        <f t="shared" si="109"/>
        <v>427.90924076475642</v>
      </c>
      <c r="H250" s="447">
        <f t="shared" si="109"/>
        <v>445.27155803997374</v>
      </c>
      <c r="I250" s="447">
        <f t="shared" si="109"/>
        <v>467.83684317243052</v>
      </c>
      <c r="J250" s="447">
        <f t="shared" si="109"/>
        <v>491.76697060763451</v>
      </c>
      <c r="K250" s="447">
        <f t="shared" si="109"/>
        <v>504.76980656025313</v>
      </c>
      <c r="L250" s="447">
        <f t="shared" si="109"/>
        <v>514.68957541068892</v>
      </c>
      <c r="M250" s="447">
        <f t="shared" si="109"/>
        <v>521.54805479654613</v>
      </c>
      <c r="N250" s="447">
        <f t="shared" si="109"/>
        <v>527.13335680182013</v>
      </c>
      <c r="O250" s="320"/>
    </row>
    <row r="251" spans="2:15">
      <c r="B251" s="331" t="str">
        <f t="shared" si="103"/>
        <v>40-44</v>
      </c>
      <c r="C251" s="447">
        <f t="shared" si="105"/>
        <v>422.38893302661506</v>
      </c>
      <c r="D251" s="447">
        <f t="shared" ref="D251:N251" si="110">D81-D217</f>
        <v>418.50774137032084</v>
      </c>
      <c r="E251" s="447">
        <f t="shared" si="110"/>
        <v>418.56978493977959</v>
      </c>
      <c r="F251" s="447">
        <f t="shared" si="110"/>
        <v>421.62549332680413</v>
      </c>
      <c r="G251" s="447">
        <f t="shared" si="110"/>
        <v>427.27761934461017</v>
      </c>
      <c r="H251" s="447">
        <f t="shared" si="110"/>
        <v>436.81603451909422</v>
      </c>
      <c r="I251" s="447">
        <f t="shared" si="110"/>
        <v>450.36015435994574</v>
      </c>
      <c r="J251" s="447">
        <f t="shared" si="110"/>
        <v>465.06190199322685</v>
      </c>
      <c r="K251" s="447">
        <f t="shared" si="110"/>
        <v>471.14811817478972</v>
      </c>
      <c r="L251" s="447">
        <f t="shared" si="110"/>
        <v>475.99878948287602</v>
      </c>
      <c r="M251" s="447">
        <f t="shared" si="110"/>
        <v>479.88069289173484</v>
      </c>
      <c r="N251" s="447">
        <f t="shared" si="110"/>
        <v>484.22313413181507</v>
      </c>
      <c r="O251" s="320"/>
    </row>
    <row r="252" spans="2:15">
      <c r="B252" s="331" t="str">
        <f t="shared" si="103"/>
        <v>45-49</v>
      </c>
      <c r="C252" s="447">
        <f t="shared" si="105"/>
        <v>360.26928274086401</v>
      </c>
      <c r="D252" s="447">
        <f t="shared" ref="D252:N252" si="111">D82-D218</f>
        <v>361.83312236467839</v>
      </c>
      <c r="E252" s="447">
        <f t="shared" si="111"/>
        <v>365.91990130833665</v>
      </c>
      <c r="F252" s="447">
        <f t="shared" si="111"/>
        <v>371.46526485532252</v>
      </c>
      <c r="G252" s="447">
        <f t="shared" si="111"/>
        <v>377.76394524970692</v>
      </c>
      <c r="H252" s="447">
        <f t="shared" si="111"/>
        <v>385.93181105329421</v>
      </c>
      <c r="I252" s="447">
        <f t="shared" si="111"/>
        <v>396.24113789331824</v>
      </c>
      <c r="J252" s="447">
        <f t="shared" si="111"/>
        <v>406.60894451983569</v>
      </c>
      <c r="K252" s="447">
        <f t="shared" si="111"/>
        <v>409.40809846170248</v>
      </c>
      <c r="L252" s="447">
        <f t="shared" si="111"/>
        <v>410.8931864317297</v>
      </c>
      <c r="M252" s="447">
        <f t="shared" si="111"/>
        <v>411.6124732259608</v>
      </c>
      <c r="N252" s="447">
        <f t="shared" si="111"/>
        <v>413.00117160007443</v>
      </c>
      <c r="O252" s="320"/>
    </row>
    <row r="253" spans="2:15">
      <c r="B253" s="331" t="str">
        <f t="shared" si="103"/>
        <v>50-54</v>
      </c>
      <c r="C253" s="447">
        <f t="shared" si="105"/>
        <v>307.81360570773069</v>
      </c>
      <c r="D253" s="447">
        <f t="shared" ref="D253:N253" si="112">D83-D219</f>
        <v>304.81034971423225</v>
      </c>
      <c r="E253" s="447">
        <f t="shared" si="112"/>
        <v>305.817009202382</v>
      </c>
      <c r="F253" s="447">
        <f t="shared" si="112"/>
        <v>309.12676432955095</v>
      </c>
      <c r="G253" s="447">
        <f t="shared" si="112"/>
        <v>313.80565703574717</v>
      </c>
      <c r="H253" s="447">
        <f t="shared" si="112"/>
        <v>320.24886686073552</v>
      </c>
      <c r="I253" s="447">
        <f t="shared" si="112"/>
        <v>328.36156066552422</v>
      </c>
      <c r="J253" s="447">
        <f t="shared" si="112"/>
        <v>336.39341233786467</v>
      </c>
      <c r="K253" s="447">
        <f t="shared" si="112"/>
        <v>338.49829982045657</v>
      </c>
      <c r="L253" s="447">
        <f t="shared" si="112"/>
        <v>339.27904421418464</v>
      </c>
      <c r="M253" s="447">
        <f t="shared" si="112"/>
        <v>339.17660508149777</v>
      </c>
      <c r="N253" s="447">
        <f t="shared" si="112"/>
        <v>339.35137135140781</v>
      </c>
      <c r="O253" s="320"/>
    </row>
    <row r="254" spans="2:15">
      <c r="B254" s="331" t="str">
        <f t="shared" si="103"/>
        <v>55-59</v>
      </c>
      <c r="C254" s="447">
        <f t="shared" si="105"/>
        <v>155.93478346641771</v>
      </c>
      <c r="D254" s="447">
        <f t="shared" ref="D254:N254" si="113">D84-D220</f>
        <v>148.49961086540654</v>
      </c>
      <c r="E254" s="447">
        <f t="shared" si="113"/>
        <v>145.2596370317309</v>
      </c>
      <c r="F254" s="447">
        <f t="shared" si="113"/>
        <v>144.46909944459122</v>
      </c>
      <c r="G254" s="447">
        <f t="shared" si="113"/>
        <v>145.20110291724333</v>
      </c>
      <c r="H254" s="447">
        <f t="shared" si="113"/>
        <v>147.40077951808291</v>
      </c>
      <c r="I254" s="447">
        <f t="shared" si="113"/>
        <v>150.77127203654192</v>
      </c>
      <c r="J254" s="447">
        <f t="shared" si="113"/>
        <v>154.16122029717633</v>
      </c>
      <c r="K254" s="447">
        <f t="shared" si="113"/>
        <v>154.29083921169172</v>
      </c>
      <c r="L254" s="447">
        <f t="shared" si="113"/>
        <v>153.99020020935961</v>
      </c>
      <c r="M254" s="447">
        <f t="shared" si="113"/>
        <v>153.40810119511474</v>
      </c>
      <c r="N254" s="447">
        <f t="shared" si="113"/>
        <v>153.11080947144336</v>
      </c>
      <c r="O254" s="320"/>
    </row>
    <row r="255" spans="2:15">
      <c r="B255" s="331" t="str">
        <f t="shared" si="103"/>
        <v>60-64</v>
      </c>
      <c r="C255" s="447">
        <f t="shared" si="105"/>
        <v>48.905766814110564</v>
      </c>
      <c r="D255" s="447">
        <f t="shared" ref="D255:N255" si="114">D85-D221</f>
        <v>50.506945327200846</v>
      </c>
      <c r="E255" s="447">
        <f t="shared" si="114"/>
        <v>51.252476720045991</v>
      </c>
      <c r="F255" s="447">
        <f t="shared" si="114"/>
        <v>51.654030321489181</v>
      </c>
      <c r="G255" s="447">
        <f t="shared" si="114"/>
        <v>52.102365145999514</v>
      </c>
      <c r="H255" s="447">
        <f t="shared" si="114"/>
        <v>52.94463288035741</v>
      </c>
      <c r="I255" s="447">
        <f t="shared" si="114"/>
        <v>54.200173368123323</v>
      </c>
      <c r="J255" s="447">
        <f t="shared" si="114"/>
        <v>55.378592498411443</v>
      </c>
      <c r="K255" s="447">
        <f t="shared" si="114"/>
        <v>54.951238857374932</v>
      </c>
      <c r="L255" s="447">
        <f t="shared" si="114"/>
        <v>54.411161889910673</v>
      </c>
      <c r="M255" s="447">
        <f t="shared" si="114"/>
        <v>53.839068401241363</v>
      </c>
      <c r="N255" s="447">
        <f t="shared" si="114"/>
        <v>53.494657324863525</v>
      </c>
      <c r="O255" s="320"/>
    </row>
    <row r="256" spans="2:15">
      <c r="B256" s="331" t="str">
        <f t="shared" si="103"/>
        <v>65 plus</v>
      </c>
      <c r="C256" s="447">
        <f t="shared" si="105"/>
        <v>9.0460016192617836</v>
      </c>
      <c r="D256" s="447">
        <f t="shared" ref="D256:N256" si="115">D86-D222</f>
        <v>12.397523208414773</v>
      </c>
      <c r="E256" s="447">
        <f t="shared" si="115"/>
        <v>14.747017481945337</v>
      </c>
      <c r="F256" s="447">
        <f t="shared" si="115"/>
        <v>16.371845722498712</v>
      </c>
      <c r="G256" s="447">
        <f t="shared" si="115"/>
        <v>17.469721640970118</v>
      </c>
      <c r="H256" s="447">
        <f t="shared" si="115"/>
        <v>18.334491165040092</v>
      </c>
      <c r="I256" s="447">
        <f t="shared" si="115"/>
        <v>19.116532337374494</v>
      </c>
      <c r="J256" s="447">
        <f t="shared" si="115"/>
        <v>19.734855506416434</v>
      </c>
      <c r="K256" s="447">
        <f t="shared" si="115"/>
        <v>19.676991536249371</v>
      </c>
      <c r="L256" s="447">
        <f t="shared" si="115"/>
        <v>19.473272557844467</v>
      </c>
      <c r="M256" s="447">
        <f t="shared" si="115"/>
        <v>19.20401480520087</v>
      </c>
      <c r="N256" s="447">
        <f t="shared" si="115"/>
        <v>18.996702178596617</v>
      </c>
      <c r="O256" s="320"/>
    </row>
    <row r="257" spans="1:15">
      <c r="B257" s="331" t="str">
        <f t="shared" si="103"/>
        <v>Total</v>
      </c>
      <c r="C257" s="447">
        <f>SUM(C247:C256)</f>
        <v>2419.6603992733571</v>
      </c>
      <c r="D257" s="447">
        <f t="shared" ref="D257:N257" si="116">SUM(D247:D256)</f>
        <v>2455.4515792810271</v>
      </c>
      <c r="E257" s="447">
        <f t="shared" si="116"/>
        <v>2544.9845847943398</v>
      </c>
      <c r="F257" s="447">
        <f t="shared" si="116"/>
        <v>2654.1175636328448</v>
      </c>
      <c r="G257" s="447">
        <f t="shared" si="116"/>
        <v>2774.0539222993748</v>
      </c>
      <c r="H257" s="447">
        <f t="shared" si="116"/>
        <v>2915.6580744193589</v>
      </c>
      <c r="I257" s="447">
        <f t="shared" si="116"/>
        <v>3077.7817029541457</v>
      </c>
      <c r="J257" s="447">
        <f t="shared" si="116"/>
        <v>3227.7275972089928</v>
      </c>
      <c r="K257" s="447">
        <f t="shared" si="116"/>
        <v>3259.7166804366434</v>
      </c>
      <c r="L257" s="447">
        <f t="shared" si="116"/>
        <v>3266.7638336990071</v>
      </c>
      <c r="M257" s="447">
        <f t="shared" si="116"/>
        <v>3257.2243506701011</v>
      </c>
      <c r="N257" s="447">
        <f t="shared" si="116"/>
        <v>3252.0125361664186</v>
      </c>
      <c r="O257" s="320"/>
    </row>
    <row r="258" spans="1:15">
      <c r="A258" s="302">
        <f>SUM(C258:N258)</f>
        <v>0</v>
      </c>
      <c r="C258" s="302">
        <f>SUM(C247:C256)-C257</f>
        <v>0</v>
      </c>
      <c r="D258" s="302">
        <f t="shared" ref="D258:N258" si="117">SUM(D247:D256)-D257</f>
        <v>0</v>
      </c>
      <c r="E258" s="302">
        <f t="shared" si="117"/>
        <v>0</v>
      </c>
      <c r="F258" s="302">
        <f t="shared" si="117"/>
        <v>0</v>
      </c>
      <c r="G258" s="302">
        <f t="shared" si="117"/>
        <v>0</v>
      </c>
      <c r="H258" s="302">
        <f t="shared" si="117"/>
        <v>0</v>
      </c>
      <c r="I258" s="302">
        <f t="shared" si="117"/>
        <v>0</v>
      </c>
      <c r="J258" s="302">
        <f t="shared" si="117"/>
        <v>0</v>
      </c>
      <c r="K258" s="302">
        <f t="shared" si="117"/>
        <v>0</v>
      </c>
      <c r="L258" s="302">
        <f t="shared" si="117"/>
        <v>0</v>
      </c>
      <c r="M258" s="302">
        <f t="shared" si="117"/>
        <v>0</v>
      </c>
      <c r="N258" s="302">
        <f t="shared" si="117"/>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8">B246</f>
        <v>Age group</v>
      </c>
      <c r="C262" s="331" t="str">
        <f t="shared" ref="C262:N262" si="119">C246</f>
        <v>2017/18</v>
      </c>
      <c r="D262" s="331" t="str">
        <f t="shared" si="119"/>
        <v>2018/19</v>
      </c>
      <c r="E262" s="331" t="str">
        <f t="shared" si="119"/>
        <v>2019/20</v>
      </c>
      <c r="F262" s="331" t="str">
        <f t="shared" si="119"/>
        <v>2020/21</v>
      </c>
      <c r="G262" s="331" t="str">
        <f t="shared" si="119"/>
        <v>2021/22</v>
      </c>
      <c r="H262" s="331" t="str">
        <f t="shared" si="119"/>
        <v>2022/23</v>
      </c>
      <c r="I262" s="331" t="str">
        <f t="shared" si="119"/>
        <v>2023/24</v>
      </c>
      <c r="J262" s="331" t="str">
        <f t="shared" si="119"/>
        <v>2024/25</v>
      </c>
      <c r="K262" s="331" t="str">
        <f t="shared" si="119"/>
        <v>2025/26</v>
      </c>
      <c r="L262" s="331" t="str">
        <f t="shared" si="119"/>
        <v>2026/27</v>
      </c>
      <c r="M262" s="331" t="str">
        <f t="shared" si="119"/>
        <v>2027/28</v>
      </c>
      <c r="N262" s="331" t="str">
        <f t="shared" si="119"/>
        <v>2028/29</v>
      </c>
    </row>
    <row r="263" spans="1:15">
      <c r="B263" s="331" t="str">
        <f t="shared" si="118"/>
        <v>20-24</v>
      </c>
      <c r="C263" s="447">
        <f t="shared" ref="C263:C272" si="120">C93-C229</f>
        <v>229.79285779574127</v>
      </c>
      <c r="D263" s="447">
        <f t="shared" ref="D263:N263" si="121">D93-D229</f>
        <v>435.63196655408217</v>
      </c>
      <c r="E263" s="447">
        <f t="shared" si="121"/>
        <v>640.70833532858546</v>
      </c>
      <c r="F263" s="447">
        <f t="shared" si="121"/>
        <v>806.74298285811187</v>
      </c>
      <c r="G263" s="447">
        <f t="shared" si="121"/>
        <v>944.29268549122753</v>
      </c>
      <c r="H263" s="447">
        <f t="shared" si="121"/>
        <v>1072.4325188873572</v>
      </c>
      <c r="I263" s="447">
        <f t="shared" si="121"/>
        <v>1194.8805587399504</v>
      </c>
      <c r="J263" s="447">
        <f t="shared" si="121"/>
        <v>1285.5801514044144</v>
      </c>
      <c r="K263" s="447">
        <f t="shared" si="121"/>
        <v>1256.6838105681691</v>
      </c>
      <c r="L263" s="447">
        <f t="shared" si="121"/>
        <v>1215.7535019141499</v>
      </c>
      <c r="M263" s="447">
        <f t="shared" si="121"/>
        <v>1171.5704410063627</v>
      </c>
      <c r="N263" s="447">
        <f t="shared" si="121"/>
        <v>1142.5757520486641</v>
      </c>
    </row>
    <row r="264" spans="1:15">
      <c r="B264" s="331" t="str">
        <f t="shared" si="118"/>
        <v>25-29</v>
      </c>
      <c r="C264" s="447">
        <f t="shared" si="120"/>
        <v>1225.4932703099844</v>
      </c>
      <c r="D264" s="447">
        <f t="shared" ref="D264:N264" si="122">D94-D230</f>
        <v>1264.4509145691309</v>
      </c>
      <c r="E264" s="447">
        <f t="shared" si="122"/>
        <v>1405.1163415320584</v>
      </c>
      <c r="F264" s="447">
        <f t="shared" si="122"/>
        <v>1569.0078272740463</v>
      </c>
      <c r="G264" s="447">
        <f t="shared" si="122"/>
        <v>1741.8094859276412</v>
      </c>
      <c r="H264" s="447">
        <f t="shared" si="122"/>
        <v>1929.4379205265259</v>
      </c>
      <c r="I264" s="447">
        <f t="shared" si="122"/>
        <v>2127.0656175921522</v>
      </c>
      <c r="J264" s="447">
        <f t="shared" si="122"/>
        <v>2295.0965346827234</v>
      </c>
      <c r="K264" s="447">
        <f t="shared" si="122"/>
        <v>2311.4266886373971</v>
      </c>
      <c r="L264" s="447">
        <f t="shared" si="122"/>
        <v>2291.3021973858758</v>
      </c>
      <c r="M264" s="447">
        <f t="shared" si="122"/>
        <v>2249.8691618027037</v>
      </c>
      <c r="N264" s="447">
        <f t="shared" si="122"/>
        <v>2215.2074644755144</v>
      </c>
    </row>
    <row r="265" spans="1:15">
      <c r="B265" s="331" t="str">
        <f t="shared" si="118"/>
        <v>30-34</v>
      </c>
      <c r="C265" s="447">
        <f t="shared" si="120"/>
        <v>1460.3680034930201</v>
      </c>
      <c r="D265" s="447">
        <f t="shared" ref="D265:N265" si="123">D95-D231</f>
        <v>1496.1064635386681</v>
      </c>
      <c r="E265" s="447">
        <f t="shared" si="123"/>
        <v>1574.8348226166268</v>
      </c>
      <c r="F265" s="447">
        <f t="shared" si="123"/>
        <v>1673.4889504487112</v>
      </c>
      <c r="G265" s="447">
        <f t="shared" si="123"/>
        <v>1791.0809779342133</v>
      </c>
      <c r="H265" s="447">
        <f t="shared" si="123"/>
        <v>1932.2665239115704</v>
      </c>
      <c r="I265" s="447">
        <f t="shared" si="123"/>
        <v>2093.8943293525881</v>
      </c>
      <c r="J265" s="447">
        <f t="shared" si="123"/>
        <v>2250.2810378100939</v>
      </c>
      <c r="K265" s="447">
        <f t="shared" si="123"/>
        <v>2320.9990696328682</v>
      </c>
      <c r="L265" s="447">
        <f t="shared" si="123"/>
        <v>2358.8071330973708</v>
      </c>
      <c r="M265" s="447">
        <f t="shared" si="123"/>
        <v>2370.3122754398569</v>
      </c>
      <c r="N265" s="447">
        <f t="shared" si="123"/>
        <v>2372.687319265096</v>
      </c>
    </row>
    <row r="266" spans="1:15">
      <c r="B266" s="331" t="str">
        <f t="shared" si="118"/>
        <v>35-39</v>
      </c>
      <c r="C266" s="447">
        <f t="shared" si="120"/>
        <v>1720.430449376357</v>
      </c>
      <c r="D266" s="447">
        <f t="shared" ref="D266:N266" si="124">D96-D232</f>
        <v>1668.5112332336016</v>
      </c>
      <c r="E266" s="447">
        <f t="shared" si="124"/>
        <v>1666.8475245889233</v>
      </c>
      <c r="F266" s="447">
        <f t="shared" si="124"/>
        <v>1690.2761105233178</v>
      </c>
      <c r="G266" s="447">
        <f t="shared" si="124"/>
        <v>1736.4734969251101</v>
      </c>
      <c r="H266" s="447">
        <f t="shared" si="124"/>
        <v>1808.264352052207</v>
      </c>
      <c r="I266" s="447">
        <f t="shared" si="124"/>
        <v>1903.4908055485469</v>
      </c>
      <c r="J266" s="447">
        <f t="shared" si="124"/>
        <v>2004.9560083679037</v>
      </c>
      <c r="K266" s="447">
        <f t="shared" si="124"/>
        <v>2058.9020524714615</v>
      </c>
      <c r="L266" s="447">
        <f t="shared" si="124"/>
        <v>2100.2683177919398</v>
      </c>
      <c r="M266" s="447">
        <f t="shared" si="124"/>
        <v>2129.1829881813533</v>
      </c>
      <c r="N266" s="447">
        <f t="shared" si="124"/>
        <v>2153.3955441707822</v>
      </c>
    </row>
    <row r="267" spans="1:15">
      <c r="B267" s="331" t="str">
        <f t="shared" si="118"/>
        <v>40-44</v>
      </c>
      <c r="C267" s="447">
        <f t="shared" si="120"/>
        <v>1971.3589253206962</v>
      </c>
      <c r="D267" s="447">
        <f t="shared" ref="D267:N267" si="125">D97-D233</f>
        <v>1882.2481459636342</v>
      </c>
      <c r="E267" s="447">
        <f t="shared" si="125"/>
        <v>1831.5890606075345</v>
      </c>
      <c r="F267" s="447">
        <f t="shared" si="125"/>
        <v>1802.3526720258619</v>
      </c>
      <c r="G267" s="447">
        <f t="shared" si="125"/>
        <v>1794.5218323532235</v>
      </c>
      <c r="H267" s="447">
        <f t="shared" si="125"/>
        <v>1811.1454959402176</v>
      </c>
      <c r="I267" s="447">
        <f t="shared" si="125"/>
        <v>1850.7478643746326</v>
      </c>
      <c r="J267" s="447">
        <f t="shared" si="125"/>
        <v>1899.3048203408923</v>
      </c>
      <c r="K267" s="447">
        <f t="shared" si="125"/>
        <v>1912.9365411510857</v>
      </c>
      <c r="L267" s="447">
        <f t="shared" si="125"/>
        <v>1923.7318199078566</v>
      </c>
      <c r="M267" s="447">
        <f t="shared" si="125"/>
        <v>1932.4167914558614</v>
      </c>
      <c r="N267" s="447">
        <f t="shared" si="125"/>
        <v>1944.9262876776068</v>
      </c>
    </row>
    <row r="268" spans="1:15">
      <c r="B268" s="331" t="str">
        <f t="shared" si="118"/>
        <v>45-49</v>
      </c>
      <c r="C268" s="447">
        <f t="shared" si="120"/>
        <v>1754.7201414404117</v>
      </c>
      <c r="D268" s="447">
        <f t="shared" ref="D268:N268" si="126">D98-D234</f>
        <v>1736.5717532994076</v>
      </c>
      <c r="E268" s="447">
        <f t="shared" si="126"/>
        <v>1726.2900883799412</v>
      </c>
      <c r="F268" s="447">
        <f t="shared" si="126"/>
        <v>1715.812971801962</v>
      </c>
      <c r="G268" s="447">
        <f t="shared" si="126"/>
        <v>1710.4220558735246</v>
      </c>
      <c r="H268" s="447">
        <f t="shared" si="126"/>
        <v>1716.3767330154128</v>
      </c>
      <c r="I268" s="447">
        <f t="shared" si="126"/>
        <v>1735.3500619512467</v>
      </c>
      <c r="J268" s="447">
        <f t="shared" si="126"/>
        <v>1758.090892434443</v>
      </c>
      <c r="K268" s="447">
        <f t="shared" si="126"/>
        <v>1750.5578306723187</v>
      </c>
      <c r="L268" s="447">
        <f t="shared" si="126"/>
        <v>1740.1981934687001</v>
      </c>
      <c r="M268" s="447">
        <f t="shared" si="126"/>
        <v>1729.110502537595</v>
      </c>
      <c r="N268" s="447">
        <f t="shared" si="126"/>
        <v>1723.3256341309718</v>
      </c>
    </row>
    <row r="269" spans="1:15">
      <c r="B269" s="331" t="str">
        <f t="shared" si="118"/>
        <v>50-54</v>
      </c>
      <c r="C269" s="447">
        <f t="shared" si="120"/>
        <v>1270.2713696459682</v>
      </c>
      <c r="D269" s="447">
        <f t="shared" ref="D269:N269" si="127">D99-D235</f>
        <v>1286.9519972564481</v>
      </c>
      <c r="E269" s="447">
        <f t="shared" si="127"/>
        <v>1309.6842214617322</v>
      </c>
      <c r="F269" s="447">
        <f t="shared" si="127"/>
        <v>1328.5106517782888</v>
      </c>
      <c r="G269" s="447">
        <f t="shared" si="127"/>
        <v>1345.5658472610155</v>
      </c>
      <c r="H269" s="447">
        <f t="shared" si="127"/>
        <v>1365.0355663649937</v>
      </c>
      <c r="I269" s="447">
        <f t="shared" si="127"/>
        <v>1388.4651600819871</v>
      </c>
      <c r="J269" s="447">
        <f t="shared" si="127"/>
        <v>1409.7252940881872</v>
      </c>
      <c r="K269" s="447">
        <f t="shared" si="127"/>
        <v>1404.5685138184535</v>
      </c>
      <c r="L269" s="447">
        <f t="shared" si="127"/>
        <v>1394.1495816498295</v>
      </c>
      <c r="M269" s="447">
        <f t="shared" si="127"/>
        <v>1380.8578912642399</v>
      </c>
      <c r="N269" s="447">
        <f t="shared" si="127"/>
        <v>1369.9841923713734</v>
      </c>
    </row>
    <row r="270" spans="1:15">
      <c r="B270" s="331" t="str">
        <f t="shared" si="118"/>
        <v>55-59</v>
      </c>
      <c r="C270" s="447">
        <f t="shared" si="120"/>
        <v>758.13130258878016</v>
      </c>
      <c r="D270" s="447">
        <f t="shared" ref="D270:N270" si="128">D100-D236</f>
        <v>700.55524134670543</v>
      </c>
      <c r="E270" s="447">
        <f t="shared" si="128"/>
        <v>676.42309087789431</v>
      </c>
      <c r="F270" s="447">
        <f t="shared" si="128"/>
        <v>668.10513499027718</v>
      </c>
      <c r="G270" s="447">
        <f t="shared" si="128"/>
        <v>669.11877250603902</v>
      </c>
      <c r="H270" s="447">
        <f t="shared" si="128"/>
        <v>677.17019205732959</v>
      </c>
      <c r="I270" s="447">
        <f t="shared" si="128"/>
        <v>690.03058835091326</v>
      </c>
      <c r="J270" s="447">
        <f t="shared" si="128"/>
        <v>702.21816332649087</v>
      </c>
      <c r="K270" s="447">
        <f t="shared" si="128"/>
        <v>698.87029645019857</v>
      </c>
      <c r="L270" s="447">
        <f t="shared" si="128"/>
        <v>692.89264015006268</v>
      </c>
      <c r="M270" s="447">
        <f t="shared" si="128"/>
        <v>685.28997842473291</v>
      </c>
      <c r="N270" s="447">
        <f t="shared" si="128"/>
        <v>678.90900838843902</v>
      </c>
    </row>
    <row r="271" spans="1:15">
      <c r="B271" s="331" t="str">
        <f t="shared" si="118"/>
        <v>60-64</v>
      </c>
      <c r="C271" s="447">
        <f t="shared" si="120"/>
        <v>245.0334460891126</v>
      </c>
      <c r="D271" s="447">
        <f t="shared" ref="D271:N271" si="129">D101-D237</f>
        <v>240.07810238842876</v>
      </c>
      <c r="E271" s="447">
        <f t="shared" si="129"/>
        <v>234.16650879624211</v>
      </c>
      <c r="F271" s="447">
        <f t="shared" si="129"/>
        <v>229.47016001384131</v>
      </c>
      <c r="G271" s="447">
        <f t="shared" si="129"/>
        <v>227.49744810920214</v>
      </c>
      <c r="H271" s="447">
        <f t="shared" si="129"/>
        <v>228.82165903418473</v>
      </c>
      <c r="I271" s="447">
        <f t="shared" si="129"/>
        <v>232.77508655506875</v>
      </c>
      <c r="J271" s="447">
        <f t="shared" si="129"/>
        <v>236.75272625396036</v>
      </c>
      <c r="K271" s="447">
        <f t="shared" si="129"/>
        <v>233.92151808036644</v>
      </c>
      <c r="L271" s="447">
        <f t="shared" si="129"/>
        <v>230.62844000754072</v>
      </c>
      <c r="M271" s="447">
        <f t="shared" si="129"/>
        <v>227.12557603572907</v>
      </c>
      <c r="N271" s="447">
        <f t="shared" si="129"/>
        <v>224.51862323078726</v>
      </c>
    </row>
    <row r="272" spans="1:15">
      <c r="B272" s="331" t="str">
        <f t="shared" si="118"/>
        <v>65 plus</v>
      </c>
      <c r="C272" s="447">
        <f t="shared" si="120"/>
        <v>57.824058081448634</v>
      </c>
      <c r="D272" s="447">
        <f t="shared" ref="D272:N272" si="130">D102-D238</f>
        <v>74.844047346061458</v>
      </c>
      <c r="E272" s="447">
        <f t="shared" si="130"/>
        <v>86.462741295782948</v>
      </c>
      <c r="F272" s="447">
        <f t="shared" si="130"/>
        <v>93.495451268261633</v>
      </c>
      <c r="G272" s="447">
        <f t="shared" si="130"/>
        <v>97.908191586433603</v>
      </c>
      <c r="H272" s="447">
        <f t="shared" si="130"/>
        <v>101.32681306070808</v>
      </c>
      <c r="I272" s="447">
        <f t="shared" si="130"/>
        <v>104.56219222323506</v>
      </c>
      <c r="J272" s="447">
        <f t="shared" si="130"/>
        <v>107.2168899544356</v>
      </c>
      <c r="K272" s="447">
        <f t="shared" si="130"/>
        <v>106.72521508137811</v>
      </c>
      <c r="L272" s="447">
        <f t="shared" si="130"/>
        <v>105.4724368648171</v>
      </c>
      <c r="M272" s="447">
        <f t="shared" si="130"/>
        <v>103.8348799039735</v>
      </c>
      <c r="N272" s="447">
        <f t="shared" si="130"/>
        <v>102.43082860197113</v>
      </c>
    </row>
    <row r="273" spans="1:14">
      <c r="B273" s="331" t="str">
        <f t="shared" si="118"/>
        <v>Total</v>
      </c>
      <c r="C273" s="447">
        <f>SUM(C263:C272)</f>
        <v>10693.423824141521</v>
      </c>
      <c r="D273" s="447">
        <f t="shared" ref="D273:N273" si="131">SUM(D263:D272)</f>
        <v>10785.949865496168</v>
      </c>
      <c r="E273" s="447">
        <f t="shared" si="131"/>
        <v>11152.122735485322</v>
      </c>
      <c r="F273" s="447">
        <f t="shared" si="131"/>
        <v>11577.262912982682</v>
      </c>
      <c r="G273" s="447">
        <f t="shared" si="131"/>
        <v>12058.690793967629</v>
      </c>
      <c r="H273" s="447">
        <f t="shared" si="131"/>
        <v>12642.277774850507</v>
      </c>
      <c r="I273" s="447">
        <f t="shared" si="131"/>
        <v>13321.262264770319</v>
      </c>
      <c r="J273" s="447">
        <f t="shared" si="131"/>
        <v>13949.222518663548</v>
      </c>
      <c r="K273" s="447">
        <f t="shared" si="131"/>
        <v>14055.591536563697</v>
      </c>
      <c r="L273" s="447">
        <f t="shared" si="131"/>
        <v>14053.204262238143</v>
      </c>
      <c r="M273" s="447">
        <f t="shared" si="131"/>
        <v>13979.570486052409</v>
      </c>
      <c r="N273" s="447">
        <f t="shared" si="131"/>
        <v>13927.960654361206</v>
      </c>
    </row>
    <row r="274" spans="1:14">
      <c r="A274" s="302">
        <f>SUM(C274:N274)</f>
        <v>0</v>
      </c>
      <c r="C274" s="302">
        <f>SUM(C263:C272)-C273</f>
        <v>0</v>
      </c>
      <c r="D274" s="302">
        <f t="shared" ref="D274:N274" si="132">SUM(D263:D272)-D273</f>
        <v>0</v>
      </c>
      <c r="E274" s="302">
        <f t="shared" si="132"/>
        <v>0</v>
      </c>
      <c r="F274" s="302">
        <f t="shared" si="132"/>
        <v>0</v>
      </c>
      <c r="G274" s="302">
        <f t="shared" si="132"/>
        <v>0</v>
      </c>
      <c r="H274" s="302">
        <f t="shared" si="132"/>
        <v>0</v>
      </c>
      <c r="I274" s="302">
        <f t="shared" si="132"/>
        <v>0</v>
      </c>
      <c r="J274" s="302">
        <f t="shared" si="132"/>
        <v>0</v>
      </c>
      <c r="K274" s="302">
        <f t="shared" si="132"/>
        <v>0</v>
      </c>
      <c r="L274" s="302">
        <f t="shared" si="132"/>
        <v>0</v>
      </c>
      <c r="M274" s="302">
        <f t="shared" si="132"/>
        <v>0</v>
      </c>
      <c r="N274" s="302">
        <f t="shared" si="132"/>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3">D262</f>
        <v>2018/19</v>
      </c>
      <c r="E278" s="319" t="str">
        <f t="shared" si="133"/>
        <v>2019/20</v>
      </c>
      <c r="F278" s="319" t="str">
        <f t="shared" si="133"/>
        <v>2020/21</v>
      </c>
      <c r="G278" s="319" t="str">
        <f t="shared" si="133"/>
        <v>2021/22</v>
      </c>
      <c r="H278" s="319" t="str">
        <f t="shared" si="133"/>
        <v>2022/23</v>
      </c>
      <c r="I278" s="319" t="str">
        <f t="shared" si="133"/>
        <v>2023/24</v>
      </c>
      <c r="J278" s="319" t="str">
        <f t="shared" si="133"/>
        <v>2024/25</v>
      </c>
      <c r="K278" s="319" t="str">
        <f t="shared" si="133"/>
        <v>2025/26</v>
      </c>
      <c r="L278" s="319" t="str">
        <f t="shared" si="133"/>
        <v>2026/27</v>
      </c>
      <c r="M278" s="319" t="str">
        <f t="shared" si="133"/>
        <v>2027/28</v>
      </c>
      <c r="N278" s="319" t="str">
        <f t="shared" si="133"/>
        <v>2028/29</v>
      </c>
    </row>
    <row r="279" spans="1:14" ht="25.5">
      <c r="B279" s="331" t="s">
        <v>602</v>
      </c>
      <c r="C279" s="450">
        <f>C223+C239</f>
        <v>1712.4176271707834</v>
      </c>
      <c r="D279" s="450">
        <f t="shared" ref="D279:N279" si="134">D223+D239</f>
        <v>1730.1003532912928</v>
      </c>
      <c r="E279" s="450">
        <f t="shared" si="134"/>
        <v>1821.3410064927052</v>
      </c>
      <c r="F279" s="450">
        <f t="shared" si="134"/>
        <v>1902.6907509780331</v>
      </c>
      <c r="G279" s="450">
        <f t="shared" si="134"/>
        <v>1980.0122320221783</v>
      </c>
      <c r="H279" s="450">
        <f t="shared" si="134"/>
        <v>2072.466705161848</v>
      </c>
      <c r="I279" s="450">
        <f t="shared" si="134"/>
        <v>2178.9762989192309</v>
      </c>
      <c r="J279" s="450">
        <f t="shared" si="134"/>
        <v>2275.5153994768698</v>
      </c>
      <c r="K279" s="450">
        <f t="shared" si="134"/>
        <v>2285.3036331617368</v>
      </c>
      <c r="L279" s="450">
        <f t="shared" si="134"/>
        <v>2278.1297803979701</v>
      </c>
      <c r="M279" s="450">
        <f t="shared" si="134"/>
        <v>2260.3752378383942</v>
      </c>
      <c r="N279" s="450">
        <f t="shared" si="134"/>
        <v>2247.4191463750371</v>
      </c>
    </row>
    <row r="280" spans="1:14" ht="25.5">
      <c r="B280" s="331" t="s">
        <v>603</v>
      </c>
      <c r="C280" s="450">
        <f>C155+C171</f>
        <v>442.29103399063627</v>
      </c>
      <c r="D280" s="450">
        <f t="shared" ref="D280:N280" si="135">D155+D171</f>
        <v>434.68897447168638</v>
      </c>
      <c r="E280" s="450">
        <f t="shared" si="135"/>
        <v>433.44383086198383</v>
      </c>
      <c r="F280" s="450">
        <f t="shared" si="135"/>
        <v>434.08448385478044</v>
      </c>
      <c r="G280" s="450">
        <f t="shared" si="135"/>
        <v>436.98555150457003</v>
      </c>
      <c r="H280" s="450">
        <f t="shared" si="135"/>
        <v>443.32235979576274</v>
      </c>
      <c r="I280" s="450">
        <f t="shared" si="135"/>
        <v>452.65992127179584</v>
      </c>
      <c r="J280" s="450">
        <f t="shared" si="135"/>
        <v>461.42366114738724</v>
      </c>
      <c r="K280" s="450">
        <f t="shared" si="135"/>
        <v>458.80297021779779</v>
      </c>
      <c r="L280" s="450">
        <f t="shared" si="135"/>
        <v>454.546259608887</v>
      </c>
      <c r="M280" s="450">
        <f t="shared" si="135"/>
        <v>449.38700145031885</v>
      </c>
      <c r="N280" s="450">
        <f t="shared" si="135"/>
        <v>445.35385469668938</v>
      </c>
    </row>
    <row r="281" spans="1:14" ht="25.5">
      <c r="B281" s="331" t="s">
        <v>604</v>
      </c>
      <c r="C281" s="450">
        <f>C189+C205</f>
        <v>10.816640683616745</v>
      </c>
      <c r="D281" s="450">
        <f t="shared" ref="D281:N281" si="136">D189+D205</f>
        <v>10.80126284415457</v>
      </c>
      <c r="E281" s="450">
        <f t="shared" si="136"/>
        <v>10.926896858858337</v>
      </c>
      <c r="F281" s="450">
        <f t="shared" si="136"/>
        <v>11.064971017096614</v>
      </c>
      <c r="G281" s="450">
        <f t="shared" si="136"/>
        <v>11.233665518409898</v>
      </c>
      <c r="H281" s="450">
        <f t="shared" si="136"/>
        <v>11.476148507981826</v>
      </c>
      <c r="I281" s="450">
        <f t="shared" si="136"/>
        <v>11.795106518117402</v>
      </c>
      <c r="J281" s="450">
        <f t="shared" si="136"/>
        <v>12.108114849131455</v>
      </c>
      <c r="K281" s="450">
        <f t="shared" si="136"/>
        <v>12.136999480570898</v>
      </c>
      <c r="L281" s="450">
        <f t="shared" si="136"/>
        <v>12.112248256970027</v>
      </c>
      <c r="M281" s="450">
        <f t="shared" si="136"/>
        <v>12.053074450386518</v>
      </c>
      <c r="N281" s="450">
        <f t="shared" si="136"/>
        <v>12.011979464130512</v>
      </c>
    </row>
    <row r="282" spans="1:14" ht="25.5">
      <c r="B282" s="331" t="s">
        <v>605</v>
      </c>
      <c r="C282" s="450">
        <f>C121+C137</f>
        <v>1259.3099524965305</v>
      </c>
      <c r="D282" s="450">
        <f t="shared" ref="D282:N282" si="137">D121+D137</f>
        <v>1284.6101159754514</v>
      </c>
      <c r="E282" s="450">
        <f t="shared" si="137"/>
        <v>1376.9702787718634</v>
      </c>
      <c r="F282" s="450">
        <f t="shared" si="137"/>
        <v>1457.5412961061556</v>
      </c>
      <c r="G282" s="450">
        <f t="shared" si="137"/>
        <v>1531.793014999198</v>
      </c>
      <c r="H282" s="450">
        <f t="shared" si="137"/>
        <v>1617.6681968581029</v>
      </c>
      <c r="I282" s="450">
        <f t="shared" si="137"/>
        <v>1714.5212711293175</v>
      </c>
      <c r="J282" s="450">
        <f t="shared" si="137"/>
        <v>1801.9836234803508</v>
      </c>
      <c r="K282" s="450">
        <f t="shared" si="137"/>
        <v>1814.3636634633683</v>
      </c>
      <c r="L282" s="450">
        <f t="shared" si="137"/>
        <v>1811.4712725321126</v>
      </c>
      <c r="M282" s="450">
        <f t="shared" si="137"/>
        <v>1798.9351619376885</v>
      </c>
      <c r="N282" s="450">
        <f t="shared" si="137"/>
        <v>1790.0533122142174</v>
      </c>
    </row>
    <row r="283" spans="1:14" ht="15.75">
      <c r="A283" s="302">
        <f>SUM(C283:N283)</f>
        <v>0</v>
      </c>
      <c r="B283" s="333"/>
      <c r="C283" s="302">
        <f>C279-C280-C281-C282</f>
        <v>0</v>
      </c>
      <c r="D283" s="302">
        <f t="shared" ref="D283:N283" si="138">D279-D280-D281-D282</f>
        <v>0</v>
      </c>
      <c r="E283" s="302">
        <f t="shared" si="138"/>
        <v>0</v>
      </c>
      <c r="F283" s="302">
        <f t="shared" si="138"/>
        <v>0</v>
      </c>
      <c r="G283" s="302">
        <f t="shared" si="138"/>
        <v>0</v>
      </c>
      <c r="H283" s="302">
        <f t="shared" si="138"/>
        <v>0</v>
      </c>
      <c r="I283" s="302">
        <f t="shared" si="138"/>
        <v>0</v>
      </c>
      <c r="J283" s="302">
        <f t="shared" si="138"/>
        <v>0</v>
      </c>
      <c r="K283" s="302">
        <f t="shared" si="138"/>
        <v>0</v>
      </c>
      <c r="L283" s="302">
        <f t="shared" si="138"/>
        <v>0</v>
      </c>
      <c r="M283" s="302">
        <f t="shared" si="138"/>
        <v>0</v>
      </c>
      <c r="N283" s="302">
        <f t="shared" si="138"/>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6" ht="15.75">
      <c r="B289" s="333"/>
      <c r="C289" s="319" t="str">
        <f>C278</f>
        <v>2017/18</v>
      </c>
      <c r="D289" s="319" t="str">
        <f t="shared" ref="D289:N289" si="139">D278</f>
        <v>2018/19</v>
      </c>
      <c r="E289" s="319" t="str">
        <f t="shared" si="139"/>
        <v>2019/20</v>
      </c>
      <c r="F289" s="319" t="str">
        <f t="shared" si="139"/>
        <v>2020/21</v>
      </c>
      <c r="G289" s="319" t="str">
        <f t="shared" si="139"/>
        <v>2021/22</v>
      </c>
      <c r="H289" s="319" t="str">
        <f t="shared" si="139"/>
        <v>2022/23</v>
      </c>
      <c r="I289" s="319" t="str">
        <f t="shared" si="139"/>
        <v>2023/24</v>
      </c>
      <c r="J289" s="319" t="str">
        <f t="shared" si="139"/>
        <v>2024/25</v>
      </c>
      <c r="K289" s="319" t="str">
        <f t="shared" si="139"/>
        <v>2025/26</v>
      </c>
      <c r="L289" s="319" t="str">
        <f t="shared" si="139"/>
        <v>2026/27</v>
      </c>
      <c r="M289" s="319" t="str">
        <f t="shared" si="139"/>
        <v>2027/28</v>
      </c>
      <c r="N289" s="319" t="str">
        <f t="shared" si="139"/>
        <v>2028/29</v>
      </c>
    </row>
    <row r="290" spans="2:16" ht="15.75">
      <c r="B290" s="333"/>
      <c r="C290" s="447">
        <f>C53+C69-C15</f>
        <v>0</v>
      </c>
      <c r="D290" s="447">
        <f>D53+D69-D15</f>
        <v>0</v>
      </c>
      <c r="E290" s="447">
        <f>E53+E69-E15</f>
        <v>0</v>
      </c>
      <c r="F290" s="447">
        <f t="shared" ref="F290:N290" si="140">F53+F69-F15</f>
        <v>0</v>
      </c>
      <c r="G290" s="447">
        <f t="shared" si="140"/>
        <v>0</v>
      </c>
      <c r="H290" s="447">
        <f t="shared" si="140"/>
        <v>0</v>
      </c>
      <c r="I290" s="447">
        <f t="shared" si="140"/>
        <v>0</v>
      </c>
      <c r="J290" s="447">
        <f t="shared" si="140"/>
        <v>0</v>
      </c>
      <c r="K290" s="447">
        <f t="shared" si="140"/>
        <v>0</v>
      </c>
      <c r="L290" s="447">
        <f t="shared" si="140"/>
        <v>0</v>
      </c>
      <c r="M290" s="447">
        <f t="shared" si="140"/>
        <v>0</v>
      </c>
      <c r="N290" s="447">
        <f t="shared" si="140"/>
        <v>0</v>
      </c>
      <c r="O290" s="320"/>
      <c r="P290" s="320"/>
    </row>
    <row r="291" spans="2:16" ht="15.75">
      <c r="B291" s="333"/>
      <c r="H291" s="320"/>
    </row>
    <row r="292" spans="2:16" ht="15.75">
      <c r="B292" s="333" t="s">
        <v>264</v>
      </c>
      <c r="H292" s="320"/>
    </row>
    <row r="293" spans="2:16" ht="15.75">
      <c r="B293" s="333"/>
      <c r="C293" s="358" t="str">
        <f t="shared" ref="C293:N293" si="141">C262</f>
        <v>2017/18</v>
      </c>
      <c r="D293" s="358" t="str">
        <f t="shared" si="141"/>
        <v>2018/19</v>
      </c>
      <c r="E293" s="358" t="str">
        <f t="shared" si="141"/>
        <v>2019/20</v>
      </c>
      <c r="F293" s="358" t="str">
        <f t="shared" si="141"/>
        <v>2020/21</v>
      </c>
      <c r="G293" s="358" t="str">
        <f t="shared" si="141"/>
        <v>2021/22</v>
      </c>
      <c r="H293" s="358" t="str">
        <f t="shared" si="141"/>
        <v>2022/23</v>
      </c>
      <c r="I293" s="358" t="str">
        <f t="shared" si="141"/>
        <v>2023/24</v>
      </c>
      <c r="J293" s="358" t="str">
        <f t="shared" si="141"/>
        <v>2024/25</v>
      </c>
      <c r="K293" s="358" t="str">
        <f t="shared" si="141"/>
        <v>2025/26</v>
      </c>
      <c r="L293" s="358" t="str">
        <f t="shared" si="141"/>
        <v>2026/27</v>
      </c>
      <c r="M293" s="358" t="str">
        <f t="shared" si="141"/>
        <v>2027/28</v>
      </c>
      <c r="N293" s="358" t="str">
        <f t="shared" si="141"/>
        <v>2028/29</v>
      </c>
    </row>
    <row r="294" spans="2:16">
      <c r="B294" s="356" t="s">
        <v>268</v>
      </c>
      <c r="C294" s="447">
        <f>C36-C15+C279-C290</f>
        <v>1858.4175746536107</v>
      </c>
      <c r="D294" s="447">
        <f>D36-D15+D279-D290</f>
        <v>2277.0468819951711</v>
      </c>
      <c r="E294" s="447">
        <f>E36-E15+E279-E290</f>
        <v>2436.9639073138974</v>
      </c>
      <c r="F294" s="447">
        <f t="shared" ref="F294:N294" si="142">F36-F15+F279-F290</f>
        <v>2581.3764716736596</v>
      </c>
      <c r="G294" s="447">
        <f t="shared" si="142"/>
        <v>2797.6578381647087</v>
      </c>
      <c r="H294" s="447">
        <f t="shared" si="142"/>
        <v>3020.0844173738324</v>
      </c>
      <c r="I294" s="447">
        <f t="shared" si="142"/>
        <v>3053.4215476249406</v>
      </c>
      <c r="J294" s="447">
        <f t="shared" si="142"/>
        <v>2423.6617342895406</v>
      </c>
      <c r="K294" s="447">
        <f t="shared" si="142"/>
        <v>2282.7896593347796</v>
      </c>
      <c r="L294" s="447">
        <f t="shared" si="142"/>
        <v>2177.201978623752</v>
      </c>
      <c r="M294" s="447">
        <f t="shared" si="142"/>
        <v>2190.5975001801526</v>
      </c>
      <c r="N294" s="447">
        <f t="shared" si="142"/>
        <v>2258.7731976159389</v>
      </c>
    </row>
    <row r="295" spans="2:16" ht="12.75" customHeight="1">
      <c r="B295" s="1327" t="s">
        <v>265</v>
      </c>
      <c r="C295" s="1327"/>
      <c r="D295" s="1327"/>
      <c r="E295" s="1327"/>
      <c r="F295" s="1327"/>
      <c r="G295" s="1327"/>
      <c r="H295" s="1327"/>
      <c r="I295" s="1327"/>
      <c r="J295" s="1327"/>
      <c r="K295" s="1327"/>
      <c r="L295" s="1327"/>
      <c r="M295" s="1327"/>
      <c r="N295" s="1327"/>
    </row>
    <row r="296" spans="2:16">
      <c r="B296" s="526" t="s">
        <v>574</v>
      </c>
      <c r="C296" s="527">
        <f>IF(C294&lt;0,0,C294)</f>
        <v>1858.4175746536107</v>
      </c>
      <c r="D296" s="527">
        <f t="shared" ref="D296:N296" si="143">IF(D294&lt;0,0,D294)</f>
        <v>2277.0468819951711</v>
      </c>
      <c r="E296" s="527">
        <f t="shared" si="143"/>
        <v>2436.9639073138974</v>
      </c>
      <c r="F296" s="527">
        <f t="shared" si="143"/>
        <v>2581.3764716736596</v>
      </c>
      <c r="G296" s="527">
        <f t="shared" si="143"/>
        <v>2797.6578381647087</v>
      </c>
      <c r="H296" s="527">
        <f t="shared" si="143"/>
        <v>3020.0844173738324</v>
      </c>
      <c r="I296" s="527">
        <f t="shared" si="143"/>
        <v>3053.4215476249406</v>
      </c>
      <c r="J296" s="527">
        <f t="shared" si="143"/>
        <v>2423.6617342895406</v>
      </c>
      <c r="K296" s="527">
        <f t="shared" si="143"/>
        <v>2282.7896593347796</v>
      </c>
      <c r="L296" s="527">
        <f t="shared" si="143"/>
        <v>2177.201978623752</v>
      </c>
      <c r="M296" s="527">
        <f t="shared" si="143"/>
        <v>2190.5975001801526</v>
      </c>
      <c r="N296" s="527">
        <f t="shared" si="143"/>
        <v>2258.7731976159389</v>
      </c>
    </row>
    <row r="297" spans="2:16" ht="15.75">
      <c r="B297" s="333"/>
      <c r="H297" s="320"/>
    </row>
    <row r="298" spans="2:16" ht="15.75">
      <c r="B298" s="333" t="s">
        <v>175</v>
      </c>
      <c r="H298" s="320"/>
    </row>
    <row r="299" spans="2:16" ht="15.75">
      <c r="B299" s="333"/>
      <c r="H299" s="320"/>
    </row>
    <row r="300" spans="2:16">
      <c r="B300" s="334" t="s">
        <v>46</v>
      </c>
      <c r="H300" s="318"/>
    </row>
    <row r="301" spans="2:16">
      <c r="H301" s="318"/>
    </row>
    <row r="302" spans="2:16">
      <c r="B302" s="331" t="str">
        <f t="shared" ref="B302:B313" si="144">B262</f>
        <v>Age group</v>
      </c>
      <c r="C302" s="331" t="str">
        <f>C293</f>
        <v>2017/18</v>
      </c>
      <c r="D302" s="331" t="str">
        <f t="shared" ref="D302:N302" si="145">D293</f>
        <v>2018/19</v>
      </c>
      <c r="E302" s="331" t="str">
        <f t="shared" si="145"/>
        <v>2019/20</v>
      </c>
      <c r="F302" s="331" t="str">
        <f t="shared" si="145"/>
        <v>2020/21</v>
      </c>
      <c r="G302" s="331" t="str">
        <f t="shared" si="145"/>
        <v>2021/22</v>
      </c>
      <c r="H302" s="331" t="str">
        <f t="shared" si="145"/>
        <v>2022/23</v>
      </c>
      <c r="I302" s="331" t="str">
        <f t="shared" si="145"/>
        <v>2023/24</v>
      </c>
      <c r="J302" s="331" t="str">
        <f t="shared" si="145"/>
        <v>2024/25</v>
      </c>
      <c r="K302" s="331" t="str">
        <f t="shared" si="145"/>
        <v>2025/26</v>
      </c>
      <c r="L302" s="331" t="str">
        <f t="shared" si="145"/>
        <v>2026/27</v>
      </c>
      <c r="M302" s="331" t="str">
        <f t="shared" si="145"/>
        <v>2027/28</v>
      </c>
      <c r="N302" s="331" t="str">
        <f t="shared" si="145"/>
        <v>2028/29</v>
      </c>
    </row>
    <row r="303" spans="2:16">
      <c r="B303" s="331" t="str">
        <f t="shared" si="144"/>
        <v>20-24</v>
      </c>
      <c r="C303" s="447">
        <f>C$296*Entrant_age_breakdowns!$K76*$G$31</f>
        <v>87.785863646995239</v>
      </c>
      <c r="D303" s="447">
        <f>D$296*Entrant_age_breakdowns!$K76*$G$31</f>
        <v>107.56060953518565</v>
      </c>
      <c r="E303" s="447">
        <f>E$296*Entrant_age_breakdowns!$K76*$G$31</f>
        <v>115.11459221966355</v>
      </c>
      <c r="F303" s="447">
        <f>F$296*Entrant_age_breakdowns!$K76*$G$31</f>
        <v>121.93619241151599</v>
      </c>
      <c r="G303" s="447">
        <f>G$296*Entrant_age_breakdowns!$K76*$G$31</f>
        <v>132.15265119188879</v>
      </c>
      <c r="H303" s="447">
        <f>H$296*Entrant_age_breakdowns!$K76*$G$31</f>
        <v>142.65939069985924</v>
      </c>
      <c r="I303" s="447">
        <f>I$296*Entrant_age_breakdowns!$K76*$G$31</f>
        <v>144.23413300240736</v>
      </c>
      <c r="J303" s="447">
        <f>J$296*Entrant_age_breakdowns!$K76*$G$31</f>
        <v>114.48623895651568</v>
      </c>
      <c r="K303" s="447">
        <f>K$296*Entrant_age_breakdowns!$K76*$G$31</f>
        <v>107.83188046770677</v>
      </c>
      <c r="L303" s="447">
        <f>L$296*Entrant_age_breakdowns!$K76*$G$31</f>
        <v>102.84424697342688</v>
      </c>
      <c r="M303" s="447">
        <f>M$296*Entrant_age_breakdowns!$K76*$G$31</f>
        <v>103.47700973076884</v>
      </c>
      <c r="N303" s="447">
        <f>N$296*Entrant_age_breakdowns!$K76*$G$31</f>
        <v>106.69741754479429</v>
      </c>
    </row>
    <row r="304" spans="2:16">
      <c r="B304" s="331" t="str">
        <f t="shared" si="144"/>
        <v>25-29</v>
      </c>
      <c r="C304" s="447">
        <f>C$296*Entrant_age_breakdowns!$K77*$G$31</f>
        <v>89.610161022489464</v>
      </c>
      <c r="D304" s="447">
        <f>D$296*Entrant_age_breakdowns!$K77*$G$31</f>
        <v>109.79585026221942</v>
      </c>
      <c r="E304" s="447">
        <f>E$296*Entrant_age_breakdowns!$K77*$G$31</f>
        <v>117.50681392533457</v>
      </c>
      <c r="F304" s="447">
        <f>F$296*Entrant_age_breakdowns!$K77*$G$31</f>
        <v>124.47017529386927</v>
      </c>
      <c r="G304" s="447">
        <f>G$296*Entrant_age_breakdowns!$K77*$G$31</f>
        <v>134.8989445552875</v>
      </c>
      <c r="H304" s="447">
        <f>H$296*Entrant_age_breakdowns!$K77*$G$31</f>
        <v>145.62402693206502</v>
      </c>
      <c r="I304" s="447">
        <f>I$296*Entrant_age_breakdowns!$K77*$G$31</f>
        <v>147.23149430138665</v>
      </c>
      <c r="J304" s="447">
        <f>J$296*Entrant_age_breakdowns!$K77*$G$31</f>
        <v>116.86540271457167</v>
      </c>
      <c r="K304" s="447">
        <f>K$296*Entrant_age_breakdowns!$K77*$G$31</f>
        <v>110.07275853576206</v>
      </c>
      <c r="L304" s="447">
        <f>L$296*Entrant_age_breakdowns!$K77*$G$31</f>
        <v>104.98147593084482</v>
      </c>
      <c r="M304" s="447">
        <f>M$296*Entrant_age_breakdowns!$K77*$G$31</f>
        <v>105.62738827047228</v>
      </c>
      <c r="N304" s="447">
        <f>N$296*Entrant_age_breakdowns!$K77*$G$31</f>
        <v>108.914720088877</v>
      </c>
    </row>
    <row r="305" spans="1:15">
      <c r="B305" s="331" t="str">
        <f t="shared" si="144"/>
        <v>30-34</v>
      </c>
      <c r="C305" s="447">
        <f>C$296*Entrant_age_breakdowns!$K78*$G$31</f>
        <v>44.505120961330654</v>
      </c>
      <c r="D305" s="447">
        <f>D$296*Entrant_age_breakdowns!$K78*$G$31</f>
        <v>54.530396343622961</v>
      </c>
      <c r="E305" s="447">
        <f>E$296*Entrant_age_breakdowns!$K78*$G$31</f>
        <v>58.360066624755895</v>
      </c>
      <c r="F305" s="447">
        <f>F$296*Entrant_age_breakdowns!$K78*$G$31</f>
        <v>61.818438269979445</v>
      </c>
      <c r="G305" s="447">
        <f>G$296*Entrant_age_breakdowns!$K78*$G$31</f>
        <v>66.997913813391776</v>
      </c>
      <c r="H305" s="447">
        <f>H$296*Entrant_age_breakdowns!$K78*$G$31</f>
        <v>72.324554040931659</v>
      </c>
      <c r="I305" s="447">
        <f>I$296*Entrant_age_breakdowns!$K78*$G$31</f>
        <v>73.122906916283569</v>
      </c>
      <c r="J305" s="447">
        <f>J$296*Entrant_age_breakdowns!$K78*$G$31</f>
        <v>58.041508068502523</v>
      </c>
      <c r="K305" s="447">
        <f>K$296*Entrant_age_breakdowns!$K78*$G$31</f>
        <v>54.667923562284187</v>
      </c>
      <c r="L305" s="447">
        <f>L$296*Entrant_age_breakdowns!$K78*$G$31</f>
        <v>52.139324733817702</v>
      </c>
      <c r="M305" s="447">
        <f>M$296*Entrant_age_breakdowns!$K78*$G$31</f>
        <v>52.460118787500093</v>
      </c>
      <c r="N305" s="447">
        <f>N$296*Entrant_age_breakdowns!$K78*$G$31</f>
        <v>54.092780737314193</v>
      </c>
    </row>
    <row r="306" spans="1:15">
      <c r="B306" s="331" t="str">
        <f t="shared" si="144"/>
        <v>35-39</v>
      </c>
      <c r="C306" s="447">
        <f>C$296*Entrant_age_breakdowns!$K79*$G$31</f>
        <v>33.171129389389449</v>
      </c>
      <c r="D306" s="447">
        <f>D$296*Entrant_age_breakdowns!$K79*$G$31</f>
        <v>40.64329662963182</v>
      </c>
      <c r="E306" s="447">
        <f>E$296*Entrant_age_breakdowns!$K79*$G$31</f>
        <v>43.497675758823199</v>
      </c>
      <c r="F306" s="447">
        <f>F$296*Entrant_age_breakdowns!$K79*$G$31</f>
        <v>46.075313811306678</v>
      </c>
      <c r="G306" s="447">
        <f>G$296*Entrant_age_breakdowns!$K79*$G$31</f>
        <v>49.935747166133169</v>
      </c>
      <c r="H306" s="447">
        <f>H$296*Entrant_age_breakdowns!$K79*$G$31</f>
        <v>53.905867196858956</v>
      </c>
      <c r="I306" s="447">
        <f>I$296*Entrant_age_breakdowns!$K79*$G$31</f>
        <v>54.500905834091249</v>
      </c>
      <c r="J306" s="447">
        <f>J$296*Entrant_age_breakdowns!$K79*$G$31</f>
        <v>43.260243596875839</v>
      </c>
      <c r="K306" s="447">
        <f>K$296*Entrant_age_breakdowns!$K79*$G$31</f>
        <v>40.745800185767266</v>
      </c>
      <c r="L306" s="447">
        <f>L$296*Entrant_age_breakdowns!$K79*$G$31</f>
        <v>38.861152372186481</v>
      </c>
      <c r="M306" s="447">
        <f>M$296*Entrant_age_breakdowns!$K79*$G$31</f>
        <v>39.100250723841135</v>
      </c>
      <c r="N306" s="447">
        <f>N$296*Entrant_age_breakdowns!$K79*$G$31</f>
        <v>40.317127335264615</v>
      </c>
    </row>
    <row r="307" spans="1:15">
      <c r="B307" s="331" t="str">
        <f t="shared" si="144"/>
        <v>40-44</v>
      </c>
      <c r="C307" s="447">
        <f>C$296*Entrant_age_breakdowns!$K80*$G$31</f>
        <v>28.502171217373366</v>
      </c>
      <c r="D307" s="447">
        <f>D$296*Entrant_age_breakdowns!$K80*$G$31</f>
        <v>34.922603501911759</v>
      </c>
      <c r="E307" s="447">
        <f>E$296*Entrant_age_breakdowns!$K80*$G$31</f>
        <v>37.375218295471768</v>
      </c>
      <c r="F307" s="447">
        <f>F$296*Entrant_age_breakdowns!$K80*$G$31</f>
        <v>39.59004433428013</v>
      </c>
      <c r="G307" s="447">
        <f>G$296*Entrant_age_breakdowns!$K80*$G$31</f>
        <v>42.90710752983474</v>
      </c>
      <c r="H307" s="447">
        <f>H$296*Entrant_age_breakdowns!$K80*$G$31</f>
        <v>46.318418599196931</v>
      </c>
      <c r="I307" s="447">
        <f>I$296*Entrant_age_breakdowns!$K80*$G$31</f>
        <v>46.829703364941828</v>
      </c>
      <c r="J307" s="447">
        <f>J$296*Entrant_age_breakdowns!$K80*$G$31</f>
        <v>37.171205581497084</v>
      </c>
      <c r="K307" s="447">
        <f>K$296*Entrant_age_breakdowns!$K80*$G$31</f>
        <v>35.010679306418332</v>
      </c>
      <c r="L307" s="447">
        <f>L$296*Entrant_age_breakdowns!$K80*$G$31</f>
        <v>33.391302587689225</v>
      </c>
      <c r="M307" s="447">
        <f>M$296*Entrant_age_breakdowns!$K80*$G$31</f>
        <v>33.596746969056376</v>
      </c>
      <c r="N307" s="447">
        <f>N$296*Entrant_age_breakdowns!$K80*$G$31</f>
        <v>34.642343732496805</v>
      </c>
    </row>
    <row r="308" spans="1:15">
      <c r="B308" s="331" t="str">
        <f t="shared" si="144"/>
        <v>45-49</v>
      </c>
      <c r="C308" s="447">
        <f>C$296*Entrant_age_breakdowns!$K81*$G$31</f>
        <v>22.974371310696458</v>
      </c>
      <c r="D308" s="447">
        <f>D$296*Entrant_age_breakdowns!$K81*$G$31</f>
        <v>28.149604950099231</v>
      </c>
      <c r="E308" s="447">
        <f>E$296*Entrant_age_breakdowns!$K81*$G$31</f>
        <v>30.126551987558916</v>
      </c>
      <c r="F308" s="447">
        <f>F$296*Entrant_age_breakdowns!$K81*$G$31</f>
        <v>31.911827762380096</v>
      </c>
      <c r="G308" s="447">
        <f>G$296*Entrant_age_breakdowns!$K81*$G$31</f>
        <v>34.585569384887265</v>
      </c>
      <c r="H308" s="447">
        <f>H$296*Entrant_age_breakdowns!$K81*$G$31</f>
        <v>37.335280154852896</v>
      </c>
      <c r="I308" s="447">
        <f>I$296*Entrant_age_breakdowns!$K81*$G$31</f>
        <v>37.747404759822139</v>
      </c>
      <c r="J308" s="447">
        <f>J$296*Entrant_age_breakdowns!$K81*$G$31</f>
        <v>29.962106135093453</v>
      </c>
      <c r="K308" s="447">
        <f>K$296*Entrant_age_breakdowns!$K81*$G$31</f>
        <v>28.220599058610826</v>
      </c>
      <c r="L308" s="447">
        <f>L$296*Entrant_age_breakdowns!$K81*$G$31</f>
        <v>26.915289307145226</v>
      </c>
      <c r="M308" s="447">
        <f>M$296*Entrant_age_breakdowns!$K81*$G$31</f>
        <v>27.080889164967573</v>
      </c>
      <c r="N308" s="447">
        <f>N$296*Entrant_age_breakdowns!$K81*$G$31</f>
        <v>27.923699633732852</v>
      </c>
    </row>
    <row r="309" spans="1:15">
      <c r="B309" s="331" t="str">
        <f t="shared" si="144"/>
        <v>50-54</v>
      </c>
      <c r="C309" s="447">
        <f>C$296*Entrant_age_breakdowns!$K82*$G$31</f>
        <v>17.024100641794892</v>
      </c>
      <c r="D309" s="447">
        <f>D$296*Entrant_age_breakdowns!$K82*$G$31</f>
        <v>20.858969380117045</v>
      </c>
      <c r="E309" s="447">
        <f>E$296*Entrant_age_breakdowns!$K82*$G$31</f>
        <v>22.323895008508121</v>
      </c>
      <c r="F309" s="447">
        <f>F$296*Entrant_age_breakdowns!$K82*$G$31</f>
        <v>23.646791467910422</v>
      </c>
      <c r="G309" s="447">
        <f>G$296*Entrant_age_breakdowns!$K82*$G$31</f>
        <v>25.628044658961862</v>
      </c>
      <c r="H309" s="447">
        <f>H$296*Entrant_age_breakdowns!$K82*$G$31</f>
        <v>27.665591290844137</v>
      </c>
      <c r="I309" s="447">
        <f>I$296*Entrant_age_breakdowns!$K82*$G$31</f>
        <v>27.970977264504693</v>
      </c>
      <c r="J309" s="447">
        <f>J$296*Entrant_age_breakdowns!$K82*$G$31</f>
        <v>22.202039976888855</v>
      </c>
      <c r="K309" s="447">
        <f>K$296*Entrant_age_breakdowns!$K82*$G$31</f>
        <v>20.911576297274046</v>
      </c>
      <c r="L309" s="447">
        <f>L$296*Entrant_age_breakdowns!$K82*$G$31</f>
        <v>19.944336572750196</v>
      </c>
      <c r="M309" s="447">
        <f>M$296*Entrant_age_breakdowns!$K82*$G$31</f>
        <v>20.067046726935001</v>
      </c>
      <c r="N309" s="447">
        <f>N$296*Entrant_age_breakdowns!$K82*$G$31</f>
        <v>20.691572640971145</v>
      </c>
    </row>
    <row r="310" spans="1:15">
      <c r="B310" s="331" t="str">
        <f t="shared" si="144"/>
        <v>55-59</v>
      </c>
      <c r="C310" s="447">
        <f>C$296*Entrant_age_breakdowns!$K83*$G$31</f>
        <v>11.03307490269045</v>
      </c>
      <c r="D310" s="447">
        <f>D$296*Entrant_age_breakdowns!$K83*$G$31</f>
        <v>13.518398205351181</v>
      </c>
      <c r="E310" s="447">
        <f>E$296*Entrant_age_breakdowns!$K83*$G$31</f>
        <v>14.46779544664977</v>
      </c>
      <c r="F310" s="447">
        <f>F$296*Entrant_age_breakdowns!$K83*$G$31</f>
        <v>15.325145625211139</v>
      </c>
      <c r="G310" s="447">
        <f>G$296*Entrant_age_breakdowns!$K83*$G$31</f>
        <v>16.609167337606298</v>
      </c>
      <c r="H310" s="447">
        <f>H$296*Entrant_age_breakdowns!$K83*$G$31</f>
        <v>17.929672019779723</v>
      </c>
      <c r="I310" s="447">
        <f>I$296*Entrant_age_breakdowns!$K83*$G$31</f>
        <v>18.12758827935329</v>
      </c>
      <c r="J310" s="447">
        <f>J$296*Entrant_age_breakdowns!$K83*$G$31</f>
        <v>14.388822952336357</v>
      </c>
      <c r="K310" s="447">
        <f>K$296*Entrant_age_breakdowns!$K83*$G$31</f>
        <v>13.552491992130603</v>
      </c>
      <c r="L310" s="447">
        <f>L$296*Entrant_age_breakdowns!$K83*$G$31</f>
        <v>12.92563783084058</v>
      </c>
      <c r="M310" s="447">
        <f>M$296*Entrant_age_breakdowns!$K83*$G$31</f>
        <v>13.005164517796237</v>
      </c>
      <c r="N310" s="447">
        <f>N$296*Entrant_age_breakdowns!$K83*$G$31</f>
        <v>13.409910785056647</v>
      </c>
    </row>
    <row r="311" spans="1:15">
      <c r="B311" s="331" t="str">
        <f t="shared" si="144"/>
        <v>60-64</v>
      </c>
      <c r="C311" s="447">
        <f>C$296*Entrant_age_breakdowns!$K84*$G$31</f>
        <v>5.6265431550016114</v>
      </c>
      <c r="D311" s="447">
        <f>D$296*Entrant_age_breakdowns!$K84*$G$31</f>
        <v>6.8939848192598445</v>
      </c>
      <c r="E311" s="447">
        <f>E$296*Entrant_age_breakdowns!$K84*$G$31</f>
        <v>7.3781494421342311</v>
      </c>
      <c r="F311" s="447">
        <f>F$296*Entrant_age_breakdowns!$K84*$G$31</f>
        <v>7.8153727748107427</v>
      </c>
      <c r="G311" s="447">
        <f>G$296*Entrant_age_breakdowns!$K84*$G$31</f>
        <v>8.4701860195743297</v>
      </c>
      <c r="H311" s="447">
        <f>H$296*Entrant_age_breakdowns!$K84*$G$31</f>
        <v>9.1436045041002227</v>
      </c>
      <c r="I311" s="447">
        <f>I$296*Entrant_age_breakdowns!$K84*$G$31</f>
        <v>9.2445359656727017</v>
      </c>
      <c r="J311" s="447">
        <f>J$296*Entrant_age_breakdowns!$K84*$G$31</f>
        <v>7.3378757966426944</v>
      </c>
      <c r="K311" s="447">
        <f>K$296*Entrant_age_breakdowns!$K84*$G$31</f>
        <v>6.9113716460804504</v>
      </c>
      <c r="L311" s="447">
        <f>L$296*Entrant_age_breakdowns!$K84*$G$31</f>
        <v>6.5916944915701885</v>
      </c>
      <c r="M311" s="447">
        <f>M$296*Entrant_age_breakdowns!$K84*$G$31</f>
        <v>6.6322507589822051</v>
      </c>
      <c r="N311" s="447">
        <f>N$296*Entrant_age_breakdowns!$K84*$G$31</f>
        <v>6.8386594310570388</v>
      </c>
    </row>
    <row r="312" spans="1:15">
      <c r="B312" s="331" t="str">
        <f t="shared" si="144"/>
        <v>65 plus</v>
      </c>
      <c r="C312" s="447">
        <f>C$296*Entrant_age_breakdowns!$K85*$G$31</f>
        <v>1.6941430194972924</v>
      </c>
      <c r="D312" s="447">
        <f>D$296*Entrant_age_breakdowns!$K85*$G$31</f>
        <v>2.0757676492158748</v>
      </c>
      <c r="E312" s="447">
        <f>E$296*Entrant_age_breakdowns!$K85*$G$31</f>
        <v>2.221548832001444</v>
      </c>
      <c r="F312" s="447">
        <f>F$296*Entrant_age_breakdowns!$K85*$G$31</f>
        <v>2.3531960684323607</v>
      </c>
      <c r="G312" s="447">
        <f>G$296*Entrant_age_breakdowns!$K85*$G$31</f>
        <v>2.5503592745306678</v>
      </c>
      <c r="H312" s="447">
        <f>H$296*Entrant_age_breakdowns!$K85*$G$31</f>
        <v>2.7531244881495902</v>
      </c>
      <c r="I312" s="447">
        <f>I$296*Entrant_age_breakdowns!$K85*$G$31</f>
        <v>2.7835147875501507</v>
      </c>
      <c r="J312" s="447">
        <f>J$296*Entrant_age_breakdowns!$K85*$G$31</f>
        <v>2.2094225026550594</v>
      </c>
      <c r="K312" s="447">
        <f>K$296*Entrant_age_breakdowns!$K85*$G$31</f>
        <v>2.0810027945756246</v>
      </c>
      <c r="L312" s="447">
        <f>L$296*Entrant_age_breakdowns!$K85*$G$31</f>
        <v>1.9847485217678367</v>
      </c>
      <c r="M312" s="447">
        <f>M$296*Entrant_age_breakdowns!$K85*$G$31</f>
        <v>1.9969599481161544</v>
      </c>
      <c r="N312" s="447">
        <f>N$296*Entrant_age_breakdowns!$K85*$G$31</f>
        <v>2.0591092645482942</v>
      </c>
    </row>
    <row r="313" spans="1:15">
      <c r="B313" s="331" t="str">
        <f t="shared" si="144"/>
        <v>Total</v>
      </c>
      <c r="C313" s="447">
        <f>C$296*Entrant_age_breakdowns!$K86*$G$31</f>
        <v>341.92667926725886</v>
      </c>
      <c r="D313" s="447">
        <f>D$296*Entrant_age_breakdowns!$K86*$G$31</f>
        <v>418.94948127661479</v>
      </c>
      <c r="E313" s="447">
        <f>E$296*Entrant_age_breakdowns!$K86*$G$31</f>
        <v>448.37230754090149</v>
      </c>
      <c r="F313" s="447">
        <f>F$296*Entrant_age_breakdowns!$K86*$G$31</f>
        <v>474.94249781969631</v>
      </c>
      <c r="G313" s="447">
        <f>G$296*Entrant_age_breakdowns!$K86*$G$31</f>
        <v>514.73569093209642</v>
      </c>
      <c r="H313" s="447">
        <f>H$296*Entrant_age_breakdowns!$K86*$G$31</f>
        <v>555.65952992663847</v>
      </c>
      <c r="I313" s="447">
        <f>I$296*Entrant_age_breakdowns!$K86*$G$31</f>
        <v>561.79316447601366</v>
      </c>
      <c r="J313" s="447">
        <f>J$296*Entrant_age_breakdowns!$K86*$G$31</f>
        <v>445.92486628157923</v>
      </c>
      <c r="K313" s="447">
        <f>K$296*Entrant_age_breakdowns!$K86*$G$31</f>
        <v>420.00608384661018</v>
      </c>
      <c r="L313" s="447">
        <f>L$296*Entrant_age_breakdowns!$K86*$G$31</f>
        <v>400.57920932203916</v>
      </c>
      <c r="M313" s="447">
        <f>M$296*Entrant_age_breakdowns!$K86*$G$31</f>
        <v>403.04382559843589</v>
      </c>
      <c r="N313" s="447">
        <f>N$296*Entrant_age_breakdowns!$K86*$G$31</f>
        <v>415.58734119411292</v>
      </c>
    </row>
    <row r="314" spans="1:15">
      <c r="A314" s="302">
        <f>SUM(C314:N314)</f>
        <v>0</v>
      </c>
      <c r="C314" s="302">
        <f>SUM(C303:C312)-C313</f>
        <v>0</v>
      </c>
      <c r="D314" s="302">
        <f t="shared" ref="D314:N314" si="146">SUM(D303:D312)-D313</f>
        <v>0</v>
      </c>
      <c r="E314" s="302">
        <f t="shared" si="146"/>
        <v>0</v>
      </c>
      <c r="F314" s="302">
        <f t="shared" si="146"/>
        <v>0</v>
      </c>
      <c r="G314" s="302">
        <f t="shared" si="146"/>
        <v>0</v>
      </c>
      <c r="H314" s="302">
        <f t="shared" si="146"/>
        <v>0</v>
      </c>
      <c r="I314" s="302">
        <f t="shared" si="146"/>
        <v>0</v>
      </c>
      <c r="J314" s="302">
        <f t="shared" si="146"/>
        <v>0</v>
      </c>
      <c r="K314" s="302">
        <f t="shared" si="146"/>
        <v>0</v>
      </c>
      <c r="L314" s="302">
        <f t="shared" si="146"/>
        <v>0</v>
      </c>
      <c r="M314" s="302">
        <f t="shared" si="146"/>
        <v>0</v>
      </c>
      <c r="N314" s="302">
        <f t="shared" si="146"/>
        <v>0</v>
      </c>
    </row>
    <row r="316" spans="1:15">
      <c r="B316" s="334" t="s">
        <v>47</v>
      </c>
      <c r="H316" s="318"/>
    </row>
    <row r="317" spans="1:15">
      <c r="H317" s="318"/>
    </row>
    <row r="318" spans="1:15">
      <c r="B318" s="331" t="str">
        <f t="shared" ref="B318:B329" si="147">B302</f>
        <v>Age group</v>
      </c>
      <c r="C318" s="331" t="str">
        <f>C293</f>
        <v>2017/18</v>
      </c>
      <c r="D318" s="331" t="str">
        <f t="shared" ref="D318:N318" si="148">D302</f>
        <v>2018/19</v>
      </c>
      <c r="E318" s="331" t="str">
        <f t="shared" si="148"/>
        <v>2019/20</v>
      </c>
      <c r="F318" s="331" t="str">
        <f t="shared" si="148"/>
        <v>2020/21</v>
      </c>
      <c r="G318" s="331" t="str">
        <f t="shared" si="148"/>
        <v>2021/22</v>
      </c>
      <c r="H318" s="331" t="str">
        <f t="shared" si="148"/>
        <v>2022/23</v>
      </c>
      <c r="I318" s="331" t="str">
        <f t="shared" si="148"/>
        <v>2023/24</v>
      </c>
      <c r="J318" s="331" t="str">
        <f t="shared" si="148"/>
        <v>2024/25</v>
      </c>
      <c r="K318" s="331" t="str">
        <f t="shared" si="148"/>
        <v>2025/26</v>
      </c>
      <c r="L318" s="331" t="str">
        <f t="shared" si="148"/>
        <v>2026/27</v>
      </c>
      <c r="M318" s="331" t="str">
        <f t="shared" si="148"/>
        <v>2027/28</v>
      </c>
      <c r="N318" s="331" t="str">
        <f t="shared" si="148"/>
        <v>2028/29</v>
      </c>
    </row>
    <row r="319" spans="1:15">
      <c r="B319" s="331" t="str">
        <f t="shared" si="147"/>
        <v>20-24</v>
      </c>
      <c r="C319" s="447">
        <f>C$296*Entrant_age_breakdowns!$K76*$H$31</f>
        <v>389.34213396153518</v>
      </c>
      <c r="D319" s="447">
        <f>D$296*Entrant_age_breakdowns!$K76*$H$31</f>
        <v>477.04579651949507</v>
      </c>
      <c r="E319" s="447">
        <f>E$296*Entrant_age_breakdowns!$K76*$H$31</f>
        <v>510.5487275849091</v>
      </c>
      <c r="F319" s="447">
        <f>F$296*Entrant_age_breakdowns!$K76*$H$31</f>
        <v>540.80344361080938</v>
      </c>
      <c r="G319" s="447">
        <f>G$296*Entrant_age_breakdowns!$K76*$H$31</f>
        <v>586.11481491628001</v>
      </c>
      <c r="H319" s="447">
        <f>H$296*Entrant_age_breakdowns!$K76*$H$31</f>
        <v>632.71362036245966</v>
      </c>
      <c r="I319" s="447">
        <f>I$296*Entrant_age_breakdowns!$K76*$H$31</f>
        <v>639.69781466256973</v>
      </c>
      <c r="J319" s="447">
        <f>J$296*Entrant_age_breakdowns!$K76*$H$31</f>
        <v>507.76189619552446</v>
      </c>
      <c r="K319" s="447">
        <f>K$296*Entrant_age_breakdowns!$K76*$H$31</f>
        <v>478.2489196575691</v>
      </c>
      <c r="L319" s="447">
        <f>L$296*Entrant_age_breakdowns!$K76*$H$31</f>
        <v>456.12809305284696</v>
      </c>
      <c r="M319" s="447">
        <f>M$296*Entrant_age_breakdowns!$K76*$H$31</f>
        <v>458.93448114313873</v>
      </c>
      <c r="N319" s="447">
        <f>N$296*Entrant_age_breakdowns!$K76*$H$31</f>
        <v>473.21742373149232</v>
      </c>
      <c r="O319" s="320"/>
    </row>
    <row r="320" spans="1:15">
      <c r="B320" s="331" t="str">
        <f t="shared" si="147"/>
        <v>25-29</v>
      </c>
      <c r="C320" s="447">
        <f>C$296*Entrant_age_breakdowns!$K77*$H$31</f>
        <v>397.43313863640532</v>
      </c>
      <c r="D320" s="447">
        <f>D$296*Entrant_age_breakdowns!$K77*$H$31</f>
        <v>486.95939033091565</v>
      </c>
      <c r="E320" s="447">
        <f>E$296*Entrant_age_breakdowns!$K77*$H$31</f>
        <v>521.15855318895365</v>
      </c>
      <c r="F320" s="447">
        <f>F$296*Entrant_age_breakdowns!$K77*$H$31</f>
        <v>552.04199913501884</v>
      </c>
      <c r="G320" s="447">
        <f>G$296*Entrant_age_breakdowns!$K77*$H$31</f>
        <v>598.29499603165527</v>
      </c>
      <c r="H320" s="447">
        <f>H$296*Entrant_age_breakdowns!$K77*$H$31</f>
        <v>645.86218152155686</v>
      </c>
      <c r="I320" s="447">
        <f>I$296*Entrant_age_breakdowns!$K77*$H$31</f>
        <v>652.99151590233942</v>
      </c>
      <c r="J320" s="447">
        <f>J$296*Entrant_age_breakdowns!$K77*$H$31</f>
        <v>518.31380804240609</v>
      </c>
      <c r="K320" s="447">
        <f>K$296*Entrant_age_breakdowns!$K77*$H$31</f>
        <v>488.18751583602238</v>
      </c>
      <c r="L320" s="447">
        <f>L$296*Entrant_age_breakdowns!$K77*$H$31</f>
        <v>465.60699145944676</v>
      </c>
      <c r="M320" s="447">
        <f>M$296*Entrant_age_breakdowns!$K77*$H$31</f>
        <v>468.47169971901229</v>
      </c>
      <c r="N320" s="447">
        <f>N$296*Entrant_age_breakdowns!$K77*$H$31</f>
        <v>483.05145928444841</v>
      </c>
      <c r="O320" s="320"/>
    </row>
    <row r="321" spans="1:15">
      <c r="B321" s="331" t="str">
        <f t="shared" si="147"/>
        <v>30-34</v>
      </c>
      <c r="C321" s="447">
        <f>C$296*Entrant_age_breakdowns!$K78*$H$31</f>
        <v>197.38620829634939</v>
      </c>
      <c r="D321" s="447">
        <f>D$296*Entrant_age_breakdowns!$K78*$H$31</f>
        <v>241.84965547036754</v>
      </c>
      <c r="E321" s="447">
        <f>E$296*Entrant_age_breakdowns!$K78*$H$31</f>
        <v>258.83475919528149</v>
      </c>
      <c r="F321" s="447">
        <f>F$296*Entrant_age_breakdowns!$K78*$H$31</f>
        <v>274.1731034393834</v>
      </c>
      <c r="G321" s="447">
        <f>G$296*Entrant_age_breakdowns!$K78*$H$31</f>
        <v>297.14477538172309</v>
      </c>
      <c r="H321" s="447">
        <f>H$296*Entrant_age_breakdowns!$K78*$H$31</f>
        <v>320.76914252784189</v>
      </c>
      <c r="I321" s="447">
        <f>I$296*Entrant_age_breakdowns!$K78*$H$31</f>
        <v>324.30994510391218</v>
      </c>
      <c r="J321" s="447">
        <f>J$296*Entrant_age_breakdowns!$K78*$H$31</f>
        <v>257.42190907419439</v>
      </c>
      <c r="K321" s="447">
        <f>K$296*Entrant_age_breakdowns!$K78*$H$31</f>
        <v>242.45960721620526</v>
      </c>
      <c r="L321" s="447">
        <f>L$296*Entrant_age_breakdowns!$K78*$H$31</f>
        <v>231.244930696457</v>
      </c>
      <c r="M321" s="447">
        <f>M$296*Entrant_age_breakdowns!$K78*$H$31</f>
        <v>232.66769554986342</v>
      </c>
      <c r="N321" s="447">
        <f>N$296*Entrant_age_breakdowns!$K78*$H$31</f>
        <v>239.90877128996843</v>
      </c>
      <c r="O321" s="320"/>
    </row>
    <row r="322" spans="1:15">
      <c r="B322" s="331" t="str">
        <f t="shared" si="147"/>
        <v>35-39</v>
      </c>
      <c r="C322" s="447">
        <f>C$296*Entrant_age_breakdowns!$K79*$H$31</f>
        <v>147.11842847855996</v>
      </c>
      <c r="D322" s="447">
        <f>D$296*Entrant_age_breakdowns!$K79*$H$31</f>
        <v>180.2584970245851</v>
      </c>
      <c r="E322" s="447">
        <f>E$296*Entrant_age_breakdowns!$K79*$H$31</f>
        <v>192.91805307524405</v>
      </c>
      <c r="F322" s="447">
        <f>F$296*Entrant_age_breakdowns!$K79*$H$31</f>
        <v>204.35022516128726</v>
      </c>
      <c r="G322" s="447">
        <f>G$296*Entrant_age_breakdowns!$K79*$H$31</f>
        <v>221.47176726319583</v>
      </c>
      <c r="H322" s="447">
        <f>H$296*Entrant_age_breakdowns!$K79*$H$31</f>
        <v>239.07978455242508</v>
      </c>
      <c r="I322" s="447">
        <f>I$296*Entrant_age_breakdowns!$K79*$H$31</f>
        <v>241.71886108690211</v>
      </c>
      <c r="J322" s="447">
        <f>J$296*Entrant_age_breakdowns!$K79*$H$31</f>
        <v>191.86500944426245</v>
      </c>
      <c r="K322" s="447">
        <f>K$296*Entrant_age_breakdowns!$K79*$H$31</f>
        <v>180.71311410786518</v>
      </c>
      <c r="L322" s="447">
        <f>L$296*Entrant_age_breakdowns!$K79*$H$31</f>
        <v>172.3544471081745</v>
      </c>
      <c r="M322" s="447">
        <f>M$296*Entrant_age_breakdowns!$K79*$H$31</f>
        <v>173.4148805150183</v>
      </c>
      <c r="N322" s="447">
        <f>N$296*Entrant_age_breakdowns!$K79*$H$31</f>
        <v>178.8118922544559</v>
      </c>
      <c r="O322" s="320"/>
    </row>
    <row r="323" spans="1:15">
      <c r="B323" s="331" t="str">
        <f t="shared" si="147"/>
        <v>40-44</v>
      </c>
      <c r="C323" s="447">
        <f>C$296*Entrant_age_breakdowns!$K80*$H$31</f>
        <v>126.41096986791483</v>
      </c>
      <c r="D323" s="447">
        <f>D$296*Entrant_age_breakdowns!$K80*$H$31</f>
        <v>154.88645216959489</v>
      </c>
      <c r="E323" s="447">
        <f>E$296*Entrant_age_breakdowns!$K80*$H$31</f>
        <v>165.76412925608068</v>
      </c>
      <c r="F323" s="447">
        <f>F$296*Entrant_age_breakdowns!$K80*$H$31</f>
        <v>175.5871811744488</v>
      </c>
      <c r="G323" s="447">
        <f>G$296*Entrant_age_breakdowns!$K80*$H$31</f>
        <v>190.29880340369263</v>
      </c>
      <c r="H323" s="447">
        <f>H$296*Entrant_age_breakdowns!$K80*$H$31</f>
        <v>205.42842765268233</v>
      </c>
      <c r="I323" s="447">
        <f>I$296*Entrant_age_breakdowns!$K80*$H$31</f>
        <v>207.69604448171552</v>
      </c>
      <c r="J323" s="447">
        <f>J$296*Entrant_age_breakdowns!$K80*$H$31</f>
        <v>164.85930537995412</v>
      </c>
      <c r="K323" s="447">
        <f>K$296*Entrant_age_breakdowns!$K80*$H$31</f>
        <v>155.27708023033665</v>
      </c>
      <c r="L323" s="447">
        <f>L$296*Entrant_age_breakdowns!$K80*$H$31</f>
        <v>148.09492628020919</v>
      </c>
      <c r="M323" s="447">
        <f>M$296*Entrant_age_breakdowns!$K80*$H$31</f>
        <v>149.00609979413099</v>
      </c>
      <c r="N323" s="447">
        <f>N$296*Entrant_age_breakdowns!$K80*$H$31</f>
        <v>153.64346232869786</v>
      </c>
      <c r="O323" s="320"/>
    </row>
    <row r="324" spans="1:15">
      <c r="B324" s="331" t="str">
        <f t="shared" si="147"/>
        <v>45-49</v>
      </c>
      <c r="C324" s="447">
        <f>C$296*Entrant_age_breakdowns!$K81*$H$31</f>
        <v>101.89443243960612</v>
      </c>
      <c r="D324" s="447">
        <f>D$296*Entrant_age_breakdowns!$K81*$H$31</f>
        <v>124.84729096608899</v>
      </c>
      <c r="E324" s="447">
        <f>E$296*Entrant_age_breakdowns!$K81*$H$31</f>
        <v>133.61531746052145</v>
      </c>
      <c r="F324" s="447">
        <f>F$296*Entrant_age_breakdowns!$K81*$H$31</f>
        <v>141.53325607844951</v>
      </c>
      <c r="G324" s="447">
        <f>G$296*Entrant_age_breakdowns!$K81*$H$31</f>
        <v>153.39166044700244</v>
      </c>
      <c r="H324" s="447">
        <f>H$296*Entrant_age_breakdowns!$K81*$H$31</f>
        <v>165.58699822097989</v>
      </c>
      <c r="I324" s="447">
        <f>I$296*Entrant_age_breakdowns!$K81*$H$31</f>
        <v>167.41482637565875</v>
      </c>
      <c r="J324" s="447">
        <f>J$296*Entrant_age_breakdowns!$K81*$H$31</f>
        <v>132.88597794661649</v>
      </c>
      <c r="K324" s="447">
        <f>K$296*Entrant_age_breakdowns!$K81*$H$31</f>
        <v>125.16215940342364</v>
      </c>
      <c r="L324" s="447">
        <f>L$296*Entrant_age_breakdowns!$K81*$H$31</f>
        <v>119.37293477199503</v>
      </c>
      <c r="M324" s="447">
        <f>M$296*Entrant_age_breakdowns!$K81*$H$31</f>
        <v>120.10739245515397</v>
      </c>
      <c r="N324" s="447">
        <f>N$296*Entrant_age_breakdowns!$K81*$H$31</f>
        <v>123.84537044844137</v>
      </c>
      <c r="O324" s="320"/>
    </row>
    <row r="325" spans="1:15">
      <c r="B325" s="331" t="str">
        <f t="shared" si="147"/>
        <v>50-54</v>
      </c>
      <c r="C325" s="447">
        <f>C$296*Entrant_age_breakdowns!$K82*$H$31</f>
        <v>75.504180255100053</v>
      </c>
      <c r="D325" s="447">
        <f>D$296*Entrant_age_breakdowns!$K82*$H$31</f>
        <v>92.512339838113206</v>
      </c>
      <c r="E325" s="447">
        <f>E$296*Entrant_age_breakdowns!$K82*$H$31</f>
        <v>99.009482391112925</v>
      </c>
      <c r="F325" s="447">
        <f>F$296*Entrant_age_breakdowns!$K82*$H$31</f>
        <v>104.87670644195795</v>
      </c>
      <c r="G325" s="447">
        <f>G$296*Entrant_age_breakdowns!$K82*$H$31</f>
        <v>113.66383130780156</v>
      </c>
      <c r="H325" s="447">
        <f>H$296*Entrant_age_breakdowns!$K82*$H$31</f>
        <v>122.70062516897737</v>
      </c>
      <c r="I325" s="447">
        <f>I$296*Entrant_age_breakdowns!$K82*$H$31</f>
        <v>124.05505311132858</v>
      </c>
      <c r="J325" s="447">
        <f>J$296*Entrant_age_breakdowns!$K82*$H$31</f>
        <v>98.469038906551745</v>
      </c>
      <c r="K325" s="447">
        <f>K$296*Entrant_age_breakdowns!$K82*$H$31</f>
        <v>92.74565860421211</v>
      </c>
      <c r="L325" s="447">
        <f>L$296*Entrant_age_breakdowns!$K82*$H$31</f>
        <v>88.455820095442448</v>
      </c>
      <c r="M325" s="447">
        <f>M$296*Entrant_age_breakdowns!$K82*$H$31</f>
        <v>89.000056163805112</v>
      </c>
      <c r="N325" s="447">
        <f>N$296*Entrant_age_breakdowns!$K82*$H$31</f>
        <v>91.769912744163918</v>
      </c>
      <c r="O325" s="320"/>
    </row>
    <row r="326" spans="1:15">
      <c r="B326" s="331" t="str">
        <f t="shared" si="147"/>
        <v>55-59</v>
      </c>
      <c r="C326" s="447">
        <f>C$296*Entrant_age_breakdowns!$K83*$H$31</f>
        <v>48.933173842711177</v>
      </c>
      <c r="D326" s="447">
        <f>D$296*Entrant_age_breakdowns!$K83*$H$31</f>
        <v>59.955917574359596</v>
      </c>
      <c r="E326" s="447">
        <f>E$296*Entrant_age_breakdowns!$K83*$H$31</f>
        <v>64.166622265843699</v>
      </c>
      <c r="F326" s="447">
        <f>F$296*Entrant_age_breakdowns!$K83*$H$31</f>
        <v>67.969085831226778</v>
      </c>
      <c r="G326" s="447">
        <f>G$296*Entrant_age_breakdowns!$K83*$H$31</f>
        <v>73.663895140925788</v>
      </c>
      <c r="H326" s="447">
        <f>H$296*Entrant_age_breakdowns!$K83*$H$31</f>
        <v>79.520511337481238</v>
      </c>
      <c r="I326" s="447">
        <f>I$296*Entrant_age_breakdowns!$K83*$H$31</f>
        <v>80.398296616873381</v>
      </c>
      <c r="J326" s="447">
        <f>J$296*Entrant_age_breakdowns!$K83*$H$31</f>
        <v>63.816368612432136</v>
      </c>
      <c r="K326" s="447">
        <f>K$296*Entrant_age_breakdowns!$K83*$H$31</f>
        <v>60.107128112686219</v>
      </c>
      <c r="L326" s="447">
        <f>L$296*Entrant_age_breakdowns!$K83*$H$31</f>
        <v>57.326945442037285</v>
      </c>
      <c r="M326" s="447">
        <f>M$296*Entrant_age_breakdowns!$K83*$H$31</f>
        <v>57.679657014491774</v>
      </c>
      <c r="N326" s="447">
        <f>N$296*Entrant_age_breakdowns!$K83*$H$31</f>
        <v>59.474761247239471</v>
      </c>
      <c r="O326" s="320"/>
    </row>
    <row r="327" spans="1:15">
      <c r="B327" s="331" t="str">
        <f t="shared" si="147"/>
        <v>60-64</v>
      </c>
      <c r="C327" s="447">
        <f>C$296*Entrant_age_breakdowns!$K84*$H$31</f>
        <v>24.954477039766282</v>
      </c>
      <c r="D327" s="447">
        <f>D$296*Entrant_age_breakdowns!$K84*$H$31</f>
        <v>30.57575160190304</v>
      </c>
      <c r="E327" s="447">
        <f>E$296*Entrant_age_breakdowns!$K84*$H$31</f>
        <v>32.723086943007793</v>
      </c>
      <c r="F327" s="447">
        <f>F$296*Entrant_age_breakdowns!$K84*$H$31</f>
        <v>34.66223133699102</v>
      </c>
      <c r="G327" s="447">
        <f>G$296*Entrant_age_breakdowns!$K84*$H$31</f>
        <v>37.566416310185829</v>
      </c>
      <c r="H327" s="447">
        <f>H$296*Entrant_age_breakdowns!$K84*$H$31</f>
        <v>40.553118028685454</v>
      </c>
      <c r="I327" s="447">
        <f>I$296*Entrant_age_breakdowns!$K84*$H$31</f>
        <v>41.000762660747242</v>
      </c>
      <c r="J327" s="447">
        <f>J$296*Entrant_age_breakdowns!$K84*$H$31</f>
        <v>32.544467898589218</v>
      </c>
      <c r="K327" s="447">
        <f>K$296*Entrant_age_breakdowns!$K84*$H$31</f>
        <v>30.652864521636626</v>
      </c>
      <c r="L327" s="447">
        <f>L$296*Entrant_age_breakdowns!$K84*$H$31</f>
        <v>29.235053266554932</v>
      </c>
      <c r="M327" s="447">
        <f>M$296*Entrant_age_breakdowns!$K84*$H$31</f>
        <v>29.414925777272661</v>
      </c>
      <c r="N327" s="447">
        <f>N$296*Entrant_age_breakdowns!$K84*$H$31</f>
        <v>30.330376050416191</v>
      </c>
      <c r="O327" s="320"/>
    </row>
    <row r="328" spans="1:15">
      <c r="B328" s="331" t="str">
        <f t="shared" si="147"/>
        <v>65 plus</v>
      </c>
      <c r="C328" s="447">
        <f>C$296*Entrant_age_breakdowns!$K85*$H$31</f>
        <v>7.5137525684033246</v>
      </c>
      <c r="D328" s="447">
        <f>D$296*Entrant_age_breakdowns!$K85*$H$31</f>
        <v>9.206309223133001</v>
      </c>
      <c r="E328" s="447">
        <f>E$296*Entrant_age_breakdowns!$K85*$H$31</f>
        <v>9.8528684120407792</v>
      </c>
      <c r="F328" s="447">
        <f>F$296*Entrant_age_breakdowns!$K85*$H$31</f>
        <v>10.436741644390146</v>
      </c>
      <c r="G328" s="447">
        <f>G$296*Entrant_age_breakdowns!$K85*$H$31</f>
        <v>11.311187030149478</v>
      </c>
      <c r="H328" s="447">
        <f>H$296*Entrant_age_breakdowns!$K85*$H$31</f>
        <v>12.210478074104023</v>
      </c>
      <c r="I328" s="447">
        <f>I$296*Entrant_age_breakdowns!$K85*$H$31</f>
        <v>12.345263146879795</v>
      </c>
      <c r="J328" s="447">
        <f>J$296*Entrant_age_breakdowns!$K85*$H$31</f>
        <v>9.7990865074299514</v>
      </c>
      <c r="K328" s="447">
        <f>K$296*Entrant_age_breakdowns!$K85*$H$31</f>
        <v>9.2295277982120147</v>
      </c>
      <c r="L328" s="447">
        <f>L$296*Entrant_age_breakdowns!$K85*$H$31</f>
        <v>8.8026271285484103</v>
      </c>
      <c r="M328" s="447">
        <f>M$296*Entrant_age_breakdowns!$K85*$H$31</f>
        <v>8.8567864498291886</v>
      </c>
      <c r="N328" s="447">
        <f>N$296*Entrant_age_breakdowns!$K85*$H$31</f>
        <v>9.1324270425018579</v>
      </c>
      <c r="O328" s="320"/>
    </row>
    <row r="329" spans="1:15">
      <c r="B329" s="331" t="str">
        <f t="shared" si="147"/>
        <v>Total</v>
      </c>
      <c r="C329" s="447">
        <f>C$296*Entrant_age_breakdowns!$K86*$H$31</f>
        <v>1516.4908953863517</v>
      </c>
      <c r="D329" s="447">
        <f>D$296*Entrant_age_breakdowns!$K86*$H$31</f>
        <v>1858.0974007185562</v>
      </c>
      <c r="E329" s="447">
        <f>E$296*Entrant_age_breakdowns!$K86*$H$31</f>
        <v>1988.5915997729958</v>
      </c>
      <c r="F329" s="447">
        <f>F$296*Entrant_age_breakdowns!$K86*$H$31</f>
        <v>2106.4339738539629</v>
      </c>
      <c r="G329" s="447">
        <f>G$296*Entrant_age_breakdowns!$K86*$H$31</f>
        <v>2282.9221472326121</v>
      </c>
      <c r="H329" s="447">
        <f>H$296*Entrant_age_breakdowns!$K86*$H$31</f>
        <v>2464.4248874471937</v>
      </c>
      <c r="I329" s="447">
        <f>I$296*Entrant_age_breakdowns!$K86*$H$31</f>
        <v>2491.6283831489268</v>
      </c>
      <c r="J329" s="447">
        <f>J$296*Entrant_age_breakdowns!$K86*$H$31</f>
        <v>1977.7368680079612</v>
      </c>
      <c r="K329" s="447">
        <f>K$296*Entrant_age_breakdowns!$K86*$H$31</f>
        <v>1862.7835754881692</v>
      </c>
      <c r="L329" s="447">
        <f>L$296*Entrant_age_breakdowns!$K86*$H$31</f>
        <v>1776.6227693017127</v>
      </c>
      <c r="M329" s="447">
        <f>M$296*Entrant_age_breakdowns!$K86*$H$31</f>
        <v>1787.5536745817165</v>
      </c>
      <c r="N329" s="447">
        <f>N$296*Entrant_age_breakdowns!$K86*$H$31</f>
        <v>1843.185856421826</v>
      </c>
      <c r="O329" s="320"/>
    </row>
    <row r="330" spans="1:15">
      <c r="A330" s="302">
        <f>SUM(C330:N330)</f>
        <v>0</v>
      </c>
      <c r="C330" s="302">
        <f>SUM(C319:C328)-C329</f>
        <v>0</v>
      </c>
      <c r="D330" s="302">
        <f t="shared" ref="D330:N330" si="149">SUM(D319:D328)-D329</f>
        <v>0</v>
      </c>
      <c r="E330" s="302">
        <f t="shared" si="149"/>
        <v>0</v>
      </c>
      <c r="F330" s="302">
        <f t="shared" si="149"/>
        <v>0</v>
      </c>
      <c r="G330" s="302">
        <f t="shared" si="149"/>
        <v>0</v>
      </c>
      <c r="H330" s="302">
        <f t="shared" si="149"/>
        <v>0</v>
      </c>
      <c r="I330" s="302">
        <f t="shared" si="149"/>
        <v>0</v>
      </c>
      <c r="J330" s="302">
        <f t="shared" si="149"/>
        <v>0</v>
      </c>
      <c r="K330" s="302">
        <f t="shared" si="149"/>
        <v>0</v>
      </c>
      <c r="L330" s="302">
        <f t="shared" si="149"/>
        <v>0</v>
      </c>
      <c r="M330" s="302">
        <f t="shared" si="149"/>
        <v>0</v>
      </c>
      <c r="N330" s="302">
        <f t="shared" si="149"/>
        <v>0</v>
      </c>
    </row>
    <row r="331" spans="1:15">
      <c r="C331" s="322">
        <f>C296</f>
        <v>1858.4175746536107</v>
      </c>
      <c r="D331" s="322">
        <f t="shared" ref="D331:N331" si="150">D296</f>
        <v>2277.0468819951711</v>
      </c>
      <c r="E331" s="322">
        <f t="shared" si="150"/>
        <v>2436.9639073138974</v>
      </c>
      <c r="F331" s="322">
        <f t="shared" si="150"/>
        <v>2581.3764716736596</v>
      </c>
      <c r="G331" s="322">
        <f t="shared" si="150"/>
        <v>2797.6578381647087</v>
      </c>
      <c r="H331" s="322">
        <f t="shared" si="150"/>
        <v>3020.0844173738324</v>
      </c>
      <c r="I331" s="322">
        <f t="shared" si="150"/>
        <v>3053.4215476249406</v>
      </c>
      <c r="J331" s="322">
        <f t="shared" si="150"/>
        <v>2423.6617342895406</v>
      </c>
      <c r="K331" s="322">
        <f t="shared" si="150"/>
        <v>2282.7896593347796</v>
      </c>
      <c r="L331" s="322">
        <f t="shared" si="150"/>
        <v>2177.201978623752</v>
      </c>
      <c r="M331" s="322">
        <f t="shared" si="150"/>
        <v>2190.5975001801526</v>
      </c>
      <c r="N331" s="322">
        <f t="shared" si="150"/>
        <v>2258.7731976159389</v>
      </c>
    </row>
    <row r="332" spans="1:15">
      <c r="C332" s="322">
        <f>C313+C329</f>
        <v>1858.4175746536105</v>
      </c>
      <c r="D332" s="322">
        <f t="shared" ref="D332:N332" si="151">D313+D329</f>
        <v>2277.0468819951711</v>
      </c>
      <c r="E332" s="322">
        <f t="shared" si="151"/>
        <v>2436.9639073138974</v>
      </c>
      <c r="F332" s="322">
        <f t="shared" si="151"/>
        <v>2581.3764716736591</v>
      </c>
      <c r="G332" s="322">
        <f t="shared" si="151"/>
        <v>2797.6578381647087</v>
      </c>
      <c r="H332" s="322">
        <f t="shared" si="151"/>
        <v>3020.0844173738324</v>
      </c>
      <c r="I332" s="322">
        <f t="shared" si="151"/>
        <v>3053.4215476249406</v>
      </c>
      <c r="J332" s="322">
        <f t="shared" si="151"/>
        <v>2423.6617342895406</v>
      </c>
      <c r="K332" s="322">
        <f t="shared" si="151"/>
        <v>2282.7896593347796</v>
      </c>
      <c r="L332" s="322">
        <f t="shared" si="151"/>
        <v>2177.201978623752</v>
      </c>
      <c r="M332" s="322">
        <f t="shared" si="151"/>
        <v>2190.5975001801526</v>
      </c>
      <c r="N332" s="322">
        <f t="shared" si="151"/>
        <v>2258.7731976159389</v>
      </c>
    </row>
    <row r="333" spans="1:15">
      <c r="A333" s="302">
        <f>SUM(C333:L333)</f>
        <v>0</v>
      </c>
      <c r="C333" s="322">
        <f>C331-C332</f>
        <v>0</v>
      </c>
      <c r="D333" s="322">
        <f t="shared" ref="D333:K333" si="152">D331-D332</f>
        <v>0</v>
      </c>
      <c r="E333" s="322">
        <f t="shared" si="152"/>
        <v>0</v>
      </c>
      <c r="F333" s="322">
        <f t="shared" si="152"/>
        <v>0</v>
      </c>
      <c r="G333" s="322">
        <f t="shared" si="152"/>
        <v>0</v>
      </c>
      <c r="H333" s="322">
        <f t="shared" si="152"/>
        <v>0</v>
      </c>
      <c r="I333" s="322">
        <f t="shared" si="152"/>
        <v>0</v>
      </c>
      <c r="J333" s="322">
        <f t="shared" si="152"/>
        <v>0</v>
      </c>
      <c r="K333" s="322">
        <f t="shared" si="152"/>
        <v>0</v>
      </c>
      <c r="L333" s="322">
        <f>L331-L332</f>
        <v>0</v>
      </c>
      <c r="M333" s="322">
        <f>M331-M332</f>
        <v>0</v>
      </c>
      <c r="N333" s="322">
        <f>N331-N332</f>
        <v>0</v>
      </c>
    </row>
    <row r="334" spans="1:15">
      <c r="C334" s="322"/>
      <c r="D334" s="322"/>
      <c r="E334" s="322"/>
      <c r="F334" s="322"/>
      <c r="G334" s="322"/>
      <c r="H334" s="335"/>
      <c r="I334" s="322"/>
      <c r="J334" s="322"/>
      <c r="K334" s="322"/>
      <c r="L334" s="322"/>
    </row>
    <row r="335" spans="1:15" ht="15.75">
      <c r="B335" s="333" t="s">
        <v>176</v>
      </c>
      <c r="C335" s="322"/>
      <c r="D335" s="322"/>
      <c r="E335" s="322"/>
      <c r="F335" s="322"/>
      <c r="G335" s="322"/>
      <c r="H335" s="335"/>
      <c r="I335" s="322"/>
      <c r="J335" s="322"/>
      <c r="K335" s="322"/>
      <c r="L335" s="322"/>
    </row>
    <row r="336" spans="1:15"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3">C318</f>
        <v>2017/18</v>
      </c>
      <c r="D339" s="331" t="str">
        <f t="shared" si="153"/>
        <v>2018/19</v>
      </c>
      <c r="E339" s="331" t="str">
        <f t="shared" si="153"/>
        <v>2019/20</v>
      </c>
      <c r="F339" s="331" t="str">
        <f t="shared" si="153"/>
        <v>2020/21</v>
      </c>
      <c r="G339" s="331" t="str">
        <f t="shared" si="153"/>
        <v>2021/22</v>
      </c>
      <c r="H339" s="331" t="str">
        <f t="shared" si="153"/>
        <v>2022/23</v>
      </c>
      <c r="I339" s="331" t="str">
        <f t="shared" si="153"/>
        <v>2023/24</v>
      </c>
      <c r="J339" s="331" t="str">
        <f t="shared" si="153"/>
        <v>2024/25</v>
      </c>
      <c r="K339" s="331" t="str">
        <f t="shared" si="153"/>
        <v>2025/26</v>
      </c>
      <c r="L339" s="331" t="str">
        <f t="shared" si="153"/>
        <v>2026/27</v>
      </c>
      <c r="M339" s="331" t="str">
        <f t="shared" si="153"/>
        <v>2027/28</v>
      </c>
      <c r="N339" s="331" t="str">
        <f t="shared" si="153"/>
        <v>2028/29</v>
      </c>
    </row>
    <row r="340" spans="1:14">
      <c r="B340" s="331" t="str">
        <f t="shared" ref="B340:B350" si="154">B319</f>
        <v>20-24</v>
      </c>
      <c r="C340" s="447">
        <f t="shared" ref="C340:N340" si="155">C303+C247</f>
        <v>145.84559941602484</v>
      </c>
      <c r="D340" s="447">
        <f t="shared" si="155"/>
        <v>208.59023187530389</v>
      </c>
      <c r="E340" s="447">
        <f t="shared" si="155"/>
        <v>258.76864937101129</v>
      </c>
      <c r="F340" s="447">
        <f t="shared" si="155"/>
        <v>300.68849553600995</v>
      </c>
      <c r="G340" s="447">
        <f t="shared" si="155"/>
        <v>339.86236112293324</v>
      </c>
      <c r="H340" s="447">
        <f t="shared" si="155"/>
        <v>377.42963796018478</v>
      </c>
      <c r="I340" s="447">
        <f t="shared" si="155"/>
        <v>404.95511762252079</v>
      </c>
      <c r="J340" s="447">
        <f t="shared" si="155"/>
        <v>394.22128457748306</v>
      </c>
      <c r="K340" s="447">
        <f t="shared" si="155"/>
        <v>380.15220493594529</v>
      </c>
      <c r="L340" s="447">
        <f t="shared" si="155"/>
        <v>365.44592741396065</v>
      </c>
      <c r="M340" s="447">
        <f t="shared" si="155"/>
        <v>355.91988235655185</v>
      </c>
      <c r="N340" s="447">
        <f t="shared" si="155"/>
        <v>352.55988524973964</v>
      </c>
    </row>
    <row r="341" spans="1:14">
      <c r="B341" s="331" t="str">
        <f t="shared" si="154"/>
        <v>25-29</v>
      </c>
      <c r="C341" s="447">
        <f t="shared" ref="C341:N341" si="156">C304+C248</f>
        <v>380.2653931487697</v>
      </c>
      <c r="D341" s="447">
        <f t="shared" si="156"/>
        <v>401.34537129104274</v>
      </c>
      <c r="E341" s="447">
        <f t="shared" si="156"/>
        <v>433.07148592545207</v>
      </c>
      <c r="F341" s="447">
        <f t="shared" si="156"/>
        <v>471.81354231131405</v>
      </c>
      <c r="G341" s="447">
        <f t="shared" si="156"/>
        <v>516.5898206720384</v>
      </c>
      <c r="H341" s="447">
        <f t="shared" si="156"/>
        <v>565.39409775755462</v>
      </c>
      <c r="I341" s="447">
        <f t="shared" si="156"/>
        <v>607.61125630188485</v>
      </c>
      <c r="J341" s="447">
        <f t="shared" si="156"/>
        <v>611.50650189829332</v>
      </c>
      <c r="K341" s="447">
        <f t="shared" si="156"/>
        <v>605.55945239993935</v>
      </c>
      <c r="L341" s="447">
        <f t="shared" si="156"/>
        <v>593.86389368647735</v>
      </c>
      <c r="M341" s="447">
        <f t="shared" si="156"/>
        <v>583.78301480911762</v>
      </c>
      <c r="N341" s="447">
        <f t="shared" si="156"/>
        <v>578.3739933121135</v>
      </c>
    </row>
    <row r="342" spans="1:14">
      <c r="B342" s="331" t="str">
        <f t="shared" si="154"/>
        <v>30-34</v>
      </c>
      <c r="C342" s="447">
        <f t="shared" ref="C342:N342" si="157">C305+C249</f>
        <v>391.23485160732309</v>
      </c>
      <c r="D342" s="447">
        <f t="shared" si="157"/>
        <v>411.75312471792807</v>
      </c>
      <c r="E342" s="447">
        <f t="shared" si="157"/>
        <v>433.27506707991921</v>
      </c>
      <c r="F342" s="447">
        <f t="shared" si="157"/>
        <v>458.98398199859423</v>
      </c>
      <c r="G342" s="447">
        <f t="shared" si="157"/>
        <v>490.12159796593795</v>
      </c>
      <c r="H342" s="447">
        <f t="shared" si="157"/>
        <v>526.49413633789698</v>
      </c>
      <c r="I342" s="447">
        <f t="shared" si="157"/>
        <v>562.91618941655918</v>
      </c>
      <c r="J342" s="447">
        <f t="shared" si="157"/>
        <v>582.28706271223996</v>
      </c>
      <c r="K342" s="447">
        <f t="shared" si="157"/>
        <v>593.83419304399445</v>
      </c>
      <c r="L342" s="447">
        <f t="shared" si="157"/>
        <v>598.68383004006478</v>
      </c>
      <c r="M342" s="447">
        <f t="shared" si="157"/>
        <v>600.41695989587595</v>
      </c>
      <c r="N342" s="447">
        <f t="shared" si="157"/>
        <v>601.47237311552999</v>
      </c>
    </row>
    <row r="343" spans="1:14">
      <c r="B343" s="331" t="str">
        <f t="shared" si="154"/>
        <v>35-39</v>
      </c>
      <c r="C343" s="447">
        <f t="shared" ref="C343:N343" si="158">C306+C250</f>
        <v>453.02845674644436</v>
      </c>
      <c r="D343" s="447">
        <f t="shared" si="158"/>
        <v>449.73771131715824</v>
      </c>
      <c r="E343" s="447">
        <f t="shared" si="158"/>
        <v>452.78270426231364</v>
      </c>
      <c r="F343" s="447">
        <f t="shared" si="158"/>
        <v>462.21916557334129</v>
      </c>
      <c r="G343" s="447">
        <f t="shared" si="158"/>
        <v>477.8449879308896</v>
      </c>
      <c r="H343" s="447">
        <f t="shared" si="158"/>
        <v>499.17742523683268</v>
      </c>
      <c r="I343" s="447">
        <f t="shared" si="158"/>
        <v>522.33774900652179</v>
      </c>
      <c r="J343" s="447">
        <f t="shared" si="158"/>
        <v>535.0272142045103</v>
      </c>
      <c r="K343" s="447">
        <f t="shared" si="158"/>
        <v>545.51560674602035</v>
      </c>
      <c r="L343" s="447">
        <f t="shared" si="158"/>
        <v>553.55072778287536</v>
      </c>
      <c r="M343" s="447">
        <f t="shared" si="158"/>
        <v>560.64830552038723</v>
      </c>
      <c r="N343" s="447">
        <f t="shared" si="158"/>
        <v>567.45048413708469</v>
      </c>
    </row>
    <row r="344" spans="1:14">
      <c r="B344" s="331" t="str">
        <f t="shared" si="154"/>
        <v>40-44</v>
      </c>
      <c r="C344" s="447">
        <f t="shared" ref="C344:N344" si="159">C307+C251</f>
        <v>450.89110424398842</v>
      </c>
      <c r="D344" s="447">
        <f t="shared" si="159"/>
        <v>453.43034487223258</v>
      </c>
      <c r="E344" s="447">
        <f t="shared" si="159"/>
        <v>455.94500323525136</v>
      </c>
      <c r="F344" s="447">
        <f t="shared" si="159"/>
        <v>461.21553766108428</v>
      </c>
      <c r="G344" s="447">
        <f t="shared" si="159"/>
        <v>470.18472687444489</v>
      </c>
      <c r="H344" s="447">
        <f t="shared" si="159"/>
        <v>483.13445311829116</v>
      </c>
      <c r="I344" s="447">
        <f t="shared" si="159"/>
        <v>497.18985772488759</v>
      </c>
      <c r="J344" s="447">
        <f t="shared" si="159"/>
        <v>502.23310757472393</v>
      </c>
      <c r="K344" s="447">
        <f t="shared" si="159"/>
        <v>506.15879748120807</v>
      </c>
      <c r="L344" s="447">
        <f t="shared" si="159"/>
        <v>509.39009207056523</v>
      </c>
      <c r="M344" s="447">
        <f t="shared" si="159"/>
        <v>513.47743986079126</v>
      </c>
      <c r="N344" s="447">
        <f t="shared" si="159"/>
        <v>518.86547786431186</v>
      </c>
    </row>
    <row r="345" spans="1:14">
      <c r="B345" s="331" t="str">
        <f t="shared" si="154"/>
        <v>45-49</v>
      </c>
      <c r="C345" s="447">
        <f t="shared" ref="C345:N345" si="160">C308+C252</f>
        <v>383.2436540515605</v>
      </c>
      <c r="D345" s="447">
        <f t="shared" si="160"/>
        <v>389.98272731477761</v>
      </c>
      <c r="E345" s="447">
        <f t="shared" si="160"/>
        <v>396.04645329589556</v>
      </c>
      <c r="F345" s="447">
        <f t="shared" si="160"/>
        <v>403.3770926177026</v>
      </c>
      <c r="G345" s="447">
        <f t="shared" si="160"/>
        <v>412.34951463459419</v>
      </c>
      <c r="H345" s="447">
        <f t="shared" si="160"/>
        <v>423.26709120814712</v>
      </c>
      <c r="I345" s="447">
        <f t="shared" si="160"/>
        <v>433.98854265314037</v>
      </c>
      <c r="J345" s="447">
        <f t="shared" si="160"/>
        <v>436.57105065492914</v>
      </c>
      <c r="K345" s="447">
        <f t="shared" si="160"/>
        <v>437.62869752031332</v>
      </c>
      <c r="L345" s="447">
        <f t="shared" si="160"/>
        <v>437.8084757388749</v>
      </c>
      <c r="M345" s="447">
        <f t="shared" si="160"/>
        <v>438.69336239092837</v>
      </c>
      <c r="N345" s="447">
        <f t="shared" si="160"/>
        <v>440.92487123380727</v>
      </c>
    </row>
    <row r="346" spans="1:14">
      <c r="B346" s="331" t="str">
        <f t="shared" si="154"/>
        <v>50-54</v>
      </c>
      <c r="C346" s="447">
        <f t="shared" ref="C346:N346" si="161">C309+C253</f>
        <v>324.8377063495256</v>
      </c>
      <c r="D346" s="447">
        <f t="shared" si="161"/>
        <v>325.66931909434931</v>
      </c>
      <c r="E346" s="447">
        <f t="shared" si="161"/>
        <v>328.14090421089014</v>
      </c>
      <c r="F346" s="447">
        <f t="shared" si="161"/>
        <v>332.77355579746137</v>
      </c>
      <c r="G346" s="447">
        <f t="shared" si="161"/>
        <v>339.43370169470904</v>
      </c>
      <c r="H346" s="447">
        <f t="shared" si="161"/>
        <v>347.91445815157965</v>
      </c>
      <c r="I346" s="447">
        <f t="shared" si="161"/>
        <v>356.33253793002893</v>
      </c>
      <c r="J346" s="447">
        <f t="shared" si="161"/>
        <v>358.59545231475352</v>
      </c>
      <c r="K346" s="447">
        <f t="shared" si="161"/>
        <v>359.40987611773062</v>
      </c>
      <c r="L346" s="447">
        <f t="shared" si="161"/>
        <v>359.22338078693485</v>
      </c>
      <c r="M346" s="447">
        <f t="shared" si="161"/>
        <v>359.24365180843279</v>
      </c>
      <c r="N346" s="447">
        <f t="shared" si="161"/>
        <v>360.04294399237892</v>
      </c>
    </row>
    <row r="347" spans="1:14">
      <c r="B347" s="331" t="str">
        <f t="shared" si="154"/>
        <v>55-59</v>
      </c>
      <c r="C347" s="447">
        <f t="shared" ref="C347:N347" si="162">C310+C254</f>
        <v>166.96785836910817</v>
      </c>
      <c r="D347" s="447">
        <f t="shared" si="162"/>
        <v>162.01800907075773</v>
      </c>
      <c r="E347" s="447">
        <f t="shared" si="162"/>
        <v>159.72743247838068</v>
      </c>
      <c r="F347" s="447">
        <f t="shared" si="162"/>
        <v>159.79424506980237</v>
      </c>
      <c r="G347" s="447">
        <f t="shared" si="162"/>
        <v>161.81027025484963</v>
      </c>
      <c r="H347" s="447">
        <f t="shared" si="162"/>
        <v>165.33045153786264</v>
      </c>
      <c r="I347" s="447">
        <f t="shared" si="162"/>
        <v>168.89886031589521</v>
      </c>
      <c r="J347" s="447">
        <f t="shared" si="162"/>
        <v>168.5500432495127</v>
      </c>
      <c r="K347" s="447">
        <f t="shared" si="162"/>
        <v>167.84333120382232</v>
      </c>
      <c r="L347" s="447">
        <f t="shared" si="162"/>
        <v>166.91583804020019</v>
      </c>
      <c r="M347" s="447">
        <f t="shared" si="162"/>
        <v>166.41326571291097</v>
      </c>
      <c r="N347" s="447">
        <f t="shared" si="162"/>
        <v>166.5207202565</v>
      </c>
    </row>
    <row r="348" spans="1:14">
      <c r="B348" s="331" t="str">
        <f t="shared" si="154"/>
        <v>60-64</v>
      </c>
      <c r="C348" s="447">
        <f t="shared" ref="C348:N348" si="163">C311+C255</f>
        <v>54.532309969112177</v>
      </c>
      <c r="D348" s="447">
        <f t="shared" si="163"/>
        <v>57.400930146460688</v>
      </c>
      <c r="E348" s="447">
        <f t="shared" si="163"/>
        <v>58.630626162180221</v>
      </c>
      <c r="F348" s="447">
        <f t="shared" si="163"/>
        <v>59.469403096299921</v>
      </c>
      <c r="G348" s="447">
        <f t="shared" si="163"/>
        <v>60.572551165573842</v>
      </c>
      <c r="H348" s="447">
        <f t="shared" si="163"/>
        <v>62.088237384457635</v>
      </c>
      <c r="I348" s="447">
        <f t="shared" si="163"/>
        <v>63.444709333796027</v>
      </c>
      <c r="J348" s="447">
        <f t="shared" si="163"/>
        <v>62.716468295054135</v>
      </c>
      <c r="K348" s="447">
        <f t="shared" si="163"/>
        <v>61.862610503455386</v>
      </c>
      <c r="L348" s="447">
        <f t="shared" si="163"/>
        <v>61.002856381480861</v>
      </c>
      <c r="M348" s="447">
        <f t="shared" si="163"/>
        <v>60.471319160223565</v>
      </c>
      <c r="N348" s="447">
        <f t="shared" si="163"/>
        <v>60.333316755920563</v>
      </c>
    </row>
    <row r="349" spans="1:14">
      <c r="B349" s="331" t="str">
        <f t="shared" si="154"/>
        <v>65 plus</v>
      </c>
      <c r="C349" s="447">
        <f t="shared" ref="C349:N349" si="164">C312+C256</f>
        <v>10.740144638759077</v>
      </c>
      <c r="D349" s="447">
        <f t="shared" si="164"/>
        <v>14.473290857630648</v>
      </c>
      <c r="E349" s="447">
        <f t="shared" si="164"/>
        <v>16.968566313946781</v>
      </c>
      <c r="F349" s="447">
        <f t="shared" si="164"/>
        <v>18.725041790931073</v>
      </c>
      <c r="G349" s="447">
        <f t="shared" si="164"/>
        <v>20.020080915500785</v>
      </c>
      <c r="H349" s="447">
        <f t="shared" si="164"/>
        <v>21.087615653189683</v>
      </c>
      <c r="I349" s="447">
        <f t="shared" si="164"/>
        <v>21.900047124924644</v>
      </c>
      <c r="J349" s="447">
        <f t="shared" si="164"/>
        <v>21.944278009071493</v>
      </c>
      <c r="K349" s="447">
        <f t="shared" si="164"/>
        <v>21.757994330824996</v>
      </c>
      <c r="L349" s="447">
        <f t="shared" si="164"/>
        <v>21.458021079612305</v>
      </c>
      <c r="M349" s="447">
        <f t="shared" si="164"/>
        <v>21.200974753317023</v>
      </c>
      <c r="N349" s="447">
        <f t="shared" si="164"/>
        <v>21.055811443144911</v>
      </c>
    </row>
    <row r="350" spans="1:14">
      <c r="B350" s="331" t="str">
        <f t="shared" si="154"/>
        <v>Total</v>
      </c>
      <c r="C350" s="447">
        <f t="shared" ref="C350:N350" si="165">SUM(C340:C349)</f>
        <v>2761.5870785406155</v>
      </c>
      <c r="D350" s="447">
        <f t="shared" si="165"/>
        <v>2874.4010605576414</v>
      </c>
      <c r="E350" s="447">
        <f t="shared" si="165"/>
        <v>2993.3568923352409</v>
      </c>
      <c r="F350" s="447">
        <f t="shared" si="165"/>
        <v>3129.060061452542</v>
      </c>
      <c r="G350" s="447">
        <f t="shared" si="165"/>
        <v>3288.7896132314713</v>
      </c>
      <c r="H350" s="447">
        <f t="shared" si="165"/>
        <v>3471.3176043459966</v>
      </c>
      <c r="I350" s="447">
        <f t="shared" si="165"/>
        <v>3639.5748674301594</v>
      </c>
      <c r="J350" s="447">
        <f t="shared" si="165"/>
        <v>3673.6524634905718</v>
      </c>
      <c r="K350" s="447">
        <f t="shared" si="165"/>
        <v>3679.7227642832545</v>
      </c>
      <c r="L350" s="447">
        <f t="shared" si="165"/>
        <v>3667.343043021046</v>
      </c>
      <c r="M350" s="447">
        <f t="shared" si="165"/>
        <v>3660.268176268537</v>
      </c>
      <c r="N350" s="447">
        <f t="shared" si="165"/>
        <v>3667.5998773605306</v>
      </c>
    </row>
    <row r="351" spans="1:14">
      <c r="A351" s="302">
        <f>SUM(C351:N351)</f>
        <v>0</v>
      </c>
      <c r="C351" s="302">
        <f>SUM(C340:C349)-C350</f>
        <v>0</v>
      </c>
      <c r="D351" s="302">
        <f t="shared" ref="D351:N351" si="166">SUM(D340:D349)-D350</f>
        <v>0</v>
      </c>
      <c r="E351" s="302">
        <f t="shared" si="166"/>
        <v>0</v>
      </c>
      <c r="F351" s="302">
        <f t="shared" si="166"/>
        <v>0</v>
      </c>
      <c r="G351" s="302">
        <f t="shared" si="166"/>
        <v>0</v>
      </c>
      <c r="H351" s="302">
        <f t="shared" si="166"/>
        <v>0</v>
      </c>
      <c r="I351" s="302">
        <f t="shared" si="166"/>
        <v>0</v>
      </c>
      <c r="J351" s="302">
        <f t="shared" si="166"/>
        <v>0</v>
      </c>
      <c r="K351" s="302">
        <f t="shared" si="166"/>
        <v>0</v>
      </c>
      <c r="L351" s="302">
        <f t="shared" si="166"/>
        <v>0</v>
      </c>
      <c r="M351" s="302">
        <f t="shared" si="166"/>
        <v>0</v>
      </c>
      <c r="N351" s="302">
        <f t="shared" si="166"/>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7">B339</f>
        <v>Age group</v>
      </c>
      <c r="C355" s="331" t="str">
        <f t="shared" ref="C355:N355" si="168">C339</f>
        <v>2017/18</v>
      </c>
      <c r="D355" s="331" t="str">
        <f t="shared" si="168"/>
        <v>2018/19</v>
      </c>
      <c r="E355" s="331" t="str">
        <f t="shared" si="168"/>
        <v>2019/20</v>
      </c>
      <c r="F355" s="331" t="str">
        <f t="shared" si="168"/>
        <v>2020/21</v>
      </c>
      <c r="G355" s="331" t="str">
        <f t="shared" si="168"/>
        <v>2021/22</v>
      </c>
      <c r="H355" s="331" t="str">
        <f t="shared" si="168"/>
        <v>2022/23</v>
      </c>
      <c r="I355" s="331" t="str">
        <f t="shared" si="168"/>
        <v>2023/24</v>
      </c>
      <c r="J355" s="331" t="str">
        <f t="shared" si="168"/>
        <v>2024/25</v>
      </c>
      <c r="K355" s="331" t="str">
        <f t="shared" si="168"/>
        <v>2025/26</v>
      </c>
      <c r="L355" s="331" t="str">
        <f t="shared" si="168"/>
        <v>2026/27</v>
      </c>
      <c r="M355" s="331" t="str">
        <f t="shared" si="168"/>
        <v>2027/28</v>
      </c>
      <c r="N355" s="331" t="str">
        <f t="shared" si="168"/>
        <v>2028/29</v>
      </c>
    </row>
    <row r="356" spans="1:14">
      <c r="B356" s="331" t="str">
        <f t="shared" si="167"/>
        <v>20-24</v>
      </c>
      <c r="C356" s="447">
        <f t="shared" ref="C356:N356" si="169">C319+C263</f>
        <v>619.13499175727645</v>
      </c>
      <c r="D356" s="447">
        <f t="shared" si="169"/>
        <v>912.67776307357724</v>
      </c>
      <c r="E356" s="447">
        <f t="shared" si="169"/>
        <v>1151.2570629134946</v>
      </c>
      <c r="F356" s="447">
        <f t="shared" si="169"/>
        <v>1347.5464264689213</v>
      </c>
      <c r="G356" s="447">
        <f t="shared" si="169"/>
        <v>1530.4075004075075</v>
      </c>
      <c r="H356" s="447">
        <f t="shared" si="169"/>
        <v>1705.1461392498168</v>
      </c>
      <c r="I356" s="447">
        <f t="shared" si="169"/>
        <v>1834.5783734025201</v>
      </c>
      <c r="J356" s="447">
        <f t="shared" si="169"/>
        <v>1793.342047599939</v>
      </c>
      <c r="K356" s="447">
        <f t="shared" si="169"/>
        <v>1734.9327302257382</v>
      </c>
      <c r="L356" s="447">
        <f t="shared" si="169"/>
        <v>1671.8815949669968</v>
      </c>
      <c r="M356" s="447">
        <f t="shared" si="169"/>
        <v>1630.5049221495015</v>
      </c>
      <c r="N356" s="447">
        <f t="shared" si="169"/>
        <v>1615.7931757801564</v>
      </c>
    </row>
    <row r="357" spans="1:14">
      <c r="B357" s="331" t="str">
        <f t="shared" si="167"/>
        <v>25-29</v>
      </c>
      <c r="C357" s="447">
        <f t="shared" ref="C357:N357" si="170">C320+C264</f>
        <v>1622.9264089463898</v>
      </c>
      <c r="D357" s="447">
        <f t="shared" si="170"/>
        <v>1751.4103049000464</v>
      </c>
      <c r="E357" s="447">
        <f t="shared" si="170"/>
        <v>1926.2748947210121</v>
      </c>
      <c r="F357" s="447">
        <f t="shared" si="170"/>
        <v>2121.0498264090652</v>
      </c>
      <c r="G357" s="447">
        <f t="shared" si="170"/>
        <v>2340.1044819592962</v>
      </c>
      <c r="H357" s="447">
        <f t="shared" si="170"/>
        <v>2575.3001020480829</v>
      </c>
      <c r="I357" s="447">
        <f t="shared" si="170"/>
        <v>2780.0571334944916</v>
      </c>
      <c r="J357" s="447">
        <f t="shared" si="170"/>
        <v>2813.4103427251293</v>
      </c>
      <c r="K357" s="447">
        <f t="shared" si="170"/>
        <v>2799.6142044734197</v>
      </c>
      <c r="L357" s="447">
        <f t="shared" si="170"/>
        <v>2756.9091888453227</v>
      </c>
      <c r="M357" s="447">
        <f t="shared" si="170"/>
        <v>2718.3408615217159</v>
      </c>
      <c r="N357" s="447">
        <f t="shared" si="170"/>
        <v>2698.2589237599627</v>
      </c>
    </row>
    <row r="358" spans="1:14">
      <c r="B358" s="331" t="str">
        <f t="shared" si="167"/>
        <v>30-34</v>
      </c>
      <c r="C358" s="447">
        <f t="shared" ref="C358:N358" si="171">C321+C265</f>
        <v>1657.7542117893695</v>
      </c>
      <c r="D358" s="447">
        <f t="shared" si="171"/>
        <v>1737.9561190090355</v>
      </c>
      <c r="E358" s="447">
        <f t="shared" si="171"/>
        <v>1833.6695818119083</v>
      </c>
      <c r="F358" s="447">
        <f t="shared" si="171"/>
        <v>1947.6620538880945</v>
      </c>
      <c r="G358" s="447">
        <f t="shared" si="171"/>
        <v>2088.2257533159363</v>
      </c>
      <c r="H358" s="447">
        <f t="shared" si="171"/>
        <v>2253.0356664394121</v>
      </c>
      <c r="I358" s="447">
        <f t="shared" si="171"/>
        <v>2418.2042744565001</v>
      </c>
      <c r="J358" s="447">
        <f t="shared" si="171"/>
        <v>2507.7029468842884</v>
      </c>
      <c r="K358" s="447">
        <f t="shared" si="171"/>
        <v>2563.4586768490735</v>
      </c>
      <c r="L358" s="447">
        <f t="shared" si="171"/>
        <v>2590.052063793828</v>
      </c>
      <c r="M358" s="447">
        <f t="shared" si="171"/>
        <v>2602.9799709897202</v>
      </c>
      <c r="N358" s="447">
        <f t="shared" si="171"/>
        <v>2612.5960905550646</v>
      </c>
    </row>
    <row r="359" spans="1:14">
      <c r="B359" s="331" t="str">
        <f t="shared" si="167"/>
        <v>35-39</v>
      </c>
      <c r="C359" s="447">
        <f t="shared" ref="C359:N359" si="172">C322+C266</f>
        <v>1867.548877854917</v>
      </c>
      <c r="D359" s="447">
        <f t="shared" si="172"/>
        <v>1848.7697302581867</v>
      </c>
      <c r="E359" s="447">
        <f t="shared" si="172"/>
        <v>1859.7655776641673</v>
      </c>
      <c r="F359" s="447">
        <f t="shared" si="172"/>
        <v>1894.626335684605</v>
      </c>
      <c r="G359" s="447">
        <f t="shared" si="172"/>
        <v>1957.9452641883058</v>
      </c>
      <c r="H359" s="447">
        <f t="shared" si="172"/>
        <v>2047.344136604632</v>
      </c>
      <c r="I359" s="447">
        <f t="shared" si="172"/>
        <v>2145.2096666354491</v>
      </c>
      <c r="J359" s="447">
        <f t="shared" si="172"/>
        <v>2196.8210178121662</v>
      </c>
      <c r="K359" s="447">
        <f t="shared" si="172"/>
        <v>2239.6151665793268</v>
      </c>
      <c r="L359" s="447">
        <f t="shared" si="172"/>
        <v>2272.6227649001144</v>
      </c>
      <c r="M359" s="447">
        <f t="shared" si="172"/>
        <v>2302.5978686963717</v>
      </c>
      <c r="N359" s="447">
        <f t="shared" si="172"/>
        <v>2332.207436425238</v>
      </c>
    </row>
    <row r="360" spans="1:14">
      <c r="B360" s="331" t="str">
        <f t="shared" si="167"/>
        <v>40-44</v>
      </c>
      <c r="C360" s="447">
        <f t="shared" ref="C360:N360" si="173">C323+C267</f>
        <v>2097.7698951886109</v>
      </c>
      <c r="D360" s="447">
        <f t="shared" si="173"/>
        <v>2037.134598133229</v>
      </c>
      <c r="E360" s="447">
        <f t="shared" si="173"/>
        <v>1997.3531898636152</v>
      </c>
      <c r="F360" s="447">
        <f t="shared" si="173"/>
        <v>1977.9398532003106</v>
      </c>
      <c r="G360" s="447">
        <f t="shared" si="173"/>
        <v>1984.8206357569161</v>
      </c>
      <c r="H360" s="447">
        <f t="shared" si="173"/>
        <v>2016.5739235929</v>
      </c>
      <c r="I360" s="447">
        <f t="shared" si="173"/>
        <v>2058.4439088563481</v>
      </c>
      <c r="J360" s="447">
        <f t="shared" si="173"/>
        <v>2064.1641257208466</v>
      </c>
      <c r="K360" s="447">
        <f t="shared" si="173"/>
        <v>2068.2136213814224</v>
      </c>
      <c r="L360" s="447">
        <f t="shared" si="173"/>
        <v>2071.826746188066</v>
      </c>
      <c r="M360" s="447">
        <f t="shared" si="173"/>
        <v>2081.4228912499925</v>
      </c>
      <c r="N360" s="447">
        <f t="shared" si="173"/>
        <v>2098.5697500063047</v>
      </c>
    </row>
    <row r="361" spans="1:14">
      <c r="B361" s="331" t="str">
        <f t="shared" si="167"/>
        <v>45-49</v>
      </c>
      <c r="C361" s="447">
        <f t="shared" ref="C361:N361" si="174">C324+C268</f>
        <v>1856.6145738800178</v>
      </c>
      <c r="D361" s="447">
        <f t="shared" si="174"/>
        <v>1861.4190442654967</v>
      </c>
      <c r="E361" s="447">
        <f t="shared" si="174"/>
        <v>1859.9054058404627</v>
      </c>
      <c r="F361" s="447">
        <f t="shared" si="174"/>
        <v>1857.3462278804116</v>
      </c>
      <c r="G361" s="447">
        <f t="shared" si="174"/>
        <v>1863.813716320527</v>
      </c>
      <c r="H361" s="447">
        <f t="shared" si="174"/>
        <v>1881.9637312363927</v>
      </c>
      <c r="I361" s="447">
        <f t="shared" si="174"/>
        <v>1902.7648883269055</v>
      </c>
      <c r="J361" s="447">
        <f t="shared" si="174"/>
        <v>1890.9768703810596</v>
      </c>
      <c r="K361" s="447">
        <f t="shared" si="174"/>
        <v>1875.7199900757423</v>
      </c>
      <c r="L361" s="447">
        <f t="shared" si="174"/>
        <v>1859.5711282406951</v>
      </c>
      <c r="M361" s="447">
        <f t="shared" si="174"/>
        <v>1849.2178949927491</v>
      </c>
      <c r="N361" s="447">
        <f t="shared" si="174"/>
        <v>1847.1710045794132</v>
      </c>
    </row>
    <row r="362" spans="1:14">
      <c r="B362" s="331" t="str">
        <f t="shared" si="167"/>
        <v>50-54</v>
      </c>
      <c r="C362" s="447">
        <f t="shared" ref="C362:N362" si="175">C325+C269</f>
        <v>1345.7755499010682</v>
      </c>
      <c r="D362" s="447">
        <f t="shared" si="175"/>
        <v>1379.4643370945612</v>
      </c>
      <c r="E362" s="447">
        <f t="shared" si="175"/>
        <v>1408.6937038528451</v>
      </c>
      <c r="F362" s="447">
        <f t="shared" si="175"/>
        <v>1433.3873582202468</v>
      </c>
      <c r="G362" s="447">
        <f t="shared" si="175"/>
        <v>1459.229678568817</v>
      </c>
      <c r="H362" s="447">
        <f t="shared" si="175"/>
        <v>1487.7361915339711</v>
      </c>
      <c r="I362" s="447">
        <f t="shared" si="175"/>
        <v>1512.5202131933156</v>
      </c>
      <c r="J362" s="447">
        <f t="shared" si="175"/>
        <v>1508.1943329947389</v>
      </c>
      <c r="K362" s="447">
        <f t="shared" si="175"/>
        <v>1497.3141724226657</v>
      </c>
      <c r="L362" s="447">
        <f t="shared" si="175"/>
        <v>1482.605401745272</v>
      </c>
      <c r="M362" s="447">
        <f t="shared" si="175"/>
        <v>1469.857947428045</v>
      </c>
      <c r="N362" s="447">
        <f t="shared" si="175"/>
        <v>1461.7541051155374</v>
      </c>
    </row>
    <row r="363" spans="1:14">
      <c r="B363" s="331" t="str">
        <f t="shared" si="167"/>
        <v>55-59</v>
      </c>
      <c r="C363" s="447">
        <f t="shared" ref="C363:N363" si="176">C326+C270</f>
        <v>807.06447643149136</v>
      </c>
      <c r="D363" s="447">
        <f t="shared" si="176"/>
        <v>760.51115892106498</v>
      </c>
      <c r="E363" s="447">
        <f t="shared" si="176"/>
        <v>740.58971314373798</v>
      </c>
      <c r="F363" s="447">
        <f t="shared" si="176"/>
        <v>736.07422082150401</v>
      </c>
      <c r="G363" s="447">
        <f t="shared" si="176"/>
        <v>742.7826676469648</v>
      </c>
      <c r="H363" s="447">
        <f t="shared" si="176"/>
        <v>756.69070339481084</v>
      </c>
      <c r="I363" s="447">
        <f t="shared" si="176"/>
        <v>770.42888496778664</v>
      </c>
      <c r="J363" s="447">
        <f t="shared" si="176"/>
        <v>766.03453193892301</v>
      </c>
      <c r="K363" s="447">
        <f t="shared" si="176"/>
        <v>758.97742456288483</v>
      </c>
      <c r="L363" s="447">
        <f t="shared" si="176"/>
        <v>750.21958559209997</v>
      </c>
      <c r="M363" s="447">
        <f t="shared" si="176"/>
        <v>742.9696354392247</v>
      </c>
      <c r="N363" s="447">
        <f t="shared" si="176"/>
        <v>738.3837696356785</v>
      </c>
    </row>
    <row r="364" spans="1:14">
      <c r="B364" s="331" t="str">
        <f t="shared" si="167"/>
        <v>60-64</v>
      </c>
      <c r="C364" s="447">
        <f t="shared" ref="C364:N364" si="177">C327+C271</f>
        <v>269.98792312887889</v>
      </c>
      <c r="D364" s="447">
        <f t="shared" si="177"/>
        <v>270.65385399033181</v>
      </c>
      <c r="E364" s="447">
        <f t="shared" si="177"/>
        <v>266.8895957392499</v>
      </c>
      <c r="F364" s="447">
        <f t="shared" si="177"/>
        <v>264.13239135083234</v>
      </c>
      <c r="G364" s="447">
        <f t="shared" si="177"/>
        <v>265.06386441938798</v>
      </c>
      <c r="H364" s="447">
        <f t="shared" si="177"/>
        <v>269.37477706287018</v>
      </c>
      <c r="I364" s="447">
        <f t="shared" si="177"/>
        <v>273.77584921581598</v>
      </c>
      <c r="J364" s="447">
        <f t="shared" si="177"/>
        <v>269.29719415254959</v>
      </c>
      <c r="K364" s="447">
        <f t="shared" si="177"/>
        <v>264.57438260200308</v>
      </c>
      <c r="L364" s="447">
        <f t="shared" si="177"/>
        <v>259.86349327409567</v>
      </c>
      <c r="M364" s="447">
        <f t="shared" si="177"/>
        <v>256.54050181300175</v>
      </c>
      <c r="N364" s="447">
        <f t="shared" si="177"/>
        <v>254.84899928120345</v>
      </c>
    </row>
    <row r="365" spans="1:14">
      <c r="B365" s="331" t="str">
        <f t="shared" si="167"/>
        <v>65 plus</v>
      </c>
      <c r="C365" s="447">
        <f t="shared" ref="C365:N365" si="178">C328+C272</f>
        <v>65.33781064985196</v>
      </c>
      <c r="D365" s="447">
        <f t="shared" si="178"/>
        <v>84.050356569194463</v>
      </c>
      <c r="E365" s="447">
        <f t="shared" si="178"/>
        <v>96.315609707823725</v>
      </c>
      <c r="F365" s="447">
        <f t="shared" si="178"/>
        <v>103.93219291265177</v>
      </c>
      <c r="G365" s="447">
        <f t="shared" si="178"/>
        <v>109.21937861658309</v>
      </c>
      <c r="H365" s="447">
        <f t="shared" si="178"/>
        <v>113.53729113481209</v>
      </c>
      <c r="I365" s="447">
        <f t="shared" si="178"/>
        <v>116.90745537011486</v>
      </c>
      <c r="J365" s="447">
        <f t="shared" si="178"/>
        <v>117.01597646186555</v>
      </c>
      <c r="K365" s="447">
        <f t="shared" si="178"/>
        <v>115.95474287959013</v>
      </c>
      <c r="L365" s="447">
        <f t="shared" si="178"/>
        <v>114.27506399336551</v>
      </c>
      <c r="M365" s="447">
        <f t="shared" si="178"/>
        <v>112.69166635380269</v>
      </c>
      <c r="N365" s="447">
        <f t="shared" si="178"/>
        <v>111.56325564447299</v>
      </c>
    </row>
    <row r="366" spans="1:14">
      <c r="B366" s="331" t="str">
        <f t="shared" si="167"/>
        <v>Total</v>
      </c>
      <c r="C366" s="447">
        <f t="shared" ref="C366:N366" si="179">SUM(C356:C365)</f>
        <v>12209.914719527871</v>
      </c>
      <c r="D366" s="447">
        <f t="shared" si="179"/>
        <v>12644.047266214724</v>
      </c>
      <c r="E366" s="447">
        <f t="shared" si="179"/>
        <v>13140.714335258317</v>
      </c>
      <c r="F366" s="447">
        <f t="shared" si="179"/>
        <v>13683.696886836642</v>
      </c>
      <c r="G366" s="447">
        <f t="shared" si="179"/>
        <v>14341.612941200241</v>
      </c>
      <c r="H366" s="447">
        <f t="shared" si="179"/>
        <v>15106.702662297699</v>
      </c>
      <c r="I366" s="447">
        <f t="shared" si="179"/>
        <v>15812.890647919248</v>
      </c>
      <c r="J366" s="447">
        <f t="shared" si="179"/>
        <v>15926.959386671508</v>
      </c>
      <c r="K366" s="447">
        <f t="shared" si="179"/>
        <v>15918.375112051868</v>
      </c>
      <c r="L366" s="447">
        <f t="shared" si="179"/>
        <v>15829.827031539855</v>
      </c>
      <c r="M366" s="447">
        <f t="shared" si="179"/>
        <v>15767.124160634126</v>
      </c>
      <c r="N366" s="447">
        <f t="shared" si="179"/>
        <v>15771.146510783032</v>
      </c>
    </row>
    <row r="367" spans="1:14">
      <c r="A367" s="302">
        <f>SUM(C367:N367)</f>
        <v>0</v>
      </c>
      <c r="C367" s="302">
        <f>SUM(C356:C365)-C366</f>
        <v>0</v>
      </c>
      <c r="D367" s="302">
        <f t="shared" ref="D367:N367" si="180">SUM(D356:D365)-D366</f>
        <v>0</v>
      </c>
      <c r="E367" s="302">
        <f t="shared" si="180"/>
        <v>0</v>
      </c>
      <c r="F367" s="302">
        <f t="shared" si="180"/>
        <v>0</v>
      </c>
      <c r="G367" s="302">
        <f t="shared" si="180"/>
        <v>0</v>
      </c>
      <c r="H367" s="302">
        <f t="shared" si="180"/>
        <v>0</v>
      </c>
      <c r="I367" s="302">
        <f t="shared" si="180"/>
        <v>0</v>
      </c>
      <c r="J367" s="302">
        <f t="shared" si="180"/>
        <v>0</v>
      </c>
      <c r="K367" s="302">
        <f t="shared" si="180"/>
        <v>0</v>
      </c>
      <c r="L367" s="302">
        <f t="shared" si="180"/>
        <v>0</v>
      </c>
      <c r="M367" s="302">
        <f t="shared" si="180"/>
        <v>0</v>
      </c>
      <c r="N367" s="302">
        <f t="shared" si="180"/>
        <v>0</v>
      </c>
    </row>
    <row r="368" spans="1:14">
      <c r="C368" s="322">
        <f>C350+C366</f>
        <v>14971.501798068486</v>
      </c>
      <c r="D368" s="322">
        <f t="shared" ref="D368:N368" si="181">D350+D366</f>
        <v>15518.448326772366</v>
      </c>
      <c r="E368" s="322">
        <f t="shared" si="181"/>
        <v>16134.071227593558</v>
      </c>
      <c r="F368" s="322">
        <f t="shared" si="181"/>
        <v>16812.756948289185</v>
      </c>
      <c r="G368" s="322">
        <f t="shared" si="181"/>
        <v>17630.402554431712</v>
      </c>
      <c r="H368" s="322">
        <f t="shared" si="181"/>
        <v>18578.020266643696</v>
      </c>
      <c r="I368" s="322">
        <f t="shared" si="181"/>
        <v>19452.46551534941</v>
      </c>
      <c r="J368" s="322">
        <f t="shared" si="181"/>
        <v>19600.61185016208</v>
      </c>
      <c r="K368" s="322">
        <f t="shared" si="181"/>
        <v>19598.097876335123</v>
      </c>
      <c r="L368" s="322">
        <f t="shared" si="181"/>
        <v>19497.170074560901</v>
      </c>
      <c r="M368" s="322">
        <f t="shared" si="181"/>
        <v>19427.392336902663</v>
      </c>
      <c r="N368" s="322">
        <f t="shared" si="181"/>
        <v>19438.746388143561</v>
      </c>
    </row>
    <row r="369" spans="1:14">
      <c r="C369" s="322">
        <f t="shared" ref="C369:N369" si="182">C36</f>
        <v>14971.501798068488</v>
      </c>
      <c r="D369" s="322">
        <f t="shared" si="182"/>
        <v>15518.448326772366</v>
      </c>
      <c r="E369" s="322">
        <f t="shared" si="182"/>
        <v>16134.071227593558</v>
      </c>
      <c r="F369" s="322">
        <f t="shared" si="182"/>
        <v>16812.756948289185</v>
      </c>
      <c r="G369" s="322">
        <f t="shared" si="182"/>
        <v>17630.402554431716</v>
      </c>
      <c r="H369" s="322">
        <f t="shared" si="182"/>
        <v>18578.0202666437</v>
      </c>
      <c r="I369" s="322">
        <f t="shared" si="182"/>
        <v>19452.46551534941</v>
      </c>
      <c r="J369" s="322">
        <f t="shared" si="182"/>
        <v>19600.61185016208</v>
      </c>
      <c r="K369" s="322">
        <f t="shared" si="182"/>
        <v>19598.097876335123</v>
      </c>
      <c r="L369" s="322">
        <f t="shared" si="182"/>
        <v>19497.170074560905</v>
      </c>
      <c r="M369" s="322">
        <f t="shared" si="182"/>
        <v>19427.392336902663</v>
      </c>
      <c r="N369" s="322">
        <f t="shared" si="182"/>
        <v>19438.746388143565</v>
      </c>
    </row>
    <row r="370" spans="1:14">
      <c r="A370" s="302">
        <f>SUM(C370:L370)</f>
        <v>0</v>
      </c>
      <c r="C370" s="322">
        <f>C368-C369</f>
        <v>0</v>
      </c>
      <c r="D370" s="322">
        <f t="shared" ref="D370:N370" si="183">D368-D369</f>
        <v>0</v>
      </c>
      <c r="E370" s="322">
        <f t="shared" si="183"/>
        <v>0</v>
      </c>
      <c r="F370" s="322">
        <f t="shared" si="183"/>
        <v>0</v>
      </c>
      <c r="G370" s="322">
        <f t="shared" si="183"/>
        <v>0</v>
      </c>
      <c r="H370" s="322">
        <f t="shared" si="183"/>
        <v>0</v>
      </c>
      <c r="I370" s="322">
        <f t="shared" si="183"/>
        <v>0</v>
      </c>
      <c r="J370" s="322">
        <f t="shared" si="183"/>
        <v>0</v>
      </c>
      <c r="K370" s="322">
        <f t="shared" si="183"/>
        <v>0</v>
      </c>
      <c r="L370" s="322">
        <f t="shared" si="183"/>
        <v>0</v>
      </c>
      <c r="M370" s="322">
        <f t="shared" si="183"/>
        <v>0</v>
      </c>
      <c r="N370" s="322">
        <f t="shared" si="183"/>
        <v>0</v>
      </c>
    </row>
    <row r="371" spans="1:14">
      <c r="A371" s="302">
        <f>SUM(C371:L371)</f>
        <v>0</v>
      </c>
      <c r="C371" s="322">
        <f>IF(C294&gt;0,0,C294)</f>
        <v>0</v>
      </c>
      <c r="D371" s="322">
        <f t="shared" ref="D371:N371" si="184">IF(D294&gt;0,0,D294)</f>
        <v>0</v>
      </c>
      <c r="E371" s="322">
        <f t="shared" si="184"/>
        <v>0</v>
      </c>
      <c r="F371" s="322">
        <f t="shared" si="184"/>
        <v>0</v>
      </c>
      <c r="G371" s="322">
        <f t="shared" si="184"/>
        <v>0</v>
      </c>
      <c r="H371" s="322">
        <f t="shared" si="184"/>
        <v>0</v>
      </c>
      <c r="I371" s="322">
        <f t="shared" si="184"/>
        <v>0</v>
      </c>
      <c r="J371" s="322">
        <f t="shared" si="184"/>
        <v>0</v>
      </c>
      <c r="K371" s="322">
        <f t="shared" si="184"/>
        <v>0</v>
      </c>
      <c r="L371" s="322">
        <f t="shared" si="184"/>
        <v>0</v>
      </c>
      <c r="M371" s="322">
        <f t="shared" si="184"/>
        <v>0</v>
      </c>
      <c r="N371" s="322">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76"/>
  <sheetViews>
    <sheetView showGridLines="0" zoomScaleNormal="100" workbookViewId="0"/>
  </sheetViews>
  <sheetFormatPr defaultRowHeight="12.75"/>
  <cols>
    <col min="2" max="2" width="30.7109375" customWidth="1"/>
    <col min="3" max="11" width="16.7109375" customWidth="1"/>
    <col min="12" max="12" width="30.7109375" customWidth="1"/>
    <col min="13" max="18" width="16.7109375" customWidth="1"/>
    <col min="19" max="19" width="30.7109375" customWidth="1"/>
    <col min="20" max="21" width="16.7109375" customWidth="1"/>
  </cols>
  <sheetData>
    <row r="1" spans="1:18" s="65" customFormat="1" ht="15">
      <c r="A1" s="64" t="str">
        <f>ModelBanner</f>
        <v>TSM_201819 Publication</v>
      </c>
      <c r="D1" s="712"/>
      <c r="E1" s="712"/>
      <c r="G1" s="712"/>
      <c r="I1" s="712"/>
      <c r="J1" s="712"/>
      <c r="K1" s="712"/>
      <c r="R1" s="712"/>
    </row>
    <row r="2" spans="1:18" s="65" customFormat="1" ht="15">
      <c r="A2" s="940" t="s">
        <v>13</v>
      </c>
      <c r="B2" s="940" t="s">
        <v>30</v>
      </c>
      <c r="D2" s="712"/>
      <c r="E2" s="712"/>
      <c r="G2" s="712"/>
      <c r="I2" s="712"/>
      <c r="J2" s="712"/>
      <c r="K2" s="712"/>
      <c r="R2" s="712"/>
    </row>
    <row r="3" spans="1:18" s="65" customFormat="1" ht="15">
      <c r="A3" s="66"/>
      <c r="D3" s="712"/>
      <c r="E3" s="712"/>
      <c r="G3" s="712"/>
      <c r="I3" s="712"/>
      <c r="J3" s="712"/>
      <c r="K3" s="712"/>
      <c r="R3" s="712"/>
    </row>
    <row r="4" spans="1:18" s="569" customFormat="1">
      <c r="A4" s="570" t="s">
        <v>26</v>
      </c>
      <c r="B4" s="570"/>
      <c r="C4" s="570"/>
      <c r="D4" s="570"/>
      <c r="E4" s="570"/>
      <c r="F4" s="285"/>
      <c r="G4" s="285"/>
      <c r="H4" s="570"/>
      <c r="I4" s="570"/>
      <c r="J4" s="570"/>
      <c r="L4" s="570"/>
    </row>
    <row r="5" spans="1:18" s="568" customFormat="1">
      <c r="A5" s="1167" t="s">
        <v>1678</v>
      </c>
      <c r="B5" s="1168"/>
      <c r="C5" s="1168"/>
      <c r="D5" s="1168"/>
      <c r="E5" s="1168"/>
      <c r="F5" s="1168"/>
      <c r="G5" s="1168"/>
      <c r="H5" s="1168"/>
      <c r="I5" s="1168"/>
      <c r="J5" s="1168"/>
      <c r="K5" s="1168"/>
      <c r="L5" s="1168"/>
      <c r="M5" s="58"/>
    </row>
    <row r="6" spans="1:18" s="565" customFormat="1">
      <c r="A6" s="567" t="s">
        <v>1392</v>
      </c>
      <c r="B6" s="60"/>
      <c r="C6" s="60"/>
      <c r="D6" s="60"/>
      <c r="E6" s="60"/>
      <c r="F6" s="285"/>
      <c r="G6" s="285"/>
      <c r="H6" s="60"/>
      <c r="I6" s="60"/>
      <c r="J6" s="60"/>
      <c r="L6" s="60"/>
      <c r="M6" s="44"/>
    </row>
    <row r="7" spans="1:18" s="565" customFormat="1">
      <c r="A7" s="566" t="s">
        <v>814</v>
      </c>
      <c r="B7" s="567"/>
      <c r="C7" s="60"/>
      <c r="D7" s="60"/>
      <c r="E7" s="60"/>
      <c r="F7" s="285"/>
      <c r="G7" s="285"/>
      <c r="H7" s="60"/>
      <c r="I7" s="60"/>
      <c r="J7" s="60"/>
      <c r="L7" s="60"/>
      <c r="M7" s="44"/>
    </row>
    <row r="8" spans="1:18" s="565" customFormat="1">
      <c r="A8" s="567" t="s">
        <v>24</v>
      </c>
      <c r="B8" s="60"/>
      <c r="C8" s="60"/>
      <c r="D8" s="60"/>
      <c r="E8" s="60"/>
      <c r="F8" s="285"/>
      <c r="G8" s="285"/>
      <c r="H8" s="60"/>
      <c r="I8" s="60"/>
      <c r="J8" s="60"/>
      <c r="L8" s="60"/>
      <c r="M8" s="44"/>
    </row>
    <row r="9" spans="1:18" s="563" customFormat="1">
      <c r="A9" s="564"/>
      <c r="B9" s="72"/>
      <c r="C9" s="47"/>
      <c r="D9" s="711"/>
      <c r="E9" s="711"/>
      <c r="F9" s="47"/>
      <c r="G9" s="711"/>
      <c r="H9" s="71"/>
      <c r="I9" s="71"/>
      <c r="J9" s="71"/>
      <c r="L9" s="47"/>
      <c r="M9" s="48"/>
    </row>
    <row r="10" spans="1:18">
      <c r="A10">
        <f>SUM(A11:A72)</f>
        <v>0</v>
      </c>
    </row>
    <row r="11" spans="1:18" ht="20.25">
      <c r="B11" s="870" t="s">
        <v>1534</v>
      </c>
    </row>
    <row r="12" spans="1:18" ht="15.75">
      <c r="B12" s="77"/>
    </row>
    <row r="13" spans="1:18">
      <c r="A13" s="5"/>
      <c r="B13" s="1064" t="s">
        <v>1673</v>
      </c>
    </row>
    <row r="14" spans="1:18">
      <c r="B14" s="818"/>
    </row>
    <row r="15" spans="1:18">
      <c r="B15" s="818" t="s">
        <v>1204</v>
      </c>
    </row>
    <row r="16" spans="1:18">
      <c r="B16" s="818"/>
    </row>
    <row r="17" spans="2:15" ht="13.15" customHeight="1">
      <c r="B17" s="821" t="s">
        <v>1284</v>
      </c>
      <c r="C17" s="768"/>
      <c r="D17" s="768"/>
      <c r="E17" s="768"/>
      <c r="F17" s="768"/>
      <c r="G17" s="768"/>
      <c r="H17" s="768"/>
      <c r="I17" s="768"/>
      <c r="J17" s="768"/>
      <c r="K17" s="768"/>
      <c r="L17" s="768"/>
      <c r="M17" s="768"/>
      <c r="N17" s="768"/>
      <c r="O17" s="768"/>
    </row>
    <row r="18" spans="2:15" ht="13.15" customHeight="1">
      <c r="B18" s="768"/>
      <c r="C18" s="768"/>
      <c r="D18" s="768"/>
      <c r="E18" s="768"/>
      <c r="F18" s="768"/>
      <c r="G18" s="768"/>
      <c r="H18" s="768"/>
      <c r="I18" s="768"/>
      <c r="J18" s="768"/>
      <c r="K18" s="768"/>
      <c r="L18" s="768"/>
      <c r="M18" s="768"/>
      <c r="N18" s="768"/>
      <c r="O18" s="768"/>
    </row>
    <row r="19" spans="2:15" ht="12.75" customHeight="1">
      <c r="B19" s="1064" t="s">
        <v>1674</v>
      </c>
      <c r="C19" s="769"/>
      <c r="D19" s="769"/>
      <c r="E19" s="769"/>
      <c r="F19" s="769"/>
      <c r="G19" s="769"/>
      <c r="H19" s="769"/>
      <c r="I19" s="769"/>
      <c r="J19" s="769"/>
      <c r="K19" s="769"/>
      <c r="L19" s="769"/>
      <c r="M19" s="769"/>
      <c r="N19" s="769"/>
      <c r="O19" s="769"/>
    </row>
    <row r="20" spans="2:15">
      <c r="B20" s="810"/>
      <c r="C20" s="810"/>
      <c r="D20" s="810"/>
      <c r="E20" s="810"/>
      <c r="F20" s="810"/>
      <c r="G20" s="835"/>
      <c r="H20" s="810"/>
      <c r="I20" s="810"/>
      <c r="J20" s="810"/>
      <c r="K20" s="810"/>
      <c r="L20" s="810"/>
      <c r="M20" s="810"/>
      <c r="N20" s="810"/>
      <c r="O20" s="810"/>
    </row>
    <row r="21" spans="2:15">
      <c r="B21" s="818" t="s">
        <v>1204</v>
      </c>
      <c r="C21" s="810"/>
      <c r="D21" s="810"/>
      <c r="E21" s="810"/>
      <c r="F21" s="810"/>
      <c r="G21" s="835"/>
      <c r="H21" s="810"/>
      <c r="I21" s="810"/>
      <c r="J21" s="810"/>
      <c r="K21" s="810"/>
      <c r="L21" s="810"/>
      <c r="M21" s="810"/>
      <c r="N21" s="810"/>
      <c r="O21" s="810"/>
    </row>
    <row r="22" spans="2:15">
      <c r="B22" s="810"/>
      <c r="C22" s="810"/>
      <c r="D22" s="810"/>
      <c r="E22" s="810"/>
      <c r="F22" s="810"/>
      <c r="G22" s="835"/>
      <c r="H22" s="810"/>
      <c r="I22" s="810"/>
      <c r="J22" s="810"/>
      <c r="K22" s="810"/>
      <c r="L22" s="810"/>
      <c r="M22" s="810"/>
      <c r="N22" s="810"/>
      <c r="O22" s="810"/>
    </row>
    <row r="23" spans="2:15">
      <c r="B23" s="822" t="s">
        <v>1227</v>
      </c>
      <c r="C23" s="810"/>
      <c r="D23" s="810"/>
      <c r="E23" s="810"/>
      <c r="F23" s="810"/>
      <c r="G23" s="835"/>
      <c r="H23" s="810"/>
      <c r="I23" s="810"/>
      <c r="J23" s="810"/>
      <c r="K23" s="810"/>
      <c r="L23" s="810"/>
      <c r="M23" s="810"/>
      <c r="N23" s="810"/>
      <c r="O23" s="810"/>
    </row>
    <row r="24" spans="2:15">
      <c r="B24" s="810"/>
      <c r="C24" s="810"/>
      <c r="D24" s="810"/>
      <c r="E24" s="810"/>
      <c r="F24" s="810"/>
      <c r="G24" s="835"/>
      <c r="H24" s="810"/>
      <c r="I24" s="810"/>
      <c r="J24" s="810"/>
      <c r="K24" s="810"/>
      <c r="L24" s="810"/>
      <c r="M24" s="810"/>
      <c r="N24" s="810"/>
      <c r="O24" s="810"/>
    </row>
    <row r="25" spans="2:15">
      <c r="B25" s="818" t="s">
        <v>1204</v>
      </c>
      <c r="C25" s="810"/>
      <c r="D25" s="810"/>
      <c r="E25" s="810"/>
      <c r="F25" s="810"/>
      <c r="G25" s="835"/>
      <c r="H25" s="810"/>
      <c r="I25" s="810"/>
      <c r="J25" s="810"/>
      <c r="K25" s="810"/>
      <c r="L25" s="810"/>
      <c r="M25" s="810"/>
      <c r="N25" s="810"/>
      <c r="O25" s="810"/>
    </row>
    <row r="26" spans="2:15">
      <c r="B26" s="818"/>
      <c r="C26" s="981"/>
      <c r="D26" s="981"/>
      <c r="E26" s="981"/>
      <c r="F26" s="981"/>
      <c r="G26" s="981"/>
      <c r="H26" s="981"/>
      <c r="I26" s="981"/>
      <c r="J26" s="981"/>
      <c r="K26" s="981"/>
      <c r="L26" s="981"/>
      <c r="M26" s="981"/>
      <c r="N26" s="981"/>
      <c r="O26" s="981"/>
    </row>
    <row r="27" spans="2:15" ht="13.15" customHeight="1">
      <c r="B27" s="1115" t="s">
        <v>1727</v>
      </c>
      <c r="C27" s="1114"/>
      <c r="D27" s="1114"/>
      <c r="E27" s="1114"/>
      <c r="F27" s="1114"/>
      <c r="G27" s="1114"/>
      <c r="H27" s="1114"/>
      <c r="I27" s="1114"/>
      <c r="J27" s="1114"/>
      <c r="K27" s="1114"/>
      <c r="L27" s="995"/>
      <c r="M27" s="995"/>
      <c r="N27" s="995"/>
      <c r="O27" s="995"/>
    </row>
    <row r="28" spans="2:15" ht="13.15" customHeight="1">
      <c r="B28" s="1114"/>
      <c r="C28" s="1114"/>
      <c r="D28" s="1114"/>
      <c r="E28" s="1114"/>
      <c r="F28" s="1114"/>
      <c r="G28" s="1114"/>
      <c r="H28" s="1114"/>
      <c r="I28" s="1114"/>
      <c r="J28" s="1114"/>
      <c r="K28" s="1114"/>
      <c r="L28" s="981"/>
      <c r="M28" s="981"/>
      <c r="N28" s="981"/>
      <c r="O28" s="981"/>
    </row>
    <row r="29" spans="2:15">
      <c r="B29" s="818" t="s">
        <v>1204</v>
      </c>
      <c r="C29" s="810"/>
      <c r="D29" s="810"/>
      <c r="E29" s="810"/>
      <c r="F29" s="810"/>
      <c r="G29" s="835"/>
      <c r="H29" s="810"/>
      <c r="I29" s="810"/>
      <c r="J29" s="810"/>
      <c r="K29" s="810"/>
      <c r="L29" s="810"/>
      <c r="M29" s="810"/>
      <c r="N29" s="810"/>
      <c r="O29" s="810"/>
    </row>
    <row r="31" spans="2:15" ht="27.75" customHeight="1">
      <c r="B31" s="819" t="s">
        <v>1257</v>
      </c>
    </row>
    <row r="32" spans="2:15">
      <c r="B32" s="553"/>
      <c r="C32" s="553"/>
      <c r="D32" s="693"/>
      <c r="E32" s="693"/>
      <c r="F32" s="553"/>
      <c r="G32" s="835"/>
      <c r="H32" s="553"/>
      <c r="I32" s="810"/>
      <c r="J32" s="810"/>
      <c r="L32" s="553"/>
    </row>
    <row r="33" spans="1:15" s="2" customFormat="1" ht="13.15" customHeight="1">
      <c r="B33" s="1169" t="s">
        <v>1728</v>
      </c>
      <c r="C33" s="1170"/>
      <c r="D33" s="1170"/>
      <c r="E33" s="1170"/>
      <c r="F33" s="1170"/>
      <c r="G33" s="1170"/>
      <c r="H33" s="1170"/>
      <c r="I33" s="1170"/>
      <c r="J33" s="1170"/>
      <c r="K33" s="1170"/>
      <c r="L33" s="1170"/>
      <c r="M33" s="823"/>
      <c r="N33" s="823"/>
      <c r="O33" s="823"/>
    </row>
    <row r="34" spans="1:15" s="2" customFormat="1" ht="29.65" customHeight="1">
      <c r="B34" s="1170"/>
      <c r="C34" s="1170"/>
      <c r="D34" s="1170"/>
      <c r="E34" s="1170"/>
      <c r="F34" s="1170"/>
      <c r="G34" s="1170"/>
      <c r="H34" s="1170"/>
      <c r="I34" s="1170"/>
      <c r="J34" s="1170"/>
      <c r="K34" s="1170"/>
      <c r="L34" s="1170"/>
      <c r="M34" s="823"/>
      <c r="N34" s="823"/>
      <c r="O34" s="823"/>
    </row>
    <row r="35" spans="1:15" s="2" customFormat="1" ht="13.15" customHeight="1">
      <c r="B35" s="919"/>
      <c r="C35" s="919"/>
      <c r="D35" s="919"/>
      <c r="E35" s="919"/>
      <c r="F35" s="919"/>
      <c r="G35" s="919"/>
      <c r="H35" s="919"/>
      <c r="I35" s="919"/>
      <c r="J35" s="919"/>
      <c r="K35" s="919"/>
      <c r="L35" s="919"/>
      <c r="M35" s="823"/>
      <c r="N35" s="823"/>
      <c r="O35" s="823"/>
    </row>
    <row r="36" spans="1:15" s="2" customFormat="1" ht="15.75">
      <c r="B36" s="877" t="s">
        <v>1258</v>
      </c>
      <c r="C36" s="876">
        <v>1</v>
      </c>
      <c r="D36" s="878" t="s">
        <v>1259</v>
      </c>
      <c r="E36" s="823"/>
      <c r="F36" s="823"/>
      <c r="G36" s="823"/>
      <c r="H36" s="823"/>
      <c r="I36" s="823"/>
      <c r="J36" s="823"/>
      <c r="K36" s="823"/>
      <c r="L36" s="823"/>
      <c r="M36" s="823"/>
      <c r="N36" s="823"/>
      <c r="O36" s="823"/>
    </row>
    <row r="37" spans="1:15" s="2" customFormat="1" ht="15.75">
      <c r="B37" s="877"/>
      <c r="C37" s="876"/>
      <c r="D37" s="878"/>
      <c r="E37" s="823"/>
      <c r="F37" s="823"/>
      <c r="G37" s="823"/>
      <c r="H37" s="823"/>
      <c r="I37" s="823"/>
      <c r="J37" s="823"/>
      <c r="K37" s="823"/>
      <c r="L37" s="823"/>
      <c r="M37" s="823"/>
      <c r="N37" s="823"/>
      <c r="O37" s="823"/>
    </row>
    <row r="38" spans="1:15">
      <c r="B38" s="1177" t="s">
        <v>1675</v>
      </c>
      <c r="C38" s="1178"/>
      <c r="D38" s="1178"/>
      <c r="E38" s="1178"/>
      <c r="F38" s="1178"/>
      <c r="G38" s="1178"/>
      <c r="H38" s="1178"/>
      <c r="I38" s="1178"/>
      <c r="J38" s="1178"/>
      <c r="K38" s="1178"/>
      <c r="L38" s="1178"/>
    </row>
    <row r="39" spans="1:15">
      <c r="B39" s="1178"/>
      <c r="C39" s="1178"/>
      <c r="D39" s="1178"/>
      <c r="E39" s="1178"/>
      <c r="F39" s="1178"/>
      <c r="G39" s="1178"/>
      <c r="H39" s="1178"/>
      <c r="I39" s="1178"/>
      <c r="J39" s="1178"/>
      <c r="K39" s="1178"/>
      <c r="L39" s="1178"/>
    </row>
    <row r="40" spans="1:15" ht="12.75" customHeight="1">
      <c r="B40" s="869"/>
      <c r="C40" s="862"/>
      <c r="D40" s="862"/>
      <c r="E40" s="862"/>
      <c r="F40" s="862"/>
      <c r="G40" s="862"/>
      <c r="H40" s="862"/>
      <c r="I40" s="862"/>
      <c r="J40" s="862"/>
      <c r="L40" s="862"/>
    </row>
    <row r="41" spans="1:15" s="476" customFormat="1" ht="55.9" customHeight="1">
      <c r="B41" s="1164" t="s">
        <v>1205</v>
      </c>
      <c r="C41" s="1173" t="s">
        <v>1635</v>
      </c>
      <c r="D41" s="1174"/>
      <c r="E41" s="1171" t="s">
        <v>1633</v>
      </c>
      <c r="F41" s="1171" t="s">
        <v>1634</v>
      </c>
      <c r="G41" s="1179" t="s">
        <v>1677</v>
      </c>
      <c r="H41" s="1174"/>
      <c r="I41" s="1173" t="s">
        <v>1636</v>
      </c>
      <c r="J41" s="1180"/>
      <c r="K41" s="1162" t="s">
        <v>1676</v>
      </c>
      <c r="L41" s="1164" t="s">
        <v>1205</v>
      </c>
    </row>
    <row r="42" spans="1:15" s="476" customFormat="1" ht="39" customHeight="1">
      <c r="B42" s="1164"/>
      <c r="C42" s="1165" t="s">
        <v>1316</v>
      </c>
      <c r="D42" s="1165" t="s">
        <v>1318</v>
      </c>
      <c r="E42" s="1171"/>
      <c r="F42" s="1171"/>
      <c r="G42" s="1175" t="s">
        <v>1317</v>
      </c>
      <c r="H42" s="1165" t="s">
        <v>1318</v>
      </c>
      <c r="I42" s="1172" t="s">
        <v>1317</v>
      </c>
      <c r="J42" s="1165" t="s">
        <v>1318</v>
      </c>
      <c r="K42" s="1163"/>
      <c r="L42" s="1164"/>
    </row>
    <row r="43" spans="1:15" s="476" customFormat="1" ht="13.15" customHeight="1">
      <c r="A43" s="207"/>
      <c r="B43" s="1164"/>
      <c r="C43" s="1166"/>
      <c r="D43" s="1166"/>
      <c r="E43" s="1171"/>
      <c r="F43" s="1171"/>
      <c r="G43" s="1176"/>
      <c r="H43" s="1166"/>
      <c r="I43" s="1172"/>
      <c r="J43" s="1166"/>
      <c r="K43" s="1163"/>
      <c r="L43" s="1164"/>
    </row>
    <row r="44" spans="1:15" s="476" customFormat="1" ht="15" customHeight="1">
      <c r="A44" s="1116"/>
      <c r="B44" s="848" t="str">
        <f>Conversion_rates_table!B22</f>
        <v>Primary</v>
      </c>
      <c r="C44" s="276">
        <f>Conversion_rates_table!C253</f>
        <v>12551.825169701613</v>
      </c>
      <c r="D44" s="849">
        <v>12551.825169701613</v>
      </c>
      <c r="E44" s="405">
        <v>12120.954810176481</v>
      </c>
      <c r="F44" s="842">
        <f>E44*$C$36</f>
        <v>12120.954810176481</v>
      </c>
      <c r="G44" s="276">
        <f>C44</f>
        <v>12551.825169701613</v>
      </c>
      <c r="H44" s="276">
        <f>D44</f>
        <v>12551.825169701613</v>
      </c>
      <c r="I44" s="384" t="b">
        <f t="shared" ref="I44:I63" si="0">IF(G44=$F44, TRUE, FALSE)</f>
        <v>0</v>
      </c>
      <c r="J44" s="384" t="b">
        <f t="shared" ref="J44:J63" si="1">IF(H44=$F44, TRUE, FALSE)</f>
        <v>0</v>
      </c>
      <c r="K44" s="846">
        <f t="shared" ref="K44:K63" si="2">H44</f>
        <v>12551.825169701613</v>
      </c>
      <c r="L44" s="850" t="str">
        <f t="shared" ref="L44:L64" si="3">B44</f>
        <v>Primary</v>
      </c>
      <c r="M44" s="1067"/>
    </row>
    <row r="45" spans="1:15" s="476" customFormat="1" ht="15" customHeight="1">
      <c r="A45" s="1116"/>
      <c r="B45" s="848" t="str">
        <f>Conversion_rates_table!B23</f>
        <v>Art &amp; Design</v>
      </c>
      <c r="C45" s="276">
        <f>Conversion_rates_table!C254</f>
        <v>645.55239319127406</v>
      </c>
      <c r="D45" s="849">
        <v>645.55239319127406</v>
      </c>
      <c r="E45" s="405">
        <v>577.09697709165653</v>
      </c>
      <c r="F45" s="871">
        <f t="shared" ref="F45:F63" si="4">E45*$C$36</f>
        <v>577.09697709165653</v>
      </c>
      <c r="G45" s="276">
        <f>C45</f>
        <v>645.55239319127406</v>
      </c>
      <c r="H45" s="276">
        <f>D45</f>
        <v>645.55239319127406</v>
      </c>
      <c r="I45" s="384" t="b">
        <f t="shared" si="0"/>
        <v>0</v>
      </c>
      <c r="J45" s="384" t="b">
        <f t="shared" si="1"/>
        <v>0</v>
      </c>
      <c r="K45" s="846">
        <f t="shared" si="2"/>
        <v>645.55239319127406</v>
      </c>
      <c r="L45" s="850" t="str">
        <f t="shared" si="3"/>
        <v>Art &amp; Design</v>
      </c>
      <c r="M45" s="1067"/>
      <c r="N45" s="1065"/>
      <c r="O45" s="1066"/>
    </row>
    <row r="46" spans="1:15" s="476" customFormat="1" ht="15" customHeight="1">
      <c r="A46" s="1116"/>
      <c r="B46" s="852" t="str">
        <f>Conversion_rates_table!B24</f>
        <v>Biology</v>
      </c>
      <c r="C46" s="276">
        <f>Conversion_rates_table!C255</f>
        <v>1179.0323883824035</v>
      </c>
      <c r="D46" s="849">
        <v>1179.0323883824035</v>
      </c>
      <c r="E46" s="405">
        <v>1187.7114497941952</v>
      </c>
      <c r="F46" s="871">
        <f t="shared" si="4"/>
        <v>1187.7114497941952</v>
      </c>
      <c r="G46" s="851">
        <f>IF(C46&lt;$F46,$F46,C46)</f>
        <v>1187.7114497941952</v>
      </c>
      <c r="H46" s="851">
        <f>IF(D46&lt;$F46,$F46,D46)</f>
        <v>1187.7114497941952</v>
      </c>
      <c r="I46" s="384" t="b">
        <f t="shared" si="0"/>
        <v>1</v>
      </c>
      <c r="J46" s="384" t="b">
        <f t="shared" si="1"/>
        <v>1</v>
      </c>
      <c r="K46" s="846">
        <f t="shared" si="2"/>
        <v>1187.7114497941952</v>
      </c>
      <c r="L46" s="852" t="str">
        <f t="shared" si="3"/>
        <v>Biology</v>
      </c>
      <c r="M46" s="1067"/>
      <c r="N46" s="1068"/>
      <c r="O46" s="1069"/>
    </row>
    <row r="47" spans="1:15" s="476" customFormat="1" ht="15" customHeight="1">
      <c r="A47" s="1116"/>
      <c r="B47" s="848" t="str">
        <f>Conversion_rates_table!B25</f>
        <v>Business Studies</v>
      </c>
      <c r="C47" s="276">
        <f>Conversion_rates_table!C256</f>
        <v>240.94666043336403</v>
      </c>
      <c r="D47" s="849">
        <v>240.94666043336403</v>
      </c>
      <c r="E47" s="405">
        <v>217.57177227814842</v>
      </c>
      <c r="F47" s="871">
        <f t="shared" si="4"/>
        <v>217.57177227814842</v>
      </c>
      <c r="G47" s="276">
        <f>C47</f>
        <v>240.94666043336403</v>
      </c>
      <c r="H47" s="276">
        <f>D47</f>
        <v>240.94666043336403</v>
      </c>
      <c r="I47" s="384" t="b">
        <f t="shared" si="0"/>
        <v>0</v>
      </c>
      <c r="J47" s="384" t="b">
        <f t="shared" si="1"/>
        <v>0</v>
      </c>
      <c r="K47" s="846">
        <f t="shared" si="2"/>
        <v>240.94666043336403</v>
      </c>
      <c r="L47" s="850" t="str">
        <f t="shared" si="3"/>
        <v>Business Studies</v>
      </c>
      <c r="M47" s="1067"/>
      <c r="N47" s="1068"/>
      <c r="O47" s="1069"/>
    </row>
    <row r="48" spans="1:15" s="476" customFormat="1" ht="15" customHeight="1">
      <c r="A48" s="1116"/>
      <c r="B48" s="852" t="str">
        <f>Conversion_rates_table!B26</f>
        <v>Chemistry</v>
      </c>
      <c r="C48" s="276">
        <f>Conversion_rates_table!C257</f>
        <v>1024.4838177583074</v>
      </c>
      <c r="D48" s="849">
        <v>1024.4838177583074</v>
      </c>
      <c r="E48" s="405">
        <v>1053.4775422401942</v>
      </c>
      <c r="F48" s="871">
        <f t="shared" si="4"/>
        <v>1053.4775422401942</v>
      </c>
      <c r="G48" s="851">
        <f t="shared" ref="G48:H50" si="5">IF(C48&lt;$F48,$F48,C48)</f>
        <v>1053.4775422401942</v>
      </c>
      <c r="H48" s="851">
        <f t="shared" si="5"/>
        <v>1053.4775422401942</v>
      </c>
      <c r="I48" s="384" t="b">
        <f t="shared" si="0"/>
        <v>1</v>
      </c>
      <c r="J48" s="384" t="b">
        <f t="shared" si="1"/>
        <v>1</v>
      </c>
      <c r="K48" s="846">
        <f t="shared" si="2"/>
        <v>1053.4775422401942</v>
      </c>
      <c r="L48" s="852" t="str">
        <f t="shared" si="3"/>
        <v>Chemistry</v>
      </c>
      <c r="M48" s="1067"/>
      <c r="N48" s="1068"/>
      <c r="O48" s="1069"/>
    </row>
    <row r="49" spans="1:15" s="476" customFormat="1" ht="15" customHeight="1">
      <c r="A49" s="1116"/>
      <c r="B49" s="852" t="str">
        <f>Conversion_rates_table!B27</f>
        <v>Classics</v>
      </c>
      <c r="C49" s="276">
        <f>Conversion_rates_table!C258</f>
        <v>28.859880372993395</v>
      </c>
      <c r="D49" s="849">
        <v>28.859880372993395</v>
      </c>
      <c r="E49" s="405">
        <v>68.619515583024508</v>
      </c>
      <c r="F49" s="871">
        <f t="shared" si="4"/>
        <v>68.619515583024508</v>
      </c>
      <c r="G49" s="851">
        <f t="shared" si="5"/>
        <v>68.619515583024508</v>
      </c>
      <c r="H49" s="851">
        <f t="shared" si="5"/>
        <v>68.619515583024508</v>
      </c>
      <c r="I49" s="384" t="b">
        <f t="shared" si="0"/>
        <v>1</v>
      </c>
      <c r="J49" s="384" t="b">
        <f t="shared" si="1"/>
        <v>1</v>
      </c>
      <c r="K49" s="846">
        <f t="shared" si="2"/>
        <v>68.619515583024508</v>
      </c>
      <c r="L49" s="852" t="str">
        <f t="shared" si="3"/>
        <v>Classics</v>
      </c>
      <c r="M49" s="1067"/>
      <c r="N49" s="1068"/>
      <c r="O49" s="1069"/>
    </row>
    <row r="50" spans="1:15" s="476" customFormat="1" ht="15" customHeight="1">
      <c r="A50" s="1116"/>
      <c r="B50" s="852" t="str">
        <f>Conversion_rates_table!B28</f>
        <v>Computing</v>
      </c>
      <c r="C50" s="276">
        <f>Conversion_rates_table!C259</f>
        <v>620.44026560338978</v>
      </c>
      <c r="D50" s="849">
        <v>620.44026560338978</v>
      </c>
      <c r="E50" s="405">
        <v>722.77160624604142</v>
      </c>
      <c r="F50" s="901">
        <f t="shared" si="4"/>
        <v>722.77160624604142</v>
      </c>
      <c r="G50" s="851">
        <f t="shared" si="5"/>
        <v>722.77160624604142</v>
      </c>
      <c r="H50" s="851">
        <f t="shared" si="5"/>
        <v>722.77160624604142</v>
      </c>
      <c r="I50" s="384" t="b">
        <f t="shared" si="0"/>
        <v>1</v>
      </c>
      <c r="J50" s="384" t="b">
        <f t="shared" si="1"/>
        <v>1</v>
      </c>
      <c r="K50" s="846">
        <f t="shared" si="2"/>
        <v>722.77160624604142</v>
      </c>
      <c r="L50" s="852" t="str">
        <f t="shared" si="3"/>
        <v>Computing</v>
      </c>
      <c r="M50" s="1104"/>
      <c r="N50" s="1068"/>
      <c r="O50" s="1069"/>
    </row>
    <row r="51" spans="1:15" s="476" customFormat="1" ht="15" customHeight="1">
      <c r="A51" s="1116"/>
      <c r="B51" s="848" t="str">
        <f>Conversion_rates_table!B29</f>
        <v>Design &amp; Technology</v>
      </c>
      <c r="C51" s="276">
        <f>Conversion_rates_table!C260</f>
        <v>948.59576499118168</v>
      </c>
      <c r="D51" s="849">
        <v>948.59576499118168</v>
      </c>
      <c r="E51" s="405">
        <v>750.58903626833126</v>
      </c>
      <c r="F51" s="871">
        <f t="shared" si="4"/>
        <v>750.58903626833126</v>
      </c>
      <c r="G51" s="276">
        <f>C51</f>
        <v>948.59576499118168</v>
      </c>
      <c r="H51" s="276">
        <f>D51</f>
        <v>948.59576499118168</v>
      </c>
      <c r="I51" s="384" t="b">
        <f t="shared" si="0"/>
        <v>0</v>
      </c>
      <c r="J51" s="384" t="b">
        <f t="shared" si="1"/>
        <v>0</v>
      </c>
      <c r="K51" s="846">
        <f t="shared" si="2"/>
        <v>948.59576499118168</v>
      </c>
      <c r="L51" s="850" t="str">
        <f t="shared" si="3"/>
        <v>Design &amp; Technology</v>
      </c>
      <c r="M51" s="1067"/>
      <c r="N51" s="1068"/>
      <c r="O51" s="1069"/>
    </row>
    <row r="52" spans="1:15" s="476" customFormat="1" ht="15" customHeight="1">
      <c r="A52" s="1116"/>
      <c r="B52" s="848" t="str">
        <f>Conversion_rates_table!B30</f>
        <v>Drama</v>
      </c>
      <c r="C52" s="276">
        <f>Conversion_rates_table!C261</f>
        <v>357.1831760371598</v>
      </c>
      <c r="D52" s="849">
        <v>357.1831760371598</v>
      </c>
      <c r="E52" s="405">
        <v>345.11470491922063</v>
      </c>
      <c r="F52" s="871">
        <f t="shared" si="4"/>
        <v>345.11470491922063</v>
      </c>
      <c r="G52" s="276">
        <f>C52</f>
        <v>357.1831760371598</v>
      </c>
      <c r="H52" s="276">
        <f>D52</f>
        <v>357.1831760371598</v>
      </c>
      <c r="I52" s="384" t="b">
        <f t="shared" si="0"/>
        <v>0</v>
      </c>
      <c r="J52" s="384" t="b">
        <f t="shared" si="1"/>
        <v>0</v>
      </c>
      <c r="K52" s="846">
        <f t="shared" si="2"/>
        <v>357.1831760371598</v>
      </c>
      <c r="L52" s="850" t="str">
        <f t="shared" si="3"/>
        <v>Drama</v>
      </c>
      <c r="M52" s="1067"/>
      <c r="N52" s="1068"/>
      <c r="O52" s="1069"/>
    </row>
    <row r="53" spans="1:15" s="476" customFormat="1" ht="15" customHeight="1">
      <c r="A53" s="1116"/>
      <c r="B53" s="852" t="str">
        <f>Conversion_rates_table!B31</f>
        <v>English</v>
      </c>
      <c r="C53" s="276">
        <f>Conversion_rates_table!C262</f>
        <v>2558.1893120078576</v>
      </c>
      <c r="D53" s="849">
        <v>2558.1893120078576</v>
      </c>
      <c r="E53" s="405">
        <v>2426.2873096074586</v>
      </c>
      <c r="F53" s="871">
        <f t="shared" si="4"/>
        <v>2426.2873096074586</v>
      </c>
      <c r="G53" s="851">
        <f>IF(C53&lt;$F53,$F53,C53)</f>
        <v>2558.1893120078576</v>
      </c>
      <c r="H53" s="851">
        <f>IF(D53&lt;$F53,$F53,D53)</f>
        <v>2558.1893120078576</v>
      </c>
      <c r="I53" s="384" t="b">
        <f t="shared" si="0"/>
        <v>0</v>
      </c>
      <c r="J53" s="384" t="b">
        <f t="shared" si="1"/>
        <v>0</v>
      </c>
      <c r="K53" s="846">
        <f t="shared" si="2"/>
        <v>2558.1893120078576</v>
      </c>
      <c r="L53" s="852" t="str">
        <f t="shared" si="3"/>
        <v>English</v>
      </c>
      <c r="M53" s="1067"/>
      <c r="N53" s="1068"/>
      <c r="O53" s="1069"/>
    </row>
    <row r="54" spans="1:15" s="476" customFormat="1" ht="15" customHeight="1">
      <c r="A54" s="1116"/>
      <c r="B54" s="848" t="str">
        <f>Conversion_rates_table!B32</f>
        <v>Food</v>
      </c>
      <c r="C54" s="276">
        <f>Conversion_rates_table!C263</f>
        <v>218.0656961519251</v>
      </c>
      <c r="D54" s="849">
        <v>218.0656961519251</v>
      </c>
      <c r="E54" s="405">
        <v>166.33410185907249</v>
      </c>
      <c r="F54" s="871">
        <f t="shared" si="4"/>
        <v>166.33410185907249</v>
      </c>
      <c r="G54" s="276">
        <f>C54</f>
        <v>218.0656961519251</v>
      </c>
      <c r="H54" s="276">
        <f>D54</f>
        <v>218.0656961519251</v>
      </c>
      <c r="I54" s="384" t="b">
        <f t="shared" si="0"/>
        <v>0</v>
      </c>
      <c r="J54" s="384" t="b">
        <f t="shared" si="1"/>
        <v>0</v>
      </c>
      <c r="K54" s="846">
        <f t="shared" si="2"/>
        <v>218.0656961519251</v>
      </c>
      <c r="L54" s="850" t="str">
        <f t="shared" si="3"/>
        <v>Food</v>
      </c>
      <c r="M54" s="1067"/>
      <c r="N54" s="1068"/>
      <c r="O54" s="1069"/>
    </row>
    <row r="55" spans="1:15" s="476" customFormat="1" ht="15" customHeight="1">
      <c r="A55" s="1116"/>
      <c r="B55" s="852" t="str">
        <f>Conversion_rates_table!B33</f>
        <v>Geography</v>
      </c>
      <c r="C55" s="276">
        <f>Conversion_rates_table!C264</f>
        <v>1238.3641732283722</v>
      </c>
      <c r="D55" s="849">
        <v>1238.3641732283722</v>
      </c>
      <c r="E55" s="405">
        <v>1531.1469289044046</v>
      </c>
      <c r="F55" s="871">
        <f t="shared" si="4"/>
        <v>1531.1469289044046</v>
      </c>
      <c r="G55" s="851">
        <f t="shared" ref="G55:H57" si="6">IF(C55&lt;$F55,$F55,C55)</f>
        <v>1531.1469289044046</v>
      </c>
      <c r="H55" s="851">
        <f t="shared" si="6"/>
        <v>1531.1469289044046</v>
      </c>
      <c r="I55" s="384" t="b">
        <f t="shared" si="0"/>
        <v>1</v>
      </c>
      <c r="J55" s="384" t="b">
        <f t="shared" si="1"/>
        <v>1</v>
      </c>
      <c r="K55" s="846">
        <f t="shared" si="2"/>
        <v>1531.1469289044046</v>
      </c>
      <c r="L55" s="852" t="str">
        <f t="shared" si="3"/>
        <v>Geography</v>
      </c>
      <c r="M55" s="1067"/>
      <c r="N55" s="1068"/>
      <c r="O55" s="1069"/>
    </row>
    <row r="56" spans="1:15" s="476" customFormat="1" ht="15" customHeight="1">
      <c r="A56" s="1116"/>
      <c r="B56" s="852" t="str">
        <f>Conversion_rates_table!B34</f>
        <v>History</v>
      </c>
      <c r="C56" s="276">
        <f>Conversion_rates_table!C265</f>
        <v>1179.8755448527156</v>
      </c>
      <c r="D56" s="849">
        <v>1179.8755448527156</v>
      </c>
      <c r="E56" s="405">
        <v>1159.7619052471459</v>
      </c>
      <c r="F56" s="871">
        <f t="shared" si="4"/>
        <v>1159.7619052471459</v>
      </c>
      <c r="G56" s="851">
        <f t="shared" si="6"/>
        <v>1179.8755448527156</v>
      </c>
      <c r="H56" s="851">
        <f t="shared" si="6"/>
        <v>1179.8755448527156</v>
      </c>
      <c r="I56" s="384" t="b">
        <f t="shared" si="0"/>
        <v>0</v>
      </c>
      <c r="J56" s="384" t="b">
        <f t="shared" si="1"/>
        <v>0</v>
      </c>
      <c r="K56" s="846">
        <f t="shared" si="2"/>
        <v>1179.8755448527156</v>
      </c>
      <c r="L56" s="852" t="str">
        <f t="shared" si="3"/>
        <v>History</v>
      </c>
      <c r="M56" s="1067"/>
      <c r="N56" s="1068"/>
      <c r="O56" s="1069"/>
    </row>
    <row r="57" spans="1:15" s="476" customFormat="1" ht="15" customHeight="1">
      <c r="A57" s="1116"/>
      <c r="B57" s="852" t="str">
        <f>Conversion_rates_table!B35</f>
        <v>Mathematics</v>
      </c>
      <c r="C57" s="276">
        <f>Conversion_rates_table!C266</f>
        <v>3115.5258268618177</v>
      </c>
      <c r="D57" s="849">
        <v>3115.5258268618177</v>
      </c>
      <c r="E57" s="405">
        <v>3102.4919179919257</v>
      </c>
      <c r="F57" s="871">
        <f t="shared" si="4"/>
        <v>3102.4919179919257</v>
      </c>
      <c r="G57" s="851">
        <f t="shared" si="6"/>
        <v>3115.5258268618177</v>
      </c>
      <c r="H57" s="851">
        <f t="shared" si="6"/>
        <v>3115.5258268618177</v>
      </c>
      <c r="I57" s="384" t="b">
        <f t="shared" si="0"/>
        <v>0</v>
      </c>
      <c r="J57" s="384" t="b">
        <f t="shared" si="1"/>
        <v>0</v>
      </c>
      <c r="K57" s="846">
        <f t="shared" si="2"/>
        <v>3115.5258268618177</v>
      </c>
      <c r="L57" s="852" t="str">
        <f t="shared" si="3"/>
        <v>Mathematics</v>
      </c>
      <c r="M57" s="1067"/>
      <c r="N57" s="1068"/>
      <c r="O57" s="1069"/>
    </row>
    <row r="58" spans="1:15" s="476" customFormat="1" ht="15" customHeight="1">
      <c r="A58" s="1116"/>
      <c r="B58" s="852" t="str">
        <f>Conversion_rates_table!B36</f>
        <v>Modern Foreign Languages</v>
      </c>
      <c r="C58" s="276">
        <f>Conversion_rates_table!C267</f>
        <v>1600.3477250366259</v>
      </c>
      <c r="D58" s="849">
        <v>1600.3477250366259</v>
      </c>
      <c r="E58" s="405">
        <v>1514.3142939148067</v>
      </c>
      <c r="F58" s="871">
        <f t="shared" si="4"/>
        <v>1514.3142939148067</v>
      </c>
      <c r="G58" s="851">
        <f>IF(C58&lt;$F58,$F58,C58)</f>
        <v>1600.3477250366259</v>
      </c>
      <c r="H58" s="851">
        <f>IF(D58&lt;$F58,$F58,D58)</f>
        <v>1600.3477250366259</v>
      </c>
      <c r="I58" s="384" t="b">
        <f t="shared" si="0"/>
        <v>0</v>
      </c>
      <c r="J58" s="384" t="b">
        <f t="shared" si="1"/>
        <v>0</v>
      </c>
      <c r="K58" s="846">
        <f t="shared" si="2"/>
        <v>1600.3477250366259</v>
      </c>
      <c r="L58" s="868" t="str">
        <f t="shared" si="3"/>
        <v>Modern Foreign Languages</v>
      </c>
      <c r="M58" s="1067"/>
      <c r="N58" s="1068"/>
      <c r="O58" s="1069"/>
    </row>
    <row r="59" spans="1:15" s="476" customFormat="1" ht="15" customHeight="1">
      <c r="A59" s="1116"/>
      <c r="B59" s="848" t="str">
        <f>Conversion_rates_table!B37</f>
        <v>Music</v>
      </c>
      <c r="C59" s="276">
        <f>Conversion_rates_table!C268</f>
        <v>409.34458408314538</v>
      </c>
      <c r="D59" s="849">
        <v>409.34458408314538</v>
      </c>
      <c r="E59" s="405">
        <v>393.33766666889568</v>
      </c>
      <c r="F59" s="871">
        <f t="shared" si="4"/>
        <v>393.33766666889568</v>
      </c>
      <c r="G59" s="276">
        <f>C59</f>
        <v>409.34458408314538</v>
      </c>
      <c r="H59" s="276">
        <f>D59</f>
        <v>409.34458408314538</v>
      </c>
      <c r="I59" s="384" t="b">
        <f t="shared" si="0"/>
        <v>0</v>
      </c>
      <c r="J59" s="384" t="b">
        <f t="shared" si="1"/>
        <v>0</v>
      </c>
      <c r="K59" s="846">
        <f t="shared" si="2"/>
        <v>409.34458408314538</v>
      </c>
      <c r="L59" s="850" t="str">
        <f t="shared" si="3"/>
        <v>Music</v>
      </c>
      <c r="M59" s="1067"/>
      <c r="N59" s="1068"/>
      <c r="O59" s="1069"/>
    </row>
    <row r="60" spans="1:15" s="476" customFormat="1" ht="15" customHeight="1">
      <c r="A60" s="1116"/>
      <c r="B60" s="848" t="str">
        <f>Conversion_rates_table!B38</f>
        <v>Others</v>
      </c>
      <c r="C60" s="276">
        <f>Conversion_rates_table!C269</f>
        <v>895.72352580467782</v>
      </c>
      <c r="D60" s="849">
        <v>895.72352580467782</v>
      </c>
      <c r="E60" s="405">
        <v>811.63141166826551</v>
      </c>
      <c r="F60" s="871">
        <f t="shared" si="4"/>
        <v>811.63141166826551</v>
      </c>
      <c r="G60" s="276">
        <f>C60</f>
        <v>895.72352580467782</v>
      </c>
      <c r="H60" s="276">
        <f>D60</f>
        <v>895.72352580467782</v>
      </c>
      <c r="I60" s="384" t="b">
        <f t="shared" si="0"/>
        <v>0</v>
      </c>
      <c r="J60" s="384" t="b">
        <f t="shared" si="1"/>
        <v>0</v>
      </c>
      <c r="K60" s="846">
        <f t="shared" si="2"/>
        <v>895.72352580467782</v>
      </c>
      <c r="L60" s="850" t="str">
        <f t="shared" si="3"/>
        <v>Others</v>
      </c>
      <c r="M60" s="1067"/>
      <c r="N60" s="1068"/>
      <c r="O60" s="1069"/>
    </row>
    <row r="61" spans="1:15" s="476" customFormat="1" ht="15" customHeight="1">
      <c r="A61" s="1116"/>
      <c r="B61" s="848" t="str">
        <f>Conversion_rates_table!B39</f>
        <v>Physical Education</v>
      </c>
      <c r="C61" s="276">
        <f>Conversion_rates_table!C270</f>
        <v>1078.2671831731634</v>
      </c>
      <c r="D61" s="849">
        <v>1078.2671831731634</v>
      </c>
      <c r="E61" s="405">
        <v>999.20159210266934</v>
      </c>
      <c r="F61" s="871">
        <f t="shared" si="4"/>
        <v>999.20159210266934</v>
      </c>
      <c r="G61" s="851">
        <f t="shared" ref="G61:H63" si="7">IF(C61&lt;$F61,$F61,C61)</f>
        <v>1078.2671831731634</v>
      </c>
      <c r="H61" s="851">
        <f t="shared" si="7"/>
        <v>1078.2671831731634</v>
      </c>
      <c r="I61" s="384" t="b">
        <f t="shared" si="0"/>
        <v>0</v>
      </c>
      <c r="J61" s="384" t="b">
        <f t="shared" si="1"/>
        <v>0</v>
      </c>
      <c r="K61" s="846">
        <f t="shared" si="2"/>
        <v>1078.2671831731634</v>
      </c>
      <c r="L61" s="850" t="str">
        <f t="shared" si="3"/>
        <v>Physical Education</v>
      </c>
      <c r="M61" s="1067"/>
      <c r="N61" s="1068"/>
      <c r="O61" s="1069"/>
    </row>
    <row r="62" spans="1:15" s="476" customFormat="1" ht="15" customHeight="1">
      <c r="A62" s="1116"/>
      <c r="B62" s="852" t="str">
        <f>Conversion_rates_table!B40</f>
        <v>Physics</v>
      </c>
      <c r="C62" s="276">
        <f>Conversion_rates_table!C271</f>
        <v>1219.1223297023664</v>
      </c>
      <c r="D62" s="849">
        <v>1219.1223297023664</v>
      </c>
      <c r="E62" s="405">
        <v>1054.6086561613313</v>
      </c>
      <c r="F62" s="871">
        <f t="shared" si="4"/>
        <v>1054.6086561613313</v>
      </c>
      <c r="G62" s="851">
        <f t="shared" si="7"/>
        <v>1219.1223297023664</v>
      </c>
      <c r="H62" s="851">
        <f t="shared" si="7"/>
        <v>1219.1223297023664</v>
      </c>
      <c r="I62" s="384" t="b">
        <f t="shared" si="0"/>
        <v>0</v>
      </c>
      <c r="J62" s="384" t="b">
        <f t="shared" si="1"/>
        <v>0</v>
      </c>
      <c r="K62" s="846">
        <f t="shared" si="2"/>
        <v>1219.1223297023664</v>
      </c>
      <c r="L62" s="852" t="str">
        <f t="shared" si="3"/>
        <v>Physics</v>
      </c>
      <c r="M62" s="1067"/>
      <c r="N62" s="1068"/>
      <c r="O62" s="1069"/>
    </row>
    <row r="63" spans="1:15" s="476" customFormat="1" ht="15" customHeight="1">
      <c r="A63" s="1116"/>
      <c r="B63" s="848" t="str">
        <f>Conversion_rates_table!B41</f>
        <v>Religious Education</v>
      </c>
      <c r="C63" s="276">
        <f>Conversion_rates_table!C272</f>
        <v>567.16004158139708</v>
      </c>
      <c r="D63" s="849">
        <v>567.16004158139708</v>
      </c>
      <c r="E63" s="405">
        <v>643.48147436594184</v>
      </c>
      <c r="F63" s="871">
        <f t="shared" si="4"/>
        <v>643.48147436594184</v>
      </c>
      <c r="G63" s="851">
        <f t="shared" si="7"/>
        <v>643.48147436594184</v>
      </c>
      <c r="H63" s="851">
        <f t="shared" si="7"/>
        <v>643.48147436594184</v>
      </c>
      <c r="I63" s="384" t="b">
        <f t="shared" si="0"/>
        <v>1</v>
      </c>
      <c r="J63" s="384" t="b">
        <f t="shared" si="1"/>
        <v>1</v>
      </c>
      <c r="K63" s="846">
        <f t="shared" si="2"/>
        <v>643.48147436594184</v>
      </c>
      <c r="L63" s="850" t="str">
        <f t="shared" si="3"/>
        <v>Religious Education</v>
      </c>
      <c r="M63" s="1067"/>
      <c r="N63" s="1068"/>
      <c r="O63" s="1069"/>
    </row>
    <row r="64" spans="1:15" s="476" customFormat="1" ht="15" customHeight="1">
      <c r="A64" s="1116"/>
      <c r="B64" s="848" t="s">
        <v>8</v>
      </c>
      <c r="C64" s="1031">
        <f t="shared" ref="C64:H64" si="8">SUM(C44:C63)</f>
        <v>31676.905458955749</v>
      </c>
      <c r="D64" s="853">
        <v>31676.905458955749</v>
      </c>
      <c r="E64" s="842">
        <v>30846.50467308921</v>
      </c>
      <c r="F64" s="842">
        <f t="shared" si="8"/>
        <v>30846.50467308921</v>
      </c>
      <c r="G64" s="276">
        <f t="shared" si="8"/>
        <v>32225.773409162688</v>
      </c>
      <c r="H64" s="276">
        <f t="shared" si="8"/>
        <v>32225.773409162688</v>
      </c>
      <c r="I64" s="1086"/>
      <c r="K64" s="854">
        <f>SUM(K44:K63)</f>
        <v>32225.773409162688</v>
      </c>
      <c r="L64" s="850" t="str">
        <f t="shared" si="3"/>
        <v>Total</v>
      </c>
      <c r="M64" s="1067"/>
      <c r="N64" s="1068"/>
      <c r="O64" s="1071"/>
    </row>
    <row r="65" spans="1:15" s="476" customFormat="1" ht="15" customHeight="1">
      <c r="A65" s="976"/>
      <c r="B65" s="855"/>
      <c r="C65" s="856"/>
      <c r="D65" s="856"/>
      <c r="E65" s="856"/>
      <c r="F65" s="856"/>
      <c r="G65" s="856"/>
      <c r="H65" s="856"/>
      <c r="I65" s="847"/>
      <c r="K65" s="857"/>
      <c r="L65" s="858"/>
      <c r="M65" s="1070"/>
      <c r="N65" s="1068"/>
      <c r="O65" s="1071"/>
    </row>
    <row r="66" spans="1:15" s="476" customFormat="1" ht="15" customHeight="1">
      <c r="A66" s="999" t="s">
        <v>249</v>
      </c>
      <c r="B66" s="848" t="s">
        <v>42</v>
      </c>
      <c r="C66" s="998">
        <f>SUM(C44:C63)-C44</f>
        <v>19125.080289254136</v>
      </c>
      <c r="D66" s="853">
        <v>19125.080289254136</v>
      </c>
      <c r="E66" s="842">
        <f>SUM(E44:E63)-E44</f>
        <v>18725.549862912729</v>
      </c>
      <c r="F66" s="842">
        <f>SUM(F44:F63)-F44</f>
        <v>18725.549862912729</v>
      </c>
      <c r="G66" s="276">
        <f>SUM(G45:G63)</f>
        <v>19673.948239461079</v>
      </c>
      <c r="H66" s="276">
        <f>SUM(H45:H63)</f>
        <v>19673.948239461079</v>
      </c>
      <c r="K66" s="854">
        <f>SUM(K45:K63)</f>
        <v>19673.948239461079</v>
      </c>
      <c r="L66" s="850" t="str">
        <f>B66</f>
        <v>Secondary total</v>
      </c>
      <c r="M66" s="1070"/>
      <c r="N66" s="1068"/>
      <c r="O66" s="1071"/>
    </row>
    <row r="67" spans="1:15" s="476" customFormat="1" ht="15" customHeight="1">
      <c r="A67" s="847"/>
      <c r="B67" s="848" t="s">
        <v>40</v>
      </c>
      <c r="C67" s="998">
        <f t="shared" ref="C67:H67" si="9">C44</f>
        <v>12551.825169701613</v>
      </c>
      <c r="D67" s="853">
        <v>12551.825169701613</v>
      </c>
      <c r="E67" s="842">
        <f t="shared" si="9"/>
        <v>12120.954810176481</v>
      </c>
      <c r="F67" s="842">
        <f t="shared" si="9"/>
        <v>12120.954810176481</v>
      </c>
      <c r="G67" s="276">
        <f t="shared" si="9"/>
        <v>12551.825169701613</v>
      </c>
      <c r="H67" s="276">
        <f t="shared" si="9"/>
        <v>12551.825169701613</v>
      </c>
      <c r="K67" s="854">
        <f>K44</f>
        <v>12551.825169701613</v>
      </c>
      <c r="L67" s="850" t="str">
        <f>B67</f>
        <v>Primary</v>
      </c>
      <c r="M67" s="1072"/>
      <c r="N67" s="1073"/>
      <c r="O67" s="1074"/>
    </row>
    <row r="68" spans="1:15" s="476" customFormat="1">
      <c r="A68" s="847">
        <f>SUM(C68:F68)</f>
        <v>0</v>
      </c>
      <c r="B68" s="1086"/>
      <c r="C68" s="847">
        <f>C67+C66-C64</f>
        <v>0</v>
      </c>
      <c r="D68" s="847">
        <f>D67+D66-D64</f>
        <v>0</v>
      </c>
      <c r="F68" s="847"/>
      <c r="G68" s="847"/>
    </row>
    <row r="69" spans="1:15" s="476" customFormat="1">
      <c r="A69" s="847">
        <f>SUM(C69:F69)</f>
        <v>0</v>
      </c>
      <c r="B69" s="1086"/>
      <c r="C69" s="847">
        <f>C67+C66-SUM(C44:C63)</f>
        <v>0</v>
      </c>
      <c r="D69" s="847">
        <f>D67+D66-SUM(D44:D63)</f>
        <v>0</v>
      </c>
      <c r="F69" s="847"/>
      <c r="G69" s="847"/>
    </row>
    <row r="70" spans="1:15" s="476" customFormat="1">
      <c r="I70" s="847"/>
    </row>
    <row r="71" spans="1:15" s="476" customFormat="1">
      <c r="B71" s="859" t="s">
        <v>37</v>
      </c>
      <c r="C71" s="860"/>
      <c r="D71" s="921"/>
      <c r="E71" s="860"/>
      <c r="F71" s="860"/>
      <c r="G71" s="860"/>
      <c r="H71" s="860"/>
      <c r="I71" s="860"/>
      <c r="J71" s="860"/>
      <c r="L71" s="860"/>
      <c r="N71" s="847"/>
    </row>
    <row r="72" spans="1:15">
      <c r="B72" s="996"/>
      <c r="C72" s="898"/>
      <c r="D72" s="996"/>
      <c r="E72" s="692"/>
      <c r="F72" s="669"/>
      <c r="G72" s="834"/>
      <c r="H72" s="669"/>
      <c r="I72" s="809"/>
      <c r="J72" s="809"/>
      <c r="L72" s="669"/>
      <c r="N72" s="302"/>
    </row>
    <row r="73" spans="1:15">
      <c r="B73" s="920" t="s">
        <v>1648</v>
      </c>
      <c r="C73" s="920"/>
      <c r="D73" s="920"/>
      <c r="E73" s="920"/>
      <c r="F73" s="920"/>
      <c r="G73" s="920"/>
      <c r="H73" s="920"/>
      <c r="I73" s="920"/>
      <c r="J73" s="920"/>
      <c r="K73" s="920"/>
      <c r="L73" s="920"/>
    </row>
    <row r="74" spans="1:15">
      <c r="B74" s="1033" t="s">
        <v>1647</v>
      </c>
      <c r="C74" s="997"/>
      <c r="D74" s="997"/>
      <c r="E74" s="772"/>
      <c r="F74" s="772"/>
      <c r="G74" s="835"/>
      <c r="H74" s="772"/>
      <c r="I74" s="810"/>
      <c r="J74" s="810"/>
      <c r="L74" s="772"/>
    </row>
    <row r="75" spans="1:15">
      <c r="B75" s="824"/>
      <c r="C75" s="997"/>
      <c r="D75" s="997"/>
      <c r="E75" s="693"/>
      <c r="F75" s="553"/>
      <c r="G75" s="835"/>
      <c r="H75" s="553"/>
      <c r="I75" s="810"/>
      <c r="J75" s="810"/>
      <c r="L75" s="553"/>
    </row>
    <row r="76" spans="1:15" ht="13.15" customHeight="1">
      <c r="C76" s="824"/>
      <c r="D76" s="824"/>
      <c r="E76" s="824"/>
      <c r="F76" s="824"/>
      <c r="G76" s="824"/>
      <c r="H76" s="824"/>
      <c r="I76" s="824"/>
      <c r="J76" s="824"/>
      <c r="K76" s="824"/>
      <c r="L76" s="824"/>
    </row>
  </sheetData>
  <mergeCells count="17">
    <mergeCell ref="I41:J41"/>
    <mergeCell ref="K41:K43"/>
    <mergeCell ref="L41:L43"/>
    <mergeCell ref="D42:D43"/>
    <mergeCell ref="J42:J43"/>
    <mergeCell ref="A5:L5"/>
    <mergeCell ref="B41:B43"/>
    <mergeCell ref="B33:L34"/>
    <mergeCell ref="E41:E43"/>
    <mergeCell ref="C42:C43"/>
    <mergeCell ref="I42:I43"/>
    <mergeCell ref="C41:D41"/>
    <mergeCell ref="F41:F43"/>
    <mergeCell ref="G42:G43"/>
    <mergeCell ref="B38:L39"/>
    <mergeCell ref="H42:H43"/>
    <mergeCell ref="G41:H41"/>
  </mergeCells>
  <conditionalFormatting sqref="I44:J63">
    <cfRule type="cellIs" dxfId="17" priority="3" stopIfTrue="1" operator="equal">
      <formula>FALSE</formula>
    </cfRule>
    <cfRule type="cellIs" dxfId="16" priority="4" stopIfTrue="1" operator="equal">
      <formula>TRUE</formula>
    </cfRule>
    <cfRule type="cellIs" dxfId="15" priority="5" stopIfTrue="1" operator="equal">
      <formula>TRUE</formula>
    </cfRule>
    <cfRule type="cellIs" dxfId="14" priority="6" stopIfTrue="1" operator="equal">
      <formula>TRUE</formula>
    </cfRule>
  </conditionalFormatting>
  <hyperlinks>
    <hyperlink ref="A2" location="'Title_&amp;_Contents'!A1" display="Contents"/>
    <hyperlink ref="B2" location="Map_of_sheets!A1" display="Map of sheets"/>
    <hyperlink ref="B74" r:id="rId1"/>
  </hyperlinks>
  <pageMargins left="0.7" right="0.7" top="0.75" bottom="0.75" header="0.3" footer="0.3"/>
  <pageSetup orientation="portrait" r:id="rId2"/>
  <ignoredErrors>
    <ignoredError sqref="E66"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ht="13.15" customHeight="1">
      <c r="A5" s="682" t="s">
        <v>278</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Forecast_stock_figures!B30</f>
        <v>Music</v>
      </c>
      <c r="C15" s="300">
        <f>Forecast_stock_figures!C54</f>
        <v>5011.8247532695559</v>
      </c>
      <c r="D15" s="300">
        <f>Forecast_stock_figures!D54</f>
        <v>5031.0938936371076</v>
      </c>
      <c r="E15" s="300">
        <f>Forecast_stock_figures!E54</f>
        <v>5031.8745371214309</v>
      </c>
      <c r="F15" s="300">
        <f>Forecast_stock_figures!F54</f>
        <v>5063.8831159871925</v>
      </c>
      <c r="G15" s="300">
        <f>Forecast_stock_figures!G54</f>
        <v>5075.1545133812051</v>
      </c>
      <c r="H15" s="300">
        <f>Forecast_stock_figures!H54</f>
        <v>5065.2937855486989</v>
      </c>
      <c r="I15" s="300">
        <f>Forecast_stock_figures!I54</f>
        <v>5030.6980732445454</v>
      </c>
      <c r="J15" s="300">
        <f>Forecast_stock_figures!J54</f>
        <v>5038.2076146806994</v>
      </c>
      <c r="K15" s="300">
        <f>Forecast_stock_figures!K54</f>
        <v>5061.6281804127666</v>
      </c>
      <c r="L15" s="300">
        <f>Forecast_stock_figures!L54</f>
        <v>5041.1826092764768</v>
      </c>
      <c r="M15" s="300">
        <f>Forecast_stock_figures!M54</f>
        <v>5000.3471421257582</v>
      </c>
      <c r="N15" s="300">
        <f>Forecast_stock_figures!N54</f>
        <v>4995.1881811491194</v>
      </c>
    </row>
    <row r="17" spans="1:9" ht="15.75">
      <c r="B17" s="333" t="s">
        <v>162</v>
      </c>
    </row>
    <row r="19" spans="1:9">
      <c r="B19" s="1327" t="str">
        <f>Stock_ages_breakdowns!B73</f>
        <v>Age group</v>
      </c>
      <c r="C19" s="1325" t="str">
        <f>Stock_ages_breakdowns!AE73</f>
        <v>Music</v>
      </c>
      <c r="D19" s="1332"/>
      <c r="H19" s="318" t="s">
        <v>133</v>
      </c>
    </row>
    <row r="20" spans="1:9">
      <c r="B20" s="1327"/>
      <c r="C20" s="356" t="str">
        <f>Stock_ages_breakdowns!AE74</f>
        <v>Male</v>
      </c>
      <c r="D20" s="356" t="str">
        <f>Stock_ages_breakdowns!AF74</f>
        <v>Female</v>
      </c>
    </row>
    <row r="21" spans="1:9">
      <c r="B21" s="356" t="str">
        <f>Stock_ages_breakdowns!B75</f>
        <v>20-24</v>
      </c>
      <c r="C21" s="324">
        <f>Stock_ages_breakdowns!AE20</f>
        <v>80.95666232759298</v>
      </c>
      <c r="D21" s="324">
        <f>Stock_ages_breakdowns!AF20</f>
        <v>123.68779464698812</v>
      </c>
    </row>
    <row r="22" spans="1:9">
      <c r="B22" s="356" t="str">
        <f>Stock_ages_breakdowns!B76</f>
        <v>25-29</v>
      </c>
      <c r="C22" s="324">
        <f>Stock_ages_breakdowns!AE21</f>
        <v>369.78179039466823</v>
      </c>
      <c r="D22" s="324">
        <f>Stock_ages_breakdowns!AF21</f>
        <v>504.65248997804804</v>
      </c>
    </row>
    <row r="23" spans="1:9">
      <c r="B23" s="356" t="str">
        <f>Stock_ages_breakdowns!B77</f>
        <v>30-34</v>
      </c>
      <c r="C23" s="324">
        <f>Stock_ages_breakdowns!AE22</f>
        <v>409.68941193237976</v>
      </c>
      <c r="D23" s="324">
        <f>Stock_ages_breakdowns!AF22</f>
        <v>612.31736156146064</v>
      </c>
    </row>
    <row r="24" spans="1:9">
      <c r="B24" s="356" t="str">
        <f>Stock_ages_breakdowns!B78</f>
        <v>35-39</v>
      </c>
      <c r="C24" s="324">
        <f>Stock_ages_breakdowns!AE23</f>
        <v>384.38795184261187</v>
      </c>
      <c r="D24" s="324">
        <f>Stock_ages_breakdowns!AF23</f>
        <v>546.57862135117591</v>
      </c>
    </row>
    <row r="25" spans="1:9">
      <c r="B25" s="356" t="str">
        <f>Stock_ages_breakdowns!B79</f>
        <v>40-44</v>
      </c>
      <c r="C25" s="324">
        <f>Stock_ages_breakdowns!AE24</f>
        <v>305.39172714286872</v>
      </c>
      <c r="D25" s="324">
        <f>Stock_ages_breakdowns!AF24</f>
        <v>437.36582506262766</v>
      </c>
    </row>
    <row r="26" spans="1:9">
      <c r="B26" s="356" t="str">
        <f>Stock_ages_breakdowns!B80</f>
        <v>45-49</v>
      </c>
      <c r="C26" s="324">
        <f>Stock_ages_breakdowns!AE25</f>
        <v>253.11572663844157</v>
      </c>
      <c r="D26" s="324">
        <f>Stock_ages_breakdowns!AF25</f>
        <v>269.89559089029837</v>
      </c>
    </row>
    <row r="27" spans="1:9">
      <c r="B27" s="356" t="str">
        <f>Stock_ages_breakdowns!B81</f>
        <v>50-54</v>
      </c>
      <c r="C27" s="324">
        <f>Stock_ages_breakdowns!AE26</f>
        <v>196.03375033540405</v>
      </c>
      <c r="D27" s="324">
        <f>Stock_ages_breakdowns!AF26</f>
        <v>200.00268534908983</v>
      </c>
    </row>
    <row r="28" spans="1:9">
      <c r="B28" s="356" t="str">
        <f>Stock_ages_breakdowns!B82</f>
        <v>55-59</v>
      </c>
      <c r="C28" s="324">
        <f>Stock_ages_breakdowns!AE27</f>
        <v>133.3768421059784</v>
      </c>
      <c r="D28" s="324">
        <f>Stock_ages_breakdowns!AF27</f>
        <v>120.0562791841631</v>
      </c>
    </row>
    <row r="29" spans="1:9">
      <c r="B29" s="356" t="str">
        <f>Stock_ages_breakdowns!B83</f>
        <v>60-64</v>
      </c>
      <c r="C29" s="324">
        <f>Stock_ages_breakdowns!AE28</f>
        <v>22.616608538465925</v>
      </c>
      <c r="D29" s="324">
        <f>Stock_ages_breakdowns!AF28</f>
        <v>30.32319098052939</v>
      </c>
      <c r="F29" s="318"/>
    </row>
    <row r="30" spans="1:9">
      <c r="B30" s="356" t="str">
        <f>Stock_ages_breakdowns!B84</f>
        <v>65 plus</v>
      </c>
      <c r="C30" s="324">
        <f>Stock_ages_breakdowns!AE29</f>
        <v>5.7456573880420176</v>
      </c>
      <c r="D30" s="324">
        <f>Stock_ages_breakdowns!AF29</f>
        <v>5.8487856187205329</v>
      </c>
      <c r="G30" s="319" t="s">
        <v>46</v>
      </c>
      <c r="H30" s="319" t="s">
        <v>47</v>
      </c>
    </row>
    <row r="31" spans="1:9">
      <c r="A31" s="302">
        <f>I31</f>
        <v>0</v>
      </c>
      <c r="B31" s="356" t="str">
        <f>Stock_ages_breakdowns!B85</f>
        <v>Total</v>
      </c>
      <c r="C31" s="324">
        <f>Stock_ages_breakdowns!AE30</f>
        <v>2161.096128646454</v>
      </c>
      <c r="D31" s="324">
        <f>Stock_ages_breakdowns!AF30</f>
        <v>2850.728624623102</v>
      </c>
      <c r="E31" s="320">
        <f>SUM(C31:D31)</f>
        <v>5011.8247532695559</v>
      </c>
      <c r="G31" s="359">
        <f>C31/$E$31</f>
        <v>0.43119946028372663</v>
      </c>
      <c r="H31" s="359">
        <f>D31/$E$31</f>
        <v>0.56880053971627331</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5" t="str">
        <f>B15</f>
        <v>Music</v>
      </c>
      <c r="C36" s="300">
        <f>Teacher_need_by_subject!C637</f>
        <v>5031.0938936371076</v>
      </c>
      <c r="D36" s="300">
        <f>Teacher_need_by_subject!D637</f>
        <v>5031.8745371214309</v>
      </c>
      <c r="E36" s="300">
        <f>Teacher_need_by_subject!E637</f>
        <v>5063.8831159871925</v>
      </c>
      <c r="F36" s="300">
        <f>Teacher_need_by_subject!F637</f>
        <v>5075.1545133812051</v>
      </c>
      <c r="G36" s="300">
        <f>Teacher_need_by_subject!G637</f>
        <v>5065.2937855486989</v>
      </c>
      <c r="H36" s="300">
        <f>Teacher_need_by_subject!H637</f>
        <v>5030.6980732445454</v>
      </c>
      <c r="I36" s="300">
        <f>Teacher_need_by_subject!I637</f>
        <v>5038.2076146806994</v>
      </c>
      <c r="J36" s="300">
        <f>Teacher_need_by_subject!J637</f>
        <v>5061.6281804127666</v>
      </c>
      <c r="K36" s="300">
        <f>Teacher_need_by_subject!K637</f>
        <v>5041.1826092764768</v>
      </c>
      <c r="L36" s="300">
        <f>Teacher_need_by_subject!L637</f>
        <v>5000.3471421257582</v>
      </c>
      <c r="M36" s="300">
        <f>Teacher_need_by_subject!M637</f>
        <v>4995.1881811491194</v>
      </c>
      <c r="N36" s="300">
        <f>Teacher_need_by_subject!N637</f>
        <v>5012.5751161913176</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80.95666232759298</v>
      </c>
      <c r="D43" s="300">
        <f>C340</f>
        <v>115.32067661706083</v>
      </c>
      <c r="E43" s="300">
        <f t="shared" ref="E43:L43" si="2">D340</f>
        <v>137.86204577775362</v>
      </c>
      <c r="F43" s="300">
        <f t="shared" si="2"/>
        <v>158.12688603815201</v>
      </c>
      <c r="G43" s="300">
        <f t="shared" si="2"/>
        <v>170.92986586698453</v>
      </c>
      <c r="H43" s="300">
        <f t="shared" si="2"/>
        <v>177.92164127950034</v>
      </c>
      <c r="I43" s="300">
        <f t="shared" si="2"/>
        <v>180.16529245044586</v>
      </c>
      <c r="J43" s="300">
        <f t="shared" si="2"/>
        <v>186.17158214187504</v>
      </c>
      <c r="K43" s="300">
        <f t="shared" si="2"/>
        <v>192.43328647050953</v>
      </c>
      <c r="L43" s="300">
        <f t="shared" si="2"/>
        <v>192.43217885836802</v>
      </c>
      <c r="M43" s="300">
        <f>L340</f>
        <v>190.07358306237302</v>
      </c>
      <c r="N43" s="300">
        <f>M340</f>
        <v>192.00494398525379</v>
      </c>
    </row>
    <row r="44" spans="2:14">
      <c r="B44" s="356" t="str">
        <f t="shared" ref="B44:C53" si="3">B22</f>
        <v>25-29</v>
      </c>
      <c r="C44" s="300">
        <f t="shared" si="3"/>
        <v>369.78179039466823</v>
      </c>
      <c r="D44" s="300">
        <f t="shared" ref="D44:L53" si="4">C341</f>
        <v>341.67713137375006</v>
      </c>
      <c r="E44" s="300">
        <f t="shared" si="4"/>
        <v>326.56271238596725</v>
      </c>
      <c r="F44" s="300">
        <f t="shared" si="4"/>
        <v>323.62773444892144</v>
      </c>
      <c r="G44" s="300">
        <f t="shared" si="4"/>
        <v>323.94326471008691</v>
      </c>
      <c r="H44" s="300">
        <f t="shared" si="4"/>
        <v>324.42861851996872</v>
      </c>
      <c r="I44" s="300">
        <f t="shared" si="4"/>
        <v>323.31312545595762</v>
      </c>
      <c r="J44" s="300">
        <f t="shared" si="4"/>
        <v>327.43042893979691</v>
      </c>
      <c r="K44" s="300">
        <f t="shared" si="4"/>
        <v>333.57709763227001</v>
      </c>
      <c r="L44" s="300">
        <f t="shared" si="4"/>
        <v>334.66363322165665</v>
      </c>
      <c r="M44" s="300">
        <f t="shared" ref="M44:M53" si="5">L341</f>
        <v>333.04371245387546</v>
      </c>
      <c r="N44" s="300">
        <f t="shared" ref="N44:N53" si="6">M341</f>
        <v>335.10923091175601</v>
      </c>
    </row>
    <row r="45" spans="2:14">
      <c r="B45" s="356" t="str">
        <f t="shared" si="3"/>
        <v>30-34</v>
      </c>
      <c r="C45" s="300">
        <f t="shared" si="3"/>
        <v>409.68941193237976</v>
      </c>
      <c r="D45" s="300">
        <f t="shared" si="4"/>
        <v>402.66119847996873</v>
      </c>
      <c r="E45" s="300">
        <f t="shared" si="4"/>
        <v>392.2090729574673</v>
      </c>
      <c r="F45" s="300">
        <f t="shared" si="4"/>
        <v>383.09279396514955</v>
      </c>
      <c r="G45" s="300">
        <f t="shared" si="4"/>
        <v>375.40180325829573</v>
      </c>
      <c r="H45" s="300">
        <f t="shared" si="4"/>
        <v>368.71509096996238</v>
      </c>
      <c r="I45" s="300">
        <f t="shared" si="4"/>
        <v>362.47357259863236</v>
      </c>
      <c r="J45" s="300">
        <f t="shared" si="4"/>
        <v>359.86741810433978</v>
      </c>
      <c r="K45" s="300">
        <f t="shared" si="4"/>
        <v>359.72561461580159</v>
      </c>
      <c r="L45" s="300">
        <f t="shared" si="4"/>
        <v>358.52824305806132</v>
      </c>
      <c r="M45" s="300">
        <f t="shared" si="5"/>
        <v>356.6442317156164</v>
      </c>
      <c r="N45" s="300">
        <f t="shared" si="6"/>
        <v>356.76224149321848</v>
      </c>
    </row>
    <row r="46" spans="2:14">
      <c r="B46" s="356" t="str">
        <f t="shared" si="3"/>
        <v>35-39</v>
      </c>
      <c r="C46" s="300">
        <f t="shared" si="3"/>
        <v>384.38795184261187</v>
      </c>
      <c r="D46" s="300">
        <f t="shared" si="4"/>
        <v>383.6223929173421</v>
      </c>
      <c r="E46" s="300">
        <f t="shared" si="4"/>
        <v>381.98420774707557</v>
      </c>
      <c r="F46" s="300">
        <f t="shared" si="4"/>
        <v>379.6659643785049</v>
      </c>
      <c r="G46" s="300">
        <f t="shared" si="4"/>
        <v>376.11031682521315</v>
      </c>
      <c r="H46" s="300">
        <f t="shared" si="4"/>
        <v>371.27285356014619</v>
      </c>
      <c r="I46" s="300">
        <f t="shared" si="4"/>
        <v>365.42028488230659</v>
      </c>
      <c r="J46" s="300">
        <f t="shared" si="4"/>
        <v>361.58018066793534</v>
      </c>
      <c r="K46" s="300">
        <f t="shared" si="4"/>
        <v>359.0083887976092</v>
      </c>
      <c r="L46" s="300">
        <f t="shared" si="4"/>
        <v>355.40357990813015</v>
      </c>
      <c r="M46" s="300">
        <f t="shared" si="5"/>
        <v>351.60917203122614</v>
      </c>
      <c r="N46" s="300">
        <f t="shared" si="6"/>
        <v>349.79413727542726</v>
      </c>
    </row>
    <row r="47" spans="2:14">
      <c r="B47" s="356" t="str">
        <f t="shared" si="3"/>
        <v>40-44</v>
      </c>
      <c r="C47" s="300">
        <f t="shared" si="3"/>
        <v>305.39172714286872</v>
      </c>
      <c r="D47" s="300">
        <f t="shared" si="4"/>
        <v>314.5700931807998</v>
      </c>
      <c r="E47" s="300">
        <f t="shared" si="4"/>
        <v>321.4652024198204</v>
      </c>
      <c r="F47" s="300">
        <f t="shared" si="4"/>
        <v>326.88345672198727</v>
      </c>
      <c r="G47" s="300">
        <f t="shared" si="4"/>
        <v>330.3855369588714</v>
      </c>
      <c r="H47" s="300">
        <f t="shared" si="4"/>
        <v>331.65661264338837</v>
      </c>
      <c r="I47" s="300">
        <f t="shared" si="4"/>
        <v>330.83273613350417</v>
      </c>
      <c r="J47" s="300">
        <f t="shared" si="4"/>
        <v>330.58370839380848</v>
      </c>
      <c r="K47" s="300">
        <f t="shared" si="4"/>
        <v>330.35259066448668</v>
      </c>
      <c r="L47" s="300">
        <f t="shared" si="4"/>
        <v>328.27671527103189</v>
      </c>
      <c r="M47" s="300">
        <f t="shared" si="5"/>
        <v>325.31595626611067</v>
      </c>
      <c r="N47" s="300">
        <f t="shared" si="6"/>
        <v>323.59937123632085</v>
      </c>
    </row>
    <row r="48" spans="2:14">
      <c r="B48" s="356" t="str">
        <f t="shared" si="3"/>
        <v>45-49</v>
      </c>
      <c r="C48" s="300">
        <f t="shared" si="3"/>
        <v>253.11572663844157</v>
      </c>
      <c r="D48" s="300">
        <f t="shared" si="4"/>
        <v>255.91989891844719</v>
      </c>
      <c r="E48" s="300">
        <f t="shared" si="4"/>
        <v>259.93687012650236</v>
      </c>
      <c r="F48" s="300">
        <f t="shared" si="4"/>
        <v>264.57917694676701</v>
      </c>
      <c r="G48" s="300">
        <f t="shared" si="4"/>
        <v>268.95020063390893</v>
      </c>
      <c r="H48" s="300">
        <f t="shared" si="4"/>
        <v>272.25982343637548</v>
      </c>
      <c r="I48" s="300">
        <f t="shared" si="4"/>
        <v>274.21276657177839</v>
      </c>
      <c r="J48" s="300">
        <f t="shared" si="4"/>
        <v>276.64940970523548</v>
      </c>
      <c r="K48" s="300">
        <f t="shared" si="4"/>
        <v>278.91878184415822</v>
      </c>
      <c r="L48" s="300">
        <f t="shared" si="4"/>
        <v>279.38297254753616</v>
      </c>
      <c r="M48" s="300">
        <f t="shared" si="5"/>
        <v>278.72583589937187</v>
      </c>
      <c r="N48" s="300">
        <f t="shared" si="6"/>
        <v>278.64351698236703</v>
      </c>
    </row>
    <row r="49" spans="1:16">
      <c r="B49" s="356" t="str">
        <f t="shared" si="3"/>
        <v>50-54</v>
      </c>
      <c r="C49" s="300">
        <f t="shared" si="3"/>
        <v>196.03375033540405</v>
      </c>
      <c r="D49" s="300">
        <f t="shared" si="4"/>
        <v>194.90762502313339</v>
      </c>
      <c r="E49" s="300">
        <f t="shared" si="4"/>
        <v>194.85520148470471</v>
      </c>
      <c r="F49" s="300">
        <f t="shared" si="4"/>
        <v>195.83089483963121</v>
      </c>
      <c r="G49" s="300">
        <f t="shared" si="4"/>
        <v>197.34599487516383</v>
      </c>
      <c r="H49" s="300">
        <f t="shared" si="4"/>
        <v>198.80366698285212</v>
      </c>
      <c r="I49" s="300">
        <f t="shared" si="4"/>
        <v>199.9048766436984</v>
      </c>
      <c r="J49" s="300">
        <f t="shared" si="4"/>
        <v>201.8905720413083</v>
      </c>
      <c r="K49" s="300">
        <f t="shared" si="4"/>
        <v>204.12519410601493</v>
      </c>
      <c r="L49" s="300">
        <f t="shared" si="4"/>
        <v>205.25729309905162</v>
      </c>
      <c r="M49" s="300">
        <f t="shared" si="5"/>
        <v>205.68518154975149</v>
      </c>
      <c r="N49" s="300">
        <f t="shared" si="6"/>
        <v>206.56861185715496</v>
      </c>
    </row>
    <row r="50" spans="1:16">
      <c r="B50" s="356" t="str">
        <f t="shared" si="3"/>
        <v>55-59</v>
      </c>
      <c r="C50" s="300">
        <f t="shared" si="3"/>
        <v>133.3768421059784</v>
      </c>
      <c r="D50" s="300">
        <f t="shared" si="4"/>
        <v>117.11619365415838</v>
      </c>
      <c r="E50" s="300">
        <f t="shared" si="4"/>
        <v>107.15247146592867</v>
      </c>
      <c r="F50" s="300">
        <f t="shared" si="4"/>
        <v>101.51399581556079</v>
      </c>
      <c r="G50" s="300">
        <f t="shared" si="4"/>
        <v>98.166662693043108</v>
      </c>
      <c r="H50" s="300">
        <f t="shared" si="4"/>
        <v>96.123983161762425</v>
      </c>
      <c r="I50" s="300">
        <f t="shared" si="4"/>
        <v>94.776149827847291</v>
      </c>
      <c r="J50" s="300">
        <f t="shared" si="4"/>
        <v>94.686254379809867</v>
      </c>
      <c r="K50" s="300">
        <f t="shared" si="4"/>
        <v>95.186865515348728</v>
      </c>
      <c r="L50" s="300">
        <f t="shared" si="4"/>
        <v>95.271093060449672</v>
      </c>
      <c r="M50" s="300">
        <f t="shared" si="5"/>
        <v>95.196060508223766</v>
      </c>
      <c r="N50" s="300">
        <f t="shared" si="6"/>
        <v>95.666694022256152</v>
      </c>
    </row>
    <row r="51" spans="1:16">
      <c r="B51" s="356" t="str">
        <f t="shared" si="3"/>
        <v>60-64</v>
      </c>
      <c r="C51" s="300">
        <f t="shared" si="3"/>
        <v>22.616608538465925</v>
      </c>
      <c r="D51" s="300">
        <f t="shared" si="4"/>
        <v>32.366886474980419</v>
      </c>
      <c r="E51" s="300">
        <f t="shared" si="4"/>
        <v>35.242468040240716</v>
      </c>
      <c r="F51" s="300">
        <f t="shared" si="4"/>
        <v>35.653583164477872</v>
      </c>
      <c r="G51" s="300">
        <f t="shared" si="4"/>
        <v>35.082598891588908</v>
      </c>
      <c r="H51" s="300">
        <f t="shared" si="4"/>
        <v>34.232049405336284</v>
      </c>
      <c r="I51" s="300">
        <f t="shared" si="4"/>
        <v>33.363207938176949</v>
      </c>
      <c r="J51" s="300">
        <f t="shared" si="4"/>
        <v>33.029341718471578</v>
      </c>
      <c r="K51" s="300">
        <f t="shared" si="4"/>
        <v>32.977193535830267</v>
      </c>
      <c r="L51" s="300">
        <f t="shared" si="4"/>
        <v>32.73202542487445</v>
      </c>
      <c r="M51" s="300">
        <f t="shared" si="5"/>
        <v>32.466113437156899</v>
      </c>
      <c r="N51" s="300">
        <f t="shared" si="6"/>
        <v>32.550498955583954</v>
      </c>
    </row>
    <row r="52" spans="1:16">
      <c r="B52" s="356" t="str">
        <f t="shared" si="3"/>
        <v>65 plus</v>
      </c>
      <c r="C52" s="300">
        <f t="shared" si="3"/>
        <v>5.7456573880420176</v>
      </c>
      <c r="D52" s="300">
        <f t="shared" si="4"/>
        <v>7.2953918340850441</v>
      </c>
      <c r="E52" s="300">
        <f t="shared" si="4"/>
        <v>9.4044626632426827</v>
      </c>
      <c r="F52" s="300">
        <f t="shared" si="4"/>
        <v>11.063815481571627</v>
      </c>
      <c r="G52" s="300">
        <f t="shared" si="4"/>
        <v>12.108148001716483</v>
      </c>
      <c r="H52" s="300">
        <f t="shared" si="4"/>
        <v>12.629327998447229</v>
      </c>
      <c r="I52" s="300">
        <f t="shared" si="4"/>
        <v>12.78907981040132</v>
      </c>
      <c r="J52" s="300">
        <f t="shared" si="4"/>
        <v>12.866074312363942</v>
      </c>
      <c r="K52" s="300">
        <f t="shared" si="4"/>
        <v>12.911484094134742</v>
      </c>
      <c r="L52" s="300">
        <f t="shared" si="4"/>
        <v>12.847471663741517</v>
      </c>
      <c r="M52" s="300">
        <f t="shared" si="5"/>
        <v>12.733888773211365</v>
      </c>
      <c r="N52" s="300">
        <f t="shared" si="6"/>
        <v>12.702767837939518</v>
      </c>
    </row>
    <row r="53" spans="1:16">
      <c r="B53" s="356" t="str">
        <f t="shared" si="3"/>
        <v>Total</v>
      </c>
      <c r="C53" s="300">
        <f t="shared" si="3"/>
        <v>2161.096128646454</v>
      </c>
      <c r="D53" s="300">
        <f t="shared" si="4"/>
        <v>2165.4574884737258</v>
      </c>
      <c r="E53" s="300">
        <f t="shared" si="4"/>
        <v>2166.6747150687029</v>
      </c>
      <c r="F53" s="300">
        <f t="shared" si="4"/>
        <v>2180.0383018007237</v>
      </c>
      <c r="G53" s="300">
        <f t="shared" si="4"/>
        <v>2188.4243927148732</v>
      </c>
      <c r="H53" s="300">
        <f t="shared" si="4"/>
        <v>2188.0436679577392</v>
      </c>
      <c r="I53" s="300">
        <f t="shared" si="4"/>
        <v>2177.2510923127484</v>
      </c>
      <c r="J53" s="300">
        <f t="shared" si="4"/>
        <v>2184.7549704049452</v>
      </c>
      <c r="K53" s="300">
        <f t="shared" si="4"/>
        <v>2199.2164972761643</v>
      </c>
      <c r="L53" s="300">
        <f t="shared" si="4"/>
        <v>2194.7952061129017</v>
      </c>
      <c r="M53" s="300">
        <f t="shared" si="5"/>
        <v>2181.4937356969167</v>
      </c>
      <c r="N53" s="300">
        <f t="shared" si="6"/>
        <v>2183.4020145572777</v>
      </c>
    </row>
    <row r="54" spans="1:16">
      <c r="A54" s="302">
        <f>SUM(C54:N54)</f>
        <v>0</v>
      </c>
      <c r="C54" s="302">
        <f>SUM(C43:C52)-C53</f>
        <v>0</v>
      </c>
      <c r="D54" s="302">
        <f t="shared" ref="D54:N54" si="7">SUM(D43:D52)-D53</f>
        <v>0</v>
      </c>
      <c r="E54" s="302">
        <f t="shared" si="7"/>
        <v>0</v>
      </c>
      <c r="F54" s="302">
        <f t="shared" si="7"/>
        <v>0</v>
      </c>
      <c r="G54" s="302">
        <f t="shared" si="7"/>
        <v>0</v>
      </c>
      <c r="H54" s="302">
        <f t="shared" si="7"/>
        <v>0</v>
      </c>
      <c r="I54" s="302">
        <f t="shared" si="7"/>
        <v>0</v>
      </c>
      <c r="J54" s="302">
        <f t="shared" si="7"/>
        <v>0</v>
      </c>
      <c r="K54" s="302">
        <f t="shared" si="7"/>
        <v>0</v>
      </c>
      <c r="L54" s="302">
        <f t="shared" si="7"/>
        <v>0</v>
      </c>
      <c r="M54" s="302">
        <f t="shared" si="7"/>
        <v>0</v>
      </c>
      <c r="N54" s="302">
        <f t="shared" si="7"/>
        <v>0</v>
      </c>
    </row>
    <row r="56" spans="1:16">
      <c r="B56" s="334" t="s">
        <v>47</v>
      </c>
      <c r="H56" s="318"/>
    </row>
    <row r="57" spans="1:16">
      <c r="H57" s="318"/>
    </row>
    <row r="58" spans="1:16">
      <c r="B58" s="331" t="str">
        <f t="shared" ref="B58:B69" si="8">B42</f>
        <v>Age group</v>
      </c>
      <c r="C58" s="331" t="str">
        <f t="shared" ref="C58:N58" si="9">C42</f>
        <v>2017/18</v>
      </c>
      <c r="D58" s="331" t="str">
        <f t="shared" si="9"/>
        <v>2018/19</v>
      </c>
      <c r="E58" s="331" t="str">
        <f t="shared" si="9"/>
        <v>2019/20</v>
      </c>
      <c r="F58" s="331" t="str">
        <f t="shared" si="9"/>
        <v>2020/21</v>
      </c>
      <c r="G58" s="331" t="str">
        <f t="shared" si="9"/>
        <v>2021/22</v>
      </c>
      <c r="H58" s="331" t="str">
        <f t="shared" si="9"/>
        <v>2022/23</v>
      </c>
      <c r="I58" s="331" t="str">
        <f t="shared" si="9"/>
        <v>2023/24</v>
      </c>
      <c r="J58" s="331" t="str">
        <f t="shared" si="9"/>
        <v>2024/25</v>
      </c>
      <c r="K58" s="331" t="str">
        <f t="shared" si="9"/>
        <v>2025/26</v>
      </c>
      <c r="L58" s="331" t="str">
        <f t="shared" si="9"/>
        <v>2026/27</v>
      </c>
      <c r="M58" s="331" t="str">
        <f t="shared" si="9"/>
        <v>2027/28</v>
      </c>
      <c r="N58" s="331" t="str">
        <f t="shared" si="9"/>
        <v>2028/29</v>
      </c>
    </row>
    <row r="59" spans="1:16">
      <c r="B59" s="331" t="str">
        <f t="shared" si="8"/>
        <v>20-24</v>
      </c>
      <c r="C59" s="300">
        <f t="shared" ref="C59:C69" si="10">D21</f>
        <v>123.68779464698812</v>
      </c>
      <c r="D59" s="300">
        <f>C356</f>
        <v>164.55012979943007</v>
      </c>
      <c r="E59" s="300">
        <f t="shared" ref="E59:L59" si="11">D356</f>
        <v>190.72376762156966</v>
      </c>
      <c r="F59" s="300">
        <f t="shared" si="11"/>
        <v>215.30501695879079</v>
      </c>
      <c r="G59" s="300">
        <f t="shared" si="11"/>
        <v>230.09965980448607</v>
      </c>
      <c r="H59" s="300">
        <f t="shared" si="11"/>
        <v>237.84155512109496</v>
      </c>
      <c r="I59" s="300">
        <f t="shared" si="11"/>
        <v>239.75495858830914</v>
      </c>
      <c r="J59" s="300">
        <f t="shared" si="11"/>
        <v>246.94059190907168</v>
      </c>
      <c r="K59" s="300">
        <f t="shared" si="11"/>
        <v>254.67800199261541</v>
      </c>
      <c r="L59" s="300">
        <f t="shared" si="11"/>
        <v>254.30502268175061</v>
      </c>
      <c r="M59" s="300">
        <f>L356</f>
        <v>250.93244960187943</v>
      </c>
      <c r="N59" s="300">
        <f>M356</f>
        <v>253.29783370611585</v>
      </c>
      <c r="O59" s="320"/>
      <c r="P59" s="320"/>
    </row>
    <row r="60" spans="1:16">
      <c r="B60" s="331" t="str">
        <f t="shared" si="8"/>
        <v>25-29</v>
      </c>
      <c r="C60" s="300">
        <f t="shared" si="10"/>
        <v>504.65248997804804</v>
      </c>
      <c r="D60" s="300">
        <f t="shared" ref="D60:K69" si="12">C357</f>
        <v>467.28154513227571</v>
      </c>
      <c r="E60" s="300">
        <f t="shared" si="12"/>
        <v>444.7149080902069</v>
      </c>
      <c r="F60" s="300">
        <f t="shared" si="12"/>
        <v>439.01236227531655</v>
      </c>
      <c r="G60" s="300">
        <f t="shared" si="12"/>
        <v>436.54227263856319</v>
      </c>
      <c r="H60" s="300">
        <f t="shared" si="12"/>
        <v>434.71052378601183</v>
      </c>
      <c r="I60" s="300">
        <f t="shared" si="12"/>
        <v>431.17995862616493</v>
      </c>
      <c r="J60" s="300">
        <f t="shared" si="12"/>
        <v>434.93478023835121</v>
      </c>
      <c r="K60" s="300">
        <f t="shared" si="12"/>
        <v>441.68640387222297</v>
      </c>
      <c r="L60" s="300">
        <f t="shared" ref="L60:L69" si="13">K357</f>
        <v>442.02888228632901</v>
      </c>
      <c r="M60" s="300">
        <f t="shared" ref="M60:M69" si="14">L357</f>
        <v>439.03418319623586</v>
      </c>
      <c r="N60" s="300">
        <f t="shared" ref="N60:N69" si="15">M357</f>
        <v>441.09604084074419</v>
      </c>
      <c r="O60" s="320"/>
      <c r="P60" s="320"/>
    </row>
    <row r="61" spans="1:16">
      <c r="B61" s="331" t="str">
        <f t="shared" si="8"/>
        <v>30-34</v>
      </c>
      <c r="C61" s="300">
        <f t="shared" si="10"/>
        <v>612.31736156146064</v>
      </c>
      <c r="D61" s="300">
        <f t="shared" si="12"/>
        <v>582.44256321871285</v>
      </c>
      <c r="E61" s="300">
        <f t="shared" si="12"/>
        <v>552.03609181769366</v>
      </c>
      <c r="F61" s="300">
        <f t="shared" si="12"/>
        <v>528.05661594743833</v>
      </c>
      <c r="G61" s="300">
        <f t="shared" si="12"/>
        <v>507.71662696824274</v>
      </c>
      <c r="H61" s="300">
        <f t="shared" si="12"/>
        <v>490.99328041709009</v>
      </c>
      <c r="I61" s="300">
        <f t="shared" si="12"/>
        <v>476.59994011832129</v>
      </c>
      <c r="J61" s="300">
        <f t="shared" si="12"/>
        <v>468.35547007455443</v>
      </c>
      <c r="K61" s="300">
        <f t="shared" si="12"/>
        <v>464.3568986917453</v>
      </c>
      <c r="L61" s="300">
        <f t="shared" si="13"/>
        <v>459.7137643068221</v>
      </c>
      <c r="M61" s="300">
        <f t="shared" si="14"/>
        <v>454.79398123653402</v>
      </c>
      <c r="N61" s="300">
        <f t="shared" si="15"/>
        <v>453.03795426825053</v>
      </c>
      <c r="O61" s="320"/>
      <c r="P61" s="320"/>
    </row>
    <row r="62" spans="1:16">
      <c r="B62" s="331" t="str">
        <f t="shared" si="8"/>
        <v>35-39</v>
      </c>
      <c r="C62" s="300">
        <f t="shared" si="10"/>
        <v>546.57862135117591</v>
      </c>
      <c r="D62" s="300">
        <f t="shared" si="12"/>
        <v>544.83363336937521</v>
      </c>
      <c r="E62" s="300">
        <f t="shared" si="12"/>
        <v>536.83797420719952</v>
      </c>
      <c r="F62" s="300">
        <f t="shared" si="12"/>
        <v>527.05979073755748</v>
      </c>
      <c r="G62" s="300">
        <f t="shared" si="12"/>
        <v>514.06133212542625</v>
      </c>
      <c r="H62" s="300">
        <f t="shared" si="12"/>
        <v>499.76537590060423</v>
      </c>
      <c r="I62" s="300">
        <f t="shared" si="12"/>
        <v>484.85249764828109</v>
      </c>
      <c r="J62" s="300">
        <f t="shared" si="12"/>
        <v>473.45563401771602</v>
      </c>
      <c r="K62" s="300">
        <f t="shared" si="12"/>
        <v>464.57950463547911</v>
      </c>
      <c r="L62" s="300">
        <f t="shared" si="13"/>
        <v>455.12458670830563</v>
      </c>
      <c r="M62" s="300">
        <f t="shared" si="14"/>
        <v>446.14808728936168</v>
      </c>
      <c r="N62" s="300">
        <f t="shared" si="15"/>
        <v>440.43775562421371</v>
      </c>
      <c r="O62" s="320"/>
      <c r="P62" s="320"/>
    </row>
    <row r="63" spans="1:16">
      <c r="B63" s="331" t="str">
        <f t="shared" si="8"/>
        <v>40-44</v>
      </c>
      <c r="C63" s="300">
        <f t="shared" si="10"/>
        <v>437.36582506262766</v>
      </c>
      <c r="D63" s="300">
        <f t="shared" si="12"/>
        <v>447.63043384773897</v>
      </c>
      <c r="E63" s="300">
        <f t="shared" si="12"/>
        <v>453.83211272454946</v>
      </c>
      <c r="F63" s="300">
        <f t="shared" si="12"/>
        <v>458.38258895451798</v>
      </c>
      <c r="G63" s="300">
        <f t="shared" si="12"/>
        <v>458.7081527296678</v>
      </c>
      <c r="H63" s="300">
        <f t="shared" si="12"/>
        <v>455.69679994231126</v>
      </c>
      <c r="I63" s="300">
        <f t="shared" si="12"/>
        <v>449.71633107368211</v>
      </c>
      <c r="J63" s="300">
        <f t="shared" si="12"/>
        <v>444.48617439301574</v>
      </c>
      <c r="K63" s="300">
        <f t="shared" si="12"/>
        <v>439.42704780667606</v>
      </c>
      <c r="L63" s="300">
        <f t="shared" si="13"/>
        <v>432.19673456106881</v>
      </c>
      <c r="M63" s="300">
        <f t="shared" si="14"/>
        <v>424.14485812955832</v>
      </c>
      <c r="N63" s="300">
        <f t="shared" si="15"/>
        <v>418.12576313052523</v>
      </c>
      <c r="O63" s="320"/>
      <c r="P63" s="320"/>
    </row>
    <row r="64" spans="1:16">
      <c r="B64" s="331" t="str">
        <f t="shared" si="8"/>
        <v>45-49</v>
      </c>
      <c r="C64" s="300">
        <f t="shared" si="10"/>
        <v>269.89559089029837</v>
      </c>
      <c r="D64" s="300">
        <f t="shared" si="12"/>
        <v>296.31426095726101</v>
      </c>
      <c r="E64" s="300">
        <f t="shared" si="12"/>
        <v>316.5891435474735</v>
      </c>
      <c r="F64" s="300">
        <f t="shared" si="12"/>
        <v>333.64005424629357</v>
      </c>
      <c r="G64" s="300">
        <f t="shared" si="12"/>
        <v>345.84911004219663</v>
      </c>
      <c r="H64" s="300">
        <f t="shared" si="12"/>
        <v>354.07040384375591</v>
      </c>
      <c r="I64" s="300">
        <f t="shared" si="12"/>
        <v>358.56552145081804</v>
      </c>
      <c r="J64" s="300">
        <f t="shared" si="12"/>
        <v>362.27080452734668</v>
      </c>
      <c r="K64" s="300">
        <f t="shared" si="12"/>
        <v>364.71293659634654</v>
      </c>
      <c r="L64" s="300">
        <f t="shared" si="13"/>
        <v>364.04534937593041</v>
      </c>
      <c r="M64" s="300">
        <f t="shared" si="14"/>
        <v>361.43526217792214</v>
      </c>
      <c r="N64" s="300">
        <f t="shared" si="15"/>
        <v>359.32040017917211</v>
      </c>
      <c r="O64" s="320"/>
      <c r="P64" s="320"/>
    </row>
    <row r="65" spans="1:16">
      <c r="B65" s="331" t="str">
        <f t="shared" si="8"/>
        <v>50-54</v>
      </c>
      <c r="C65" s="300">
        <f t="shared" si="10"/>
        <v>200.00268534908983</v>
      </c>
      <c r="D65" s="300">
        <f t="shared" si="12"/>
        <v>204.63592884469645</v>
      </c>
      <c r="E65" s="300">
        <f t="shared" si="12"/>
        <v>212.00014989440615</v>
      </c>
      <c r="F65" s="300">
        <f t="shared" si="12"/>
        <v>221.71409950335206</v>
      </c>
      <c r="G65" s="300">
        <f t="shared" si="12"/>
        <v>230.88703332655712</v>
      </c>
      <c r="H65" s="300">
        <f t="shared" si="12"/>
        <v>239.0099513717019</v>
      </c>
      <c r="I65" s="300">
        <f t="shared" si="12"/>
        <v>245.51800364437867</v>
      </c>
      <c r="J65" s="300">
        <f t="shared" si="12"/>
        <v>252.04396325184041</v>
      </c>
      <c r="K65" s="300">
        <f t="shared" si="12"/>
        <v>257.8308734736994</v>
      </c>
      <c r="L65" s="300">
        <f t="shared" si="13"/>
        <v>261.22422925863577</v>
      </c>
      <c r="M65" s="300">
        <f t="shared" si="14"/>
        <v>262.90123123832313</v>
      </c>
      <c r="N65" s="300">
        <f t="shared" si="15"/>
        <v>264.54399086229211</v>
      </c>
      <c r="O65" s="320"/>
      <c r="P65" s="320"/>
    </row>
    <row r="66" spans="1:16">
      <c r="B66" s="331" t="str">
        <f t="shared" si="8"/>
        <v>55-59</v>
      </c>
      <c r="C66" s="300">
        <f t="shared" si="10"/>
        <v>120.0562791841631</v>
      </c>
      <c r="D66" s="300">
        <f t="shared" si="12"/>
        <v>113.01156413633154</v>
      </c>
      <c r="E66" s="300">
        <f t="shared" si="12"/>
        <v>109.06726279986862</v>
      </c>
      <c r="F66" s="300">
        <f t="shared" si="12"/>
        <v>108.4662887086976</v>
      </c>
      <c r="G66" s="300">
        <f t="shared" si="12"/>
        <v>109.18921109266196</v>
      </c>
      <c r="H66" s="300">
        <f t="shared" si="12"/>
        <v>110.68181913133887</v>
      </c>
      <c r="I66" s="300">
        <f t="shared" si="12"/>
        <v>112.37267526366678</v>
      </c>
      <c r="J66" s="300">
        <f t="shared" si="12"/>
        <v>115.11691631014457</v>
      </c>
      <c r="K66" s="300">
        <f t="shared" si="12"/>
        <v>118.10538156229653</v>
      </c>
      <c r="L66" s="300">
        <f t="shared" si="13"/>
        <v>120.06176862866602</v>
      </c>
      <c r="M66" s="300">
        <f t="shared" si="14"/>
        <v>121.37024698066466</v>
      </c>
      <c r="N66" s="300">
        <f t="shared" si="15"/>
        <v>123.01250397680933</v>
      </c>
      <c r="O66" s="320"/>
      <c r="P66" s="320"/>
    </row>
    <row r="67" spans="1:16">
      <c r="B67" s="331" t="str">
        <f t="shared" si="8"/>
        <v>60-64</v>
      </c>
      <c r="C67" s="300">
        <f t="shared" si="10"/>
        <v>30.32319098052939</v>
      </c>
      <c r="D67" s="300">
        <f t="shared" si="12"/>
        <v>35.8458222113142</v>
      </c>
      <c r="E67" s="300">
        <f t="shared" si="12"/>
        <v>37.591441525196736</v>
      </c>
      <c r="F67" s="300">
        <f t="shared" si="12"/>
        <v>38.347387401492504</v>
      </c>
      <c r="G67" s="300">
        <f t="shared" si="12"/>
        <v>38.478168479029222</v>
      </c>
      <c r="H67" s="300">
        <f t="shared" si="12"/>
        <v>38.466502329085245</v>
      </c>
      <c r="I67" s="300">
        <f t="shared" si="12"/>
        <v>38.424747930662683</v>
      </c>
      <c r="J67" s="300">
        <f t="shared" si="12"/>
        <v>38.993622979907521</v>
      </c>
      <c r="K67" s="300">
        <f t="shared" si="12"/>
        <v>39.806573169792493</v>
      </c>
      <c r="L67" s="300">
        <f t="shared" si="13"/>
        <v>40.230671248583363</v>
      </c>
      <c r="M67" s="300">
        <f t="shared" si="14"/>
        <v>40.497753040510673</v>
      </c>
      <c r="N67" s="300">
        <f t="shared" si="15"/>
        <v>41.104902507208493</v>
      </c>
      <c r="O67" s="320"/>
      <c r="P67" s="320"/>
    </row>
    <row r="68" spans="1:16">
      <c r="B68" s="331" t="str">
        <f t="shared" si="8"/>
        <v>65 plus</v>
      </c>
      <c r="C68" s="300">
        <f t="shared" si="10"/>
        <v>5.8487856187205329</v>
      </c>
      <c r="D68" s="300">
        <f t="shared" si="12"/>
        <v>9.0905236462449484</v>
      </c>
      <c r="E68" s="300">
        <f t="shared" si="12"/>
        <v>11.806969824562625</v>
      </c>
      <c r="F68" s="300">
        <f t="shared" si="12"/>
        <v>13.860609453011175</v>
      </c>
      <c r="G68" s="300">
        <f t="shared" si="12"/>
        <v>15.198553459500165</v>
      </c>
      <c r="H68" s="300">
        <f t="shared" si="12"/>
        <v>16.013905747964092</v>
      </c>
      <c r="I68" s="300">
        <f t="shared" si="12"/>
        <v>16.462346587510936</v>
      </c>
      <c r="J68" s="300">
        <f t="shared" si="12"/>
        <v>16.854686573805573</v>
      </c>
      <c r="K68" s="300">
        <f t="shared" si="12"/>
        <v>17.228061335728054</v>
      </c>
      <c r="L68" s="300">
        <f t="shared" si="13"/>
        <v>17.45639410748284</v>
      </c>
      <c r="M68" s="300">
        <f t="shared" si="14"/>
        <v>17.595353537850247</v>
      </c>
      <c r="N68" s="300">
        <f t="shared" si="15"/>
        <v>17.809021496509018</v>
      </c>
      <c r="O68" s="320"/>
      <c r="P68" s="320"/>
    </row>
    <row r="69" spans="1:16">
      <c r="B69" s="331" t="str">
        <f t="shared" si="8"/>
        <v>Total</v>
      </c>
      <c r="C69" s="300">
        <f t="shared" si="10"/>
        <v>2850.728624623102</v>
      </c>
      <c r="D69" s="300">
        <f t="shared" si="12"/>
        <v>2865.6364051633805</v>
      </c>
      <c r="E69" s="300">
        <f t="shared" si="12"/>
        <v>2865.1998220527275</v>
      </c>
      <c r="F69" s="300">
        <f t="shared" si="12"/>
        <v>2883.8448141864674</v>
      </c>
      <c r="G69" s="300">
        <f t="shared" si="12"/>
        <v>2886.730120666331</v>
      </c>
      <c r="H69" s="300">
        <f t="shared" si="12"/>
        <v>2877.2501175909583</v>
      </c>
      <c r="I69" s="300">
        <f t="shared" si="12"/>
        <v>2853.4469809317952</v>
      </c>
      <c r="J69" s="300">
        <f t="shared" si="12"/>
        <v>2853.4526442757542</v>
      </c>
      <c r="K69" s="300">
        <f t="shared" si="12"/>
        <v>2862.4116831366014</v>
      </c>
      <c r="L69" s="300">
        <f t="shared" si="13"/>
        <v>2846.3874031635746</v>
      </c>
      <c r="M69" s="300">
        <f t="shared" si="14"/>
        <v>2818.8534064288401</v>
      </c>
      <c r="N69" s="300">
        <f t="shared" si="15"/>
        <v>2811.7861665918404</v>
      </c>
      <c r="O69" s="320"/>
      <c r="P69" s="320"/>
    </row>
    <row r="70" spans="1:16">
      <c r="A70" s="302">
        <f>SUM(C70:N70)</f>
        <v>0</v>
      </c>
      <c r="C70" s="302">
        <f>SUM(C59:C68)-C69</f>
        <v>0</v>
      </c>
      <c r="D70" s="302">
        <f t="shared" ref="D70:N70" si="16">SUM(D59:D68)-D69</f>
        <v>0</v>
      </c>
      <c r="E70" s="302">
        <f t="shared" si="16"/>
        <v>0</v>
      </c>
      <c r="F70" s="302">
        <f t="shared" si="16"/>
        <v>0</v>
      </c>
      <c r="G70" s="302">
        <f t="shared" si="16"/>
        <v>0</v>
      </c>
      <c r="H70" s="302">
        <f t="shared" si="16"/>
        <v>0</v>
      </c>
      <c r="I70" s="302">
        <f t="shared" si="16"/>
        <v>0</v>
      </c>
      <c r="J70" s="302">
        <f t="shared" si="16"/>
        <v>0</v>
      </c>
      <c r="K70" s="302">
        <f t="shared" si="16"/>
        <v>0</v>
      </c>
      <c r="L70" s="302">
        <f t="shared" si="16"/>
        <v>0</v>
      </c>
      <c r="M70" s="302">
        <f t="shared" si="16"/>
        <v>0</v>
      </c>
      <c r="N70" s="302">
        <f t="shared" si="16"/>
        <v>0</v>
      </c>
    </row>
    <row r="72" spans="1:16" ht="15.75">
      <c r="B72" s="333" t="s">
        <v>163</v>
      </c>
      <c r="H72" s="318"/>
    </row>
    <row r="73" spans="1:16">
      <c r="H73" s="318"/>
    </row>
    <row r="74" spans="1:16">
      <c r="B74" s="334" t="s">
        <v>46</v>
      </c>
      <c r="C74" s="256" t="s">
        <v>456</v>
      </c>
      <c r="H74" s="318"/>
    </row>
    <row r="75" spans="1:16">
      <c r="H75" s="318"/>
    </row>
    <row r="76" spans="1:16">
      <c r="B76" s="331" t="str">
        <f t="shared" ref="B76:B87" si="17">B42</f>
        <v>Age group</v>
      </c>
      <c r="C76" s="331" t="str">
        <f t="shared" ref="C76:N76" si="18">C42</f>
        <v>2017/18</v>
      </c>
      <c r="D76" s="331" t="str">
        <f t="shared" si="18"/>
        <v>2018/19</v>
      </c>
      <c r="E76" s="331" t="str">
        <f t="shared" si="18"/>
        <v>2019/20</v>
      </c>
      <c r="F76" s="331" t="str">
        <f t="shared" si="18"/>
        <v>2020/21</v>
      </c>
      <c r="G76" s="331" t="str">
        <f t="shared" si="18"/>
        <v>2021/22</v>
      </c>
      <c r="H76" s="331" t="str">
        <f t="shared" si="18"/>
        <v>2022/23</v>
      </c>
      <c r="I76" s="331" t="str">
        <f t="shared" si="18"/>
        <v>2023/24</v>
      </c>
      <c r="J76" s="331" t="str">
        <f t="shared" si="18"/>
        <v>2024/25</v>
      </c>
      <c r="K76" s="331" t="str">
        <f t="shared" si="18"/>
        <v>2025/26</v>
      </c>
      <c r="L76" s="331" t="str">
        <f t="shared" si="18"/>
        <v>2026/27</v>
      </c>
      <c r="M76" s="331" t="str">
        <f t="shared" si="18"/>
        <v>2027/28</v>
      </c>
      <c r="N76" s="331" t="str">
        <f t="shared" si="18"/>
        <v>2028/29</v>
      </c>
    </row>
    <row r="77" spans="1:16">
      <c r="B77" s="331" t="str">
        <f t="shared" si="17"/>
        <v>20-24</v>
      </c>
      <c r="C77" s="447">
        <f>C43-(0.2*C43)</f>
        <v>64.765329862074381</v>
      </c>
      <c r="D77" s="447">
        <f>D43-(0.2*D43)</f>
        <v>92.256541293648667</v>
      </c>
      <c r="E77" s="447">
        <f t="shared" ref="E77:N77" si="19">E43-(0.2*E43)</f>
        <v>110.28963662220289</v>
      </c>
      <c r="F77" s="447">
        <f t="shared" si="19"/>
        <v>126.5015088305216</v>
      </c>
      <c r="G77" s="447">
        <f t="shared" si="19"/>
        <v>136.74389269358761</v>
      </c>
      <c r="H77" s="447">
        <f t="shared" si="19"/>
        <v>142.33731302360027</v>
      </c>
      <c r="I77" s="447">
        <f t="shared" si="19"/>
        <v>144.1322339603567</v>
      </c>
      <c r="J77" s="447">
        <f t="shared" si="19"/>
        <v>148.93726571350004</v>
      </c>
      <c r="K77" s="447">
        <f t="shared" si="19"/>
        <v>153.94662917640761</v>
      </c>
      <c r="L77" s="447">
        <f t="shared" si="19"/>
        <v>153.94574308669442</v>
      </c>
      <c r="M77" s="447">
        <f t="shared" si="19"/>
        <v>152.0588664498984</v>
      </c>
      <c r="N77" s="447">
        <f t="shared" si="19"/>
        <v>153.60395518820303</v>
      </c>
    </row>
    <row r="78" spans="1:16">
      <c r="B78" s="331" t="str">
        <f t="shared" si="17"/>
        <v>25-29</v>
      </c>
      <c r="C78" s="447">
        <f t="shared" ref="C78:C85" si="20">C44+(0.2*C43)-(0.2*C44)</f>
        <v>312.01676478125319</v>
      </c>
      <c r="D78" s="447">
        <f t="shared" ref="D78:N78" si="21">D44+(0.2*D43)-(0.2*D44)</f>
        <v>296.40584042241221</v>
      </c>
      <c r="E78" s="447">
        <f t="shared" si="21"/>
        <v>288.82257906432449</v>
      </c>
      <c r="F78" s="447">
        <f t="shared" si="21"/>
        <v>290.52756476676751</v>
      </c>
      <c r="G78" s="447">
        <f t="shared" si="21"/>
        <v>293.34058494146643</v>
      </c>
      <c r="H78" s="447">
        <f t="shared" si="21"/>
        <v>295.12722307187505</v>
      </c>
      <c r="I78" s="447">
        <f t="shared" si="21"/>
        <v>294.68355885485528</v>
      </c>
      <c r="J78" s="447">
        <f t="shared" si="21"/>
        <v>299.17865958021252</v>
      </c>
      <c r="K78" s="447">
        <f t="shared" si="21"/>
        <v>305.34833539991791</v>
      </c>
      <c r="L78" s="447">
        <f t="shared" si="21"/>
        <v>306.2173423489989</v>
      </c>
      <c r="M78" s="447">
        <f t="shared" si="21"/>
        <v>304.44968657557496</v>
      </c>
      <c r="N78" s="447">
        <f t="shared" si="21"/>
        <v>306.48837352645552</v>
      </c>
    </row>
    <row r="79" spans="1:16">
      <c r="B79" s="331" t="str">
        <f t="shared" si="17"/>
        <v>30-34</v>
      </c>
      <c r="C79" s="447">
        <f t="shared" si="20"/>
        <v>401.70788762483744</v>
      </c>
      <c r="D79" s="447">
        <f t="shared" ref="D79:N79" si="22">D45+(0.2*D44)-(0.2*D45)</f>
        <v>390.46438505872504</v>
      </c>
      <c r="E79" s="447">
        <f t="shared" si="22"/>
        <v>379.07980084316728</v>
      </c>
      <c r="F79" s="447">
        <f t="shared" si="22"/>
        <v>371.19978206190393</v>
      </c>
      <c r="G79" s="447">
        <f t="shared" si="22"/>
        <v>365.11009554865399</v>
      </c>
      <c r="H79" s="447">
        <f t="shared" si="22"/>
        <v>359.85779647996361</v>
      </c>
      <c r="I79" s="447">
        <f t="shared" si="22"/>
        <v>354.64148317009744</v>
      </c>
      <c r="J79" s="447">
        <f t="shared" si="22"/>
        <v>353.38002027143119</v>
      </c>
      <c r="K79" s="447">
        <f t="shared" si="22"/>
        <v>354.49591121909526</v>
      </c>
      <c r="L79" s="447">
        <f t="shared" si="22"/>
        <v>353.7553210907804</v>
      </c>
      <c r="M79" s="447">
        <f t="shared" si="22"/>
        <v>351.92412786326821</v>
      </c>
      <c r="N79" s="447">
        <f t="shared" si="22"/>
        <v>352.431639376926</v>
      </c>
    </row>
    <row r="80" spans="1:16">
      <c r="B80" s="331" t="str">
        <f t="shared" si="17"/>
        <v>35-39</v>
      </c>
      <c r="C80" s="447">
        <f t="shared" si="20"/>
        <v>389.44824386056547</v>
      </c>
      <c r="D80" s="447">
        <f t="shared" ref="D80:N80" si="23">D46+(0.2*D45)-(0.2*D46)</f>
        <v>387.43015402986737</v>
      </c>
      <c r="E80" s="447">
        <f t="shared" si="23"/>
        <v>384.02918078915394</v>
      </c>
      <c r="F80" s="447">
        <f t="shared" si="23"/>
        <v>380.35133029583386</v>
      </c>
      <c r="G80" s="447">
        <f t="shared" si="23"/>
        <v>375.96861411182965</v>
      </c>
      <c r="H80" s="447">
        <f t="shared" si="23"/>
        <v>370.76130104210944</v>
      </c>
      <c r="I80" s="447">
        <f t="shared" si="23"/>
        <v>364.83094242557172</v>
      </c>
      <c r="J80" s="447">
        <f t="shared" si="23"/>
        <v>361.23762815521621</v>
      </c>
      <c r="K80" s="447">
        <f t="shared" si="23"/>
        <v>359.15183396124769</v>
      </c>
      <c r="L80" s="447">
        <f t="shared" si="23"/>
        <v>356.02851253811639</v>
      </c>
      <c r="M80" s="447">
        <f t="shared" si="23"/>
        <v>352.61618396810422</v>
      </c>
      <c r="N80" s="447">
        <f t="shared" si="23"/>
        <v>351.18775811898553</v>
      </c>
    </row>
    <row r="81" spans="1:14">
      <c r="B81" s="331" t="str">
        <f t="shared" si="17"/>
        <v>40-44</v>
      </c>
      <c r="C81" s="447">
        <f t="shared" si="20"/>
        <v>321.19097208281732</v>
      </c>
      <c r="D81" s="447">
        <f t="shared" ref="D81:N81" si="24">D47+(0.2*D46)-(0.2*D47)</f>
        <v>328.3805531281082</v>
      </c>
      <c r="E81" s="447">
        <f t="shared" si="24"/>
        <v>333.56900348527142</v>
      </c>
      <c r="F81" s="447">
        <f t="shared" si="24"/>
        <v>337.4399582532908</v>
      </c>
      <c r="G81" s="447">
        <f t="shared" si="24"/>
        <v>339.53049293213974</v>
      </c>
      <c r="H81" s="447">
        <f t="shared" si="24"/>
        <v>339.57986082673995</v>
      </c>
      <c r="I81" s="447">
        <f t="shared" si="24"/>
        <v>337.75024588326465</v>
      </c>
      <c r="J81" s="447">
        <f t="shared" si="24"/>
        <v>336.78300284863388</v>
      </c>
      <c r="K81" s="447">
        <f t="shared" si="24"/>
        <v>336.08375029111119</v>
      </c>
      <c r="L81" s="447">
        <f t="shared" si="24"/>
        <v>333.70208819845152</v>
      </c>
      <c r="M81" s="447">
        <f t="shared" si="24"/>
        <v>330.57459941913373</v>
      </c>
      <c r="N81" s="447">
        <f t="shared" si="24"/>
        <v>328.83832444414213</v>
      </c>
    </row>
    <row r="82" spans="1:14">
      <c r="B82" s="331" t="str">
        <f t="shared" si="17"/>
        <v>45-49</v>
      </c>
      <c r="C82" s="447">
        <f t="shared" si="20"/>
        <v>263.57092673932698</v>
      </c>
      <c r="D82" s="447">
        <f t="shared" ref="D82:N82" si="25">D48+(0.2*D47)-(0.2*D48)</f>
        <v>267.64993777091775</v>
      </c>
      <c r="E82" s="447">
        <f t="shared" si="25"/>
        <v>272.24253658516596</v>
      </c>
      <c r="F82" s="447">
        <f t="shared" si="25"/>
        <v>277.04003290181106</v>
      </c>
      <c r="G82" s="447">
        <f t="shared" si="25"/>
        <v>281.23726789890145</v>
      </c>
      <c r="H82" s="447">
        <f t="shared" si="25"/>
        <v>284.13918127777805</v>
      </c>
      <c r="I82" s="447">
        <f t="shared" si="25"/>
        <v>285.53676048412353</v>
      </c>
      <c r="J82" s="447">
        <f t="shared" si="25"/>
        <v>287.43626944295005</v>
      </c>
      <c r="K82" s="447">
        <f t="shared" si="25"/>
        <v>289.20554360822393</v>
      </c>
      <c r="L82" s="447">
        <f t="shared" si="25"/>
        <v>289.16172109223527</v>
      </c>
      <c r="M82" s="447">
        <f t="shared" si="25"/>
        <v>288.04385997271964</v>
      </c>
      <c r="N82" s="447">
        <f t="shared" si="25"/>
        <v>287.63468783315778</v>
      </c>
    </row>
    <row r="83" spans="1:14">
      <c r="B83" s="331" t="str">
        <f t="shared" si="17"/>
        <v>50-54</v>
      </c>
      <c r="C83" s="447">
        <f t="shared" si="20"/>
        <v>207.45014559601157</v>
      </c>
      <c r="D83" s="447">
        <f t="shared" ref="D83:N83" si="26">D49+(0.2*D48)-(0.2*D49)</f>
        <v>207.11007980219614</v>
      </c>
      <c r="E83" s="447">
        <f t="shared" si="26"/>
        <v>207.87153521306425</v>
      </c>
      <c r="F83" s="447">
        <f t="shared" si="26"/>
        <v>209.58055126105839</v>
      </c>
      <c r="G83" s="447">
        <f t="shared" si="26"/>
        <v>211.66683602691285</v>
      </c>
      <c r="H83" s="447">
        <f t="shared" si="26"/>
        <v>213.4948982735568</v>
      </c>
      <c r="I83" s="447">
        <f t="shared" si="26"/>
        <v>214.76645462931441</v>
      </c>
      <c r="J83" s="447">
        <f t="shared" si="26"/>
        <v>216.84233957409376</v>
      </c>
      <c r="K83" s="447">
        <f t="shared" si="26"/>
        <v>219.08391165364358</v>
      </c>
      <c r="L83" s="447">
        <f t="shared" si="26"/>
        <v>220.08242898874852</v>
      </c>
      <c r="M83" s="447">
        <f t="shared" si="26"/>
        <v>220.29331241967554</v>
      </c>
      <c r="N83" s="447">
        <f t="shared" si="26"/>
        <v>220.98359288219737</v>
      </c>
    </row>
    <row r="84" spans="1:14">
      <c r="B84" s="331" t="str">
        <f t="shared" si="17"/>
        <v>55-59</v>
      </c>
      <c r="C84" s="447">
        <f t="shared" si="20"/>
        <v>145.90822375186352</v>
      </c>
      <c r="D84" s="447">
        <f t="shared" ref="D84:N84" si="27">D50+(0.2*D49)-(0.2*D50)</f>
        <v>132.67447992795337</v>
      </c>
      <c r="E84" s="447">
        <f t="shared" si="27"/>
        <v>124.69301746968388</v>
      </c>
      <c r="F84" s="447">
        <f t="shared" si="27"/>
        <v>120.37737562037486</v>
      </c>
      <c r="G84" s="447">
        <f t="shared" si="27"/>
        <v>118.00252912946725</v>
      </c>
      <c r="H84" s="447">
        <f t="shared" si="27"/>
        <v>116.65991992598038</v>
      </c>
      <c r="I84" s="447">
        <f t="shared" si="27"/>
        <v>115.80189519101751</v>
      </c>
      <c r="J84" s="447">
        <f t="shared" si="27"/>
        <v>116.12711791210955</v>
      </c>
      <c r="K84" s="447">
        <f t="shared" si="27"/>
        <v>116.97453123348197</v>
      </c>
      <c r="L84" s="447">
        <f t="shared" si="27"/>
        <v>117.26833306817007</v>
      </c>
      <c r="M84" s="447">
        <f t="shared" si="27"/>
        <v>117.29388471652931</v>
      </c>
      <c r="N84" s="447">
        <f t="shared" si="27"/>
        <v>117.84707758923594</v>
      </c>
    </row>
    <row r="85" spans="1:14">
      <c r="B85" s="331" t="str">
        <f t="shared" si="17"/>
        <v>60-64</v>
      </c>
      <c r="C85" s="447">
        <f t="shared" si="20"/>
        <v>44.768655251968426</v>
      </c>
      <c r="D85" s="447">
        <f t="shared" ref="D85:N85" si="28">D51+(0.2*D50)-(0.2*D51)</f>
        <v>49.316747910816012</v>
      </c>
      <c r="E85" s="447">
        <f t="shared" si="28"/>
        <v>49.624468725378307</v>
      </c>
      <c r="F85" s="447">
        <f t="shared" si="28"/>
        <v>48.825665694694457</v>
      </c>
      <c r="G85" s="447">
        <f t="shared" si="28"/>
        <v>47.699411651879743</v>
      </c>
      <c r="H85" s="447">
        <f t="shared" si="28"/>
        <v>46.61043615662151</v>
      </c>
      <c r="I85" s="447">
        <f t="shared" si="28"/>
        <v>45.645796316111017</v>
      </c>
      <c r="J85" s="447">
        <f t="shared" si="28"/>
        <v>45.360724250739231</v>
      </c>
      <c r="K85" s="447">
        <f t="shared" si="28"/>
        <v>45.419127931733961</v>
      </c>
      <c r="L85" s="447">
        <f t="shared" si="28"/>
        <v>45.239838951989498</v>
      </c>
      <c r="M85" s="447">
        <f t="shared" si="28"/>
        <v>45.012102851370273</v>
      </c>
      <c r="N85" s="447">
        <f t="shared" si="28"/>
        <v>45.173737968918395</v>
      </c>
    </row>
    <row r="86" spans="1:14">
      <c r="B86" s="331" t="str">
        <f t="shared" si="17"/>
        <v>65 plus</v>
      </c>
      <c r="C86" s="447">
        <f>C52+(0.2*C51)</f>
        <v>10.268979095735203</v>
      </c>
      <c r="D86" s="447">
        <f t="shared" ref="D86:N86" si="29">D52+(0.2*D51)</f>
        <v>13.768769129081129</v>
      </c>
      <c r="E86" s="447">
        <f t="shared" si="29"/>
        <v>16.452956271290827</v>
      </c>
      <c r="F86" s="447">
        <f t="shared" si="29"/>
        <v>18.194532114467201</v>
      </c>
      <c r="G86" s="447">
        <f t="shared" si="29"/>
        <v>19.124667780034265</v>
      </c>
      <c r="H86" s="447">
        <f t="shared" si="29"/>
        <v>19.475737879514487</v>
      </c>
      <c r="I86" s="447">
        <f t="shared" si="29"/>
        <v>19.461721398036708</v>
      </c>
      <c r="J86" s="447">
        <f t="shared" si="29"/>
        <v>19.471942656058257</v>
      </c>
      <c r="K86" s="447">
        <f t="shared" si="29"/>
        <v>19.506922801300796</v>
      </c>
      <c r="L86" s="447">
        <f t="shared" si="29"/>
        <v>19.393876748716409</v>
      </c>
      <c r="M86" s="447">
        <f t="shared" si="29"/>
        <v>19.227111460642746</v>
      </c>
      <c r="N86" s="447">
        <f t="shared" si="29"/>
        <v>19.212867629056309</v>
      </c>
    </row>
    <row r="87" spans="1:14">
      <c r="B87" s="331" t="str">
        <f t="shared" si="17"/>
        <v>Total</v>
      </c>
      <c r="C87" s="447">
        <f>SUM(C77:C86)</f>
        <v>2161.096128646454</v>
      </c>
      <c r="D87" s="447">
        <f t="shared" ref="D87:N87" si="30">SUM(D77:D86)</f>
        <v>2165.4574884737258</v>
      </c>
      <c r="E87" s="447">
        <f t="shared" si="30"/>
        <v>2166.6747150687038</v>
      </c>
      <c r="F87" s="447">
        <f t="shared" si="30"/>
        <v>2180.0383018007237</v>
      </c>
      <c r="G87" s="447">
        <f t="shared" si="30"/>
        <v>2188.4243927148727</v>
      </c>
      <c r="H87" s="447">
        <f t="shared" si="30"/>
        <v>2188.0436679577392</v>
      </c>
      <c r="I87" s="447">
        <f t="shared" si="30"/>
        <v>2177.2510923127493</v>
      </c>
      <c r="J87" s="447">
        <f t="shared" si="30"/>
        <v>2184.7549704049447</v>
      </c>
      <c r="K87" s="447">
        <f t="shared" si="30"/>
        <v>2199.2164972761639</v>
      </c>
      <c r="L87" s="447">
        <f t="shared" si="30"/>
        <v>2194.7952061129013</v>
      </c>
      <c r="M87" s="447">
        <f t="shared" si="30"/>
        <v>2181.4937356969172</v>
      </c>
      <c r="N87" s="447">
        <f t="shared" si="30"/>
        <v>2183.4020145572781</v>
      </c>
    </row>
    <row r="88" spans="1:14">
      <c r="A88" s="302">
        <f>SUM(C88:N88)</f>
        <v>0</v>
      </c>
      <c r="C88" s="302">
        <f>SUM(C77:C86)-C87</f>
        <v>0</v>
      </c>
      <c r="D88" s="302">
        <f t="shared" ref="D88:N88" si="31">SUM(D77:D86)-D87</f>
        <v>0</v>
      </c>
      <c r="E88" s="302">
        <f t="shared" si="31"/>
        <v>0</v>
      </c>
      <c r="F88" s="302">
        <f t="shared" si="31"/>
        <v>0</v>
      </c>
      <c r="G88" s="302">
        <f t="shared" si="31"/>
        <v>0</v>
      </c>
      <c r="H88" s="302">
        <f t="shared" si="31"/>
        <v>0</v>
      </c>
      <c r="I88" s="302">
        <f t="shared" si="31"/>
        <v>0</v>
      </c>
      <c r="J88" s="302">
        <f t="shared" si="31"/>
        <v>0</v>
      </c>
      <c r="K88" s="302">
        <f t="shared" si="31"/>
        <v>0</v>
      </c>
      <c r="L88" s="302">
        <f t="shared" si="31"/>
        <v>0</v>
      </c>
      <c r="M88" s="302">
        <f t="shared" si="31"/>
        <v>0</v>
      </c>
      <c r="N88" s="302">
        <f t="shared" si="31"/>
        <v>0</v>
      </c>
    </row>
    <row r="90" spans="1:14">
      <c r="B90" s="334" t="s">
        <v>47</v>
      </c>
      <c r="H90" s="318"/>
    </row>
    <row r="91" spans="1:14">
      <c r="H91" s="318"/>
    </row>
    <row r="92" spans="1:14">
      <c r="B92" s="331" t="str">
        <f t="shared" ref="B92:B103" si="32">B76</f>
        <v>Age group</v>
      </c>
      <c r="C92" s="331" t="str">
        <f t="shared" ref="C92:N92" si="33">C76</f>
        <v>2017/18</v>
      </c>
      <c r="D92" s="331" t="str">
        <f t="shared" si="33"/>
        <v>2018/19</v>
      </c>
      <c r="E92" s="331" t="str">
        <f t="shared" si="33"/>
        <v>2019/20</v>
      </c>
      <c r="F92" s="331" t="str">
        <f t="shared" si="33"/>
        <v>2020/21</v>
      </c>
      <c r="G92" s="331" t="str">
        <f t="shared" si="33"/>
        <v>2021/22</v>
      </c>
      <c r="H92" s="331" t="str">
        <f t="shared" si="33"/>
        <v>2022/23</v>
      </c>
      <c r="I92" s="331" t="str">
        <f t="shared" si="33"/>
        <v>2023/24</v>
      </c>
      <c r="J92" s="331" t="str">
        <f t="shared" si="33"/>
        <v>2024/25</v>
      </c>
      <c r="K92" s="331" t="str">
        <f t="shared" si="33"/>
        <v>2025/26</v>
      </c>
      <c r="L92" s="331" t="str">
        <f t="shared" si="33"/>
        <v>2026/27</v>
      </c>
      <c r="M92" s="331" t="str">
        <f t="shared" si="33"/>
        <v>2027/28</v>
      </c>
      <c r="N92" s="331" t="str">
        <f t="shared" si="33"/>
        <v>2028/29</v>
      </c>
    </row>
    <row r="93" spans="1:14">
      <c r="B93" s="331" t="str">
        <f t="shared" si="32"/>
        <v>20-24</v>
      </c>
      <c r="C93" s="447">
        <f>C59-(0.2*C59)</f>
        <v>98.950235717590502</v>
      </c>
      <c r="D93" s="447">
        <f t="shared" ref="D93:N93" si="34">D59-(0.2*D59)</f>
        <v>131.64010383954405</v>
      </c>
      <c r="E93" s="447">
        <f t="shared" si="34"/>
        <v>152.57901409725574</v>
      </c>
      <c r="F93" s="447">
        <f t="shared" si="34"/>
        <v>172.24401356703262</v>
      </c>
      <c r="G93" s="447">
        <f t="shared" si="34"/>
        <v>184.07972784358884</v>
      </c>
      <c r="H93" s="447">
        <f t="shared" si="34"/>
        <v>190.27324409687597</v>
      </c>
      <c r="I93" s="447">
        <f t="shared" si="34"/>
        <v>191.80396687064732</v>
      </c>
      <c r="J93" s="447">
        <f t="shared" si="34"/>
        <v>197.55247352725735</v>
      </c>
      <c r="K93" s="447">
        <f t="shared" si="34"/>
        <v>203.74240159409231</v>
      </c>
      <c r="L93" s="447">
        <f t="shared" si="34"/>
        <v>203.44401814540049</v>
      </c>
      <c r="M93" s="447">
        <f t="shared" si="34"/>
        <v>200.74595968150354</v>
      </c>
      <c r="N93" s="447">
        <f t="shared" si="34"/>
        <v>202.63826696489269</v>
      </c>
    </row>
    <row r="94" spans="1:14">
      <c r="B94" s="331" t="str">
        <f t="shared" si="32"/>
        <v>25-29</v>
      </c>
      <c r="C94" s="447">
        <f t="shared" ref="C94:C101" si="35">C60+(0.2*C59)-(0.2*C60)</f>
        <v>428.45955091183612</v>
      </c>
      <c r="D94" s="447">
        <f t="shared" ref="D94:N94" si="36">D60+(0.2*D59)-(0.2*D60)</f>
        <v>406.73526206570659</v>
      </c>
      <c r="E94" s="447">
        <f t="shared" si="36"/>
        <v>393.9166799964795</v>
      </c>
      <c r="F94" s="447">
        <f t="shared" si="36"/>
        <v>394.2708932120114</v>
      </c>
      <c r="G94" s="447">
        <f t="shared" si="36"/>
        <v>395.25375007174779</v>
      </c>
      <c r="H94" s="447">
        <f t="shared" si="36"/>
        <v>395.33673005302842</v>
      </c>
      <c r="I94" s="447">
        <f t="shared" si="36"/>
        <v>392.89495861859382</v>
      </c>
      <c r="J94" s="447">
        <f t="shared" si="36"/>
        <v>397.33594257249536</v>
      </c>
      <c r="K94" s="447">
        <f t="shared" si="36"/>
        <v>404.28472349630147</v>
      </c>
      <c r="L94" s="447">
        <f t="shared" si="36"/>
        <v>404.48411036541336</v>
      </c>
      <c r="M94" s="447">
        <f t="shared" si="36"/>
        <v>401.41383647736455</v>
      </c>
      <c r="N94" s="447">
        <f t="shared" si="36"/>
        <v>403.53639941381851</v>
      </c>
    </row>
    <row r="95" spans="1:14">
      <c r="B95" s="331" t="str">
        <f t="shared" si="32"/>
        <v>30-34</v>
      </c>
      <c r="C95" s="447">
        <f t="shared" si="35"/>
        <v>590.78438724477815</v>
      </c>
      <c r="D95" s="447">
        <f t="shared" ref="D95:N95" si="37">D61+(0.2*D60)-(0.2*D61)</f>
        <v>559.4103596014254</v>
      </c>
      <c r="E95" s="447">
        <f t="shared" si="37"/>
        <v>530.57185507219629</v>
      </c>
      <c r="F95" s="447">
        <f t="shared" si="37"/>
        <v>510.24776521301391</v>
      </c>
      <c r="G95" s="447">
        <f t="shared" si="37"/>
        <v>493.48175610230686</v>
      </c>
      <c r="H95" s="447">
        <f t="shared" si="37"/>
        <v>479.73672909087446</v>
      </c>
      <c r="I95" s="447">
        <f t="shared" si="37"/>
        <v>467.51594381988997</v>
      </c>
      <c r="J95" s="447">
        <f t="shared" si="37"/>
        <v>461.67133210731379</v>
      </c>
      <c r="K95" s="447">
        <f t="shared" si="37"/>
        <v>459.82279972784085</v>
      </c>
      <c r="L95" s="447">
        <f t="shared" si="37"/>
        <v>456.1767879027235</v>
      </c>
      <c r="M95" s="447">
        <f t="shared" si="37"/>
        <v>451.64202162847442</v>
      </c>
      <c r="N95" s="447">
        <f t="shared" si="37"/>
        <v>450.64957158274922</v>
      </c>
    </row>
    <row r="96" spans="1:14">
      <c r="B96" s="331" t="str">
        <f t="shared" si="32"/>
        <v>35-39</v>
      </c>
      <c r="C96" s="447">
        <f t="shared" si="35"/>
        <v>559.72636939323274</v>
      </c>
      <c r="D96" s="447">
        <f t="shared" ref="D96:N96" si="38">D62+(0.2*D61)-(0.2*D62)</f>
        <v>552.35541933924276</v>
      </c>
      <c r="E96" s="447">
        <f t="shared" si="38"/>
        <v>539.87759772929837</v>
      </c>
      <c r="F96" s="447">
        <f t="shared" si="38"/>
        <v>527.25915577953356</v>
      </c>
      <c r="G96" s="447">
        <f t="shared" si="38"/>
        <v>512.79239109398964</v>
      </c>
      <c r="H96" s="447">
        <f t="shared" si="38"/>
        <v>498.01095680390148</v>
      </c>
      <c r="I96" s="447">
        <f t="shared" si="38"/>
        <v>483.20198614228912</v>
      </c>
      <c r="J96" s="447">
        <f t="shared" si="38"/>
        <v>472.43560122908372</v>
      </c>
      <c r="K96" s="447">
        <f t="shared" si="38"/>
        <v>464.53498344673238</v>
      </c>
      <c r="L96" s="447">
        <f t="shared" si="38"/>
        <v>456.04242222800889</v>
      </c>
      <c r="M96" s="447">
        <f t="shared" si="38"/>
        <v>447.8772660787962</v>
      </c>
      <c r="N96" s="447">
        <f t="shared" si="38"/>
        <v>442.95779535302108</v>
      </c>
    </row>
    <row r="97" spans="1:14">
      <c r="B97" s="331" t="str">
        <f t="shared" si="32"/>
        <v>40-44</v>
      </c>
      <c r="C97" s="447">
        <f t="shared" si="35"/>
        <v>459.20838432033736</v>
      </c>
      <c r="D97" s="447">
        <f t="shared" ref="D97:N97" si="39">D63+(0.2*D62)-(0.2*D63)</f>
        <v>467.07107375206618</v>
      </c>
      <c r="E97" s="447">
        <f t="shared" si="39"/>
        <v>470.43328502107943</v>
      </c>
      <c r="F97" s="447">
        <f t="shared" si="39"/>
        <v>472.11802931112584</v>
      </c>
      <c r="G97" s="447">
        <f t="shared" si="39"/>
        <v>469.77878860881953</v>
      </c>
      <c r="H97" s="447">
        <f t="shared" si="39"/>
        <v>464.51051513396988</v>
      </c>
      <c r="I97" s="447">
        <f t="shared" si="39"/>
        <v>456.7435643886019</v>
      </c>
      <c r="J97" s="447">
        <f t="shared" si="39"/>
        <v>450.28006631795574</v>
      </c>
      <c r="K97" s="447">
        <f t="shared" si="39"/>
        <v>444.45753917243667</v>
      </c>
      <c r="L97" s="447">
        <f t="shared" si="39"/>
        <v>436.7823049905162</v>
      </c>
      <c r="M97" s="447">
        <f t="shared" si="39"/>
        <v>428.54550396151899</v>
      </c>
      <c r="N97" s="447">
        <f t="shared" si="39"/>
        <v>422.58816162926297</v>
      </c>
    </row>
    <row r="98" spans="1:14">
      <c r="B98" s="331" t="str">
        <f t="shared" si="32"/>
        <v>45-49</v>
      </c>
      <c r="C98" s="447">
        <f t="shared" si="35"/>
        <v>303.38963772476427</v>
      </c>
      <c r="D98" s="447">
        <f t="shared" ref="D98:N98" si="40">D64+(0.2*D63)-(0.2*D64)</f>
        <v>326.5774955353566</v>
      </c>
      <c r="E98" s="447">
        <f t="shared" si="40"/>
        <v>344.03773738288874</v>
      </c>
      <c r="F98" s="447">
        <f t="shared" si="40"/>
        <v>358.58856118793841</v>
      </c>
      <c r="G98" s="447">
        <f t="shared" si="40"/>
        <v>368.42091857969086</v>
      </c>
      <c r="H98" s="447">
        <f t="shared" si="40"/>
        <v>374.395683063467</v>
      </c>
      <c r="I98" s="447">
        <f t="shared" si="40"/>
        <v>376.79568337539081</v>
      </c>
      <c r="J98" s="447">
        <f t="shared" si="40"/>
        <v>378.71387850048052</v>
      </c>
      <c r="K98" s="447">
        <f t="shared" si="40"/>
        <v>379.65575883841245</v>
      </c>
      <c r="L98" s="447">
        <f t="shared" si="40"/>
        <v>377.67562641295808</v>
      </c>
      <c r="M98" s="447">
        <f t="shared" si="40"/>
        <v>373.97718136824938</v>
      </c>
      <c r="N98" s="447">
        <f t="shared" si="40"/>
        <v>371.08147276944271</v>
      </c>
    </row>
    <row r="99" spans="1:14">
      <c r="B99" s="331" t="str">
        <f t="shared" si="32"/>
        <v>50-54</v>
      </c>
      <c r="C99" s="447">
        <f t="shared" si="35"/>
        <v>213.98126645733154</v>
      </c>
      <c r="D99" s="447">
        <f t="shared" ref="D99:N99" si="41">D65+(0.2*D64)-(0.2*D65)</f>
        <v>222.97159526720935</v>
      </c>
      <c r="E99" s="447">
        <f t="shared" si="41"/>
        <v>232.91794862501965</v>
      </c>
      <c r="F99" s="447">
        <f t="shared" si="41"/>
        <v>244.09929045194036</v>
      </c>
      <c r="G99" s="447">
        <f t="shared" si="41"/>
        <v>253.87944866968502</v>
      </c>
      <c r="H99" s="447">
        <f t="shared" si="41"/>
        <v>262.02204186611272</v>
      </c>
      <c r="I99" s="447">
        <f t="shared" si="41"/>
        <v>268.12750720566652</v>
      </c>
      <c r="J99" s="447">
        <f t="shared" si="41"/>
        <v>274.08933150694168</v>
      </c>
      <c r="K99" s="447">
        <f t="shared" si="41"/>
        <v>279.20728609822879</v>
      </c>
      <c r="L99" s="447">
        <f t="shared" si="41"/>
        <v>281.78845328209468</v>
      </c>
      <c r="M99" s="447">
        <f t="shared" si="41"/>
        <v>282.60803742624296</v>
      </c>
      <c r="N99" s="447">
        <f t="shared" si="41"/>
        <v>283.49927272566811</v>
      </c>
    </row>
    <row r="100" spans="1:14">
      <c r="B100" s="331" t="str">
        <f t="shared" si="32"/>
        <v>55-59</v>
      </c>
      <c r="C100" s="447">
        <f t="shared" si="35"/>
        <v>136.04556041714847</v>
      </c>
      <c r="D100" s="447">
        <f t="shared" ref="D100:N100" si="42">D66+(0.2*D65)-(0.2*D66)</f>
        <v>131.33643707800454</v>
      </c>
      <c r="E100" s="447">
        <f t="shared" si="42"/>
        <v>129.65384021877611</v>
      </c>
      <c r="F100" s="447">
        <f t="shared" si="42"/>
        <v>131.1158508676285</v>
      </c>
      <c r="G100" s="447">
        <f t="shared" si="42"/>
        <v>133.528775539441</v>
      </c>
      <c r="H100" s="447">
        <f t="shared" si="42"/>
        <v>136.3474455794115</v>
      </c>
      <c r="I100" s="447">
        <f t="shared" si="42"/>
        <v>139.00174093980917</v>
      </c>
      <c r="J100" s="447">
        <f t="shared" si="42"/>
        <v>142.50232569848373</v>
      </c>
      <c r="K100" s="447">
        <f t="shared" si="42"/>
        <v>146.05047994457709</v>
      </c>
      <c r="L100" s="447">
        <f t="shared" si="42"/>
        <v>148.29426075465994</v>
      </c>
      <c r="M100" s="447">
        <f t="shared" si="42"/>
        <v>149.67644383219636</v>
      </c>
      <c r="N100" s="447">
        <f t="shared" si="42"/>
        <v>151.31880135390588</v>
      </c>
    </row>
    <row r="101" spans="1:14">
      <c r="B101" s="331" t="str">
        <f t="shared" si="32"/>
        <v>60-64</v>
      </c>
      <c r="C101" s="447">
        <f t="shared" si="35"/>
        <v>48.269808621256132</v>
      </c>
      <c r="D101" s="447">
        <f t="shared" ref="D101:N101" si="43">D67+(0.2*D66)-(0.2*D67)</f>
        <v>51.27897059631767</v>
      </c>
      <c r="E101" s="447">
        <f t="shared" si="43"/>
        <v>51.886605780131113</v>
      </c>
      <c r="F101" s="447">
        <f t="shared" si="43"/>
        <v>52.371167662933523</v>
      </c>
      <c r="G101" s="447">
        <f t="shared" si="43"/>
        <v>52.62037700175577</v>
      </c>
      <c r="H101" s="447">
        <f t="shared" si="43"/>
        <v>52.909565689535967</v>
      </c>
      <c r="I101" s="447">
        <f t="shared" si="43"/>
        <v>53.214333397263502</v>
      </c>
      <c r="J101" s="447">
        <f t="shared" si="43"/>
        <v>54.218281645954931</v>
      </c>
      <c r="K101" s="447">
        <f t="shared" si="43"/>
        <v>55.4663348482933</v>
      </c>
      <c r="L101" s="447">
        <f t="shared" si="43"/>
        <v>56.196890724599896</v>
      </c>
      <c r="M101" s="447">
        <f t="shared" si="43"/>
        <v>56.672251828541476</v>
      </c>
      <c r="N101" s="447">
        <f t="shared" si="43"/>
        <v>57.486422801128654</v>
      </c>
    </row>
    <row r="102" spans="1:14">
      <c r="B102" s="331" t="str">
        <f t="shared" si="32"/>
        <v>65 plus</v>
      </c>
      <c r="C102" s="447">
        <f>C68+(0.2*C67)</f>
        <v>11.913423814826412</v>
      </c>
      <c r="D102" s="447">
        <f t="shared" ref="D102:N102" si="44">D68+(0.2*D67)</f>
        <v>16.259688088507787</v>
      </c>
      <c r="E102" s="447">
        <f t="shared" si="44"/>
        <v>19.325258129601973</v>
      </c>
      <c r="F102" s="447">
        <f t="shared" si="44"/>
        <v>21.530086933309676</v>
      </c>
      <c r="G102" s="447">
        <f t="shared" si="44"/>
        <v>22.89418715530601</v>
      </c>
      <c r="H102" s="447">
        <f t="shared" si="44"/>
        <v>23.707206213781141</v>
      </c>
      <c r="I102" s="447">
        <f t="shared" si="44"/>
        <v>24.147296173643472</v>
      </c>
      <c r="J102" s="447">
        <f t="shared" si="44"/>
        <v>24.653411169787077</v>
      </c>
      <c r="K102" s="447">
        <f t="shared" si="44"/>
        <v>25.189375969686552</v>
      </c>
      <c r="L102" s="447">
        <f t="shared" si="44"/>
        <v>25.502528357199512</v>
      </c>
      <c r="M102" s="447">
        <f t="shared" si="44"/>
        <v>25.694904145952382</v>
      </c>
      <c r="N102" s="447">
        <f t="shared" si="44"/>
        <v>26.03000199795072</v>
      </c>
    </row>
    <row r="103" spans="1:14">
      <c r="B103" s="331" t="str">
        <f t="shared" si="32"/>
        <v>Total</v>
      </c>
      <c r="C103" s="447">
        <f>SUM(C93:C102)</f>
        <v>2850.7286246231015</v>
      </c>
      <c r="D103" s="447">
        <f t="shared" ref="D103:N103" si="45">SUM(D93:D102)</f>
        <v>2865.6364051633814</v>
      </c>
      <c r="E103" s="447">
        <f t="shared" si="45"/>
        <v>2865.1998220527266</v>
      </c>
      <c r="F103" s="447">
        <f t="shared" si="45"/>
        <v>2883.8448141864678</v>
      </c>
      <c r="G103" s="447">
        <f t="shared" si="45"/>
        <v>2886.7301206663319</v>
      </c>
      <c r="H103" s="447">
        <f t="shared" si="45"/>
        <v>2877.2501175909592</v>
      </c>
      <c r="I103" s="447">
        <f t="shared" si="45"/>
        <v>2853.4469809317957</v>
      </c>
      <c r="J103" s="447">
        <f t="shared" si="45"/>
        <v>2853.4526442757538</v>
      </c>
      <c r="K103" s="447">
        <f t="shared" si="45"/>
        <v>2862.4116831366018</v>
      </c>
      <c r="L103" s="447">
        <f t="shared" si="45"/>
        <v>2846.3874031635751</v>
      </c>
      <c r="M103" s="447">
        <f t="shared" si="45"/>
        <v>2818.8534064288401</v>
      </c>
      <c r="N103" s="447">
        <f t="shared" si="45"/>
        <v>2811.7861665918408</v>
      </c>
    </row>
    <row r="104" spans="1:14">
      <c r="A104" s="302">
        <f>SUM(C104:N104)</f>
        <v>0</v>
      </c>
      <c r="C104" s="302">
        <f>SUM(C93:C102)-C103</f>
        <v>0</v>
      </c>
      <c r="D104" s="302">
        <f t="shared" ref="D104:N104" si="46">SUM(D93:D102)-D103</f>
        <v>0</v>
      </c>
      <c r="E104" s="302">
        <f t="shared" si="46"/>
        <v>0</v>
      </c>
      <c r="F104" s="302">
        <f t="shared" si="46"/>
        <v>0</v>
      </c>
      <c r="G104" s="302">
        <f t="shared" si="46"/>
        <v>0</v>
      </c>
      <c r="H104" s="302">
        <f t="shared" si="46"/>
        <v>0</v>
      </c>
      <c r="I104" s="302">
        <f t="shared" si="46"/>
        <v>0</v>
      </c>
      <c r="J104" s="302">
        <f t="shared" si="46"/>
        <v>0</v>
      </c>
      <c r="K104" s="302">
        <f t="shared" si="46"/>
        <v>0</v>
      </c>
      <c r="L104" s="302">
        <f t="shared" si="46"/>
        <v>0</v>
      </c>
      <c r="M104" s="302">
        <f t="shared" si="46"/>
        <v>0</v>
      </c>
      <c r="N104" s="302">
        <f t="shared" si="46"/>
        <v>0</v>
      </c>
    </row>
    <row r="106" spans="1:14" ht="15.75">
      <c r="B106" s="333" t="s">
        <v>164</v>
      </c>
      <c r="H106" s="318"/>
    </row>
    <row r="107" spans="1:14">
      <c r="H107" s="318"/>
    </row>
    <row r="108" spans="1:14">
      <c r="B108" s="334" t="s">
        <v>46</v>
      </c>
      <c r="H108" s="318"/>
    </row>
    <row r="109" spans="1:14">
      <c r="H109" s="318"/>
    </row>
    <row r="110" spans="1:14">
      <c r="B110" s="331" t="str">
        <f t="shared" ref="B110:B121" si="47">B76</f>
        <v>Age group</v>
      </c>
      <c r="C110" s="331" t="str">
        <f t="shared" ref="C110:N110" si="48">C76</f>
        <v>2017/18</v>
      </c>
      <c r="D110" s="331" t="str">
        <f t="shared" si="48"/>
        <v>2018/19</v>
      </c>
      <c r="E110" s="331" t="str">
        <f t="shared" si="48"/>
        <v>2019/20</v>
      </c>
      <c r="F110" s="331" t="str">
        <f t="shared" si="48"/>
        <v>2020/21</v>
      </c>
      <c r="G110" s="331" t="str">
        <f t="shared" si="48"/>
        <v>2021/22</v>
      </c>
      <c r="H110" s="331" t="str">
        <f t="shared" si="48"/>
        <v>2022/23</v>
      </c>
      <c r="I110" s="331" t="str">
        <f t="shared" si="48"/>
        <v>2023/24</v>
      </c>
      <c r="J110" s="331" t="str">
        <f t="shared" si="48"/>
        <v>2024/25</v>
      </c>
      <c r="K110" s="331" t="str">
        <f t="shared" si="48"/>
        <v>2025/26</v>
      </c>
      <c r="L110" s="331" t="str">
        <f t="shared" si="48"/>
        <v>2026/27</v>
      </c>
      <c r="M110" s="331" t="str">
        <f t="shared" si="48"/>
        <v>2027/28</v>
      </c>
      <c r="N110" s="331" t="str">
        <f t="shared" si="48"/>
        <v>2028/29</v>
      </c>
    </row>
    <row r="111" spans="1:14">
      <c r="B111" s="331" t="str">
        <f t="shared" si="47"/>
        <v>20-24</v>
      </c>
      <c r="C111" s="447">
        <f>C77*Group_3_rates!E74</f>
        <v>7.9293439400613668</v>
      </c>
      <c r="D111" s="447">
        <f>D77*Group_3_rates!F74</f>
        <v>10.889034336378357</v>
      </c>
      <c r="E111" s="447">
        <f>E77*Group_3_rates!G74</f>
        <v>13.505987888277961</v>
      </c>
      <c r="F111" s="447">
        <f>F77*Group_3_rates!H74</f>
        <v>15.200393098370377</v>
      </c>
      <c r="G111" s="447">
        <f>G77*Group_3_rates!I74</f>
        <v>16.431115659882192</v>
      </c>
      <c r="H111" s="447">
        <f>H77*Group_3_rates!J74</f>
        <v>17.103219799719099</v>
      </c>
      <c r="I111" s="447">
        <f>I77*Group_3_rates!K74</f>
        <v>17.31889709931357</v>
      </c>
      <c r="J111" s="447">
        <f>J77*Group_3_rates!L74</f>
        <v>17.89626864352007</v>
      </c>
      <c r="K111" s="447">
        <f>K77*Group_3_rates!M74</f>
        <v>18.49819264041739</v>
      </c>
      <c r="L111" s="447">
        <f>L77*Group_3_rates!N74</f>
        <v>18.498086168075002</v>
      </c>
      <c r="M111" s="447">
        <f>M77*Group_3_rates!O74</f>
        <v>18.271359492064711</v>
      </c>
      <c r="N111" s="447">
        <f>N77*Group_3_rates!P74</f>
        <v>18.457017010391709</v>
      </c>
    </row>
    <row r="112" spans="1:14">
      <c r="B112" s="331" t="str">
        <f t="shared" si="47"/>
        <v>25-29</v>
      </c>
      <c r="C112" s="447">
        <f>C78*Group_3_rates!E75</f>
        <v>30.011411049745089</v>
      </c>
      <c r="D112" s="447">
        <f>D78*Group_3_rates!F75</f>
        <v>27.484811749037053</v>
      </c>
      <c r="E112" s="447">
        <f>E78*Group_3_rates!G75</f>
        <v>27.786676397043504</v>
      </c>
      <c r="F112" s="447">
        <f>F78*Group_3_rates!H75</f>
        <v>27.425860910882111</v>
      </c>
      <c r="G112" s="447">
        <f>G78*Group_3_rates!I75</f>
        <v>27.691410584672042</v>
      </c>
      <c r="H112" s="447">
        <f>H78*Group_3_rates!J75</f>
        <v>27.860069585762016</v>
      </c>
      <c r="I112" s="447">
        <f>I78*Group_3_rates!K75</f>
        <v>27.818187593886691</v>
      </c>
      <c r="J112" s="447">
        <f>J78*Group_3_rates!L75</f>
        <v>28.242526012077825</v>
      </c>
      <c r="K112" s="447">
        <f>K78*Group_3_rates!M75</f>
        <v>28.824944658075538</v>
      </c>
      <c r="L112" s="447">
        <f>L78*Group_3_rates!N75</f>
        <v>28.906979089938201</v>
      </c>
      <c r="M112" s="447">
        <f>M78*Group_3_rates!O75</f>
        <v>28.740112027189227</v>
      </c>
      <c r="N112" s="447">
        <f>N78*Group_3_rates!P75</f>
        <v>28.932564487941331</v>
      </c>
    </row>
    <row r="113" spans="1:14">
      <c r="B113" s="331" t="str">
        <f t="shared" si="47"/>
        <v>30-34</v>
      </c>
      <c r="C113" s="447">
        <f>C79*Group_3_rates!E76</f>
        <v>28.531596514226731</v>
      </c>
      <c r="D113" s="447">
        <f>D79*Group_3_rates!F76</f>
        <v>26.735891241609984</v>
      </c>
      <c r="E113" s="447">
        <f>E79*Group_3_rates!G76</f>
        <v>26.930432865490946</v>
      </c>
      <c r="F113" s="447">
        <f>F79*Group_3_rates!H76</f>
        <v>25.875447336510994</v>
      </c>
      <c r="G113" s="447">
        <f>G79*Group_3_rates!I76</f>
        <v>25.45094988181372</v>
      </c>
      <c r="H113" s="447">
        <f>H79*Group_3_rates!J76</f>
        <v>25.084824699324152</v>
      </c>
      <c r="I113" s="447">
        <f>I79*Group_3_rates!K76</f>
        <v>24.721207997852936</v>
      </c>
      <c r="J113" s="447">
        <f>J79*Group_3_rates!L76</f>
        <v>24.633274441911468</v>
      </c>
      <c r="K113" s="447">
        <f>K79*Group_3_rates!M76</f>
        <v>24.711060525968907</v>
      </c>
      <c r="L113" s="447">
        <f>L79*Group_3_rates!N76</f>
        <v>24.659435762730347</v>
      </c>
      <c r="M113" s="447">
        <f>M79*Group_3_rates!O76</f>
        <v>24.531787670756078</v>
      </c>
      <c r="N113" s="447">
        <f>N79*Group_3_rates!P76</f>
        <v>24.567165082271192</v>
      </c>
    </row>
    <row r="114" spans="1:14">
      <c r="B114" s="331" t="str">
        <f t="shared" si="47"/>
        <v>35-39</v>
      </c>
      <c r="C114" s="447">
        <f>C80*Group_3_rates!E77</f>
        <v>27.600098505873316</v>
      </c>
      <c r="D114" s="447">
        <f>D80*Group_3_rates!F77</f>
        <v>26.469871054854352</v>
      </c>
      <c r="E114" s="447">
        <f>E80*Group_3_rates!G77</f>
        <v>27.222128768482236</v>
      </c>
      <c r="F114" s="447">
        <f>F80*Group_3_rates!H77</f>
        <v>26.455152019534623</v>
      </c>
      <c r="G114" s="447">
        <f>G80*Group_3_rates!I77</f>
        <v>26.150314324301313</v>
      </c>
      <c r="H114" s="447">
        <f>H80*Group_3_rates!J77</f>
        <v>25.788122193237623</v>
      </c>
      <c r="I114" s="447">
        <f>I80*Group_3_rates!K77</f>
        <v>25.37563898039113</v>
      </c>
      <c r="J114" s="447">
        <f>J80*Group_3_rates!L77</f>
        <v>25.125707751802342</v>
      </c>
      <c r="K114" s="447">
        <f>K80*Group_3_rates!M77</f>
        <v>24.980631349834766</v>
      </c>
      <c r="L114" s="447">
        <f>L80*Group_3_rates!N77</f>
        <v>24.763390245431268</v>
      </c>
      <c r="M114" s="447">
        <f>M80*Group_3_rates!O77</f>
        <v>24.526047389314375</v>
      </c>
      <c r="N114" s="447">
        <f>N80*Group_3_rates!P77</f>
        <v>24.426693923250049</v>
      </c>
    </row>
    <row r="115" spans="1:14">
      <c r="B115" s="331" t="str">
        <f t="shared" si="47"/>
        <v>40-44</v>
      </c>
      <c r="C115" s="447">
        <f>C81*Group_3_rates!E78</f>
        <v>25.161939360670857</v>
      </c>
      <c r="D115" s="447">
        <f>D81*Group_3_rates!F78</f>
        <v>24.800231559654272</v>
      </c>
      <c r="E115" s="447">
        <f>E81*Group_3_rates!G78</f>
        <v>26.137463838982686</v>
      </c>
      <c r="F115" s="447">
        <f>F81*Group_3_rates!H78</f>
        <v>25.944286400927755</v>
      </c>
      <c r="G115" s="447">
        <f>G81*Group_3_rates!I78</f>
        <v>26.105018493000909</v>
      </c>
      <c r="H115" s="447">
        <f>H81*Group_3_rates!J78</f>
        <v>26.108814175062832</v>
      </c>
      <c r="I115" s="447">
        <f>I81*Group_3_rates!K78</f>
        <v>25.968143063251855</v>
      </c>
      <c r="J115" s="447">
        <f>J81*Group_3_rates!L78</f>
        <v>25.893775965651262</v>
      </c>
      <c r="K115" s="447">
        <f>K81*Group_3_rates!M78</f>
        <v>25.840013486800629</v>
      </c>
      <c r="L115" s="447">
        <f>L81*Group_3_rates!N78</f>
        <v>25.656897877842979</v>
      </c>
      <c r="M115" s="447">
        <f>M81*Group_3_rates!O78</f>
        <v>25.416438908412328</v>
      </c>
      <c r="N115" s="447">
        <f>N81*Group_3_rates!P78</f>
        <v>25.282944299608076</v>
      </c>
    </row>
    <row r="116" spans="1:14">
      <c r="B116" s="331" t="str">
        <f t="shared" si="47"/>
        <v>45-49</v>
      </c>
      <c r="C116" s="447">
        <f>C82*Group_3_rates!E79</f>
        <v>22.296954121358876</v>
      </c>
      <c r="D116" s="447">
        <f>D82*Group_3_rates!F79</f>
        <v>21.827937801158956</v>
      </c>
      <c r="E116" s="447">
        <f>E82*Group_3_rates!G79</f>
        <v>23.035677782561962</v>
      </c>
      <c r="F116" s="447">
        <f>F82*Group_3_rates!H79</f>
        <v>23.001438973885062</v>
      </c>
      <c r="G116" s="447">
        <f>G82*Group_3_rates!I79</f>
        <v>23.34991729174191</v>
      </c>
      <c r="H116" s="447">
        <f>H82*Group_3_rates!J79</f>
        <v>23.590850642754713</v>
      </c>
      <c r="I116" s="447">
        <f>I82*Group_3_rates!K79</f>
        <v>23.706885616073244</v>
      </c>
      <c r="J116" s="447">
        <f>J82*Group_3_rates!L79</f>
        <v>23.864593651764537</v>
      </c>
      <c r="K116" s="447">
        <f>K82*Group_3_rates!M79</f>
        <v>24.011488854289446</v>
      </c>
      <c r="L116" s="447">
        <f>L82*Group_3_rates!N79</f>
        <v>24.00785045980675</v>
      </c>
      <c r="M116" s="447">
        <f>M82*Group_3_rates!O79</f>
        <v>23.915039272728489</v>
      </c>
      <c r="N116" s="447">
        <f>N82*Group_3_rates!P79</f>
        <v>23.881067474864597</v>
      </c>
    </row>
    <row r="117" spans="1:14">
      <c r="B117" s="331" t="str">
        <f t="shared" si="47"/>
        <v>50-54</v>
      </c>
      <c r="C117" s="447">
        <f>C83*Group_3_rates!E80</f>
        <v>17.674457905744813</v>
      </c>
      <c r="D117" s="447">
        <f>D83*Group_3_rates!F80</f>
        <v>17.011049904187104</v>
      </c>
      <c r="E117" s="447">
        <f>E83*Group_3_rates!G80</f>
        <v>17.714314782316677</v>
      </c>
      <c r="F117" s="447">
        <f>F83*Group_3_rates!H80</f>
        <v>17.524586380073359</v>
      </c>
      <c r="G117" s="447">
        <f>G83*Group_3_rates!I80</f>
        <v>17.699036143530208</v>
      </c>
      <c r="H117" s="447">
        <f>H83*Group_3_rates!J80</f>
        <v>17.851894004418064</v>
      </c>
      <c r="I117" s="447">
        <f>I83*Group_3_rates!K80</f>
        <v>17.958218274773898</v>
      </c>
      <c r="J117" s="447">
        <f>J83*Group_3_rates!L80</f>
        <v>18.13179843195444</v>
      </c>
      <c r="K117" s="447">
        <f>K83*Group_3_rates!M80</f>
        <v>18.319232920979619</v>
      </c>
      <c r="L117" s="447">
        <f>L83*Group_3_rates!N80</f>
        <v>18.402726371043364</v>
      </c>
      <c r="M117" s="447">
        <f>M83*Group_3_rates!O80</f>
        <v>18.420359900868387</v>
      </c>
      <c r="N117" s="447">
        <f>N83*Group_3_rates!P80</f>
        <v>18.47807937683671</v>
      </c>
    </row>
    <row r="118" spans="1:14">
      <c r="B118" s="331" t="str">
        <f t="shared" si="47"/>
        <v>55-59</v>
      </c>
      <c r="C118" s="447">
        <f>C84*Group_3_rates!E81</f>
        <v>7.4038216192065578</v>
      </c>
      <c r="D118" s="447">
        <f>D84*Group_3_rates!F81</f>
        <v>6.4902450455637792</v>
      </c>
      <c r="E118" s="447">
        <f>E84*Group_3_rates!G81</f>
        <v>6.3287113294145811</v>
      </c>
      <c r="F118" s="447">
        <f>F84*Group_3_rates!H81</f>
        <v>5.9949489163391112</v>
      </c>
      <c r="G118" s="447">
        <f>G84*Group_3_rates!I81</f>
        <v>5.876678491155257</v>
      </c>
      <c r="H118" s="447">
        <f>H84*Group_3_rates!J81</f>
        <v>5.8098148172461848</v>
      </c>
      <c r="I118" s="447">
        <f>I84*Group_3_rates!K81</f>
        <v>5.76708407628636</v>
      </c>
      <c r="J118" s="447">
        <f>J84*Group_3_rates!L81</f>
        <v>5.7832805882084033</v>
      </c>
      <c r="K118" s="447">
        <f>K84*Group_3_rates!M81</f>
        <v>5.8254828670541716</v>
      </c>
      <c r="L118" s="447">
        <f>L84*Group_3_rates!N81</f>
        <v>5.8401145782158803</v>
      </c>
      <c r="M118" s="447">
        <f>M84*Group_3_rates!O81</f>
        <v>5.8413870833344914</v>
      </c>
      <c r="N118" s="447">
        <f>N84*Group_3_rates!P81</f>
        <v>5.8689368035013247</v>
      </c>
    </row>
    <row r="119" spans="1:14">
      <c r="B119" s="331" t="str">
        <f t="shared" si="47"/>
        <v>60-64</v>
      </c>
      <c r="C119" s="447">
        <f>C85*Group_3_rates!E82</f>
        <v>2.4179755370369556</v>
      </c>
      <c r="D119" s="447">
        <f>D85*Group_3_rates!F82</f>
        <v>2.5678509271871452</v>
      </c>
      <c r="E119" s="447">
        <f>E85*Group_3_rates!G82</f>
        <v>2.6808387942027907</v>
      </c>
      <c r="F119" s="447">
        <f>F85*Group_3_rates!H82</f>
        <v>2.5881560985105119</v>
      </c>
      <c r="G119" s="447">
        <f>G85*Group_3_rates!I82</f>
        <v>2.5284555039992163</v>
      </c>
      <c r="H119" s="447">
        <f>H85*Group_3_rates!J82</f>
        <v>2.4707309747156891</v>
      </c>
      <c r="I119" s="447">
        <f>I85*Group_3_rates!K82</f>
        <v>2.4195972430898909</v>
      </c>
      <c r="J119" s="447">
        <f>J85*Group_3_rates!L82</f>
        <v>2.4044861126217376</v>
      </c>
      <c r="K119" s="447">
        <f>K85*Group_3_rates!M82</f>
        <v>2.4075819811775738</v>
      </c>
      <c r="L119" s="447">
        <f>L85*Group_3_rates!N82</f>
        <v>2.3980782118030213</v>
      </c>
      <c r="M119" s="447">
        <f>M85*Group_3_rates!O82</f>
        <v>2.3860063522741775</v>
      </c>
      <c r="N119" s="447">
        <f>N85*Group_3_rates!P82</f>
        <v>2.3945743238371557</v>
      </c>
    </row>
    <row r="120" spans="1:14">
      <c r="B120" s="331" t="str">
        <f t="shared" si="47"/>
        <v>65 plus</v>
      </c>
      <c r="C120" s="447">
        <f>C86*Group_3_rates!E83</f>
        <v>0.94976552160529215</v>
      </c>
      <c r="D120" s="447">
        <f>D86*Group_3_rates!F83</f>
        <v>1.2276703639161302</v>
      </c>
      <c r="E120" s="447">
        <f>E86*Group_3_rates!G83</f>
        <v>1.5220539597796017</v>
      </c>
      <c r="F120" s="447">
        <f>F86*Group_3_rates!H83</f>
        <v>1.6515604015061909</v>
      </c>
      <c r="G120" s="447">
        <f>G86*Group_3_rates!I83</f>
        <v>1.7359909998647876</v>
      </c>
      <c r="H120" s="447">
        <f>H86*Group_3_rates!J83</f>
        <v>1.7678584571209894</v>
      </c>
      <c r="I120" s="447">
        <f>I86*Group_3_rates!K83</f>
        <v>1.7665861481860023</v>
      </c>
      <c r="J120" s="447">
        <f>J86*Group_3_rates!L83</f>
        <v>1.7675139557765336</v>
      </c>
      <c r="K120" s="447">
        <f>K86*Group_3_rates!M83</f>
        <v>1.7706891856949538</v>
      </c>
      <c r="L120" s="447">
        <f>L86*Group_3_rates!N83</f>
        <v>1.7604277300652975</v>
      </c>
      <c r="M120" s="447">
        <f>M86*Group_3_rates!O83</f>
        <v>1.745290053295405</v>
      </c>
      <c r="N120" s="447">
        <f>N86*Group_3_rates!P83</f>
        <v>1.743997107257228</v>
      </c>
    </row>
    <row r="121" spans="1:14">
      <c r="B121" s="331" t="str">
        <f t="shared" si="47"/>
        <v>Total</v>
      </c>
      <c r="C121" s="447">
        <f>SUM(C111:C120)</f>
        <v>169.97736407552986</v>
      </c>
      <c r="D121" s="447">
        <f t="shared" ref="D121:N121" si="49">SUM(D111:D120)</f>
        <v>165.50459398354712</v>
      </c>
      <c r="E121" s="447">
        <f t="shared" si="49"/>
        <v>172.86428640655296</v>
      </c>
      <c r="F121" s="447">
        <f t="shared" si="49"/>
        <v>171.66183053654009</v>
      </c>
      <c r="G121" s="447">
        <f t="shared" si="49"/>
        <v>173.01888737396155</v>
      </c>
      <c r="H121" s="447">
        <f t="shared" si="49"/>
        <v>173.43619934936132</v>
      </c>
      <c r="I121" s="447">
        <f t="shared" si="49"/>
        <v>172.82044609310557</v>
      </c>
      <c r="J121" s="447">
        <f t="shared" si="49"/>
        <v>173.7432255552886</v>
      </c>
      <c r="K121" s="447">
        <f t="shared" si="49"/>
        <v>175.18931847029299</v>
      </c>
      <c r="L121" s="447">
        <f t="shared" si="49"/>
        <v>174.89398649495212</v>
      </c>
      <c r="M121" s="447">
        <f t="shared" si="49"/>
        <v>173.79382815023766</v>
      </c>
      <c r="N121" s="447">
        <f t="shared" si="49"/>
        <v>174.03303988975938</v>
      </c>
    </row>
    <row r="122" spans="1:14">
      <c r="A122" s="302">
        <f>SUM(C122:N122)</f>
        <v>0</v>
      </c>
      <c r="C122" s="302">
        <f>SUM(C111:C120)-C121</f>
        <v>0</v>
      </c>
      <c r="D122" s="302">
        <f t="shared" ref="D122:N122" si="50">SUM(D111:D120)-D121</f>
        <v>0</v>
      </c>
      <c r="E122" s="302">
        <f t="shared" si="50"/>
        <v>0</v>
      </c>
      <c r="F122" s="302">
        <f t="shared" si="50"/>
        <v>0</v>
      </c>
      <c r="G122" s="302">
        <f t="shared" si="50"/>
        <v>0</v>
      </c>
      <c r="H122" s="302">
        <f t="shared" si="50"/>
        <v>0</v>
      </c>
      <c r="I122" s="302">
        <f t="shared" si="50"/>
        <v>0</v>
      </c>
      <c r="J122" s="302">
        <f t="shared" si="50"/>
        <v>0</v>
      </c>
      <c r="K122" s="302">
        <f t="shared" si="50"/>
        <v>0</v>
      </c>
      <c r="L122" s="302">
        <f t="shared" si="50"/>
        <v>0</v>
      </c>
      <c r="M122" s="302">
        <f t="shared" si="50"/>
        <v>0</v>
      </c>
      <c r="N122" s="302">
        <f t="shared" si="50"/>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1">B110</f>
        <v>Age group</v>
      </c>
      <c r="C126" s="331" t="str">
        <f t="shared" ref="C126:N126" si="52">C110</f>
        <v>2017/18</v>
      </c>
      <c r="D126" s="331" t="str">
        <f t="shared" si="52"/>
        <v>2018/19</v>
      </c>
      <c r="E126" s="331" t="str">
        <f t="shared" si="52"/>
        <v>2019/20</v>
      </c>
      <c r="F126" s="331" t="str">
        <f t="shared" si="52"/>
        <v>2020/21</v>
      </c>
      <c r="G126" s="331" t="str">
        <f t="shared" si="52"/>
        <v>2021/22</v>
      </c>
      <c r="H126" s="331" t="str">
        <f t="shared" si="52"/>
        <v>2022/23</v>
      </c>
      <c r="I126" s="331" t="str">
        <f t="shared" si="52"/>
        <v>2023/24</v>
      </c>
      <c r="J126" s="331" t="str">
        <f t="shared" si="52"/>
        <v>2024/25</v>
      </c>
      <c r="K126" s="331" t="str">
        <f t="shared" si="52"/>
        <v>2025/26</v>
      </c>
      <c r="L126" s="331" t="str">
        <f t="shared" si="52"/>
        <v>2026/27</v>
      </c>
      <c r="M126" s="331" t="str">
        <f t="shared" si="52"/>
        <v>2027/28</v>
      </c>
      <c r="N126" s="331" t="str">
        <f t="shared" si="52"/>
        <v>2028/29</v>
      </c>
    </row>
    <row r="127" spans="1:14">
      <c r="B127" s="331" t="str">
        <f t="shared" si="51"/>
        <v>20-24</v>
      </c>
      <c r="C127" s="447">
        <f>C93*Group_3_rates!E89</f>
        <v>11.547984560201407</v>
      </c>
      <c r="D127" s="447">
        <f>D93*Group_3_rates!F89</f>
        <v>15.438980914627797</v>
      </c>
      <c r="E127" s="447">
        <f>E93*Group_3_rates!G89</f>
        <v>18.192619957772351</v>
      </c>
      <c r="F127" s="447">
        <f>F93*Group_3_rates!H89</f>
        <v>20.801375357571036</v>
      </c>
      <c r="G127" s="447">
        <f>G93*Group_3_rates!I89</f>
        <v>22.230737865985844</v>
      </c>
      <c r="H127" s="447">
        <f>H93*Group_3_rates!J89</f>
        <v>22.978709616642387</v>
      </c>
      <c r="I127" s="447">
        <f>I93*Group_3_rates!K89</f>
        <v>23.163570258972975</v>
      </c>
      <c r="J127" s="447">
        <f>J93*Group_3_rates!L89</f>
        <v>23.857799580696863</v>
      </c>
      <c r="K127" s="447">
        <f>K93*Group_3_rates!M89</f>
        <v>24.605337997203215</v>
      </c>
      <c r="L127" s="447">
        <f>L93*Group_3_rates!N89</f>
        <v>24.569303153447617</v>
      </c>
      <c r="M127" s="447">
        <f>M93*Group_3_rates!O89</f>
        <v>24.243466999946985</v>
      </c>
      <c r="N127" s="447">
        <f>N93*Group_3_rates!P89</f>
        <v>24.471995082162888</v>
      </c>
    </row>
    <row r="128" spans="1:14">
      <c r="B128" s="331" t="str">
        <f t="shared" si="51"/>
        <v>25-29</v>
      </c>
      <c r="C128" s="447">
        <f>C94*Group_3_rates!E90</f>
        <v>39.878992118889805</v>
      </c>
      <c r="D128" s="447">
        <f>D94*Group_3_rates!F90</f>
        <v>38.044092018868213</v>
      </c>
      <c r="E128" s="447">
        <f>E94*Group_3_rates!G90</f>
        <v>37.458449580831676</v>
      </c>
      <c r="F128" s="447">
        <f>F94*Group_3_rates!H90</f>
        <v>37.97411094111429</v>
      </c>
      <c r="G128" s="447">
        <f>G94*Group_3_rates!I90</f>
        <v>38.068774574858097</v>
      </c>
      <c r="H128" s="447">
        <f>H94*Group_3_rates!J90</f>
        <v>38.076766772784175</v>
      </c>
      <c r="I128" s="447">
        <f>I94*Group_3_rates!K90</f>
        <v>37.841588115316796</v>
      </c>
      <c r="J128" s="447">
        <f>J94*Group_3_rates!L90</f>
        <v>38.269320469534691</v>
      </c>
      <c r="K128" s="447">
        <f>K94*Group_3_rates!M90</f>
        <v>38.93859071557393</v>
      </c>
      <c r="L128" s="447">
        <f>L94*Group_3_rates!N90</f>
        <v>38.957794616288417</v>
      </c>
      <c r="M128" s="447">
        <f>M94*Group_3_rates!O90</f>
        <v>38.662081888690039</v>
      </c>
      <c r="N128" s="447">
        <f>N94*Group_3_rates!P90</f>
        <v>38.866516052652173</v>
      </c>
    </row>
    <row r="129" spans="1:14">
      <c r="B129" s="331" t="str">
        <f t="shared" si="51"/>
        <v>30-34</v>
      </c>
      <c r="C129" s="447">
        <f>C95*Group_3_rates!E91</f>
        <v>47.350642925708975</v>
      </c>
      <c r="D129" s="447">
        <f>D95*Group_3_rates!F91</f>
        <v>45.057638675050626</v>
      </c>
      <c r="E129" s="447">
        <f>E95*Group_3_rates!G91</f>
        <v>43.446236359848875</v>
      </c>
      <c r="F129" s="447">
        <f>F95*Group_3_rates!H91</f>
        <v>42.31911087289771</v>
      </c>
      <c r="G129" s="447">
        <f>G95*Group_3_rates!I91</f>
        <v>40.928565638160975</v>
      </c>
      <c r="H129" s="447">
        <f>H95*Group_3_rates!J91</f>
        <v>39.788575692678414</v>
      </c>
      <c r="I129" s="447">
        <f>I95*Group_3_rates!K91</f>
        <v>38.775003851514619</v>
      </c>
      <c r="J129" s="447">
        <f>J95*Group_3_rates!L91</f>
        <v>38.290261363773801</v>
      </c>
      <c r="K129" s="447">
        <f>K95*Group_3_rates!M91</f>
        <v>38.136947126941429</v>
      </c>
      <c r="L129" s="447">
        <f>L95*Group_3_rates!N91</f>
        <v>37.834552899684752</v>
      </c>
      <c r="M129" s="447">
        <f>M95*Group_3_rates!O91</f>
        <v>37.458446839401454</v>
      </c>
      <c r="N129" s="447">
        <f>N95*Group_3_rates!P91</f>
        <v>37.376134664054</v>
      </c>
    </row>
    <row r="130" spans="1:14">
      <c r="B130" s="331" t="str">
        <f t="shared" si="51"/>
        <v>35-39</v>
      </c>
      <c r="C130" s="447">
        <f>C96*Group_3_rates!E92</f>
        <v>43.620254070669404</v>
      </c>
      <c r="D130" s="447">
        <f>D96*Group_3_rates!F92</f>
        <v>43.25856367799107</v>
      </c>
      <c r="E130" s="447">
        <f>E96*Group_3_rates!G92</f>
        <v>42.985186121268391</v>
      </c>
      <c r="F130" s="447">
        <f>F96*Group_3_rates!H92</f>
        <v>42.520181136508704</v>
      </c>
      <c r="G130" s="447">
        <f>G96*Group_3_rates!I92</f>
        <v>41.353526279697107</v>
      </c>
      <c r="H130" s="447">
        <f>H96*Group_3_rates!J92</f>
        <v>40.16149527069031</v>
      </c>
      <c r="I130" s="447">
        <f>I96*Group_3_rates!K92</f>
        <v>38.967243624085825</v>
      </c>
      <c r="J130" s="447">
        <f>J96*Group_3_rates!L92</f>
        <v>38.09900144815235</v>
      </c>
      <c r="K130" s="447">
        <f>K96*Group_3_rates!M92</f>
        <v>37.461865619379054</v>
      </c>
      <c r="L130" s="447">
        <f>L96*Group_3_rates!N92</f>
        <v>36.776993223376508</v>
      </c>
      <c r="M130" s="447">
        <f>M96*Group_3_rates!O92</f>
        <v>36.118524015840215</v>
      </c>
      <c r="N130" s="447">
        <f>N96*Group_3_rates!P92</f>
        <v>35.721799209712479</v>
      </c>
    </row>
    <row r="131" spans="1:14">
      <c r="B131" s="331" t="str">
        <f t="shared" si="51"/>
        <v>40-44</v>
      </c>
      <c r="C131" s="447">
        <f>C97*Group_3_rates!E93</f>
        <v>36.112857989277522</v>
      </c>
      <c r="D131" s="447">
        <f>D97*Group_3_rates!F93</f>
        <v>36.912722316476192</v>
      </c>
      <c r="E131" s="447">
        <f>E97*Group_3_rates!G93</f>
        <v>37.797334564070312</v>
      </c>
      <c r="F131" s="447">
        <f>F97*Group_3_rates!H93</f>
        <v>38.420338734676854</v>
      </c>
      <c r="G131" s="447">
        <f>G97*Group_3_rates!I93</f>
        <v>38.229974430446219</v>
      </c>
      <c r="H131" s="447">
        <f>H97*Group_3_rates!J93</f>
        <v>37.801249325950685</v>
      </c>
      <c r="I131" s="447">
        <f>I97*Group_3_rates!K93</f>
        <v>37.16918518087239</v>
      </c>
      <c r="J131" s="447">
        <f>J97*Group_3_rates!L93</f>
        <v>36.643194284808757</v>
      </c>
      <c r="K131" s="447">
        <f>K97*Group_3_rates!M93</f>
        <v>36.169364752077072</v>
      </c>
      <c r="L131" s="447">
        <f>L97*Group_3_rates!N93</f>
        <v>35.544764379226187</v>
      </c>
      <c r="M131" s="447">
        <f>M97*Group_3_rates!O93</f>
        <v>34.874464441547552</v>
      </c>
      <c r="N131" s="447">
        <f>N97*Group_3_rates!P93</f>
        <v>34.389663827816122</v>
      </c>
    </row>
    <row r="132" spans="1:14">
      <c r="B132" s="331" t="str">
        <f t="shared" si="51"/>
        <v>45-49</v>
      </c>
      <c r="C132" s="447">
        <f>C98*Group_3_rates!E94</f>
        <v>26.69805620935912</v>
      </c>
      <c r="D132" s="447">
        <f>D98*Group_3_rates!F94</f>
        <v>28.880599670856878</v>
      </c>
      <c r="E132" s="447">
        <f>E98*Group_3_rates!G94</f>
        <v>30.931149777421169</v>
      </c>
      <c r="F132" s="447">
        <f>F98*Group_3_rates!H94</f>
        <v>32.653811701684241</v>
      </c>
      <c r="G132" s="447">
        <f>G98*Group_3_rates!I94</f>
        <v>33.549166382799342</v>
      </c>
      <c r="H132" s="447">
        <f>H98*Group_3_rates!J94</f>
        <v>34.093240721837958</v>
      </c>
      <c r="I132" s="447">
        <f>I98*Group_3_rates!K94</f>
        <v>34.311789685056198</v>
      </c>
      <c r="J132" s="447">
        <f>J98*Group_3_rates!L94</f>
        <v>34.486464477286781</v>
      </c>
      <c r="K132" s="447">
        <f>K98*Group_3_rates!M94</f>
        <v>34.572234037527238</v>
      </c>
      <c r="L132" s="447">
        <f>L98*Group_3_rates!N94</f>
        <v>34.391919107371677</v>
      </c>
      <c r="M132" s="447">
        <f>M98*Group_3_rates!O94</f>
        <v>34.055131096959798</v>
      </c>
      <c r="N132" s="447">
        <f>N98*Group_3_rates!P94</f>
        <v>33.791441917876298</v>
      </c>
    </row>
    <row r="133" spans="1:14">
      <c r="B133" s="331" t="str">
        <f t="shared" si="51"/>
        <v>50-54</v>
      </c>
      <c r="C133" s="447">
        <f>C99*Group_3_rates!E95</f>
        <v>18.598523530349837</v>
      </c>
      <c r="D133" s="447">
        <f>D99*Group_3_rates!F95</f>
        <v>19.475710428852796</v>
      </c>
      <c r="E133" s="447">
        <f>E99*Group_3_rates!G95</f>
        <v>20.683153395724201</v>
      </c>
      <c r="F133" s="447">
        <f>F99*Group_3_rates!H95</f>
        <v>21.954714032761629</v>
      </c>
      <c r="G133" s="447">
        <f>G99*Group_3_rates!I95</f>
        <v>22.834358444952262</v>
      </c>
      <c r="H133" s="447">
        <f>H99*Group_3_rates!J95</f>
        <v>23.566717415687894</v>
      </c>
      <c r="I133" s="447">
        <f>I99*Group_3_rates!K95</f>
        <v>24.115853569744978</v>
      </c>
      <c r="J133" s="447">
        <f>J99*Group_3_rates!L95</f>
        <v>24.652070399403627</v>
      </c>
      <c r="K133" s="447">
        <f>K99*Group_3_rates!M95</f>
        <v>25.112388122066118</v>
      </c>
      <c r="L133" s="447">
        <f>L99*Group_3_rates!N95</f>
        <v>25.344542780474196</v>
      </c>
      <c r="M133" s="447">
        <f>M99*Group_3_rates!O95</f>
        <v>25.418257601509712</v>
      </c>
      <c r="N133" s="447">
        <f>N99*Group_3_rates!P95</f>
        <v>25.498416851864576</v>
      </c>
    </row>
    <row r="134" spans="1:14">
      <c r="B134" s="331" t="str">
        <f t="shared" si="51"/>
        <v>55-59</v>
      </c>
      <c r="C134" s="447">
        <f>C100*Group_3_rates!E96</f>
        <v>7.9988622904995506</v>
      </c>
      <c r="D134" s="447">
        <f>D100*Group_3_rates!F96</f>
        <v>7.7601502346006388</v>
      </c>
      <c r="E134" s="447">
        <f>E100*Group_3_rates!G96</f>
        <v>7.788257681726833</v>
      </c>
      <c r="F134" s="447">
        <f>F100*Group_3_rates!H96</f>
        <v>7.9773307043012061</v>
      </c>
      <c r="G134" s="447">
        <f>G100*Group_3_rates!I96</f>
        <v>8.1241375010709493</v>
      </c>
      <c r="H134" s="447">
        <f>H100*Group_3_rates!J96</f>
        <v>8.2956305959664807</v>
      </c>
      <c r="I134" s="447">
        <f>I100*Group_3_rates!K96</f>
        <v>8.4571228315479843</v>
      </c>
      <c r="J134" s="447">
        <f>J100*Group_3_rates!L96</f>
        <v>8.6701048782920989</v>
      </c>
      <c r="K134" s="447">
        <f>K100*Group_3_rates!M96</f>
        <v>8.885981140572035</v>
      </c>
      <c r="L134" s="447">
        <f>L100*Group_3_rates!N96</f>
        <v>9.0224969121705936</v>
      </c>
      <c r="M134" s="447">
        <f>M100*Group_3_rates!O96</f>
        <v>9.1065914852556471</v>
      </c>
      <c r="N134" s="447">
        <f>N100*Group_3_rates!P96</f>
        <v>9.2065155523968549</v>
      </c>
    </row>
    <row r="135" spans="1:14">
      <c r="B135" s="331" t="str">
        <f t="shared" si="51"/>
        <v>60-64</v>
      </c>
      <c r="C135" s="447">
        <f>C101*Group_3_rates!E97</f>
        <v>2.3824481940523361</v>
      </c>
      <c r="D135" s="447">
        <f>D101*Group_3_rates!F97</f>
        <v>2.5434794893693811</v>
      </c>
      <c r="E135" s="447">
        <f>E101*Group_3_rates!G97</f>
        <v>2.6164607972427052</v>
      </c>
      <c r="F135" s="447">
        <f>F101*Group_3_rates!H97</f>
        <v>2.6748454780192907</v>
      </c>
      <c r="G135" s="447">
        <f>G101*Group_3_rates!I97</f>
        <v>2.6875737883239066</v>
      </c>
      <c r="H135" s="447">
        <f>H101*Group_3_rates!J97</f>
        <v>2.7023440347843586</v>
      </c>
      <c r="I135" s="447">
        <f>I101*Group_3_rates!K97</f>
        <v>2.7179099761456063</v>
      </c>
      <c r="J135" s="447">
        <f>J101*Group_3_rates!L97</f>
        <v>2.7691864046274235</v>
      </c>
      <c r="K135" s="447">
        <f>K101*Group_3_rates!M97</f>
        <v>2.8329304381018776</v>
      </c>
      <c r="L135" s="447">
        <f>L101*Group_3_rates!N97</f>
        <v>2.8702434133396277</v>
      </c>
      <c r="M135" s="447">
        <f>M101*Group_3_rates!O97</f>
        <v>2.8945223736157861</v>
      </c>
      <c r="N135" s="447">
        <f>N101*Group_3_rates!P97</f>
        <v>2.9361059708801402</v>
      </c>
    </row>
    <row r="136" spans="1:14">
      <c r="B136" s="331" t="str">
        <f t="shared" si="51"/>
        <v>65 plus</v>
      </c>
      <c r="C136" s="447">
        <f>C102*Group_3_rates!E98</f>
        <v>0.91038880900943742</v>
      </c>
      <c r="D136" s="447">
        <f>D102*Group_3_rates!F98</f>
        <v>1.2486582229409293</v>
      </c>
      <c r="E136" s="447">
        <f>E102*Group_3_rates!G98</f>
        <v>1.5087827274497596</v>
      </c>
      <c r="F136" s="447">
        <f>F102*Group_3_rates!H98</f>
        <v>1.702529535194703</v>
      </c>
      <c r="G136" s="447">
        <f>G102*Group_3_rates!I98</f>
        <v>1.8103981622052767</v>
      </c>
      <c r="H136" s="447">
        <f>H102*Group_3_rates!J98</f>
        <v>1.874689075847088</v>
      </c>
      <c r="I136" s="447">
        <f>I102*Group_3_rates!K98</f>
        <v>1.909489964349264</v>
      </c>
      <c r="J136" s="447">
        <f>J102*Group_3_rates!L98</f>
        <v>1.9495118988546154</v>
      </c>
      <c r="K136" s="447">
        <f>K102*Group_3_rates!M98</f>
        <v>1.9918942591525588</v>
      </c>
      <c r="L136" s="447">
        <f>L102*Group_3_rates!N98</f>
        <v>2.0166573356050139</v>
      </c>
      <c r="M136" s="447">
        <f>M102*Group_3_rates!O98</f>
        <v>2.0318697898427818</v>
      </c>
      <c r="N136" s="447">
        <f>N102*Group_3_rates!P98</f>
        <v>2.0583682425417731</v>
      </c>
    </row>
    <row r="137" spans="1:14">
      <c r="B137" s="331" t="str">
        <f t="shared" si="51"/>
        <v>Total</v>
      </c>
      <c r="C137" s="447">
        <f>SUM(C127:C136)</f>
        <v>235.09901069801739</v>
      </c>
      <c r="D137" s="447">
        <f t="shared" ref="D137:N137" si="53">SUM(D127:D136)</f>
        <v>238.62059564963454</v>
      </c>
      <c r="E137" s="447">
        <f t="shared" si="53"/>
        <v>243.40763096335627</v>
      </c>
      <c r="F137" s="447">
        <f t="shared" si="53"/>
        <v>248.99834849472964</v>
      </c>
      <c r="G137" s="447">
        <f t="shared" si="53"/>
        <v>249.81721306849997</v>
      </c>
      <c r="H137" s="447">
        <f t="shared" si="53"/>
        <v>249.33941852286978</v>
      </c>
      <c r="I137" s="447">
        <f t="shared" si="53"/>
        <v>247.42875705760667</v>
      </c>
      <c r="J137" s="447">
        <f t="shared" si="53"/>
        <v>247.68691520543101</v>
      </c>
      <c r="K137" s="447">
        <f t="shared" si="53"/>
        <v>248.7075342085945</v>
      </c>
      <c r="L137" s="447">
        <f t="shared" si="53"/>
        <v>247.3292678209846</v>
      </c>
      <c r="M137" s="447">
        <f t="shared" si="53"/>
        <v>244.86335653260997</v>
      </c>
      <c r="N137" s="447">
        <f t="shared" si="53"/>
        <v>244.31695737195733</v>
      </c>
    </row>
    <row r="138" spans="1:14">
      <c r="A138" s="302">
        <f>SUM(C138:N138)</f>
        <v>0</v>
      </c>
      <c r="C138" s="302">
        <f>SUM(C127:C136)-C137</f>
        <v>0</v>
      </c>
      <c r="D138" s="302">
        <f t="shared" ref="D138:N138" si="54">SUM(D127:D136)-D137</f>
        <v>0</v>
      </c>
      <c r="E138" s="302">
        <f t="shared" si="54"/>
        <v>0</v>
      </c>
      <c r="F138" s="302">
        <f t="shared" si="54"/>
        <v>0</v>
      </c>
      <c r="G138" s="302">
        <f t="shared" si="54"/>
        <v>0</v>
      </c>
      <c r="H138" s="302">
        <f t="shared" si="54"/>
        <v>0</v>
      </c>
      <c r="I138" s="302">
        <f t="shared" si="54"/>
        <v>0</v>
      </c>
      <c r="J138" s="302">
        <f t="shared" si="54"/>
        <v>0</v>
      </c>
      <c r="K138" s="302">
        <f t="shared" si="54"/>
        <v>0</v>
      </c>
      <c r="L138" s="302">
        <f t="shared" si="54"/>
        <v>0</v>
      </c>
      <c r="M138" s="302">
        <f t="shared" si="54"/>
        <v>0</v>
      </c>
      <c r="N138" s="302">
        <f t="shared" si="54"/>
        <v>0</v>
      </c>
    </row>
    <row r="140" spans="1:14" ht="15.75">
      <c r="B140" s="333" t="s">
        <v>165</v>
      </c>
      <c r="H140" s="318"/>
    </row>
    <row r="141" spans="1:14">
      <c r="H141" s="318"/>
    </row>
    <row r="142" spans="1:14">
      <c r="B142" s="334" t="s">
        <v>46</v>
      </c>
      <c r="H142" s="318"/>
    </row>
    <row r="143" spans="1:14">
      <c r="H143" s="318"/>
    </row>
    <row r="144" spans="1:14">
      <c r="B144" s="331" t="str">
        <f t="shared" ref="B144:B155" si="55">B110</f>
        <v>Age group</v>
      </c>
      <c r="C144" s="331" t="str">
        <f t="shared" ref="C144:N144" si="56">C110</f>
        <v>2017/18</v>
      </c>
      <c r="D144" s="331" t="str">
        <f t="shared" si="56"/>
        <v>2018/19</v>
      </c>
      <c r="E144" s="331" t="str">
        <f t="shared" si="56"/>
        <v>2019/20</v>
      </c>
      <c r="F144" s="331" t="str">
        <f t="shared" si="56"/>
        <v>2020/21</v>
      </c>
      <c r="G144" s="331" t="str">
        <f t="shared" si="56"/>
        <v>2021/22</v>
      </c>
      <c r="H144" s="331" t="str">
        <f t="shared" si="56"/>
        <v>2022/23</v>
      </c>
      <c r="I144" s="331" t="str">
        <f t="shared" si="56"/>
        <v>2023/24</v>
      </c>
      <c r="J144" s="331" t="str">
        <f t="shared" si="56"/>
        <v>2024/25</v>
      </c>
      <c r="K144" s="331" t="str">
        <f t="shared" si="56"/>
        <v>2025/26</v>
      </c>
      <c r="L144" s="331" t="str">
        <f t="shared" si="56"/>
        <v>2026/27</v>
      </c>
      <c r="M144" s="331" t="str">
        <f t="shared" si="56"/>
        <v>2027/28</v>
      </c>
      <c r="N144" s="331" t="str">
        <f t="shared" si="56"/>
        <v>2028/29</v>
      </c>
    </row>
    <row r="145" spans="1:14">
      <c r="B145" s="331" t="str">
        <f t="shared" si="55"/>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5"/>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5"/>
        <v>30-34</v>
      </c>
      <c r="C147" s="447">
        <f>C79*Calc_SEC_retirement_rates!$G126</f>
        <v>5.4935543037499812E-2</v>
      </c>
      <c r="D147" s="447">
        <f>D79*Calc_SEC_retirement_rates!$G126</f>
        <v>5.3397938379635197E-2</v>
      </c>
      <c r="E147" s="447">
        <f>E79*Calc_SEC_retirement_rates!$G126</f>
        <v>5.1841040107520844E-2</v>
      </c>
      <c r="F147" s="447">
        <f>F79*Calc_SEC_retirement_rates!$G126</f>
        <v>5.0763408514439737E-2</v>
      </c>
      <c r="G147" s="447">
        <f>G79*Calc_SEC_retirement_rates!$G126</f>
        <v>4.9930613725391537E-2</v>
      </c>
      <c r="H147" s="447">
        <f>H79*Calc_SEC_retirement_rates!$G126</f>
        <v>4.9212335816436636E-2</v>
      </c>
      <c r="I147" s="447">
        <f>I79*Calc_SEC_retirement_rates!$G126</f>
        <v>4.8498979138215617E-2</v>
      </c>
      <c r="J147" s="447">
        <f>J79*Calc_SEC_retirement_rates!$G126</f>
        <v>4.8326467839596036E-2</v>
      </c>
      <c r="K147" s="447">
        <f>K79*Calc_SEC_retirement_rates!$G126</f>
        <v>4.8479071452990373E-2</v>
      </c>
      <c r="L147" s="447">
        <f>L79*Calc_SEC_retirement_rates!$G126</f>
        <v>4.8377792085269357E-2</v>
      </c>
      <c r="M147" s="447">
        <f>M79*Calc_SEC_retirement_rates!$G126</f>
        <v>4.8127367342666531E-2</v>
      </c>
      <c r="N147" s="447">
        <f>N79*Calc_SEC_retirement_rates!$G126</f>
        <v>4.8196772055542403E-2</v>
      </c>
    </row>
    <row r="148" spans="1:14">
      <c r="B148" s="331" t="str">
        <f t="shared" si="55"/>
        <v>35-39</v>
      </c>
      <c r="C148" s="447">
        <f>C80*Calc_SEC_retirement_rates!$G127</f>
        <v>0.1146155433507153</v>
      </c>
      <c r="D148" s="447">
        <f>D80*Calc_SEC_retirement_rates!$G127</f>
        <v>0.11402161471931845</v>
      </c>
      <c r="E148" s="447">
        <f>E80*Calc_SEC_retirement_rates!$G127</f>
        <v>0.11302070021514321</v>
      </c>
      <c r="F148" s="447">
        <f>F80*Calc_SEC_retirement_rates!$G127</f>
        <v>0.11193830007776963</v>
      </c>
      <c r="G148" s="447">
        <f>G80*Calc_SEC_retirement_rates!$G127</f>
        <v>0.11064845629313194</v>
      </c>
      <c r="H148" s="447">
        <f>H80*Calc_SEC_retirement_rates!$G127</f>
        <v>0.10911593168609596</v>
      </c>
      <c r="I148" s="447">
        <f>I80*Calc_SEC_retirement_rates!$G127</f>
        <v>0.10737061305694733</v>
      </c>
      <c r="J148" s="447">
        <f>J80*Calc_SEC_retirement_rates!$G127</f>
        <v>0.10631309213081848</v>
      </c>
      <c r="K148" s="447">
        <f>K80*Calc_SEC_retirement_rates!$G127</f>
        <v>0.10569923794447103</v>
      </c>
      <c r="L148" s="447">
        <f>L80*Calc_SEC_retirement_rates!$G127</f>
        <v>0.10478003702980651</v>
      </c>
      <c r="M148" s="447">
        <f>M80*Calc_SEC_retirement_rates!$G127</f>
        <v>0.10377578062524268</v>
      </c>
      <c r="N148" s="447">
        <f>N80*Calc_SEC_retirement_rates!$G127</f>
        <v>0.10335539150444448</v>
      </c>
    </row>
    <row r="149" spans="1:14">
      <c r="B149" s="331" t="str">
        <f t="shared" si="55"/>
        <v>40-44</v>
      </c>
      <c r="C149" s="447">
        <f>C81*Calc_SEC_retirement_rates!$G128</f>
        <v>0.18846844079794586</v>
      </c>
      <c r="D149" s="447">
        <f>D81*Calc_SEC_retirement_rates!$G128</f>
        <v>0.19268714321292862</v>
      </c>
      <c r="E149" s="447">
        <f>E81*Calc_SEC_retirement_rates!$G128</f>
        <v>0.19573162214903009</v>
      </c>
      <c r="F149" s="447">
        <f>F81*Calc_SEC_retirement_rates!$G128</f>
        <v>0.19800302101431289</v>
      </c>
      <c r="G149" s="447">
        <f>G81*Calc_SEC_retirement_rates!$G128</f>
        <v>0.19922970496748171</v>
      </c>
      <c r="H149" s="447">
        <f>H81*Calc_SEC_retirement_rates!$G128</f>
        <v>0.19925867306101325</v>
      </c>
      <c r="I149" s="447">
        <f>I81*Calc_SEC_retirement_rates!$G128</f>
        <v>0.19818509159195347</v>
      </c>
      <c r="J149" s="447">
        <f>J81*Calc_SEC_retirement_rates!$G128</f>
        <v>0.19761753271747012</v>
      </c>
      <c r="K149" s="447">
        <f>K81*Calc_SEC_retirement_rates!$G128</f>
        <v>0.19720722529697918</v>
      </c>
      <c r="L149" s="447">
        <f>L81*Calc_SEC_retirement_rates!$G128</f>
        <v>0.19580971359794114</v>
      </c>
      <c r="M149" s="447">
        <f>M81*Calc_SEC_retirement_rates!$G128</f>
        <v>0.19397456571059918</v>
      </c>
      <c r="N149" s="447">
        <f>N81*Calc_SEC_retirement_rates!$G128</f>
        <v>0.19295575426888537</v>
      </c>
    </row>
    <row r="150" spans="1:14">
      <c r="B150" s="331" t="str">
        <f t="shared" si="55"/>
        <v>45-49</v>
      </c>
      <c r="C150" s="447">
        <f>C82*Calc_SEC_retirement_rates!$G129</f>
        <v>0.33696800705481827</v>
      </c>
      <c r="D150" s="447">
        <f>D82*Calc_SEC_retirement_rates!$G129</f>
        <v>0.34218290778409766</v>
      </c>
      <c r="E150" s="447">
        <f>E82*Calc_SEC_retirement_rates!$G129</f>
        <v>0.34805441602965648</v>
      </c>
      <c r="F150" s="447">
        <f>F82*Calc_SEC_retirement_rates!$G129</f>
        <v>0.35418787996163087</v>
      </c>
      <c r="G150" s="447">
        <f>G82*Calc_SEC_retirement_rates!$G129</f>
        <v>0.35955392670133474</v>
      </c>
      <c r="H150" s="447">
        <f>H82*Calc_SEC_retirement_rates!$G129</f>
        <v>0.36326394123147621</v>
      </c>
      <c r="I150" s="447">
        <f>I82*Calc_SEC_retirement_rates!$G129</f>
        <v>0.36505070688764912</v>
      </c>
      <c r="J150" s="447">
        <f>J82*Calc_SEC_retirement_rates!$G129</f>
        <v>0.36747917559683868</v>
      </c>
      <c r="K150" s="447">
        <f>K82*Calc_SEC_retirement_rates!$G129</f>
        <v>0.36974114279019132</v>
      </c>
      <c r="L150" s="447">
        <f>L82*Calc_SEC_retirement_rates!$G129</f>
        <v>0.36968511693764566</v>
      </c>
      <c r="M150" s="447">
        <f>M82*Calc_SEC_retirement_rates!$G129</f>
        <v>0.36825596297796104</v>
      </c>
      <c r="N150" s="447">
        <f>N82*Calc_SEC_retirement_rates!$G129</f>
        <v>0.36773284792078753</v>
      </c>
    </row>
    <row r="151" spans="1:14">
      <c r="B151" s="331" t="str">
        <f t="shared" si="55"/>
        <v>50-54</v>
      </c>
      <c r="C151" s="447">
        <f>C83*Calc_SEC_retirement_rates!$G130</f>
        <v>5.9158143973243451</v>
      </c>
      <c r="D151" s="447">
        <f>D83*Calc_SEC_retirement_rates!$G130</f>
        <v>5.9061168089552893</v>
      </c>
      <c r="E151" s="447">
        <f>E83*Calc_SEC_retirement_rates!$G130</f>
        <v>5.9278310809293684</v>
      </c>
      <c r="F151" s="447">
        <f>F83*Calc_SEC_retirement_rates!$G130</f>
        <v>5.9765667504702842</v>
      </c>
      <c r="G151" s="447">
        <f>G83*Calc_SEC_retirement_rates!$G130</f>
        <v>6.0360609167399728</v>
      </c>
      <c r="H151" s="447">
        <f>H83*Calc_SEC_retirement_rates!$G130</f>
        <v>6.0881914029675483</v>
      </c>
      <c r="I151" s="447">
        <f>I83*Calc_SEC_retirement_rates!$G130</f>
        <v>6.1244521217768231</v>
      </c>
      <c r="J151" s="447">
        <f>J83*Calc_SEC_retirement_rates!$G130</f>
        <v>6.1836497184245962</v>
      </c>
      <c r="K151" s="447">
        <f>K83*Calc_SEC_retirement_rates!$G130</f>
        <v>6.2475721820253938</v>
      </c>
      <c r="L151" s="447">
        <f>L83*Calc_SEC_retirement_rates!$G130</f>
        <v>6.2760467015781298</v>
      </c>
      <c r="M151" s="447">
        <f>M83*Calc_SEC_retirement_rates!$G130</f>
        <v>6.2820604222879952</v>
      </c>
      <c r="N151" s="447">
        <f>N83*Calc_SEC_retirement_rates!$G130</f>
        <v>6.3017450124657755</v>
      </c>
    </row>
    <row r="152" spans="1:14">
      <c r="B152" s="331" t="str">
        <f t="shared" si="55"/>
        <v>55-59</v>
      </c>
      <c r="C152" s="447">
        <f>C84*Calc_SEC_retirement_rates!$G131</f>
        <v>28.449954696978629</v>
      </c>
      <c r="D152" s="447">
        <f>D84*Calc_SEC_retirement_rates!$G131</f>
        <v>25.869569557742391</v>
      </c>
      <c r="E152" s="447">
        <f>E84*Calc_SEC_retirement_rates!$G131</f>
        <v>24.313301929266771</v>
      </c>
      <c r="F152" s="447">
        <f>F84*Calc_SEC_retirement_rates!$G131</f>
        <v>23.471815329374841</v>
      </c>
      <c r="G152" s="447">
        <f>G84*Calc_SEC_retirement_rates!$G131</f>
        <v>23.008755240359555</v>
      </c>
      <c r="H152" s="447">
        <f>H84*Calc_SEC_retirement_rates!$G131</f>
        <v>22.746966219612464</v>
      </c>
      <c r="I152" s="447">
        <f>I84*Calc_SEC_retirement_rates!$G131</f>
        <v>22.579664033273094</v>
      </c>
      <c r="J152" s="447">
        <f>J84*Calc_SEC_retirement_rates!$G131</f>
        <v>22.643077674009561</v>
      </c>
      <c r="K152" s="447">
        <f>K84*Calc_SEC_retirement_rates!$G131</f>
        <v>22.808310790983569</v>
      </c>
      <c r="L152" s="447">
        <f>L84*Calc_SEC_retirement_rates!$G131</f>
        <v>22.865597821637717</v>
      </c>
      <c r="M152" s="447">
        <f>M84*Calc_SEC_retirement_rates!$G131</f>
        <v>22.870580016743389</v>
      </c>
      <c r="N152" s="447">
        <f>N84*Calc_SEC_retirement_rates!$G131</f>
        <v>22.97844447950294</v>
      </c>
    </row>
    <row r="153" spans="1:14">
      <c r="B153" s="331" t="str">
        <f t="shared" si="55"/>
        <v>60-64</v>
      </c>
      <c r="C153" s="447">
        <f>C85*Calc_SEC_retirement_rates!$G132</f>
        <v>13.585944383053032</v>
      </c>
      <c r="D153" s="447">
        <f>D85*Calc_SEC_retirement_rates!$G132</f>
        <v>14.966154120520146</v>
      </c>
      <c r="E153" s="447">
        <f>E85*Calc_SEC_retirement_rates!$G132</f>
        <v>15.059538160059001</v>
      </c>
      <c r="F153" s="447">
        <f>F85*Calc_SEC_retirement_rates!$G132</f>
        <v>14.817125394100215</v>
      </c>
      <c r="G153" s="447">
        <f>G85*Calc_SEC_retirement_rates!$G132</f>
        <v>14.475341065293586</v>
      </c>
      <c r="H153" s="447">
        <f>H85*Calc_SEC_retirement_rates!$G132</f>
        <v>14.144869657791672</v>
      </c>
      <c r="I153" s="447">
        <f>I85*Calc_SEC_retirement_rates!$G132</f>
        <v>13.852130393029492</v>
      </c>
      <c r="J153" s="447">
        <f>J85*Calc_SEC_retirement_rates!$G132</f>
        <v>13.765619569697741</v>
      </c>
      <c r="K153" s="447">
        <f>K85*Calc_SEC_retirement_rates!$G132</f>
        <v>13.783343335517692</v>
      </c>
      <c r="L153" s="447">
        <f>L85*Calc_SEC_retirement_rates!$G132</f>
        <v>13.728934506536939</v>
      </c>
      <c r="M153" s="447">
        <f>M85*Calc_SEC_retirement_rates!$G132</f>
        <v>13.659823429163444</v>
      </c>
      <c r="N153" s="447">
        <f>N85*Calc_SEC_retirement_rates!$G132</f>
        <v>13.708874840357227</v>
      </c>
    </row>
    <row r="154" spans="1:14">
      <c r="B154" s="331" t="str">
        <f t="shared" si="55"/>
        <v>65 plus</v>
      </c>
      <c r="C154" s="447">
        <f>C86*Calc_SEC_retirement_rates!$G133</f>
        <v>3.1176203105037668</v>
      </c>
      <c r="D154" s="447">
        <f>D86*Calc_SEC_retirement_rates!$G133</f>
        <v>4.1801423381305787</v>
      </c>
      <c r="E154" s="447">
        <f>E86*Calc_SEC_retirement_rates!$G133</f>
        <v>4.9950506433993507</v>
      </c>
      <c r="F154" s="447">
        <f>F86*Calc_SEC_retirement_rates!$G133</f>
        <v>5.5237859899562771</v>
      </c>
      <c r="G154" s="447">
        <f>G86*Calc_SEC_retirement_rates!$G133</f>
        <v>5.806171397060683</v>
      </c>
      <c r="H154" s="447">
        <f>H86*Calc_SEC_retirement_rates!$G133</f>
        <v>5.9127548521779181</v>
      </c>
      <c r="I154" s="447">
        <f>I86*Calc_SEC_retirement_rates!$G133</f>
        <v>5.9084995053776632</v>
      </c>
      <c r="J154" s="447">
        <f>J86*Calc_SEC_retirement_rates!$G133</f>
        <v>5.9116026377640276</v>
      </c>
      <c r="K154" s="447">
        <f>K86*Calc_SEC_retirement_rates!$G133</f>
        <v>5.9222224676668658</v>
      </c>
      <c r="L154" s="447">
        <f>L86*Calc_SEC_retirement_rates!$G133</f>
        <v>5.8879021456296217</v>
      </c>
      <c r="M154" s="447">
        <f>M86*Calc_SEC_retirement_rates!$G133</f>
        <v>5.837272882064231</v>
      </c>
      <c r="N154" s="447">
        <f>N86*Calc_SEC_retirement_rates!$G133</f>
        <v>5.8329485126951557</v>
      </c>
    </row>
    <row r="155" spans="1:14">
      <c r="B155" s="331" t="str">
        <f t="shared" si="55"/>
        <v>Total</v>
      </c>
      <c r="C155" s="447">
        <f>SUM(C145:C154)</f>
        <v>51.764321322100756</v>
      </c>
      <c r="D155" s="447">
        <f t="shared" ref="D155:N155" si="57">SUM(D145:D154)</f>
        <v>51.624272429444382</v>
      </c>
      <c r="E155" s="447">
        <f t="shared" si="57"/>
        <v>51.00436959215584</v>
      </c>
      <c r="F155" s="447">
        <f t="shared" si="57"/>
        <v>50.504186073469768</v>
      </c>
      <c r="G155" s="447">
        <f t="shared" si="57"/>
        <v>50.045691321141135</v>
      </c>
      <c r="H155" s="447">
        <f t="shared" si="57"/>
        <v>49.613633014344629</v>
      </c>
      <c r="I155" s="447">
        <f t="shared" si="57"/>
        <v>49.18385144413184</v>
      </c>
      <c r="J155" s="447">
        <f t="shared" si="57"/>
        <v>49.223685868180645</v>
      </c>
      <c r="K155" s="447">
        <f t="shared" si="57"/>
        <v>49.482575453678152</v>
      </c>
      <c r="L155" s="447">
        <f t="shared" si="57"/>
        <v>49.477133835033072</v>
      </c>
      <c r="M155" s="447">
        <f t="shared" si="57"/>
        <v>49.363870426915533</v>
      </c>
      <c r="N155" s="447">
        <f t="shared" si="57"/>
        <v>49.534253610770755</v>
      </c>
    </row>
    <row r="156" spans="1:14">
      <c r="A156" s="302">
        <f>SUM(C156:N156)</f>
        <v>0</v>
      </c>
      <c r="C156" s="302">
        <f>SUM(C145:C154)-C155</f>
        <v>0</v>
      </c>
      <c r="D156" s="302">
        <f t="shared" ref="D156:N156" si="58">SUM(D145:D154)-D155</f>
        <v>0</v>
      </c>
      <c r="E156" s="302">
        <f t="shared" si="58"/>
        <v>0</v>
      </c>
      <c r="F156" s="302">
        <f t="shared" si="58"/>
        <v>0</v>
      </c>
      <c r="G156" s="302">
        <f t="shared" si="58"/>
        <v>0</v>
      </c>
      <c r="H156" s="302">
        <f t="shared" si="58"/>
        <v>0</v>
      </c>
      <c r="I156" s="302">
        <f t="shared" si="58"/>
        <v>0</v>
      </c>
      <c r="J156" s="302">
        <f t="shared" si="58"/>
        <v>0</v>
      </c>
      <c r="K156" s="302">
        <f t="shared" si="58"/>
        <v>0</v>
      </c>
      <c r="L156" s="302">
        <f t="shared" si="58"/>
        <v>0</v>
      </c>
      <c r="M156" s="302">
        <f t="shared" si="58"/>
        <v>0</v>
      </c>
      <c r="N156" s="302">
        <f t="shared" si="58"/>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59">B144</f>
        <v>Age group</v>
      </c>
      <c r="C160" s="331" t="str">
        <f t="shared" ref="C160:N160" si="60">C144</f>
        <v>2017/18</v>
      </c>
      <c r="D160" s="331" t="str">
        <f t="shared" si="60"/>
        <v>2018/19</v>
      </c>
      <c r="E160" s="331" t="str">
        <f t="shared" si="60"/>
        <v>2019/20</v>
      </c>
      <c r="F160" s="331" t="str">
        <f t="shared" si="60"/>
        <v>2020/21</v>
      </c>
      <c r="G160" s="331" t="str">
        <f t="shared" si="60"/>
        <v>2021/22</v>
      </c>
      <c r="H160" s="331" t="str">
        <f t="shared" si="60"/>
        <v>2022/23</v>
      </c>
      <c r="I160" s="331" t="str">
        <f t="shared" si="60"/>
        <v>2023/24</v>
      </c>
      <c r="J160" s="331" t="str">
        <f t="shared" si="60"/>
        <v>2024/25</v>
      </c>
      <c r="K160" s="331" t="str">
        <f t="shared" si="60"/>
        <v>2025/26</v>
      </c>
      <c r="L160" s="331" t="str">
        <f t="shared" si="60"/>
        <v>2026/27</v>
      </c>
      <c r="M160" s="331" t="str">
        <f t="shared" si="60"/>
        <v>2027/28</v>
      </c>
      <c r="N160" s="331" t="str">
        <f t="shared" si="60"/>
        <v>2028/29</v>
      </c>
    </row>
    <row r="161" spans="1:14">
      <c r="B161" s="331" t="str">
        <f t="shared" si="59"/>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59"/>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59"/>
        <v>30-34</v>
      </c>
      <c r="C163" s="447">
        <f>C95*Calc_SEC_retirement_rates!$G142</f>
        <v>4.9265557828973676E-2</v>
      </c>
      <c r="D163" s="447">
        <f>D95*Calc_SEC_retirement_rates!$G142</f>
        <v>4.6649275126582276E-2</v>
      </c>
      <c r="E163" s="447">
        <f>E95*Calc_SEC_retirement_rates!$G142</f>
        <v>4.4244429901724967E-2</v>
      </c>
      <c r="F163" s="447">
        <f>F95*Calc_SEC_retirement_rates!$G142</f>
        <v>4.2549602404762105E-2</v>
      </c>
      <c r="G163" s="447">
        <f>G95*Calc_SEC_retirement_rates!$G142</f>
        <v>4.1151483549155973E-2</v>
      </c>
      <c r="H163" s="447">
        <f>H95*Calc_SEC_retirement_rates!$G142</f>
        <v>4.0005284635114657E-2</v>
      </c>
      <c r="I163" s="447">
        <f>I95*Calc_SEC_retirement_rates!$G142</f>
        <v>3.8986192363074462E-2</v>
      </c>
      <c r="J163" s="447">
        <f>J95*Calc_SEC_retirement_rates!$G142</f>
        <v>3.8498809719709995E-2</v>
      </c>
      <c r="K163" s="447">
        <f>K95*Calc_SEC_retirement_rates!$G142</f>
        <v>3.8344660455095249E-2</v>
      </c>
      <c r="L163" s="447">
        <f>L95*Calc_SEC_retirement_rates!$G142</f>
        <v>3.8040619234146367E-2</v>
      </c>
      <c r="M163" s="447">
        <f>M95*Calc_SEC_retirement_rates!$G142</f>
        <v>3.7662464707810969E-2</v>
      </c>
      <c r="N163" s="447">
        <f>N95*Calc_SEC_retirement_rates!$G142</f>
        <v>3.7579704218238683E-2</v>
      </c>
    </row>
    <row r="164" spans="1:14">
      <c r="B164" s="331" t="str">
        <f t="shared" si="59"/>
        <v>35-39</v>
      </c>
      <c r="C164" s="447">
        <f>C96*Calc_SEC_retirement_rates!$G143</f>
        <v>0.17395518354188985</v>
      </c>
      <c r="D164" s="447">
        <f>D96*Calc_SEC_retirement_rates!$G143</f>
        <v>0.17166439461423955</v>
      </c>
      <c r="E164" s="447">
        <f>E96*Calc_SEC_retirement_rates!$G143</f>
        <v>0.16778646091832694</v>
      </c>
      <c r="F164" s="447">
        <f>F96*Calc_SEC_retirement_rates!$G143</f>
        <v>0.16386482437337813</v>
      </c>
      <c r="G164" s="447">
        <f>G96*Calc_SEC_retirement_rates!$G143</f>
        <v>0.15936875478698506</v>
      </c>
      <c r="H164" s="447">
        <f>H96*Calc_SEC_retirement_rates!$G143</f>
        <v>0.15477489025683602</v>
      </c>
      <c r="I164" s="447">
        <f>I96*Calc_SEC_retirement_rates!$G143</f>
        <v>0.15017246780477284</v>
      </c>
      <c r="J164" s="447">
        <f>J96*Calc_SEC_retirement_rates!$G143</f>
        <v>0.14682642487009825</v>
      </c>
      <c r="K164" s="447">
        <f>K96*Calc_SEC_retirement_rates!$G143</f>
        <v>0.14437102256716028</v>
      </c>
      <c r="L164" s="447">
        <f>L96*Calc_SEC_retirement_rates!$G143</f>
        <v>0.14173165246361261</v>
      </c>
      <c r="M164" s="447">
        <f>M96*Calc_SEC_retirement_rates!$G143</f>
        <v>0.13919403530949456</v>
      </c>
      <c r="N164" s="447">
        <f>N96*Calc_SEC_retirement_rates!$G143</f>
        <v>0.1376651321171028</v>
      </c>
    </row>
    <row r="165" spans="1:14">
      <c r="B165" s="331" t="str">
        <f t="shared" si="59"/>
        <v>40-44</v>
      </c>
      <c r="C165" s="447">
        <f>C97*Calc_SEC_retirement_rates!$G144</f>
        <v>0.33350443681329728</v>
      </c>
      <c r="D165" s="447">
        <f>D97*Calc_SEC_retirement_rates!$G144</f>
        <v>0.33921478945558997</v>
      </c>
      <c r="E165" s="447">
        <f>E97*Calc_SEC_retirement_rates!$G144</f>
        <v>0.34165662722250967</v>
      </c>
      <c r="F165" s="447">
        <f>F97*Calc_SEC_retirement_rates!$G144</f>
        <v>0.34288018871400544</v>
      </c>
      <c r="G165" s="447">
        <f>G97*Calc_SEC_retirement_rates!$G144</f>
        <v>0.34118129300645406</v>
      </c>
      <c r="H165" s="447">
        <f>H97*Calc_SEC_retirement_rates!$G144</f>
        <v>0.33735515951629874</v>
      </c>
      <c r="I165" s="447">
        <f>I97*Calc_SEC_retirement_rates!$G144</f>
        <v>0.33171433800141192</v>
      </c>
      <c r="J165" s="447">
        <f>J97*Calc_SEC_retirement_rates!$G144</f>
        <v>0.32702016133239242</v>
      </c>
      <c r="K165" s="447">
        <f>K97*Calc_SEC_retirement_rates!$G144</f>
        <v>0.32279149586634143</v>
      </c>
      <c r="L165" s="447">
        <f>L97*Calc_SEC_retirement_rates!$G144</f>
        <v>0.31721728437401397</v>
      </c>
      <c r="M165" s="447">
        <f>M97*Calc_SEC_retirement_rates!$G144</f>
        <v>0.31123522964218525</v>
      </c>
      <c r="N165" s="447">
        <f>N97*Calc_SEC_retirement_rates!$G144</f>
        <v>0.30690865337036111</v>
      </c>
    </row>
    <row r="166" spans="1:14">
      <c r="B166" s="331" t="str">
        <f t="shared" si="59"/>
        <v>45-49</v>
      </c>
      <c r="C166" s="447">
        <f>C98*Calc_SEC_retirement_rates!$G145</f>
        <v>0.33622815431722891</v>
      </c>
      <c r="D166" s="447">
        <f>D98*Calc_SEC_retirement_rates!$G145</f>
        <v>0.36192583698264258</v>
      </c>
      <c r="E166" s="447">
        <f>E98*Calc_SEC_retirement_rates!$G145</f>
        <v>0.3812759536654477</v>
      </c>
      <c r="F166" s="447">
        <f>F98*Calc_SEC_retirement_rates!$G145</f>
        <v>0.39740174051979454</v>
      </c>
      <c r="G166" s="447">
        <f>G98*Calc_SEC_retirement_rates!$G145</f>
        <v>0.40829834003192234</v>
      </c>
      <c r="H166" s="447">
        <f>H98*Calc_SEC_retirement_rates!$G145</f>
        <v>0.41491980558336822</v>
      </c>
      <c r="I166" s="447">
        <f>I98*Calc_SEC_retirement_rates!$G145</f>
        <v>0.41757957894046283</v>
      </c>
      <c r="J166" s="447">
        <f>J98*Calc_SEC_retirement_rates!$G145</f>
        <v>0.41970539711726662</v>
      </c>
      <c r="K166" s="447">
        <f>K98*Calc_SEC_retirement_rates!$G145</f>
        <v>0.42074922541010318</v>
      </c>
      <c r="L166" s="447">
        <f>L98*Calc_SEC_retirement_rates!$G145</f>
        <v>0.41855476591667046</v>
      </c>
      <c r="M166" s="447">
        <f>M98*Calc_SEC_retirement_rates!$G145</f>
        <v>0.414456005785798</v>
      </c>
      <c r="N166" s="447">
        <f>N98*Calc_SEC_retirement_rates!$G145</f>
        <v>0.41124686929412729</v>
      </c>
    </row>
    <row r="167" spans="1:14">
      <c r="B167" s="331" t="str">
        <f t="shared" si="59"/>
        <v>50-54</v>
      </c>
      <c r="C167" s="447">
        <f>C99*Calc_SEC_retirement_rates!$G146</f>
        <v>5.4368434253309612</v>
      </c>
      <c r="D167" s="447">
        <f>D99*Calc_SEC_retirement_rates!$G146</f>
        <v>5.6652700109418763</v>
      </c>
      <c r="E167" s="447">
        <f>E99*Calc_SEC_retirement_rates!$G146</f>
        <v>5.9179873013604398</v>
      </c>
      <c r="F167" s="447">
        <f>F99*Calc_SEC_retirement_rates!$G146</f>
        <v>6.2020832215525648</v>
      </c>
      <c r="G167" s="447">
        <f>G99*Calc_SEC_retirement_rates!$G146</f>
        <v>6.4505778200993236</v>
      </c>
      <c r="H167" s="447">
        <f>H99*Calc_SEC_retirement_rates!$G146</f>
        <v>6.6574651098984523</v>
      </c>
      <c r="I167" s="447">
        <f>I99*Calc_SEC_retirement_rates!$G146</f>
        <v>6.8125929845928388</v>
      </c>
      <c r="J167" s="447">
        <f>J99*Calc_SEC_retirement_rates!$G146</f>
        <v>6.9640712228143586</v>
      </c>
      <c r="K167" s="447">
        <f>K99*Calc_SEC_retirement_rates!$G146</f>
        <v>7.094108390233079</v>
      </c>
      <c r="L167" s="447">
        <f>L99*Calc_SEC_retirement_rates!$G146</f>
        <v>7.1596907753905183</v>
      </c>
      <c r="M167" s="447">
        <f>M99*Calc_SEC_retirement_rates!$G146</f>
        <v>7.1805147976957908</v>
      </c>
      <c r="N167" s="447">
        <f>N99*Calc_SEC_retirement_rates!$G146</f>
        <v>7.2031593350346181</v>
      </c>
    </row>
    <row r="168" spans="1:14">
      <c r="B168" s="331" t="str">
        <f t="shared" si="59"/>
        <v>55-59</v>
      </c>
      <c r="C168" s="447">
        <f>C100*Calc_SEC_retirement_rates!$G147</f>
        <v>24.483708363485849</v>
      </c>
      <c r="D168" s="447">
        <f>D100*Calc_SEC_retirement_rates!$G147</f>
        <v>23.636221667633688</v>
      </c>
      <c r="E168" s="447">
        <f>E100*Calc_SEC_retirement_rates!$G147</f>
        <v>23.333409795872871</v>
      </c>
      <c r="F168" s="447">
        <f>F100*Calc_SEC_retirement_rates!$G147</f>
        <v>23.596523433988331</v>
      </c>
      <c r="G168" s="447">
        <f>G100*Calc_SEC_retirement_rates!$G147</f>
        <v>24.03077019504817</v>
      </c>
      <c r="H168" s="447">
        <f>H100*Calc_SEC_retirement_rates!$G147</f>
        <v>24.53803772380785</v>
      </c>
      <c r="I168" s="447">
        <f>I100*Calc_SEC_retirement_rates!$G147</f>
        <v>25.015723238243339</v>
      </c>
      <c r="J168" s="447">
        <f>J100*Calc_SEC_retirement_rates!$G147</f>
        <v>25.645712898106201</v>
      </c>
      <c r="K168" s="447">
        <f>K100*Calc_SEC_retirement_rates!$G147</f>
        <v>26.284263494859548</v>
      </c>
      <c r="L168" s="447">
        <f>L100*Calc_SEC_retirement_rates!$G147</f>
        <v>26.688069946295432</v>
      </c>
      <c r="M168" s="447">
        <f>M100*Calc_SEC_retirement_rates!$G147</f>
        <v>26.936817257648936</v>
      </c>
      <c r="N168" s="447">
        <f>N100*Calc_SEC_retirement_rates!$G147</f>
        <v>27.232387377444223</v>
      </c>
    </row>
    <row r="169" spans="1:14">
      <c r="B169" s="331" t="str">
        <f t="shared" si="59"/>
        <v>60-64</v>
      </c>
      <c r="C169" s="447">
        <f>C101*Calc_SEC_retirement_rates!$G148</f>
        <v>14.899755044308954</v>
      </c>
      <c r="D169" s="447">
        <f>D101*Calc_SEC_retirement_rates!$G148</f>
        <v>15.828612597254004</v>
      </c>
      <c r="E169" s="447">
        <f>E101*Calc_SEC_retirement_rates!$G148</f>
        <v>16.016175292315882</v>
      </c>
      <c r="F169" s="447">
        <f>F101*Calc_SEC_retirement_rates!$G148</f>
        <v>16.165748152946321</v>
      </c>
      <c r="G169" s="447">
        <f>G101*Calc_SEC_retirement_rates!$G148</f>
        <v>16.24267321665106</v>
      </c>
      <c r="H169" s="447">
        <f>H101*Calc_SEC_retirement_rates!$G148</f>
        <v>16.331938965420004</v>
      </c>
      <c r="I169" s="447">
        <f>I101*Calc_SEC_retirement_rates!$G148</f>
        <v>16.426013591366544</v>
      </c>
      <c r="J169" s="447">
        <f>J101*Calc_SEC_retirement_rates!$G148</f>
        <v>16.735908811793795</v>
      </c>
      <c r="K169" s="447">
        <f>K101*Calc_SEC_retirement_rates!$G148</f>
        <v>17.121153492231958</v>
      </c>
      <c r="L169" s="447">
        <f>L101*Calc_SEC_retirement_rates!$G148</f>
        <v>17.346658915063806</v>
      </c>
      <c r="M169" s="447">
        <f>M101*Calc_SEC_retirement_rates!$G148</f>
        <v>17.493391711580482</v>
      </c>
      <c r="N169" s="447">
        <f>N101*Calc_SEC_retirement_rates!$G148</f>
        <v>17.744707148749914</v>
      </c>
    </row>
    <row r="170" spans="1:14">
      <c r="B170" s="331" t="str">
        <f t="shared" si="59"/>
        <v>65 plus</v>
      </c>
      <c r="C170" s="447">
        <f>C102*Calc_SEC_retirement_rates!$G149</f>
        <v>3.3197826321637049</v>
      </c>
      <c r="D170" s="447">
        <f>D102*Calc_SEC_retirement_rates!$G149</f>
        <v>4.5309082392796354</v>
      </c>
      <c r="E170" s="447">
        <f>E102*Calc_SEC_retirement_rates!$G149</f>
        <v>5.3851568867121573</v>
      </c>
      <c r="F170" s="447">
        <f>F102*Calc_SEC_retirement_rates!$G149</f>
        <v>5.9995522514043653</v>
      </c>
      <c r="G170" s="447">
        <f>G102*Calc_SEC_retirement_rates!$G149</f>
        <v>6.379671039747838</v>
      </c>
      <c r="H170" s="447">
        <f>H102*Calc_SEC_retirement_rates!$G149</f>
        <v>6.6062261083742753</v>
      </c>
      <c r="I170" s="447">
        <f>I102*Calc_SEC_retirement_rates!$G149</f>
        <v>6.7288611315254157</v>
      </c>
      <c r="J170" s="447">
        <f>J102*Calc_SEC_retirement_rates!$G149</f>
        <v>6.8698946245154087</v>
      </c>
      <c r="K170" s="447">
        <f>K102*Calc_SEC_retirement_rates!$G149</f>
        <v>7.0192460336328306</v>
      </c>
      <c r="L170" s="447">
        <f>L102*Calc_SEC_retirement_rates!$G149</f>
        <v>7.1065087612453857</v>
      </c>
      <c r="M170" s="447">
        <f>M102*Calc_SEC_retirement_rates!$G149</f>
        <v>7.1601160039891356</v>
      </c>
      <c r="N170" s="447">
        <f>N102*Calc_SEC_retirement_rates!$G149</f>
        <v>7.2534940325416812</v>
      </c>
    </row>
    <row r="171" spans="1:14">
      <c r="B171" s="331" t="str">
        <f t="shared" si="59"/>
        <v>Total</v>
      </c>
      <c r="C171" s="447">
        <f>SUM(C161:C170)</f>
        <v>49.033042797790863</v>
      </c>
      <c r="D171" s="447">
        <f t="shared" ref="D171:N171" si="61">SUM(D161:D170)</f>
        <v>50.580466811288254</v>
      </c>
      <c r="E171" s="447">
        <f t="shared" si="61"/>
        <v>51.587692747969363</v>
      </c>
      <c r="F171" s="447">
        <f t="shared" si="61"/>
        <v>52.910603415903523</v>
      </c>
      <c r="G171" s="447">
        <f t="shared" si="61"/>
        <v>54.053692142920916</v>
      </c>
      <c r="H171" s="447">
        <f t="shared" si="61"/>
        <v>55.080723047492199</v>
      </c>
      <c r="I171" s="447">
        <f t="shared" si="61"/>
        <v>55.921643522837861</v>
      </c>
      <c r="J171" s="447">
        <f t="shared" si="61"/>
        <v>57.147638350269233</v>
      </c>
      <c r="K171" s="447">
        <f t="shared" si="61"/>
        <v>58.445027815256118</v>
      </c>
      <c r="L171" s="447">
        <f t="shared" si="61"/>
        <v>59.216472719983585</v>
      </c>
      <c r="M171" s="447">
        <f t="shared" si="61"/>
        <v>59.673387506359639</v>
      </c>
      <c r="N171" s="447">
        <f t="shared" si="61"/>
        <v>60.327148252770272</v>
      </c>
    </row>
    <row r="172" spans="1:14">
      <c r="A172" s="302">
        <f>SUM(C172:N172)</f>
        <v>0</v>
      </c>
      <c r="C172" s="302">
        <f>SUM(C161:C170)-C171</f>
        <v>0</v>
      </c>
      <c r="D172" s="302">
        <f t="shared" ref="D172:N172" si="62">SUM(D161:D170)-D171</f>
        <v>0</v>
      </c>
      <c r="E172" s="302">
        <f t="shared" si="62"/>
        <v>0</v>
      </c>
      <c r="F172" s="302">
        <f t="shared" si="62"/>
        <v>0</v>
      </c>
      <c r="G172" s="302">
        <f t="shared" si="62"/>
        <v>0</v>
      </c>
      <c r="H172" s="302">
        <f t="shared" si="62"/>
        <v>0</v>
      </c>
      <c r="I172" s="302">
        <f t="shared" si="62"/>
        <v>0</v>
      </c>
      <c r="J172" s="302">
        <f t="shared" si="62"/>
        <v>0</v>
      </c>
      <c r="K172" s="302">
        <f t="shared" si="62"/>
        <v>0</v>
      </c>
      <c r="L172" s="302">
        <f t="shared" si="62"/>
        <v>0</v>
      </c>
      <c r="M172" s="302">
        <f t="shared" si="62"/>
        <v>0</v>
      </c>
      <c r="N172" s="302">
        <f t="shared" si="62"/>
        <v>0</v>
      </c>
    </row>
    <row r="174" spans="1:14" ht="15.75">
      <c r="B174" s="333" t="s">
        <v>527</v>
      </c>
      <c r="H174" s="318"/>
    </row>
    <row r="175" spans="1:14">
      <c r="H175" s="318"/>
    </row>
    <row r="176" spans="1:14">
      <c r="B176" s="334" t="s">
        <v>46</v>
      </c>
      <c r="H176" s="318"/>
    </row>
    <row r="177" spans="1:14">
      <c r="H177" s="318"/>
    </row>
    <row r="178" spans="1:14">
      <c r="B178" s="331" t="str">
        <f t="shared" ref="B178:B189" si="63">B144</f>
        <v>Age group</v>
      </c>
      <c r="C178" s="331" t="str">
        <f t="shared" ref="C178:N178" si="64">C144</f>
        <v>2017/18</v>
      </c>
      <c r="D178" s="331" t="str">
        <f t="shared" si="64"/>
        <v>2018/19</v>
      </c>
      <c r="E178" s="331" t="str">
        <f t="shared" si="64"/>
        <v>2019/20</v>
      </c>
      <c r="F178" s="331" t="str">
        <f t="shared" si="64"/>
        <v>2020/21</v>
      </c>
      <c r="G178" s="331" t="str">
        <f t="shared" si="64"/>
        <v>2021/22</v>
      </c>
      <c r="H178" s="331" t="str">
        <f t="shared" si="64"/>
        <v>2022/23</v>
      </c>
      <c r="I178" s="331" t="str">
        <f t="shared" si="64"/>
        <v>2023/24</v>
      </c>
      <c r="J178" s="331" t="str">
        <f t="shared" si="64"/>
        <v>2024/25</v>
      </c>
      <c r="K178" s="331" t="str">
        <f t="shared" si="64"/>
        <v>2025/26</v>
      </c>
      <c r="L178" s="331" t="str">
        <f t="shared" si="64"/>
        <v>2026/27</v>
      </c>
      <c r="M178" s="331" t="str">
        <f t="shared" si="64"/>
        <v>2027/28</v>
      </c>
      <c r="N178" s="331" t="str">
        <f t="shared" si="64"/>
        <v>2028/29</v>
      </c>
    </row>
    <row r="179" spans="1:14">
      <c r="B179" s="331" t="str">
        <f t="shared" si="63"/>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3"/>
        <v>25-29</v>
      </c>
      <c r="C180" s="447">
        <f>C78*Calc_SEC_death_rates!$G125</f>
        <v>2.8296296862121414E-2</v>
      </c>
      <c r="D180" s="447">
        <f>D78*Calc_SEC_death_rates!$G125</f>
        <v>2.6880567325089734E-2</v>
      </c>
      <c r="E180" s="447">
        <f>E78*Calc_SEC_death_rates!$G125</f>
        <v>2.619285359047057E-2</v>
      </c>
      <c r="F180" s="447">
        <f>F78*Calc_SEC_death_rates!$G125</f>
        <v>2.6347475992301521E-2</v>
      </c>
      <c r="G180" s="447">
        <f>G78*Calc_SEC_death_rates!$G125</f>
        <v>2.660258425226384E-2</v>
      </c>
      <c r="H180" s="447">
        <f>H78*Calc_SEC_death_rates!$G125</f>
        <v>2.6764611581015455E-2</v>
      </c>
      <c r="I180" s="447">
        <f>I78*Calc_SEC_death_rates!$G125</f>
        <v>2.6724376389163848E-2</v>
      </c>
      <c r="J180" s="447">
        <f>J78*Calc_SEC_death_rates!$G125</f>
        <v>2.7132029819706333E-2</v>
      </c>
      <c r="K180" s="447">
        <f>K78*Calc_SEC_death_rates!$G125</f>
        <v>2.7691547763108601E-2</v>
      </c>
      <c r="L180" s="447">
        <f>L78*Calc_SEC_death_rates!$G125</f>
        <v>2.777035660090833E-2</v>
      </c>
      <c r="M180" s="447">
        <f>M78*Calc_SEC_death_rates!$G125</f>
        <v>2.7610050751477731E-2</v>
      </c>
      <c r="N180" s="447">
        <f>N78*Calc_SEC_death_rates!$G125</f>
        <v>2.7794935980998945E-2</v>
      </c>
    </row>
    <row r="181" spans="1:14">
      <c r="B181" s="331" t="str">
        <f t="shared" si="63"/>
        <v>30-34</v>
      </c>
      <c r="C181" s="447">
        <f>C79*Calc_SEC_death_rates!$G126</f>
        <v>0.11035503104299949</v>
      </c>
      <c r="D181" s="447">
        <f>D79*Calc_SEC_death_rates!$G126</f>
        <v>0.10726627647048742</v>
      </c>
      <c r="E181" s="447">
        <f>E79*Calc_SEC_death_rates!$G126</f>
        <v>0.10413876470578728</v>
      </c>
      <c r="F181" s="447">
        <f>F79*Calc_SEC_death_rates!$G126</f>
        <v>0.10197400831435224</v>
      </c>
      <c r="G181" s="447">
        <f>G79*Calc_SEC_death_rates!$G126</f>
        <v>0.10030108237758435</v>
      </c>
      <c r="H181" s="447">
        <f>H79*Calc_SEC_death_rates!$G126</f>
        <v>9.8858199017241272E-2</v>
      </c>
      <c r="I181" s="447">
        <f>I79*Calc_SEC_death_rates!$G126</f>
        <v>9.7425201471079331E-2</v>
      </c>
      <c r="J181" s="447">
        <f>J79*Calc_SEC_death_rates!$G126</f>
        <v>9.7078659166010342E-2</v>
      </c>
      <c r="K181" s="447">
        <f>K79*Calc_SEC_death_rates!$G126</f>
        <v>9.738521072739037E-2</v>
      </c>
      <c r="L181" s="447">
        <f>L79*Calc_SEC_death_rates!$G126</f>
        <v>9.7181759789238389E-2</v>
      </c>
      <c r="M181" s="447">
        <f>M79*Calc_SEC_death_rates!$G126</f>
        <v>9.6678704231473081E-2</v>
      </c>
      <c r="N181" s="447">
        <f>N79*Calc_SEC_death_rates!$G126</f>
        <v>9.68181250657901E-2</v>
      </c>
    </row>
    <row r="182" spans="1:14">
      <c r="B182" s="331" t="str">
        <f t="shared" si="63"/>
        <v>35-39</v>
      </c>
      <c r="C182" s="447">
        <f>C80*Calc_SEC_death_rates!$G127</f>
        <v>0.2104039257050147</v>
      </c>
      <c r="D182" s="447">
        <f>D80*Calc_SEC_death_rates!$G127</f>
        <v>0.2093136292933655</v>
      </c>
      <c r="E182" s="447">
        <f>E80*Calc_SEC_death_rates!$G127</f>
        <v>0.20747621409803596</v>
      </c>
      <c r="F182" s="447">
        <f>F80*Calc_SEC_death_rates!$G127</f>
        <v>0.2054892127592195</v>
      </c>
      <c r="G182" s="447">
        <f>G80*Calc_SEC_death_rates!$G127</f>
        <v>0.20312139956477729</v>
      </c>
      <c r="H182" s="447">
        <f>H80*Calc_SEC_death_rates!$G127</f>
        <v>0.20030808834944561</v>
      </c>
      <c r="I182" s="447">
        <f>I80*Calc_SEC_death_rates!$G127</f>
        <v>0.1971041434005891</v>
      </c>
      <c r="J182" s="447">
        <f>J80*Calc_SEC_death_rates!$G127</f>
        <v>0.19516281373562508</v>
      </c>
      <c r="K182" s="447">
        <f>K80*Calc_SEC_death_rates!$G127</f>
        <v>0.19403593925732901</v>
      </c>
      <c r="L182" s="447">
        <f>L80*Calc_SEC_death_rates!$G127</f>
        <v>0.19234852867318811</v>
      </c>
      <c r="M182" s="447">
        <f>M80*Calc_SEC_death_rates!$G127</f>
        <v>0.19050497862964755</v>
      </c>
      <c r="N182" s="447">
        <f>N80*Calc_SEC_death_rates!$G127</f>
        <v>0.18973325501560886</v>
      </c>
    </row>
    <row r="183" spans="1:14">
      <c r="B183" s="331" t="str">
        <f t="shared" si="63"/>
        <v>40-44</v>
      </c>
      <c r="C183" s="447">
        <f>C81*Calc_SEC_death_rates!$G128</f>
        <v>0.25918521160972258</v>
      </c>
      <c r="D183" s="447">
        <f>D81*Calc_SEC_death_rates!$G128</f>
        <v>0.26498684754153357</v>
      </c>
      <c r="E183" s="447">
        <f>E81*Calc_SEC_death_rates!$G128</f>
        <v>0.2691736700883427</v>
      </c>
      <c r="F183" s="447">
        <f>F81*Calc_SEC_death_rates!$G128</f>
        <v>0.27229733892677466</v>
      </c>
      <c r="G183" s="447">
        <f>G81*Calc_SEC_death_rates!$G128</f>
        <v>0.2739842969057032</v>
      </c>
      <c r="H183" s="447">
        <f>H81*Calc_SEC_death_rates!$G128</f>
        <v>0.27402413435233414</v>
      </c>
      <c r="I183" s="447">
        <f>I81*Calc_SEC_death_rates!$G128</f>
        <v>0.27254772568115054</v>
      </c>
      <c r="J183" s="447">
        <f>J81*Calc_SEC_death_rates!$G128</f>
        <v>0.27176720844250235</v>
      </c>
      <c r="K183" s="447">
        <f>K81*Calc_SEC_death_rates!$G128</f>
        <v>0.27120294625009111</v>
      </c>
      <c r="L183" s="447">
        <f>L81*Calc_SEC_death_rates!$G128</f>
        <v>0.26928106286256648</v>
      </c>
      <c r="M183" s="447">
        <f>M81*Calc_SEC_death_rates!$G128</f>
        <v>0.26675733426640436</v>
      </c>
      <c r="N183" s="447">
        <f>N81*Calc_SEC_death_rates!$G128</f>
        <v>0.265356246328323</v>
      </c>
    </row>
    <row r="184" spans="1:14">
      <c r="B184" s="331" t="str">
        <f t="shared" si="63"/>
        <v>45-49</v>
      </c>
      <c r="C184" s="447">
        <f>C82*Calc_SEC_death_rates!$G129</f>
        <v>0.32308941465567503</v>
      </c>
      <c r="D184" s="447">
        <f>D82*Calc_SEC_death_rates!$G129</f>
        <v>0.32808953095406368</v>
      </c>
      <c r="E184" s="447">
        <f>E82*Calc_SEC_death_rates!$G129</f>
        <v>0.33371921128717308</v>
      </c>
      <c r="F184" s="447">
        <f>F82*Calc_SEC_death_rates!$G129</f>
        <v>0.33960005822250522</v>
      </c>
      <c r="G184" s="447">
        <f>G82*Calc_SEC_death_rates!$G129</f>
        <v>0.34474509532943703</v>
      </c>
      <c r="H184" s="447">
        <f>H82*Calc_SEC_death_rates!$G129</f>
        <v>0.3483023066901953</v>
      </c>
      <c r="I184" s="447">
        <f>I82*Calc_SEC_death_rates!$G129</f>
        <v>0.35001548140676669</v>
      </c>
      <c r="J184" s="447">
        <f>J82*Calc_SEC_death_rates!$G129</f>
        <v>0.35234392956010729</v>
      </c>
      <c r="K184" s="447">
        <f>K82*Calc_SEC_death_rates!$G129</f>
        <v>0.35451273384173088</v>
      </c>
      <c r="L184" s="447">
        <f>L82*Calc_SEC_death_rates!$G129</f>
        <v>0.35445901550786657</v>
      </c>
      <c r="M184" s="447">
        <f>M82*Calc_SEC_death_rates!$G129</f>
        <v>0.35308872365041966</v>
      </c>
      <c r="N184" s="447">
        <f>N82*Calc_SEC_death_rates!$G129</f>
        <v>0.35258715396403612</v>
      </c>
    </row>
    <row r="185" spans="1:14">
      <c r="B185" s="331" t="str">
        <f t="shared" si="63"/>
        <v>50-54</v>
      </c>
      <c r="C185" s="447">
        <f>C83*Calc_SEC_death_rates!$G130</f>
        <v>0.29404316745275233</v>
      </c>
      <c r="D185" s="447">
        <f>D83*Calc_SEC_death_rates!$G130</f>
        <v>0.29356115273606687</v>
      </c>
      <c r="E185" s="447">
        <f>E83*Calc_SEC_death_rates!$G130</f>
        <v>0.29464045186233362</v>
      </c>
      <c r="F185" s="447">
        <f>F83*Calc_SEC_death_rates!$G130</f>
        <v>0.29706283865090888</v>
      </c>
      <c r="G185" s="447">
        <f>G83*Calc_SEC_death_rates!$G130</f>
        <v>0.30001997217808851</v>
      </c>
      <c r="H185" s="447">
        <f>H83*Calc_SEC_death_rates!$G130</f>
        <v>0.30261109696018806</v>
      </c>
      <c r="I185" s="447">
        <f>I83*Calc_SEC_death_rates!$G130</f>
        <v>0.30441342135657468</v>
      </c>
      <c r="J185" s="447">
        <f>J83*Calc_SEC_death_rates!$G130</f>
        <v>0.30735581401036965</v>
      </c>
      <c r="K185" s="447">
        <f>K83*Calc_SEC_death_rates!$G130</f>
        <v>0.31053305426947292</v>
      </c>
      <c r="L185" s="447">
        <f>L83*Calc_SEC_death_rates!$G130</f>
        <v>0.31194836877372256</v>
      </c>
      <c r="M185" s="447">
        <f>M83*Calc_SEC_death_rates!$G130</f>
        <v>0.31224727833493271</v>
      </c>
      <c r="N185" s="447">
        <f>N83*Calc_SEC_death_rates!$G130</f>
        <v>0.31322569294653746</v>
      </c>
    </row>
    <row r="186" spans="1:14">
      <c r="B186" s="331" t="str">
        <f t="shared" si="63"/>
        <v>55-59</v>
      </c>
      <c r="C186" s="447">
        <f>C84*Calc_SEC_death_rates!$G131</f>
        <v>0.28870801517527245</v>
      </c>
      <c r="D186" s="447">
        <f>D84*Calc_SEC_death_rates!$G131</f>
        <v>0.26252245952601233</v>
      </c>
      <c r="E186" s="447">
        <f>E84*Calc_SEC_death_rates!$G131</f>
        <v>0.24672957187876271</v>
      </c>
      <c r="F186" s="447">
        <f>F84*Calc_SEC_death_rates!$G131</f>
        <v>0.23819022871850143</v>
      </c>
      <c r="G186" s="447">
        <f>G84*Calc_SEC_death_rates!$G131</f>
        <v>0.23349112952377807</v>
      </c>
      <c r="H186" s="447">
        <f>H84*Calc_SEC_death_rates!$G131</f>
        <v>0.23083451409575428</v>
      </c>
      <c r="I186" s="447">
        <f>I84*Calc_SEC_death_rates!$G131</f>
        <v>0.22913674400553855</v>
      </c>
      <c r="J186" s="447">
        <f>J84*Calc_SEC_death_rates!$G131</f>
        <v>0.22978026089500508</v>
      </c>
      <c r="K186" s="447">
        <f>K84*Calc_SEC_death_rates!$G131</f>
        <v>0.23145703422385175</v>
      </c>
      <c r="L186" s="447">
        <f>L84*Calc_SEC_death_rates!$G131</f>
        <v>0.23203837873183442</v>
      </c>
      <c r="M186" s="447">
        <f>M84*Calc_SEC_death_rates!$G131</f>
        <v>0.23208893767561814</v>
      </c>
      <c r="N186" s="447">
        <f>N84*Calc_SEC_death_rates!$G131</f>
        <v>0.23318353818668905</v>
      </c>
    </row>
    <row r="187" spans="1:14">
      <c r="B187" s="331" t="str">
        <f t="shared" si="63"/>
        <v>60-64</v>
      </c>
      <c r="C187" s="447">
        <f>C85*Calc_SEC_death_rates!$G132</f>
        <v>0.14636396436283106</v>
      </c>
      <c r="D187" s="447">
        <f>D85*Calc_SEC_death_rates!$G132</f>
        <v>0.1612332265305651</v>
      </c>
      <c r="E187" s="447">
        <f>E85*Calc_SEC_death_rates!$G132</f>
        <v>0.16223927056031773</v>
      </c>
      <c r="F187" s="447">
        <f>F85*Calc_SEC_death_rates!$G132</f>
        <v>0.15962771169937134</v>
      </c>
      <c r="G187" s="447">
        <f>G85*Calc_SEC_death_rates!$G132</f>
        <v>0.15594560408058644</v>
      </c>
      <c r="H187" s="447">
        <f>H85*Calc_SEC_death_rates!$G132</f>
        <v>0.15238537271596525</v>
      </c>
      <c r="I187" s="447">
        <f>I85*Calc_SEC_death_rates!$G132</f>
        <v>0.14923163690583641</v>
      </c>
      <c r="J187" s="447">
        <f>J85*Calc_SEC_death_rates!$G132</f>
        <v>0.1482996393423161</v>
      </c>
      <c r="K187" s="447">
        <f>K85*Calc_SEC_death_rates!$G132</f>
        <v>0.1484905808444823</v>
      </c>
      <c r="L187" s="447">
        <f>L85*Calc_SEC_death_rates!$G132</f>
        <v>0.14790442417539598</v>
      </c>
      <c r="M187" s="447">
        <f>M85*Calc_SEC_death_rates!$G132</f>
        <v>0.14715987738640801</v>
      </c>
      <c r="N187" s="447">
        <f>N85*Calc_SEC_death_rates!$G132</f>
        <v>0.1476883175741118</v>
      </c>
    </row>
    <row r="188" spans="1:14">
      <c r="B188" s="331" t="str">
        <f t="shared" si="63"/>
        <v>65 plus</v>
      </c>
      <c r="C188" s="447">
        <f>C86*Calc_SEC_death_rates!$G133</f>
        <v>3.4873249492658347E-2</v>
      </c>
      <c r="D188" s="447">
        <f>D86*Calc_SEC_death_rates!$G133</f>
        <v>4.6758467085075063E-2</v>
      </c>
      <c r="E188" s="447">
        <f>E86*Calc_SEC_death_rates!$G133</f>
        <v>5.5873913423274343E-2</v>
      </c>
      <c r="F188" s="447">
        <f>F86*Calc_SEC_death_rates!$G133</f>
        <v>6.1788270471162386E-2</v>
      </c>
      <c r="G188" s="447">
        <f>G86*Calc_SEC_death_rates!$G133</f>
        <v>6.49469927574714E-2</v>
      </c>
      <c r="H188" s="447">
        <f>H86*Calc_SEC_death_rates!$G133</f>
        <v>6.6139219857599657E-2</v>
      </c>
      <c r="I188" s="447">
        <f>I86*Calc_SEC_death_rates!$G133</f>
        <v>6.6091620164287712E-2</v>
      </c>
      <c r="J188" s="447">
        <f>J86*Calc_SEC_death_rates!$G133</f>
        <v>6.6126331353958193E-2</v>
      </c>
      <c r="K188" s="447">
        <f>K86*Calc_SEC_death_rates!$G133</f>
        <v>6.6245123233945477E-2</v>
      </c>
      <c r="L188" s="447">
        <f>L86*Calc_SEC_death_rates!$G133</f>
        <v>6.586122107977975E-2</v>
      </c>
      <c r="M188" s="447">
        <f>M86*Calc_SEC_death_rates!$G133</f>
        <v>6.5294889466530767E-2</v>
      </c>
      <c r="N188" s="447">
        <f>N86*Calc_SEC_death_rates!$G133</f>
        <v>6.524651769675556E-2</v>
      </c>
    </row>
    <row r="189" spans="1:14">
      <c r="B189" s="331" t="str">
        <f t="shared" si="63"/>
        <v>Total</v>
      </c>
      <c r="C189" s="447">
        <f>SUM(C179:C188)</f>
        <v>1.6953182763590471</v>
      </c>
      <c r="D189" s="447">
        <f t="shared" ref="D189:N189" si="65">SUM(D179:D188)</f>
        <v>1.7006121574622595</v>
      </c>
      <c r="E189" s="447">
        <f t="shared" si="65"/>
        <v>1.700183921494498</v>
      </c>
      <c r="F189" s="447">
        <f t="shared" si="65"/>
        <v>1.7023771437550972</v>
      </c>
      <c r="G189" s="447">
        <f t="shared" si="65"/>
        <v>1.7031581569696903</v>
      </c>
      <c r="H189" s="447">
        <f t="shared" si="65"/>
        <v>1.7002275436197389</v>
      </c>
      <c r="I189" s="447">
        <f t="shared" si="65"/>
        <v>1.6926903507809867</v>
      </c>
      <c r="J189" s="447">
        <f t="shared" si="65"/>
        <v>1.6950466863256004</v>
      </c>
      <c r="K189" s="447">
        <f t="shared" si="65"/>
        <v>1.7015541704114023</v>
      </c>
      <c r="L189" s="447">
        <f t="shared" si="65"/>
        <v>1.6987931161945007</v>
      </c>
      <c r="M189" s="447">
        <f t="shared" si="65"/>
        <v>1.691430774392912</v>
      </c>
      <c r="N189" s="447">
        <f t="shared" si="65"/>
        <v>1.6916337827588508</v>
      </c>
    </row>
    <row r="190" spans="1:14">
      <c r="A190" s="302">
        <f>SUM(C190:N190)</f>
        <v>0</v>
      </c>
      <c r="C190" s="302">
        <f>SUM(C179:C188)-C189</f>
        <v>0</v>
      </c>
      <c r="D190" s="302">
        <f t="shared" ref="D190:N190" si="66">SUM(D179:D188)-D189</f>
        <v>0</v>
      </c>
      <c r="E190" s="302">
        <f t="shared" si="66"/>
        <v>0</v>
      </c>
      <c r="F190" s="302">
        <f t="shared" si="66"/>
        <v>0</v>
      </c>
      <c r="G190" s="302">
        <f t="shared" si="66"/>
        <v>0</v>
      </c>
      <c r="H190" s="302">
        <f t="shared" si="66"/>
        <v>0</v>
      </c>
      <c r="I190" s="302">
        <f t="shared" si="66"/>
        <v>0</v>
      </c>
      <c r="J190" s="302">
        <f t="shared" si="66"/>
        <v>0</v>
      </c>
      <c r="K190" s="302">
        <f t="shared" si="66"/>
        <v>0</v>
      </c>
      <c r="L190" s="302">
        <f t="shared" si="66"/>
        <v>0</v>
      </c>
      <c r="M190" s="302">
        <f t="shared" si="66"/>
        <v>0</v>
      </c>
      <c r="N190" s="302">
        <f t="shared" si="66"/>
        <v>0</v>
      </c>
    </row>
    <row r="192" spans="1:14">
      <c r="B192" s="334" t="s">
        <v>47</v>
      </c>
      <c r="C192" s="322"/>
      <c r="D192" s="322"/>
      <c r="E192" s="322"/>
      <c r="F192" s="322"/>
      <c r="G192" s="322"/>
      <c r="H192" s="332"/>
      <c r="I192" s="322"/>
      <c r="J192" s="322"/>
      <c r="K192" s="322"/>
      <c r="L192" s="322"/>
    </row>
    <row r="193" spans="1:15">
      <c r="C193" s="322"/>
      <c r="D193" s="322"/>
      <c r="E193" s="322"/>
      <c r="F193" s="322"/>
      <c r="G193" s="322"/>
      <c r="H193" s="332"/>
      <c r="I193" s="322"/>
      <c r="J193" s="322"/>
      <c r="K193" s="322"/>
      <c r="L193" s="322"/>
    </row>
    <row r="194" spans="1:15">
      <c r="B194" s="331" t="str">
        <f t="shared" ref="B194:B205" si="67">B178</f>
        <v>Age group</v>
      </c>
      <c r="C194" s="331" t="str">
        <f t="shared" ref="C194:N194" si="68">C178</f>
        <v>2017/18</v>
      </c>
      <c r="D194" s="331" t="str">
        <f t="shared" si="68"/>
        <v>2018/19</v>
      </c>
      <c r="E194" s="331" t="str">
        <f t="shared" si="68"/>
        <v>2019/20</v>
      </c>
      <c r="F194" s="331" t="str">
        <f t="shared" si="68"/>
        <v>2020/21</v>
      </c>
      <c r="G194" s="331" t="str">
        <f t="shared" si="68"/>
        <v>2021/22</v>
      </c>
      <c r="H194" s="331" t="str">
        <f t="shared" si="68"/>
        <v>2022/23</v>
      </c>
      <c r="I194" s="331" t="str">
        <f t="shared" si="68"/>
        <v>2023/24</v>
      </c>
      <c r="J194" s="331" t="str">
        <f t="shared" si="68"/>
        <v>2024/25</v>
      </c>
      <c r="K194" s="331" t="str">
        <f t="shared" si="68"/>
        <v>2025/26</v>
      </c>
      <c r="L194" s="331" t="str">
        <f t="shared" si="68"/>
        <v>2026/27</v>
      </c>
      <c r="M194" s="331" t="str">
        <f t="shared" si="68"/>
        <v>2027/28</v>
      </c>
      <c r="N194" s="331" t="str">
        <f t="shared" si="68"/>
        <v>2028/29</v>
      </c>
    </row>
    <row r="195" spans="1:15">
      <c r="B195" s="331" t="str">
        <f t="shared" si="67"/>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row>
    <row r="196" spans="1:15">
      <c r="B196" s="331" t="str">
        <f t="shared" si="67"/>
        <v>25-29</v>
      </c>
      <c r="C196" s="447">
        <f>C94*Calc_SEC_death_rates!$G141</f>
        <v>5.011936780678148E-2</v>
      </c>
      <c r="D196" s="447">
        <f>D94*Calc_SEC_death_rates!$G141</f>
        <v>4.7578153307763417E-2</v>
      </c>
      <c r="E196" s="447">
        <f>E94*Calc_SEC_death_rates!$G141</f>
        <v>4.6078690340671795E-2</v>
      </c>
      <c r="F196" s="447">
        <f>F94*Calc_SEC_death_rates!$G141</f>
        <v>4.6120124689359984E-2</v>
      </c>
      <c r="G196" s="447">
        <f>G94*Calc_SEC_death_rates!$G141</f>
        <v>4.6235095085864653E-2</v>
      </c>
      <c r="H196" s="447">
        <f>H94*Calc_SEC_death_rates!$G141</f>
        <v>4.6244801729568949E-2</v>
      </c>
      <c r="I196" s="447">
        <f>I94*Calc_SEC_death_rates!$G141</f>
        <v>4.5959173738870471E-2</v>
      </c>
      <c r="J196" s="447">
        <f>J94*Calc_SEC_death_rates!$G141</f>
        <v>4.6478661069088496E-2</v>
      </c>
      <c r="K196" s="447">
        <f>K94*Calc_SEC_death_rates!$G141</f>
        <v>4.7291499775070918E-2</v>
      </c>
      <c r="L196" s="447">
        <f>L94*Calc_SEC_death_rates!$G141</f>
        <v>4.7314823199201841E-2</v>
      </c>
      <c r="M196" s="447">
        <f>M94*Calc_SEC_death_rates!$G141</f>
        <v>4.6955675676558943E-2</v>
      </c>
      <c r="N196" s="447">
        <f>N94*Calc_SEC_death_rates!$G141</f>
        <v>4.7203964020881714E-2</v>
      </c>
      <c r="O196" s="320"/>
    </row>
    <row r="197" spans="1:15">
      <c r="B197" s="331" t="str">
        <f t="shared" si="67"/>
        <v>30-34</v>
      </c>
      <c r="C197" s="447">
        <f>C95*Calc_SEC_death_rates!$G142</f>
        <v>5.3858265797716243E-2</v>
      </c>
      <c r="D197" s="447">
        <f>D95*Calc_SEC_death_rates!$G142</f>
        <v>5.0998084052154169E-2</v>
      </c>
      <c r="E197" s="447">
        <f>E95*Calc_SEC_death_rates!$G142</f>
        <v>4.836905072683656E-2</v>
      </c>
      <c r="F197" s="447">
        <f>F95*Calc_SEC_death_rates!$G142</f>
        <v>4.6516225470506656E-2</v>
      </c>
      <c r="G197" s="447">
        <f>G95*Calc_SEC_death_rates!$G142</f>
        <v>4.4987769074997241E-2</v>
      </c>
      <c r="H197" s="447">
        <f>H95*Calc_SEC_death_rates!$G142</f>
        <v>4.373471748094454E-2</v>
      </c>
      <c r="I197" s="447">
        <f>I95*Calc_SEC_death_rates!$G142</f>
        <v>4.2620621855548824E-2</v>
      </c>
      <c r="J197" s="447">
        <f>J95*Calc_SEC_death_rates!$G142</f>
        <v>4.2087803693971457E-2</v>
      </c>
      <c r="K197" s="447">
        <f>K95*Calc_SEC_death_rates!$G142</f>
        <v>4.1919284094640727E-2</v>
      </c>
      <c r="L197" s="447">
        <f>L95*Calc_SEC_death_rates!$G142</f>
        <v>4.1586899085458984E-2</v>
      </c>
      <c r="M197" s="447">
        <f>M95*Calc_SEC_death_rates!$G142</f>
        <v>4.1173491668807273E-2</v>
      </c>
      <c r="N197" s="447">
        <f>N95*Calc_SEC_death_rates!$G142</f>
        <v>4.1083015956334734E-2</v>
      </c>
      <c r="O197" s="320"/>
    </row>
    <row r="198" spans="1:15">
      <c r="B198" s="331" t="str">
        <f t="shared" si="67"/>
        <v>35-39</v>
      </c>
      <c r="C198" s="447">
        <f>C96*Calc_SEC_death_rates!$G143</f>
        <v>0.24994316218350232</v>
      </c>
      <c r="D198" s="447">
        <f>D96*Calc_SEC_death_rates!$G143</f>
        <v>0.2466516993089051</v>
      </c>
      <c r="E198" s="447">
        <f>E96*Calc_SEC_death_rates!$G143</f>
        <v>0.24107978710163855</v>
      </c>
      <c r="F198" s="447">
        <f>F96*Calc_SEC_death_rates!$G143</f>
        <v>0.23544508154690094</v>
      </c>
      <c r="G198" s="447">
        <f>G96*Calc_SEC_death_rates!$G143</f>
        <v>0.22898501621892786</v>
      </c>
      <c r="H198" s="447">
        <f>H96*Calc_SEC_death_rates!$G143</f>
        <v>0.22238443666774949</v>
      </c>
      <c r="I198" s="447">
        <f>I96*Calc_SEC_death_rates!$G143</f>
        <v>0.21577156088014171</v>
      </c>
      <c r="J198" s="447">
        <f>J96*Calc_SEC_death_rates!$G143</f>
        <v>0.21096388263298596</v>
      </c>
      <c r="K198" s="447">
        <f>K96*Calc_SEC_death_rates!$G143</f>
        <v>0.20743589914015043</v>
      </c>
      <c r="L198" s="447">
        <f>L96*Calc_SEC_death_rates!$G143</f>
        <v>0.20364358610629107</v>
      </c>
      <c r="M198" s="447">
        <f>M96*Calc_SEC_death_rates!$G143</f>
        <v>0.19999747425726627</v>
      </c>
      <c r="N198" s="447">
        <f>N96*Calc_SEC_death_rates!$G143</f>
        <v>0.19780070787871898</v>
      </c>
      <c r="O198" s="320"/>
    </row>
    <row r="199" spans="1:15">
      <c r="B199" s="331" t="str">
        <f t="shared" si="67"/>
        <v>40-44</v>
      </c>
      <c r="C199" s="447">
        <f>C97*Calc_SEC_death_rates!$G144</f>
        <v>0.17983562033954614</v>
      </c>
      <c r="D199" s="447">
        <f>D97*Calc_SEC_death_rates!$G144</f>
        <v>0.18291481418655081</v>
      </c>
      <c r="E199" s="447">
        <f>E97*Calc_SEC_death_rates!$G144</f>
        <v>0.18423152653310462</v>
      </c>
      <c r="F199" s="447">
        <f>F97*Calc_SEC_death_rates!$G144</f>
        <v>0.18489130768009399</v>
      </c>
      <c r="G199" s="447">
        <f>G97*Calc_SEC_death_rates!$G144</f>
        <v>0.18397521203117545</v>
      </c>
      <c r="H199" s="447">
        <f>H97*Calc_SEC_death_rates!$G144</f>
        <v>0.18191204580682566</v>
      </c>
      <c r="I199" s="447">
        <f>I97*Calc_SEC_death_rates!$G144</f>
        <v>0.1788703452344215</v>
      </c>
      <c r="J199" s="447">
        <f>J97*Calc_SEC_death_rates!$G144</f>
        <v>0.17633910402718941</v>
      </c>
      <c r="K199" s="447">
        <f>K97*Calc_SEC_death_rates!$G144</f>
        <v>0.17405888045786574</v>
      </c>
      <c r="L199" s="447">
        <f>L97*Calc_SEC_death_rates!$G144</f>
        <v>0.17105309801249538</v>
      </c>
      <c r="M199" s="447">
        <f>M97*Calc_SEC_death_rates!$G144</f>
        <v>0.16782739422911278</v>
      </c>
      <c r="N199" s="447">
        <f>N97*Calc_SEC_death_rates!$G144</f>
        <v>0.1654943742092759</v>
      </c>
      <c r="O199" s="320"/>
    </row>
    <row r="200" spans="1:15">
      <c r="B200" s="331" t="str">
        <f t="shared" si="67"/>
        <v>45-49</v>
      </c>
      <c r="C200" s="447">
        <f>C98*Calc_SEC_death_rates!$G145</f>
        <v>0.23140478580762491</v>
      </c>
      <c r="D200" s="447">
        <f>D98*Calc_SEC_death_rates!$G145</f>
        <v>0.24909089173476812</v>
      </c>
      <c r="E200" s="447">
        <f>E98*Calc_SEC_death_rates!$G145</f>
        <v>0.26240836544671786</v>
      </c>
      <c r="F200" s="447">
        <f>F98*Calc_SEC_death_rates!$G145</f>
        <v>0.27350673482803034</v>
      </c>
      <c r="G200" s="447">
        <f>G98*Calc_SEC_death_rates!$G145</f>
        <v>0.28100618198543986</v>
      </c>
      <c r="H200" s="447">
        <f>H98*Calc_SEC_death_rates!$G145</f>
        <v>0.28556332212373792</v>
      </c>
      <c r="I200" s="447">
        <f>I98*Calc_SEC_death_rates!$G145</f>
        <v>0.28739387758464258</v>
      </c>
      <c r="J200" s="447">
        <f>J98*Calc_SEC_death_rates!$G145</f>
        <v>0.28885694512837096</v>
      </c>
      <c r="K200" s="447">
        <f>K98*Calc_SEC_death_rates!$G145</f>
        <v>0.28957534678338492</v>
      </c>
      <c r="L200" s="447">
        <f>L98*Calc_SEC_death_rates!$G145</f>
        <v>0.28806503771937303</v>
      </c>
      <c r="M200" s="447">
        <f>M98*Calc_SEC_death_rates!$G145</f>
        <v>0.28524411776373332</v>
      </c>
      <c r="N200" s="447">
        <f>N98*Calc_SEC_death_rates!$G145</f>
        <v>0.28303547005548146</v>
      </c>
      <c r="O200" s="320"/>
    </row>
    <row r="201" spans="1:15">
      <c r="B201" s="331" t="str">
        <f t="shared" si="67"/>
        <v>50-54</v>
      </c>
      <c r="C201" s="447">
        <f>C99*Calc_SEC_death_rates!$G146</f>
        <v>0.2710725444338748</v>
      </c>
      <c r="D201" s="447">
        <f>D99*Calc_SEC_death_rates!$G146</f>
        <v>0.28246153818149661</v>
      </c>
      <c r="E201" s="447">
        <f>E99*Calc_SEC_death_rates!$G146</f>
        <v>0.29506162863417029</v>
      </c>
      <c r="F201" s="447">
        <f>F99*Calc_SEC_death_rates!$G146</f>
        <v>0.30922620869011969</v>
      </c>
      <c r="G201" s="447">
        <f>G99*Calc_SEC_death_rates!$G146</f>
        <v>0.32161576230358313</v>
      </c>
      <c r="H201" s="447">
        <f>H99*Calc_SEC_death_rates!$G146</f>
        <v>0.33193084031292719</v>
      </c>
      <c r="I201" s="447">
        <f>I99*Calc_SEC_death_rates!$G146</f>
        <v>0.33966527450871553</v>
      </c>
      <c r="J201" s="447">
        <f>J99*Calc_SEC_death_rates!$G146</f>
        <v>0.34721774351485918</v>
      </c>
      <c r="K201" s="447">
        <f>K99*Calc_SEC_death_rates!$G146</f>
        <v>0.35370119412867201</v>
      </c>
      <c r="L201" s="447">
        <f>L99*Calc_SEC_death_rates!$G146</f>
        <v>0.35697102969756872</v>
      </c>
      <c r="M201" s="447">
        <f>M99*Calc_SEC_death_rates!$G146</f>
        <v>0.35800928301296459</v>
      </c>
      <c r="N201" s="447">
        <f>N99*Calc_SEC_death_rates!$G146</f>
        <v>0.35913830437219013</v>
      </c>
      <c r="O201" s="320"/>
    </row>
    <row r="202" spans="1:15">
      <c r="B202" s="331" t="str">
        <f t="shared" si="67"/>
        <v>55-59</v>
      </c>
      <c r="C202" s="447">
        <f>C100*Calc_SEC_death_rates!$G147</f>
        <v>0.24750069267665264</v>
      </c>
      <c r="D202" s="447">
        <f>D100*Calc_SEC_death_rates!$G147</f>
        <v>0.23893362672636237</v>
      </c>
      <c r="E202" s="447">
        <f>E100*Calc_SEC_death_rates!$G147</f>
        <v>0.23587256477860252</v>
      </c>
      <c r="F202" s="447">
        <f>F100*Calc_SEC_death_rates!$G147</f>
        <v>0.2385323255762507</v>
      </c>
      <c r="G202" s="447">
        <f>G100*Calc_SEC_death_rates!$G147</f>
        <v>0.24292203536037757</v>
      </c>
      <c r="H202" s="447">
        <f>H100*Calc_SEC_death_rates!$G147</f>
        <v>0.2480498968295835</v>
      </c>
      <c r="I202" s="447">
        <f>I100*Calc_SEC_death_rates!$G147</f>
        <v>0.25287871989630112</v>
      </c>
      <c r="J202" s="447">
        <f>J100*Calc_SEC_death_rates!$G147</f>
        <v>0.2592471537495537</v>
      </c>
      <c r="K202" s="447">
        <f>K100*Calc_SEC_death_rates!$G147</f>
        <v>0.26570212832526957</v>
      </c>
      <c r="L202" s="447">
        <f>L100*Calc_SEC_death_rates!$G147</f>
        <v>0.26978412337903901</v>
      </c>
      <c r="M202" s="447">
        <f>M100*Calc_SEC_death_rates!$G147</f>
        <v>0.27229865798088321</v>
      </c>
      <c r="N202" s="447">
        <f>N100*Calc_SEC_death_rates!$G147</f>
        <v>0.27528651457098025</v>
      </c>
      <c r="O202" s="320"/>
    </row>
    <row r="203" spans="1:15">
      <c r="B203" s="331" t="str">
        <f t="shared" si="67"/>
        <v>60-64</v>
      </c>
      <c r="C203" s="447">
        <f>C101*Calc_SEC_death_rates!$G148</f>
        <v>8.6495799137373972E-2</v>
      </c>
      <c r="D203" s="447">
        <f>D101*Calc_SEC_death_rates!$G148</f>
        <v>9.1887986867161847E-2</v>
      </c>
      <c r="E203" s="447">
        <f>E101*Calc_SEC_death_rates!$G148</f>
        <v>9.2976822566103984E-2</v>
      </c>
      <c r="F203" s="447">
        <f>F101*Calc_SEC_death_rates!$G148</f>
        <v>9.384512033818275E-2</v>
      </c>
      <c r="G203" s="447">
        <f>G101*Calc_SEC_death_rates!$G148</f>
        <v>9.4291684381621582E-2</v>
      </c>
      <c r="H203" s="447">
        <f>H101*Calc_SEC_death_rates!$G148</f>
        <v>9.480988835560672E-2</v>
      </c>
      <c r="I203" s="447">
        <f>I101*Calc_SEC_death_rates!$G148</f>
        <v>9.5356008739841056E-2</v>
      </c>
      <c r="J203" s="447">
        <f>J101*Calc_SEC_death_rates!$G148</f>
        <v>9.7155007089813644E-2</v>
      </c>
      <c r="K203" s="447">
        <f>K101*Calc_SEC_death_rates!$G148</f>
        <v>9.9391422816033831E-2</v>
      </c>
      <c r="L203" s="447">
        <f>L101*Calc_SEC_death_rates!$G148</f>
        <v>0.10070052297906654</v>
      </c>
      <c r="M203" s="447">
        <f>M101*Calc_SEC_death_rates!$G148</f>
        <v>0.10155233366029109</v>
      </c>
      <c r="N203" s="447">
        <f>N101*Calc_SEC_death_rates!$G148</f>
        <v>0.1030112656701721</v>
      </c>
      <c r="O203" s="320"/>
    </row>
    <row r="204" spans="1:15">
      <c r="B204" s="331" t="str">
        <f t="shared" si="67"/>
        <v>65 plus</v>
      </c>
      <c r="C204" s="447">
        <f>C102*Calc_SEC_death_rates!$G149</f>
        <v>8.1573680805456836E-2</v>
      </c>
      <c r="D204" s="447">
        <f>D102*Calc_SEC_death_rates!$G149</f>
        <v>0.11133345264503619</v>
      </c>
      <c r="E204" s="447">
        <f>E102*Calc_SEC_death_rates!$G149</f>
        <v>0.13232404576972409</v>
      </c>
      <c r="F204" s="447">
        <f>F102*Calc_SEC_death_rates!$G149</f>
        <v>0.14742096533372853</v>
      </c>
      <c r="G204" s="447">
        <f>G102*Calc_SEC_death_rates!$G149</f>
        <v>0.1567612421362124</v>
      </c>
      <c r="H204" s="447">
        <f>H102*Calc_SEC_death_rates!$G149</f>
        <v>0.16232815205192161</v>
      </c>
      <c r="I204" s="447">
        <f>I102*Calc_SEC_death_rates!$G149</f>
        <v>0.16534153917467453</v>
      </c>
      <c r="J204" s="447">
        <f>J102*Calc_SEC_death_rates!$G149</f>
        <v>0.16880701339837276</v>
      </c>
      <c r="K204" s="447">
        <f>K102*Calc_SEC_death_rates!$G149</f>
        <v>0.17247687541197371</v>
      </c>
      <c r="L204" s="447">
        <f>L102*Calc_SEC_death_rates!$G149</f>
        <v>0.17462109468088427</v>
      </c>
      <c r="M204" s="447">
        <f>M102*Calc_SEC_death_rates!$G149</f>
        <v>0.17593833155840513</v>
      </c>
      <c r="N204" s="447">
        <f>N102*Calc_SEC_death_rates!$G149</f>
        <v>0.17823281596879667</v>
      </c>
      <c r="O204" s="320"/>
    </row>
    <row r="205" spans="1:15">
      <c r="B205" s="331" t="str">
        <f t="shared" si="67"/>
        <v>Total</v>
      </c>
      <c r="C205" s="447">
        <f>SUM(C195:C204)</f>
        <v>1.4518039189885292</v>
      </c>
      <c r="D205" s="447">
        <f t="shared" ref="D205:N205" si="69">SUM(D195:D204)</f>
        <v>1.5018502470101986</v>
      </c>
      <c r="E205" s="447">
        <f t="shared" si="69"/>
        <v>1.5384024818975706</v>
      </c>
      <c r="F205" s="447">
        <f t="shared" si="69"/>
        <v>1.5755040941531737</v>
      </c>
      <c r="G205" s="447">
        <f t="shared" si="69"/>
        <v>1.6007799985781996</v>
      </c>
      <c r="H205" s="447">
        <f t="shared" si="69"/>
        <v>1.6169581013588656</v>
      </c>
      <c r="I205" s="447">
        <f t="shared" si="69"/>
        <v>1.6238571216131574</v>
      </c>
      <c r="J205" s="447">
        <f t="shared" si="69"/>
        <v>1.6371533143042056</v>
      </c>
      <c r="K205" s="447">
        <f t="shared" si="69"/>
        <v>1.6515525309330619</v>
      </c>
      <c r="L205" s="447">
        <f t="shared" si="69"/>
        <v>1.6537402148593787</v>
      </c>
      <c r="M205" s="447">
        <f t="shared" si="69"/>
        <v>1.6489967598080226</v>
      </c>
      <c r="N205" s="447">
        <f t="shared" si="69"/>
        <v>1.6502864327028319</v>
      </c>
      <c r="O205" s="320"/>
    </row>
    <row r="206" spans="1:15">
      <c r="A206" s="302">
        <f>SUM(C206:N206)</f>
        <v>0</v>
      </c>
      <c r="C206" s="302">
        <f>SUM(C195:C204)-C205</f>
        <v>0</v>
      </c>
      <c r="D206" s="302">
        <f t="shared" ref="D206:N206" si="70">SUM(D195:D204)-D205</f>
        <v>0</v>
      </c>
      <c r="E206" s="302">
        <f t="shared" si="70"/>
        <v>0</v>
      </c>
      <c r="F206" s="302">
        <f t="shared" si="70"/>
        <v>0</v>
      </c>
      <c r="G206" s="302">
        <f t="shared" si="70"/>
        <v>0</v>
      </c>
      <c r="H206" s="302">
        <f t="shared" si="70"/>
        <v>0</v>
      </c>
      <c r="I206" s="302">
        <f t="shared" si="70"/>
        <v>0</v>
      </c>
      <c r="J206" s="302">
        <f t="shared" si="70"/>
        <v>0</v>
      </c>
      <c r="K206" s="302">
        <f t="shared" si="70"/>
        <v>0</v>
      </c>
      <c r="L206" s="302">
        <f t="shared" si="70"/>
        <v>0</v>
      </c>
      <c r="M206" s="302">
        <f t="shared" si="70"/>
        <v>0</v>
      </c>
      <c r="N206" s="302">
        <f t="shared" si="70"/>
        <v>0</v>
      </c>
    </row>
    <row r="208" spans="1:15"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1">B178</f>
        <v>Age group</v>
      </c>
      <c r="C212" s="331" t="str">
        <f t="shared" ref="C212:N212" si="72">C178</f>
        <v>2017/18</v>
      </c>
      <c r="D212" s="331" t="str">
        <f t="shared" si="72"/>
        <v>2018/19</v>
      </c>
      <c r="E212" s="331" t="str">
        <f t="shared" si="72"/>
        <v>2019/20</v>
      </c>
      <c r="F212" s="331" t="str">
        <f t="shared" si="72"/>
        <v>2020/21</v>
      </c>
      <c r="G212" s="331" t="str">
        <f t="shared" si="72"/>
        <v>2021/22</v>
      </c>
      <c r="H212" s="331" t="str">
        <f t="shared" si="72"/>
        <v>2022/23</v>
      </c>
      <c r="I212" s="331" t="str">
        <f t="shared" si="72"/>
        <v>2023/24</v>
      </c>
      <c r="J212" s="331" t="str">
        <f t="shared" si="72"/>
        <v>2024/25</v>
      </c>
      <c r="K212" s="331" t="str">
        <f t="shared" si="72"/>
        <v>2025/26</v>
      </c>
      <c r="L212" s="331" t="str">
        <f t="shared" si="72"/>
        <v>2026/27</v>
      </c>
      <c r="M212" s="331" t="str">
        <f t="shared" si="72"/>
        <v>2027/28</v>
      </c>
      <c r="N212" s="331" t="str">
        <f t="shared" si="72"/>
        <v>2028/29</v>
      </c>
    </row>
    <row r="213" spans="1:14">
      <c r="B213" s="331" t="str">
        <f t="shared" si="71"/>
        <v>20-24</v>
      </c>
      <c r="C213" s="447">
        <f t="shared" ref="C213:C222" si="73">C111+C145+C179</f>
        <v>7.9293439400613668</v>
      </c>
      <c r="D213" s="447">
        <f t="shared" ref="D213:N213" si="74">D111+D145+D179</f>
        <v>10.889034336378357</v>
      </c>
      <c r="E213" s="447">
        <f t="shared" si="74"/>
        <v>13.505987888277961</v>
      </c>
      <c r="F213" s="447">
        <f t="shared" si="74"/>
        <v>15.200393098370377</v>
      </c>
      <c r="G213" s="447">
        <f t="shared" si="74"/>
        <v>16.431115659882192</v>
      </c>
      <c r="H213" s="447">
        <f t="shared" si="74"/>
        <v>17.103219799719099</v>
      </c>
      <c r="I213" s="447">
        <f t="shared" si="74"/>
        <v>17.31889709931357</v>
      </c>
      <c r="J213" s="447">
        <f t="shared" si="74"/>
        <v>17.89626864352007</v>
      </c>
      <c r="K213" s="447">
        <f t="shared" si="74"/>
        <v>18.49819264041739</v>
      </c>
      <c r="L213" s="447">
        <f t="shared" si="74"/>
        <v>18.498086168075002</v>
      </c>
      <c r="M213" s="447">
        <f t="shared" si="74"/>
        <v>18.271359492064711</v>
      </c>
      <c r="N213" s="447">
        <f t="shared" si="74"/>
        <v>18.457017010391709</v>
      </c>
    </row>
    <row r="214" spans="1:14">
      <c r="B214" s="331" t="str">
        <f t="shared" si="71"/>
        <v>25-29</v>
      </c>
      <c r="C214" s="447">
        <f t="shared" si="73"/>
        <v>30.039707346607209</v>
      </c>
      <c r="D214" s="447">
        <f t="shared" ref="D214:N214" si="75">D112+D146+D180</f>
        <v>27.511692316362144</v>
      </c>
      <c r="E214" s="447">
        <f t="shared" si="75"/>
        <v>27.812869250633973</v>
      </c>
      <c r="F214" s="447">
        <f t="shared" si="75"/>
        <v>27.452208386874414</v>
      </c>
      <c r="G214" s="447">
        <f t="shared" si="75"/>
        <v>27.718013168924305</v>
      </c>
      <c r="H214" s="447">
        <f t="shared" si="75"/>
        <v>27.886834197343031</v>
      </c>
      <c r="I214" s="447">
        <f t="shared" si="75"/>
        <v>27.844911970275856</v>
      </c>
      <c r="J214" s="447">
        <f t="shared" si="75"/>
        <v>28.269658041897532</v>
      </c>
      <c r="K214" s="447">
        <f t="shared" si="75"/>
        <v>28.852636205838646</v>
      </c>
      <c r="L214" s="447">
        <f t="shared" si="75"/>
        <v>28.934749446539108</v>
      </c>
      <c r="M214" s="447">
        <f t="shared" si="75"/>
        <v>28.767722077940704</v>
      </c>
      <c r="N214" s="447">
        <f t="shared" si="75"/>
        <v>28.960359423922331</v>
      </c>
    </row>
    <row r="215" spans="1:14">
      <c r="B215" s="331" t="str">
        <f t="shared" si="71"/>
        <v>30-34</v>
      </c>
      <c r="C215" s="447">
        <f t="shared" si="73"/>
        <v>28.696887088307228</v>
      </c>
      <c r="D215" s="447">
        <f t="shared" ref="D215:N215" si="76">D113+D147+D181</f>
        <v>26.896555456460106</v>
      </c>
      <c r="E215" s="447">
        <f t="shared" si="76"/>
        <v>27.086412670304256</v>
      </c>
      <c r="F215" s="447">
        <f t="shared" si="76"/>
        <v>26.028184753339787</v>
      </c>
      <c r="G215" s="447">
        <f t="shared" si="76"/>
        <v>25.601181577916694</v>
      </c>
      <c r="H215" s="447">
        <f t="shared" si="76"/>
        <v>25.232895234157827</v>
      </c>
      <c r="I215" s="447">
        <f t="shared" si="76"/>
        <v>24.867132178462231</v>
      </c>
      <c r="J215" s="447">
        <f t="shared" si="76"/>
        <v>24.778679568917074</v>
      </c>
      <c r="K215" s="447">
        <f t="shared" si="76"/>
        <v>24.856924808149291</v>
      </c>
      <c r="L215" s="447">
        <f t="shared" si="76"/>
        <v>24.804995314604852</v>
      </c>
      <c r="M215" s="447">
        <f t="shared" si="76"/>
        <v>24.676593742330216</v>
      </c>
      <c r="N215" s="447">
        <f t="shared" si="76"/>
        <v>24.712179979392527</v>
      </c>
    </row>
    <row r="216" spans="1:14">
      <c r="B216" s="331" t="str">
        <f t="shared" si="71"/>
        <v>35-39</v>
      </c>
      <c r="C216" s="447">
        <f t="shared" si="73"/>
        <v>27.925117974929048</v>
      </c>
      <c r="D216" s="447">
        <f t="shared" ref="D216:N216" si="77">D114+D148+D182</f>
        <v>26.793206298867037</v>
      </c>
      <c r="E216" s="447">
        <f t="shared" si="77"/>
        <v>27.542625682795414</v>
      </c>
      <c r="F216" s="447">
        <f t="shared" si="77"/>
        <v>26.772579532371612</v>
      </c>
      <c r="G216" s="447">
        <f t="shared" si="77"/>
        <v>26.464084180159222</v>
      </c>
      <c r="H216" s="447">
        <f t="shared" si="77"/>
        <v>26.097546213273162</v>
      </c>
      <c r="I216" s="447">
        <f t="shared" si="77"/>
        <v>25.680113736848668</v>
      </c>
      <c r="J216" s="447">
        <f t="shared" si="77"/>
        <v>25.427183657668785</v>
      </c>
      <c r="K216" s="447">
        <f t="shared" si="77"/>
        <v>25.280366527036566</v>
      </c>
      <c r="L216" s="447">
        <f t="shared" si="77"/>
        <v>25.060518811134262</v>
      </c>
      <c r="M216" s="447">
        <f t="shared" si="77"/>
        <v>24.820328148569264</v>
      </c>
      <c r="N216" s="447">
        <f t="shared" si="77"/>
        <v>24.7197825697701</v>
      </c>
    </row>
    <row r="217" spans="1:14">
      <c r="B217" s="331" t="str">
        <f t="shared" si="71"/>
        <v>40-44</v>
      </c>
      <c r="C217" s="447">
        <f t="shared" si="73"/>
        <v>25.609593013078523</v>
      </c>
      <c r="D217" s="447">
        <f t="shared" ref="D217:N217" si="78">D115+D149+D183</f>
        <v>25.257905550408733</v>
      </c>
      <c r="E217" s="447">
        <f t="shared" si="78"/>
        <v>26.602369131220058</v>
      </c>
      <c r="F217" s="447">
        <f t="shared" si="78"/>
        <v>26.414586760868843</v>
      </c>
      <c r="G217" s="447">
        <f t="shared" si="78"/>
        <v>26.578232494874094</v>
      </c>
      <c r="H217" s="447">
        <f t="shared" si="78"/>
        <v>26.58209698247618</v>
      </c>
      <c r="I217" s="447">
        <f t="shared" si="78"/>
        <v>26.438875880524957</v>
      </c>
      <c r="J217" s="447">
        <f t="shared" si="78"/>
        <v>26.363160706811232</v>
      </c>
      <c r="K217" s="447">
        <f t="shared" si="78"/>
        <v>26.308423658347699</v>
      </c>
      <c r="L217" s="447">
        <f t="shared" si="78"/>
        <v>26.12198865430349</v>
      </c>
      <c r="M217" s="447">
        <f t="shared" si="78"/>
        <v>25.877170808389334</v>
      </c>
      <c r="N217" s="447">
        <f t="shared" si="78"/>
        <v>25.741256300205286</v>
      </c>
    </row>
    <row r="218" spans="1:14">
      <c r="B218" s="331" t="str">
        <f t="shared" si="71"/>
        <v>45-49</v>
      </c>
      <c r="C218" s="447">
        <f t="shared" si="73"/>
        <v>22.95701154306937</v>
      </c>
      <c r="D218" s="447">
        <f t="shared" ref="D218:N218" si="79">D116+D150+D184</f>
        <v>22.498210239897116</v>
      </c>
      <c r="E218" s="447">
        <f t="shared" si="79"/>
        <v>23.717451409878795</v>
      </c>
      <c r="F218" s="447">
        <f t="shared" si="79"/>
        <v>23.695226912069199</v>
      </c>
      <c r="G218" s="447">
        <f t="shared" si="79"/>
        <v>24.054216313772681</v>
      </c>
      <c r="H218" s="447">
        <f t="shared" si="79"/>
        <v>24.302416890676383</v>
      </c>
      <c r="I218" s="447">
        <f t="shared" si="79"/>
        <v>24.421951804367662</v>
      </c>
      <c r="J218" s="447">
        <f t="shared" si="79"/>
        <v>24.584416756921481</v>
      </c>
      <c r="K218" s="447">
        <f t="shared" si="79"/>
        <v>24.735742730921366</v>
      </c>
      <c r="L218" s="447">
        <f t="shared" si="79"/>
        <v>24.731994592252263</v>
      </c>
      <c r="M218" s="447">
        <f t="shared" si="79"/>
        <v>24.63638395935687</v>
      </c>
      <c r="N218" s="447">
        <f t="shared" si="79"/>
        <v>24.601387476749423</v>
      </c>
    </row>
    <row r="219" spans="1:14">
      <c r="B219" s="331" t="str">
        <f t="shared" si="71"/>
        <v>50-54</v>
      </c>
      <c r="C219" s="447">
        <f t="shared" si="73"/>
        <v>23.884315470521909</v>
      </c>
      <c r="D219" s="447">
        <f t="shared" ref="D219:N219" si="80">D117+D151+D185</f>
        <v>23.210727865878461</v>
      </c>
      <c r="E219" s="447">
        <f t="shared" si="80"/>
        <v>23.936786315108382</v>
      </c>
      <c r="F219" s="447">
        <f t="shared" si="80"/>
        <v>23.798215969194551</v>
      </c>
      <c r="G219" s="447">
        <f t="shared" si="80"/>
        <v>24.035117032448269</v>
      </c>
      <c r="H219" s="447">
        <f t="shared" si="80"/>
        <v>24.242696504345801</v>
      </c>
      <c r="I219" s="447">
        <f t="shared" si="80"/>
        <v>24.387083817907296</v>
      </c>
      <c r="J219" s="447">
        <f t="shared" si="80"/>
        <v>24.622803964389409</v>
      </c>
      <c r="K219" s="447">
        <f t="shared" si="80"/>
        <v>24.877338157274487</v>
      </c>
      <c r="L219" s="447">
        <f t="shared" si="80"/>
        <v>24.99072144139522</v>
      </c>
      <c r="M219" s="447">
        <f t="shared" si="80"/>
        <v>25.014667601491315</v>
      </c>
      <c r="N219" s="447">
        <f t="shared" si="80"/>
        <v>25.093050082249025</v>
      </c>
    </row>
    <row r="220" spans="1:14">
      <c r="B220" s="331" t="str">
        <f t="shared" si="71"/>
        <v>55-59</v>
      </c>
      <c r="C220" s="447">
        <f t="shared" si="73"/>
        <v>36.142484331360464</v>
      </c>
      <c r="D220" s="447">
        <f t="shared" ref="D220:N220" si="81">D118+D152+D186</f>
        <v>32.62233706283218</v>
      </c>
      <c r="E220" s="447">
        <f t="shared" si="81"/>
        <v>30.888742830560115</v>
      </c>
      <c r="F220" s="447">
        <f t="shared" si="81"/>
        <v>29.704954474432455</v>
      </c>
      <c r="G220" s="447">
        <f t="shared" si="81"/>
        <v>29.11892486103859</v>
      </c>
      <c r="H220" s="447">
        <f t="shared" si="81"/>
        <v>28.787615550954403</v>
      </c>
      <c r="I220" s="447">
        <f t="shared" si="81"/>
        <v>28.575884853564993</v>
      </c>
      <c r="J220" s="447">
        <f t="shared" si="81"/>
        <v>28.656138523112968</v>
      </c>
      <c r="K220" s="447">
        <f t="shared" si="81"/>
        <v>28.86525069226159</v>
      </c>
      <c r="L220" s="447">
        <f t="shared" si="81"/>
        <v>28.937750778585428</v>
      </c>
      <c r="M220" s="447">
        <f t="shared" si="81"/>
        <v>28.944056037753501</v>
      </c>
      <c r="N220" s="447">
        <f t="shared" si="81"/>
        <v>29.080564821190954</v>
      </c>
    </row>
    <row r="221" spans="1:14">
      <c r="B221" s="331" t="str">
        <f t="shared" si="71"/>
        <v>60-64</v>
      </c>
      <c r="C221" s="447">
        <f t="shared" si="73"/>
        <v>16.150283884452818</v>
      </c>
      <c r="D221" s="447">
        <f t="shared" ref="D221:N221" si="82">D119+D153+D187</f>
        <v>17.695238274237859</v>
      </c>
      <c r="E221" s="447">
        <f t="shared" si="82"/>
        <v>17.902616224822108</v>
      </c>
      <c r="F221" s="447">
        <f t="shared" si="82"/>
        <v>17.564909204310098</v>
      </c>
      <c r="G221" s="447">
        <f t="shared" si="82"/>
        <v>17.159742173373388</v>
      </c>
      <c r="H221" s="447">
        <f t="shared" si="82"/>
        <v>16.767986005223324</v>
      </c>
      <c r="I221" s="447">
        <f t="shared" si="82"/>
        <v>16.420959273025218</v>
      </c>
      <c r="J221" s="447">
        <f t="shared" si="82"/>
        <v>16.318405321661793</v>
      </c>
      <c r="K221" s="447">
        <f t="shared" si="82"/>
        <v>16.339415897539748</v>
      </c>
      <c r="L221" s="447">
        <f t="shared" si="82"/>
        <v>16.27491714251536</v>
      </c>
      <c r="M221" s="447">
        <f t="shared" si="82"/>
        <v>16.192989658824029</v>
      </c>
      <c r="N221" s="447">
        <f t="shared" si="82"/>
        <v>16.251137481768495</v>
      </c>
    </row>
    <row r="222" spans="1:14">
      <c r="B222" s="331" t="str">
        <f t="shared" si="71"/>
        <v>65 plus</v>
      </c>
      <c r="C222" s="447">
        <f t="shared" si="73"/>
        <v>4.1022590816017175</v>
      </c>
      <c r="D222" s="447">
        <f t="shared" ref="D222:N222" si="83">D120+D154+D188</f>
        <v>5.4545711691317837</v>
      </c>
      <c r="E222" s="447">
        <f t="shared" si="83"/>
        <v>6.5729785166022259</v>
      </c>
      <c r="F222" s="447">
        <f t="shared" si="83"/>
        <v>7.2371346619336308</v>
      </c>
      <c r="G222" s="447">
        <f t="shared" si="83"/>
        <v>7.6071093896829423</v>
      </c>
      <c r="H222" s="447">
        <f t="shared" si="83"/>
        <v>7.7467525291565069</v>
      </c>
      <c r="I222" s="447">
        <f t="shared" si="83"/>
        <v>7.7411772737279536</v>
      </c>
      <c r="J222" s="447">
        <f t="shared" si="83"/>
        <v>7.7452429248945194</v>
      </c>
      <c r="K222" s="447">
        <f t="shared" si="83"/>
        <v>7.7591567765957645</v>
      </c>
      <c r="L222" s="447">
        <f t="shared" si="83"/>
        <v>7.7141910967746989</v>
      </c>
      <c r="M222" s="447">
        <f t="shared" si="83"/>
        <v>7.6478578248261666</v>
      </c>
      <c r="N222" s="447">
        <f t="shared" si="83"/>
        <v>7.6421921376491397</v>
      </c>
    </row>
    <row r="223" spans="1:14">
      <c r="B223" s="331" t="str">
        <f t="shared" si="71"/>
        <v>Total</v>
      </c>
      <c r="C223" s="447">
        <f>SUM(C213:C222)</f>
        <v>223.43700367398964</v>
      </c>
      <c r="D223" s="447">
        <f t="shared" ref="D223:N223" si="84">SUM(D213:D222)</f>
        <v>218.82947857045374</v>
      </c>
      <c r="E223" s="447">
        <f t="shared" si="84"/>
        <v>225.56883992020332</v>
      </c>
      <c r="F223" s="447">
        <f t="shared" si="84"/>
        <v>223.86839375376496</v>
      </c>
      <c r="G223" s="447">
        <f t="shared" si="84"/>
        <v>224.76773685207235</v>
      </c>
      <c r="H223" s="447">
        <f t="shared" si="84"/>
        <v>224.75005990732575</v>
      </c>
      <c r="I223" s="447">
        <f t="shared" si="84"/>
        <v>223.69698788801838</v>
      </c>
      <c r="J223" s="447">
        <f t="shared" si="84"/>
        <v>224.66195810979485</v>
      </c>
      <c r="K223" s="447">
        <f t="shared" si="84"/>
        <v>226.37344809438255</v>
      </c>
      <c r="L223" s="447">
        <f t="shared" si="84"/>
        <v>226.06991344617967</v>
      </c>
      <c r="M223" s="447">
        <f t="shared" si="84"/>
        <v>224.84912935154611</v>
      </c>
      <c r="N223" s="447">
        <f t="shared" si="84"/>
        <v>225.25892728328898</v>
      </c>
    </row>
    <row r="224" spans="1:14">
      <c r="A224" s="302">
        <f>SUM(C224:N224)</f>
        <v>0</v>
      </c>
      <c r="C224" s="302">
        <f>SUM(C213:C222)-C223</f>
        <v>0</v>
      </c>
      <c r="D224" s="302">
        <f t="shared" ref="D224:N224" si="85">SUM(D213:D222)-D223</f>
        <v>0</v>
      </c>
      <c r="E224" s="302">
        <f t="shared" si="85"/>
        <v>0</v>
      </c>
      <c r="F224" s="302">
        <f t="shared" si="85"/>
        <v>0</v>
      </c>
      <c r="G224" s="302">
        <f t="shared" si="85"/>
        <v>0</v>
      </c>
      <c r="H224" s="302">
        <f t="shared" si="85"/>
        <v>0</v>
      </c>
      <c r="I224" s="302">
        <f t="shared" si="85"/>
        <v>0</v>
      </c>
      <c r="J224" s="302">
        <f t="shared" si="85"/>
        <v>0</v>
      </c>
      <c r="K224" s="302">
        <f t="shared" si="85"/>
        <v>0</v>
      </c>
      <c r="L224" s="302">
        <f t="shared" si="85"/>
        <v>0</v>
      </c>
      <c r="M224" s="302">
        <f t="shared" si="85"/>
        <v>0</v>
      </c>
      <c r="N224" s="302">
        <f t="shared" si="85"/>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6">B212</f>
        <v>Age group</v>
      </c>
      <c r="C228" s="331" t="str">
        <f t="shared" ref="C228:N228" si="87">C212</f>
        <v>2017/18</v>
      </c>
      <c r="D228" s="331" t="str">
        <f t="shared" si="87"/>
        <v>2018/19</v>
      </c>
      <c r="E228" s="331" t="str">
        <f t="shared" si="87"/>
        <v>2019/20</v>
      </c>
      <c r="F228" s="331" t="str">
        <f t="shared" si="87"/>
        <v>2020/21</v>
      </c>
      <c r="G228" s="331" t="str">
        <f t="shared" si="87"/>
        <v>2021/22</v>
      </c>
      <c r="H228" s="331" t="str">
        <f t="shared" si="87"/>
        <v>2022/23</v>
      </c>
      <c r="I228" s="331" t="str">
        <f t="shared" si="87"/>
        <v>2023/24</v>
      </c>
      <c r="J228" s="331" t="str">
        <f t="shared" si="87"/>
        <v>2024/25</v>
      </c>
      <c r="K228" s="331" t="str">
        <f t="shared" si="87"/>
        <v>2025/26</v>
      </c>
      <c r="L228" s="331" t="str">
        <f t="shared" si="87"/>
        <v>2026/27</v>
      </c>
      <c r="M228" s="331" t="str">
        <f t="shared" si="87"/>
        <v>2027/28</v>
      </c>
      <c r="N228" s="331" t="str">
        <f t="shared" si="87"/>
        <v>2028/29</v>
      </c>
    </row>
    <row r="229" spans="1:14">
      <c r="B229" s="331" t="str">
        <f t="shared" si="86"/>
        <v>20-24</v>
      </c>
      <c r="C229" s="447">
        <f t="shared" ref="C229:C238" si="88">C195+C161+C127</f>
        <v>11.547984560201407</v>
      </c>
      <c r="D229" s="447">
        <f t="shared" ref="D229:N229" si="89">D195+D161+D127</f>
        <v>15.438980914627797</v>
      </c>
      <c r="E229" s="447">
        <f t="shared" si="89"/>
        <v>18.192619957772351</v>
      </c>
      <c r="F229" s="447">
        <f t="shared" si="89"/>
        <v>20.801375357571036</v>
      </c>
      <c r="G229" s="447">
        <f t="shared" si="89"/>
        <v>22.230737865985844</v>
      </c>
      <c r="H229" s="447">
        <f t="shared" si="89"/>
        <v>22.978709616642387</v>
      </c>
      <c r="I229" s="447">
        <f t="shared" si="89"/>
        <v>23.163570258972975</v>
      </c>
      <c r="J229" s="447">
        <f t="shared" si="89"/>
        <v>23.857799580696863</v>
      </c>
      <c r="K229" s="447">
        <f t="shared" si="89"/>
        <v>24.605337997203215</v>
      </c>
      <c r="L229" s="447">
        <f t="shared" si="89"/>
        <v>24.569303153447617</v>
      </c>
      <c r="M229" s="447">
        <f t="shared" si="89"/>
        <v>24.243466999946985</v>
      </c>
      <c r="N229" s="447">
        <f t="shared" si="89"/>
        <v>24.471995082162888</v>
      </c>
    </row>
    <row r="230" spans="1:14">
      <c r="B230" s="331" t="str">
        <f t="shared" si="86"/>
        <v>25-29</v>
      </c>
      <c r="C230" s="447">
        <f t="shared" si="88"/>
        <v>39.929111486696584</v>
      </c>
      <c r="D230" s="447">
        <f t="shared" ref="D230:N230" si="90">D196+D162+D128</f>
        <v>38.091670172175974</v>
      </c>
      <c r="E230" s="447">
        <f t="shared" si="90"/>
        <v>37.504528271172347</v>
      </c>
      <c r="F230" s="447">
        <f t="shared" si="90"/>
        <v>38.02023106580365</v>
      </c>
      <c r="G230" s="447">
        <f t="shared" si="90"/>
        <v>38.115009669943959</v>
      </c>
      <c r="H230" s="447">
        <f t="shared" si="90"/>
        <v>38.123011574513747</v>
      </c>
      <c r="I230" s="447">
        <f t="shared" si="90"/>
        <v>37.887547289055668</v>
      </c>
      <c r="J230" s="447">
        <f t="shared" si="90"/>
        <v>38.315799130603779</v>
      </c>
      <c r="K230" s="447">
        <f t="shared" si="90"/>
        <v>38.985882215349001</v>
      </c>
      <c r="L230" s="447">
        <f t="shared" si="90"/>
        <v>39.005109439487619</v>
      </c>
      <c r="M230" s="447">
        <f t="shared" si="90"/>
        <v>38.709037564366596</v>
      </c>
      <c r="N230" s="447">
        <f t="shared" si="90"/>
        <v>38.913720016673054</v>
      </c>
    </row>
    <row r="231" spans="1:14">
      <c r="B231" s="331" t="str">
        <f t="shared" si="86"/>
        <v>30-34</v>
      </c>
      <c r="C231" s="447">
        <f t="shared" si="88"/>
        <v>47.453766749335664</v>
      </c>
      <c r="D231" s="447">
        <f t="shared" ref="D231:N231" si="91">D197+D163+D129</f>
        <v>45.155286034229363</v>
      </c>
      <c r="E231" s="447">
        <f t="shared" si="91"/>
        <v>43.53884984047744</v>
      </c>
      <c r="F231" s="447">
        <f t="shared" si="91"/>
        <v>42.408176700772977</v>
      </c>
      <c r="G231" s="447">
        <f t="shared" si="91"/>
        <v>41.014704890785126</v>
      </c>
      <c r="H231" s="447">
        <f t="shared" si="91"/>
        <v>39.872315694794473</v>
      </c>
      <c r="I231" s="447">
        <f t="shared" si="91"/>
        <v>38.856610665733243</v>
      </c>
      <c r="J231" s="447">
        <f t="shared" si="91"/>
        <v>38.370847977187481</v>
      </c>
      <c r="K231" s="447">
        <f t="shared" si="91"/>
        <v>38.217211071491164</v>
      </c>
      <c r="L231" s="447">
        <f t="shared" si="91"/>
        <v>37.914180418004356</v>
      </c>
      <c r="M231" s="447">
        <f t="shared" si="91"/>
        <v>37.537282795778069</v>
      </c>
      <c r="N231" s="447">
        <f t="shared" si="91"/>
        <v>37.45479738422857</v>
      </c>
    </row>
    <row r="232" spans="1:14">
      <c r="B232" s="331" t="str">
        <f t="shared" si="86"/>
        <v>35-39</v>
      </c>
      <c r="C232" s="447">
        <f t="shared" si="88"/>
        <v>44.044152416394795</v>
      </c>
      <c r="D232" s="447">
        <f t="shared" ref="D232:N232" si="92">D198+D164+D130</f>
        <v>43.676879771914216</v>
      </c>
      <c r="E232" s="447">
        <f t="shared" si="92"/>
        <v>43.39405236928836</v>
      </c>
      <c r="F232" s="447">
        <f t="shared" si="92"/>
        <v>42.91949104242898</v>
      </c>
      <c r="G232" s="447">
        <f t="shared" si="92"/>
        <v>41.741880050703017</v>
      </c>
      <c r="H232" s="447">
        <f t="shared" si="92"/>
        <v>40.538654597614894</v>
      </c>
      <c r="I232" s="447">
        <f t="shared" si="92"/>
        <v>39.333187652770739</v>
      </c>
      <c r="J232" s="447">
        <f t="shared" si="92"/>
        <v>38.456791755655438</v>
      </c>
      <c r="K232" s="447">
        <f t="shared" si="92"/>
        <v>37.813672541086362</v>
      </c>
      <c r="L232" s="447">
        <f t="shared" si="92"/>
        <v>37.122368461946408</v>
      </c>
      <c r="M232" s="447">
        <f t="shared" si="92"/>
        <v>36.457715525406975</v>
      </c>
      <c r="N232" s="447">
        <f t="shared" si="92"/>
        <v>36.057265049708299</v>
      </c>
    </row>
    <row r="233" spans="1:14">
      <c r="B233" s="331" t="str">
        <f t="shared" si="86"/>
        <v>40-44</v>
      </c>
      <c r="C233" s="447">
        <f t="shared" si="88"/>
        <v>36.626198046430368</v>
      </c>
      <c r="D233" s="447">
        <f t="shared" ref="D233:N233" si="93">D199+D165+D131</f>
        <v>37.434851920118334</v>
      </c>
      <c r="E233" s="447">
        <f t="shared" si="93"/>
        <v>38.323222717825928</v>
      </c>
      <c r="F233" s="447">
        <f t="shared" si="93"/>
        <v>38.948110231070956</v>
      </c>
      <c r="G233" s="447">
        <f t="shared" si="93"/>
        <v>38.755130935483848</v>
      </c>
      <c r="H233" s="447">
        <f t="shared" si="93"/>
        <v>38.32051653127381</v>
      </c>
      <c r="I233" s="447">
        <f t="shared" si="93"/>
        <v>37.679769864108223</v>
      </c>
      <c r="J233" s="447">
        <f t="shared" si="93"/>
        <v>37.146553550168342</v>
      </c>
      <c r="K233" s="447">
        <f t="shared" si="93"/>
        <v>36.666215128401277</v>
      </c>
      <c r="L233" s="447">
        <f t="shared" si="93"/>
        <v>36.033034761612697</v>
      </c>
      <c r="M233" s="447">
        <f t="shared" si="93"/>
        <v>35.353527065418852</v>
      </c>
      <c r="N233" s="447">
        <f t="shared" si="93"/>
        <v>34.86206685539576</v>
      </c>
    </row>
    <row r="234" spans="1:14">
      <c r="B234" s="331" t="str">
        <f t="shared" si="86"/>
        <v>45-49</v>
      </c>
      <c r="C234" s="447">
        <f t="shared" si="88"/>
        <v>27.265689149483972</v>
      </c>
      <c r="D234" s="447">
        <f t="shared" ref="D234:N234" si="94">D200+D166+D132</f>
        <v>29.491616399574287</v>
      </c>
      <c r="E234" s="447">
        <f t="shared" si="94"/>
        <v>31.574834096533333</v>
      </c>
      <c r="F234" s="447">
        <f t="shared" si="94"/>
        <v>33.324720177032063</v>
      </c>
      <c r="G234" s="447">
        <f t="shared" si="94"/>
        <v>34.238470904816701</v>
      </c>
      <c r="H234" s="447">
        <f t="shared" si="94"/>
        <v>34.793723849545067</v>
      </c>
      <c r="I234" s="447">
        <f t="shared" si="94"/>
        <v>35.016763141581301</v>
      </c>
      <c r="J234" s="447">
        <f t="shared" si="94"/>
        <v>35.195026819532416</v>
      </c>
      <c r="K234" s="447">
        <f t="shared" si="94"/>
        <v>35.282558609720724</v>
      </c>
      <c r="L234" s="447">
        <f t="shared" si="94"/>
        <v>35.098538911007722</v>
      </c>
      <c r="M234" s="447">
        <f t="shared" si="94"/>
        <v>34.754831220509331</v>
      </c>
      <c r="N234" s="447">
        <f t="shared" si="94"/>
        <v>34.485724257225904</v>
      </c>
    </row>
    <row r="235" spans="1:14">
      <c r="B235" s="331" t="str">
        <f t="shared" si="86"/>
        <v>50-54</v>
      </c>
      <c r="C235" s="447">
        <f t="shared" si="88"/>
        <v>24.306439500114674</v>
      </c>
      <c r="D235" s="447">
        <f t="shared" ref="D235:N235" si="95">D201+D167+D133</f>
        <v>25.423441977976168</v>
      </c>
      <c r="E235" s="447">
        <f t="shared" si="95"/>
        <v>26.896202325718811</v>
      </c>
      <c r="F235" s="447">
        <f t="shared" si="95"/>
        <v>28.466023463004312</v>
      </c>
      <c r="G235" s="447">
        <f t="shared" si="95"/>
        <v>29.606552027355168</v>
      </c>
      <c r="H235" s="447">
        <f t="shared" si="95"/>
        <v>30.556113365899272</v>
      </c>
      <c r="I235" s="447">
        <f t="shared" si="95"/>
        <v>31.268111828846532</v>
      </c>
      <c r="J235" s="447">
        <f t="shared" si="95"/>
        <v>31.963359365732845</v>
      </c>
      <c r="K235" s="447">
        <f t="shared" si="95"/>
        <v>32.560197706427871</v>
      </c>
      <c r="L235" s="447">
        <f t="shared" si="95"/>
        <v>32.861204585562284</v>
      </c>
      <c r="M235" s="447">
        <f t="shared" si="95"/>
        <v>32.95678168221847</v>
      </c>
      <c r="N235" s="447">
        <f t="shared" si="95"/>
        <v>33.060714491271384</v>
      </c>
    </row>
    <row r="236" spans="1:14">
      <c r="B236" s="331" t="str">
        <f t="shared" si="86"/>
        <v>55-59</v>
      </c>
      <c r="C236" s="447">
        <f t="shared" si="88"/>
        <v>32.730071346662051</v>
      </c>
      <c r="D236" s="447">
        <f t="shared" ref="D236:N236" si="96">D202+D168+D134</f>
        <v>31.635305528960686</v>
      </c>
      <c r="E236" s="447">
        <f t="shared" si="96"/>
        <v>31.357540042378307</v>
      </c>
      <c r="F236" s="447">
        <f t="shared" si="96"/>
        <v>31.812386463865788</v>
      </c>
      <c r="G236" s="447">
        <f t="shared" si="96"/>
        <v>32.397829731479497</v>
      </c>
      <c r="H236" s="447">
        <f t="shared" si="96"/>
        <v>33.081718216603917</v>
      </c>
      <c r="I236" s="447">
        <f t="shared" si="96"/>
        <v>33.725724789687625</v>
      </c>
      <c r="J236" s="447">
        <f t="shared" si="96"/>
        <v>34.575064930147853</v>
      </c>
      <c r="K236" s="447">
        <f t="shared" si="96"/>
        <v>35.435946763756853</v>
      </c>
      <c r="L236" s="447">
        <f t="shared" si="96"/>
        <v>35.980350981845064</v>
      </c>
      <c r="M236" s="447">
        <f t="shared" si="96"/>
        <v>36.315707400885465</v>
      </c>
      <c r="N236" s="447">
        <f t="shared" si="96"/>
        <v>36.714189444412057</v>
      </c>
    </row>
    <row r="237" spans="1:14">
      <c r="B237" s="331" t="str">
        <f t="shared" si="86"/>
        <v>60-64</v>
      </c>
      <c r="C237" s="447">
        <f t="shared" si="88"/>
        <v>17.368699037498665</v>
      </c>
      <c r="D237" s="447">
        <f t="shared" ref="D237:N237" si="97">D203+D169+D135</f>
        <v>18.463980073490546</v>
      </c>
      <c r="E237" s="447">
        <f t="shared" si="97"/>
        <v>18.725612912124692</v>
      </c>
      <c r="F237" s="447">
        <f t="shared" si="97"/>
        <v>18.934438751303794</v>
      </c>
      <c r="G237" s="447">
        <f t="shared" si="97"/>
        <v>19.024538689356586</v>
      </c>
      <c r="H237" s="447">
        <f t="shared" si="97"/>
        <v>19.129092888559967</v>
      </c>
      <c r="I237" s="447">
        <f t="shared" si="97"/>
        <v>19.239279576251992</v>
      </c>
      <c r="J237" s="447">
        <f t="shared" si="97"/>
        <v>19.602250223511032</v>
      </c>
      <c r="K237" s="447">
        <f t="shared" si="97"/>
        <v>20.053475353149871</v>
      </c>
      <c r="L237" s="447">
        <f t="shared" si="97"/>
        <v>20.317602851382503</v>
      </c>
      <c r="M237" s="447">
        <f t="shared" si="97"/>
        <v>20.489466418856559</v>
      </c>
      <c r="N237" s="447">
        <f t="shared" si="97"/>
        <v>20.783824385300228</v>
      </c>
    </row>
    <row r="238" spans="1:14">
      <c r="B238" s="331" t="str">
        <f t="shared" si="86"/>
        <v>65 plus</v>
      </c>
      <c r="C238" s="447">
        <f t="shared" si="88"/>
        <v>4.3117451219785998</v>
      </c>
      <c r="D238" s="447">
        <f t="shared" ref="D238:N238" si="98">D204+D170+D136</f>
        <v>5.8908999148656012</v>
      </c>
      <c r="E238" s="447">
        <f t="shared" si="98"/>
        <v>7.0262636599316401</v>
      </c>
      <c r="F238" s="447">
        <f t="shared" si="98"/>
        <v>7.8495027519327971</v>
      </c>
      <c r="G238" s="447">
        <f t="shared" si="98"/>
        <v>8.3468304440893277</v>
      </c>
      <c r="H238" s="447">
        <f t="shared" si="98"/>
        <v>8.6432433362732848</v>
      </c>
      <c r="I238" s="447">
        <f t="shared" si="98"/>
        <v>8.8036926350493534</v>
      </c>
      <c r="J238" s="447">
        <f t="shared" si="98"/>
        <v>8.9882135367683968</v>
      </c>
      <c r="K238" s="447">
        <f t="shared" si="98"/>
        <v>9.1836171681973635</v>
      </c>
      <c r="L238" s="447">
        <f t="shared" si="98"/>
        <v>9.2977871915312846</v>
      </c>
      <c r="M238" s="447">
        <f t="shared" si="98"/>
        <v>9.3679241253903225</v>
      </c>
      <c r="N238" s="447">
        <f t="shared" si="98"/>
        <v>9.4900950910522504</v>
      </c>
    </row>
    <row r="239" spans="1:14">
      <c r="B239" s="331" t="str">
        <f t="shared" si="86"/>
        <v>Total</v>
      </c>
      <c r="C239" s="447">
        <f>SUM(C229:C238)</f>
        <v>285.5838574147968</v>
      </c>
      <c r="D239" s="447">
        <f t="shared" ref="D239:N239" si="99">SUM(D229:D238)</f>
        <v>290.70291270793302</v>
      </c>
      <c r="E239" s="447">
        <f t="shared" si="99"/>
        <v>296.53372619322323</v>
      </c>
      <c r="F239" s="447">
        <f t="shared" si="99"/>
        <v>303.48445600478635</v>
      </c>
      <c r="G239" s="447">
        <f t="shared" si="99"/>
        <v>305.47168520999907</v>
      </c>
      <c r="H239" s="447">
        <f t="shared" si="99"/>
        <v>306.03709967172085</v>
      </c>
      <c r="I239" s="447">
        <f t="shared" si="99"/>
        <v>304.97425770205763</v>
      </c>
      <c r="J239" s="447">
        <f t="shared" si="99"/>
        <v>306.47170687000443</v>
      </c>
      <c r="K239" s="447">
        <f t="shared" si="99"/>
        <v>308.80411455478372</v>
      </c>
      <c r="L239" s="447">
        <f t="shared" si="99"/>
        <v>308.19948075582761</v>
      </c>
      <c r="M239" s="447">
        <f t="shared" si="99"/>
        <v>306.18574079877772</v>
      </c>
      <c r="N239" s="447">
        <f t="shared" si="99"/>
        <v>306.2943920574304</v>
      </c>
    </row>
    <row r="240" spans="1:14">
      <c r="A240" s="302">
        <f>SUM(C240:N240)</f>
        <v>0</v>
      </c>
      <c r="C240" s="302">
        <f>SUM(C229:C238)-C239</f>
        <v>0</v>
      </c>
      <c r="D240" s="302">
        <f t="shared" ref="D240:N240" si="100">SUM(D229:D238)-D239</f>
        <v>0</v>
      </c>
      <c r="E240" s="302">
        <f t="shared" si="100"/>
        <v>0</v>
      </c>
      <c r="F240" s="302">
        <f t="shared" si="100"/>
        <v>0</v>
      </c>
      <c r="G240" s="302">
        <f t="shared" si="100"/>
        <v>0</v>
      </c>
      <c r="H240" s="302">
        <f t="shared" si="100"/>
        <v>0</v>
      </c>
      <c r="I240" s="302">
        <f t="shared" si="100"/>
        <v>0</v>
      </c>
      <c r="J240" s="302">
        <f t="shared" si="100"/>
        <v>0</v>
      </c>
      <c r="K240" s="302">
        <f t="shared" si="100"/>
        <v>0</v>
      </c>
      <c r="L240" s="302">
        <f t="shared" si="100"/>
        <v>0</v>
      </c>
      <c r="M240" s="302">
        <f t="shared" si="100"/>
        <v>0</v>
      </c>
      <c r="N240" s="302">
        <f t="shared" si="100"/>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1">B212</f>
        <v>Age group</v>
      </c>
      <c r="C246" s="331" t="str">
        <f t="shared" ref="C246:N246" si="102">C212</f>
        <v>2017/18</v>
      </c>
      <c r="D246" s="331" t="str">
        <f t="shared" si="102"/>
        <v>2018/19</v>
      </c>
      <c r="E246" s="331" t="str">
        <f t="shared" si="102"/>
        <v>2019/20</v>
      </c>
      <c r="F246" s="331" t="str">
        <f t="shared" si="102"/>
        <v>2020/21</v>
      </c>
      <c r="G246" s="331" t="str">
        <f t="shared" si="102"/>
        <v>2021/22</v>
      </c>
      <c r="H246" s="331" t="str">
        <f t="shared" si="102"/>
        <v>2022/23</v>
      </c>
      <c r="I246" s="331" t="str">
        <f t="shared" si="102"/>
        <v>2023/24</v>
      </c>
      <c r="J246" s="331" t="str">
        <f t="shared" si="102"/>
        <v>2024/25</v>
      </c>
      <c r="K246" s="331" t="str">
        <f t="shared" si="102"/>
        <v>2025/26</v>
      </c>
      <c r="L246" s="331" t="str">
        <f t="shared" si="102"/>
        <v>2026/27</v>
      </c>
      <c r="M246" s="331" t="str">
        <f t="shared" si="102"/>
        <v>2027/28</v>
      </c>
      <c r="N246" s="331" t="str">
        <f t="shared" si="102"/>
        <v>2028/29</v>
      </c>
    </row>
    <row r="247" spans="2:14">
      <c r="B247" s="331" t="str">
        <f t="shared" si="101"/>
        <v>20-24</v>
      </c>
      <c r="C247" s="447">
        <f t="shared" ref="C247:C256" si="103">C77-C213</f>
        <v>56.835985922013016</v>
      </c>
      <c r="D247" s="447">
        <f t="shared" ref="D247:N247" si="104">D77-D213</f>
        <v>81.367506957270308</v>
      </c>
      <c r="E247" s="447">
        <f t="shared" si="104"/>
        <v>96.783648733924935</v>
      </c>
      <c r="F247" s="447">
        <f t="shared" si="104"/>
        <v>111.30111573215123</v>
      </c>
      <c r="G247" s="447">
        <f t="shared" si="104"/>
        <v>120.31277703370542</v>
      </c>
      <c r="H247" s="447">
        <f t="shared" si="104"/>
        <v>125.23409322388117</v>
      </c>
      <c r="I247" s="447">
        <f t="shared" si="104"/>
        <v>126.81333686104313</v>
      </c>
      <c r="J247" s="447">
        <f t="shared" si="104"/>
        <v>131.04099706997997</v>
      </c>
      <c r="K247" s="447">
        <f t="shared" si="104"/>
        <v>135.44843653599023</v>
      </c>
      <c r="L247" s="447">
        <f t="shared" si="104"/>
        <v>135.44765691861943</v>
      </c>
      <c r="M247" s="447">
        <f t="shared" si="104"/>
        <v>133.7875069578337</v>
      </c>
      <c r="N247" s="447">
        <f t="shared" si="104"/>
        <v>135.14693817781131</v>
      </c>
    </row>
    <row r="248" spans="2:14">
      <c r="B248" s="331" t="str">
        <f t="shared" si="101"/>
        <v>25-29</v>
      </c>
      <c r="C248" s="447">
        <f t="shared" si="103"/>
        <v>281.97705743464599</v>
      </c>
      <c r="D248" s="447">
        <f t="shared" ref="D248:N248" si="105">D78-D214</f>
        <v>268.89414810605007</v>
      </c>
      <c r="E248" s="447">
        <f t="shared" si="105"/>
        <v>261.00970981369051</v>
      </c>
      <c r="F248" s="447">
        <f t="shared" si="105"/>
        <v>263.07535637989309</v>
      </c>
      <c r="G248" s="447">
        <f t="shared" si="105"/>
        <v>265.62257177254213</v>
      </c>
      <c r="H248" s="447">
        <f t="shared" si="105"/>
        <v>267.24038887453202</v>
      </c>
      <c r="I248" s="447">
        <f t="shared" si="105"/>
        <v>266.83864688457942</v>
      </c>
      <c r="J248" s="447">
        <f t="shared" si="105"/>
        <v>270.90900153831501</v>
      </c>
      <c r="K248" s="447">
        <f t="shared" si="105"/>
        <v>276.49569919407929</v>
      </c>
      <c r="L248" s="447">
        <f t="shared" si="105"/>
        <v>277.28259290245978</v>
      </c>
      <c r="M248" s="447">
        <f t="shared" si="105"/>
        <v>275.68196449763423</v>
      </c>
      <c r="N248" s="447">
        <f t="shared" si="105"/>
        <v>277.52801410253318</v>
      </c>
    </row>
    <row r="249" spans="2:14">
      <c r="B249" s="331" t="str">
        <f t="shared" si="101"/>
        <v>30-34</v>
      </c>
      <c r="C249" s="447">
        <f t="shared" si="103"/>
        <v>373.01100053653022</v>
      </c>
      <c r="D249" s="447">
        <f t="shared" ref="D249:N249" si="106">D79-D215</f>
        <v>363.56782960226496</v>
      </c>
      <c r="E249" s="447">
        <f t="shared" si="106"/>
        <v>351.99338817286304</v>
      </c>
      <c r="F249" s="447">
        <f t="shared" si="106"/>
        <v>345.17159730856417</v>
      </c>
      <c r="G249" s="447">
        <f t="shared" si="106"/>
        <v>339.5089139707373</v>
      </c>
      <c r="H249" s="447">
        <f t="shared" si="106"/>
        <v>334.6249012458058</v>
      </c>
      <c r="I249" s="447">
        <f t="shared" si="106"/>
        <v>329.77435099163523</v>
      </c>
      <c r="J249" s="447">
        <f t="shared" si="106"/>
        <v>328.60134070251411</v>
      </c>
      <c r="K249" s="447">
        <f t="shared" si="106"/>
        <v>329.63898641094596</v>
      </c>
      <c r="L249" s="447">
        <f t="shared" si="106"/>
        <v>328.95032577617553</v>
      </c>
      <c r="M249" s="447">
        <f t="shared" si="106"/>
        <v>327.24753412093798</v>
      </c>
      <c r="N249" s="447">
        <f t="shared" si="106"/>
        <v>327.71945939753346</v>
      </c>
    </row>
    <row r="250" spans="2:14">
      <c r="B250" s="331" t="str">
        <f t="shared" si="101"/>
        <v>35-39</v>
      </c>
      <c r="C250" s="447">
        <f t="shared" si="103"/>
        <v>361.52312588563643</v>
      </c>
      <c r="D250" s="447">
        <f t="shared" ref="D250:N250" si="107">D80-D216</f>
        <v>360.6369477310003</v>
      </c>
      <c r="E250" s="447">
        <f t="shared" si="107"/>
        <v>356.48655510635854</v>
      </c>
      <c r="F250" s="447">
        <f t="shared" si="107"/>
        <v>353.57875076346227</v>
      </c>
      <c r="G250" s="447">
        <f t="shared" si="107"/>
        <v>349.50452993167045</v>
      </c>
      <c r="H250" s="447">
        <f t="shared" si="107"/>
        <v>344.66375482883626</v>
      </c>
      <c r="I250" s="447">
        <f t="shared" si="107"/>
        <v>339.15082868872304</v>
      </c>
      <c r="J250" s="447">
        <f t="shared" si="107"/>
        <v>335.81044449754745</v>
      </c>
      <c r="K250" s="447">
        <f t="shared" si="107"/>
        <v>333.87146743421113</v>
      </c>
      <c r="L250" s="447">
        <f t="shared" si="107"/>
        <v>330.96799372698212</v>
      </c>
      <c r="M250" s="447">
        <f t="shared" si="107"/>
        <v>327.79585581953495</v>
      </c>
      <c r="N250" s="447">
        <f t="shared" si="107"/>
        <v>326.46797554921545</v>
      </c>
    </row>
    <row r="251" spans="2:14">
      <c r="B251" s="331" t="str">
        <f t="shared" si="101"/>
        <v>40-44</v>
      </c>
      <c r="C251" s="447">
        <f t="shared" si="103"/>
        <v>295.58137906973877</v>
      </c>
      <c r="D251" s="447">
        <f t="shared" ref="D251:N251" si="108">D81-D217</f>
        <v>303.12264757769947</v>
      </c>
      <c r="E251" s="447">
        <f t="shared" si="108"/>
        <v>306.96663435405139</v>
      </c>
      <c r="F251" s="447">
        <f t="shared" si="108"/>
        <v>311.02537149242198</v>
      </c>
      <c r="G251" s="447">
        <f t="shared" si="108"/>
        <v>312.95226043726564</v>
      </c>
      <c r="H251" s="447">
        <f t="shared" si="108"/>
        <v>312.99776384426377</v>
      </c>
      <c r="I251" s="447">
        <f t="shared" si="108"/>
        <v>311.31137000273969</v>
      </c>
      <c r="J251" s="447">
        <f t="shared" si="108"/>
        <v>310.41984214182264</v>
      </c>
      <c r="K251" s="447">
        <f t="shared" si="108"/>
        <v>309.77532663276349</v>
      </c>
      <c r="L251" s="447">
        <f t="shared" si="108"/>
        <v>307.58009954414803</v>
      </c>
      <c r="M251" s="447">
        <f t="shared" si="108"/>
        <v>304.6974286107444</v>
      </c>
      <c r="N251" s="447">
        <f t="shared" si="108"/>
        <v>303.09706814393684</v>
      </c>
    </row>
    <row r="252" spans="2:14">
      <c r="B252" s="331" t="str">
        <f t="shared" si="101"/>
        <v>45-49</v>
      </c>
      <c r="C252" s="447">
        <f t="shared" si="103"/>
        <v>240.61391519625761</v>
      </c>
      <c r="D252" s="447">
        <f t="shared" ref="D252:N252" si="109">D82-D218</f>
        <v>245.15172753102064</v>
      </c>
      <c r="E252" s="447">
        <f t="shared" si="109"/>
        <v>248.52508517528716</v>
      </c>
      <c r="F252" s="447">
        <f t="shared" si="109"/>
        <v>253.34480598974187</v>
      </c>
      <c r="G252" s="447">
        <f t="shared" si="109"/>
        <v>257.18305158512879</v>
      </c>
      <c r="H252" s="447">
        <f t="shared" si="109"/>
        <v>259.83676438710165</v>
      </c>
      <c r="I252" s="447">
        <f t="shared" si="109"/>
        <v>261.11480867975587</v>
      </c>
      <c r="J252" s="447">
        <f t="shared" si="109"/>
        <v>262.85185268602856</v>
      </c>
      <c r="K252" s="447">
        <f t="shared" si="109"/>
        <v>264.46980087730259</v>
      </c>
      <c r="L252" s="447">
        <f t="shared" si="109"/>
        <v>264.42972649998302</v>
      </c>
      <c r="M252" s="447">
        <f t="shared" si="109"/>
        <v>263.40747601336278</v>
      </c>
      <c r="N252" s="447">
        <f t="shared" si="109"/>
        <v>263.03330035640835</v>
      </c>
    </row>
    <row r="253" spans="2:14">
      <c r="B253" s="331" t="str">
        <f t="shared" si="101"/>
        <v>50-54</v>
      </c>
      <c r="C253" s="447">
        <f t="shared" si="103"/>
        <v>183.56583012548967</v>
      </c>
      <c r="D253" s="447">
        <f t="shared" ref="D253:N253" si="110">D83-D219</f>
        <v>183.89935193631769</v>
      </c>
      <c r="E253" s="447">
        <f t="shared" si="110"/>
        <v>183.93474889795587</v>
      </c>
      <c r="F253" s="447">
        <f t="shared" si="110"/>
        <v>185.78233529186383</v>
      </c>
      <c r="G253" s="447">
        <f t="shared" si="110"/>
        <v>187.63171899446456</v>
      </c>
      <c r="H253" s="447">
        <f t="shared" si="110"/>
        <v>189.25220176921101</v>
      </c>
      <c r="I253" s="447">
        <f t="shared" si="110"/>
        <v>190.37937081140711</v>
      </c>
      <c r="J253" s="447">
        <f t="shared" si="110"/>
        <v>192.21953560970434</v>
      </c>
      <c r="K253" s="447">
        <f t="shared" si="110"/>
        <v>194.20657349636909</v>
      </c>
      <c r="L253" s="447">
        <f t="shared" si="110"/>
        <v>195.09170754735331</v>
      </c>
      <c r="M253" s="447">
        <f t="shared" si="110"/>
        <v>195.27864481818423</v>
      </c>
      <c r="N253" s="447">
        <f t="shared" si="110"/>
        <v>195.89054279994835</v>
      </c>
    </row>
    <row r="254" spans="2:14">
      <c r="B254" s="331" t="str">
        <f t="shared" si="101"/>
        <v>55-59</v>
      </c>
      <c r="C254" s="447">
        <f t="shared" si="103"/>
        <v>109.76573942050305</v>
      </c>
      <c r="D254" s="447">
        <f t="shared" ref="D254:N254" si="111">D84-D220</f>
        <v>100.0521428651212</v>
      </c>
      <c r="E254" s="447">
        <f t="shared" si="111"/>
        <v>93.804274639123761</v>
      </c>
      <c r="F254" s="447">
        <f t="shared" si="111"/>
        <v>90.672421145942408</v>
      </c>
      <c r="G254" s="447">
        <f t="shared" si="111"/>
        <v>88.883604268428655</v>
      </c>
      <c r="H254" s="447">
        <f t="shared" si="111"/>
        <v>87.872304375025976</v>
      </c>
      <c r="I254" s="447">
        <f t="shared" si="111"/>
        <v>87.226010337452522</v>
      </c>
      <c r="J254" s="447">
        <f t="shared" si="111"/>
        <v>87.470979388996582</v>
      </c>
      <c r="K254" s="447">
        <f t="shared" si="111"/>
        <v>88.109280541220386</v>
      </c>
      <c r="L254" s="447">
        <f t="shared" si="111"/>
        <v>88.33058228958464</v>
      </c>
      <c r="M254" s="447">
        <f t="shared" si="111"/>
        <v>88.349828678775808</v>
      </c>
      <c r="N254" s="447">
        <f t="shared" si="111"/>
        <v>88.766512768044976</v>
      </c>
    </row>
    <row r="255" spans="2:14">
      <c r="B255" s="331" t="str">
        <f t="shared" si="101"/>
        <v>60-64</v>
      </c>
      <c r="C255" s="447">
        <f t="shared" si="103"/>
        <v>28.618371367515607</v>
      </c>
      <c r="D255" s="447">
        <f t="shared" ref="D255:N255" si="112">D85-D221</f>
        <v>31.621509636578153</v>
      </c>
      <c r="E255" s="447">
        <f t="shared" si="112"/>
        <v>31.721852500556199</v>
      </c>
      <c r="F255" s="447">
        <f t="shared" si="112"/>
        <v>31.26075649038436</v>
      </c>
      <c r="G255" s="447">
        <f t="shared" si="112"/>
        <v>30.539669478506354</v>
      </c>
      <c r="H255" s="447">
        <f t="shared" si="112"/>
        <v>29.842450151398186</v>
      </c>
      <c r="I255" s="447">
        <f t="shared" si="112"/>
        <v>29.224837043085799</v>
      </c>
      <c r="J255" s="447">
        <f t="shared" si="112"/>
        <v>29.042318929077439</v>
      </c>
      <c r="K255" s="447">
        <f t="shared" si="112"/>
        <v>29.079712034194213</v>
      </c>
      <c r="L255" s="447">
        <f t="shared" si="112"/>
        <v>28.964921809474138</v>
      </c>
      <c r="M255" s="447">
        <f t="shared" si="112"/>
        <v>28.819113192546244</v>
      </c>
      <c r="N255" s="447">
        <f t="shared" si="112"/>
        <v>28.9226004871499</v>
      </c>
    </row>
    <row r="256" spans="2:14">
      <c r="B256" s="331" t="str">
        <f t="shared" si="101"/>
        <v>65 plus</v>
      </c>
      <c r="C256" s="447">
        <f t="shared" si="103"/>
        <v>6.1667200141334853</v>
      </c>
      <c r="D256" s="447">
        <f t="shared" ref="D256:N256" si="113">D86-D222</f>
        <v>8.314197959949345</v>
      </c>
      <c r="E256" s="447">
        <f t="shared" si="113"/>
        <v>9.8799777546885998</v>
      </c>
      <c r="F256" s="447">
        <f t="shared" si="113"/>
        <v>10.95739745253357</v>
      </c>
      <c r="G256" s="447">
        <f t="shared" si="113"/>
        <v>11.517558390351322</v>
      </c>
      <c r="H256" s="447">
        <f t="shared" si="113"/>
        <v>11.728985350357981</v>
      </c>
      <c r="I256" s="447">
        <f t="shared" si="113"/>
        <v>11.720544124308756</v>
      </c>
      <c r="J256" s="447">
        <f t="shared" si="113"/>
        <v>11.726699731163738</v>
      </c>
      <c r="K256" s="447">
        <f t="shared" si="113"/>
        <v>11.747766024705031</v>
      </c>
      <c r="L256" s="447">
        <f t="shared" si="113"/>
        <v>11.67968565194171</v>
      </c>
      <c r="M256" s="447">
        <f t="shared" si="113"/>
        <v>11.579253635816579</v>
      </c>
      <c r="N256" s="447">
        <f t="shared" si="113"/>
        <v>11.570675491407169</v>
      </c>
    </row>
    <row r="257" spans="1:15">
      <c r="B257" s="331" t="str">
        <f t="shared" si="101"/>
        <v>Total</v>
      </c>
      <c r="C257" s="447">
        <f>SUM(C247:C256)</f>
        <v>1937.6591249724636</v>
      </c>
      <c r="D257" s="447">
        <f t="shared" ref="D257:N257" si="114">SUM(D247:D256)</f>
        <v>1946.6280099032722</v>
      </c>
      <c r="E257" s="447">
        <f t="shared" si="114"/>
        <v>1941.1058751485</v>
      </c>
      <c r="F257" s="447">
        <f t="shared" si="114"/>
        <v>1956.1699080469589</v>
      </c>
      <c r="G257" s="447">
        <f t="shared" si="114"/>
        <v>1963.6566558628003</v>
      </c>
      <c r="H257" s="447">
        <f t="shared" si="114"/>
        <v>1963.2936080504139</v>
      </c>
      <c r="I257" s="447">
        <f t="shared" si="114"/>
        <v>1953.5541044247309</v>
      </c>
      <c r="J257" s="447">
        <f t="shared" si="114"/>
        <v>1960.0930122951497</v>
      </c>
      <c r="K257" s="447">
        <f t="shared" si="114"/>
        <v>1972.8430491817817</v>
      </c>
      <c r="L257" s="447">
        <f t="shared" si="114"/>
        <v>1968.7252926667215</v>
      </c>
      <c r="M257" s="447">
        <f t="shared" si="114"/>
        <v>1956.6446063453707</v>
      </c>
      <c r="N257" s="447">
        <f t="shared" si="114"/>
        <v>1958.1430872739891</v>
      </c>
    </row>
    <row r="258" spans="1:15">
      <c r="A258" s="302">
        <f>SUM(C258:N258)</f>
        <v>0</v>
      </c>
      <c r="C258" s="302">
        <f>SUM(C247:C256)-C257</f>
        <v>0</v>
      </c>
      <c r="D258" s="302">
        <f t="shared" ref="D258:N258" si="115">SUM(D247:D256)-D257</f>
        <v>0</v>
      </c>
      <c r="E258" s="302">
        <f t="shared" si="115"/>
        <v>0</v>
      </c>
      <c r="F258" s="302">
        <f t="shared" si="115"/>
        <v>0</v>
      </c>
      <c r="G258" s="302">
        <f t="shared" si="115"/>
        <v>0</v>
      </c>
      <c r="H258" s="302">
        <f t="shared" si="115"/>
        <v>0</v>
      </c>
      <c r="I258" s="302">
        <f t="shared" si="115"/>
        <v>0</v>
      </c>
      <c r="J258" s="302">
        <f t="shared" si="115"/>
        <v>0</v>
      </c>
      <c r="K258" s="302">
        <f t="shared" si="115"/>
        <v>0</v>
      </c>
      <c r="L258" s="302">
        <f t="shared" si="115"/>
        <v>0</v>
      </c>
      <c r="M258" s="302">
        <f t="shared" si="115"/>
        <v>0</v>
      </c>
      <c r="N258" s="302">
        <f t="shared" si="115"/>
        <v>0</v>
      </c>
    </row>
    <row r="260" spans="1:15">
      <c r="B260" s="334" t="s">
        <v>47</v>
      </c>
      <c r="C260" s="322"/>
      <c r="D260" s="322"/>
      <c r="E260" s="322"/>
      <c r="F260" s="322"/>
      <c r="G260" s="322"/>
      <c r="H260" s="332"/>
      <c r="I260" s="322"/>
      <c r="J260" s="322"/>
      <c r="K260" s="322"/>
      <c r="L260" s="322"/>
    </row>
    <row r="261" spans="1:15">
      <c r="C261" s="322"/>
      <c r="D261" s="322"/>
      <c r="E261" s="322"/>
      <c r="F261" s="322"/>
      <c r="G261" s="322"/>
      <c r="H261" s="332"/>
      <c r="I261" s="322"/>
      <c r="J261" s="322"/>
      <c r="K261" s="322"/>
      <c r="L261" s="322"/>
    </row>
    <row r="262" spans="1:15">
      <c r="B262" s="331" t="str">
        <f t="shared" ref="B262:B273" si="116">B246</f>
        <v>Age group</v>
      </c>
      <c r="C262" s="331" t="str">
        <f t="shared" ref="C262:N262" si="117">C246</f>
        <v>2017/18</v>
      </c>
      <c r="D262" s="331" t="str">
        <f t="shared" si="117"/>
        <v>2018/19</v>
      </c>
      <c r="E262" s="331" t="str">
        <f t="shared" si="117"/>
        <v>2019/20</v>
      </c>
      <c r="F262" s="331" t="str">
        <f t="shared" si="117"/>
        <v>2020/21</v>
      </c>
      <c r="G262" s="331" t="str">
        <f t="shared" si="117"/>
        <v>2021/22</v>
      </c>
      <c r="H262" s="331" t="str">
        <f t="shared" si="117"/>
        <v>2022/23</v>
      </c>
      <c r="I262" s="331" t="str">
        <f t="shared" si="117"/>
        <v>2023/24</v>
      </c>
      <c r="J262" s="331" t="str">
        <f t="shared" si="117"/>
        <v>2024/25</v>
      </c>
      <c r="K262" s="331" t="str">
        <f t="shared" si="117"/>
        <v>2025/26</v>
      </c>
      <c r="L262" s="331" t="str">
        <f t="shared" si="117"/>
        <v>2026/27</v>
      </c>
      <c r="M262" s="331" t="str">
        <f t="shared" si="117"/>
        <v>2027/28</v>
      </c>
      <c r="N262" s="331" t="str">
        <f t="shared" si="117"/>
        <v>2028/29</v>
      </c>
    </row>
    <row r="263" spans="1:15">
      <c r="B263" s="331" t="str">
        <f t="shared" si="116"/>
        <v>20-24</v>
      </c>
      <c r="C263" s="447">
        <f t="shared" ref="C263:C272" si="118">C93-C229</f>
        <v>87.402251157389088</v>
      </c>
      <c r="D263" s="447">
        <f t="shared" ref="D263:N263" si="119">D93-D229</f>
        <v>116.20112292491626</v>
      </c>
      <c r="E263" s="447">
        <f t="shared" si="119"/>
        <v>134.3863941394834</v>
      </c>
      <c r="F263" s="447">
        <f t="shared" si="119"/>
        <v>151.44263820946159</v>
      </c>
      <c r="G263" s="447">
        <f t="shared" si="119"/>
        <v>161.848989977603</v>
      </c>
      <c r="H263" s="447">
        <f t="shared" si="119"/>
        <v>167.29453448023358</v>
      </c>
      <c r="I263" s="447">
        <f t="shared" si="119"/>
        <v>168.64039661167433</v>
      </c>
      <c r="J263" s="447">
        <f t="shared" si="119"/>
        <v>173.6946739465605</v>
      </c>
      <c r="K263" s="447">
        <f t="shared" si="119"/>
        <v>179.13706359688911</v>
      </c>
      <c r="L263" s="447">
        <f t="shared" si="119"/>
        <v>178.87471499195289</v>
      </c>
      <c r="M263" s="447">
        <f t="shared" si="119"/>
        <v>176.50249268155656</v>
      </c>
      <c r="N263" s="447">
        <f t="shared" si="119"/>
        <v>178.1662718827298</v>
      </c>
      <c r="O263" s="320"/>
    </row>
    <row r="264" spans="1:15">
      <c r="B264" s="331" t="str">
        <f t="shared" si="116"/>
        <v>25-29</v>
      </c>
      <c r="C264" s="447">
        <f t="shared" si="118"/>
        <v>388.53043942513955</v>
      </c>
      <c r="D264" s="447">
        <f t="shared" ref="D264:N264" si="120">D94-D230</f>
        <v>368.64359189353064</v>
      </c>
      <c r="E264" s="447">
        <f t="shared" si="120"/>
        <v>356.41215172530713</v>
      </c>
      <c r="F264" s="447">
        <f t="shared" si="120"/>
        <v>356.25066214620773</v>
      </c>
      <c r="G264" s="447">
        <f t="shared" si="120"/>
        <v>357.13874040180383</v>
      </c>
      <c r="H264" s="447">
        <f t="shared" si="120"/>
        <v>357.21371847851469</v>
      </c>
      <c r="I264" s="447">
        <f t="shared" si="120"/>
        <v>355.00741132953817</v>
      </c>
      <c r="J264" s="447">
        <f t="shared" si="120"/>
        <v>359.02014344189161</v>
      </c>
      <c r="K264" s="447">
        <f t="shared" si="120"/>
        <v>365.29884128095244</v>
      </c>
      <c r="L264" s="447">
        <f t="shared" si="120"/>
        <v>365.47900092592573</v>
      </c>
      <c r="M264" s="447">
        <f t="shared" si="120"/>
        <v>362.70479891299794</v>
      </c>
      <c r="N264" s="447">
        <f t="shared" si="120"/>
        <v>364.62267939714548</v>
      </c>
      <c r="O264" s="320"/>
    </row>
    <row r="265" spans="1:15">
      <c r="B265" s="331" t="str">
        <f t="shared" si="116"/>
        <v>30-34</v>
      </c>
      <c r="C265" s="447">
        <f t="shared" si="118"/>
        <v>543.33062049544253</v>
      </c>
      <c r="D265" s="447">
        <f t="shared" ref="D265:N265" si="121">D95-D231</f>
        <v>514.25507356719606</v>
      </c>
      <c r="E265" s="447">
        <f t="shared" si="121"/>
        <v>487.03300523171885</v>
      </c>
      <c r="F265" s="447">
        <f t="shared" si="121"/>
        <v>467.83958851224094</v>
      </c>
      <c r="G265" s="447">
        <f t="shared" si="121"/>
        <v>452.46705121152172</v>
      </c>
      <c r="H265" s="447">
        <f t="shared" si="121"/>
        <v>439.86441339608001</v>
      </c>
      <c r="I265" s="447">
        <f t="shared" si="121"/>
        <v>428.65933315415674</v>
      </c>
      <c r="J265" s="447">
        <f t="shared" si="121"/>
        <v>423.30048413012628</v>
      </c>
      <c r="K265" s="447">
        <f t="shared" si="121"/>
        <v>421.60558865634971</v>
      </c>
      <c r="L265" s="447">
        <f t="shared" si="121"/>
        <v>418.26260748471913</v>
      </c>
      <c r="M265" s="447">
        <f t="shared" si="121"/>
        <v>414.10473883269634</v>
      </c>
      <c r="N265" s="447">
        <f t="shared" si="121"/>
        <v>413.19477419852063</v>
      </c>
      <c r="O265" s="320"/>
    </row>
    <row r="266" spans="1:15">
      <c r="B266" s="331" t="str">
        <f t="shared" si="116"/>
        <v>35-39</v>
      </c>
      <c r="C266" s="447">
        <f t="shared" si="118"/>
        <v>515.68221697683794</v>
      </c>
      <c r="D266" s="447">
        <f t="shared" ref="D266:N266" si="122">D96-D232</f>
        <v>508.67853956732853</v>
      </c>
      <c r="E266" s="447">
        <f t="shared" si="122"/>
        <v>496.48354536001</v>
      </c>
      <c r="F266" s="447">
        <f t="shared" si="122"/>
        <v>484.33966473710456</v>
      </c>
      <c r="G266" s="447">
        <f t="shared" si="122"/>
        <v>471.05051104328663</v>
      </c>
      <c r="H266" s="447">
        <f t="shared" si="122"/>
        <v>457.4723022062866</v>
      </c>
      <c r="I266" s="447">
        <f t="shared" si="122"/>
        <v>443.86879848951838</v>
      </c>
      <c r="J266" s="447">
        <f t="shared" si="122"/>
        <v>433.97880947342827</v>
      </c>
      <c r="K266" s="447">
        <f t="shared" si="122"/>
        <v>426.72131090564602</v>
      </c>
      <c r="L266" s="447">
        <f t="shared" si="122"/>
        <v>418.92005376606249</v>
      </c>
      <c r="M266" s="447">
        <f t="shared" si="122"/>
        <v>411.41955055338923</v>
      </c>
      <c r="N266" s="447">
        <f t="shared" si="122"/>
        <v>406.90053030331279</v>
      </c>
      <c r="O266" s="320"/>
    </row>
    <row r="267" spans="1:15">
      <c r="B267" s="331" t="str">
        <f t="shared" si="116"/>
        <v>40-44</v>
      </c>
      <c r="C267" s="447">
        <f t="shared" si="118"/>
        <v>422.58218627390698</v>
      </c>
      <c r="D267" s="447">
        <f t="shared" ref="D267:N267" si="123">D97-D233</f>
        <v>429.63622183194786</v>
      </c>
      <c r="E267" s="447">
        <f t="shared" si="123"/>
        <v>432.11006230325347</v>
      </c>
      <c r="F267" s="447">
        <f t="shared" si="123"/>
        <v>433.16991908005491</v>
      </c>
      <c r="G267" s="447">
        <f t="shared" si="123"/>
        <v>431.02365767333566</v>
      </c>
      <c r="H267" s="447">
        <f t="shared" si="123"/>
        <v>426.18999860269605</v>
      </c>
      <c r="I267" s="447">
        <f t="shared" si="123"/>
        <v>419.06379452449369</v>
      </c>
      <c r="J267" s="447">
        <f t="shared" si="123"/>
        <v>413.13351276778741</v>
      </c>
      <c r="K267" s="447">
        <f t="shared" si="123"/>
        <v>407.79132404403538</v>
      </c>
      <c r="L267" s="447">
        <f t="shared" si="123"/>
        <v>400.74927022890347</v>
      </c>
      <c r="M267" s="447">
        <f t="shared" si="123"/>
        <v>393.19197689610013</v>
      </c>
      <c r="N267" s="447">
        <f t="shared" si="123"/>
        <v>387.7260947738672</v>
      </c>
      <c r="O267" s="320"/>
    </row>
    <row r="268" spans="1:15">
      <c r="B268" s="331" t="str">
        <f t="shared" si="116"/>
        <v>45-49</v>
      </c>
      <c r="C268" s="447">
        <f t="shared" si="118"/>
        <v>276.12394857528028</v>
      </c>
      <c r="D268" s="447">
        <f t="shared" ref="D268:N268" si="124">D98-D234</f>
        <v>297.08587913578231</v>
      </c>
      <c r="E268" s="447">
        <f t="shared" si="124"/>
        <v>312.46290328635541</v>
      </c>
      <c r="F268" s="447">
        <f t="shared" si="124"/>
        <v>325.26384101090633</v>
      </c>
      <c r="G268" s="447">
        <f t="shared" si="124"/>
        <v>334.18244767487414</v>
      </c>
      <c r="H268" s="447">
        <f t="shared" si="124"/>
        <v>339.60195921392193</v>
      </c>
      <c r="I268" s="447">
        <f t="shared" si="124"/>
        <v>341.77892023380952</v>
      </c>
      <c r="J268" s="447">
        <f t="shared" si="124"/>
        <v>343.5188516809481</v>
      </c>
      <c r="K268" s="447">
        <f t="shared" si="124"/>
        <v>344.37320022869176</v>
      </c>
      <c r="L268" s="447">
        <f t="shared" si="124"/>
        <v>342.57708750195036</v>
      </c>
      <c r="M268" s="447">
        <f t="shared" si="124"/>
        <v>339.22235014774003</v>
      </c>
      <c r="N268" s="447">
        <f t="shared" si="124"/>
        <v>336.5957485122168</v>
      </c>
      <c r="O268" s="320"/>
    </row>
    <row r="269" spans="1:15">
      <c r="B269" s="331" t="str">
        <f t="shared" si="116"/>
        <v>50-54</v>
      </c>
      <c r="C269" s="447">
        <f t="shared" si="118"/>
        <v>189.67482695721688</v>
      </c>
      <c r="D269" s="447">
        <f t="shared" ref="D269:N269" si="125">D99-D235</f>
        <v>197.5481532892332</v>
      </c>
      <c r="E269" s="447">
        <f t="shared" si="125"/>
        <v>206.02174629930084</v>
      </c>
      <c r="F269" s="447">
        <f t="shared" si="125"/>
        <v>215.63326698893604</v>
      </c>
      <c r="G269" s="447">
        <f t="shared" si="125"/>
        <v>224.27289664232984</v>
      </c>
      <c r="H269" s="447">
        <f t="shared" si="125"/>
        <v>231.46592850021344</v>
      </c>
      <c r="I269" s="447">
        <f t="shared" si="125"/>
        <v>236.85939537681998</v>
      </c>
      <c r="J269" s="447">
        <f t="shared" si="125"/>
        <v>242.12597214120882</v>
      </c>
      <c r="K269" s="447">
        <f t="shared" si="125"/>
        <v>246.64708839180093</v>
      </c>
      <c r="L269" s="447">
        <f t="shared" si="125"/>
        <v>248.92724869653239</v>
      </c>
      <c r="M269" s="447">
        <f t="shared" si="125"/>
        <v>249.6512557440245</v>
      </c>
      <c r="N269" s="447">
        <f t="shared" si="125"/>
        <v>250.43855823439674</v>
      </c>
      <c r="O269" s="320"/>
    </row>
    <row r="270" spans="1:15">
      <c r="B270" s="331" t="str">
        <f t="shared" si="116"/>
        <v>55-59</v>
      </c>
      <c r="C270" s="447">
        <f t="shared" si="118"/>
        <v>103.31548907048642</v>
      </c>
      <c r="D270" s="447">
        <f t="shared" ref="D270:N270" si="126">D100-D236</f>
        <v>99.701131549043851</v>
      </c>
      <c r="E270" s="447">
        <f t="shared" si="126"/>
        <v>98.296300176397807</v>
      </c>
      <c r="F270" s="447">
        <f t="shared" si="126"/>
        <v>99.303464403762703</v>
      </c>
      <c r="G270" s="447">
        <f t="shared" si="126"/>
        <v>101.1309458079615</v>
      </c>
      <c r="H270" s="447">
        <f t="shared" si="126"/>
        <v>103.26572736280758</v>
      </c>
      <c r="I270" s="447">
        <f t="shared" si="126"/>
        <v>105.27601615012154</v>
      </c>
      <c r="J270" s="447">
        <f t="shared" si="126"/>
        <v>107.92726076833588</v>
      </c>
      <c r="K270" s="447">
        <f t="shared" si="126"/>
        <v>110.61453318082025</v>
      </c>
      <c r="L270" s="447">
        <f t="shared" si="126"/>
        <v>112.31390977281488</v>
      </c>
      <c r="M270" s="447">
        <f t="shared" si="126"/>
        <v>113.3607364313109</v>
      </c>
      <c r="N270" s="447">
        <f t="shared" si="126"/>
        <v>114.60461190949383</v>
      </c>
      <c r="O270" s="320"/>
    </row>
    <row r="271" spans="1:15">
      <c r="B271" s="331" t="str">
        <f t="shared" si="116"/>
        <v>60-64</v>
      </c>
      <c r="C271" s="447">
        <f t="shared" si="118"/>
        <v>30.901109583757467</v>
      </c>
      <c r="D271" s="447">
        <f t="shared" ref="D271:N271" si="127">D101-D237</f>
        <v>32.814990522827124</v>
      </c>
      <c r="E271" s="447">
        <f t="shared" si="127"/>
        <v>33.160992868006417</v>
      </c>
      <c r="F271" s="447">
        <f t="shared" si="127"/>
        <v>33.436728911629729</v>
      </c>
      <c r="G271" s="447">
        <f t="shared" si="127"/>
        <v>33.595838312399181</v>
      </c>
      <c r="H271" s="447">
        <f t="shared" si="127"/>
        <v>33.780472800976</v>
      </c>
      <c r="I271" s="447">
        <f t="shared" si="127"/>
        <v>33.975053821011514</v>
      </c>
      <c r="J271" s="447">
        <f t="shared" si="127"/>
        <v>34.616031422443896</v>
      </c>
      <c r="K271" s="447">
        <f t="shared" si="127"/>
        <v>35.412859495143429</v>
      </c>
      <c r="L271" s="447">
        <f t="shared" si="127"/>
        <v>35.879287873217393</v>
      </c>
      <c r="M271" s="447">
        <f t="shared" si="127"/>
        <v>36.182785409684918</v>
      </c>
      <c r="N271" s="447">
        <f t="shared" si="127"/>
        <v>36.702598415828426</v>
      </c>
      <c r="O271" s="320"/>
    </row>
    <row r="272" spans="1:15">
      <c r="B272" s="331" t="str">
        <f t="shared" si="116"/>
        <v>65 plus</v>
      </c>
      <c r="C272" s="447">
        <f t="shared" si="118"/>
        <v>7.6016786928478126</v>
      </c>
      <c r="D272" s="447">
        <f t="shared" ref="D272:N272" si="128">D102-D238</f>
        <v>10.368788173642185</v>
      </c>
      <c r="E272" s="447">
        <f t="shared" si="128"/>
        <v>12.298994469670333</v>
      </c>
      <c r="F272" s="447">
        <f t="shared" si="128"/>
        <v>13.680584181376879</v>
      </c>
      <c r="G272" s="447">
        <f t="shared" si="128"/>
        <v>14.547356711216683</v>
      </c>
      <c r="H272" s="447">
        <f t="shared" si="128"/>
        <v>15.063962877507857</v>
      </c>
      <c r="I272" s="447">
        <f t="shared" si="128"/>
        <v>15.343603538594119</v>
      </c>
      <c r="J272" s="447">
        <f t="shared" si="128"/>
        <v>15.66519763301868</v>
      </c>
      <c r="K272" s="447">
        <f t="shared" si="128"/>
        <v>16.005758801489186</v>
      </c>
      <c r="L272" s="447">
        <f t="shared" si="128"/>
        <v>16.204741165668228</v>
      </c>
      <c r="M272" s="447">
        <f t="shared" si="128"/>
        <v>16.326980020562061</v>
      </c>
      <c r="N272" s="447">
        <f t="shared" si="128"/>
        <v>16.539906906898469</v>
      </c>
      <c r="O272" s="320"/>
    </row>
    <row r="273" spans="1:15">
      <c r="B273" s="331" t="str">
        <f t="shared" si="116"/>
        <v>Total</v>
      </c>
      <c r="C273" s="447">
        <f>SUM(C263:C272)</f>
        <v>2565.1447672083041</v>
      </c>
      <c r="D273" s="447">
        <f t="shared" ref="D273:K273" si="129">SUM(D263:D272)</f>
        <v>2574.9334924554482</v>
      </c>
      <c r="E273" s="447">
        <f t="shared" si="129"/>
        <v>2568.6660958595039</v>
      </c>
      <c r="F273" s="447">
        <f t="shared" si="129"/>
        <v>2580.3603581816815</v>
      </c>
      <c r="G273" s="447">
        <f t="shared" si="129"/>
        <v>2581.2584354563319</v>
      </c>
      <c r="H273" s="447">
        <f t="shared" si="129"/>
        <v>2571.2130179192377</v>
      </c>
      <c r="I273" s="447">
        <f t="shared" si="129"/>
        <v>2548.4727232297378</v>
      </c>
      <c r="J273" s="447">
        <f t="shared" si="129"/>
        <v>2546.9809374057495</v>
      </c>
      <c r="K273" s="447">
        <f t="shared" si="129"/>
        <v>2553.6075685818182</v>
      </c>
      <c r="L273" s="447">
        <f>SUM(L263:L272)</f>
        <v>2538.187922407747</v>
      </c>
      <c r="M273" s="447">
        <f>SUM(M263:M272)</f>
        <v>2512.6676656300633</v>
      </c>
      <c r="N273" s="447">
        <f>SUM(N263:N272)</f>
        <v>2505.4917745344101</v>
      </c>
      <c r="O273" s="320"/>
    </row>
    <row r="274" spans="1:15">
      <c r="A274" s="302">
        <f>SUM(C274:N274)</f>
        <v>0</v>
      </c>
      <c r="C274" s="302">
        <f>SUM(C263:C272)-C273</f>
        <v>0</v>
      </c>
      <c r="D274" s="302">
        <f t="shared" ref="D274:N274" si="130">SUM(D263:D272)-D273</f>
        <v>0</v>
      </c>
      <c r="E274" s="302">
        <f t="shared" si="130"/>
        <v>0</v>
      </c>
      <c r="F274" s="302">
        <f t="shared" si="130"/>
        <v>0</v>
      </c>
      <c r="G274" s="302">
        <f t="shared" si="130"/>
        <v>0</v>
      </c>
      <c r="H274" s="302">
        <f t="shared" si="130"/>
        <v>0</v>
      </c>
      <c r="I274" s="302">
        <f t="shared" si="130"/>
        <v>0</v>
      </c>
      <c r="J274" s="302">
        <f t="shared" si="130"/>
        <v>0</v>
      </c>
      <c r="K274" s="302">
        <f t="shared" si="130"/>
        <v>0</v>
      </c>
      <c r="L274" s="302">
        <f t="shared" si="130"/>
        <v>0</v>
      </c>
      <c r="M274" s="302">
        <f t="shared" si="130"/>
        <v>0</v>
      </c>
      <c r="N274" s="302">
        <f t="shared" si="130"/>
        <v>0</v>
      </c>
    </row>
    <row r="275" spans="1:15" ht="15.75">
      <c r="B275" s="333"/>
      <c r="H275" s="320"/>
    </row>
    <row r="276" spans="1:15" ht="15.75">
      <c r="B276" s="333" t="s">
        <v>528</v>
      </c>
      <c r="H276" s="320"/>
    </row>
    <row r="277" spans="1:15" ht="15.75">
      <c r="B277" s="333"/>
      <c r="H277" s="320"/>
    </row>
    <row r="278" spans="1:15" ht="15.75">
      <c r="B278" s="333"/>
      <c r="C278" s="319" t="str">
        <f>C262</f>
        <v>2017/18</v>
      </c>
      <c r="D278" s="319" t="str">
        <f t="shared" ref="D278:N278" si="131">D262</f>
        <v>2018/19</v>
      </c>
      <c r="E278" s="319" t="str">
        <f t="shared" si="131"/>
        <v>2019/20</v>
      </c>
      <c r="F278" s="319" t="str">
        <f t="shared" si="131"/>
        <v>2020/21</v>
      </c>
      <c r="G278" s="319" t="str">
        <f t="shared" si="131"/>
        <v>2021/22</v>
      </c>
      <c r="H278" s="319" t="str">
        <f t="shared" si="131"/>
        <v>2022/23</v>
      </c>
      <c r="I278" s="319" t="str">
        <f t="shared" si="131"/>
        <v>2023/24</v>
      </c>
      <c r="J278" s="319" t="str">
        <f t="shared" si="131"/>
        <v>2024/25</v>
      </c>
      <c r="K278" s="319" t="str">
        <f t="shared" si="131"/>
        <v>2025/26</v>
      </c>
      <c r="L278" s="319" t="str">
        <f t="shared" si="131"/>
        <v>2026/27</v>
      </c>
      <c r="M278" s="319" t="str">
        <f t="shared" si="131"/>
        <v>2027/28</v>
      </c>
      <c r="N278" s="319" t="str">
        <f t="shared" si="131"/>
        <v>2028/29</v>
      </c>
    </row>
    <row r="279" spans="1:15">
      <c r="B279" s="319" t="s">
        <v>222</v>
      </c>
      <c r="C279" s="447">
        <f>C223+C239</f>
        <v>509.02086108878643</v>
      </c>
      <c r="D279" s="447">
        <f t="shared" ref="D279:N279" si="132">D223+D239</f>
        <v>509.53239127838674</v>
      </c>
      <c r="E279" s="447">
        <f t="shared" si="132"/>
        <v>522.10256611342652</v>
      </c>
      <c r="F279" s="447">
        <f t="shared" si="132"/>
        <v>527.35284975855132</v>
      </c>
      <c r="G279" s="447">
        <f t="shared" si="132"/>
        <v>530.23942206207141</v>
      </c>
      <c r="H279" s="447">
        <f t="shared" si="132"/>
        <v>530.7871595790466</v>
      </c>
      <c r="I279" s="447">
        <f t="shared" si="132"/>
        <v>528.67124559007607</v>
      </c>
      <c r="J279" s="447">
        <f t="shared" si="132"/>
        <v>531.13366497979928</v>
      </c>
      <c r="K279" s="447">
        <f t="shared" si="132"/>
        <v>535.17756264916625</v>
      </c>
      <c r="L279" s="447">
        <f t="shared" si="132"/>
        <v>534.26939420200733</v>
      </c>
      <c r="M279" s="447">
        <f t="shared" si="132"/>
        <v>531.03487015032385</v>
      </c>
      <c r="N279" s="447">
        <f t="shared" si="132"/>
        <v>531.55331934071933</v>
      </c>
      <c r="O279" s="320"/>
    </row>
    <row r="280" spans="1:15">
      <c r="B280" s="319" t="s">
        <v>223</v>
      </c>
      <c r="C280" s="447">
        <f>C155+C171</f>
        <v>100.79736411989163</v>
      </c>
      <c r="D280" s="447">
        <f t="shared" ref="D280:N280" si="133">D155+D171</f>
        <v>102.20473924073264</v>
      </c>
      <c r="E280" s="447">
        <f t="shared" si="133"/>
        <v>102.59206234012521</v>
      </c>
      <c r="F280" s="447">
        <f t="shared" si="133"/>
        <v>103.41478948937329</v>
      </c>
      <c r="G280" s="447">
        <f t="shared" si="133"/>
        <v>104.09938346406204</v>
      </c>
      <c r="H280" s="447">
        <f t="shared" si="133"/>
        <v>104.69435606183683</v>
      </c>
      <c r="I280" s="447">
        <f t="shared" si="133"/>
        <v>105.1054949669697</v>
      </c>
      <c r="J280" s="447">
        <f t="shared" si="133"/>
        <v>106.37132421844987</v>
      </c>
      <c r="K280" s="447">
        <f t="shared" si="133"/>
        <v>107.92760326893426</v>
      </c>
      <c r="L280" s="447">
        <f t="shared" si="133"/>
        <v>108.69360655501666</v>
      </c>
      <c r="M280" s="447">
        <f t="shared" si="133"/>
        <v>109.03725793327517</v>
      </c>
      <c r="N280" s="447">
        <f t="shared" si="133"/>
        <v>109.86140186354103</v>
      </c>
      <c r="O280" s="320"/>
    </row>
    <row r="281" spans="1:15">
      <c r="B281" s="319" t="s">
        <v>551</v>
      </c>
      <c r="C281" s="447">
        <f>C189+C205</f>
        <v>3.1471221953475763</v>
      </c>
      <c r="D281" s="447">
        <f t="shared" ref="D281:N281" si="134">D189+D205</f>
        <v>3.2024624044724579</v>
      </c>
      <c r="E281" s="447">
        <f t="shared" si="134"/>
        <v>3.2385864033920688</v>
      </c>
      <c r="F281" s="447">
        <f t="shared" si="134"/>
        <v>3.2778812379082707</v>
      </c>
      <c r="G281" s="447">
        <f t="shared" si="134"/>
        <v>3.3039381555478897</v>
      </c>
      <c r="H281" s="447">
        <f t="shared" si="134"/>
        <v>3.3171856449786046</v>
      </c>
      <c r="I281" s="447">
        <f t="shared" si="134"/>
        <v>3.3165474723941442</v>
      </c>
      <c r="J281" s="447">
        <f t="shared" si="134"/>
        <v>3.3322000006298058</v>
      </c>
      <c r="K281" s="447">
        <f t="shared" si="134"/>
        <v>3.3531067013444642</v>
      </c>
      <c r="L281" s="447">
        <f t="shared" si="134"/>
        <v>3.3525333310538796</v>
      </c>
      <c r="M281" s="447">
        <f t="shared" si="134"/>
        <v>3.3404275342009346</v>
      </c>
      <c r="N281" s="447">
        <f t="shared" si="134"/>
        <v>3.3419202154616827</v>
      </c>
      <c r="O281" s="320"/>
    </row>
    <row r="282" spans="1:15">
      <c r="B282" s="319" t="s">
        <v>224</v>
      </c>
      <c r="C282" s="447">
        <f>C121+C137</f>
        <v>405.07637477354729</v>
      </c>
      <c r="D282" s="447">
        <f t="shared" ref="D282:N282" si="135">D121+D137</f>
        <v>404.12518963318166</v>
      </c>
      <c r="E282" s="447">
        <f t="shared" si="135"/>
        <v>416.27191736990926</v>
      </c>
      <c r="F282" s="447">
        <f t="shared" si="135"/>
        <v>420.66017903126976</v>
      </c>
      <c r="G282" s="447">
        <f t="shared" si="135"/>
        <v>422.83610044246154</v>
      </c>
      <c r="H282" s="447">
        <f t="shared" si="135"/>
        <v>422.77561787223112</v>
      </c>
      <c r="I282" s="447">
        <f t="shared" si="135"/>
        <v>420.24920315071222</v>
      </c>
      <c r="J282" s="447">
        <f t="shared" si="135"/>
        <v>421.43014076071961</v>
      </c>
      <c r="K282" s="447">
        <f t="shared" si="135"/>
        <v>423.89685267888751</v>
      </c>
      <c r="L282" s="447">
        <f t="shared" si="135"/>
        <v>422.22325431593674</v>
      </c>
      <c r="M282" s="447">
        <f t="shared" si="135"/>
        <v>418.65718468284763</v>
      </c>
      <c r="N282" s="447">
        <f t="shared" si="135"/>
        <v>418.34999726171668</v>
      </c>
      <c r="O282" s="320"/>
    </row>
    <row r="283" spans="1:15" ht="15.75">
      <c r="A283" s="302">
        <f>SUM(C283:N283)</f>
        <v>0</v>
      </c>
      <c r="B283" s="333"/>
      <c r="C283" s="302">
        <f>C279-C280-C281-C282</f>
        <v>0</v>
      </c>
      <c r="D283" s="302">
        <f t="shared" ref="D283:N283" si="136">D279-D280-D281-D282</f>
        <v>0</v>
      </c>
      <c r="E283" s="302">
        <f t="shared" si="136"/>
        <v>0</v>
      </c>
      <c r="F283" s="302">
        <f t="shared" si="136"/>
        <v>0</v>
      </c>
      <c r="G283" s="302">
        <f t="shared" si="136"/>
        <v>0</v>
      </c>
      <c r="H283" s="302">
        <f t="shared" si="136"/>
        <v>0</v>
      </c>
      <c r="I283" s="302">
        <f t="shared" si="136"/>
        <v>0</v>
      </c>
      <c r="J283" s="302">
        <f t="shared" si="136"/>
        <v>0</v>
      </c>
      <c r="K283" s="302">
        <f t="shared" si="136"/>
        <v>0</v>
      </c>
      <c r="L283" s="302">
        <f t="shared" si="136"/>
        <v>0</v>
      </c>
      <c r="M283" s="302">
        <f t="shared" si="136"/>
        <v>0</v>
      </c>
      <c r="N283" s="302">
        <f t="shared" si="136"/>
        <v>0</v>
      </c>
    </row>
    <row r="284" spans="1:15" ht="15.75">
      <c r="B284" s="333"/>
      <c r="H284" s="320"/>
    </row>
    <row r="285" spans="1:15" ht="15.75">
      <c r="B285" s="333" t="s">
        <v>266</v>
      </c>
      <c r="F285" s="357"/>
      <c r="G285" s="357" t="s">
        <v>267</v>
      </c>
      <c r="H285" s="320"/>
    </row>
    <row r="286" spans="1:15" ht="15.75">
      <c r="B286" s="333"/>
      <c r="H286" s="320"/>
    </row>
    <row r="287" spans="1:15" ht="15.75">
      <c r="B287" s="333" t="s">
        <v>212</v>
      </c>
      <c r="H287" s="320"/>
    </row>
    <row r="288" spans="1:15" ht="15.75">
      <c r="B288" s="333"/>
      <c r="H288" s="320"/>
    </row>
    <row r="289" spans="2:14" ht="15.75">
      <c r="B289" s="333"/>
      <c r="C289" s="319" t="str">
        <f>C278</f>
        <v>2017/18</v>
      </c>
      <c r="D289" s="319" t="str">
        <f t="shared" ref="D289:N289" si="137">D278</f>
        <v>2018/19</v>
      </c>
      <c r="E289" s="319" t="str">
        <f t="shared" si="137"/>
        <v>2019/20</v>
      </c>
      <c r="F289" s="319" t="str">
        <f t="shared" si="137"/>
        <v>2020/21</v>
      </c>
      <c r="G289" s="319" t="str">
        <f t="shared" si="137"/>
        <v>2021/22</v>
      </c>
      <c r="H289" s="319" t="str">
        <f t="shared" si="137"/>
        <v>2022/23</v>
      </c>
      <c r="I289" s="319" t="str">
        <f t="shared" si="137"/>
        <v>2023/24</v>
      </c>
      <c r="J289" s="319" t="str">
        <f t="shared" si="137"/>
        <v>2024/25</v>
      </c>
      <c r="K289" s="319" t="str">
        <f t="shared" si="137"/>
        <v>2025/26</v>
      </c>
      <c r="L289" s="319" t="str">
        <f t="shared" si="137"/>
        <v>2026/27</v>
      </c>
      <c r="M289" s="319" t="str">
        <f t="shared" si="137"/>
        <v>2027/28</v>
      </c>
      <c r="N289" s="319" t="str">
        <f t="shared" si="137"/>
        <v>2028/29</v>
      </c>
    </row>
    <row r="290" spans="2:14" ht="15.75">
      <c r="B290" s="333"/>
      <c r="C290" s="447">
        <f>C53+C69-C15</f>
        <v>0</v>
      </c>
      <c r="D290" s="447">
        <f>D53+D69-D15</f>
        <v>0</v>
      </c>
      <c r="E290" s="447">
        <f>E53+E69-E15</f>
        <v>0</v>
      </c>
      <c r="F290" s="447">
        <f t="shared" ref="F290:N290" si="138">F53+F69-F15</f>
        <v>0</v>
      </c>
      <c r="G290" s="447">
        <f t="shared" si="138"/>
        <v>0</v>
      </c>
      <c r="H290" s="447">
        <f t="shared" si="138"/>
        <v>0</v>
      </c>
      <c r="I290" s="447">
        <f t="shared" si="138"/>
        <v>0</v>
      </c>
      <c r="J290" s="447">
        <f t="shared" si="138"/>
        <v>0</v>
      </c>
      <c r="K290" s="447">
        <f t="shared" si="138"/>
        <v>0</v>
      </c>
      <c r="L290" s="447">
        <f t="shared" si="138"/>
        <v>0</v>
      </c>
      <c r="M290" s="447">
        <f t="shared" si="138"/>
        <v>0</v>
      </c>
      <c r="N290" s="447">
        <f t="shared" si="138"/>
        <v>0</v>
      </c>
    </row>
    <row r="291" spans="2:14" ht="15.75">
      <c r="B291" s="333"/>
      <c r="H291" s="320"/>
    </row>
    <row r="292" spans="2:14" ht="15.75">
      <c r="B292" s="333" t="s">
        <v>264</v>
      </c>
      <c r="H292" s="320"/>
    </row>
    <row r="293" spans="2:14" ht="15.75">
      <c r="B293" s="333"/>
      <c r="C293" s="358" t="str">
        <f t="shared" ref="C293:N293" si="139">C262</f>
        <v>2017/18</v>
      </c>
      <c r="D293" s="358" t="str">
        <f t="shared" si="139"/>
        <v>2018/19</v>
      </c>
      <c r="E293" s="358" t="str">
        <f t="shared" si="139"/>
        <v>2019/20</v>
      </c>
      <c r="F293" s="358" t="str">
        <f t="shared" si="139"/>
        <v>2020/21</v>
      </c>
      <c r="G293" s="358" t="str">
        <f t="shared" si="139"/>
        <v>2021/22</v>
      </c>
      <c r="H293" s="358" t="str">
        <f t="shared" si="139"/>
        <v>2022/23</v>
      </c>
      <c r="I293" s="358" t="str">
        <f t="shared" si="139"/>
        <v>2023/24</v>
      </c>
      <c r="J293" s="358" t="str">
        <f t="shared" si="139"/>
        <v>2024/25</v>
      </c>
      <c r="K293" s="358" t="str">
        <f t="shared" si="139"/>
        <v>2025/26</v>
      </c>
      <c r="L293" s="358" t="str">
        <f t="shared" si="139"/>
        <v>2026/27</v>
      </c>
      <c r="M293" s="358" t="str">
        <f t="shared" si="139"/>
        <v>2027/28</v>
      </c>
      <c r="N293" s="358" t="str">
        <f t="shared" si="139"/>
        <v>2028/29</v>
      </c>
    </row>
    <row r="294" spans="2:14">
      <c r="B294" s="356" t="s">
        <v>268</v>
      </c>
      <c r="C294" s="447">
        <f>C36-C15+C279-C290</f>
        <v>528.29000145633813</v>
      </c>
      <c r="D294" s="447">
        <f>D36-D15+D279-D290</f>
        <v>510.31303476271</v>
      </c>
      <c r="E294" s="447">
        <f>E36-E15+E279-E290</f>
        <v>554.11114497918811</v>
      </c>
      <c r="F294" s="447">
        <f t="shared" ref="F294:N294" si="140">F36-F15+F279-F290</f>
        <v>538.62424715256395</v>
      </c>
      <c r="G294" s="447">
        <f t="shared" si="140"/>
        <v>520.37869422956521</v>
      </c>
      <c r="H294" s="447">
        <f t="shared" si="140"/>
        <v>496.19144727489311</v>
      </c>
      <c r="I294" s="447">
        <f t="shared" si="140"/>
        <v>536.18078702623006</v>
      </c>
      <c r="J294" s="447">
        <f t="shared" si="140"/>
        <v>554.55423071186647</v>
      </c>
      <c r="K294" s="447">
        <f t="shared" si="140"/>
        <v>514.73199151287645</v>
      </c>
      <c r="L294" s="447">
        <f t="shared" si="140"/>
        <v>493.43392705128872</v>
      </c>
      <c r="M294" s="447">
        <f t="shared" si="140"/>
        <v>525.87590917368505</v>
      </c>
      <c r="N294" s="447">
        <f t="shared" si="140"/>
        <v>548.9402543829176</v>
      </c>
    </row>
    <row r="295" spans="2:14" ht="12.75" customHeight="1">
      <c r="B295" s="1327" t="s">
        <v>265</v>
      </c>
      <c r="C295" s="1327"/>
      <c r="D295" s="1327"/>
      <c r="E295" s="1327"/>
      <c r="F295" s="1327"/>
      <c r="G295" s="1327"/>
      <c r="H295" s="1327"/>
      <c r="I295" s="1327"/>
      <c r="J295" s="1327"/>
      <c r="K295" s="1327"/>
      <c r="L295" s="1327"/>
      <c r="M295" s="1327"/>
      <c r="N295" s="1327"/>
    </row>
    <row r="296" spans="2:14">
      <c r="B296" s="319" t="s">
        <v>5</v>
      </c>
      <c r="C296" s="276">
        <f>IF(C294&lt;0,0,C294)</f>
        <v>528.29000145633813</v>
      </c>
      <c r="D296" s="276">
        <f t="shared" ref="D296:N296" si="141">IF(D294&lt;0,0,D294)</f>
        <v>510.31303476271</v>
      </c>
      <c r="E296" s="276">
        <f t="shared" si="141"/>
        <v>554.11114497918811</v>
      </c>
      <c r="F296" s="276">
        <f t="shared" si="141"/>
        <v>538.62424715256395</v>
      </c>
      <c r="G296" s="276">
        <f t="shared" si="141"/>
        <v>520.37869422956521</v>
      </c>
      <c r="H296" s="276">
        <f t="shared" si="141"/>
        <v>496.19144727489311</v>
      </c>
      <c r="I296" s="276">
        <f t="shared" si="141"/>
        <v>536.18078702623006</v>
      </c>
      <c r="J296" s="276">
        <f t="shared" si="141"/>
        <v>554.55423071186647</v>
      </c>
      <c r="K296" s="276">
        <f t="shared" si="141"/>
        <v>514.73199151287645</v>
      </c>
      <c r="L296" s="276">
        <f t="shared" si="141"/>
        <v>493.43392705128872</v>
      </c>
      <c r="M296" s="276">
        <f t="shared" si="141"/>
        <v>525.87590917368505</v>
      </c>
      <c r="N296" s="276">
        <f t="shared" si="141"/>
        <v>548.9402543829176</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2">B262</f>
        <v>Age group</v>
      </c>
      <c r="C302" s="331" t="str">
        <f>C293</f>
        <v>2017/18</v>
      </c>
      <c r="D302" s="331" t="str">
        <f t="shared" ref="D302:N302" si="143">D293</f>
        <v>2018/19</v>
      </c>
      <c r="E302" s="331" t="str">
        <f t="shared" si="143"/>
        <v>2019/20</v>
      </c>
      <c r="F302" s="331" t="str">
        <f t="shared" si="143"/>
        <v>2020/21</v>
      </c>
      <c r="G302" s="331" t="str">
        <f t="shared" si="143"/>
        <v>2021/22</v>
      </c>
      <c r="H302" s="331" t="str">
        <f t="shared" si="143"/>
        <v>2022/23</v>
      </c>
      <c r="I302" s="331" t="str">
        <f t="shared" si="143"/>
        <v>2023/24</v>
      </c>
      <c r="J302" s="331" t="str">
        <f t="shared" si="143"/>
        <v>2024/25</v>
      </c>
      <c r="K302" s="331" t="str">
        <f t="shared" si="143"/>
        <v>2025/26</v>
      </c>
      <c r="L302" s="331" t="str">
        <f t="shared" si="143"/>
        <v>2026/27</v>
      </c>
      <c r="M302" s="331" t="str">
        <f t="shared" si="143"/>
        <v>2027/28</v>
      </c>
      <c r="N302" s="331" t="str">
        <f t="shared" si="143"/>
        <v>2028/29</v>
      </c>
    </row>
    <row r="303" spans="2:14">
      <c r="B303" s="331" t="str">
        <f t="shared" si="142"/>
        <v>20-24</v>
      </c>
      <c r="C303" s="447">
        <f>C$296*Entrant_age_breakdowns!$K76*$G$31</f>
        <v>58.484690695047817</v>
      </c>
      <c r="D303" s="447">
        <f>D$296*Entrant_age_breakdowns!$K76*$G$31</f>
        <v>56.494538820483314</v>
      </c>
      <c r="E303" s="447">
        <f>E$296*Entrant_age_breakdowns!$K76*$G$31</f>
        <v>61.343237304227074</v>
      </c>
      <c r="F303" s="447">
        <f>F$296*Entrant_age_breakdowns!$K76*$G$31</f>
        <v>59.628750134833282</v>
      </c>
      <c r="G303" s="447">
        <f>G$296*Entrant_age_breakdowns!$K76*$G$31</f>
        <v>57.608864245794919</v>
      </c>
      <c r="H303" s="447">
        <f>H$296*Entrant_age_breakdowns!$K76*$G$31</f>
        <v>54.931199226564672</v>
      </c>
      <c r="I303" s="447">
        <f>I$296*Entrant_age_breakdowns!$K76*$G$31</f>
        <v>59.358245280831923</v>
      </c>
      <c r="J303" s="447">
        <f>J$296*Entrant_age_breakdowns!$K76*$G$31</f>
        <v>61.39228940052957</v>
      </c>
      <c r="K303" s="447">
        <f>K$296*Entrant_age_breakdowns!$K76*$G$31</f>
        <v>56.983742322377786</v>
      </c>
      <c r="L303" s="447">
        <f>L$296*Entrant_age_breakdowns!$K76*$G$31</f>
        <v>54.625926143753603</v>
      </c>
      <c r="M303" s="447">
        <f>M$296*Entrant_age_breakdowns!$K76*$G$31</f>
        <v>58.217437027420083</v>
      </c>
      <c r="N303" s="447">
        <f>N$296*Entrant_age_breakdowns!$K76*$G$31</f>
        <v>60.770790473306306</v>
      </c>
    </row>
    <row r="304" spans="2:14">
      <c r="B304" s="331" t="str">
        <f t="shared" si="142"/>
        <v>25-29</v>
      </c>
      <c r="C304" s="447">
        <f>C$296*Entrant_age_breakdowns!$K77*$G$31</f>
        <v>59.700073939104094</v>
      </c>
      <c r="D304" s="447">
        <f>D$296*Entrant_age_breakdowns!$K77*$G$31</f>
        <v>57.668564279917199</v>
      </c>
      <c r="E304" s="447">
        <f>E$296*Entrant_age_breakdowns!$K77*$G$31</f>
        <v>62.618024635230924</v>
      </c>
      <c r="F304" s="447">
        <f>F$296*Entrant_age_breakdowns!$K77*$G$31</f>
        <v>60.867908330193806</v>
      </c>
      <c r="G304" s="447">
        <f>G$296*Entrant_age_breakdowns!$K77*$G$31</f>
        <v>58.806046747426599</v>
      </c>
      <c r="H304" s="447">
        <f>H$296*Entrant_age_breakdowns!$K77*$G$31</f>
        <v>56.072736581425588</v>
      </c>
      <c r="I304" s="447">
        <f>I$296*Entrant_age_breakdowns!$K77*$G$31</f>
        <v>60.591782055217472</v>
      </c>
      <c r="J304" s="447">
        <f>J$296*Entrant_age_breakdowns!$K77*$G$31</f>
        <v>62.668096093954986</v>
      </c>
      <c r="K304" s="447">
        <f>K$296*Entrant_age_breakdowns!$K77*$G$31</f>
        <v>58.16793402757736</v>
      </c>
      <c r="L304" s="447">
        <f>L$296*Entrant_age_breakdowns!$K77*$G$31</f>
        <v>55.761119551415675</v>
      </c>
      <c r="M304" s="447">
        <f>M$296*Entrant_age_breakdowns!$K77*$G$31</f>
        <v>59.427266414121775</v>
      </c>
      <c r="N304" s="447">
        <f>N$296*Entrant_age_breakdowns!$K77*$G$31</f>
        <v>62.033681660581827</v>
      </c>
    </row>
    <row r="305" spans="1:14">
      <c r="B305" s="331" t="str">
        <f t="shared" si="142"/>
        <v>30-34</v>
      </c>
      <c r="C305" s="447">
        <f>C$296*Entrant_age_breakdowns!$K78*$G$31</f>
        <v>29.650197943438521</v>
      </c>
      <c r="D305" s="447">
        <f>D$296*Entrant_age_breakdowns!$K78*$G$31</f>
        <v>28.641243355202331</v>
      </c>
      <c r="E305" s="447">
        <f>E$296*Entrant_age_breakdowns!$K78*$G$31</f>
        <v>31.0994057922865</v>
      </c>
      <c r="F305" s="447">
        <f>F$296*Entrant_age_breakdowns!$K78*$G$31</f>
        <v>30.230205949731534</v>
      </c>
      <c r="G305" s="447">
        <f>G$296*Entrant_age_breakdowns!$K78*$G$31</f>
        <v>29.206176999225061</v>
      </c>
      <c r="H305" s="447">
        <f>H$296*Entrant_age_breakdowns!$K78*$G$31</f>
        <v>27.848671352826546</v>
      </c>
      <c r="I305" s="447">
        <f>I$296*Entrant_age_breakdowns!$K78*$G$31</f>
        <v>30.093067112704563</v>
      </c>
      <c r="J305" s="447">
        <f>J$296*Entrant_age_breakdowns!$K78*$G$31</f>
        <v>31.124273913287492</v>
      </c>
      <c r="K305" s="447">
        <f>K$296*Entrant_age_breakdowns!$K78*$G$31</f>
        <v>28.889256647115364</v>
      </c>
      <c r="L305" s="447">
        <f>L$296*Entrant_age_breakdowns!$K78*$G$31</f>
        <v>27.693905939440882</v>
      </c>
      <c r="M305" s="447">
        <f>M$296*Entrant_age_breakdowns!$K78*$G$31</f>
        <v>29.514707372280498</v>
      </c>
      <c r="N305" s="447">
        <f>N$296*Entrant_age_breakdowns!$K78*$G$31</f>
        <v>30.809190324833711</v>
      </c>
    </row>
    <row r="306" spans="1:14">
      <c r="B306" s="331" t="str">
        <f t="shared" si="142"/>
        <v>35-39</v>
      </c>
      <c r="C306" s="447">
        <f>C$296*Entrant_age_breakdowns!$K79*$G$31</f>
        <v>22.099267031705686</v>
      </c>
      <c r="D306" s="447">
        <f>D$296*Entrant_age_breakdowns!$K79*$G$31</f>
        <v>21.347260016075271</v>
      </c>
      <c r="E306" s="447">
        <f>E$296*Entrant_age_breakdowns!$K79*$G$31</f>
        <v>23.179409272146369</v>
      </c>
      <c r="F306" s="447">
        <f>F$296*Entrant_age_breakdowns!$K79*$G$31</f>
        <v>22.531566061750883</v>
      </c>
      <c r="G306" s="447">
        <f>G$296*Entrant_age_breakdowns!$K79*$G$31</f>
        <v>21.768323628475731</v>
      </c>
      <c r="H306" s="447">
        <f>H$296*Entrant_age_breakdowns!$K79*$G$31</f>
        <v>20.756530053470346</v>
      </c>
      <c r="I306" s="447">
        <f>I$296*Entrant_age_breakdowns!$K79*$G$31</f>
        <v>22.429351979212278</v>
      </c>
      <c r="J306" s="447">
        <f>J$296*Entrant_age_breakdowns!$K79*$G$31</f>
        <v>23.197944300061724</v>
      </c>
      <c r="K306" s="447">
        <f>K$296*Entrant_age_breakdowns!$K79*$G$31</f>
        <v>21.532112473919032</v>
      </c>
      <c r="L306" s="447">
        <f>L$296*Entrant_age_breakdowns!$K79*$G$31</f>
        <v>20.641178304244029</v>
      </c>
      <c r="M306" s="447">
        <f>M$296*Entrant_age_breakdowns!$K79*$G$31</f>
        <v>21.998281455892286</v>
      </c>
      <c r="N306" s="447">
        <f>N$296*Entrant_age_breakdowns!$K79*$G$31</f>
        <v>22.963102145826159</v>
      </c>
    </row>
    <row r="307" spans="1:14">
      <c r="B307" s="331" t="str">
        <f t="shared" si="142"/>
        <v>40-44</v>
      </c>
      <c r="C307" s="447">
        <f>C$296*Entrant_age_breakdowns!$K80*$G$31</f>
        <v>18.988714111061007</v>
      </c>
      <c r="D307" s="447">
        <f>D$296*Entrant_age_breakdowns!$K80*$G$31</f>
        <v>18.342554842120947</v>
      </c>
      <c r="E307" s="447">
        <f>E$296*Entrant_age_breakdowns!$K80*$G$31</f>
        <v>19.916822367935893</v>
      </c>
      <c r="F307" s="447">
        <f>F$296*Entrant_age_breakdowns!$K80*$G$31</f>
        <v>19.360165466449402</v>
      </c>
      <c r="G307" s="447">
        <f>G$296*Entrant_age_breakdowns!$K80*$G$31</f>
        <v>18.704352206122746</v>
      </c>
      <c r="H307" s="447">
        <f>H$296*Entrant_age_breakdowns!$K80*$G$31</f>
        <v>17.834972289240373</v>
      </c>
      <c r="I307" s="447">
        <f>I$296*Entrant_age_breakdowns!$K80*$G$31</f>
        <v>19.272338391068789</v>
      </c>
      <c r="J307" s="447">
        <f>J$296*Entrant_age_breakdowns!$K80*$G$31</f>
        <v>19.932748522664028</v>
      </c>
      <c r="K307" s="447">
        <f>K$296*Entrant_age_breakdowns!$K80*$G$31</f>
        <v>18.501388638268402</v>
      </c>
      <c r="L307" s="447">
        <f>L$296*Entrant_age_breakdowns!$K80*$G$31</f>
        <v>17.735856721962655</v>
      </c>
      <c r="M307" s="447">
        <f>M$296*Entrant_age_breakdowns!$K80*$G$31</f>
        <v>18.901942625576428</v>
      </c>
      <c r="N307" s="447">
        <f>N$296*Entrant_age_breakdowns!$K80*$G$31</f>
        <v>19.730961263312526</v>
      </c>
    </row>
    <row r="308" spans="1:14">
      <c r="B308" s="331" t="str">
        <f t="shared" si="142"/>
        <v>45-49</v>
      </c>
      <c r="C308" s="447">
        <f>C$296*Entrant_age_breakdowns!$K81*$G$31</f>
        <v>15.305983722189579</v>
      </c>
      <c r="D308" s="447">
        <f>D$296*Entrant_age_breakdowns!$K81*$G$31</f>
        <v>14.785142595481718</v>
      </c>
      <c r="E308" s="447">
        <f>E$296*Entrant_age_breakdowns!$K81*$G$31</f>
        <v>16.054091771479861</v>
      </c>
      <c r="F308" s="447">
        <f>F$296*Entrant_age_breakdowns!$K81*$G$31</f>
        <v>15.605394644167083</v>
      </c>
      <c r="G308" s="447">
        <f>G$296*Entrant_age_breakdowns!$K81*$G$31</f>
        <v>15.076771851246692</v>
      </c>
      <c r="H308" s="447">
        <f>H$296*Entrant_age_breakdowns!$K81*$G$31</f>
        <v>14.376002184676752</v>
      </c>
      <c r="I308" s="447">
        <f>I$296*Entrant_age_breakdowns!$K81*$G$31</f>
        <v>15.534601025479645</v>
      </c>
      <c r="J308" s="447">
        <f>J$296*Entrant_age_breakdowns!$K81*$G$31</f>
        <v>16.066929158129646</v>
      </c>
      <c r="K308" s="447">
        <f>K$296*Entrant_age_breakdowns!$K81*$G$31</f>
        <v>14.913171670233563</v>
      </c>
      <c r="L308" s="447">
        <f>L$296*Entrant_age_breakdowns!$K81*$G$31</f>
        <v>14.29610939938885</v>
      </c>
      <c r="M308" s="447">
        <f>M$296*Entrant_age_breakdowns!$K81*$G$31</f>
        <v>15.236040969004222</v>
      </c>
      <c r="N308" s="447">
        <f>N$296*Entrant_age_breakdowns!$K81*$G$31</f>
        <v>15.904277148682612</v>
      </c>
    </row>
    <row r="309" spans="1:14">
      <c r="B309" s="331" t="str">
        <f t="shared" si="142"/>
        <v>50-54</v>
      </c>
      <c r="C309" s="447">
        <f>C$296*Entrant_age_breakdowns!$K82*$G$31</f>
        <v>11.341794897643735</v>
      </c>
      <c r="D309" s="447">
        <f>D$296*Entrant_age_breakdowns!$K82*$G$31</f>
        <v>10.955849548387009</v>
      </c>
      <c r="E309" s="447">
        <f>E$296*Entrant_age_breakdowns!$K82*$G$31</f>
        <v>11.896145941675355</v>
      </c>
      <c r="F309" s="447">
        <f>F$296*Entrant_age_breakdowns!$K82*$G$31</f>
        <v>11.563659583299987</v>
      </c>
      <c r="G309" s="447">
        <f>G$296*Entrant_age_breakdowns!$K82*$G$31</f>
        <v>11.171947988387551</v>
      </c>
      <c r="H309" s="447">
        <f>H$296*Entrant_age_breakdowns!$K82*$G$31</f>
        <v>10.652674874487397</v>
      </c>
      <c r="I309" s="447">
        <f>I$296*Entrant_age_breakdowns!$K82*$G$31</f>
        <v>11.511201229901186</v>
      </c>
      <c r="J309" s="447">
        <f>J$296*Entrant_age_breakdowns!$K82*$G$31</f>
        <v>11.905658496310606</v>
      </c>
      <c r="K309" s="447">
        <f>K$296*Entrant_age_breakdowns!$K82*$G$31</f>
        <v>11.050719602682534</v>
      </c>
      <c r="L309" s="447">
        <f>L$296*Entrant_age_breakdowns!$K82*$G$31</f>
        <v>10.593474002398185</v>
      </c>
      <c r="M309" s="447">
        <f>M$296*Entrant_age_breakdowns!$K82*$G$31</f>
        <v>11.28996703897074</v>
      </c>
      <c r="N309" s="447">
        <f>N$296*Entrant_age_breakdowns!$K82*$G$31</f>
        <v>11.785132709512373</v>
      </c>
    </row>
    <row r="310" spans="1:14">
      <c r="B310" s="331" t="str">
        <f t="shared" si="142"/>
        <v>55-59</v>
      </c>
      <c r="C310" s="447">
        <f>C$296*Entrant_age_breakdowns!$K83*$G$31</f>
        <v>7.3504542336553307</v>
      </c>
      <c r="D310" s="447">
        <f>D$296*Entrant_age_breakdowns!$K83*$G$31</f>
        <v>7.1003286008074786</v>
      </c>
      <c r="E310" s="447">
        <f>E$296*Entrant_age_breakdowns!$K83*$G$31</f>
        <v>7.709721176437025</v>
      </c>
      <c r="F310" s="447">
        <f>F$296*Entrant_age_breakdowns!$K83*$G$31</f>
        <v>7.4942415471007005</v>
      </c>
      <c r="G310" s="447">
        <f>G$296*Entrant_age_breakdowns!$K83*$G$31</f>
        <v>7.2403788933337765</v>
      </c>
      <c r="H310" s="447">
        <f>H$296*Entrant_age_breakdowns!$K83*$G$31</f>
        <v>6.9038454528213116</v>
      </c>
      <c r="I310" s="447">
        <f>I$296*Entrant_age_breakdowns!$K83*$G$31</f>
        <v>7.4602440423573464</v>
      </c>
      <c r="J310" s="447">
        <f>J$296*Entrant_age_breakdowns!$K83*$G$31</f>
        <v>7.7158861263521459</v>
      </c>
      <c r="K310" s="447">
        <f>K$296*Entrant_age_breakdowns!$K83*$G$31</f>
        <v>7.1618125192292919</v>
      </c>
      <c r="L310" s="447">
        <f>L$296*Entrant_age_breakdowns!$K83*$G$31</f>
        <v>6.8654782186391259</v>
      </c>
      <c r="M310" s="447">
        <f>M$296*Entrant_age_breakdowns!$K83*$G$31</f>
        <v>7.3168653434803419</v>
      </c>
      <c r="N310" s="447">
        <f>N$296*Entrant_age_breakdowns!$K83*$G$31</f>
        <v>7.6377750964992117</v>
      </c>
    </row>
    <row r="311" spans="1:14">
      <c r="B311" s="331" t="str">
        <f t="shared" si="142"/>
        <v>60-64</v>
      </c>
      <c r="C311" s="447">
        <f>C$296*Entrant_age_breakdowns!$K84*$G$31</f>
        <v>3.7485151074648124</v>
      </c>
      <c r="D311" s="447">
        <f>D$296*Entrant_age_breakdowns!$K84*$G$31</f>
        <v>3.6209584036625615</v>
      </c>
      <c r="E311" s="447">
        <f>E$296*Entrant_age_breakdowns!$K84*$G$31</f>
        <v>3.9317306639216762</v>
      </c>
      <c r="F311" s="447">
        <f>F$296*Entrant_age_breakdowns!$K84*$G$31</f>
        <v>3.8218424012045507</v>
      </c>
      <c r="G311" s="447">
        <f>G$296*Entrant_age_breakdowns!$K84*$G$31</f>
        <v>3.6923799268299304</v>
      </c>
      <c r="H311" s="447">
        <f>H$296*Entrant_age_breakdowns!$K84*$G$31</f>
        <v>3.5207577867787636</v>
      </c>
      <c r="I311" s="447">
        <f>I$296*Entrant_age_breakdowns!$K84*$G$31</f>
        <v>3.8045046753857759</v>
      </c>
      <c r="J311" s="447">
        <f>J$296*Entrant_age_breakdowns!$K84*$G$31</f>
        <v>3.934874606752826</v>
      </c>
      <c r="K311" s="447">
        <f>K$296*Entrant_age_breakdowns!$K84*$G$31</f>
        <v>3.6523133906802392</v>
      </c>
      <c r="L311" s="447">
        <f>L$296*Entrant_age_breakdowns!$K84*$G$31</f>
        <v>3.5011916276827635</v>
      </c>
      <c r="M311" s="447">
        <f>M$296*Entrant_age_breakdowns!$K84*$G$31</f>
        <v>3.7313857630377116</v>
      </c>
      <c r="N311" s="447">
        <f>N$296*Entrant_age_breakdowns!$K84*$G$31</f>
        <v>3.8950402827565314</v>
      </c>
    </row>
    <row r="312" spans="1:14">
      <c r="B312" s="331" t="str">
        <f t="shared" si="142"/>
        <v>65 plus</v>
      </c>
      <c r="C312" s="447">
        <f>C$296*Entrant_age_breakdowns!$K85*$G$31</f>
        <v>1.1286718199515589</v>
      </c>
      <c r="D312" s="447">
        <f>D$296*Entrant_age_breakdowns!$K85*$G$31</f>
        <v>1.0902647032933368</v>
      </c>
      <c r="E312" s="447">
        <f>E$296*Entrant_age_breakdowns!$K85*$G$31</f>
        <v>1.1838377268830269</v>
      </c>
      <c r="F312" s="447">
        <f>F$296*Entrant_age_breakdowns!$K85*$G$31</f>
        <v>1.1507505491829122</v>
      </c>
      <c r="G312" s="447">
        <f>G$296*Entrant_age_breakdowns!$K85*$G$31</f>
        <v>1.111769608095907</v>
      </c>
      <c r="H312" s="447">
        <f>H$296*Entrant_age_breakdowns!$K85*$G$31</f>
        <v>1.0600944600433391</v>
      </c>
      <c r="I312" s="447">
        <f>I$296*Entrant_age_breakdowns!$K85*$G$31</f>
        <v>1.1455301880551874</v>
      </c>
      <c r="J312" s="447">
        <f>J$296*Entrant_age_breakdowns!$K85*$G$31</f>
        <v>1.1847843629710051</v>
      </c>
      <c r="K312" s="447">
        <f>K$296*Entrant_age_breakdowns!$K85*$G$31</f>
        <v>1.0997056390364863</v>
      </c>
      <c r="L312" s="447">
        <f>L$296*Entrant_age_breakdowns!$K85*$G$31</f>
        <v>1.0542031212696559</v>
      </c>
      <c r="M312" s="447">
        <f>M$296*Entrant_age_breakdowns!$K85*$G$31</f>
        <v>1.1235142021229385</v>
      </c>
      <c r="N312" s="447">
        <f>N$296*Entrant_age_breakdowns!$K85*$G$31</f>
        <v>1.1727903126143975</v>
      </c>
    </row>
    <row r="313" spans="1:14">
      <c r="B313" s="331" t="str">
        <f t="shared" si="142"/>
        <v>Total</v>
      </c>
      <c r="C313" s="447">
        <f>C$296*Entrant_age_breakdowns!$K86*$G$31</f>
        <v>227.79836350126214</v>
      </c>
      <c r="D313" s="447">
        <f>D$296*Entrant_age_breakdowns!$K86*$G$31</f>
        <v>220.04670516543118</v>
      </c>
      <c r="E313" s="447">
        <f>E$296*Entrant_age_breakdowns!$K86*$G$31</f>
        <v>238.93242665222371</v>
      </c>
      <c r="F313" s="447">
        <f>F$296*Entrant_age_breakdowns!$K86*$G$31</f>
        <v>232.25448466791417</v>
      </c>
      <c r="G313" s="447">
        <f>G$296*Entrant_age_breakdowns!$K86*$G$31</f>
        <v>224.38701209493894</v>
      </c>
      <c r="H313" s="447">
        <f>H$296*Entrant_age_breakdowns!$K86*$G$31</f>
        <v>213.9574842623351</v>
      </c>
      <c r="I313" s="447">
        <f>I$296*Entrant_age_breakdowns!$K86*$G$31</f>
        <v>231.20086598021419</v>
      </c>
      <c r="J313" s="447">
        <f>J$296*Entrant_age_breakdowns!$K86*$G$31</f>
        <v>239.12348498101403</v>
      </c>
      <c r="K313" s="447">
        <f>K$296*Entrant_age_breakdowns!$K86*$G$31</f>
        <v>221.95215693112007</v>
      </c>
      <c r="L313" s="447">
        <f>L$296*Entrant_age_breakdowns!$K86*$G$31</f>
        <v>212.76844303019544</v>
      </c>
      <c r="M313" s="447">
        <f>M$296*Entrant_age_breakdowns!$K86*$G$31</f>
        <v>226.75740821190703</v>
      </c>
      <c r="N313" s="447">
        <f>N$296*Entrant_age_breakdowns!$K86*$G$31</f>
        <v>236.70274141792567</v>
      </c>
    </row>
    <row r="314" spans="1:14">
      <c r="A314" s="302">
        <f>SUM(C314:N314)</f>
        <v>0</v>
      </c>
      <c r="C314" s="302">
        <f>SUM(C303:C312)-C313</f>
        <v>0</v>
      </c>
      <c r="D314" s="302">
        <f t="shared" ref="D314:N314" si="144">SUM(D303:D312)-D313</f>
        <v>0</v>
      </c>
      <c r="E314" s="302">
        <f t="shared" si="144"/>
        <v>0</v>
      </c>
      <c r="F314" s="302">
        <f t="shared" si="144"/>
        <v>0</v>
      </c>
      <c r="G314" s="302">
        <f t="shared" si="144"/>
        <v>0</v>
      </c>
      <c r="H314" s="302">
        <f t="shared" si="144"/>
        <v>0</v>
      </c>
      <c r="I314" s="302">
        <f t="shared" si="144"/>
        <v>0</v>
      </c>
      <c r="J314" s="302">
        <f t="shared" si="144"/>
        <v>0</v>
      </c>
      <c r="K314" s="302">
        <f t="shared" si="144"/>
        <v>0</v>
      </c>
      <c r="L314" s="302">
        <f t="shared" si="144"/>
        <v>0</v>
      </c>
      <c r="M314" s="302">
        <f t="shared" si="144"/>
        <v>0</v>
      </c>
      <c r="N314" s="302">
        <f t="shared" si="144"/>
        <v>0</v>
      </c>
    </row>
    <row r="316" spans="1:14">
      <c r="B316" s="334" t="s">
        <v>47</v>
      </c>
      <c r="H316" s="318"/>
    </row>
    <row r="317" spans="1:14">
      <c r="H317" s="318"/>
    </row>
    <row r="318" spans="1:14">
      <c r="B318" s="331" t="str">
        <f t="shared" ref="B318:B329" si="145">B302</f>
        <v>Age group</v>
      </c>
      <c r="C318" s="331" t="str">
        <f>C293</f>
        <v>2017/18</v>
      </c>
      <c r="D318" s="331" t="str">
        <f t="shared" ref="D318:N318" si="146">D302</f>
        <v>2018/19</v>
      </c>
      <c r="E318" s="331" t="str">
        <f t="shared" si="146"/>
        <v>2019/20</v>
      </c>
      <c r="F318" s="331" t="str">
        <f t="shared" si="146"/>
        <v>2020/21</v>
      </c>
      <c r="G318" s="331" t="str">
        <f t="shared" si="146"/>
        <v>2021/22</v>
      </c>
      <c r="H318" s="331" t="str">
        <f t="shared" si="146"/>
        <v>2022/23</v>
      </c>
      <c r="I318" s="331" t="str">
        <f t="shared" si="146"/>
        <v>2023/24</v>
      </c>
      <c r="J318" s="331" t="str">
        <f t="shared" si="146"/>
        <v>2024/25</v>
      </c>
      <c r="K318" s="331" t="str">
        <f t="shared" si="146"/>
        <v>2025/26</v>
      </c>
      <c r="L318" s="331" t="str">
        <f t="shared" si="146"/>
        <v>2026/27</v>
      </c>
      <c r="M318" s="331" t="str">
        <f t="shared" si="146"/>
        <v>2027/28</v>
      </c>
      <c r="N318" s="331" t="str">
        <f t="shared" si="146"/>
        <v>2028/29</v>
      </c>
    </row>
    <row r="319" spans="1:14">
      <c r="B319" s="331" t="str">
        <f t="shared" si="145"/>
        <v>20-24</v>
      </c>
      <c r="C319" s="447">
        <f>C$296*Entrant_age_breakdowns!$K76*$H$31</f>
        <v>77.147878642040965</v>
      </c>
      <c r="D319" s="447">
        <f>D$296*Entrant_age_breakdowns!$K76*$H$31</f>
        <v>74.522644696653387</v>
      </c>
      <c r="E319" s="447">
        <f>E$296*Entrant_age_breakdowns!$K76*$H$31</f>
        <v>80.918622819307387</v>
      </c>
      <c r="F319" s="447">
        <f>F$296*Entrant_age_breakdowns!$K76*$H$31</f>
        <v>78.65702159502446</v>
      </c>
      <c r="G319" s="447">
        <f>G$296*Entrant_age_breakdowns!$K76*$H$31</f>
        <v>75.992565143491959</v>
      </c>
      <c r="H319" s="447">
        <f>H$296*Entrant_age_breakdowns!$K76*$H$31</f>
        <v>72.460424108075571</v>
      </c>
      <c r="I319" s="447">
        <f>I$296*Entrant_age_breakdowns!$K76*$H$31</f>
        <v>78.300195297397352</v>
      </c>
      <c r="J319" s="447">
        <f>J$296*Entrant_age_breakdowns!$K76*$H$31</f>
        <v>80.983328046054922</v>
      </c>
      <c r="K319" s="447">
        <f>K$296*Entrant_age_breakdowns!$K76*$H$31</f>
        <v>75.167959084861508</v>
      </c>
      <c r="L319" s="447">
        <f>L$296*Entrant_age_breakdowns!$K76*$H$31</f>
        <v>72.057734609926541</v>
      </c>
      <c r="M319" s="447">
        <f>M$296*Entrant_age_breakdowns!$K76*$H$31</f>
        <v>76.795341024559292</v>
      </c>
      <c r="N319" s="447">
        <f>N$296*Entrant_age_breakdowns!$K76*$H$31</f>
        <v>80.163501126501103</v>
      </c>
    </row>
    <row r="320" spans="1:14">
      <c r="B320" s="331" t="str">
        <f t="shared" si="145"/>
        <v>25-29</v>
      </c>
      <c r="C320" s="447">
        <f>C$296*Entrant_age_breakdowns!$K77*$H$31</f>
        <v>78.75110570713619</v>
      </c>
      <c r="D320" s="447">
        <f>D$296*Entrant_age_breakdowns!$K77*$H$31</f>
        <v>76.071316196676236</v>
      </c>
      <c r="E320" s="447">
        <f>E$296*Entrant_age_breakdowns!$K77*$H$31</f>
        <v>82.600210550009422</v>
      </c>
      <c r="F320" s="447">
        <f>F$296*Entrant_age_breakdowns!$K77*$H$31</f>
        <v>80.291610492355488</v>
      </c>
      <c r="G320" s="447">
        <f>G$296*Entrant_age_breakdowns!$K77*$H$31</f>
        <v>77.571783384208018</v>
      </c>
      <c r="H320" s="447">
        <f>H$296*Entrant_age_breakdowns!$K77*$H$31</f>
        <v>73.96624014765024</v>
      </c>
      <c r="I320" s="447">
        <f>I$296*Entrant_age_breakdowns!$K77*$H$31</f>
        <v>79.927368908813051</v>
      </c>
      <c r="J320" s="447">
        <f>J$296*Entrant_age_breakdowns!$K77*$H$31</f>
        <v>82.666260430331377</v>
      </c>
      <c r="K320" s="447">
        <f>K$296*Entrant_age_breakdowns!$K77*$H$31</f>
        <v>76.730041005376549</v>
      </c>
      <c r="L320" s="447">
        <f>L$296*Entrant_age_breakdowns!$K77*$H$31</f>
        <v>73.555182270310155</v>
      </c>
      <c r="M320" s="447">
        <f>M$296*Entrant_age_breakdowns!$K77*$H$31</f>
        <v>78.39124192774625</v>
      </c>
      <c r="N320" s="447">
        <f>N$296*Entrant_age_breakdowns!$K77*$H$31</f>
        <v>81.829396506918755</v>
      </c>
    </row>
    <row r="321" spans="1:14">
      <c r="B321" s="331" t="str">
        <f t="shared" si="145"/>
        <v>30-34</v>
      </c>
      <c r="C321" s="447">
        <f>C$296*Entrant_age_breakdowns!$K78*$H$31</f>
        <v>39.111942723270268</v>
      </c>
      <c r="D321" s="447">
        <f>D$296*Entrant_age_breakdowns!$K78*$H$31</f>
        <v>37.781018250497652</v>
      </c>
      <c r="E321" s="447">
        <f>E$296*Entrant_age_breakdowns!$K78*$H$31</f>
        <v>41.023610715719514</v>
      </c>
      <c r="F321" s="447">
        <f>F$296*Entrant_age_breakdowns!$K78*$H$31</f>
        <v>39.877038456001813</v>
      </c>
      <c r="G321" s="447">
        <f>G$296*Entrant_age_breakdowns!$K78*$H$31</f>
        <v>38.526229205568356</v>
      </c>
      <c r="H321" s="447">
        <f>H$296*Entrant_age_breakdowns!$K78*$H$31</f>
        <v>36.735526722241282</v>
      </c>
      <c r="I321" s="447">
        <f>I$296*Entrant_age_breakdowns!$K78*$H$31</f>
        <v>39.69613692039767</v>
      </c>
      <c r="J321" s="447">
        <f>J$296*Entrant_age_breakdowns!$K78*$H$31</f>
        <v>41.056414561619007</v>
      </c>
      <c r="K321" s="447">
        <f>K$296*Entrant_age_breakdowns!$K78*$H$31</f>
        <v>38.108175650472411</v>
      </c>
      <c r="L321" s="447">
        <f>L$296*Entrant_age_breakdowns!$K78*$H$31</f>
        <v>36.531373751814897</v>
      </c>
      <c r="M321" s="447">
        <f>M$296*Entrant_age_breakdowns!$K78*$H$31</f>
        <v>38.933215435554182</v>
      </c>
      <c r="N321" s="447">
        <f>N$296*Entrant_age_breakdowns!$K78*$H$31</f>
        <v>40.640783904172629</v>
      </c>
    </row>
    <row r="322" spans="1:14">
      <c r="B322" s="331" t="str">
        <f t="shared" si="145"/>
        <v>35-39</v>
      </c>
      <c r="C322" s="447">
        <f>C$296*Entrant_age_breakdowns!$K79*$H$31</f>
        <v>29.151416392537239</v>
      </c>
      <c r="D322" s="447">
        <f>D$296*Entrant_age_breakdowns!$K79*$H$31</f>
        <v>28.159434639870966</v>
      </c>
      <c r="E322" s="447">
        <f>E$296*Entrant_age_breakdowns!$K79*$H$31</f>
        <v>30.576245377547433</v>
      </c>
      <c r="F322" s="447">
        <f>F$296*Entrant_age_breakdowns!$K79*$H$31</f>
        <v>29.72166738832173</v>
      </c>
      <c r="G322" s="447">
        <f>G$296*Entrant_age_breakdowns!$K79*$H$31</f>
        <v>28.714864857317608</v>
      </c>
      <c r="H322" s="447">
        <f>H$296*Entrant_age_breakdowns!$K79*$H$31</f>
        <v>27.380195441994502</v>
      </c>
      <c r="I322" s="447">
        <f>I$296*Entrant_age_breakdowns!$K79*$H$31</f>
        <v>29.586835528197629</v>
      </c>
      <c r="J322" s="447">
        <f>J$296*Entrant_age_breakdowns!$K79*$H$31</f>
        <v>30.600695162050812</v>
      </c>
      <c r="K322" s="447">
        <f>K$296*Entrant_age_breakdowns!$K79*$H$31</f>
        <v>28.403275802659586</v>
      </c>
      <c r="L322" s="447">
        <f>L$296*Entrant_age_breakdowns!$K79*$H$31</f>
        <v>27.22803352329921</v>
      </c>
      <c r="M322" s="447">
        <f>M$296*Entrant_age_breakdowns!$K79*$H$31</f>
        <v>29.018205070824486</v>
      </c>
      <c r="N322" s="447">
        <f>N$296*Entrant_age_breakdowns!$K79*$H$31</f>
        <v>30.290911972643691</v>
      </c>
    </row>
    <row r="323" spans="1:14">
      <c r="B323" s="331" t="str">
        <f t="shared" si="145"/>
        <v>40-44</v>
      </c>
      <c r="C323" s="447">
        <f>C$296*Entrant_age_breakdowns!$K80*$H$31</f>
        <v>25.048247573831983</v>
      </c>
      <c r="D323" s="447">
        <f>D$296*Entrant_age_breakdowns!$K80*$H$31</f>
        <v>24.195890892601579</v>
      </c>
      <c r="E323" s="447">
        <f>E$296*Entrant_age_breakdowns!$K80*$H$31</f>
        <v>26.27252665126451</v>
      </c>
      <c r="F323" s="447">
        <f>F$296*Entrant_age_breakdowns!$K80*$H$31</f>
        <v>25.538233649612874</v>
      </c>
      <c r="G323" s="447">
        <f>G$296*Entrant_age_breakdowns!$K80*$H$31</f>
        <v>24.67314226897561</v>
      </c>
      <c r="H323" s="447">
        <f>H$296*Entrant_age_breakdowns!$K80*$H$31</f>
        <v>23.526332470986063</v>
      </c>
      <c r="I323" s="447">
        <f>I$296*Entrant_age_breakdowns!$K80*$H$31</f>
        <v>25.422379868522043</v>
      </c>
      <c r="J323" s="447">
        <f>J$296*Entrant_age_breakdowns!$K80*$H$31</f>
        <v>26.293535038888667</v>
      </c>
      <c r="K323" s="447">
        <f>K$296*Entrant_age_breakdowns!$K80*$H$31</f>
        <v>24.405410517033413</v>
      </c>
      <c r="L323" s="447">
        <f>L$296*Entrant_age_breakdowns!$K80*$H$31</f>
        <v>23.395587900654839</v>
      </c>
      <c r="M323" s="447">
        <f>M$296*Entrant_age_breakdowns!$K80*$H$31</f>
        <v>24.933786234425074</v>
      </c>
      <c r="N323" s="447">
        <f>N$296*Entrant_age_breakdowns!$K80*$H$31</f>
        <v>26.027354970037287</v>
      </c>
    </row>
    <row r="324" spans="1:14">
      <c r="B324" s="331" t="str">
        <f t="shared" si="145"/>
        <v>45-49</v>
      </c>
      <c r="C324" s="447">
        <f>C$296*Entrant_age_breakdowns!$K81*$H$31</f>
        <v>20.190312381980711</v>
      </c>
      <c r="D324" s="447">
        <f>D$296*Entrant_age_breakdowns!$K81*$H$31</f>
        <v>19.503264411691209</v>
      </c>
      <c r="E324" s="447">
        <f>E$296*Entrant_age_breakdowns!$K81*$H$31</f>
        <v>21.177150959938135</v>
      </c>
      <c r="F324" s="447">
        <f>F$296*Entrant_age_breakdowns!$K81*$H$31</f>
        <v>20.585269031290274</v>
      </c>
      <c r="G324" s="447">
        <f>G$296*Entrant_age_breakdowns!$K81*$H$31</f>
        <v>19.887956168881782</v>
      </c>
      <c r="H324" s="447">
        <f>H$296*Entrant_age_breakdowns!$K81*$H$31</f>
        <v>18.963562236896106</v>
      </c>
      <c r="I324" s="447">
        <f>I$296*Entrant_age_breakdowns!$K81*$H$31</f>
        <v>20.491884293537154</v>
      </c>
      <c r="J324" s="447">
        <f>J$296*Entrant_age_breakdowns!$K81*$H$31</f>
        <v>21.19408491539842</v>
      </c>
      <c r="K324" s="447">
        <f>K$296*Entrant_age_breakdowns!$K81*$H$31</f>
        <v>19.67214914723867</v>
      </c>
      <c r="L324" s="447">
        <f>L$296*Entrant_age_breakdowns!$K81*$H$31</f>
        <v>18.858174675971764</v>
      </c>
      <c r="M324" s="447">
        <f>M$296*Entrant_age_breakdowns!$K81*$H$31</f>
        <v>20.098050031432091</v>
      </c>
      <c r="N324" s="447">
        <f>N$296*Entrant_age_breakdowns!$K81*$H$31</f>
        <v>20.979528638592011</v>
      </c>
    </row>
    <row r="325" spans="1:14">
      <c r="B325" s="331" t="str">
        <f t="shared" si="145"/>
        <v>50-54</v>
      </c>
      <c r="C325" s="447">
        <f>C$296*Entrant_age_breakdowns!$K82*$H$31</f>
        <v>14.961101887479565</v>
      </c>
      <c r="D325" s="447">
        <f>D$296*Entrant_age_breakdowns!$K82*$H$31</f>
        <v>14.451996605172937</v>
      </c>
      <c r="E325" s="447">
        <f>E$296*Entrant_age_breakdowns!$K82*$H$31</f>
        <v>15.692353204051225</v>
      </c>
      <c r="F325" s="447">
        <f>F$296*Entrant_age_breakdowns!$K82*$H$31</f>
        <v>15.253766337621084</v>
      </c>
      <c r="G325" s="447">
        <f>G$296*Entrant_age_breakdowns!$K82*$H$31</f>
        <v>14.737054729372058</v>
      </c>
      <c r="H325" s="447">
        <f>H$296*Entrant_age_breakdowns!$K82*$H$31</f>
        <v>14.052075144165226</v>
      </c>
      <c r="I325" s="447">
        <f>I$296*Entrant_age_breakdowns!$K82*$H$31</f>
        <v>15.184567875020432</v>
      </c>
      <c r="J325" s="447">
        <f>J$296*Entrant_age_breakdowns!$K82*$H$31</f>
        <v>15.704901332490557</v>
      </c>
      <c r="K325" s="447">
        <f>K$296*Entrant_age_breakdowns!$K82*$H$31</f>
        <v>14.577140866834815</v>
      </c>
      <c r="L325" s="447">
        <f>L$296*Entrant_age_breakdowns!$K82*$H$31</f>
        <v>13.97398254179077</v>
      </c>
      <c r="M325" s="447">
        <f>M$296*Entrant_age_breakdowns!$K82*$H$31</f>
        <v>14.892735118267604</v>
      </c>
      <c r="N325" s="447">
        <f>N$296*Entrant_age_breakdowns!$K82*$H$31</f>
        <v>15.545914276858682</v>
      </c>
    </row>
    <row r="326" spans="1:14">
      <c r="B326" s="331" t="str">
        <f t="shared" si="145"/>
        <v>55-59</v>
      </c>
      <c r="C326" s="447">
        <f>C$296*Entrant_age_breakdowns!$K83*$H$31</f>
        <v>9.6960750658451271</v>
      </c>
      <c r="D326" s="447">
        <f>D$296*Entrant_age_breakdowns!$K83*$H$31</f>
        <v>9.3661312508247683</v>
      </c>
      <c r="E326" s="447">
        <f>E$296*Entrant_age_breakdowns!$K83*$H$31</f>
        <v>10.169988532299797</v>
      </c>
      <c r="F326" s="447">
        <f>F$296*Entrant_age_breakdowns!$K83*$H$31</f>
        <v>9.8857466888992587</v>
      </c>
      <c r="G326" s="447">
        <f>G$296*Entrant_age_breakdowns!$K83*$H$31</f>
        <v>9.5508733233773722</v>
      </c>
      <c r="H326" s="447">
        <f>H$296*Entrant_age_breakdowns!$K83*$H$31</f>
        <v>9.1069479008591934</v>
      </c>
      <c r="I326" s="447">
        <f>I$296*Entrant_age_breakdowns!$K83*$H$31</f>
        <v>9.8409001600230344</v>
      </c>
      <c r="J326" s="447">
        <f>J$296*Entrant_age_breakdowns!$K83*$H$31</f>
        <v>10.178120793960646</v>
      </c>
      <c r="K326" s="447">
        <f>K$296*Entrant_age_breakdowns!$K83*$H$31</f>
        <v>9.447235447845765</v>
      </c>
      <c r="L326" s="447">
        <f>L$296*Entrant_age_breakdowns!$K83*$H$31</f>
        <v>9.0563372078497721</v>
      </c>
      <c r="M326" s="447">
        <f>M$296*Entrant_age_breakdowns!$K83*$H$31</f>
        <v>9.6517675454984353</v>
      </c>
      <c r="N326" s="447">
        <f>N$296*Entrant_age_breakdowns!$K83*$H$31</f>
        <v>10.075083568661459</v>
      </c>
    </row>
    <row r="327" spans="1:14">
      <c r="B327" s="331" t="str">
        <f t="shared" si="145"/>
        <v>60-64</v>
      </c>
      <c r="C327" s="447">
        <f>C$296*Entrant_age_breakdowns!$K84*$H$31</f>
        <v>4.9447126275567292</v>
      </c>
      <c r="D327" s="447">
        <f>D$296*Entrant_age_breakdowns!$K84*$H$31</f>
        <v>4.7764510023696092</v>
      </c>
      <c r="E327" s="447">
        <f>E$296*Entrant_age_breakdowns!$K84*$H$31</f>
        <v>5.1863945334860873</v>
      </c>
      <c r="F327" s="447">
        <f>F$296*Entrant_age_breakdowns!$K84*$H$31</f>
        <v>5.0414395673994949</v>
      </c>
      <c r="G327" s="447">
        <f>G$296*Entrant_age_breakdowns!$K84*$H$31</f>
        <v>4.870664016686062</v>
      </c>
      <c r="H327" s="447">
        <f>H$296*Entrant_age_breakdowns!$K84*$H$31</f>
        <v>4.644275129686684</v>
      </c>
      <c r="I327" s="447">
        <f>I$296*Entrant_age_breakdowns!$K84*$H$31</f>
        <v>5.0185691588960077</v>
      </c>
      <c r="J327" s="447">
        <f>J$296*Entrant_age_breakdowns!$K84*$H$31</f>
        <v>5.1905417473485969</v>
      </c>
      <c r="K327" s="447">
        <f>K$296*Entrant_age_breakdowns!$K84*$H$31</f>
        <v>4.8178117534399298</v>
      </c>
      <c r="L327" s="447">
        <f>L$296*Entrant_age_breakdowns!$K84*$H$31</f>
        <v>4.6184651672932793</v>
      </c>
      <c r="M327" s="447">
        <f>M$296*Entrant_age_breakdowns!$K84*$H$31</f>
        <v>4.9221170975235751</v>
      </c>
      <c r="N327" s="447">
        <f>N$296*Entrant_age_breakdowns!$K84*$H$31</f>
        <v>5.1379957980252451</v>
      </c>
    </row>
    <row r="328" spans="1:14">
      <c r="B328" s="331" t="str">
        <f t="shared" si="145"/>
        <v>65 plus</v>
      </c>
      <c r="C328" s="447">
        <f>C$296*Entrant_age_breakdowns!$K85*$H$31</f>
        <v>1.488844953397136</v>
      </c>
      <c r="D328" s="447">
        <f>D$296*Entrant_age_breakdowns!$K85*$H$31</f>
        <v>1.4381816509204397</v>
      </c>
      <c r="E328" s="447">
        <f>E$296*Entrant_age_breakdowns!$K85*$H$31</f>
        <v>1.5616149833408421</v>
      </c>
      <c r="F328" s="447">
        <f>F$296*Entrant_age_breakdowns!$K85*$H$31</f>
        <v>1.5179692781232843</v>
      </c>
      <c r="G328" s="447">
        <f>G$296*Entrant_age_breakdowns!$K85*$H$31</f>
        <v>1.4665490367474081</v>
      </c>
      <c r="H328" s="447">
        <f>H$296*Entrant_age_breakdowns!$K85*$H$31</f>
        <v>1.398383710003078</v>
      </c>
      <c r="I328" s="447">
        <f>I$296*Entrant_age_breakdowns!$K85*$H$31</f>
        <v>1.5110830352114546</v>
      </c>
      <c r="J328" s="447">
        <f>J$296*Entrant_age_breakdowns!$K85*$H$31</f>
        <v>1.5628637027093744</v>
      </c>
      <c r="K328" s="447">
        <f>K$296*Entrant_age_breakdowns!$K85*$H$31</f>
        <v>1.450635305993655</v>
      </c>
      <c r="L328" s="447">
        <f>L$296*Entrant_age_breakdowns!$K85*$H$31</f>
        <v>1.3906123721820209</v>
      </c>
      <c r="M328" s="447">
        <f>M$296*Entrant_age_breakdowns!$K85*$H$31</f>
        <v>1.4820414759469573</v>
      </c>
      <c r="N328" s="447">
        <f>N$296*Entrant_age_breakdowns!$K85*$H$31</f>
        <v>1.5470422025810262</v>
      </c>
    </row>
    <row r="329" spans="1:14">
      <c r="B329" s="331" t="str">
        <f t="shared" si="145"/>
        <v>Total</v>
      </c>
      <c r="C329" s="447">
        <f>C$296*Entrant_age_breakdowns!$K86*$H$31</f>
        <v>300.49163795507593</v>
      </c>
      <c r="D329" s="447">
        <f>D$296*Entrant_age_breakdowns!$K86*$H$31</f>
        <v>290.2663295972788</v>
      </c>
      <c r="E329" s="447">
        <f>E$296*Entrant_age_breakdowns!$K86*$H$31</f>
        <v>315.17871832696437</v>
      </c>
      <c r="F329" s="447">
        <f>F$296*Entrant_age_breakdowns!$K86*$H$31</f>
        <v>306.36976248464975</v>
      </c>
      <c r="G329" s="447">
        <f>G$296*Entrant_age_breakdowns!$K86*$H$31</f>
        <v>295.99168213462627</v>
      </c>
      <c r="H329" s="447">
        <f>H$296*Entrant_age_breakdowns!$K86*$H$31</f>
        <v>282.23396301255798</v>
      </c>
      <c r="I329" s="447">
        <f>I$296*Entrant_age_breakdowns!$K86*$H$31</f>
        <v>304.97992104601587</v>
      </c>
      <c r="J329" s="447">
        <f>J$296*Entrant_age_breakdowns!$K86*$H$31</f>
        <v>315.43074573085238</v>
      </c>
      <c r="K329" s="447">
        <f>K$296*Entrant_age_breakdowns!$K86*$H$31</f>
        <v>292.77983458175635</v>
      </c>
      <c r="L329" s="447">
        <f>L$296*Entrant_age_breakdowns!$K86*$H$31</f>
        <v>280.66548402109328</v>
      </c>
      <c r="M329" s="447">
        <f>M$296*Entrant_age_breakdowns!$K86*$H$31</f>
        <v>299.11850096177795</v>
      </c>
      <c r="N329" s="447">
        <f>N$296*Entrant_age_breakdowns!$K86*$H$31</f>
        <v>312.23751296499188</v>
      </c>
    </row>
    <row r="330" spans="1:14">
      <c r="A330" s="302">
        <f>SUM(C330:N330)</f>
        <v>0</v>
      </c>
      <c r="C330" s="302">
        <f>SUM(C319:C328)-C329</f>
        <v>0</v>
      </c>
      <c r="D330" s="302">
        <f t="shared" ref="D330:N330" si="147">SUM(D319:D328)-D329</f>
        <v>0</v>
      </c>
      <c r="E330" s="302">
        <f t="shared" si="147"/>
        <v>0</v>
      </c>
      <c r="F330" s="302">
        <f t="shared" si="147"/>
        <v>0</v>
      </c>
      <c r="G330" s="302">
        <f t="shared" si="147"/>
        <v>0</v>
      </c>
      <c r="H330" s="302">
        <f t="shared" si="147"/>
        <v>0</v>
      </c>
      <c r="I330" s="302">
        <f t="shared" si="147"/>
        <v>0</v>
      </c>
      <c r="J330" s="302">
        <f t="shared" si="147"/>
        <v>0</v>
      </c>
      <c r="K330" s="302">
        <f t="shared" si="147"/>
        <v>0</v>
      </c>
      <c r="L330" s="302">
        <f t="shared" si="147"/>
        <v>0</v>
      </c>
      <c r="M330" s="302">
        <f t="shared" si="147"/>
        <v>0</v>
      </c>
      <c r="N330" s="302">
        <f t="shared" si="147"/>
        <v>0</v>
      </c>
    </row>
    <row r="331" spans="1:14">
      <c r="C331" s="322">
        <f>C296</f>
        <v>528.29000145633813</v>
      </c>
      <c r="D331" s="322">
        <f t="shared" ref="D331:N331" si="148">D296</f>
        <v>510.31303476271</v>
      </c>
      <c r="E331" s="322">
        <f t="shared" si="148"/>
        <v>554.11114497918811</v>
      </c>
      <c r="F331" s="322">
        <f t="shared" si="148"/>
        <v>538.62424715256395</v>
      </c>
      <c r="G331" s="322">
        <f t="shared" si="148"/>
        <v>520.37869422956521</v>
      </c>
      <c r="H331" s="322">
        <f t="shared" si="148"/>
        <v>496.19144727489311</v>
      </c>
      <c r="I331" s="322">
        <f t="shared" si="148"/>
        <v>536.18078702623006</v>
      </c>
      <c r="J331" s="322">
        <f t="shared" si="148"/>
        <v>554.55423071186647</v>
      </c>
      <c r="K331" s="322">
        <f t="shared" si="148"/>
        <v>514.73199151287645</v>
      </c>
      <c r="L331" s="322">
        <f t="shared" si="148"/>
        <v>493.43392705128872</v>
      </c>
      <c r="M331" s="322">
        <f t="shared" si="148"/>
        <v>525.87590917368505</v>
      </c>
      <c r="N331" s="322">
        <f t="shared" si="148"/>
        <v>548.9402543829176</v>
      </c>
    </row>
    <row r="332" spans="1:14">
      <c r="C332" s="322">
        <f>C313+C329</f>
        <v>528.29000145633813</v>
      </c>
      <c r="D332" s="322">
        <f t="shared" ref="D332:N332" si="149">D313+D329</f>
        <v>510.31303476271</v>
      </c>
      <c r="E332" s="322">
        <f t="shared" si="149"/>
        <v>554.11114497918811</v>
      </c>
      <c r="F332" s="322">
        <f t="shared" si="149"/>
        <v>538.62424715256395</v>
      </c>
      <c r="G332" s="322">
        <f t="shared" si="149"/>
        <v>520.37869422956521</v>
      </c>
      <c r="H332" s="322">
        <f t="shared" si="149"/>
        <v>496.19144727489311</v>
      </c>
      <c r="I332" s="322">
        <f t="shared" si="149"/>
        <v>536.18078702623006</v>
      </c>
      <c r="J332" s="322">
        <f t="shared" si="149"/>
        <v>554.55423071186647</v>
      </c>
      <c r="K332" s="322">
        <f t="shared" si="149"/>
        <v>514.73199151287645</v>
      </c>
      <c r="L332" s="322">
        <f t="shared" si="149"/>
        <v>493.43392705128872</v>
      </c>
      <c r="M332" s="322">
        <f t="shared" si="149"/>
        <v>525.87590917368493</v>
      </c>
      <c r="N332" s="322">
        <f t="shared" si="149"/>
        <v>548.9402543829176</v>
      </c>
    </row>
    <row r="333" spans="1:14">
      <c r="A333" s="302">
        <f>SUM(C333:L333)</f>
        <v>0</v>
      </c>
      <c r="C333" s="322">
        <f>C331-C332</f>
        <v>0</v>
      </c>
      <c r="D333" s="322">
        <f t="shared" ref="D333:K333" si="150">D331-D332</f>
        <v>0</v>
      </c>
      <c r="E333" s="322">
        <f t="shared" si="150"/>
        <v>0</v>
      </c>
      <c r="F333" s="322">
        <f t="shared" si="150"/>
        <v>0</v>
      </c>
      <c r="G333" s="322">
        <f t="shared" si="150"/>
        <v>0</v>
      </c>
      <c r="H333" s="322">
        <f t="shared" si="150"/>
        <v>0</v>
      </c>
      <c r="I333" s="322">
        <f t="shared" si="150"/>
        <v>0</v>
      </c>
      <c r="J333" s="322">
        <f t="shared" si="150"/>
        <v>0</v>
      </c>
      <c r="K333" s="322">
        <f t="shared" si="150"/>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1">C318</f>
        <v>2017/18</v>
      </c>
      <c r="D339" s="331" t="str">
        <f t="shared" si="151"/>
        <v>2018/19</v>
      </c>
      <c r="E339" s="331" t="str">
        <f t="shared" si="151"/>
        <v>2019/20</v>
      </c>
      <c r="F339" s="331" t="str">
        <f t="shared" si="151"/>
        <v>2020/21</v>
      </c>
      <c r="G339" s="331" t="str">
        <f t="shared" si="151"/>
        <v>2021/22</v>
      </c>
      <c r="H339" s="331" t="str">
        <f t="shared" si="151"/>
        <v>2022/23</v>
      </c>
      <c r="I339" s="331" t="str">
        <f t="shared" si="151"/>
        <v>2023/24</v>
      </c>
      <c r="J339" s="331" t="str">
        <f t="shared" si="151"/>
        <v>2024/25</v>
      </c>
      <c r="K339" s="331" t="str">
        <f t="shared" si="151"/>
        <v>2025/26</v>
      </c>
      <c r="L339" s="331" t="str">
        <f t="shared" si="151"/>
        <v>2026/27</v>
      </c>
      <c r="M339" s="331" t="str">
        <f t="shared" si="151"/>
        <v>2027/28</v>
      </c>
      <c r="N339" s="331" t="str">
        <f t="shared" si="151"/>
        <v>2028/29</v>
      </c>
    </row>
    <row r="340" spans="1:14">
      <c r="B340" s="331" t="str">
        <f t="shared" ref="B340:B350" si="152">B319</f>
        <v>20-24</v>
      </c>
      <c r="C340" s="447">
        <f t="shared" ref="C340:N340" si="153">C303+C247</f>
        <v>115.32067661706083</v>
      </c>
      <c r="D340" s="447">
        <f t="shared" si="153"/>
        <v>137.86204577775362</v>
      </c>
      <c r="E340" s="447">
        <f t="shared" si="153"/>
        <v>158.12688603815201</v>
      </c>
      <c r="F340" s="447">
        <f t="shared" si="153"/>
        <v>170.92986586698453</v>
      </c>
      <c r="G340" s="447">
        <f t="shared" si="153"/>
        <v>177.92164127950034</v>
      </c>
      <c r="H340" s="447">
        <f t="shared" si="153"/>
        <v>180.16529245044586</v>
      </c>
      <c r="I340" s="447">
        <f t="shared" si="153"/>
        <v>186.17158214187504</v>
      </c>
      <c r="J340" s="447">
        <f t="shared" si="153"/>
        <v>192.43328647050953</v>
      </c>
      <c r="K340" s="447">
        <f t="shared" si="153"/>
        <v>192.43217885836802</v>
      </c>
      <c r="L340" s="447">
        <f t="shared" si="153"/>
        <v>190.07358306237302</v>
      </c>
      <c r="M340" s="447">
        <f t="shared" si="153"/>
        <v>192.00494398525379</v>
      </c>
      <c r="N340" s="447">
        <f t="shared" si="153"/>
        <v>195.91772865111761</v>
      </c>
    </row>
    <row r="341" spans="1:14">
      <c r="B341" s="331" t="str">
        <f t="shared" si="152"/>
        <v>25-29</v>
      </c>
      <c r="C341" s="447">
        <f t="shared" ref="C341:N341" si="154">C304+C248</f>
        <v>341.67713137375006</v>
      </c>
      <c r="D341" s="447">
        <f t="shared" si="154"/>
        <v>326.56271238596725</v>
      </c>
      <c r="E341" s="447">
        <f t="shared" si="154"/>
        <v>323.62773444892144</v>
      </c>
      <c r="F341" s="447">
        <f t="shared" si="154"/>
        <v>323.94326471008691</v>
      </c>
      <c r="G341" s="447">
        <f t="shared" si="154"/>
        <v>324.42861851996872</v>
      </c>
      <c r="H341" s="447">
        <f t="shared" si="154"/>
        <v>323.31312545595762</v>
      </c>
      <c r="I341" s="447">
        <f t="shared" si="154"/>
        <v>327.43042893979691</v>
      </c>
      <c r="J341" s="447">
        <f t="shared" si="154"/>
        <v>333.57709763227001</v>
      </c>
      <c r="K341" s="447">
        <f t="shared" si="154"/>
        <v>334.66363322165665</v>
      </c>
      <c r="L341" s="447">
        <f t="shared" si="154"/>
        <v>333.04371245387546</v>
      </c>
      <c r="M341" s="447">
        <f t="shared" si="154"/>
        <v>335.10923091175601</v>
      </c>
      <c r="N341" s="447">
        <f t="shared" si="154"/>
        <v>339.56169576311498</v>
      </c>
    </row>
    <row r="342" spans="1:14">
      <c r="B342" s="331" t="str">
        <f t="shared" si="152"/>
        <v>30-34</v>
      </c>
      <c r="C342" s="447">
        <f t="shared" ref="C342:N342" si="155">C305+C249</f>
        <v>402.66119847996873</v>
      </c>
      <c r="D342" s="447">
        <f t="shared" si="155"/>
        <v>392.2090729574673</v>
      </c>
      <c r="E342" s="447">
        <f t="shared" si="155"/>
        <v>383.09279396514955</v>
      </c>
      <c r="F342" s="447">
        <f t="shared" si="155"/>
        <v>375.40180325829573</v>
      </c>
      <c r="G342" s="447">
        <f t="shared" si="155"/>
        <v>368.71509096996238</v>
      </c>
      <c r="H342" s="447">
        <f t="shared" si="155"/>
        <v>362.47357259863236</v>
      </c>
      <c r="I342" s="447">
        <f t="shared" si="155"/>
        <v>359.86741810433978</v>
      </c>
      <c r="J342" s="447">
        <f t="shared" si="155"/>
        <v>359.72561461580159</v>
      </c>
      <c r="K342" s="447">
        <f t="shared" si="155"/>
        <v>358.52824305806132</v>
      </c>
      <c r="L342" s="447">
        <f t="shared" si="155"/>
        <v>356.6442317156164</v>
      </c>
      <c r="M342" s="447">
        <f t="shared" si="155"/>
        <v>356.76224149321848</v>
      </c>
      <c r="N342" s="447">
        <f t="shared" si="155"/>
        <v>358.52864972236716</v>
      </c>
    </row>
    <row r="343" spans="1:14">
      <c r="B343" s="331" t="str">
        <f t="shared" si="152"/>
        <v>35-39</v>
      </c>
      <c r="C343" s="447">
        <f t="shared" ref="C343:N343" si="156">C306+C250</f>
        <v>383.6223929173421</v>
      </c>
      <c r="D343" s="447">
        <f t="shared" si="156"/>
        <v>381.98420774707557</v>
      </c>
      <c r="E343" s="447">
        <f t="shared" si="156"/>
        <v>379.6659643785049</v>
      </c>
      <c r="F343" s="447">
        <f t="shared" si="156"/>
        <v>376.11031682521315</v>
      </c>
      <c r="G343" s="447">
        <f t="shared" si="156"/>
        <v>371.27285356014619</v>
      </c>
      <c r="H343" s="447">
        <f t="shared" si="156"/>
        <v>365.42028488230659</v>
      </c>
      <c r="I343" s="447">
        <f t="shared" si="156"/>
        <v>361.58018066793534</v>
      </c>
      <c r="J343" s="447">
        <f t="shared" si="156"/>
        <v>359.0083887976092</v>
      </c>
      <c r="K343" s="447">
        <f t="shared" si="156"/>
        <v>355.40357990813015</v>
      </c>
      <c r="L343" s="447">
        <f t="shared" si="156"/>
        <v>351.60917203122614</v>
      </c>
      <c r="M343" s="447">
        <f t="shared" si="156"/>
        <v>349.79413727542726</v>
      </c>
      <c r="N343" s="447">
        <f t="shared" si="156"/>
        <v>349.43107769504161</v>
      </c>
    </row>
    <row r="344" spans="1:14">
      <c r="B344" s="331" t="str">
        <f t="shared" si="152"/>
        <v>40-44</v>
      </c>
      <c r="C344" s="447">
        <f t="shared" ref="C344:N344" si="157">C307+C251</f>
        <v>314.5700931807998</v>
      </c>
      <c r="D344" s="447">
        <f t="shared" si="157"/>
        <v>321.4652024198204</v>
      </c>
      <c r="E344" s="447">
        <f t="shared" si="157"/>
        <v>326.88345672198727</v>
      </c>
      <c r="F344" s="447">
        <f t="shared" si="157"/>
        <v>330.3855369588714</v>
      </c>
      <c r="G344" s="447">
        <f t="shared" si="157"/>
        <v>331.65661264338837</v>
      </c>
      <c r="H344" s="447">
        <f t="shared" si="157"/>
        <v>330.83273613350417</v>
      </c>
      <c r="I344" s="447">
        <f t="shared" si="157"/>
        <v>330.58370839380848</v>
      </c>
      <c r="J344" s="447">
        <f t="shared" si="157"/>
        <v>330.35259066448668</v>
      </c>
      <c r="K344" s="447">
        <f t="shared" si="157"/>
        <v>328.27671527103189</v>
      </c>
      <c r="L344" s="447">
        <f t="shared" si="157"/>
        <v>325.31595626611067</v>
      </c>
      <c r="M344" s="447">
        <f t="shared" si="157"/>
        <v>323.59937123632085</v>
      </c>
      <c r="N344" s="447">
        <f t="shared" si="157"/>
        <v>322.82802940724935</v>
      </c>
    </row>
    <row r="345" spans="1:14">
      <c r="B345" s="331" t="str">
        <f t="shared" si="152"/>
        <v>45-49</v>
      </c>
      <c r="C345" s="447">
        <f t="shared" ref="C345:N345" si="158">C308+C252</f>
        <v>255.91989891844719</v>
      </c>
      <c r="D345" s="447">
        <f t="shared" si="158"/>
        <v>259.93687012650236</v>
      </c>
      <c r="E345" s="447">
        <f t="shared" si="158"/>
        <v>264.57917694676701</v>
      </c>
      <c r="F345" s="447">
        <f t="shared" si="158"/>
        <v>268.95020063390893</v>
      </c>
      <c r="G345" s="447">
        <f t="shared" si="158"/>
        <v>272.25982343637548</v>
      </c>
      <c r="H345" s="447">
        <f t="shared" si="158"/>
        <v>274.21276657177839</v>
      </c>
      <c r="I345" s="447">
        <f t="shared" si="158"/>
        <v>276.64940970523548</v>
      </c>
      <c r="J345" s="447">
        <f t="shared" si="158"/>
        <v>278.91878184415822</v>
      </c>
      <c r="K345" s="447">
        <f t="shared" si="158"/>
        <v>279.38297254753616</v>
      </c>
      <c r="L345" s="447">
        <f t="shared" si="158"/>
        <v>278.72583589937187</v>
      </c>
      <c r="M345" s="447">
        <f t="shared" si="158"/>
        <v>278.64351698236703</v>
      </c>
      <c r="N345" s="447">
        <f t="shared" si="158"/>
        <v>278.93757750509099</v>
      </c>
    </row>
    <row r="346" spans="1:14">
      <c r="B346" s="331" t="str">
        <f t="shared" si="152"/>
        <v>50-54</v>
      </c>
      <c r="C346" s="447">
        <f t="shared" ref="C346:N346" si="159">C309+C253</f>
        <v>194.90762502313339</v>
      </c>
      <c r="D346" s="447">
        <f t="shared" si="159"/>
        <v>194.85520148470471</v>
      </c>
      <c r="E346" s="447">
        <f t="shared" si="159"/>
        <v>195.83089483963121</v>
      </c>
      <c r="F346" s="447">
        <f t="shared" si="159"/>
        <v>197.34599487516383</v>
      </c>
      <c r="G346" s="447">
        <f t="shared" si="159"/>
        <v>198.80366698285212</v>
      </c>
      <c r="H346" s="447">
        <f t="shared" si="159"/>
        <v>199.9048766436984</v>
      </c>
      <c r="I346" s="447">
        <f t="shared" si="159"/>
        <v>201.8905720413083</v>
      </c>
      <c r="J346" s="447">
        <f t="shared" si="159"/>
        <v>204.12519410601493</v>
      </c>
      <c r="K346" s="447">
        <f t="shared" si="159"/>
        <v>205.25729309905162</v>
      </c>
      <c r="L346" s="447">
        <f t="shared" si="159"/>
        <v>205.68518154975149</v>
      </c>
      <c r="M346" s="447">
        <f t="shared" si="159"/>
        <v>206.56861185715496</v>
      </c>
      <c r="N346" s="447">
        <f t="shared" si="159"/>
        <v>207.67567550946072</v>
      </c>
    </row>
    <row r="347" spans="1:14">
      <c r="B347" s="331" t="str">
        <f t="shared" si="152"/>
        <v>55-59</v>
      </c>
      <c r="C347" s="447">
        <f t="shared" ref="C347:N347" si="160">C310+C254</f>
        <v>117.11619365415838</v>
      </c>
      <c r="D347" s="447">
        <f t="shared" si="160"/>
        <v>107.15247146592867</v>
      </c>
      <c r="E347" s="447">
        <f t="shared" si="160"/>
        <v>101.51399581556079</v>
      </c>
      <c r="F347" s="447">
        <f t="shared" si="160"/>
        <v>98.166662693043108</v>
      </c>
      <c r="G347" s="447">
        <f t="shared" si="160"/>
        <v>96.123983161762425</v>
      </c>
      <c r="H347" s="447">
        <f t="shared" si="160"/>
        <v>94.776149827847291</v>
      </c>
      <c r="I347" s="447">
        <f t="shared" si="160"/>
        <v>94.686254379809867</v>
      </c>
      <c r="J347" s="447">
        <f t="shared" si="160"/>
        <v>95.186865515348728</v>
      </c>
      <c r="K347" s="447">
        <f t="shared" si="160"/>
        <v>95.271093060449672</v>
      </c>
      <c r="L347" s="447">
        <f t="shared" si="160"/>
        <v>95.196060508223766</v>
      </c>
      <c r="M347" s="447">
        <f t="shared" si="160"/>
        <v>95.666694022256152</v>
      </c>
      <c r="N347" s="447">
        <f t="shared" si="160"/>
        <v>96.404287864544187</v>
      </c>
    </row>
    <row r="348" spans="1:14">
      <c r="B348" s="331" t="str">
        <f t="shared" si="152"/>
        <v>60-64</v>
      </c>
      <c r="C348" s="447">
        <f t="shared" ref="C348:N348" si="161">C311+C255</f>
        <v>32.366886474980419</v>
      </c>
      <c r="D348" s="447">
        <f t="shared" si="161"/>
        <v>35.242468040240716</v>
      </c>
      <c r="E348" s="447">
        <f t="shared" si="161"/>
        <v>35.653583164477872</v>
      </c>
      <c r="F348" s="447">
        <f t="shared" si="161"/>
        <v>35.082598891588908</v>
      </c>
      <c r="G348" s="447">
        <f t="shared" si="161"/>
        <v>34.232049405336284</v>
      </c>
      <c r="H348" s="447">
        <f t="shared" si="161"/>
        <v>33.363207938176949</v>
      </c>
      <c r="I348" s="447">
        <f t="shared" si="161"/>
        <v>33.029341718471578</v>
      </c>
      <c r="J348" s="447">
        <f t="shared" si="161"/>
        <v>32.977193535830267</v>
      </c>
      <c r="K348" s="447">
        <f t="shared" si="161"/>
        <v>32.73202542487445</v>
      </c>
      <c r="L348" s="447">
        <f t="shared" si="161"/>
        <v>32.466113437156899</v>
      </c>
      <c r="M348" s="447">
        <f t="shared" si="161"/>
        <v>32.550498955583954</v>
      </c>
      <c r="N348" s="447">
        <f t="shared" si="161"/>
        <v>32.817640769906433</v>
      </c>
    </row>
    <row r="349" spans="1:14">
      <c r="B349" s="331" t="str">
        <f t="shared" si="152"/>
        <v>65 plus</v>
      </c>
      <c r="C349" s="447">
        <f t="shared" ref="C349:N349" si="162">C312+C256</f>
        <v>7.2953918340850441</v>
      </c>
      <c r="D349" s="447">
        <f t="shared" si="162"/>
        <v>9.4044626632426827</v>
      </c>
      <c r="E349" s="447">
        <f t="shared" si="162"/>
        <v>11.063815481571627</v>
      </c>
      <c r="F349" s="447">
        <f t="shared" si="162"/>
        <v>12.108148001716483</v>
      </c>
      <c r="G349" s="447">
        <f t="shared" si="162"/>
        <v>12.629327998447229</v>
      </c>
      <c r="H349" s="447">
        <f t="shared" si="162"/>
        <v>12.78907981040132</v>
      </c>
      <c r="I349" s="447">
        <f t="shared" si="162"/>
        <v>12.866074312363942</v>
      </c>
      <c r="J349" s="447">
        <f t="shared" si="162"/>
        <v>12.911484094134742</v>
      </c>
      <c r="K349" s="447">
        <f t="shared" si="162"/>
        <v>12.847471663741517</v>
      </c>
      <c r="L349" s="447">
        <f t="shared" si="162"/>
        <v>12.733888773211365</v>
      </c>
      <c r="M349" s="447">
        <f t="shared" si="162"/>
        <v>12.702767837939518</v>
      </c>
      <c r="N349" s="447">
        <f t="shared" si="162"/>
        <v>12.743465804021566</v>
      </c>
    </row>
    <row r="350" spans="1:14">
      <c r="B350" s="331" t="str">
        <f t="shared" si="152"/>
        <v>Total</v>
      </c>
      <c r="C350" s="447">
        <f t="shared" ref="C350:N350" si="163">SUM(C340:C349)</f>
        <v>2165.4574884737258</v>
      </c>
      <c r="D350" s="447">
        <f t="shared" si="163"/>
        <v>2166.6747150687029</v>
      </c>
      <c r="E350" s="447">
        <f t="shared" si="163"/>
        <v>2180.0383018007237</v>
      </c>
      <c r="F350" s="447">
        <f t="shared" si="163"/>
        <v>2188.4243927148732</v>
      </c>
      <c r="G350" s="447">
        <f t="shared" si="163"/>
        <v>2188.0436679577392</v>
      </c>
      <c r="H350" s="447">
        <f t="shared" si="163"/>
        <v>2177.2510923127484</v>
      </c>
      <c r="I350" s="447">
        <f t="shared" si="163"/>
        <v>2184.7549704049452</v>
      </c>
      <c r="J350" s="447">
        <f t="shared" si="163"/>
        <v>2199.2164972761643</v>
      </c>
      <c r="K350" s="447">
        <f t="shared" si="163"/>
        <v>2194.7952061129017</v>
      </c>
      <c r="L350" s="447">
        <f t="shared" si="163"/>
        <v>2181.4937356969167</v>
      </c>
      <c r="M350" s="447">
        <f t="shared" si="163"/>
        <v>2183.4020145572777</v>
      </c>
      <c r="N350" s="447">
        <f t="shared" si="163"/>
        <v>2194.8458286919149</v>
      </c>
    </row>
    <row r="351" spans="1:14">
      <c r="A351" s="302">
        <f>SUM(C351:N351)</f>
        <v>0</v>
      </c>
      <c r="C351" s="302">
        <f>SUM(C340:C349)-C350</f>
        <v>0</v>
      </c>
      <c r="D351" s="302">
        <f t="shared" ref="D351:N351" si="164">SUM(D340:D349)-D350</f>
        <v>0</v>
      </c>
      <c r="E351" s="302">
        <f t="shared" si="164"/>
        <v>0</v>
      </c>
      <c r="F351" s="302">
        <f t="shared" si="164"/>
        <v>0</v>
      </c>
      <c r="G351" s="302">
        <f t="shared" si="164"/>
        <v>0</v>
      </c>
      <c r="H351" s="302">
        <f t="shared" si="164"/>
        <v>0</v>
      </c>
      <c r="I351" s="302">
        <f t="shared" si="164"/>
        <v>0</v>
      </c>
      <c r="J351" s="302">
        <f t="shared" si="164"/>
        <v>0</v>
      </c>
      <c r="K351" s="302">
        <f t="shared" si="164"/>
        <v>0</v>
      </c>
      <c r="L351" s="302">
        <f t="shared" si="164"/>
        <v>0</v>
      </c>
      <c r="M351" s="302">
        <f t="shared" si="164"/>
        <v>0</v>
      </c>
      <c r="N351" s="302">
        <f t="shared" si="164"/>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5">B339</f>
        <v>Age group</v>
      </c>
      <c r="C355" s="331" t="str">
        <f t="shared" ref="C355:N355" si="166">C339</f>
        <v>2017/18</v>
      </c>
      <c r="D355" s="331" t="str">
        <f t="shared" si="166"/>
        <v>2018/19</v>
      </c>
      <c r="E355" s="331" t="str">
        <f t="shared" si="166"/>
        <v>2019/20</v>
      </c>
      <c r="F355" s="331" t="str">
        <f t="shared" si="166"/>
        <v>2020/21</v>
      </c>
      <c r="G355" s="331" t="str">
        <f t="shared" si="166"/>
        <v>2021/22</v>
      </c>
      <c r="H355" s="331" t="str">
        <f t="shared" si="166"/>
        <v>2022/23</v>
      </c>
      <c r="I355" s="331" t="str">
        <f t="shared" si="166"/>
        <v>2023/24</v>
      </c>
      <c r="J355" s="331" t="str">
        <f t="shared" si="166"/>
        <v>2024/25</v>
      </c>
      <c r="K355" s="331" t="str">
        <f t="shared" si="166"/>
        <v>2025/26</v>
      </c>
      <c r="L355" s="331" t="str">
        <f t="shared" si="166"/>
        <v>2026/27</v>
      </c>
      <c r="M355" s="331" t="str">
        <f t="shared" si="166"/>
        <v>2027/28</v>
      </c>
      <c r="N355" s="331" t="str">
        <f t="shared" si="166"/>
        <v>2028/29</v>
      </c>
    </row>
    <row r="356" spans="1:14">
      <c r="B356" s="331" t="str">
        <f t="shared" si="165"/>
        <v>20-24</v>
      </c>
      <c r="C356" s="447">
        <f t="shared" ref="C356:N356" si="167">C319+C263</f>
        <v>164.55012979943007</v>
      </c>
      <c r="D356" s="447">
        <f t="shared" si="167"/>
        <v>190.72376762156966</v>
      </c>
      <c r="E356" s="447">
        <f t="shared" si="167"/>
        <v>215.30501695879079</v>
      </c>
      <c r="F356" s="447">
        <f t="shared" si="167"/>
        <v>230.09965980448607</v>
      </c>
      <c r="G356" s="447">
        <f t="shared" si="167"/>
        <v>237.84155512109496</v>
      </c>
      <c r="H356" s="447">
        <f t="shared" si="167"/>
        <v>239.75495858830914</v>
      </c>
      <c r="I356" s="447">
        <f t="shared" si="167"/>
        <v>246.94059190907168</v>
      </c>
      <c r="J356" s="447">
        <f t="shared" si="167"/>
        <v>254.67800199261541</v>
      </c>
      <c r="K356" s="447">
        <f t="shared" si="167"/>
        <v>254.30502268175061</v>
      </c>
      <c r="L356" s="447">
        <f t="shared" si="167"/>
        <v>250.93244960187943</v>
      </c>
      <c r="M356" s="447">
        <f t="shared" si="167"/>
        <v>253.29783370611585</v>
      </c>
      <c r="N356" s="447">
        <f t="shared" si="167"/>
        <v>258.32977300923091</v>
      </c>
    </row>
    <row r="357" spans="1:14">
      <c r="B357" s="331" t="str">
        <f t="shared" si="165"/>
        <v>25-29</v>
      </c>
      <c r="C357" s="447">
        <f t="shared" ref="C357:N357" si="168">C320+C264</f>
        <v>467.28154513227571</v>
      </c>
      <c r="D357" s="447">
        <f t="shared" si="168"/>
        <v>444.7149080902069</v>
      </c>
      <c r="E357" s="447">
        <f t="shared" si="168"/>
        <v>439.01236227531655</v>
      </c>
      <c r="F357" s="447">
        <f t="shared" si="168"/>
        <v>436.54227263856319</v>
      </c>
      <c r="G357" s="447">
        <f t="shared" si="168"/>
        <v>434.71052378601183</v>
      </c>
      <c r="H357" s="447">
        <f t="shared" si="168"/>
        <v>431.17995862616493</v>
      </c>
      <c r="I357" s="447">
        <f t="shared" si="168"/>
        <v>434.93478023835121</v>
      </c>
      <c r="J357" s="447">
        <f t="shared" si="168"/>
        <v>441.68640387222297</v>
      </c>
      <c r="K357" s="447">
        <f t="shared" si="168"/>
        <v>442.02888228632901</v>
      </c>
      <c r="L357" s="447">
        <f t="shared" si="168"/>
        <v>439.03418319623586</v>
      </c>
      <c r="M357" s="447">
        <f t="shared" si="168"/>
        <v>441.09604084074419</v>
      </c>
      <c r="N357" s="447">
        <f t="shared" si="168"/>
        <v>446.45207590406426</v>
      </c>
    </row>
    <row r="358" spans="1:14">
      <c r="B358" s="331" t="str">
        <f t="shared" si="165"/>
        <v>30-34</v>
      </c>
      <c r="C358" s="447">
        <f t="shared" ref="C358:N358" si="169">C321+C265</f>
        <v>582.44256321871285</v>
      </c>
      <c r="D358" s="447">
        <f t="shared" si="169"/>
        <v>552.03609181769366</v>
      </c>
      <c r="E358" s="447">
        <f t="shared" si="169"/>
        <v>528.05661594743833</v>
      </c>
      <c r="F358" s="447">
        <f t="shared" si="169"/>
        <v>507.71662696824274</v>
      </c>
      <c r="G358" s="447">
        <f t="shared" si="169"/>
        <v>490.99328041709009</v>
      </c>
      <c r="H358" s="447">
        <f t="shared" si="169"/>
        <v>476.59994011832129</v>
      </c>
      <c r="I358" s="447">
        <f t="shared" si="169"/>
        <v>468.35547007455443</v>
      </c>
      <c r="J358" s="447">
        <f t="shared" si="169"/>
        <v>464.3568986917453</v>
      </c>
      <c r="K358" s="447">
        <f t="shared" si="169"/>
        <v>459.7137643068221</v>
      </c>
      <c r="L358" s="447">
        <f t="shared" si="169"/>
        <v>454.79398123653402</v>
      </c>
      <c r="M358" s="447">
        <f t="shared" si="169"/>
        <v>453.03795426825053</v>
      </c>
      <c r="N358" s="447">
        <f t="shared" si="169"/>
        <v>453.83555810269326</v>
      </c>
    </row>
    <row r="359" spans="1:14">
      <c r="B359" s="331" t="str">
        <f t="shared" si="165"/>
        <v>35-39</v>
      </c>
      <c r="C359" s="447">
        <f t="shared" ref="C359:N359" si="170">C322+C266</f>
        <v>544.83363336937521</v>
      </c>
      <c r="D359" s="447">
        <f t="shared" si="170"/>
        <v>536.83797420719952</v>
      </c>
      <c r="E359" s="447">
        <f t="shared" si="170"/>
        <v>527.05979073755748</v>
      </c>
      <c r="F359" s="447">
        <f t="shared" si="170"/>
        <v>514.06133212542625</v>
      </c>
      <c r="G359" s="447">
        <f t="shared" si="170"/>
        <v>499.76537590060423</v>
      </c>
      <c r="H359" s="447">
        <f t="shared" si="170"/>
        <v>484.85249764828109</v>
      </c>
      <c r="I359" s="447">
        <f t="shared" si="170"/>
        <v>473.45563401771602</v>
      </c>
      <c r="J359" s="447">
        <f t="shared" si="170"/>
        <v>464.57950463547911</v>
      </c>
      <c r="K359" s="447">
        <f t="shared" si="170"/>
        <v>455.12458670830563</v>
      </c>
      <c r="L359" s="447">
        <f t="shared" si="170"/>
        <v>446.14808728936168</v>
      </c>
      <c r="M359" s="447">
        <f t="shared" si="170"/>
        <v>440.43775562421371</v>
      </c>
      <c r="N359" s="447">
        <f t="shared" si="170"/>
        <v>437.19144227595649</v>
      </c>
    </row>
    <row r="360" spans="1:14">
      <c r="B360" s="331" t="str">
        <f t="shared" si="165"/>
        <v>40-44</v>
      </c>
      <c r="C360" s="447">
        <f t="shared" ref="C360:N360" si="171">C323+C267</f>
        <v>447.63043384773897</v>
      </c>
      <c r="D360" s="447">
        <f t="shared" si="171"/>
        <v>453.83211272454946</v>
      </c>
      <c r="E360" s="447">
        <f t="shared" si="171"/>
        <v>458.38258895451798</v>
      </c>
      <c r="F360" s="447">
        <f t="shared" si="171"/>
        <v>458.7081527296678</v>
      </c>
      <c r="G360" s="447">
        <f t="shared" si="171"/>
        <v>455.69679994231126</v>
      </c>
      <c r="H360" s="447">
        <f t="shared" si="171"/>
        <v>449.71633107368211</v>
      </c>
      <c r="I360" s="447">
        <f t="shared" si="171"/>
        <v>444.48617439301574</v>
      </c>
      <c r="J360" s="447">
        <f t="shared" si="171"/>
        <v>439.42704780667606</v>
      </c>
      <c r="K360" s="447">
        <f t="shared" si="171"/>
        <v>432.19673456106881</v>
      </c>
      <c r="L360" s="447">
        <f t="shared" si="171"/>
        <v>424.14485812955832</v>
      </c>
      <c r="M360" s="447">
        <f t="shared" si="171"/>
        <v>418.12576313052523</v>
      </c>
      <c r="N360" s="447">
        <f t="shared" si="171"/>
        <v>413.75344974390447</v>
      </c>
    </row>
    <row r="361" spans="1:14">
      <c r="B361" s="331" t="str">
        <f t="shared" si="165"/>
        <v>45-49</v>
      </c>
      <c r="C361" s="447">
        <f t="shared" ref="C361:N361" si="172">C324+C268</f>
        <v>296.31426095726101</v>
      </c>
      <c r="D361" s="447">
        <f t="shared" si="172"/>
        <v>316.5891435474735</v>
      </c>
      <c r="E361" s="447">
        <f t="shared" si="172"/>
        <v>333.64005424629357</v>
      </c>
      <c r="F361" s="447">
        <f t="shared" si="172"/>
        <v>345.84911004219663</v>
      </c>
      <c r="G361" s="447">
        <f t="shared" si="172"/>
        <v>354.07040384375591</v>
      </c>
      <c r="H361" s="447">
        <f t="shared" si="172"/>
        <v>358.56552145081804</v>
      </c>
      <c r="I361" s="447">
        <f t="shared" si="172"/>
        <v>362.27080452734668</v>
      </c>
      <c r="J361" s="447">
        <f t="shared" si="172"/>
        <v>364.71293659634654</v>
      </c>
      <c r="K361" s="447">
        <f t="shared" si="172"/>
        <v>364.04534937593041</v>
      </c>
      <c r="L361" s="447">
        <f t="shared" si="172"/>
        <v>361.43526217792214</v>
      </c>
      <c r="M361" s="447">
        <f t="shared" si="172"/>
        <v>359.32040017917211</v>
      </c>
      <c r="N361" s="447">
        <f t="shared" si="172"/>
        <v>357.5752771508088</v>
      </c>
    </row>
    <row r="362" spans="1:14">
      <c r="B362" s="331" t="str">
        <f t="shared" si="165"/>
        <v>50-54</v>
      </c>
      <c r="C362" s="447">
        <f t="shared" ref="C362:N362" si="173">C325+C269</f>
        <v>204.63592884469645</v>
      </c>
      <c r="D362" s="447">
        <f t="shared" si="173"/>
        <v>212.00014989440615</v>
      </c>
      <c r="E362" s="447">
        <f t="shared" si="173"/>
        <v>221.71409950335206</v>
      </c>
      <c r="F362" s="447">
        <f t="shared" si="173"/>
        <v>230.88703332655712</v>
      </c>
      <c r="G362" s="447">
        <f t="shared" si="173"/>
        <v>239.0099513717019</v>
      </c>
      <c r="H362" s="447">
        <f t="shared" si="173"/>
        <v>245.51800364437867</v>
      </c>
      <c r="I362" s="447">
        <f t="shared" si="173"/>
        <v>252.04396325184041</v>
      </c>
      <c r="J362" s="447">
        <f t="shared" si="173"/>
        <v>257.8308734736994</v>
      </c>
      <c r="K362" s="447">
        <f t="shared" si="173"/>
        <v>261.22422925863577</v>
      </c>
      <c r="L362" s="447">
        <f t="shared" si="173"/>
        <v>262.90123123832313</v>
      </c>
      <c r="M362" s="447">
        <f t="shared" si="173"/>
        <v>264.54399086229211</v>
      </c>
      <c r="N362" s="447">
        <f t="shared" si="173"/>
        <v>265.98447251125543</v>
      </c>
    </row>
    <row r="363" spans="1:14">
      <c r="B363" s="331" t="str">
        <f t="shared" si="165"/>
        <v>55-59</v>
      </c>
      <c r="C363" s="447">
        <f t="shared" ref="C363:N363" si="174">C326+C270</f>
        <v>113.01156413633154</v>
      </c>
      <c r="D363" s="447">
        <f t="shared" si="174"/>
        <v>109.06726279986862</v>
      </c>
      <c r="E363" s="447">
        <f t="shared" si="174"/>
        <v>108.4662887086976</v>
      </c>
      <c r="F363" s="447">
        <f t="shared" si="174"/>
        <v>109.18921109266196</v>
      </c>
      <c r="G363" s="447">
        <f t="shared" si="174"/>
        <v>110.68181913133887</v>
      </c>
      <c r="H363" s="447">
        <f t="shared" si="174"/>
        <v>112.37267526366678</v>
      </c>
      <c r="I363" s="447">
        <f t="shared" si="174"/>
        <v>115.11691631014457</v>
      </c>
      <c r="J363" s="447">
        <f t="shared" si="174"/>
        <v>118.10538156229653</v>
      </c>
      <c r="K363" s="447">
        <f t="shared" si="174"/>
        <v>120.06176862866602</v>
      </c>
      <c r="L363" s="447">
        <f t="shared" si="174"/>
        <v>121.37024698066466</v>
      </c>
      <c r="M363" s="447">
        <f t="shared" si="174"/>
        <v>123.01250397680933</v>
      </c>
      <c r="N363" s="447">
        <f t="shared" si="174"/>
        <v>124.67969547815528</v>
      </c>
    </row>
    <row r="364" spans="1:14">
      <c r="B364" s="331" t="str">
        <f t="shared" si="165"/>
        <v>60-64</v>
      </c>
      <c r="C364" s="447">
        <f t="shared" ref="C364:N364" si="175">C327+C271</f>
        <v>35.8458222113142</v>
      </c>
      <c r="D364" s="447">
        <f t="shared" si="175"/>
        <v>37.591441525196736</v>
      </c>
      <c r="E364" s="447">
        <f t="shared" si="175"/>
        <v>38.347387401492504</v>
      </c>
      <c r="F364" s="447">
        <f t="shared" si="175"/>
        <v>38.478168479029222</v>
      </c>
      <c r="G364" s="447">
        <f t="shared" si="175"/>
        <v>38.466502329085245</v>
      </c>
      <c r="H364" s="447">
        <f t="shared" si="175"/>
        <v>38.424747930662683</v>
      </c>
      <c r="I364" s="447">
        <f t="shared" si="175"/>
        <v>38.993622979907521</v>
      </c>
      <c r="J364" s="447">
        <f t="shared" si="175"/>
        <v>39.806573169792493</v>
      </c>
      <c r="K364" s="447">
        <f t="shared" si="175"/>
        <v>40.230671248583363</v>
      </c>
      <c r="L364" s="447">
        <f t="shared" si="175"/>
        <v>40.497753040510673</v>
      </c>
      <c r="M364" s="447">
        <f t="shared" si="175"/>
        <v>41.104902507208493</v>
      </c>
      <c r="N364" s="447">
        <f t="shared" si="175"/>
        <v>41.84059421385367</v>
      </c>
    </row>
    <row r="365" spans="1:14">
      <c r="B365" s="331" t="str">
        <f t="shared" si="165"/>
        <v>65 plus</v>
      </c>
      <c r="C365" s="447">
        <f t="shared" ref="C365:N365" si="176">C328+C272</f>
        <v>9.0905236462449484</v>
      </c>
      <c r="D365" s="447">
        <f t="shared" si="176"/>
        <v>11.806969824562625</v>
      </c>
      <c r="E365" s="447">
        <f t="shared" si="176"/>
        <v>13.860609453011175</v>
      </c>
      <c r="F365" s="447">
        <f t="shared" si="176"/>
        <v>15.198553459500165</v>
      </c>
      <c r="G365" s="447">
        <f t="shared" si="176"/>
        <v>16.013905747964092</v>
      </c>
      <c r="H365" s="447">
        <f t="shared" si="176"/>
        <v>16.462346587510936</v>
      </c>
      <c r="I365" s="447">
        <f t="shared" si="176"/>
        <v>16.854686573805573</v>
      </c>
      <c r="J365" s="447">
        <f t="shared" si="176"/>
        <v>17.228061335728054</v>
      </c>
      <c r="K365" s="447">
        <f t="shared" si="176"/>
        <v>17.45639410748284</v>
      </c>
      <c r="L365" s="447">
        <f t="shared" si="176"/>
        <v>17.595353537850247</v>
      </c>
      <c r="M365" s="447">
        <f t="shared" si="176"/>
        <v>17.809021496509018</v>
      </c>
      <c r="N365" s="447">
        <f t="shared" si="176"/>
        <v>18.086949109479495</v>
      </c>
    </row>
    <row r="366" spans="1:14">
      <c r="B366" s="331" t="str">
        <f t="shared" si="165"/>
        <v>Total</v>
      </c>
      <c r="C366" s="447">
        <f t="shared" ref="C366:N366" si="177">SUM(C356:C365)</f>
        <v>2865.6364051633805</v>
      </c>
      <c r="D366" s="447">
        <f t="shared" si="177"/>
        <v>2865.1998220527275</v>
      </c>
      <c r="E366" s="447">
        <f t="shared" si="177"/>
        <v>2883.8448141864674</v>
      </c>
      <c r="F366" s="447">
        <f t="shared" si="177"/>
        <v>2886.730120666331</v>
      </c>
      <c r="G366" s="447">
        <f t="shared" si="177"/>
        <v>2877.2501175909583</v>
      </c>
      <c r="H366" s="447">
        <f t="shared" si="177"/>
        <v>2853.4469809317952</v>
      </c>
      <c r="I366" s="447">
        <f t="shared" si="177"/>
        <v>2853.4526442757542</v>
      </c>
      <c r="J366" s="447">
        <f t="shared" si="177"/>
        <v>2862.4116831366014</v>
      </c>
      <c r="K366" s="447">
        <f t="shared" si="177"/>
        <v>2846.3874031635746</v>
      </c>
      <c r="L366" s="447">
        <f t="shared" si="177"/>
        <v>2818.8534064288401</v>
      </c>
      <c r="M366" s="447">
        <f t="shared" si="177"/>
        <v>2811.7861665918404</v>
      </c>
      <c r="N366" s="447">
        <f t="shared" si="177"/>
        <v>2817.7292874994018</v>
      </c>
    </row>
    <row r="367" spans="1:14">
      <c r="A367" s="302">
        <f>SUM(C367:N367)</f>
        <v>0</v>
      </c>
      <c r="C367" s="302">
        <f>SUM(C356:C365)-C366</f>
        <v>0</v>
      </c>
      <c r="D367" s="302">
        <f t="shared" ref="D367:N367" si="178">SUM(D356:D365)-D366</f>
        <v>0</v>
      </c>
      <c r="E367" s="302">
        <f t="shared" si="178"/>
        <v>0</v>
      </c>
      <c r="F367" s="302">
        <f t="shared" si="178"/>
        <v>0</v>
      </c>
      <c r="G367" s="302">
        <f t="shared" si="178"/>
        <v>0</v>
      </c>
      <c r="H367" s="302">
        <f t="shared" si="178"/>
        <v>0</v>
      </c>
      <c r="I367" s="302">
        <f t="shared" si="178"/>
        <v>0</v>
      </c>
      <c r="J367" s="302">
        <f t="shared" si="178"/>
        <v>0</v>
      </c>
      <c r="K367" s="302">
        <f t="shared" si="178"/>
        <v>0</v>
      </c>
      <c r="L367" s="302">
        <f t="shared" si="178"/>
        <v>0</v>
      </c>
      <c r="M367" s="302">
        <f t="shared" si="178"/>
        <v>0</v>
      </c>
      <c r="N367" s="302">
        <f t="shared" si="178"/>
        <v>0</v>
      </c>
    </row>
    <row r="368" spans="1:14">
      <c r="C368" s="322">
        <f>C350+C366</f>
        <v>5031.0938936371058</v>
      </c>
      <c r="D368" s="322">
        <f t="shared" ref="D368:N368" si="179">D350+D366</f>
        <v>5031.87453712143</v>
      </c>
      <c r="E368" s="322">
        <f t="shared" si="179"/>
        <v>5063.8831159871916</v>
      </c>
      <c r="F368" s="322">
        <f t="shared" si="179"/>
        <v>5075.1545133812042</v>
      </c>
      <c r="G368" s="322">
        <f t="shared" si="179"/>
        <v>5065.293785548698</v>
      </c>
      <c r="H368" s="322">
        <f t="shared" si="179"/>
        <v>5030.6980732445436</v>
      </c>
      <c r="I368" s="322">
        <f t="shared" si="179"/>
        <v>5038.2076146806994</v>
      </c>
      <c r="J368" s="322">
        <f t="shared" si="179"/>
        <v>5061.6281804127657</v>
      </c>
      <c r="K368" s="322">
        <f t="shared" si="179"/>
        <v>5041.1826092764768</v>
      </c>
      <c r="L368" s="322">
        <f t="shared" si="179"/>
        <v>5000.3471421257564</v>
      </c>
      <c r="M368" s="322">
        <f t="shared" si="179"/>
        <v>4995.1881811491185</v>
      </c>
      <c r="N368" s="322">
        <f t="shared" si="179"/>
        <v>5012.5751161913167</v>
      </c>
    </row>
    <row r="369" spans="1:14">
      <c r="C369" s="322">
        <f t="shared" ref="C369:N369" si="180">C36</f>
        <v>5031.0938936371076</v>
      </c>
      <c r="D369" s="322">
        <f t="shared" si="180"/>
        <v>5031.8745371214309</v>
      </c>
      <c r="E369" s="322">
        <f t="shared" si="180"/>
        <v>5063.8831159871925</v>
      </c>
      <c r="F369" s="322">
        <f t="shared" si="180"/>
        <v>5075.1545133812051</v>
      </c>
      <c r="G369" s="322">
        <f t="shared" si="180"/>
        <v>5065.2937855486989</v>
      </c>
      <c r="H369" s="322">
        <f t="shared" si="180"/>
        <v>5030.6980732445454</v>
      </c>
      <c r="I369" s="322">
        <f t="shared" si="180"/>
        <v>5038.2076146806994</v>
      </c>
      <c r="J369" s="322">
        <f t="shared" si="180"/>
        <v>5061.6281804127666</v>
      </c>
      <c r="K369" s="322">
        <f t="shared" si="180"/>
        <v>5041.1826092764768</v>
      </c>
      <c r="L369" s="322">
        <f t="shared" si="180"/>
        <v>5000.3471421257582</v>
      </c>
      <c r="M369" s="322">
        <f t="shared" si="180"/>
        <v>4995.1881811491194</v>
      </c>
      <c r="N369" s="322">
        <f t="shared" si="180"/>
        <v>5012.5751161913176</v>
      </c>
    </row>
    <row r="370" spans="1:14">
      <c r="A370" s="302">
        <f>SUM(C370:L370)</f>
        <v>0</v>
      </c>
      <c r="C370" s="322">
        <f>C368-C369</f>
        <v>0</v>
      </c>
      <c r="D370" s="322">
        <f t="shared" ref="D370:N370" si="181">D368-D369</f>
        <v>0</v>
      </c>
      <c r="E370" s="322">
        <f t="shared" si="181"/>
        <v>0</v>
      </c>
      <c r="F370" s="322">
        <f t="shared" si="181"/>
        <v>0</v>
      </c>
      <c r="G370" s="322">
        <f t="shared" si="181"/>
        <v>0</v>
      </c>
      <c r="H370" s="322">
        <f t="shared" si="181"/>
        <v>0</v>
      </c>
      <c r="I370" s="322">
        <f t="shared" si="181"/>
        <v>0</v>
      </c>
      <c r="J370" s="322">
        <f t="shared" si="181"/>
        <v>0</v>
      </c>
      <c r="K370" s="322">
        <f t="shared" si="181"/>
        <v>0</v>
      </c>
      <c r="L370" s="322">
        <f t="shared" si="181"/>
        <v>0</v>
      </c>
      <c r="M370" s="322">
        <f t="shared" si="181"/>
        <v>0</v>
      </c>
      <c r="N370" s="322">
        <f t="shared" si="181"/>
        <v>0</v>
      </c>
    </row>
    <row r="371" spans="1:14">
      <c r="A371" s="302">
        <f>SUM(C371:L371)</f>
        <v>0</v>
      </c>
      <c r="C371" s="322">
        <f>IF(C294&gt;0,0,C294)</f>
        <v>0</v>
      </c>
      <c r="D371" s="322">
        <f t="shared" ref="D371:N371" si="182">IF(D294&gt;0,0,D294)</f>
        <v>0</v>
      </c>
      <c r="E371" s="322">
        <f t="shared" si="182"/>
        <v>0</v>
      </c>
      <c r="F371" s="322">
        <f t="shared" si="182"/>
        <v>0</v>
      </c>
      <c r="G371" s="322">
        <f t="shared" si="182"/>
        <v>0</v>
      </c>
      <c r="H371" s="322">
        <f t="shared" si="182"/>
        <v>0</v>
      </c>
      <c r="I371" s="322">
        <f t="shared" si="182"/>
        <v>0</v>
      </c>
      <c r="J371" s="322">
        <f t="shared" si="182"/>
        <v>0</v>
      </c>
      <c r="K371" s="322">
        <f t="shared" si="182"/>
        <v>0</v>
      </c>
      <c r="L371" s="322">
        <f t="shared" si="182"/>
        <v>0</v>
      </c>
      <c r="M371" s="322">
        <f t="shared" si="182"/>
        <v>0</v>
      </c>
      <c r="N371" s="322">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279</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Forecast_stock_figures!B31</f>
        <v>Others</v>
      </c>
      <c r="C15" s="300">
        <f>Forecast_stock_figures!C55</f>
        <v>13879.774277103697</v>
      </c>
      <c r="D15" s="300">
        <f>Forecast_stock_figures!D55</f>
        <v>13467.698732576104</v>
      </c>
      <c r="E15" s="300">
        <f>Forecast_stock_figures!E55</f>
        <v>13191.52552967619</v>
      </c>
      <c r="F15" s="300">
        <f>Forecast_stock_figures!F55</f>
        <v>13018.58476788241</v>
      </c>
      <c r="G15" s="300">
        <f>Forecast_stock_figures!G55</f>
        <v>12986.409988305681</v>
      </c>
      <c r="H15" s="300">
        <f>Forecast_stock_figures!H55</f>
        <v>13000.806126678135</v>
      </c>
      <c r="I15" s="300">
        <f>Forecast_stock_figures!I55</f>
        <v>13068.681049346382</v>
      </c>
      <c r="J15" s="300">
        <f>Forecast_stock_figures!J55</f>
        <v>13197.505351724647</v>
      </c>
      <c r="K15" s="300">
        <f>Forecast_stock_figures!K55</f>
        <v>13404.409559926506</v>
      </c>
      <c r="L15" s="300">
        <f>Forecast_stock_figures!L55</f>
        <v>13547.048201836704</v>
      </c>
      <c r="M15" s="300">
        <f>Forecast_stock_figures!M55</f>
        <v>13653.49407142097</v>
      </c>
      <c r="N15" s="300">
        <f>Forecast_stock_figures!N55</f>
        <v>13739.843528795254</v>
      </c>
    </row>
    <row r="17" spans="1:9" ht="15.75">
      <c r="B17" s="333" t="s">
        <v>162</v>
      </c>
    </row>
    <row r="19" spans="1:9">
      <c r="B19" s="1327" t="str">
        <f>Stock_ages_breakdowns!B73</f>
        <v>Age group</v>
      </c>
      <c r="C19" s="1325" t="str">
        <f>Stock_ages_breakdowns!AG73</f>
        <v>Others</v>
      </c>
      <c r="D19" s="1332"/>
      <c r="H19" s="318" t="s">
        <v>133</v>
      </c>
    </row>
    <row r="20" spans="1:9">
      <c r="B20" s="1327"/>
      <c r="C20" s="356" t="str">
        <f>Stock_ages_breakdowns!AG74</f>
        <v>Male</v>
      </c>
      <c r="D20" s="356" t="str">
        <f>Stock_ages_breakdowns!AH74</f>
        <v>Female</v>
      </c>
    </row>
    <row r="21" spans="1:9">
      <c r="B21" s="356" t="str">
        <f>Stock_ages_breakdowns!B75</f>
        <v>20-24</v>
      </c>
      <c r="C21" s="324">
        <f>Stock_ages_breakdowns!AG20</f>
        <v>111.89991357043156</v>
      </c>
      <c r="D21" s="324">
        <f>Stock_ages_breakdowns!AH20</f>
        <v>364.64992612534934</v>
      </c>
    </row>
    <row r="22" spans="1:9">
      <c r="B22" s="356" t="str">
        <f>Stock_ages_breakdowns!B76</f>
        <v>25-29</v>
      </c>
      <c r="C22" s="324">
        <f>Stock_ages_breakdowns!AG21</f>
        <v>520.53798564941474</v>
      </c>
      <c r="D22" s="324">
        <f>Stock_ages_breakdowns!AH21</f>
        <v>1405.2807698178535</v>
      </c>
    </row>
    <row r="23" spans="1:9">
      <c r="B23" s="356" t="str">
        <f>Stock_ages_breakdowns!B77</f>
        <v>30-34</v>
      </c>
      <c r="C23" s="324">
        <f>Stock_ages_breakdowns!AG22</f>
        <v>814.36493012552717</v>
      </c>
      <c r="D23" s="324">
        <f>Stock_ages_breakdowns!AH22</f>
        <v>1824.0037642276413</v>
      </c>
    </row>
    <row r="24" spans="1:9">
      <c r="B24" s="356" t="str">
        <f>Stock_ages_breakdowns!B78</f>
        <v>35-39</v>
      </c>
      <c r="C24" s="324">
        <f>Stock_ages_breakdowns!AG23</f>
        <v>803.48613065754887</v>
      </c>
      <c r="D24" s="324">
        <f>Stock_ages_breakdowns!AH23</f>
        <v>1607.323991611167</v>
      </c>
    </row>
    <row r="25" spans="1:9">
      <c r="B25" s="356" t="str">
        <f>Stock_ages_breakdowns!B79</f>
        <v>40-44</v>
      </c>
      <c r="C25" s="324">
        <f>Stock_ages_breakdowns!AG24</f>
        <v>719.66005752621913</v>
      </c>
      <c r="D25" s="324">
        <f>Stock_ages_breakdowns!AH24</f>
        <v>1245.6031641095824</v>
      </c>
    </row>
    <row r="26" spans="1:9">
      <c r="B26" s="356" t="str">
        <f>Stock_ages_breakdowns!B80</f>
        <v>45-49</v>
      </c>
      <c r="C26" s="324">
        <f>Stock_ages_breakdowns!AG25</f>
        <v>675.82591777566665</v>
      </c>
      <c r="D26" s="324">
        <f>Stock_ages_breakdowns!AH25</f>
        <v>1025.3633642309137</v>
      </c>
    </row>
    <row r="27" spans="1:9">
      <c r="B27" s="356" t="str">
        <f>Stock_ages_breakdowns!B81</f>
        <v>50-54</v>
      </c>
      <c r="C27" s="324">
        <f>Stock_ages_breakdowns!AG26</f>
        <v>545.35484329044994</v>
      </c>
      <c r="D27" s="324">
        <f>Stock_ages_breakdowns!AH26</f>
        <v>827.79526462261936</v>
      </c>
    </row>
    <row r="28" spans="1:9">
      <c r="B28" s="356" t="str">
        <f>Stock_ages_breakdowns!B82</f>
        <v>55-59</v>
      </c>
      <c r="C28" s="324">
        <f>Stock_ages_breakdowns!AG27</f>
        <v>386.09156394788772</v>
      </c>
      <c r="D28" s="324">
        <f>Stock_ages_breakdowns!AH27</f>
        <v>587.93904882502682</v>
      </c>
    </row>
    <row r="29" spans="1:9">
      <c r="B29" s="356" t="str">
        <f>Stock_ages_breakdowns!B83</f>
        <v>60-64</v>
      </c>
      <c r="C29" s="324">
        <f>Stock_ages_breakdowns!AG28</f>
        <v>150.81082276441887</v>
      </c>
      <c r="D29" s="324">
        <f>Stock_ages_breakdowns!AH28</f>
        <v>188.54432969613984</v>
      </c>
      <c r="F29" s="318"/>
    </row>
    <row r="30" spans="1:9">
      <c r="B30" s="356" t="str">
        <f>Stock_ages_breakdowns!B84</f>
        <v>65 plus</v>
      </c>
      <c r="C30" s="324">
        <f>Stock_ages_breakdowns!AG29</f>
        <v>43.842088457808352</v>
      </c>
      <c r="D30" s="324">
        <f>Stock_ages_breakdowns!AH29</f>
        <v>31.396400072029149</v>
      </c>
      <c r="G30" s="319" t="s">
        <v>46</v>
      </c>
      <c r="H30" s="319" t="s">
        <v>47</v>
      </c>
    </row>
    <row r="31" spans="1:9">
      <c r="A31" s="302">
        <f>I31</f>
        <v>0</v>
      </c>
      <c r="B31" s="356" t="str">
        <f>Stock_ages_breakdowns!B85</f>
        <v>Total</v>
      </c>
      <c r="C31" s="324">
        <f>Stock_ages_breakdowns!AG30</f>
        <v>4771.8742537653734</v>
      </c>
      <c r="D31" s="324">
        <f>Stock_ages_breakdowns!AH30</f>
        <v>9107.9000233383231</v>
      </c>
      <c r="E31" s="320">
        <f>SUM(C31:D31)</f>
        <v>13879.774277103697</v>
      </c>
      <c r="G31" s="359">
        <f>C31/$E$31</f>
        <v>0.34380056609689502</v>
      </c>
      <c r="H31" s="359">
        <f>D31/$E$31</f>
        <v>0.65619943390310487</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5" t="str">
        <f>B15</f>
        <v>Others</v>
      </c>
      <c r="C36" s="300">
        <f>Teacher_need_by_subject!C638</f>
        <v>13467.698732576104</v>
      </c>
      <c r="D36" s="300">
        <f>Teacher_need_by_subject!D638</f>
        <v>13191.52552967619</v>
      </c>
      <c r="E36" s="300">
        <f>Teacher_need_by_subject!E638</f>
        <v>13018.58476788241</v>
      </c>
      <c r="F36" s="300">
        <f>Teacher_need_by_subject!F638</f>
        <v>12986.409988305681</v>
      </c>
      <c r="G36" s="300">
        <f>Teacher_need_by_subject!G638</f>
        <v>13000.806126678135</v>
      </c>
      <c r="H36" s="300">
        <f>Teacher_need_by_subject!H638</f>
        <v>13068.681049346382</v>
      </c>
      <c r="I36" s="300">
        <f>Teacher_need_by_subject!I638</f>
        <v>13197.505351724647</v>
      </c>
      <c r="J36" s="300">
        <f>Teacher_need_by_subject!J638</f>
        <v>13404.409559926506</v>
      </c>
      <c r="K36" s="300">
        <f>Teacher_need_by_subject!K638</f>
        <v>13547.048201836704</v>
      </c>
      <c r="L36" s="300">
        <f>Teacher_need_by_subject!L638</f>
        <v>13653.49407142097</v>
      </c>
      <c r="M36" s="300">
        <f>Teacher_need_by_subject!M638</f>
        <v>13739.843528795254</v>
      </c>
      <c r="N36" s="300">
        <f>Teacher_need_by_subject!N638</f>
        <v>13788.227928042717</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111.89991357043156</v>
      </c>
      <c r="D43" s="300">
        <f>C340</f>
        <v>178.39870137820668</v>
      </c>
      <c r="E43" s="300">
        <f t="shared" ref="E43:L43" si="2">D340</f>
        <v>231.6965285514577</v>
      </c>
      <c r="F43" s="300">
        <f t="shared" si="2"/>
        <v>276.11492137874632</v>
      </c>
      <c r="G43" s="300">
        <f t="shared" si="2"/>
        <v>317.99561746058521</v>
      </c>
      <c r="H43" s="300">
        <f t="shared" si="2"/>
        <v>350.66814686262063</v>
      </c>
      <c r="I43" s="300">
        <f t="shared" si="2"/>
        <v>378.06882678946738</v>
      </c>
      <c r="J43" s="300">
        <f t="shared" si="2"/>
        <v>403.0454266513367</v>
      </c>
      <c r="K43" s="300">
        <f t="shared" si="2"/>
        <v>428.48768177830391</v>
      </c>
      <c r="L43" s="300">
        <f t="shared" si="2"/>
        <v>442.48234210932509</v>
      </c>
      <c r="M43" s="300">
        <f>L340</f>
        <v>450.29178648478472</v>
      </c>
      <c r="N43" s="300">
        <f>M340</f>
        <v>454.83690789773186</v>
      </c>
    </row>
    <row r="44" spans="2:14">
      <c r="B44" s="356" t="str">
        <f t="shared" ref="B44:C53" si="3">B22</f>
        <v>25-29</v>
      </c>
      <c r="C44" s="300">
        <f t="shared" si="3"/>
        <v>520.53798564941474</v>
      </c>
      <c r="D44" s="300">
        <f t="shared" ref="D44:L53" si="4">C341</f>
        <v>498.47713163168686</v>
      </c>
      <c r="E44" s="300">
        <f t="shared" si="4"/>
        <v>502.15755973008868</v>
      </c>
      <c r="F44" s="300">
        <f t="shared" si="4"/>
        <v>520.73198639115242</v>
      </c>
      <c r="G44" s="300">
        <f t="shared" si="4"/>
        <v>553.44248219256212</v>
      </c>
      <c r="H44" s="300">
        <f t="shared" si="4"/>
        <v>587.98311927634165</v>
      </c>
      <c r="I44" s="300">
        <f t="shared" si="4"/>
        <v>623.41656650597122</v>
      </c>
      <c r="J44" s="300">
        <f t="shared" si="4"/>
        <v>659.85539617836707</v>
      </c>
      <c r="K44" s="300">
        <f t="shared" si="4"/>
        <v>698.80055937013344</v>
      </c>
      <c r="L44" s="300">
        <f t="shared" si="4"/>
        <v>727.62559698331461</v>
      </c>
      <c r="M44" s="300">
        <f t="shared" ref="M44:M53" si="5">L341</f>
        <v>748.95770046425628</v>
      </c>
      <c r="N44" s="300">
        <f t="shared" ref="N44:N53" si="6">M341</f>
        <v>764.85362897935875</v>
      </c>
    </row>
    <row r="45" spans="2:14">
      <c r="B45" s="356" t="str">
        <f t="shared" si="3"/>
        <v>30-34</v>
      </c>
      <c r="C45" s="300">
        <f t="shared" si="3"/>
        <v>814.36493012552717</v>
      </c>
      <c r="D45" s="300">
        <f t="shared" si="4"/>
        <v>752.23730165818131</v>
      </c>
      <c r="E45" s="300">
        <f t="shared" si="4"/>
        <v>706.81381464049286</v>
      </c>
      <c r="F45" s="300">
        <f t="shared" si="4"/>
        <v>675.82262611670455</v>
      </c>
      <c r="G45" s="300">
        <f t="shared" si="4"/>
        <v>662.27667312369101</v>
      </c>
      <c r="H45" s="300">
        <f t="shared" si="4"/>
        <v>659.90235700118853</v>
      </c>
      <c r="I45" s="300">
        <f t="shared" si="4"/>
        <v>666.79223344762136</v>
      </c>
      <c r="J45" s="300">
        <f t="shared" si="4"/>
        <v>681.39211466255574</v>
      </c>
      <c r="K45" s="300">
        <f t="shared" si="4"/>
        <v>703.01557714810565</v>
      </c>
      <c r="L45" s="300">
        <f t="shared" si="4"/>
        <v>724.36023771493831</v>
      </c>
      <c r="M45" s="300">
        <f t="shared" si="5"/>
        <v>744.56466530852504</v>
      </c>
      <c r="N45" s="300">
        <f t="shared" si="6"/>
        <v>763.07959637545275</v>
      </c>
    </row>
    <row r="46" spans="2:14">
      <c r="B46" s="356" t="str">
        <f t="shared" si="3"/>
        <v>35-39</v>
      </c>
      <c r="C46" s="300">
        <f t="shared" si="3"/>
        <v>803.48613065754887</v>
      </c>
      <c r="D46" s="300">
        <f t="shared" si="4"/>
        <v>785.61798723944401</v>
      </c>
      <c r="E46" s="300">
        <f t="shared" si="4"/>
        <v>765.05976825071104</v>
      </c>
      <c r="F46" s="300">
        <f t="shared" si="4"/>
        <v>742.24697462412337</v>
      </c>
      <c r="G46" s="300">
        <f t="shared" si="4"/>
        <v>724.37252545947172</v>
      </c>
      <c r="H46" s="300">
        <f t="shared" si="4"/>
        <v>709.7678556713671</v>
      </c>
      <c r="I46" s="300">
        <f t="shared" si="4"/>
        <v>700.12897441966879</v>
      </c>
      <c r="J46" s="300">
        <f t="shared" si="4"/>
        <v>696.39168371061987</v>
      </c>
      <c r="K46" s="300">
        <f t="shared" si="4"/>
        <v>699.29748262434009</v>
      </c>
      <c r="L46" s="300">
        <f t="shared" si="4"/>
        <v>704.0000271208304</v>
      </c>
      <c r="M46" s="300">
        <f t="shared" si="5"/>
        <v>710.69447881774386</v>
      </c>
      <c r="N46" s="300">
        <f t="shared" si="6"/>
        <v>719.06989412526366</v>
      </c>
    </row>
    <row r="47" spans="2:14">
      <c r="B47" s="356" t="str">
        <f t="shared" si="3"/>
        <v>40-44</v>
      </c>
      <c r="C47" s="300">
        <f t="shared" si="3"/>
        <v>719.66005752621913</v>
      </c>
      <c r="D47" s="300">
        <f t="shared" si="4"/>
        <v>710.12322901442587</v>
      </c>
      <c r="E47" s="300">
        <f t="shared" si="4"/>
        <v>703.79891341943573</v>
      </c>
      <c r="F47" s="300">
        <f t="shared" si="4"/>
        <v>695.78233455461373</v>
      </c>
      <c r="G47" s="300">
        <f t="shared" si="4"/>
        <v>690.02760034628636</v>
      </c>
      <c r="H47" s="300">
        <f t="shared" si="4"/>
        <v>683.52612619098772</v>
      </c>
      <c r="I47" s="300">
        <f t="shared" si="4"/>
        <v>677.46949407912905</v>
      </c>
      <c r="J47" s="300">
        <f t="shared" si="4"/>
        <v>673.07403230678426</v>
      </c>
      <c r="K47" s="300">
        <f t="shared" si="4"/>
        <v>671.69657030065798</v>
      </c>
      <c r="L47" s="300">
        <f t="shared" si="4"/>
        <v>669.94592137367749</v>
      </c>
      <c r="M47" s="300">
        <f t="shared" si="5"/>
        <v>668.85924939449342</v>
      </c>
      <c r="N47" s="300">
        <f t="shared" si="6"/>
        <v>668.98303996731738</v>
      </c>
    </row>
    <row r="48" spans="2:14">
      <c r="B48" s="356" t="str">
        <f t="shared" si="3"/>
        <v>45-49</v>
      </c>
      <c r="C48" s="300">
        <f t="shared" si="3"/>
        <v>675.82591777566665</v>
      </c>
      <c r="D48" s="300">
        <f t="shared" si="4"/>
        <v>651.09351343073877</v>
      </c>
      <c r="E48" s="300">
        <f t="shared" si="4"/>
        <v>634.87199903960936</v>
      </c>
      <c r="F48" s="300">
        <f t="shared" si="4"/>
        <v>621.83969921796438</v>
      </c>
      <c r="G48" s="300">
        <f t="shared" si="4"/>
        <v>614.53673225327452</v>
      </c>
      <c r="H48" s="300">
        <f t="shared" si="4"/>
        <v>608.97741631892063</v>
      </c>
      <c r="I48" s="300">
        <f t="shared" si="4"/>
        <v>604.87368271162222</v>
      </c>
      <c r="J48" s="300">
        <f t="shared" si="4"/>
        <v>602.25289963315038</v>
      </c>
      <c r="K48" s="300">
        <f t="shared" si="4"/>
        <v>601.58923140677996</v>
      </c>
      <c r="L48" s="300">
        <f t="shared" si="4"/>
        <v>599.82759596512381</v>
      </c>
      <c r="M48" s="300">
        <f t="shared" si="5"/>
        <v>597.68449196537279</v>
      </c>
      <c r="N48" s="300">
        <f t="shared" si="6"/>
        <v>595.66882635434229</v>
      </c>
    </row>
    <row r="49" spans="1:14">
      <c r="B49" s="356" t="str">
        <f t="shared" si="3"/>
        <v>50-54</v>
      </c>
      <c r="C49" s="300">
        <f t="shared" si="3"/>
        <v>545.35484329044994</v>
      </c>
      <c r="D49" s="300">
        <f t="shared" si="4"/>
        <v>525.01804051905822</v>
      </c>
      <c r="E49" s="300">
        <f t="shared" si="4"/>
        <v>509.0907066518115</v>
      </c>
      <c r="F49" s="300">
        <f t="shared" si="4"/>
        <v>494.72978026741396</v>
      </c>
      <c r="G49" s="300">
        <f t="shared" si="4"/>
        <v>485.06604810144432</v>
      </c>
      <c r="H49" s="300">
        <f t="shared" si="4"/>
        <v>477.53756789653983</v>
      </c>
      <c r="I49" s="300">
        <f t="shared" si="4"/>
        <v>472.06701133322707</v>
      </c>
      <c r="J49" s="300">
        <f t="shared" si="4"/>
        <v>468.56342159037263</v>
      </c>
      <c r="K49" s="300">
        <f t="shared" si="4"/>
        <v>467.13882615838645</v>
      </c>
      <c r="L49" s="300">
        <f t="shared" si="4"/>
        <v>465.25197736912094</v>
      </c>
      <c r="M49" s="300">
        <f t="shared" si="5"/>
        <v>463.20577470122896</v>
      </c>
      <c r="N49" s="300">
        <f t="shared" si="6"/>
        <v>461.19017555452814</v>
      </c>
    </row>
    <row r="50" spans="1:14">
      <c r="B50" s="356" t="str">
        <f t="shared" si="3"/>
        <v>55-59</v>
      </c>
      <c r="C50" s="300">
        <f t="shared" si="3"/>
        <v>386.09156394788772</v>
      </c>
      <c r="D50" s="300">
        <f t="shared" si="4"/>
        <v>326.96443929363522</v>
      </c>
      <c r="E50" s="300">
        <f t="shared" si="4"/>
        <v>289.74070321604927</v>
      </c>
      <c r="F50" s="300">
        <f t="shared" si="4"/>
        <v>265.22861812965385</v>
      </c>
      <c r="G50" s="300">
        <f t="shared" si="4"/>
        <v>249.89309655109852</v>
      </c>
      <c r="H50" s="300">
        <f t="shared" si="4"/>
        <v>239.59769799587178</v>
      </c>
      <c r="I50" s="300">
        <f t="shared" si="4"/>
        <v>232.81310009949888</v>
      </c>
      <c r="J50" s="300">
        <f t="shared" si="4"/>
        <v>228.61579331739023</v>
      </c>
      <c r="K50" s="300">
        <f t="shared" si="4"/>
        <v>226.54684188560032</v>
      </c>
      <c r="L50" s="300">
        <f t="shared" si="4"/>
        <v>224.59365894293148</v>
      </c>
      <c r="M50" s="300">
        <f t="shared" si="5"/>
        <v>222.87592946041647</v>
      </c>
      <c r="N50" s="300">
        <f t="shared" si="6"/>
        <v>221.41297753154532</v>
      </c>
    </row>
    <row r="51" spans="1:14">
      <c r="B51" s="356" t="str">
        <f t="shared" si="3"/>
        <v>60-64</v>
      </c>
      <c r="C51" s="300">
        <f t="shared" si="3"/>
        <v>150.81082276441887</v>
      </c>
      <c r="D51" s="300">
        <f t="shared" si="4"/>
        <v>132.8855666313477</v>
      </c>
      <c r="E51" s="300">
        <f t="shared" si="4"/>
        <v>116.87613911527019</v>
      </c>
      <c r="F51" s="300">
        <f t="shared" si="4"/>
        <v>104.08387832704037</v>
      </c>
      <c r="G51" s="300">
        <f t="shared" si="4"/>
        <v>95.199594805925585</v>
      </c>
      <c r="H51" s="300">
        <f t="shared" si="4"/>
        <v>88.890033328980408</v>
      </c>
      <c r="I51" s="300">
        <f t="shared" si="4"/>
        <v>84.62216313267875</v>
      </c>
      <c r="J51" s="300">
        <f t="shared" si="4"/>
        <v>81.932076251024682</v>
      </c>
      <c r="K51" s="300">
        <f t="shared" si="4"/>
        <v>80.520642648823355</v>
      </c>
      <c r="L51" s="300">
        <f t="shared" si="4"/>
        <v>79.281945669156642</v>
      </c>
      <c r="M51" s="300">
        <f t="shared" si="5"/>
        <v>78.266560237472177</v>
      </c>
      <c r="N51" s="300">
        <f t="shared" si="6"/>
        <v>77.465521534150454</v>
      </c>
    </row>
    <row r="52" spans="1:14">
      <c r="B52" s="356" t="str">
        <f t="shared" si="3"/>
        <v>65 plus</v>
      </c>
      <c r="C52" s="300">
        <f t="shared" si="3"/>
        <v>43.842088457808352</v>
      </c>
      <c r="D52" s="300">
        <f t="shared" si="4"/>
        <v>46.367730275994042</v>
      </c>
      <c r="E52" s="300">
        <f t="shared" si="4"/>
        <v>46.089583624952532</v>
      </c>
      <c r="F52" s="300">
        <f t="shared" si="4"/>
        <v>43.903072556670693</v>
      </c>
      <c r="G52" s="300">
        <f t="shared" si="4"/>
        <v>41.362798533410746</v>
      </c>
      <c r="H52" s="300">
        <f t="shared" si="4"/>
        <v>38.824505353869007</v>
      </c>
      <c r="I52" s="300">
        <f t="shared" si="4"/>
        <v>36.620865115381811</v>
      </c>
      <c r="J52" s="300">
        <f t="shared" si="4"/>
        <v>34.889510830843811</v>
      </c>
      <c r="K52" s="300">
        <f t="shared" si="4"/>
        <v>33.674538080736049</v>
      </c>
      <c r="L52" s="300">
        <f t="shared" si="4"/>
        <v>32.697311155375424</v>
      </c>
      <c r="M52" s="300">
        <f t="shared" si="5"/>
        <v>31.920204098668314</v>
      </c>
      <c r="N52" s="300">
        <f t="shared" si="6"/>
        <v>31.311535151324108</v>
      </c>
    </row>
    <row r="53" spans="1:14">
      <c r="B53" s="356" t="str">
        <f t="shared" si="3"/>
        <v>Total</v>
      </c>
      <c r="C53" s="300">
        <f t="shared" si="3"/>
        <v>4771.8742537653734</v>
      </c>
      <c r="D53" s="300">
        <f t="shared" si="4"/>
        <v>4607.1836410727192</v>
      </c>
      <c r="E53" s="300">
        <f t="shared" si="4"/>
        <v>4506.1957162398794</v>
      </c>
      <c r="F53" s="300">
        <f t="shared" si="4"/>
        <v>4440.4838915640839</v>
      </c>
      <c r="G53" s="300">
        <f t="shared" si="4"/>
        <v>4434.1731688277496</v>
      </c>
      <c r="H53" s="300">
        <f t="shared" si="4"/>
        <v>4445.6748258966873</v>
      </c>
      <c r="I53" s="300">
        <f t="shared" si="4"/>
        <v>4476.8729176342667</v>
      </c>
      <c r="J53" s="300">
        <f t="shared" si="4"/>
        <v>4530.0123551324441</v>
      </c>
      <c r="K53" s="300">
        <f t="shared" si="4"/>
        <v>4610.7679514018673</v>
      </c>
      <c r="L53" s="300">
        <f t="shared" si="4"/>
        <v>4670.0666144037941</v>
      </c>
      <c r="M53" s="300">
        <f t="shared" si="5"/>
        <v>4717.3208409329609</v>
      </c>
      <c r="N53" s="300">
        <f t="shared" si="6"/>
        <v>4757.8721034710152</v>
      </c>
    </row>
    <row r="54" spans="1:14">
      <c r="A54" s="302">
        <f>SUM(C54:N54)</f>
        <v>0</v>
      </c>
      <c r="C54" s="302">
        <f>SUM(C43:C52)-C53</f>
        <v>0</v>
      </c>
      <c r="D54" s="302">
        <f t="shared" ref="D54:N54" si="7">SUM(D43:D52)-D53</f>
        <v>0</v>
      </c>
      <c r="E54" s="302">
        <f t="shared" si="7"/>
        <v>0</v>
      </c>
      <c r="F54" s="302">
        <f t="shared" si="7"/>
        <v>0</v>
      </c>
      <c r="G54" s="302">
        <f t="shared" si="7"/>
        <v>0</v>
      </c>
      <c r="H54" s="302">
        <f t="shared" si="7"/>
        <v>0</v>
      </c>
      <c r="I54" s="302">
        <f t="shared" si="7"/>
        <v>0</v>
      </c>
      <c r="J54" s="302">
        <f t="shared" si="7"/>
        <v>0</v>
      </c>
      <c r="K54" s="302">
        <f t="shared" si="7"/>
        <v>0</v>
      </c>
      <c r="L54" s="302">
        <f t="shared" si="7"/>
        <v>0</v>
      </c>
      <c r="M54" s="302">
        <f t="shared" si="7"/>
        <v>0</v>
      </c>
      <c r="N54" s="302">
        <f t="shared" si="7"/>
        <v>0</v>
      </c>
    </row>
    <row r="56" spans="1:14">
      <c r="B56" s="334" t="s">
        <v>47</v>
      </c>
      <c r="H56" s="318"/>
    </row>
    <row r="57" spans="1:14">
      <c r="H57" s="318"/>
    </row>
    <row r="58" spans="1:14">
      <c r="B58" s="331" t="str">
        <f t="shared" ref="B58:B69" si="8">B42</f>
        <v>Age group</v>
      </c>
      <c r="C58" s="331" t="str">
        <f t="shared" ref="C58:N58" si="9">C42</f>
        <v>2017/18</v>
      </c>
      <c r="D58" s="331" t="str">
        <f t="shared" si="9"/>
        <v>2018/19</v>
      </c>
      <c r="E58" s="331" t="str">
        <f t="shared" si="9"/>
        <v>2019/20</v>
      </c>
      <c r="F58" s="331" t="str">
        <f t="shared" si="9"/>
        <v>2020/21</v>
      </c>
      <c r="G58" s="331" t="str">
        <f t="shared" si="9"/>
        <v>2021/22</v>
      </c>
      <c r="H58" s="331" t="str">
        <f t="shared" si="9"/>
        <v>2022/23</v>
      </c>
      <c r="I58" s="331" t="str">
        <f t="shared" si="9"/>
        <v>2023/24</v>
      </c>
      <c r="J58" s="331" t="str">
        <f t="shared" si="9"/>
        <v>2024/25</v>
      </c>
      <c r="K58" s="331" t="str">
        <f t="shared" si="9"/>
        <v>2025/26</v>
      </c>
      <c r="L58" s="331" t="str">
        <f t="shared" si="9"/>
        <v>2026/27</v>
      </c>
      <c r="M58" s="331" t="str">
        <f t="shared" si="9"/>
        <v>2027/28</v>
      </c>
      <c r="N58" s="331" t="str">
        <f t="shared" si="9"/>
        <v>2028/29</v>
      </c>
    </row>
    <row r="59" spans="1:14">
      <c r="B59" s="331" t="str">
        <f t="shared" si="8"/>
        <v>20-24</v>
      </c>
      <c r="C59" s="300">
        <f t="shared" ref="C59:C69" si="10">D21</f>
        <v>364.64992612534934</v>
      </c>
      <c r="D59" s="300">
        <f>C356</f>
        <v>448.23353032517718</v>
      </c>
      <c r="E59" s="300">
        <f t="shared" ref="E59:L59" si="11">D356</f>
        <v>518.51097126477146</v>
      </c>
      <c r="F59" s="300">
        <f t="shared" si="11"/>
        <v>581.89948228591129</v>
      </c>
      <c r="G59" s="300">
        <f t="shared" si="11"/>
        <v>645.29879142380366</v>
      </c>
      <c r="H59" s="300">
        <f t="shared" si="11"/>
        <v>695.9890349994464</v>
      </c>
      <c r="I59" s="300">
        <f t="shared" si="11"/>
        <v>740.04846526130041</v>
      </c>
      <c r="J59" s="300">
        <f t="shared" si="11"/>
        <v>781.89961059954931</v>
      </c>
      <c r="K59" s="300">
        <f t="shared" si="11"/>
        <v>826.34289919924856</v>
      </c>
      <c r="L59" s="300">
        <f t="shared" si="11"/>
        <v>850.13427842632052</v>
      </c>
      <c r="M59" s="300">
        <f>L356</f>
        <v>862.97321701864428</v>
      </c>
      <c r="N59" s="300">
        <f>M356</f>
        <v>870.18742248371041</v>
      </c>
    </row>
    <row r="60" spans="1:14">
      <c r="B60" s="331" t="str">
        <f t="shared" si="8"/>
        <v>25-29</v>
      </c>
      <c r="C60" s="300">
        <f t="shared" si="10"/>
        <v>1405.2807698178535</v>
      </c>
      <c r="D60" s="300">
        <f t="shared" ref="D60:K69" si="12">C357</f>
        <v>1280.1078655802116</v>
      </c>
      <c r="E60" s="300">
        <f t="shared" si="12"/>
        <v>1215.6066260117746</v>
      </c>
      <c r="F60" s="300">
        <f t="shared" si="12"/>
        <v>1194.7746722706472</v>
      </c>
      <c r="G60" s="300">
        <f t="shared" si="12"/>
        <v>1209.7084507298082</v>
      </c>
      <c r="H60" s="300">
        <f t="shared" si="12"/>
        <v>1238.1832313164734</v>
      </c>
      <c r="I60" s="300">
        <f t="shared" si="12"/>
        <v>1276.506032500813</v>
      </c>
      <c r="J60" s="300">
        <f t="shared" si="12"/>
        <v>1323.2560150006959</v>
      </c>
      <c r="K60" s="300">
        <f t="shared" si="12"/>
        <v>1379.9301249994865</v>
      </c>
      <c r="L60" s="300">
        <f t="shared" ref="L60:L69" si="13">K357</f>
        <v>1421.3041221750022</v>
      </c>
      <c r="M60" s="300">
        <f t="shared" ref="M60:M69" si="14">L357</f>
        <v>1451.5343822855857</v>
      </c>
      <c r="N60" s="300">
        <f t="shared" ref="N60:N69" si="15">M357</f>
        <v>1473.852356309852</v>
      </c>
    </row>
    <row r="61" spans="1:14">
      <c r="B61" s="331" t="str">
        <f t="shared" si="8"/>
        <v>30-34</v>
      </c>
      <c r="C61" s="300">
        <f t="shared" si="10"/>
        <v>1824.0037642276413</v>
      </c>
      <c r="D61" s="300">
        <f t="shared" si="12"/>
        <v>1697.0840329972159</v>
      </c>
      <c r="E61" s="300">
        <f t="shared" si="12"/>
        <v>1585.8312145404841</v>
      </c>
      <c r="F61" s="300">
        <f t="shared" si="12"/>
        <v>1497.5139352676222</v>
      </c>
      <c r="G61" s="300">
        <f t="shared" si="12"/>
        <v>1437.1807055384756</v>
      </c>
      <c r="H61" s="300">
        <f t="shared" si="12"/>
        <v>1398.7547406901169</v>
      </c>
      <c r="I61" s="300">
        <f t="shared" si="12"/>
        <v>1380.051465518902</v>
      </c>
      <c r="J61" s="300">
        <f t="shared" si="12"/>
        <v>1378.8658738317779</v>
      </c>
      <c r="K61" s="300">
        <f t="shared" si="12"/>
        <v>1394.176646444191</v>
      </c>
      <c r="L61" s="300">
        <f t="shared" si="13"/>
        <v>1412.0131943326589</v>
      </c>
      <c r="M61" s="300">
        <f t="shared" si="14"/>
        <v>1430.7085669558212</v>
      </c>
      <c r="N61" s="300">
        <f t="shared" si="15"/>
        <v>1449.0444175783143</v>
      </c>
    </row>
    <row r="62" spans="1:14">
      <c r="B62" s="331" t="str">
        <f t="shared" si="8"/>
        <v>35-39</v>
      </c>
      <c r="C62" s="300">
        <f t="shared" si="10"/>
        <v>1607.323991611167</v>
      </c>
      <c r="D62" s="300">
        <f t="shared" si="12"/>
        <v>1592.7769451376112</v>
      </c>
      <c r="E62" s="300">
        <f t="shared" si="12"/>
        <v>1562.3626706196421</v>
      </c>
      <c r="F62" s="300">
        <f t="shared" si="12"/>
        <v>1522.9266851249281</v>
      </c>
      <c r="G62" s="300">
        <f t="shared" si="12"/>
        <v>1483.4653000000355</v>
      </c>
      <c r="H62" s="300">
        <f t="shared" si="12"/>
        <v>1445.6850154638209</v>
      </c>
      <c r="I62" s="300">
        <f t="shared" si="12"/>
        <v>1414.0372607669349</v>
      </c>
      <c r="J62" s="300">
        <f t="shared" si="12"/>
        <v>1391.4475580333512</v>
      </c>
      <c r="K62" s="300">
        <f t="shared" si="12"/>
        <v>1380.2991791165832</v>
      </c>
      <c r="L62" s="300">
        <f t="shared" si="13"/>
        <v>1372.0969308016431</v>
      </c>
      <c r="M62" s="300">
        <f t="shared" si="14"/>
        <v>1367.8741905411716</v>
      </c>
      <c r="N62" s="300">
        <f t="shared" si="15"/>
        <v>1367.5192949528437</v>
      </c>
    </row>
    <row r="63" spans="1:14">
      <c r="B63" s="331" t="str">
        <f t="shared" si="8"/>
        <v>40-44</v>
      </c>
      <c r="C63" s="300">
        <f t="shared" si="10"/>
        <v>1245.6031641095824</v>
      </c>
      <c r="D63" s="300">
        <f t="shared" si="12"/>
        <v>1274.6989114058031</v>
      </c>
      <c r="E63" s="300">
        <f t="shared" si="12"/>
        <v>1296.6296568001223</v>
      </c>
      <c r="F63" s="300">
        <f t="shared" si="12"/>
        <v>1310.1276477095232</v>
      </c>
      <c r="G63" s="300">
        <f t="shared" si="12"/>
        <v>1317.7190310702736</v>
      </c>
      <c r="H63" s="300">
        <f t="shared" si="12"/>
        <v>1318.0291840122236</v>
      </c>
      <c r="I63" s="300">
        <f t="shared" si="12"/>
        <v>1314.0529201302954</v>
      </c>
      <c r="J63" s="300">
        <f t="shared" si="12"/>
        <v>1308.8530634406106</v>
      </c>
      <c r="K63" s="300">
        <f t="shared" si="12"/>
        <v>1305.7631735807217</v>
      </c>
      <c r="L63" s="300">
        <f t="shared" si="13"/>
        <v>1299.0242886005847</v>
      </c>
      <c r="M63" s="300">
        <f t="shared" si="14"/>
        <v>1291.307994487009</v>
      </c>
      <c r="N63" s="300">
        <f t="shared" si="15"/>
        <v>1284.2795494614538</v>
      </c>
    </row>
    <row r="64" spans="1:14">
      <c r="B64" s="331" t="str">
        <f t="shared" si="8"/>
        <v>45-49</v>
      </c>
      <c r="C64" s="300">
        <f t="shared" si="10"/>
        <v>1025.3633642309137</v>
      </c>
      <c r="D64" s="300">
        <f t="shared" si="12"/>
        <v>1023.1740952834338</v>
      </c>
      <c r="E64" s="300">
        <f t="shared" si="12"/>
        <v>1029.398403212615</v>
      </c>
      <c r="F64" s="300">
        <f t="shared" si="12"/>
        <v>1040.1373087188663</v>
      </c>
      <c r="G64" s="300">
        <f t="shared" si="12"/>
        <v>1054.2170682788135</v>
      </c>
      <c r="H64" s="300">
        <f t="shared" si="12"/>
        <v>1067.4066612923511</v>
      </c>
      <c r="I64" s="300">
        <f t="shared" si="12"/>
        <v>1079.2335635440984</v>
      </c>
      <c r="J64" s="300">
        <f t="shared" si="12"/>
        <v>1089.9367006536379</v>
      </c>
      <c r="K64" s="300">
        <f t="shared" si="12"/>
        <v>1100.6872924097211</v>
      </c>
      <c r="L64" s="300">
        <f t="shared" si="13"/>
        <v>1105.9731317901551</v>
      </c>
      <c r="M64" s="300">
        <f t="shared" si="14"/>
        <v>1107.5667826215081</v>
      </c>
      <c r="N64" s="300">
        <f t="shared" si="15"/>
        <v>1106.8479791654051</v>
      </c>
    </row>
    <row r="65" spans="1:14">
      <c r="B65" s="331" t="str">
        <f t="shared" si="8"/>
        <v>50-54</v>
      </c>
      <c r="C65" s="300">
        <f t="shared" si="10"/>
        <v>827.79526462261936</v>
      </c>
      <c r="D65" s="300">
        <f t="shared" si="12"/>
        <v>805.74462203211544</v>
      </c>
      <c r="E65" s="300">
        <f t="shared" si="12"/>
        <v>791.56987451598195</v>
      </c>
      <c r="F65" s="300">
        <f t="shared" si="12"/>
        <v>784.23142014510347</v>
      </c>
      <c r="G65" s="300">
        <f t="shared" si="12"/>
        <v>783.7562726699706</v>
      </c>
      <c r="H65" s="300">
        <f t="shared" si="12"/>
        <v>787.09023571819216</v>
      </c>
      <c r="I65" s="300">
        <f t="shared" si="12"/>
        <v>793.40654688493964</v>
      </c>
      <c r="J65" s="300">
        <f t="shared" si="12"/>
        <v>802.0659835167545</v>
      </c>
      <c r="K65" s="300">
        <f t="shared" si="12"/>
        <v>812.98669109850118</v>
      </c>
      <c r="L65" s="300">
        <f t="shared" si="13"/>
        <v>821.15527929000189</v>
      </c>
      <c r="M65" s="300">
        <f t="shared" si="14"/>
        <v>827.10649667909365</v>
      </c>
      <c r="N65" s="300">
        <f t="shared" si="15"/>
        <v>831.24154770982636</v>
      </c>
    </row>
    <row r="66" spans="1:14">
      <c r="B66" s="331" t="str">
        <f t="shared" si="8"/>
        <v>55-59</v>
      </c>
      <c r="C66" s="300">
        <f t="shared" si="10"/>
        <v>587.93904882502682</v>
      </c>
      <c r="D66" s="300">
        <f t="shared" si="12"/>
        <v>506.87166180425811</v>
      </c>
      <c r="E66" s="300">
        <f t="shared" si="12"/>
        <v>455.54205044953579</v>
      </c>
      <c r="F66" s="300">
        <f t="shared" si="12"/>
        <v>423.53441978203296</v>
      </c>
      <c r="G66" s="300">
        <f t="shared" si="12"/>
        <v>405.07013124659329</v>
      </c>
      <c r="H66" s="300">
        <f t="shared" si="12"/>
        <v>394.57685044291867</v>
      </c>
      <c r="I66" s="300">
        <f t="shared" si="12"/>
        <v>389.78031144871227</v>
      </c>
      <c r="J66" s="300">
        <f t="shared" si="12"/>
        <v>389.19580512193954</v>
      </c>
      <c r="K66" s="300">
        <f t="shared" si="12"/>
        <v>392.03928599875923</v>
      </c>
      <c r="L66" s="300">
        <f t="shared" si="13"/>
        <v>394.47758112286493</v>
      </c>
      <c r="M66" s="300">
        <f t="shared" si="14"/>
        <v>396.7026649706757</v>
      </c>
      <c r="N66" s="300">
        <f t="shared" si="15"/>
        <v>398.72399020476684</v>
      </c>
    </row>
    <row r="67" spans="1:14">
      <c r="B67" s="331" t="str">
        <f t="shared" si="8"/>
        <v>60-64</v>
      </c>
      <c r="C67" s="300">
        <f t="shared" si="10"/>
        <v>188.54432969613984</v>
      </c>
      <c r="D67" s="300">
        <f t="shared" si="12"/>
        <v>184.05144919914005</v>
      </c>
      <c r="E67" s="300">
        <f t="shared" si="12"/>
        <v>172.04238643115593</v>
      </c>
      <c r="F67" s="300">
        <f t="shared" si="12"/>
        <v>160.06992538427846</v>
      </c>
      <c r="G67" s="300">
        <f t="shared" si="12"/>
        <v>150.96595628871756</v>
      </c>
      <c r="H67" s="300">
        <f t="shared" si="12"/>
        <v>144.34895168064907</v>
      </c>
      <c r="I67" s="300">
        <f t="shared" si="12"/>
        <v>140.16799693788053</v>
      </c>
      <c r="J67" s="300">
        <f t="shared" si="12"/>
        <v>138.11611508954809</v>
      </c>
      <c r="K67" s="300">
        <f t="shared" si="12"/>
        <v>137.95522673980284</v>
      </c>
      <c r="L67" s="300">
        <f t="shared" si="13"/>
        <v>137.75739322599071</v>
      </c>
      <c r="M67" s="300">
        <f t="shared" si="14"/>
        <v>137.7180117819303</v>
      </c>
      <c r="N67" s="300">
        <f t="shared" si="15"/>
        <v>137.86559247521916</v>
      </c>
    </row>
    <row r="68" spans="1:14">
      <c r="B68" s="331" t="str">
        <f t="shared" si="8"/>
        <v>65 plus</v>
      </c>
      <c r="C68" s="300">
        <f t="shared" si="10"/>
        <v>31.396400072029149</v>
      </c>
      <c r="D68" s="300">
        <f t="shared" si="12"/>
        <v>47.771977738416972</v>
      </c>
      <c r="E68" s="300">
        <f t="shared" si="12"/>
        <v>57.835959590225606</v>
      </c>
      <c r="F68" s="300">
        <f t="shared" si="12"/>
        <v>62.885379629411723</v>
      </c>
      <c r="G68" s="300">
        <f t="shared" si="12"/>
        <v>64.855112231437019</v>
      </c>
      <c r="H68" s="300">
        <f t="shared" si="12"/>
        <v>65.067395165253146</v>
      </c>
      <c r="I68" s="300">
        <f t="shared" si="12"/>
        <v>64.523568718235737</v>
      </c>
      <c r="J68" s="300">
        <f t="shared" si="12"/>
        <v>63.856271304333809</v>
      </c>
      <c r="K68" s="300">
        <f t="shared" si="12"/>
        <v>63.461088937619841</v>
      </c>
      <c r="L68" s="300">
        <f t="shared" si="13"/>
        <v>63.045387667683613</v>
      </c>
      <c r="M68" s="300">
        <f t="shared" si="14"/>
        <v>62.680923146563934</v>
      </c>
      <c r="N68" s="300">
        <f t="shared" si="15"/>
        <v>62.409274982843492</v>
      </c>
    </row>
    <row r="69" spans="1:14">
      <c r="B69" s="331" t="str">
        <f t="shared" si="8"/>
        <v>Total</v>
      </c>
      <c r="C69" s="300">
        <f t="shared" si="10"/>
        <v>9107.9000233383231</v>
      </c>
      <c r="D69" s="300">
        <f t="shared" si="12"/>
        <v>8860.5150915033846</v>
      </c>
      <c r="E69" s="300">
        <f t="shared" si="12"/>
        <v>8685.3298134363085</v>
      </c>
      <c r="F69" s="300">
        <f t="shared" si="12"/>
        <v>8578.1008763183236</v>
      </c>
      <c r="G69" s="300">
        <f t="shared" si="12"/>
        <v>8552.2368194779283</v>
      </c>
      <c r="H69" s="300">
        <f t="shared" si="12"/>
        <v>8555.131300781446</v>
      </c>
      <c r="I69" s="300">
        <f t="shared" si="12"/>
        <v>8591.8081317121123</v>
      </c>
      <c r="J69" s="300">
        <f t="shared" si="12"/>
        <v>8667.4929965921983</v>
      </c>
      <c r="K69" s="300">
        <f t="shared" si="12"/>
        <v>8793.6416085246365</v>
      </c>
      <c r="L69" s="300">
        <f t="shared" si="13"/>
        <v>8876.9815874329051</v>
      </c>
      <c r="M69" s="300">
        <f t="shared" si="14"/>
        <v>8936.1732304880024</v>
      </c>
      <c r="N69" s="300">
        <f t="shared" si="15"/>
        <v>8981.9714253242346</v>
      </c>
    </row>
    <row r="70" spans="1:14">
      <c r="A70" s="302">
        <f>SUM(C70:N70)</f>
        <v>0</v>
      </c>
      <c r="C70" s="302">
        <f>SUM(C59:C68)-C69</f>
        <v>0</v>
      </c>
      <c r="D70" s="302">
        <f t="shared" ref="D70:N70" si="16">SUM(D59:D68)-D69</f>
        <v>0</v>
      </c>
      <c r="E70" s="302">
        <f t="shared" si="16"/>
        <v>0</v>
      </c>
      <c r="F70" s="302">
        <f t="shared" si="16"/>
        <v>0</v>
      </c>
      <c r="G70" s="302">
        <f t="shared" si="16"/>
        <v>0</v>
      </c>
      <c r="H70" s="302">
        <f t="shared" si="16"/>
        <v>0</v>
      </c>
      <c r="I70" s="302">
        <f t="shared" si="16"/>
        <v>0</v>
      </c>
      <c r="J70" s="302">
        <f t="shared" si="16"/>
        <v>0</v>
      </c>
      <c r="K70" s="302">
        <f t="shared" si="16"/>
        <v>0</v>
      </c>
      <c r="L70" s="302">
        <f t="shared" si="16"/>
        <v>0</v>
      </c>
      <c r="M70" s="302">
        <f t="shared" si="16"/>
        <v>0</v>
      </c>
      <c r="N70" s="302">
        <f t="shared" si="16"/>
        <v>0</v>
      </c>
    </row>
    <row r="72" spans="1:14" ht="15.75">
      <c r="B72" s="333" t="s">
        <v>163</v>
      </c>
      <c r="H72" s="318"/>
    </row>
    <row r="73" spans="1:14">
      <c r="H73" s="318"/>
    </row>
    <row r="74" spans="1:14">
      <c r="B74" s="334" t="s">
        <v>46</v>
      </c>
      <c r="C74" s="256" t="s">
        <v>456</v>
      </c>
      <c r="H74" s="318"/>
    </row>
    <row r="75" spans="1:14">
      <c r="H75" s="318"/>
    </row>
    <row r="76" spans="1:14">
      <c r="B76" s="331" t="str">
        <f t="shared" ref="B76:B87" si="17">B42</f>
        <v>Age group</v>
      </c>
      <c r="C76" s="331" t="str">
        <f t="shared" ref="C76:N76" si="18">C42</f>
        <v>2017/18</v>
      </c>
      <c r="D76" s="331" t="str">
        <f t="shared" si="18"/>
        <v>2018/19</v>
      </c>
      <c r="E76" s="331" t="str">
        <f t="shared" si="18"/>
        <v>2019/20</v>
      </c>
      <c r="F76" s="331" t="str">
        <f t="shared" si="18"/>
        <v>2020/21</v>
      </c>
      <c r="G76" s="331" t="str">
        <f t="shared" si="18"/>
        <v>2021/22</v>
      </c>
      <c r="H76" s="331" t="str">
        <f t="shared" si="18"/>
        <v>2022/23</v>
      </c>
      <c r="I76" s="331" t="str">
        <f t="shared" si="18"/>
        <v>2023/24</v>
      </c>
      <c r="J76" s="331" t="str">
        <f t="shared" si="18"/>
        <v>2024/25</v>
      </c>
      <c r="K76" s="331" t="str">
        <f t="shared" si="18"/>
        <v>2025/26</v>
      </c>
      <c r="L76" s="331" t="str">
        <f t="shared" si="18"/>
        <v>2026/27</v>
      </c>
      <c r="M76" s="331" t="str">
        <f t="shared" si="18"/>
        <v>2027/28</v>
      </c>
      <c r="N76" s="331" t="str">
        <f t="shared" si="18"/>
        <v>2028/29</v>
      </c>
    </row>
    <row r="77" spans="1:14">
      <c r="B77" s="331" t="str">
        <f t="shared" si="17"/>
        <v>20-24</v>
      </c>
      <c r="C77" s="447">
        <f>C43-(0.2*C43)</f>
        <v>89.519930856345255</v>
      </c>
      <c r="D77" s="447">
        <f>D43-(0.2*D43)</f>
        <v>142.71896110256534</v>
      </c>
      <c r="E77" s="447">
        <f t="shared" ref="E77:N77" si="19">E43-(0.2*E43)</f>
        <v>185.35722284116616</v>
      </c>
      <c r="F77" s="447">
        <f t="shared" si="19"/>
        <v>220.89193710299705</v>
      </c>
      <c r="G77" s="447">
        <f t="shared" si="19"/>
        <v>254.39649396846818</v>
      </c>
      <c r="H77" s="447">
        <f t="shared" si="19"/>
        <v>280.5345174900965</v>
      </c>
      <c r="I77" s="447">
        <f t="shared" si="19"/>
        <v>302.45506143157388</v>
      </c>
      <c r="J77" s="447">
        <f t="shared" si="19"/>
        <v>322.43634132106934</v>
      </c>
      <c r="K77" s="447">
        <f t="shared" si="19"/>
        <v>342.79014542264315</v>
      </c>
      <c r="L77" s="447">
        <f t="shared" si="19"/>
        <v>353.98587368746007</v>
      </c>
      <c r="M77" s="447">
        <f t="shared" si="19"/>
        <v>360.23342918782777</v>
      </c>
      <c r="N77" s="447">
        <f t="shared" si="19"/>
        <v>363.86952631818548</v>
      </c>
    </row>
    <row r="78" spans="1:14">
      <c r="B78" s="331" t="str">
        <f t="shared" si="17"/>
        <v>25-29</v>
      </c>
      <c r="C78" s="447">
        <f t="shared" ref="C78:C85" si="20">C44+(0.2*C43)-(0.2*C44)</f>
        <v>438.81037123361807</v>
      </c>
      <c r="D78" s="447">
        <f t="shared" ref="D78:N78" si="21">D44+(0.2*D43)-(0.2*D44)</f>
        <v>434.46144558099081</v>
      </c>
      <c r="E78" s="447">
        <f t="shared" si="21"/>
        <v>448.06535349436251</v>
      </c>
      <c r="F78" s="447">
        <f t="shared" si="21"/>
        <v>471.80857338867116</v>
      </c>
      <c r="G78" s="447">
        <f t="shared" si="21"/>
        <v>506.35310924616681</v>
      </c>
      <c r="H78" s="447">
        <f t="shared" si="21"/>
        <v>540.52012479359735</v>
      </c>
      <c r="I78" s="447">
        <f t="shared" si="21"/>
        <v>574.34701856267043</v>
      </c>
      <c r="J78" s="447">
        <f t="shared" si="21"/>
        <v>608.49340227296102</v>
      </c>
      <c r="K78" s="447">
        <f t="shared" si="21"/>
        <v>644.73798385176747</v>
      </c>
      <c r="L78" s="447">
        <f t="shared" si="21"/>
        <v>670.59694600851674</v>
      </c>
      <c r="M78" s="447">
        <f t="shared" si="21"/>
        <v>689.22451766836195</v>
      </c>
      <c r="N78" s="447">
        <f t="shared" si="21"/>
        <v>702.8502847630333</v>
      </c>
    </row>
    <row r="79" spans="1:14">
      <c r="B79" s="331" t="str">
        <f t="shared" si="17"/>
        <v>30-34</v>
      </c>
      <c r="C79" s="447">
        <f t="shared" si="20"/>
        <v>755.59954123030468</v>
      </c>
      <c r="D79" s="447">
        <f t="shared" ref="D79:N79" si="22">D45+(0.2*D44)-(0.2*D45)</f>
        <v>701.48526765288238</v>
      </c>
      <c r="E79" s="447">
        <f t="shared" si="22"/>
        <v>665.88256365841198</v>
      </c>
      <c r="F79" s="447">
        <f t="shared" si="22"/>
        <v>644.8044981715941</v>
      </c>
      <c r="G79" s="447">
        <f t="shared" si="22"/>
        <v>640.50983493746526</v>
      </c>
      <c r="H79" s="447">
        <f t="shared" si="22"/>
        <v>645.51850945621914</v>
      </c>
      <c r="I79" s="447">
        <f t="shared" si="22"/>
        <v>658.11710005929137</v>
      </c>
      <c r="J79" s="447">
        <f t="shared" si="22"/>
        <v>677.08477096571801</v>
      </c>
      <c r="K79" s="447">
        <f t="shared" si="22"/>
        <v>702.1725735925113</v>
      </c>
      <c r="L79" s="447">
        <f t="shared" si="22"/>
        <v>725.01330956861352</v>
      </c>
      <c r="M79" s="447">
        <f t="shared" si="22"/>
        <v>745.44327233967124</v>
      </c>
      <c r="N79" s="447">
        <f t="shared" si="22"/>
        <v>763.43440289623391</v>
      </c>
    </row>
    <row r="80" spans="1:14">
      <c r="B80" s="331" t="str">
        <f t="shared" si="17"/>
        <v>35-39</v>
      </c>
      <c r="C80" s="447">
        <f t="shared" si="20"/>
        <v>805.66189055114455</v>
      </c>
      <c r="D80" s="447">
        <f t="shared" ref="D80:N80" si="23">D46+(0.2*D45)-(0.2*D46)</f>
        <v>778.94185012319144</v>
      </c>
      <c r="E80" s="447">
        <f t="shared" si="23"/>
        <v>753.41057752866743</v>
      </c>
      <c r="F80" s="447">
        <f t="shared" si="23"/>
        <v>728.96210492263958</v>
      </c>
      <c r="G80" s="447">
        <f t="shared" si="23"/>
        <v>711.95335499231567</v>
      </c>
      <c r="H80" s="447">
        <f t="shared" si="23"/>
        <v>699.79475593733127</v>
      </c>
      <c r="I80" s="447">
        <f t="shared" si="23"/>
        <v>693.46162622525935</v>
      </c>
      <c r="J80" s="447">
        <f t="shared" si="23"/>
        <v>693.39176990100702</v>
      </c>
      <c r="K80" s="447">
        <f t="shared" si="23"/>
        <v>700.04110152909311</v>
      </c>
      <c r="L80" s="447">
        <f t="shared" si="23"/>
        <v>708.07206923965191</v>
      </c>
      <c r="M80" s="447">
        <f t="shared" si="23"/>
        <v>717.4685161159</v>
      </c>
      <c r="N80" s="447">
        <f t="shared" si="23"/>
        <v>727.87183457530136</v>
      </c>
    </row>
    <row r="81" spans="1:15">
      <c r="B81" s="331" t="str">
        <f t="shared" si="17"/>
        <v>40-44</v>
      </c>
      <c r="C81" s="447">
        <f t="shared" si="20"/>
        <v>736.42527215248504</v>
      </c>
      <c r="D81" s="447">
        <f t="shared" ref="D81:N81" si="24">D47+(0.2*D46)-(0.2*D47)</f>
        <v>725.22218065942945</v>
      </c>
      <c r="E81" s="447">
        <f t="shared" si="24"/>
        <v>716.05108438569084</v>
      </c>
      <c r="F81" s="447">
        <f t="shared" si="24"/>
        <v>705.07526256851565</v>
      </c>
      <c r="G81" s="447">
        <f t="shared" si="24"/>
        <v>696.89658536892341</v>
      </c>
      <c r="H81" s="447">
        <f t="shared" si="24"/>
        <v>688.77447208706371</v>
      </c>
      <c r="I81" s="447">
        <f t="shared" si="24"/>
        <v>682.00139014723709</v>
      </c>
      <c r="J81" s="447">
        <f t="shared" si="24"/>
        <v>677.73756258755134</v>
      </c>
      <c r="K81" s="447">
        <f t="shared" si="24"/>
        <v>677.2167527653944</v>
      </c>
      <c r="L81" s="447">
        <f t="shared" si="24"/>
        <v>676.75674252310807</v>
      </c>
      <c r="M81" s="447">
        <f t="shared" si="24"/>
        <v>677.22629527914353</v>
      </c>
      <c r="N81" s="447">
        <f t="shared" si="24"/>
        <v>679.00041079890673</v>
      </c>
    </row>
    <row r="82" spans="1:15">
      <c r="B82" s="331" t="str">
        <f t="shared" si="17"/>
        <v>45-49</v>
      </c>
      <c r="C82" s="447">
        <f t="shared" si="20"/>
        <v>684.59274572577715</v>
      </c>
      <c r="D82" s="447">
        <f t="shared" ref="D82:N82" si="25">D48+(0.2*D47)-(0.2*D48)</f>
        <v>662.89945654747612</v>
      </c>
      <c r="E82" s="447">
        <f t="shared" si="25"/>
        <v>648.65738191557466</v>
      </c>
      <c r="F82" s="447">
        <f t="shared" si="25"/>
        <v>636.6282262852942</v>
      </c>
      <c r="G82" s="447">
        <f t="shared" si="25"/>
        <v>629.63490587187687</v>
      </c>
      <c r="H82" s="447">
        <f t="shared" si="25"/>
        <v>623.88715829333398</v>
      </c>
      <c r="I82" s="447">
        <f t="shared" si="25"/>
        <v>619.39284498512359</v>
      </c>
      <c r="J82" s="447">
        <f t="shared" si="25"/>
        <v>616.41712616787709</v>
      </c>
      <c r="K82" s="447">
        <f t="shared" si="25"/>
        <v>615.61069918555563</v>
      </c>
      <c r="L82" s="447">
        <f t="shared" si="25"/>
        <v>613.85126104683457</v>
      </c>
      <c r="M82" s="447">
        <f t="shared" si="25"/>
        <v>611.91944345119691</v>
      </c>
      <c r="N82" s="447">
        <f t="shared" si="25"/>
        <v>610.33166907693726</v>
      </c>
    </row>
    <row r="83" spans="1:15">
      <c r="B83" s="331" t="str">
        <f t="shared" si="17"/>
        <v>50-54</v>
      </c>
      <c r="C83" s="447">
        <f t="shared" si="20"/>
        <v>571.44905818749328</v>
      </c>
      <c r="D83" s="447">
        <f t="shared" ref="D83:N83" si="26">D49+(0.2*D48)-(0.2*D49)</f>
        <v>550.2331351013944</v>
      </c>
      <c r="E83" s="447">
        <f t="shared" si="26"/>
        <v>534.24696512937112</v>
      </c>
      <c r="F83" s="447">
        <f t="shared" si="26"/>
        <v>520.15176405752413</v>
      </c>
      <c r="G83" s="447">
        <f t="shared" si="26"/>
        <v>510.96018493181032</v>
      </c>
      <c r="H83" s="447">
        <f t="shared" si="26"/>
        <v>503.82553758101602</v>
      </c>
      <c r="I83" s="447">
        <f t="shared" si="26"/>
        <v>498.6283456089061</v>
      </c>
      <c r="J83" s="447">
        <f t="shared" si="26"/>
        <v>495.30131719892819</v>
      </c>
      <c r="K83" s="447">
        <f t="shared" si="26"/>
        <v>494.02890720806511</v>
      </c>
      <c r="L83" s="447">
        <f t="shared" si="26"/>
        <v>492.16710108832149</v>
      </c>
      <c r="M83" s="447">
        <f t="shared" si="26"/>
        <v>490.10151815405777</v>
      </c>
      <c r="N83" s="447">
        <f t="shared" si="26"/>
        <v>488.08590571449093</v>
      </c>
    </row>
    <row r="84" spans="1:15">
      <c r="B84" s="331" t="str">
        <f t="shared" si="17"/>
        <v>55-59</v>
      </c>
      <c r="C84" s="447">
        <f t="shared" si="20"/>
        <v>417.94421981640016</v>
      </c>
      <c r="D84" s="447">
        <f t="shared" ref="D84:N84" si="27">D50+(0.2*D49)-(0.2*D50)</f>
        <v>366.57515953871984</v>
      </c>
      <c r="E84" s="447">
        <f t="shared" si="27"/>
        <v>333.61070390320174</v>
      </c>
      <c r="F84" s="447">
        <f t="shared" si="27"/>
        <v>311.12885055720585</v>
      </c>
      <c r="G84" s="447">
        <f t="shared" si="27"/>
        <v>296.92768686116773</v>
      </c>
      <c r="H84" s="447">
        <f t="shared" si="27"/>
        <v>287.18567197600538</v>
      </c>
      <c r="I84" s="447">
        <f t="shared" si="27"/>
        <v>280.66388234624452</v>
      </c>
      <c r="J84" s="447">
        <f t="shared" si="27"/>
        <v>276.60531897198672</v>
      </c>
      <c r="K84" s="447">
        <f t="shared" si="27"/>
        <v>274.66523874015758</v>
      </c>
      <c r="L84" s="447">
        <f t="shared" si="27"/>
        <v>272.72532262816941</v>
      </c>
      <c r="M84" s="447">
        <f t="shared" si="27"/>
        <v>270.94189850857896</v>
      </c>
      <c r="N84" s="447">
        <f t="shared" si="27"/>
        <v>269.36841713614189</v>
      </c>
    </row>
    <row r="85" spans="1:15">
      <c r="B85" s="331" t="str">
        <f t="shared" si="17"/>
        <v>60-64</v>
      </c>
      <c r="C85" s="447">
        <f t="shared" si="20"/>
        <v>197.86697100111263</v>
      </c>
      <c r="D85" s="447">
        <f t="shared" ref="D85:N85" si="28">D51+(0.2*D50)-(0.2*D51)</f>
        <v>171.70134116380521</v>
      </c>
      <c r="E85" s="447">
        <f t="shared" si="28"/>
        <v>151.44905193542598</v>
      </c>
      <c r="F85" s="447">
        <f t="shared" si="28"/>
        <v>136.31282628756307</v>
      </c>
      <c r="G85" s="447">
        <f t="shared" si="28"/>
        <v>126.13829515496016</v>
      </c>
      <c r="H85" s="447">
        <f t="shared" si="28"/>
        <v>119.03156626235867</v>
      </c>
      <c r="I85" s="447">
        <f t="shared" si="28"/>
        <v>114.26035052604277</v>
      </c>
      <c r="J85" s="447">
        <f t="shared" si="28"/>
        <v>111.26881966429779</v>
      </c>
      <c r="K85" s="447">
        <f t="shared" si="28"/>
        <v>109.72588249617874</v>
      </c>
      <c r="L85" s="447">
        <f t="shared" si="28"/>
        <v>108.34428832391161</v>
      </c>
      <c r="M85" s="447">
        <f t="shared" si="28"/>
        <v>107.18843408206104</v>
      </c>
      <c r="N85" s="447">
        <f t="shared" si="28"/>
        <v>106.25501273362943</v>
      </c>
    </row>
    <row r="86" spans="1:15">
      <c r="B86" s="331" t="str">
        <f t="shared" si="17"/>
        <v>65 plus</v>
      </c>
      <c r="C86" s="447">
        <f>C52+(0.2*C51)</f>
        <v>74.004253010692125</v>
      </c>
      <c r="D86" s="447">
        <f t="shared" ref="D86:N86" si="29">D52+(0.2*D51)</f>
        <v>72.944843602263575</v>
      </c>
      <c r="E86" s="447">
        <f t="shared" si="29"/>
        <v>69.464811448006571</v>
      </c>
      <c r="F86" s="447">
        <f t="shared" si="29"/>
        <v>64.719848222078767</v>
      </c>
      <c r="G86" s="447">
        <f t="shared" si="29"/>
        <v>60.402717494595862</v>
      </c>
      <c r="H86" s="447">
        <f t="shared" si="29"/>
        <v>56.602512019665085</v>
      </c>
      <c r="I86" s="447">
        <f t="shared" si="29"/>
        <v>53.545297741917565</v>
      </c>
      <c r="J86" s="447">
        <f t="shared" si="29"/>
        <v>51.275926081048752</v>
      </c>
      <c r="K86" s="447">
        <f t="shared" si="29"/>
        <v>49.778666610500721</v>
      </c>
      <c r="L86" s="447">
        <f t="shared" si="29"/>
        <v>48.553700289206752</v>
      </c>
      <c r="M86" s="447">
        <f t="shared" si="29"/>
        <v>47.573516146162753</v>
      </c>
      <c r="N86" s="447">
        <f t="shared" si="29"/>
        <v>46.804639458154199</v>
      </c>
    </row>
    <row r="87" spans="1:15">
      <c r="B87" s="331" t="str">
        <f t="shared" si="17"/>
        <v>Total</v>
      </c>
      <c r="C87" s="447">
        <f>SUM(C77:C86)</f>
        <v>4771.8742537653734</v>
      </c>
      <c r="D87" s="447">
        <f t="shared" ref="D87:N87" si="30">SUM(D77:D86)</f>
        <v>4607.1836410727192</v>
      </c>
      <c r="E87" s="447">
        <f t="shared" si="30"/>
        <v>4506.1957162398785</v>
      </c>
      <c r="F87" s="447">
        <f t="shared" si="30"/>
        <v>4440.483891564083</v>
      </c>
      <c r="G87" s="447">
        <f t="shared" si="30"/>
        <v>4434.1731688277505</v>
      </c>
      <c r="H87" s="447">
        <f t="shared" si="30"/>
        <v>4445.6748258966873</v>
      </c>
      <c r="I87" s="447">
        <f t="shared" si="30"/>
        <v>4476.8729176342667</v>
      </c>
      <c r="J87" s="447">
        <f t="shared" si="30"/>
        <v>4530.0123551324459</v>
      </c>
      <c r="K87" s="447">
        <f t="shared" si="30"/>
        <v>4610.7679514018673</v>
      </c>
      <c r="L87" s="447">
        <f t="shared" si="30"/>
        <v>4670.0666144037941</v>
      </c>
      <c r="M87" s="447">
        <f t="shared" si="30"/>
        <v>4717.3208409329609</v>
      </c>
      <c r="N87" s="447">
        <f t="shared" si="30"/>
        <v>4757.8721034710143</v>
      </c>
    </row>
    <row r="88" spans="1:15">
      <c r="A88" s="302">
        <f>SUM(C88:N88)</f>
        <v>0</v>
      </c>
      <c r="C88" s="302">
        <f>SUM(C77:C86)-C87</f>
        <v>0</v>
      </c>
      <c r="D88" s="302">
        <f t="shared" ref="D88:N88" si="31">SUM(D77:D86)-D87</f>
        <v>0</v>
      </c>
      <c r="E88" s="302">
        <f t="shared" si="31"/>
        <v>0</v>
      </c>
      <c r="F88" s="302">
        <f t="shared" si="31"/>
        <v>0</v>
      </c>
      <c r="G88" s="302">
        <f t="shared" si="31"/>
        <v>0</v>
      </c>
      <c r="H88" s="302">
        <f t="shared" si="31"/>
        <v>0</v>
      </c>
      <c r="I88" s="302">
        <f t="shared" si="31"/>
        <v>0</v>
      </c>
      <c r="J88" s="302">
        <f t="shared" si="31"/>
        <v>0</v>
      </c>
      <c r="K88" s="302">
        <f t="shared" si="31"/>
        <v>0</v>
      </c>
      <c r="L88" s="302">
        <f t="shared" si="31"/>
        <v>0</v>
      </c>
      <c r="M88" s="302">
        <f t="shared" si="31"/>
        <v>0</v>
      </c>
      <c r="N88" s="302">
        <f t="shared" si="31"/>
        <v>0</v>
      </c>
    </row>
    <row r="90" spans="1:15">
      <c r="B90" s="334" t="s">
        <v>47</v>
      </c>
      <c r="H90" s="318"/>
    </row>
    <row r="91" spans="1:15">
      <c r="H91" s="318"/>
    </row>
    <row r="92" spans="1:15">
      <c r="B92" s="331" t="str">
        <f t="shared" ref="B92:B103" si="32">B76</f>
        <v>Age group</v>
      </c>
      <c r="C92" s="331" t="str">
        <f t="shared" ref="C92:N92" si="33">C76</f>
        <v>2017/18</v>
      </c>
      <c r="D92" s="331" t="str">
        <f t="shared" si="33"/>
        <v>2018/19</v>
      </c>
      <c r="E92" s="331" t="str">
        <f t="shared" si="33"/>
        <v>2019/20</v>
      </c>
      <c r="F92" s="331" t="str">
        <f t="shared" si="33"/>
        <v>2020/21</v>
      </c>
      <c r="G92" s="331" t="str">
        <f t="shared" si="33"/>
        <v>2021/22</v>
      </c>
      <c r="H92" s="331" t="str">
        <f t="shared" si="33"/>
        <v>2022/23</v>
      </c>
      <c r="I92" s="331" t="str">
        <f t="shared" si="33"/>
        <v>2023/24</v>
      </c>
      <c r="J92" s="331" t="str">
        <f t="shared" si="33"/>
        <v>2024/25</v>
      </c>
      <c r="K92" s="331" t="str">
        <f t="shared" si="33"/>
        <v>2025/26</v>
      </c>
      <c r="L92" s="331" t="str">
        <f t="shared" si="33"/>
        <v>2026/27</v>
      </c>
      <c r="M92" s="331" t="str">
        <f t="shared" si="33"/>
        <v>2027/28</v>
      </c>
      <c r="N92" s="331" t="str">
        <f t="shared" si="33"/>
        <v>2028/29</v>
      </c>
    </row>
    <row r="93" spans="1:15">
      <c r="B93" s="331" t="str">
        <f t="shared" si="32"/>
        <v>20-24</v>
      </c>
      <c r="C93" s="447">
        <f>C59-(0.2*C59)</f>
        <v>291.71994090027948</v>
      </c>
      <c r="D93" s="447">
        <f t="shared" ref="D93:N93" si="34">D59-(0.2*D59)</f>
        <v>358.58682426014173</v>
      </c>
      <c r="E93" s="447">
        <f t="shared" si="34"/>
        <v>414.80877701181714</v>
      </c>
      <c r="F93" s="447">
        <f t="shared" si="34"/>
        <v>465.51958582872902</v>
      </c>
      <c r="G93" s="447">
        <f t="shared" si="34"/>
        <v>516.23903313904293</v>
      </c>
      <c r="H93" s="447">
        <f t="shared" si="34"/>
        <v>556.79122799955712</v>
      </c>
      <c r="I93" s="447">
        <f t="shared" si="34"/>
        <v>592.0387722090403</v>
      </c>
      <c r="J93" s="447">
        <f t="shared" si="34"/>
        <v>625.5196884796394</v>
      </c>
      <c r="K93" s="447">
        <f t="shared" si="34"/>
        <v>661.07431935939883</v>
      </c>
      <c r="L93" s="447">
        <f t="shared" si="34"/>
        <v>680.10742274105644</v>
      </c>
      <c r="M93" s="447">
        <f t="shared" si="34"/>
        <v>690.37857361491547</v>
      </c>
      <c r="N93" s="447">
        <f t="shared" si="34"/>
        <v>696.14993798696833</v>
      </c>
      <c r="O93" s="320"/>
    </row>
    <row r="94" spans="1:15">
      <c r="B94" s="331" t="str">
        <f t="shared" si="32"/>
        <v>25-29</v>
      </c>
      <c r="C94" s="447">
        <f t="shared" ref="C94:C101" si="35">C60+(0.2*C59)-(0.2*C60)</f>
        <v>1197.1546010793527</v>
      </c>
      <c r="D94" s="447">
        <f t="shared" ref="D94:N94" si="36">D60+(0.2*D59)-(0.2*D60)</f>
        <v>1113.7329985292047</v>
      </c>
      <c r="E94" s="447">
        <f t="shared" si="36"/>
        <v>1076.187495062374</v>
      </c>
      <c r="F94" s="447">
        <f t="shared" si="36"/>
        <v>1072.1996342737</v>
      </c>
      <c r="G94" s="447">
        <f t="shared" si="36"/>
        <v>1096.8265188686073</v>
      </c>
      <c r="H94" s="447">
        <f t="shared" si="36"/>
        <v>1129.7443920530679</v>
      </c>
      <c r="I94" s="447">
        <f t="shared" si="36"/>
        <v>1169.2145190529104</v>
      </c>
      <c r="J94" s="447">
        <f t="shared" si="36"/>
        <v>1214.9847341204666</v>
      </c>
      <c r="K94" s="447">
        <f t="shared" si="36"/>
        <v>1269.2126798394388</v>
      </c>
      <c r="L94" s="447">
        <f t="shared" si="36"/>
        <v>1307.0701534252657</v>
      </c>
      <c r="M94" s="447">
        <f t="shared" si="36"/>
        <v>1333.8221492321975</v>
      </c>
      <c r="N94" s="447">
        <f t="shared" si="36"/>
        <v>1353.1193695446236</v>
      </c>
      <c r="O94" s="320"/>
    </row>
    <row r="95" spans="1:15">
      <c r="B95" s="331" t="str">
        <f t="shared" si="32"/>
        <v>30-34</v>
      </c>
      <c r="C95" s="447">
        <f t="shared" si="35"/>
        <v>1740.2591653456839</v>
      </c>
      <c r="D95" s="447">
        <f t="shared" ref="D95:N95" si="37">D61+(0.2*D60)-(0.2*D61)</f>
        <v>1613.6887995138152</v>
      </c>
      <c r="E95" s="447">
        <f t="shared" si="37"/>
        <v>1511.7862968347422</v>
      </c>
      <c r="F95" s="447">
        <f t="shared" si="37"/>
        <v>1436.966082668227</v>
      </c>
      <c r="G95" s="447">
        <f t="shared" si="37"/>
        <v>1391.6862545767422</v>
      </c>
      <c r="H95" s="447">
        <f t="shared" si="37"/>
        <v>1366.6404388153883</v>
      </c>
      <c r="I95" s="447">
        <f t="shared" si="37"/>
        <v>1359.3423789152841</v>
      </c>
      <c r="J95" s="447">
        <f t="shared" si="37"/>
        <v>1367.7439020655615</v>
      </c>
      <c r="K95" s="447">
        <f t="shared" si="37"/>
        <v>1391.3273421552501</v>
      </c>
      <c r="L95" s="447">
        <f t="shared" si="37"/>
        <v>1413.8713799011277</v>
      </c>
      <c r="M95" s="447">
        <f t="shared" si="37"/>
        <v>1434.873730021774</v>
      </c>
      <c r="N95" s="447">
        <f t="shared" si="37"/>
        <v>1454.0060053246218</v>
      </c>
      <c r="O95" s="320"/>
    </row>
    <row r="96" spans="1:15">
      <c r="B96" s="331" t="str">
        <f t="shared" si="32"/>
        <v>35-39</v>
      </c>
      <c r="C96" s="447">
        <f t="shared" si="35"/>
        <v>1650.6599461344617</v>
      </c>
      <c r="D96" s="447">
        <f t="shared" ref="D96:N96" si="38">D62+(0.2*D61)-(0.2*D62)</f>
        <v>1613.638362709532</v>
      </c>
      <c r="E96" s="447">
        <f t="shared" si="38"/>
        <v>1567.0563794038105</v>
      </c>
      <c r="F96" s="447">
        <f t="shared" si="38"/>
        <v>1517.8441351534671</v>
      </c>
      <c r="G96" s="447">
        <f t="shared" si="38"/>
        <v>1474.2083811077237</v>
      </c>
      <c r="H96" s="447">
        <f t="shared" si="38"/>
        <v>1436.2989605090802</v>
      </c>
      <c r="I96" s="447">
        <f t="shared" si="38"/>
        <v>1407.2401017173283</v>
      </c>
      <c r="J96" s="447">
        <f t="shared" si="38"/>
        <v>1388.9312211930367</v>
      </c>
      <c r="K96" s="447">
        <f t="shared" si="38"/>
        <v>1383.0746725821048</v>
      </c>
      <c r="L96" s="447">
        <f t="shared" si="38"/>
        <v>1380.0801835078462</v>
      </c>
      <c r="M96" s="447">
        <f t="shared" si="38"/>
        <v>1380.4410658241015</v>
      </c>
      <c r="N96" s="447">
        <f t="shared" si="38"/>
        <v>1383.8243194779379</v>
      </c>
      <c r="O96" s="320"/>
    </row>
    <row r="97" spans="1:15">
      <c r="B97" s="331" t="str">
        <f t="shared" si="32"/>
        <v>40-44</v>
      </c>
      <c r="C97" s="447">
        <f t="shared" si="35"/>
        <v>1317.9473296098995</v>
      </c>
      <c r="D97" s="447">
        <f t="shared" ref="D97:N97" si="39">D63+(0.2*D62)-(0.2*D63)</f>
        <v>1338.3145181521647</v>
      </c>
      <c r="E97" s="447">
        <f t="shared" si="39"/>
        <v>1349.7762595640263</v>
      </c>
      <c r="F97" s="447">
        <f t="shared" si="39"/>
        <v>1352.6874551926041</v>
      </c>
      <c r="G97" s="447">
        <f t="shared" si="39"/>
        <v>1350.868284856226</v>
      </c>
      <c r="H97" s="447">
        <f t="shared" si="39"/>
        <v>1343.5603503025432</v>
      </c>
      <c r="I97" s="447">
        <f t="shared" si="39"/>
        <v>1334.0497882576233</v>
      </c>
      <c r="J97" s="447">
        <f t="shared" si="39"/>
        <v>1325.3719623591587</v>
      </c>
      <c r="K97" s="447">
        <f t="shared" si="39"/>
        <v>1320.6703746878941</v>
      </c>
      <c r="L97" s="447">
        <f t="shared" si="39"/>
        <v>1313.6388170407963</v>
      </c>
      <c r="M97" s="447">
        <f t="shared" si="39"/>
        <v>1306.6212336978415</v>
      </c>
      <c r="N97" s="447">
        <f t="shared" si="39"/>
        <v>1300.9274985597317</v>
      </c>
      <c r="O97" s="320"/>
    </row>
    <row r="98" spans="1:15">
      <c r="B98" s="331" t="str">
        <f t="shared" si="32"/>
        <v>45-49</v>
      </c>
      <c r="C98" s="447">
        <f t="shared" si="35"/>
        <v>1069.4113242066474</v>
      </c>
      <c r="D98" s="447">
        <f t="shared" ref="D98:N98" si="40">D64+(0.2*D63)-(0.2*D64)</f>
        <v>1073.4790585079077</v>
      </c>
      <c r="E98" s="447">
        <f t="shared" si="40"/>
        <v>1082.8446539301165</v>
      </c>
      <c r="F98" s="447">
        <f t="shared" si="40"/>
        <v>1094.1353765169977</v>
      </c>
      <c r="G98" s="447">
        <f t="shared" si="40"/>
        <v>1106.9174608371054</v>
      </c>
      <c r="H98" s="447">
        <f t="shared" si="40"/>
        <v>1117.5311658363255</v>
      </c>
      <c r="I98" s="447">
        <f t="shared" si="40"/>
        <v>1126.1974348613378</v>
      </c>
      <c r="J98" s="447">
        <f t="shared" si="40"/>
        <v>1133.7199732110325</v>
      </c>
      <c r="K98" s="447">
        <f t="shared" si="40"/>
        <v>1141.7024686439213</v>
      </c>
      <c r="L98" s="447">
        <f t="shared" si="40"/>
        <v>1144.5833631522412</v>
      </c>
      <c r="M98" s="447">
        <f t="shared" si="40"/>
        <v>1144.3150249946084</v>
      </c>
      <c r="N98" s="447">
        <f t="shared" si="40"/>
        <v>1142.3342932246148</v>
      </c>
      <c r="O98" s="320"/>
    </row>
    <row r="99" spans="1:15">
      <c r="B99" s="331" t="str">
        <f t="shared" si="32"/>
        <v>50-54</v>
      </c>
      <c r="C99" s="447">
        <f t="shared" si="35"/>
        <v>867.30888454427827</v>
      </c>
      <c r="D99" s="447">
        <f t="shared" ref="D99:N99" si="41">D65+(0.2*D64)-(0.2*D65)</f>
        <v>849.23051668237906</v>
      </c>
      <c r="E99" s="447">
        <f t="shared" si="41"/>
        <v>839.13558025530858</v>
      </c>
      <c r="F99" s="447">
        <f t="shared" si="41"/>
        <v>835.41259785985608</v>
      </c>
      <c r="G99" s="447">
        <f t="shared" si="41"/>
        <v>837.84843179173913</v>
      </c>
      <c r="H99" s="447">
        <f t="shared" si="41"/>
        <v>843.153520833024</v>
      </c>
      <c r="I99" s="447">
        <f t="shared" si="41"/>
        <v>850.57195021677148</v>
      </c>
      <c r="J99" s="447">
        <f t="shared" si="41"/>
        <v>859.64012694413123</v>
      </c>
      <c r="K99" s="447">
        <f t="shared" si="41"/>
        <v>870.52681136074511</v>
      </c>
      <c r="L99" s="447">
        <f t="shared" si="41"/>
        <v>878.11884979003253</v>
      </c>
      <c r="M99" s="447">
        <f t="shared" si="41"/>
        <v>883.19855386757649</v>
      </c>
      <c r="N99" s="447">
        <f t="shared" si="41"/>
        <v>886.36283400094226</v>
      </c>
      <c r="O99" s="320"/>
    </row>
    <row r="100" spans="1:15">
      <c r="B100" s="331" t="str">
        <f t="shared" si="32"/>
        <v>55-59</v>
      </c>
      <c r="C100" s="447">
        <f t="shared" si="35"/>
        <v>635.91029198454521</v>
      </c>
      <c r="D100" s="447">
        <f t="shared" ref="D100:N100" si="42">D66+(0.2*D65)-(0.2*D66)</f>
        <v>566.64625384982958</v>
      </c>
      <c r="E100" s="447">
        <f t="shared" si="42"/>
        <v>522.74761526282509</v>
      </c>
      <c r="F100" s="447">
        <f t="shared" si="42"/>
        <v>495.67381985464704</v>
      </c>
      <c r="G100" s="447">
        <f t="shared" si="42"/>
        <v>480.80735953126879</v>
      </c>
      <c r="H100" s="447">
        <f t="shared" si="42"/>
        <v>473.07952749797329</v>
      </c>
      <c r="I100" s="447">
        <f t="shared" si="42"/>
        <v>470.50555853595779</v>
      </c>
      <c r="J100" s="447">
        <f t="shared" si="42"/>
        <v>471.7698408009025</v>
      </c>
      <c r="K100" s="447">
        <f t="shared" si="42"/>
        <v>476.22876701870763</v>
      </c>
      <c r="L100" s="447">
        <f t="shared" si="42"/>
        <v>479.81312075629234</v>
      </c>
      <c r="M100" s="447">
        <f t="shared" si="42"/>
        <v>482.7834313123592</v>
      </c>
      <c r="N100" s="447">
        <f t="shared" si="42"/>
        <v>485.22750170577876</v>
      </c>
      <c r="O100" s="320"/>
    </row>
    <row r="101" spans="1:15">
      <c r="B101" s="331" t="str">
        <f t="shared" si="32"/>
        <v>60-64</v>
      </c>
      <c r="C101" s="447">
        <f t="shared" si="35"/>
        <v>268.42327352191728</v>
      </c>
      <c r="D101" s="447">
        <f t="shared" ref="D101:N101" si="43">D67+(0.2*D66)-(0.2*D67)</f>
        <v>248.61549172016365</v>
      </c>
      <c r="E101" s="447">
        <f t="shared" si="43"/>
        <v>228.74231923483194</v>
      </c>
      <c r="F101" s="447">
        <f t="shared" si="43"/>
        <v>212.76282426382937</v>
      </c>
      <c r="G101" s="447">
        <f t="shared" si="43"/>
        <v>201.7867912802927</v>
      </c>
      <c r="H101" s="447">
        <f t="shared" si="43"/>
        <v>194.394531433103</v>
      </c>
      <c r="I101" s="447">
        <f t="shared" si="43"/>
        <v>190.09045984004686</v>
      </c>
      <c r="J101" s="447">
        <f t="shared" si="43"/>
        <v>188.33205309602639</v>
      </c>
      <c r="K101" s="447">
        <f t="shared" si="43"/>
        <v>188.77203859159411</v>
      </c>
      <c r="L101" s="447">
        <f t="shared" si="43"/>
        <v>189.10143080536557</v>
      </c>
      <c r="M101" s="447">
        <f t="shared" si="43"/>
        <v>189.51494241967939</v>
      </c>
      <c r="N101" s="447">
        <f t="shared" si="43"/>
        <v>190.03727202112867</v>
      </c>
      <c r="O101" s="320"/>
    </row>
    <row r="102" spans="1:15">
      <c r="B102" s="331" t="str">
        <f t="shared" si="32"/>
        <v>65 plus</v>
      </c>
      <c r="C102" s="447">
        <f>C68+(0.2*C67)</f>
        <v>69.105266011257115</v>
      </c>
      <c r="D102" s="447">
        <f t="shared" ref="D102:N102" si="44">D68+(0.2*D67)</f>
        <v>84.582267578244981</v>
      </c>
      <c r="E102" s="447">
        <f t="shared" si="44"/>
        <v>92.244436876456803</v>
      </c>
      <c r="F102" s="447">
        <f t="shared" si="44"/>
        <v>94.89936470626742</v>
      </c>
      <c r="G102" s="447">
        <f t="shared" si="44"/>
        <v>95.04830348918054</v>
      </c>
      <c r="H102" s="447">
        <f t="shared" si="44"/>
        <v>93.937185501382956</v>
      </c>
      <c r="I102" s="447">
        <f t="shared" si="44"/>
        <v>92.55716810581184</v>
      </c>
      <c r="J102" s="447">
        <f t="shared" si="44"/>
        <v>91.479494322243426</v>
      </c>
      <c r="K102" s="447">
        <f t="shared" si="44"/>
        <v>91.052134285580408</v>
      </c>
      <c r="L102" s="447">
        <f t="shared" si="44"/>
        <v>90.596866312881758</v>
      </c>
      <c r="M102" s="447">
        <f t="shared" si="44"/>
        <v>90.224525502950002</v>
      </c>
      <c r="N102" s="447">
        <f t="shared" si="44"/>
        <v>89.982393477887328</v>
      </c>
      <c r="O102" s="320"/>
    </row>
    <row r="103" spans="1:15">
      <c r="B103" s="331" t="str">
        <f t="shared" si="32"/>
        <v>Total</v>
      </c>
      <c r="C103" s="447">
        <f>SUM(C93:C102)</f>
        <v>9107.9000233383213</v>
      </c>
      <c r="D103" s="447">
        <f t="shared" ref="D103:N103" si="45">SUM(D93:D102)</f>
        <v>8860.5150915033828</v>
      </c>
      <c r="E103" s="447">
        <f t="shared" si="45"/>
        <v>8685.3298134363104</v>
      </c>
      <c r="F103" s="447">
        <f t="shared" si="45"/>
        <v>8578.1008763183236</v>
      </c>
      <c r="G103" s="447">
        <f t="shared" si="45"/>
        <v>8552.2368194779283</v>
      </c>
      <c r="H103" s="447">
        <f t="shared" si="45"/>
        <v>8555.131300781446</v>
      </c>
      <c r="I103" s="447">
        <f t="shared" si="45"/>
        <v>8591.8081317121105</v>
      </c>
      <c r="J103" s="447">
        <f t="shared" si="45"/>
        <v>8667.4929965922001</v>
      </c>
      <c r="K103" s="447">
        <f t="shared" si="45"/>
        <v>8793.6416085246346</v>
      </c>
      <c r="L103" s="447">
        <f t="shared" si="45"/>
        <v>8876.981587432907</v>
      </c>
      <c r="M103" s="447">
        <f t="shared" si="45"/>
        <v>8936.1732304880024</v>
      </c>
      <c r="N103" s="447">
        <f t="shared" si="45"/>
        <v>8981.9714253242346</v>
      </c>
      <c r="O103" s="320"/>
    </row>
    <row r="104" spans="1:15">
      <c r="A104" s="302">
        <f>SUM(C104:N104)</f>
        <v>0</v>
      </c>
      <c r="C104" s="302">
        <f>SUM(C93:C102)-C103</f>
        <v>0</v>
      </c>
      <c r="D104" s="302">
        <f t="shared" ref="D104:N104" si="46">SUM(D93:D102)-D103</f>
        <v>0</v>
      </c>
      <c r="E104" s="302">
        <f t="shared" si="46"/>
        <v>0</v>
      </c>
      <c r="F104" s="302">
        <f t="shared" si="46"/>
        <v>0</v>
      </c>
      <c r="G104" s="302">
        <f t="shared" si="46"/>
        <v>0</v>
      </c>
      <c r="H104" s="302">
        <f t="shared" si="46"/>
        <v>0</v>
      </c>
      <c r="I104" s="302">
        <f t="shared" si="46"/>
        <v>0</v>
      </c>
      <c r="J104" s="302">
        <f t="shared" si="46"/>
        <v>0</v>
      </c>
      <c r="K104" s="302">
        <f t="shared" si="46"/>
        <v>0</v>
      </c>
      <c r="L104" s="302">
        <f t="shared" si="46"/>
        <v>0</v>
      </c>
      <c r="M104" s="302">
        <f t="shared" si="46"/>
        <v>0</v>
      </c>
      <c r="N104" s="302">
        <f t="shared" si="46"/>
        <v>0</v>
      </c>
    </row>
    <row r="106" spans="1:15" ht="15.75">
      <c r="B106" s="333" t="s">
        <v>164</v>
      </c>
      <c r="H106" s="318"/>
    </row>
    <row r="107" spans="1:15">
      <c r="H107" s="318"/>
    </row>
    <row r="108" spans="1:15">
      <c r="B108" s="334" t="s">
        <v>46</v>
      </c>
      <c r="H108" s="318"/>
    </row>
    <row r="109" spans="1:15">
      <c r="H109" s="318"/>
    </row>
    <row r="110" spans="1:15">
      <c r="B110" s="331" t="str">
        <f t="shared" ref="B110:B121" si="47">B76</f>
        <v>Age group</v>
      </c>
      <c r="C110" s="331" t="str">
        <f t="shared" ref="C110:N110" si="48">C76</f>
        <v>2017/18</v>
      </c>
      <c r="D110" s="331" t="str">
        <f t="shared" si="48"/>
        <v>2018/19</v>
      </c>
      <c r="E110" s="331" t="str">
        <f t="shared" si="48"/>
        <v>2019/20</v>
      </c>
      <c r="F110" s="331" t="str">
        <f t="shared" si="48"/>
        <v>2020/21</v>
      </c>
      <c r="G110" s="331" t="str">
        <f t="shared" si="48"/>
        <v>2021/22</v>
      </c>
      <c r="H110" s="331" t="str">
        <f t="shared" si="48"/>
        <v>2022/23</v>
      </c>
      <c r="I110" s="331" t="str">
        <f t="shared" si="48"/>
        <v>2023/24</v>
      </c>
      <c r="J110" s="331" t="str">
        <f t="shared" si="48"/>
        <v>2024/25</v>
      </c>
      <c r="K110" s="331" t="str">
        <f t="shared" si="48"/>
        <v>2025/26</v>
      </c>
      <c r="L110" s="331" t="str">
        <f t="shared" si="48"/>
        <v>2026/27</v>
      </c>
      <c r="M110" s="331" t="str">
        <f t="shared" si="48"/>
        <v>2027/28</v>
      </c>
      <c r="N110" s="331" t="str">
        <f t="shared" si="48"/>
        <v>2028/29</v>
      </c>
    </row>
    <row r="111" spans="1:15">
      <c r="B111" s="331" t="str">
        <f t="shared" si="47"/>
        <v>20-24</v>
      </c>
      <c r="C111" s="447">
        <f>C77*Group_3_rates!E74</f>
        <v>10.96009736632473</v>
      </c>
      <c r="D111" s="447">
        <f>D77*Group_3_rates!F74</f>
        <v>16.845110884349513</v>
      </c>
      <c r="E111" s="447">
        <f>E77*Group_3_rates!G74</f>
        <v>22.698709356284635</v>
      </c>
      <c r="F111" s="447">
        <f>F77*Group_3_rates!H74</f>
        <v>26.542325915846671</v>
      </c>
      <c r="G111" s="447">
        <f>G77*Group_3_rates!I74</f>
        <v>30.568225999174281</v>
      </c>
      <c r="H111" s="447">
        <f>H77*Group_3_rates!J74</f>
        <v>33.708965078227394</v>
      </c>
      <c r="I111" s="447">
        <f>I77*Group_3_rates!K74</f>
        <v>36.342932751189764</v>
      </c>
      <c r="J111" s="447">
        <f>J77*Group_3_rates!L74</f>
        <v>38.743878888012539</v>
      </c>
      <c r="K111" s="447">
        <f>K77*Group_3_rates!M74</f>
        <v>41.189587451106753</v>
      </c>
      <c r="L111" s="447">
        <f>L77*Group_3_rates!N74</f>
        <v>42.534863663390901</v>
      </c>
      <c r="M111" s="447">
        <f>M77*Group_3_rates!O74</f>
        <v>43.285568539462403</v>
      </c>
      <c r="N111" s="447">
        <f>N77*Group_3_rates!P74</f>
        <v>43.722481160001507</v>
      </c>
    </row>
    <row r="112" spans="1:15">
      <c r="B112" s="331" t="str">
        <f t="shared" si="47"/>
        <v>25-29</v>
      </c>
      <c r="C112" s="447">
        <f>C78*Group_3_rates!E75</f>
        <v>42.207085998138645</v>
      </c>
      <c r="D112" s="447">
        <f>D78*Group_3_rates!F75</f>
        <v>40.286287972567003</v>
      </c>
      <c r="E112" s="447">
        <f>E78*Group_3_rates!G75</f>
        <v>43.106903285085366</v>
      </c>
      <c r="F112" s="447">
        <f>F78*Group_3_rates!H75</f>
        <v>44.538824812397102</v>
      </c>
      <c r="G112" s="447">
        <f>G78*Group_3_rates!I75</f>
        <v>47.79983598845962</v>
      </c>
      <c r="H112" s="447">
        <f>H78*Group_3_rates!J75</f>
        <v>51.025209170849514</v>
      </c>
      <c r="I112" s="447">
        <f>I78*Group_3_rates!K75</f>
        <v>54.218474788528709</v>
      </c>
      <c r="J112" s="447">
        <f>J78*Group_3_rates!L75</f>
        <v>57.441900321317128</v>
      </c>
      <c r="K112" s="447">
        <f>K78*Group_3_rates!M75</f>
        <v>60.863396157526232</v>
      </c>
      <c r="L112" s="447">
        <f>L78*Group_3_rates!N75</f>
        <v>63.304487418453959</v>
      </c>
      <c r="M112" s="447">
        <f>M78*Group_3_rates!O75</f>
        <v>65.062933952986853</v>
      </c>
      <c r="N112" s="447">
        <f>N78*Group_3_rates!P75</f>
        <v>66.349209124303329</v>
      </c>
    </row>
    <row r="113" spans="1:14">
      <c r="B113" s="331" t="str">
        <f t="shared" si="47"/>
        <v>30-34</v>
      </c>
      <c r="C113" s="447">
        <f>C79*Group_3_rates!E76</f>
        <v>53.667010036038256</v>
      </c>
      <c r="D113" s="447">
        <f>D79*Group_3_rates!F76</f>
        <v>48.032124160923011</v>
      </c>
      <c r="E113" s="447">
        <f>E79*Group_3_rates!G76</f>
        <v>47.305357966891229</v>
      </c>
      <c r="F113" s="447">
        <f>F79*Group_3_rates!H76</f>
        <v>44.94777648334405</v>
      </c>
      <c r="G113" s="447">
        <f>G79*Group_3_rates!I76</f>
        <v>44.648405800189344</v>
      </c>
      <c r="H113" s="447">
        <f>H79*Group_3_rates!J76</f>
        <v>44.997548499077368</v>
      </c>
      <c r="I113" s="447">
        <f>I79*Group_3_rates!K76</f>
        <v>45.875766061203237</v>
      </c>
      <c r="J113" s="447">
        <f>J79*Group_3_rates!L76</f>
        <v>47.197956949649566</v>
      </c>
      <c r="K113" s="447">
        <f>K79*Group_3_rates!M76</f>
        <v>48.946767555228298</v>
      </c>
      <c r="L113" s="447">
        <f>L79*Group_3_rates!N76</f>
        <v>50.538940529021218</v>
      </c>
      <c r="M113" s="447">
        <f>M79*Group_3_rates!O76</f>
        <v>51.963064279398921</v>
      </c>
      <c r="N113" s="447">
        <f>N79*Group_3_rates!P76</f>
        <v>53.217182880047766</v>
      </c>
    </row>
    <row r="114" spans="1:14">
      <c r="B114" s="331" t="str">
        <f t="shared" si="47"/>
        <v>35-39</v>
      </c>
      <c r="C114" s="447">
        <f>C80*Group_3_rates!E77</f>
        <v>57.097054338242231</v>
      </c>
      <c r="D114" s="447">
        <f>D80*Group_3_rates!F77</f>
        <v>53.218599836710339</v>
      </c>
      <c r="E114" s="447">
        <f>E80*Group_3_rates!G77</f>
        <v>53.405940962289492</v>
      </c>
      <c r="F114" s="447">
        <f>F80*Group_3_rates!H77</f>
        <v>50.702605107779775</v>
      </c>
      <c r="G114" s="447">
        <f>G80*Group_3_rates!I77</f>
        <v>49.519569768534382</v>
      </c>
      <c r="H114" s="447">
        <f>H80*Group_3_rates!J77</f>
        <v>48.673884317417389</v>
      </c>
      <c r="I114" s="447">
        <f>I80*Group_3_rates!K77</f>
        <v>48.233386556670816</v>
      </c>
      <c r="J114" s="447">
        <f>J80*Group_3_rates!L77</f>
        <v>48.228527733970807</v>
      </c>
      <c r="K114" s="447">
        <f>K80*Group_3_rates!M77</f>
        <v>48.691018765387724</v>
      </c>
      <c r="L114" s="447">
        <f>L80*Group_3_rates!N77</f>
        <v>49.249608823378466</v>
      </c>
      <c r="M114" s="447">
        <f>M80*Group_3_rates!O77</f>
        <v>49.903174121444543</v>
      </c>
      <c r="N114" s="447">
        <f>N80*Group_3_rates!P77</f>
        <v>50.626771883379618</v>
      </c>
    </row>
    <row r="115" spans="1:14">
      <c r="B115" s="331" t="str">
        <f t="shared" si="47"/>
        <v>40-44</v>
      </c>
      <c r="C115" s="447">
        <f>C81*Group_3_rates!E78</f>
        <v>57.691185780864764</v>
      </c>
      <c r="D115" s="447">
        <f>D81*Group_3_rates!F78</f>
        <v>54.770837801514631</v>
      </c>
      <c r="E115" s="447">
        <f>E81*Group_3_rates!G78</f>
        <v>56.10760930855411</v>
      </c>
      <c r="F115" s="447">
        <f>F81*Group_3_rates!H78</f>
        <v>54.210161241651093</v>
      </c>
      <c r="G115" s="447">
        <f>G81*Group_3_rates!I78</f>
        <v>53.581338429008127</v>
      </c>
      <c r="H115" s="447">
        <f>H81*Group_3_rates!J78</f>
        <v>52.95686456925506</v>
      </c>
      <c r="I115" s="447">
        <f>I81*Group_3_rates!K78</f>
        <v>52.436111844612086</v>
      </c>
      <c r="J115" s="447">
        <f>J81*Group_3_rates!L78</f>
        <v>52.108284743324866</v>
      </c>
      <c r="K115" s="447">
        <f>K81*Group_3_rates!M78</f>
        <v>52.068241947989073</v>
      </c>
      <c r="L115" s="447">
        <f>L81*Group_3_rates!N78</f>
        <v>52.032873767128052</v>
      </c>
      <c r="M115" s="447">
        <f>M81*Group_3_rates!O78</f>
        <v>52.068975630244644</v>
      </c>
      <c r="N115" s="447">
        <f>N81*Group_3_rates!P78</f>
        <v>52.205379633467395</v>
      </c>
    </row>
    <row r="116" spans="1:14">
      <c r="B116" s="331" t="str">
        <f t="shared" si="47"/>
        <v>45-49</v>
      </c>
      <c r="C116" s="447">
        <f>C82*Group_3_rates!E79</f>
        <v>57.913568966425728</v>
      </c>
      <c r="D116" s="447">
        <f>D82*Group_3_rates!F79</f>
        <v>54.062138876060793</v>
      </c>
      <c r="E116" s="447">
        <f>E82*Group_3_rates!G79</f>
        <v>54.885847849176962</v>
      </c>
      <c r="F116" s="447">
        <f>F82*Group_3_rates!H79</f>
        <v>52.856495657231626</v>
      </c>
      <c r="G116" s="447">
        <f>G82*Group_3_rates!I79</f>
        <v>52.27587042762427</v>
      </c>
      <c r="H116" s="447">
        <f>H82*Group_3_rates!J79</f>
        <v>51.798659737961934</v>
      </c>
      <c r="I116" s="447">
        <f>I82*Group_3_rates!K79</f>
        <v>51.425516289321934</v>
      </c>
      <c r="J116" s="447">
        <f>J82*Group_3_rates!L79</f>
        <v>51.178455191106586</v>
      </c>
      <c r="K116" s="447">
        <f>K82*Group_3_rates!M79</f>
        <v>51.111501037129372</v>
      </c>
      <c r="L116" s="447">
        <f>L82*Group_3_rates!N79</f>
        <v>50.96542247746337</v>
      </c>
      <c r="M116" s="447">
        <f>M82*Group_3_rates!O79</f>
        <v>50.80503199501463</v>
      </c>
      <c r="N116" s="447">
        <f>N82*Group_3_rates!P79</f>
        <v>50.673205937273814</v>
      </c>
    </row>
    <row r="117" spans="1:14">
      <c r="B117" s="331" t="str">
        <f t="shared" si="47"/>
        <v>50-54</v>
      </c>
      <c r="C117" s="447">
        <f>C83*Group_3_rates!E80</f>
        <v>48.686648520754524</v>
      </c>
      <c r="D117" s="447">
        <f>D83*Group_3_rates!F80</f>
        <v>45.193567252190753</v>
      </c>
      <c r="E117" s="447">
        <f>E83*Group_3_rates!G80</f>
        <v>45.527247884607256</v>
      </c>
      <c r="F117" s="447">
        <f>F83*Group_3_rates!H80</f>
        <v>43.493751997146006</v>
      </c>
      <c r="G117" s="447">
        <f>G83*Group_3_rates!I80</f>
        <v>42.725175803464715</v>
      </c>
      <c r="H117" s="447">
        <f>H83*Group_3_rates!J80</f>
        <v>42.128594951672731</v>
      </c>
      <c r="I117" s="447">
        <f>I83*Group_3_rates!K80</f>
        <v>41.694019132967043</v>
      </c>
      <c r="J117" s="447">
        <f>J83*Group_3_rates!L80</f>
        <v>41.415821578810451</v>
      </c>
      <c r="K117" s="447">
        <f>K83*Group_3_rates!M80</f>
        <v>41.309425929683769</v>
      </c>
      <c r="L117" s="447">
        <f>L83*Group_3_rates!N80</f>
        <v>41.15374649296087</v>
      </c>
      <c r="M117" s="447">
        <f>M83*Group_3_rates!O80</f>
        <v>40.981027763389342</v>
      </c>
      <c r="N117" s="447">
        <f>N83*Group_3_rates!P80</f>
        <v>40.812487437994641</v>
      </c>
    </row>
    <row r="118" spans="1:14">
      <c r="B118" s="331" t="str">
        <f t="shared" si="47"/>
        <v>55-59</v>
      </c>
      <c r="C118" s="447">
        <f>C84*Group_3_rates!E81</f>
        <v>21.207745326003671</v>
      </c>
      <c r="D118" s="447">
        <f>D84*Group_3_rates!F81</f>
        <v>17.932330424923411</v>
      </c>
      <c r="E118" s="447">
        <f>E84*Group_3_rates!G81</f>
        <v>16.932189823054721</v>
      </c>
      <c r="F118" s="447">
        <f>F84*Group_3_rates!H81</f>
        <v>15.494618950423886</v>
      </c>
      <c r="G118" s="447">
        <f>G84*Group_3_rates!I81</f>
        <v>14.787382640680743</v>
      </c>
      <c r="H118" s="447">
        <f>H84*Group_3_rates!J81</f>
        <v>14.302217706009428</v>
      </c>
      <c r="I118" s="447">
        <f>I84*Group_3_rates!K81</f>
        <v>13.977424151805137</v>
      </c>
      <c r="J118" s="447">
        <f>J84*Group_3_rates!L81</f>
        <v>13.775302449309056</v>
      </c>
      <c r="K118" s="447">
        <f>K84*Group_3_rates!M81</f>
        <v>13.678683945844636</v>
      </c>
      <c r="L118" s="447">
        <f>L84*Group_3_rates!N81</f>
        <v>13.58207361576045</v>
      </c>
      <c r="M118" s="447">
        <f>M84*Group_3_rates!O81</f>
        <v>13.493256789193065</v>
      </c>
      <c r="N118" s="447">
        <f>N84*Group_3_rates!P81</f>
        <v>13.414895382824486</v>
      </c>
    </row>
    <row r="119" spans="1:14">
      <c r="B119" s="331" t="str">
        <f t="shared" si="47"/>
        <v>60-64</v>
      </c>
      <c r="C119" s="447">
        <f>C85*Group_3_rates!E82</f>
        <v>10.686885562577952</v>
      </c>
      <c r="D119" s="447">
        <f>D85*Group_3_rates!F82</f>
        <v>8.9402376836380135</v>
      </c>
      <c r="E119" s="447">
        <f>E85*Group_3_rates!G82</f>
        <v>8.1816592540382516</v>
      </c>
      <c r="F119" s="447">
        <f>F85*Group_3_rates!H82</f>
        <v>7.2256848450854099</v>
      </c>
      <c r="G119" s="447">
        <f>G85*Group_3_rates!I82</f>
        <v>6.6863522128384174</v>
      </c>
      <c r="H119" s="447">
        <f>H85*Group_3_rates!J82</f>
        <v>6.3096379691686968</v>
      </c>
      <c r="I119" s="447">
        <f>I85*Group_3_rates!K82</f>
        <v>6.0567248561663867</v>
      </c>
      <c r="J119" s="447">
        <f>J85*Group_3_rates!L82</f>
        <v>5.8981494689484908</v>
      </c>
      <c r="K119" s="447">
        <f>K85*Group_3_rates!M82</f>
        <v>5.8163612908567419</v>
      </c>
      <c r="L119" s="447">
        <f>L85*Group_3_rates!N82</f>
        <v>5.7431255995099209</v>
      </c>
      <c r="M119" s="447">
        <f>M85*Group_3_rates!O82</f>
        <v>5.6818559544887801</v>
      </c>
      <c r="N119" s="447">
        <f>N85*Group_3_rates!P82</f>
        <v>5.632377056023179</v>
      </c>
    </row>
    <row r="120" spans="1:14">
      <c r="B120" s="331" t="str">
        <f t="shared" si="47"/>
        <v>65 plus</v>
      </c>
      <c r="C120" s="447">
        <f>C86*Group_3_rates!E83</f>
        <v>6.8445643239161624</v>
      </c>
      <c r="D120" s="447">
        <f>D86*Group_3_rates!F83</f>
        <v>6.5040107689693301</v>
      </c>
      <c r="E120" s="447">
        <f>E86*Group_3_rates!G83</f>
        <v>6.426151603786324</v>
      </c>
      <c r="F120" s="447">
        <f>F86*Group_3_rates!H83</f>
        <v>5.8747725878636157</v>
      </c>
      <c r="G120" s="447">
        <f>G86*Group_3_rates!I83</f>
        <v>5.4828964949374877</v>
      </c>
      <c r="H120" s="447">
        <f>H86*Group_3_rates!J83</f>
        <v>5.137942920946311</v>
      </c>
      <c r="I120" s="447">
        <f>I86*Group_3_rates!K83</f>
        <v>4.8604324024959711</v>
      </c>
      <c r="J120" s="447">
        <f>J86*Group_3_rates!L83</f>
        <v>4.6544362082651185</v>
      </c>
      <c r="K120" s="447">
        <f>K86*Group_3_rates!M83</f>
        <v>4.5185264504994311</v>
      </c>
      <c r="L120" s="447">
        <f>L86*Group_3_rates!N83</f>
        <v>4.4073333812465441</v>
      </c>
      <c r="M120" s="447">
        <f>M86*Group_3_rates!O83</f>
        <v>4.318359765071575</v>
      </c>
      <c r="N120" s="447">
        <f>N86*Group_3_rates!P83</f>
        <v>4.2485670227483778</v>
      </c>
    </row>
    <row r="121" spans="1:14">
      <c r="B121" s="331" t="str">
        <f t="shared" si="47"/>
        <v>Total</v>
      </c>
      <c r="C121" s="447">
        <f>SUM(C111:C120)</f>
        <v>366.96184621928671</v>
      </c>
      <c r="D121" s="447">
        <f t="shared" ref="D121:N121" si="49">SUM(D111:D120)</f>
        <v>345.78524566184683</v>
      </c>
      <c r="E121" s="447">
        <f t="shared" si="49"/>
        <v>354.57761729376836</v>
      </c>
      <c r="F121" s="447">
        <f t="shared" si="49"/>
        <v>345.88701759876932</v>
      </c>
      <c r="G121" s="447">
        <f t="shared" si="49"/>
        <v>348.0750535649114</v>
      </c>
      <c r="H121" s="447">
        <f t="shared" si="49"/>
        <v>351.03952492058579</v>
      </c>
      <c r="I121" s="447">
        <f t="shared" si="49"/>
        <v>355.1207888349611</v>
      </c>
      <c r="J121" s="447">
        <f t="shared" si="49"/>
        <v>360.64271353271454</v>
      </c>
      <c r="K121" s="447">
        <f t="shared" si="49"/>
        <v>368.193510531252</v>
      </c>
      <c r="L121" s="447">
        <f t="shared" si="49"/>
        <v>373.51247576831383</v>
      </c>
      <c r="M121" s="447">
        <f t="shared" si="49"/>
        <v>377.56324879069479</v>
      </c>
      <c r="N121" s="447">
        <f t="shared" si="49"/>
        <v>380.9025575180641</v>
      </c>
    </row>
    <row r="122" spans="1:14">
      <c r="A122" s="302">
        <f>SUM(C122:N122)</f>
        <v>0</v>
      </c>
      <c r="C122" s="302">
        <f>SUM(C111:C120)-C121</f>
        <v>0</v>
      </c>
      <c r="D122" s="302">
        <f t="shared" ref="D122:N122" si="50">SUM(D111:D120)-D121</f>
        <v>0</v>
      </c>
      <c r="E122" s="302">
        <f t="shared" si="50"/>
        <v>0</v>
      </c>
      <c r="F122" s="302">
        <f t="shared" si="50"/>
        <v>0</v>
      </c>
      <c r="G122" s="302">
        <f t="shared" si="50"/>
        <v>0</v>
      </c>
      <c r="H122" s="302">
        <f t="shared" si="50"/>
        <v>0</v>
      </c>
      <c r="I122" s="302">
        <f t="shared" si="50"/>
        <v>0</v>
      </c>
      <c r="J122" s="302">
        <f t="shared" si="50"/>
        <v>0</v>
      </c>
      <c r="K122" s="302">
        <f t="shared" si="50"/>
        <v>0</v>
      </c>
      <c r="L122" s="302">
        <f t="shared" si="50"/>
        <v>0</v>
      </c>
      <c r="M122" s="302">
        <f t="shared" si="50"/>
        <v>0</v>
      </c>
      <c r="N122" s="302">
        <f t="shared" si="50"/>
        <v>0</v>
      </c>
    </row>
    <row r="124" spans="1:14">
      <c r="B124" s="334" t="s">
        <v>47</v>
      </c>
      <c r="C124" s="322"/>
      <c r="D124" s="322"/>
      <c r="E124" s="322"/>
      <c r="F124" s="322"/>
      <c r="G124" s="322"/>
      <c r="H124" s="332"/>
      <c r="I124" s="322"/>
      <c r="J124" s="322"/>
      <c r="K124" s="322"/>
      <c r="L124" s="322"/>
    </row>
    <row r="125" spans="1:14">
      <c r="C125" s="322"/>
      <c r="D125" s="322"/>
      <c r="E125" s="322"/>
      <c r="F125" s="322"/>
      <c r="G125" s="322"/>
      <c r="H125" s="332"/>
      <c r="I125" s="322"/>
      <c r="J125" s="322"/>
      <c r="K125" s="322"/>
      <c r="L125" s="322"/>
    </row>
    <row r="126" spans="1:14">
      <c r="B126" s="331" t="str">
        <f t="shared" ref="B126:B137" si="51">B110</f>
        <v>Age group</v>
      </c>
      <c r="C126" s="331" t="str">
        <f t="shared" ref="C126:N126" si="52">C110</f>
        <v>2017/18</v>
      </c>
      <c r="D126" s="331" t="str">
        <f t="shared" si="52"/>
        <v>2018/19</v>
      </c>
      <c r="E126" s="331" t="str">
        <f t="shared" si="52"/>
        <v>2019/20</v>
      </c>
      <c r="F126" s="331" t="str">
        <f t="shared" si="52"/>
        <v>2020/21</v>
      </c>
      <c r="G126" s="331" t="str">
        <f t="shared" si="52"/>
        <v>2021/22</v>
      </c>
      <c r="H126" s="331" t="str">
        <f t="shared" si="52"/>
        <v>2022/23</v>
      </c>
      <c r="I126" s="331" t="str">
        <f t="shared" si="52"/>
        <v>2023/24</v>
      </c>
      <c r="J126" s="331" t="str">
        <f t="shared" si="52"/>
        <v>2024/25</v>
      </c>
      <c r="K126" s="331" t="str">
        <f t="shared" si="52"/>
        <v>2025/26</v>
      </c>
      <c r="L126" s="331" t="str">
        <f t="shared" si="52"/>
        <v>2026/27</v>
      </c>
      <c r="M126" s="331" t="str">
        <f t="shared" si="52"/>
        <v>2027/28</v>
      </c>
      <c r="N126" s="331" t="str">
        <f t="shared" si="52"/>
        <v>2028/29</v>
      </c>
    </row>
    <row r="127" spans="1:14">
      <c r="B127" s="331" t="str">
        <f t="shared" si="51"/>
        <v>20-24</v>
      </c>
      <c r="C127" s="447">
        <f>C93*Group_3_rates!E89</f>
        <v>34.045167745067054</v>
      </c>
      <c r="D127" s="447">
        <f>D93*Group_3_rates!F89</f>
        <v>42.055688004754273</v>
      </c>
      <c r="E127" s="447">
        <f>E93*Group_3_rates!G89</f>
        <v>49.459347210843298</v>
      </c>
      <c r="F127" s="447">
        <f>F93*Group_3_rates!H89</f>
        <v>56.219356717183487</v>
      </c>
      <c r="G127" s="447">
        <f>G93*Group_3_rates!I89</f>
        <v>62.344587078352447</v>
      </c>
      <c r="H127" s="447">
        <f>H93*Group_3_rates!J89</f>
        <v>67.241949891711613</v>
      </c>
      <c r="I127" s="447">
        <f>I93*Group_3_rates!K89</f>
        <v>71.498686496660156</v>
      </c>
      <c r="J127" s="447">
        <f>J93*Group_3_rates!L89</f>
        <v>75.542072924073494</v>
      </c>
      <c r="K127" s="447">
        <f>K93*Group_3_rates!M89</f>
        <v>79.835895433858056</v>
      </c>
      <c r="L127" s="447">
        <f>L93*Group_3_rates!N89</f>
        <v>82.134464304045437</v>
      </c>
      <c r="M127" s="447">
        <f>M93*Group_3_rates!O89</f>
        <v>83.374879342320412</v>
      </c>
      <c r="N127" s="447">
        <f>N93*Group_3_rates!P89</f>
        <v>84.071869119452273</v>
      </c>
    </row>
    <row r="128" spans="1:14">
      <c r="B128" s="331" t="str">
        <f t="shared" si="51"/>
        <v>25-29</v>
      </c>
      <c r="C128" s="447">
        <f>C94*Group_3_rates!E90</f>
        <v>111.42549815947476</v>
      </c>
      <c r="D128" s="447">
        <f>D94*Group_3_rates!F90</f>
        <v>104.17331525499799</v>
      </c>
      <c r="E128" s="447">
        <f>E94*Group_3_rates!G90</f>
        <v>102.33716181725472</v>
      </c>
      <c r="F128" s="447">
        <f>F94*Group_3_rates!H90</f>
        <v>103.26866264773321</v>
      </c>
      <c r="G128" s="447">
        <f>G94*Group_3_rates!I90</f>
        <v>105.64059540726905</v>
      </c>
      <c r="H128" s="447">
        <f>H94*Group_3_rates!J90</f>
        <v>108.81107283731373</v>
      </c>
      <c r="I128" s="447">
        <f>I94*Group_3_rates!K90</f>
        <v>112.61262909560419</v>
      </c>
      <c r="J128" s="447">
        <f>J94*Group_3_rates!L90</f>
        <v>117.02097689580413</v>
      </c>
      <c r="K128" s="447">
        <f>K94*Group_3_rates!M90</f>
        <v>122.2439290900805</v>
      </c>
      <c r="L128" s="447">
        <f>L94*Group_3_rates!N90</f>
        <v>125.89016300348645</v>
      </c>
      <c r="M128" s="447">
        <f>M94*Group_3_rates!O90</f>
        <v>128.46677536356341</v>
      </c>
      <c r="N128" s="447">
        <f>N94*Group_3_rates!P90</f>
        <v>130.32538272620519</v>
      </c>
    </row>
    <row r="129" spans="1:14">
      <c r="B129" s="331" t="str">
        <f t="shared" si="51"/>
        <v>30-34</v>
      </c>
      <c r="C129" s="447">
        <f>C95*Group_3_rates!E91</f>
        <v>139.47963439042991</v>
      </c>
      <c r="D129" s="447">
        <f>D95*Group_3_rates!F91</f>
        <v>129.97436607050713</v>
      </c>
      <c r="E129" s="447">
        <f>E95*Group_3_rates!G91</f>
        <v>123.79364670394251</v>
      </c>
      <c r="F129" s="447">
        <f>F95*Group_3_rates!H91</f>
        <v>119.17960473113152</v>
      </c>
      <c r="G129" s="447">
        <f>G95*Group_3_rates!I91</f>
        <v>115.42417022274256</v>
      </c>
      <c r="H129" s="447">
        <f>H95*Group_3_rates!J91</f>
        <v>113.34691143521134</v>
      </c>
      <c r="I129" s="447">
        <f>I95*Group_3_rates!K91</f>
        <v>112.74162234405652</v>
      </c>
      <c r="J129" s="447">
        <f>J95*Group_3_rates!L91</f>
        <v>113.43843086324598</v>
      </c>
      <c r="K129" s="447">
        <f>K95*Group_3_rates!M91</f>
        <v>115.39440261650437</v>
      </c>
      <c r="L129" s="447">
        <f>L95*Group_3_rates!N91</f>
        <v>117.26416804799489</v>
      </c>
      <c r="M129" s="447">
        <f>M95*Group_3_rates!O91</f>
        <v>119.00606844216124</v>
      </c>
      <c r="N129" s="447">
        <f>N95*Group_3_rates!P91</f>
        <v>120.59286790507315</v>
      </c>
    </row>
    <row r="130" spans="1:14">
      <c r="B130" s="331" t="str">
        <f t="shared" si="51"/>
        <v>35-39</v>
      </c>
      <c r="C130" s="447">
        <f>C96*Group_3_rates!E92</f>
        <v>128.63822426789747</v>
      </c>
      <c r="D130" s="447">
        <f>D96*Group_3_rates!F92</f>
        <v>126.37456866092207</v>
      </c>
      <c r="E130" s="447">
        <f>E96*Group_3_rates!G92</f>
        <v>124.76941146383528</v>
      </c>
      <c r="F130" s="447">
        <f>F96*Group_3_rates!H92</f>
        <v>122.40471664886357</v>
      </c>
      <c r="G130" s="447">
        <f>G96*Group_3_rates!I92</f>
        <v>118.88576369050287</v>
      </c>
      <c r="H130" s="447">
        <f>H96*Group_3_rates!J92</f>
        <v>115.82860401301704</v>
      </c>
      <c r="I130" s="447">
        <f>I96*Group_3_rates!K92</f>
        <v>113.48518725884281</v>
      </c>
      <c r="J130" s="447">
        <f>J96*Group_3_rates!L92</f>
        <v>112.00868958636788</v>
      </c>
      <c r="K130" s="447">
        <f>K96*Group_3_rates!M92</f>
        <v>111.53639526005423</v>
      </c>
      <c r="L130" s="447">
        <f>L96*Group_3_rates!N92</f>
        <v>111.2949082864226</v>
      </c>
      <c r="M130" s="447">
        <f>M96*Group_3_rates!O92</f>
        <v>111.32401120723098</v>
      </c>
      <c r="N130" s="447">
        <f>N96*Group_3_rates!P92</f>
        <v>111.59684963329717</v>
      </c>
    </row>
    <row r="131" spans="1:14">
      <c r="B131" s="331" t="str">
        <f t="shared" si="51"/>
        <v>40-44</v>
      </c>
      <c r="C131" s="447">
        <f>C97*Group_3_rates!E93</f>
        <v>103.64541758529465</v>
      </c>
      <c r="D131" s="447">
        <f>D97*Group_3_rates!F93</f>
        <v>105.76726960163407</v>
      </c>
      <c r="E131" s="447">
        <f>E97*Group_3_rates!G93</f>
        <v>108.44884172491084</v>
      </c>
      <c r="F131" s="447">
        <f>F97*Group_3_rates!H93</f>
        <v>110.07991011586462</v>
      </c>
      <c r="G131" s="447">
        <f>G97*Group_3_rates!I93</f>
        <v>109.93186844789082</v>
      </c>
      <c r="H131" s="447">
        <f>H97*Group_3_rates!J93</f>
        <v>109.33715843138705</v>
      </c>
      <c r="I131" s="447">
        <f>I97*Group_3_rates!K93</f>
        <v>108.56320151248663</v>
      </c>
      <c r="J131" s="447">
        <f>J97*Group_3_rates!L93</f>
        <v>107.85701155616142</v>
      </c>
      <c r="K131" s="447">
        <f>K97*Group_3_rates!M93</f>
        <v>107.47440259038154</v>
      </c>
      <c r="L131" s="447">
        <f>L97*Group_3_rates!N93</f>
        <v>106.90218375978935</v>
      </c>
      <c r="M131" s="447">
        <f>M97*Group_3_rates!O93</f>
        <v>106.3311021395247</v>
      </c>
      <c r="N131" s="447">
        <f>N97*Group_3_rates!P93</f>
        <v>105.8677535294517</v>
      </c>
    </row>
    <row r="132" spans="1:14">
      <c r="B132" s="331" t="str">
        <f t="shared" si="51"/>
        <v>45-49</v>
      </c>
      <c r="C132" s="447">
        <f>C98*Group_3_rates!E94</f>
        <v>94.107379074350433</v>
      </c>
      <c r="D132" s="447">
        <f>D98*Group_3_rates!F94</f>
        <v>94.932196393363398</v>
      </c>
      <c r="E132" s="447">
        <f>E98*Group_3_rates!G94</f>
        <v>97.354524044890681</v>
      </c>
      <c r="F132" s="447">
        <f>F98*Group_3_rates!H94</f>
        <v>99.634217116625578</v>
      </c>
      <c r="G132" s="447">
        <f>G98*Group_3_rates!I94</f>
        <v>100.79817999698388</v>
      </c>
      <c r="H132" s="447">
        <f>H98*Group_3_rates!J94</f>
        <v>101.76468579782038</v>
      </c>
      <c r="I132" s="447">
        <f>I98*Group_3_rates!K94</f>
        <v>102.55385407458138</v>
      </c>
      <c r="J132" s="447">
        <f>J98*Group_3_rates!L94</f>
        <v>103.23887188434048</v>
      </c>
      <c r="K132" s="447">
        <f>K98*Group_3_rates!M94</f>
        <v>103.9657743318463</v>
      </c>
      <c r="L132" s="447">
        <f>L98*Group_3_rates!N94</f>
        <v>104.22811450938975</v>
      </c>
      <c r="M132" s="447">
        <f>M98*Group_3_rates!O94</f>
        <v>104.20367908500619</v>
      </c>
      <c r="N132" s="447">
        <f>N98*Group_3_rates!P94</f>
        <v>104.02330957730453</v>
      </c>
    </row>
    <row r="133" spans="1:14">
      <c r="B133" s="331" t="str">
        <f t="shared" si="51"/>
        <v>50-54</v>
      </c>
      <c r="C133" s="447">
        <f>C99*Group_3_rates!E95</f>
        <v>75.383536906464329</v>
      </c>
      <c r="D133" s="447">
        <f>D99*Group_3_rates!F95</f>
        <v>74.177016181950279</v>
      </c>
      <c r="E133" s="447">
        <f>E99*Group_3_rates!G95</f>
        <v>74.515382041992765</v>
      </c>
      <c r="F133" s="447">
        <f>F99*Group_3_rates!H95</f>
        <v>75.138459646570581</v>
      </c>
      <c r="G133" s="447">
        <f>G99*Group_3_rates!I95</f>
        <v>75.35754277994134</v>
      </c>
      <c r="H133" s="447">
        <f>H99*Group_3_rates!J95</f>
        <v>75.834691699973447</v>
      </c>
      <c r="I133" s="447">
        <f>I99*Group_3_rates!K95</f>
        <v>76.501918119971904</v>
      </c>
      <c r="J133" s="447">
        <f>J99*Group_3_rates!L95</f>
        <v>77.317525680645758</v>
      </c>
      <c r="K133" s="447">
        <f>K99*Group_3_rates!M95</f>
        <v>78.296692980514408</v>
      </c>
      <c r="L133" s="447">
        <f>L99*Group_3_rates!N95</f>
        <v>78.979534099520279</v>
      </c>
      <c r="M133" s="447">
        <f>M99*Group_3_rates!O95</f>
        <v>79.436411504559231</v>
      </c>
      <c r="N133" s="447">
        <f>N99*Group_3_rates!P95</f>
        <v>79.721012354151924</v>
      </c>
    </row>
    <row r="134" spans="1:14">
      <c r="B134" s="331" t="str">
        <f t="shared" si="51"/>
        <v>55-59</v>
      </c>
      <c r="C134" s="447">
        <f>C100*Group_3_rates!E96</f>
        <v>37.388642739234726</v>
      </c>
      <c r="D134" s="447">
        <f>D100*Group_3_rates!F96</f>
        <v>33.480884342375354</v>
      </c>
      <c r="E134" s="447">
        <f>E100*Group_3_rates!G96</f>
        <v>31.401253702206095</v>
      </c>
      <c r="F134" s="447">
        <f>F100*Group_3_rates!H96</f>
        <v>30.157711339087157</v>
      </c>
      <c r="G134" s="447">
        <f>G100*Group_3_rates!I96</f>
        <v>29.25320841577782</v>
      </c>
      <c r="H134" s="447">
        <f>H100*Group_3_rates!J96</f>
        <v>28.783032831750774</v>
      </c>
      <c r="I134" s="447">
        <f>I100*Group_3_rates!K96</f>
        <v>28.626427802711724</v>
      </c>
      <c r="J134" s="447">
        <f>J100*Group_3_rates!L96</f>
        <v>28.703349072446144</v>
      </c>
      <c r="K134" s="447">
        <f>K100*Group_3_rates!M96</f>
        <v>28.974638384837682</v>
      </c>
      <c r="L134" s="447">
        <f>L100*Group_3_rates!N96</f>
        <v>29.192717091086394</v>
      </c>
      <c r="M134" s="447">
        <f>M100*Group_3_rates!O96</f>
        <v>29.373436275253869</v>
      </c>
      <c r="N134" s="447">
        <f>N100*Group_3_rates!P96</f>
        <v>29.522138035291892</v>
      </c>
    </row>
    <row r="135" spans="1:14">
      <c r="B135" s="331" t="str">
        <f t="shared" si="51"/>
        <v>60-64</v>
      </c>
      <c r="C135" s="447">
        <f>C101*Group_3_rates!E97</f>
        <v>13.248541096603715</v>
      </c>
      <c r="D135" s="447">
        <f>D101*Group_3_rates!F97</f>
        <v>12.331534673496902</v>
      </c>
      <c r="E135" s="447">
        <f>E101*Group_3_rates!G97</f>
        <v>11.534678400133373</v>
      </c>
      <c r="F135" s="447">
        <f>F101*Group_3_rates!H97</f>
        <v>10.866812862290095</v>
      </c>
      <c r="G135" s="447">
        <f>G101*Group_3_rates!I97</f>
        <v>10.306214473849291</v>
      </c>
      <c r="H135" s="447">
        <f>H101*Group_3_rates!J97</f>
        <v>9.9286564833179138</v>
      </c>
      <c r="I135" s="447">
        <f>I101*Group_3_rates!K97</f>
        <v>9.7088270055439096</v>
      </c>
      <c r="J135" s="447">
        <f>J101*Group_3_rates!L97</f>
        <v>9.619016780993757</v>
      </c>
      <c r="K135" s="447">
        <f>K101*Group_3_rates!M97</f>
        <v>9.6414889401174193</v>
      </c>
      <c r="L135" s="447">
        <f>L101*Group_3_rates!N97</f>
        <v>9.6583125725247001</v>
      </c>
      <c r="M135" s="447">
        <f>M101*Group_3_rates!O97</f>
        <v>9.6794325841840667</v>
      </c>
      <c r="N135" s="447">
        <f>N101*Group_3_rates!P97</f>
        <v>9.7061104497887527</v>
      </c>
    </row>
    <row r="136" spans="1:14">
      <c r="B136" s="331" t="str">
        <f t="shared" si="51"/>
        <v>65 plus</v>
      </c>
      <c r="C136" s="447">
        <f>C102*Group_3_rates!E98</f>
        <v>5.280821181059058</v>
      </c>
      <c r="D136" s="447">
        <f>D102*Group_3_rates!F98</f>
        <v>6.4954717059555964</v>
      </c>
      <c r="E136" s="447">
        <f>E102*Group_3_rates!G98</f>
        <v>7.2018087483830255</v>
      </c>
      <c r="F136" s="447">
        <f>F102*Group_3_rates!H98</f>
        <v>7.5043343663265532</v>
      </c>
      <c r="G136" s="447">
        <f>G102*Group_3_rates!I98</f>
        <v>7.5161119628421176</v>
      </c>
      <c r="H136" s="447">
        <f>H102*Group_3_rates!J98</f>
        <v>7.4282483514609305</v>
      </c>
      <c r="I136" s="447">
        <f>I102*Group_3_rates!K98</f>
        <v>7.3191210459224045</v>
      </c>
      <c r="J136" s="447">
        <f>J102*Group_3_rates!L98</f>
        <v>7.233902093880384</v>
      </c>
      <c r="K136" s="447">
        <f>K102*Group_3_rates!M98</f>
        <v>7.2001078464704955</v>
      </c>
      <c r="L136" s="447">
        <f>L102*Group_3_rates!N98</f>
        <v>7.1641067298773029</v>
      </c>
      <c r="M136" s="447">
        <f>M102*Group_3_rates!O98</f>
        <v>7.1346632247010007</v>
      </c>
      <c r="N136" s="447">
        <f>N102*Group_3_rates!P98</f>
        <v>7.1155162084644834</v>
      </c>
    </row>
    <row r="137" spans="1:14">
      <c r="B137" s="331" t="str">
        <f t="shared" si="51"/>
        <v>Total</v>
      </c>
      <c r="C137" s="447">
        <f>SUM(C127:C136)</f>
        <v>742.64286314587616</v>
      </c>
      <c r="D137" s="447">
        <f t="shared" ref="D137:N137" si="53">SUM(D127:D136)</f>
        <v>729.76231088995712</v>
      </c>
      <c r="E137" s="447">
        <f t="shared" si="53"/>
        <v>730.81605585839247</v>
      </c>
      <c r="F137" s="447">
        <f t="shared" si="53"/>
        <v>734.4537861916765</v>
      </c>
      <c r="G137" s="447">
        <f t="shared" si="53"/>
        <v>735.45824247615235</v>
      </c>
      <c r="H137" s="447">
        <f t="shared" si="53"/>
        <v>738.30501177296424</v>
      </c>
      <c r="I137" s="447">
        <f t="shared" si="53"/>
        <v>743.61147475638177</v>
      </c>
      <c r="J137" s="447">
        <f t="shared" si="53"/>
        <v>751.97984733795943</v>
      </c>
      <c r="K137" s="447">
        <f t="shared" si="53"/>
        <v>764.56372747466492</v>
      </c>
      <c r="L137" s="447">
        <f t="shared" si="53"/>
        <v>772.70867240413702</v>
      </c>
      <c r="M137" s="447">
        <f t="shared" si="53"/>
        <v>778.33045916850506</v>
      </c>
      <c r="N137" s="447">
        <f t="shared" si="53"/>
        <v>782.54280953848104</v>
      </c>
    </row>
    <row r="138" spans="1:14">
      <c r="A138" s="302">
        <f>SUM(C138:N138)</f>
        <v>0</v>
      </c>
      <c r="C138" s="302">
        <f>SUM(C127:C136)-C137</f>
        <v>0</v>
      </c>
      <c r="D138" s="302">
        <f t="shared" ref="D138:N138" si="54">SUM(D127:D136)-D137</f>
        <v>0</v>
      </c>
      <c r="E138" s="302">
        <f t="shared" si="54"/>
        <v>0</v>
      </c>
      <c r="F138" s="302">
        <f t="shared" si="54"/>
        <v>0</v>
      </c>
      <c r="G138" s="302">
        <f t="shared" si="54"/>
        <v>0</v>
      </c>
      <c r="H138" s="302">
        <f t="shared" si="54"/>
        <v>0</v>
      </c>
      <c r="I138" s="302">
        <f t="shared" si="54"/>
        <v>0</v>
      </c>
      <c r="J138" s="302">
        <f t="shared" si="54"/>
        <v>0</v>
      </c>
      <c r="K138" s="302">
        <f t="shared" si="54"/>
        <v>0</v>
      </c>
      <c r="L138" s="302">
        <f t="shared" si="54"/>
        <v>0</v>
      </c>
      <c r="M138" s="302">
        <f t="shared" si="54"/>
        <v>0</v>
      </c>
      <c r="N138" s="302">
        <f t="shared" si="54"/>
        <v>0</v>
      </c>
    </row>
    <row r="140" spans="1:14" ht="15.75">
      <c r="B140" s="333" t="s">
        <v>165</v>
      </c>
      <c r="H140" s="318"/>
    </row>
    <row r="141" spans="1:14">
      <c r="H141" s="318"/>
    </row>
    <row r="142" spans="1:14">
      <c r="B142" s="334" t="s">
        <v>46</v>
      </c>
      <c r="H142" s="318"/>
    </row>
    <row r="143" spans="1:14">
      <c r="H143" s="318"/>
    </row>
    <row r="144" spans="1:14">
      <c r="B144" s="331" t="str">
        <f t="shared" ref="B144:B155" si="55">B110</f>
        <v>Age group</v>
      </c>
      <c r="C144" s="331" t="str">
        <f t="shared" ref="C144:N144" si="56">C110</f>
        <v>2017/18</v>
      </c>
      <c r="D144" s="331" t="str">
        <f t="shared" si="56"/>
        <v>2018/19</v>
      </c>
      <c r="E144" s="331" t="str">
        <f t="shared" si="56"/>
        <v>2019/20</v>
      </c>
      <c r="F144" s="331" t="str">
        <f t="shared" si="56"/>
        <v>2020/21</v>
      </c>
      <c r="G144" s="331" t="str">
        <f t="shared" si="56"/>
        <v>2021/22</v>
      </c>
      <c r="H144" s="331" t="str">
        <f t="shared" si="56"/>
        <v>2022/23</v>
      </c>
      <c r="I144" s="331" t="str">
        <f t="shared" si="56"/>
        <v>2023/24</v>
      </c>
      <c r="J144" s="331" t="str">
        <f t="shared" si="56"/>
        <v>2024/25</v>
      </c>
      <c r="K144" s="331" t="str">
        <f t="shared" si="56"/>
        <v>2025/26</v>
      </c>
      <c r="L144" s="331" t="str">
        <f t="shared" si="56"/>
        <v>2026/27</v>
      </c>
      <c r="M144" s="331" t="str">
        <f t="shared" si="56"/>
        <v>2027/28</v>
      </c>
      <c r="N144" s="331" t="str">
        <f t="shared" si="56"/>
        <v>2028/29</v>
      </c>
    </row>
    <row r="145" spans="1:14">
      <c r="B145" s="331" t="str">
        <f t="shared" si="55"/>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5"/>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5"/>
        <v>30-34</v>
      </c>
      <c r="C147" s="447">
        <f>C79*Calc_SEC_retirement_rates!$G126</f>
        <v>0.10333197926932121</v>
      </c>
      <c r="D147" s="447">
        <f>D79*Calc_SEC_retirement_rates!$G126</f>
        <v>9.5931584363877206E-2</v>
      </c>
      <c r="E147" s="447">
        <f>E79*Calc_SEC_retirement_rates!$G126</f>
        <v>9.1062738274984359E-2</v>
      </c>
      <c r="F147" s="447">
        <f>F79*Calc_SEC_retirement_rates!$G126</f>
        <v>8.8180208433350435E-2</v>
      </c>
      <c r="G147" s="447">
        <f>G79*Calc_SEC_retirement_rates!$G126</f>
        <v>8.7592891967335718E-2</v>
      </c>
      <c r="H147" s="447">
        <f>H79*Calc_SEC_retirement_rates!$G126</f>
        <v>8.8277853012568686E-2</v>
      </c>
      <c r="I147" s="447">
        <f>I79*Calc_SEC_retirement_rates!$G126</f>
        <v>9.0000772670380549E-2</v>
      </c>
      <c r="J147" s="447">
        <f>J79*Calc_SEC_retirement_rates!$G126</f>
        <v>9.2594695601697946E-2</v>
      </c>
      <c r="K147" s="447">
        <f>K79*Calc_SEC_retirement_rates!$G126</f>
        <v>9.6025576854912573E-2</v>
      </c>
      <c r="L147" s="447">
        <f>L79*Calc_SEC_retirement_rates!$G126</f>
        <v>9.914916061534694E-2</v>
      </c>
      <c r="M147" s="447">
        <f>M79*Calc_SEC_retirement_rates!$G126</f>
        <v>0.10194305920095829</v>
      </c>
      <c r="N147" s="447">
        <f>N79*Calc_SEC_retirement_rates!$G126</f>
        <v>0.10440343540324579</v>
      </c>
    </row>
    <row r="148" spans="1:14">
      <c r="B148" s="331" t="str">
        <f t="shared" si="55"/>
        <v>35-39</v>
      </c>
      <c r="C148" s="447">
        <f>C80*Calc_SEC_retirement_rates!$G127</f>
        <v>0.23710820833883392</v>
      </c>
      <c r="D148" s="447">
        <f>D80*Calc_SEC_retirement_rates!$G127</f>
        <v>0.22924443696412103</v>
      </c>
      <c r="E148" s="447">
        <f>E80*Calc_SEC_retirement_rates!$G127</f>
        <v>0.22173052278685157</v>
      </c>
      <c r="F148" s="447">
        <f>F80*Calc_SEC_retirement_rates!$G127</f>
        <v>0.21453527921852206</v>
      </c>
      <c r="G148" s="447">
        <f>G80*Calc_SEC_retirement_rates!$G127</f>
        <v>0.20952956370763509</v>
      </c>
      <c r="H148" s="447">
        <f>H80*Calc_SEC_retirement_rates!$G127</f>
        <v>0.20595125912149484</v>
      </c>
      <c r="I148" s="447">
        <f>I80*Calc_SEC_retirement_rates!$G127</f>
        <v>0.20408740400209785</v>
      </c>
      <c r="J148" s="447">
        <f>J80*Calc_SEC_retirement_rates!$G127</f>
        <v>0.20406684511991804</v>
      </c>
      <c r="K148" s="447">
        <f>K80*Calc_SEC_retirement_rates!$G127</f>
        <v>0.20602375921437482</v>
      </c>
      <c r="L148" s="447">
        <f>L80*Calc_SEC_retirement_rates!$G127</f>
        <v>0.208387292090151</v>
      </c>
      <c r="M148" s="447">
        <f>M80*Calc_SEC_retirement_rates!$G127</f>
        <v>0.21115268872825446</v>
      </c>
      <c r="N148" s="447">
        <f>N80*Calc_SEC_retirement_rates!$G127</f>
        <v>0.21421441006522812</v>
      </c>
    </row>
    <row r="149" spans="1:14">
      <c r="B149" s="331" t="str">
        <f t="shared" si="55"/>
        <v>40-44</v>
      </c>
      <c r="C149" s="447">
        <f>C81*Calc_SEC_retirement_rates!$G128</f>
        <v>0.4321196262359292</v>
      </c>
      <c r="D149" s="447">
        <f>D81*Calc_SEC_retirement_rates!$G128</f>
        <v>0.42554587613292666</v>
      </c>
      <c r="E149" s="447">
        <f>E81*Calc_SEC_retirement_rates!$G128</f>
        <v>0.42016446019862791</v>
      </c>
      <c r="F149" s="447">
        <f>F81*Calc_SEC_retirement_rates!$G128</f>
        <v>0.41372406739759454</v>
      </c>
      <c r="G149" s="447">
        <f>G81*Calc_SEC_retirement_rates!$G128</f>
        <v>0.40892498313441855</v>
      </c>
      <c r="H149" s="447">
        <f>H81*Calc_SEC_retirement_rates!$G128</f>
        <v>0.40415908944727691</v>
      </c>
      <c r="I149" s="447">
        <f>I81*Calc_SEC_retirement_rates!$G128</f>
        <v>0.40018478038025024</v>
      </c>
      <c r="J149" s="447">
        <f>J81*Calc_SEC_retirement_rates!$G128</f>
        <v>0.39768285161558348</v>
      </c>
      <c r="K149" s="447">
        <f>K81*Calc_SEC_retirement_rates!$G128</f>
        <v>0.3973772508245722</v>
      </c>
      <c r="L149" s="447">
        <f>L81*Calc_SEC_retirement_rates!$G128</f>
        <v>0.39710732601145377</v>
      </c>
      <c r="M149" s="447">
        <f>M81*Calc_SEC_retirement_rates!$G128</f>
        <v>0.39738285018085528</v>
      </c>
      <c r="N149" s="447">
        <f>N81*Calc_SEC_retirement_rates!$G128</f>
        <v>0.39842386569768928</v>
      </c>
    </row>
    <row r="150" spans="1:14">
      <c r="B150" s="331" t="str">
        <f t="shared" si="55"/>
        <v>45-49</v>
      </c>
      <c r="C150" s="447">
        <f>C82*Calc_SEC_retirement_rates!$G129</f>
        <v>0.87523254565762709</v>
      </c>
      <c r="D150" s="447">
        <f>D82*Calc_SEC_retirement_rates!$G129</f>
        <v>0.84749828637756042</v>
      </c>
      <c r="E150" s="447">
        <f>E82*Calc_SEC_retirement_rates!$G129</f>
        <v>0.82929019505122004</v>
      </c>
      <c r="F150" s="447">
        <f>F82*Calc_SEC_retirement_rates!$G129</f>
        <v>0.81391125834741307</v>
      </c>
      <c r="G150" s="447">
        <f>G82*Calc_SEC_retirement_rates!$G129</f>
        <v>0.80497049514732155</v>
      </c>
      <c r="H150" s="447">
        <f>H82*Calc_SEC_retirement_rates!$G129</f>
        <v>0.79762216173833644</v>
      </c>
      <c r="I150" s="447">
        <f>I82*Calc_SEC_retirement_rates!$G129</f>
        <v>0.79187630874429438</v>
      </c>
      <c r="J150" s="447">
        <f>J82*Calc_SEC_retirement_rates!$G129</f>
        <v>0.78807193603973291</v>
      </c>
      <c r="K150" s="447">
        <f>K82*Calc_SEC_retirement_rates!$G129</f>
        <v>0.7870409418537283</v>
      </c>
      <c r="L150" s="447">
        <f>L82*Calc_SEC_retirement_rates!$G129</f>
        <v>0.78479154974331755</v>
      </c>
      <c r="M150" s="447">
        <f>M82*Calc_SEC_retirement_rates!$G129</f>
        <v>0.78232177535185266</v>
      </c>
      <c r="N150" s="447">
        <f>N82*Calc_SEC_retirement_rates!$G129</f>
        <v>0.78029185052984784</v>
      </c>
    </row>
    <row r="151" spans="1:14">
      <c r="B151" s="331" t="str">
        <f t="shared" si="55"/>
        <v>50-54</v>
      </c>
      <c r="C151" s="447">
        <f>C83*Calc_SEC_retirement_rates!$G130</f>
        <v>16.295898737744754</v>
      </c>
      <c r="D151" s="447">
        <f>D83*Calc_SEC_retirement_rates!$G130</f>
        <v>15.69088849355005</v>
      </c>
      <c r="E151" s="447">
        <f>E83*Calc_SEC_retirement_rates!$G130</f>
        <v>15.235014075111524</v>
      </c>
      <c r="F151" s="447">
        <f>F83*Calc_SEC_retirement_rates!$G130</f>
        <v>14.833064039383917</v>
      </c>
      <c r="G151" s="447">
        <f>G83*Calc_SEC_retirement_rates!$G130</f>
        <v>14.570949611988262</v>
      </c>
      <c r="H151" s="447">
        <f>H83*Calc_SEC_retirement_rates!$G130</f>
        <v>14.367492297478321</v>
      </c>
      <c r="I151" s="447">
        <f>I83*Calc_SEC_retirement_rates!$G130</f>
        <v>14.219285011308754</v>
      </c>
      <c r="J151" s="447">
        <f>J83*Calc_SEC_retirement_rates!$G130</f>
        <v>14.124408806177602</v>
      </c>
      <c r="K151" s="447">
        <f>K83*Calc_SEC_retirement_rates!$G130</f>
        <v>14.088123744426401</v>
      </c>
      <c r="L151" s="447">
        <f>L83*Calc_SEC_retirement_rates!$G130</f>
        <v>14.035030990904527</v>
      </c>
      <c r="M151" s="447">
        <f>M83*Calc_SEC_retirement_rates!$G130</f>
        <v>13.976127174634467</v>
      </c>
      <c r="N151" s="447">
        <f>N83*Calc_SEC_retirement_rates!$G130</f>
        <v>13.918648356988147</v>
      </c>
    </row>
    <row r="152" spans="1:14">
      <c r="B152" s="331" t="str">
        <f t="shared" si="55"/>
        <v>55-59</v>
      </c>
      <c r="C152" s="447">
        <f>C84*Calc_SEC_retirement_rates!$G131</f>
        <v>81.49296738655417</v>
      </c>
      <c r="D152" s="447">
        <f>D84*Calc_SEC_retirement_rates!$G131</f>
        <v>71.476757195333164</v>
      </c>
      <c r="E152" s="447">
        <f>E84*Calc_SEC_retirement_rates!$G131</f>
        <v>65.049173846529129</v>
      </c>
      <c r="F152" s="447">
        <f>F84*Calc_SEC_retirement_rates!$G131</f>
        <v>60.665543556536434</v>
      </c>
      <c r="G152" s="447">
        <f>G84*Calc_SEC_retirement_rates!$G131</f>
        <v>57.896525790383954</v>
      </c>
      <c r="H152" s="447">
        <f>H84*Calc_SEC_retirement_rates!$G131</f>
        <v>55.996976368060039</v>
      </c>
      <c r="I152" s="447">
        <f>I84*Calc_SEC_retirement_rates!$G131</f>
        <v>54.725323443099036</v>
      </c>
      <c r="J152" s="447">
        <f>J84*Calc_SEC_retirement_rates!$G131</f>
        <v>53.933963359593285</v>
      </c>
      <c r="K152" s="447">
        <f>K84*Calc_SEC_retirement_rates!$G131</f>
        <v>53.555676287865857</v>
      </c>
      <c r="L152" s="447">
        <f>L84*Calc_SEC_retirement_rates!$G131</f>
        <v>53.177421217090263</v>
      </c>
      <c r="M152" s="447">
        <f>M84*Calc_SEC_retirement_rates!$G131</f>
        <v>52.829679780019966</v>
      </c>
      <c r="N152" s="447">
        <f>N84*Calc_SEC_retirement_rates!$G131</f>
        <v>52.522874086610223</v>
      </c>
    </row>
    <row r="153" spans="1:14">
      <c r="B153" s="331" t="str">
        <f t="shared" si="55"/>
        <v>60-64</v>
      </c>
      <c r="C153" s="447">
        <f>C85*Calc_SEC_retirement_rates!$G132</f>
        <v>60.046692225496002</v>
      </c>
      <c r="D153" s="447">
        <f>D85*Calc_SEC_retirement_rates!$G132</f>
        <v>52.106208203439493</v>
      </c>
      <c r="E153" s="447">
        <f>E85*Calc_SEC_retirement_rates!$G132</f>
        <v>45.96024573175756</v>
      </c>
      <c r="F153" s="447">
        <f>F85*Calc_SEC_retirement_rates!$G132</f>
        <v>41.366855140420455</v>
      </c>
      <c r="G153" s="447">
        <f>G85*Calc_SEC_retirement_rates!$G132</f>
        <v>38.279190047216503</v>
      </c>
      <c r="H153" s="447">
        <f>H85*Calc_SEC_retirement_rates!$G132</f>
        <v>36.122510939101574</v>
      </c>
      <c r="I153" s="447">
        <f>I85*Calc_SEC_retirement_rates!$G132</f>
        <v>34.67459003845569</v>
      </c>
      <c r="J153" s="447">
        <f>J85*Calc_SEC_retirement_rates!$G132</f>
        <v>33.766750129503613</v>
      </c>
      <c r="K153" s="447">
        <f>K85*Calc_SEC_retirement_rates!$G132</f>
        <v>33.298514967320827</v>
      </c>
      <c r="L153" s="447">
        <f>L85*Calc_SEC_retirement_rates!$G132</f>
        <v>32.879242566156933</v>
      </c>
      <c r="M153" s="447">
        <f>M85*Calc_SEC_retirement_rates!$G132</f>
        <v>32.528475464569546</v>
      </c>
      <c r="N153" s="447">
        <f>N85*Calc_SEC_retirement_rates!$G132</f>
        <v>32.245210075998628</v>
      </c>
    </row>
    <row r="154" spans="1:14">
      <c r="B154" s="331" t="str">
        <f t="shared" si="55"/>
        <v>65 plus</v>
      </c>
      <c r="C154" s="447">
        <f>C86*Calc_SEC_retirement_rates!$G133</f>
        <v>22.467390389918329</v>
      </c>
      <c r="D154" s="447">
        <f>D86*Calc_SEC_retirement_rates!$G133</f>
        <v>22.145757999973419</v>
      </c>
      <c r="E154" s="447">
        <f>E86*Calc_SEC_retirement_rates!$G133</f>
        <v>21.08923438412307</v>
      </c>
      <c r="F154" s="447">
        <f>F86*Calc_SEC_retirement_rates!$G133</f>
        <v>19.648682836804245</v>
      </c>
      <c r="G154" s="447">
        <f>G86*Calc_SEC_retirement_rates!$G133</f>
        <v>18.338019496892461</v>
      </c>
      <c r="H154" s="447">
        <f>H86*Calc_SEC_retirement_rates!$G133</f>
        <v>17.184292562376427</v>
      </c>
      <c r="I154" s="447">
        <f>I86*Calc_SEC_retirement_rates!$G133</f>
        <v>16.256134735097746</v>
      </c>
      <c r="J154" s="447">
        <f>J86*Calc_SEC_retirement_rates!$G133</f>
        <v>15.567162723756853</v>
      </c>
      <c r="K154" s="447">
        <f>K86*Calc_SEC_retirement_rates!$G133</f>
        <v>15.112600834794272</v>
      </c>
      <c r="L154" s="447">
        <f>L86*Calc_SEC_retirement_rates!$G133</f>
        <v>14.7407060390852</v>
      </c>
      <c r="M154" s="447">
        <f>M86*Calc_SEC_retirement_rates!$G133</f>
        <v>14.44312611766372</v>
      </c>
      <c r="N154" s="447">
        <f>N86*Calc_SEC_retirement_rates!$G133</f>
        <v>14.209698280635221</v>
      </c>
    </row>
    <row r="155" spans="1:14">
      <c r="B155" s="331" t="str">
        <f t="shared" si="55"/>
        <v>Total</v>
      </c>
      <c r="C155" s="447">
        <f>SUM(C145:C154)</f>
        <v>181.95074109921498</v>
      </c>
      <c r="D155" s="447">
        <f t="shared" ref="D155:N155" si="57">SUM(D145:D154)</f>
        <v>163.01783207613462</v>
      </c>
      <c r="E155" s="447">
        <f t="shared" si="57"/>
        <v>148.89591595383297</v>
      </c>
      <c r="F155" s="447">
        <f t="shared" si="57"/>
        <v>138.04449638654194</v>
      </c>
      <c r="G155" s="447">
        <f t="shared" si="57"/>
        <v>130.5957028804379</v>
      </c>
      <c r="H155" s="447">
        <f t="shared" si="57"/>
        <v>125.16728253033604</v>
      </c>
      <c r="I155" s="447">
        <f t="shared" si="57"/>
        <v>121.36148249375825</v>
      </c>
      <c r="J155" s="447">
        <f t="shared" si="57"/>
        <v>118.87470134740828</v>
      </c>
      <c r="K155" s="447">
        <f t="shared" si="57"/>
        <v>117.54138336315495</v>
      </c>
      <c r="L155" s="447">
        <f t="shared" si="57"/>
        <v>116.32183614169719</v>
      </c>
      <c r="M155" s="447">
        <f t="shared" si="57"/>
        <v>115.27020891034962</v>
      </c>
      <c r="N155" s="447">
        <f t="shared" si="57"/>
        <v>114.39376436192823</v>
      </c>
    </row>
    <row r="156" spans="1:14">
      <c r="A156" s="302">
        <f>SUM(C156:N156)</f>
        <v>0</v>
      </c>
      <c r="C156" s="302">
        <f>SUM(C145:C154)-C155</f>
        <v>0</v>
      </c>
      <c r="D156" s="302">
        <f t="shared" ref="D156:N156" si="58">SUM(D145:D154)-D155</f>
        <v>0</v>
      </c>
      <c r="E156" s="302">
        <f t="shared" si="58"/>
        <v>0</v>
      </c>
      <c r="F156" s="302">
        <f t="shared" si="58"/>
        <v>0</v>
      </c>
      <c r="G156" s="302">
        <f t="shared" si="58"/>
        <v>0</v>
      </c>
      <c r="H156" s="302">
        <f t="shared" si="58"/>
        <v>0</v>
      </c>
      <c r="I156" s="302">
        <f t="shared" si="58"/>
        <v>0</v>
      </c>
      <c r="J156" s="302">
        <f t="shared" si="58"/>
        <v>0</v>
      </c>
      <c r="K156" s="302">
        <f t="shared" si="58"/>
        <v>0</v>
      </c>
      <c r="L156" s="302">
        <f t="shared" si="58"/>
        <v>0</v>
      </c>
      <c r="M156" s="302">
        <f t="shared" si="58"/>
        <v>0</v>
      </c>
      <c r="N156" s="302">
        <f t="shared" si="58"/>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59">B144</f>
        <v>Age group</v>
      </c>
      <c r="C160" s="331" t="str">
        <f t="shared" ref="C160:N160" si="60">C144</f>
        <v>2017/18</v>
      </c>
      <c r="D160" s="331" t="str">
        <f t="shared" si="60"/>
        <v>2018/19</v>
      </c>
      <c r="E160" s="331" t="str">
        <f t="shared" si="60"/>
        <v>2019/20</v>
      </c>
      <c r="F160" s="331" t="str">
        <f t="shared" si="60"/>
        <v>2020/21</v>
      </c>
      <c r="G160" s="331" t="str">
        <f t="shared" si="60"/>
        <v>2021/22</v>
      </c>
      <c r="H160" s="331" t="str">
        <f t="shared" si="60"/>
        <v>2022/23</v>
      </c>
      <c r="I160" s="331" t="str">
        <f t="shared" si="60"/>
        <v>2023/24</v>
      </c>
      <c r="J160" s="331" t="str">
        <f t="shared" si="60"/>
        <v>2024/25</v>
      </c>
      <c r="K160" s="331" t="str">
        <f t="shared" si="60"/>
        <v>2025/26</v>
      </c>
      <c r="L160" s="331" t="str">
        <f t="shared" si="60"/>
        <v>2026/27</v>
      </c>
      <c r="M160" s="331" t="str">
        <f t="shared" si="60"/>
        <v>2027/28</v>
      </c>
      <c r="N160" s="331" t="str">
        <f t="shared" si="60"/>
        <v>2028/29</v>
      </c>
    </row>
    <row r="161" spans="1:16">
      <c r="B161" s="331" t="str">
        <f t="shared" si="59"/>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c r="P161" s="320"/>
    </row>
    <row r="162" spans="1:16">
      <c r="B162" s="331" t="str">
        <f t="shared" si="59"/>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c r="P162" s="320"/>
    </row>
    <row r="163" spans="1:16">
      <c r="B163" s="331" t="str">
        <f t="shared" si="59"/>
        <v>30-34</v>
      </c>
      <c r="C163" s="447">
        <f>C95*Calc_SEC_retirement_rates!$G142</f>
        <v>0.1451203525326355</v>
      </c>
      <c r="D163" s="447">
        <f>D95*Calc_SEC_retirement_rates!$G142</f>
        <v>0.13456563949019229</v>
      </c>
      <c r="E163" s="447">
        <f>E95*Calc_SEC_retirement_rates!$G142</f>
        <v>0.12606798155094653</v>
      </c>
      <c r="F163" s="447">
        <f>F95*Calc_SEC_retirement_rates!$G142</f>
        <v>0.11982871784090302</v>
      </c>
      <c r="G163" s="447">
        <f>G95*Calc_SEC_retirement_rates!$G142</f>
        <v>0.11605282931458219</v>
      </c>
      <c r="H163" s="447">
        <f>H95*Calc_SEC_retirement_rates!$G142</f>
        <v>0.11396425671279209</v>
      </c>
      <c r="I163" s="447">
        <f>I95*Calc_SEC_retirement_rates!$G142</f>
        <v>0.11335567090752956</v>
      </c>
      <c r="J163" s="447">
        <f>J95*Calc_SEC_retirement_rates!$G142</f>
        <v>0.11405627460246093</v>
      </c>
      <c r="K163" s="447">
        <f>K95*Calc_SEC_retirement_rates!$G142</f>
        <v>0.11602289957872879</v>
      </c>
      <c r="L163" s="447">
        <f>L95*Calc_SEC_retirement_rates!$G142</f>
        <v>0.11790284870948997</v>
      </c>
      <c r="M163" s="447">
        <f>M95*Calc_SEC_retirement_rates!$G142</f>
        <v>0.1196542363845071</v>
      </c>
      <c r="N163" s="447">
        <f>N95*Calc_SEC_retirement_rates!$G142</f>
        <v>0.12124967836923539</v>
      </c>
      <c r="O163" s="320"/>
      <c r="P163" s="320"/>
    </row>
    <row r="164" spans="1:16">
      <c r="B164" s="331" t="str">
        <f t="shared" si="59"/>
        <v>35-39</v>
      </c>
      <c r="C164" s="447">
        <f>C96*Calc_SEC_retirement_rates!$G143</f>
        <v>0.51300219106407163</v>
      </c>
      <c r="D164" s="447">
        <f>D96*Calc_SEC_retirement_rates!$G143</f>
        <v>0.50149639699780957</v>
      </c>
      <c r="E164" s="447">
        <f>E96*Calc_SEC_retirement_rates!$G143</f>
        <v>0.48701936339927426</v>
      </c>
      <c r="F164" s="447">
        <f>F96*Calc_SEC_retirement_rates!$G143</f>
        <v>0.47172488122156842</v>
      </c>
      <c r="G164" s="447">
        <f>G96*Calc_SEC_retirement_rates!$G143</f>
        <v>0.45816349476724672</v>
      </c>
      <c r="H164" s="447">
        <f>H96*Calc_SEC_retirement_rates!$G143</f>
        <v>0.44638177323543377</v>
      </c>
      <c r="I164" s="447">
        <f>I96*Calc_SEC_retirement_rates!$G143</f>
        <v>0.4373506834189636</v>
      </c>
      <c r="J164" s="447">
        <f>J96*Calc_SEC_retirement_rates!$G143</f>
        <v>0.43166053757948442</v>
      </c>
      <c r="K164" s="447">
        <f>K96*Calc_SEC_retirement_rates!$G143</f>
        <v>0.42984040359215581</v>
      </c>
      <c r="L164" s="447">
        <f>L96*Calc_SEC_retirement_rates!$G143</f>
        <v>0.4289097579677742</v>
      </c>
      <c r="M164" s="447">
        <f>M96*Calc_SEC_retirement_rates!$G143</f>
        <v>0.42902191518064459</v>
      </c>
      <c r="N164" s="447">
        <f>N96*Calc_SEC_retirement_rates!$G143</f>
        <v>0.43007338343817886</v>
      </c>
      <c r="O164" s="320"/>
      <c r="P164" s="320"/>
    </row>
    <row r="165" spans="1:16">
      <c r="B165" s="331" t="str">
        <f t="shared" si="59"/>
        <v>40-44</v>
      </c>
      <c r="C165" s="447">
        <f>C97*Calc_SEC_retirement_rates!$G144</f>
        <v>0.95717172621247426</v>
      </c>
      <c r="D165" s="447">
        <f>D97*Calc_SEC_retirement_rates!$G144</f>
        <v>0.97196358972409524</v>
      </c>
      <c r="E165" s="447">
        <f>E97*Calc_SEC_retirement_rates!$G144</f>
        <v>0.98028778794212257</v>
      </c>
      <c r="F165" s="447">
        <f>F97*Calc_SEC_retirement_rates!$G144</f>
        <v>0.98240207133004276</v>
      </c>
      <c r="G165" s="447">
        <f>G97*Calc_SEC_retirement_rates!$G144</f>
        <v>0.98108088164967744</v>
      </c>
      <c r="H165" s="447">
        <f>H97*Calc_SEC_retirement_rates!$G144</f>
        <v>0.97577342498988306</v>
      </c>
      <c r="I165" s="447">
        <f>I97*Calc_SEC_retirement_rates!$G144</f>
        <v>0.96886628926050511</v>
      </c>
      <c r="J165" s="447">
        <f>J97*Calc_SEC_retirement_rates!$G144</f>
        <v>0.96256393604168322</v>
      </c>
      <c r="K165" s="447">
        <f>K97*Calc_SEC_retirement_rates!$G144</f>
        <v>0.95914936348165858</v>
      </c>
      <c r="L165" s="447">
        <f>L97*Calc_SEC_retirement_rates!$G144</f>
        <v>0.95404262816695728</v>
      </c>
      <c r="M165" s="447">
        <f>M97*Calc_SEC_retirement_rates!$G144</f>
        <v>0.94894604182294606</v>
      </c>
      <c r="N165" s="447">
        <f>N97*Calc_SEC_retirement_rates!$G144</f>
        <v>0.94481091277165508</v>
      </c>
      <c r="O165" s="320"/>
      <c r="P165" s="320"/>
    </row>
    <row r="166" spans="1:16">
      <c r="B166" s="331" t="str">
        <f t="shared" si="59"/>
        <v>45-49</v>
      </c>
      <c r="C166" s="447">
        <f>C98*Calc_SEC_retirement_rates!$G145</f>
        <v>1.1851630742581392</v>
      </c>
      <c r="D166" s="447">
        <f>D98*Calc_SEC_retirement_rates!$G145</f>
        <v>1.1896710950548364</v>
      </c>
      <c r="E166" s="447">
        <f>E98*Calc_SEC_retirement_rates!$G145</f>
        <v>1.2000504108630707</v>
      </c>
      <c r="F166" s="447">
        <f>F98*Calc_SEC_retirement_rates!$G145</f>
        <v>1.212563227203024</v>
      </c>
      <c r="G166" s="447">
        <f>G98*Calc_SEC_retirement_rates!$G145</f>
        <v>1.2267288284130953</v>
      </c>
      <c r="H166" s="447">
        <f>H98*Calc_SEC_retirement_rates!$G145</f>
        <v>1.2384913476247525</v>
      </c>
      <c r="I166" s="447">
        <f>I98*Calc_SEC_retirement_rates!$G145</f>
        <v>1.2480956428173917</v>
      </c>
      <c r="J166" s="447">
        <f>J98*Calc_SEC_retirement_rates!$G145</f>
        <v>1.2564324113506433</v>
      </c>
      <c r="K166" s="447">
        <f>K98*Calc_SEC_retirement_rates!$G145</f>
        <v>1.2652789221490139</v>
      </c>
      <c r="L166" s="447">
        <f>L98*Calc_SEC_retirement_rates!$G145</f>
        <v>1.2684716410914909</v>
      </c>
      <c r="M166" s="447">
        <f>M98*Calc_SEC_retirement_rates!$G145</f>
        <v>1.2681742583458231</v>
      </c>
      <c r="N166" s="447">
        <f>N98*Calc_SEC_retirement_rates!$G145</f>
        <v>1.2659791346355445</v>
      </c>
      <c r="O166" s="320"/>
      <c r="P166" s="320"/>
    </row>
    <row r="167" spans="1:16">
      <c r="B167" s="331" t="str">
        <f t="shared" si="59"/>
        <v>50-54</v>
      </c>
      <c r="C167" s="447">
        <f>C99*Calc_SEC_retirement_rates!$G146</f>
        <v>22.036614161296018</v>
      </c>
      <c r="D167" s="447">
        <f>D99*Calc_SEC_retirement_rates!$G146</f>
        <v>21.577278364859463</v>
      </c>
      <c r="E167" s="447">
        <f>E99*Calc_SEC_retirement_rates!$G146</f>
        <v>21.320785870673777</v>
      </c>
      <c r="F167" s="447">
        <f>F99*Calc_SEC_retirement_rates!$G146</f>
        <v>21.226192205095231</v>
      </c>
      <c r="G167" s="447">
        <f>G99*Calc_SEC_retirement_rates!$G146</f>
        <v>21.288081957955431</v>
      </c>
      <c r="H167" s="447">
        <f>H99*Calc_SEC_retirement_rates!$G146</f>
        <v>21.422873843957547</v>
      </c>
      <c r="I167" s="447">
        <f>I99*Calc_SEC_retirement_rates!$G146</f>
        <v>21.611361554536415</v>
      </c>
      <c r="J167" s="447">
        <f>J99*Calc_SEC_retirement_rates!$G146</f>
        <v>21.841766102729498</v>
      </c>
      <c r="K167" s="447">
        <f>K99*Calc_SEC_retirement_rates!$G146</f>
        <v>22.118375357240676</v>
      </c>
      <c r="L167" s="447">
        <f>L99*Calc_SEC_retirement_rates!$G146</f>
        <v>22.31127413245828</v>
      </c>
      <c r="M167" s="447">
        <f>M99*Calc_SEC_retirement_rates!$G146</f>
        <v>22.440339429499733</v>
      </c>
      <c r="N167" s="447">
        <f>N99*Calc_SEC_retirement_rates!$G146</f>
        <v>22.520737568663122</v>
      </c>
      <c r="O167" s="320"/>
      <c r="P167" s="320"/>
    </row>
    <row r="168" spans="1:16">
      <c r="B168" s="331" t="str">
        <f t="shared" si="59"/>
        <v>55-59</v>
      </c>
      <c r="C168" s="447">
        <f>C100*Calc_SEC_retirement_rates!$G147</f>
        <v>114.44285345695279</v>
      </c>
      <c r="D168" s="447">
        <f>D100*Calc_SEC_retirement_rates!$G147</f>
        <v>101.97761383746146</v>
      </c>
      <c r="E168" s="447">
        <f>E100*Calc_SEC_retirement_rates!$G147</f>
        <v>94.07730851751802</v>
      </c>
      <c r="F168" s="447">
        <f>F100*Calc_SEC_retirement_rates!$G147</f>
        <v>89.204919377923872</v>
      </c>
      <c r="G168" s="447">
        <f>G100*Calc_SEC_retirement_rates!$G147</f>
        <v>86.529447441619169</v>
      </c>
      <c r="H168" s="447">
        <f>H100*Calc_SEC_retirement_rates!$G147</f>
        <v>85.138692864953384</v>
      </c>
      <c r="I168" s="447">
        <f>I100*Calc_SEC_retirement_rates!$G147</f>
        <v>84.675463449679441</v>
      </c>
      <c r="J168" s="447">
        <f>J100*Calc_SEC_retirement_rates!$G147</f>
        <v>84.902992508100169</v>
      </c>
      <c r="K168" s="447">
        <f>K100*Calc_SEC_retirement_rates!$G147</f>
        <v>85.705451984148468</v>
      </c>
      <c r="L168" s="447">
        <f>L100*Calc_SEC_retirement_rates!$G147</f>
        <v>86.350517293986627</v>
      </c>
      <c r="M168" s="447">
        <f>M100*Calc_SEC_retirement_rates!$G147</f>
        <v>86.885075108153686</v>
      </c>
      <c r="N168" s="447">
        <f>N100*Calc_SEC_retirement_rates!$G147</f>
        <v>87.324927070605327</v>
      </c>
      <c r="O168" s="320"/>
      <c r="P168" s="320"/>
    </row>
    <row r="169" spans="1:16">
      <c r="B169" s="331" t="str">
        <f t="shared" si="59"/>
        <v>60-64</v>
      </c>
      <c r="C169" s="447">
        <f>C101*Calc_SEC_retirement_rates!$G148</f>
        <v>82.855953605478192</v>
      </c>
      <c r="D169" s="447">
        <f>D101*Calc_SEC_retirement_rates!$G148</f>
        <v>76.741757066333719</v>
      </c>
      <c r="E169" s="447">
        <f>E101*Calc_SEC_retirement_rates!$G148</f>
        <v>70.607375960576661</v>
      </c>
      <c r="F169" s="447">
        <f>F101*Calc_SEC_retirement_rates!$G148</f>
        <v>65.674881558789053</v>
      </c>
      <c r="G169" s="447">
        <f>G101*Calc_SEC_retirement_rates!$G148</f>
        <v>62.286838235556665</v>
      </c>
      <c r="H169" s="447">
        <f>H101*Calc_SEC_retirement_rates!$G148</f>
        <v>60.005021421008436</v>
      </c>
      <c r="I169" s="447">
        <f>I101*Calc_SEC_retirement_rates!$G148</f>
        <v>58.67645571375877</v>
      </c>
      <c r="J169" s="447">
        <f>J101*Calc_SEC_retirement_rates!$G148</f>
        <v>58.133676893984699</v>
      </c>
      <c r="K169" s="447">
        <f>K101*Calc_SEC_retirement_rates!$G148</f>
        <v>58.269490071916401</v>
      </c>
      <c r="L169" s="447">
        <f>L101*Calc_SEC_retirement_rates!$G148</f>
        <v>58.37116570392908</v>
      </c>
      <c r="M169" s="447">
        <f>M101*Calc_SEC_retirement_rates!$G148</f>
        <v>58.498807017148202</v>
      </c>
      <c r="N169" s="447">
        <f>N101*Calc_SEC_retirement_rates!$G148</f>
        <v>58.660037884563714</v>
      </c>
      <c r="O169" s="320"/>
      <c r="P169" s="320"/>
    </row>
    <row r="170" spans="1:16">
      <c r="B170" s="331" t="str">
        <f t="shared" si="59"/>
        <v>65 plus</v>
      </c>
      <c r="C170" s="447">
        <f>C102*Calc_SEC_retirement_rates!$G149</f>
        <v>19.256803540365521</v>
      </c>
      <c r="D170" s="447">
        <f>D102*Calc_SEC_retirement_rates!$G149</f>
        <v>23.569609145091285</v>
      </c>
      <c r="E170" s="447">
        <f>E102*Calc_SEC_retirement_rates!$G149</f>
        <v>25.70474149295968</v>
      </c>
      <c r="F170" s="447">
        <f>F102*Calc_SEC_retirement_rates!$G149</f>
        <v>26.444560997079435</v>
      </c>
      <c r="G170" s="447">
        <f>G102*Calc_SEC_retirement_rates!$G149</f>
        <v>26.486064127703838</v>
      </c>
      <c r="H170" s="447">
        <f>H102*Calc_SEC_retirement_rates!$G149</f>
        <v>26.176441112900608</v>
      </c>
      <c r="I170" s="447">
        <f>I102*Calc_SEC_retirement_rates!$G149</f>
        <v>25.791886861065866</v>
      </c>
      <c r="J170" s="447">
        <f>J102*Calc_SEC_retirement_rates!$G149</f>
        <v>25.491583374390931</v>
      </c>
      <c r="K170" s="447">
        <f>K102*Calc_SEC_retirement_rates!$G149</f>
        <v>25.372495658764709</v>
      </c>
      <c r="L170" s="447">
        <f>L102*Calc_SEC_retirement_rates!$G149</f>
        <v>25.245631145906163</v>
      </c>
      <c r="M170" s="447">
        <f>M102*Calc_SEC_retirement_rates!$G149</f>
        <v>25.141875032359788</v>
      </c>
      <c r="N170" s="447">
        <f>N102*Calc_SEC_retirement_rates!$G149</f>
        <v>25.074402767124557</v>
      </c>
      <c r="O170" s="320"/>
      <c r="P170" s="320"/>
    </row>
    <row r="171" spans="1:16">
      <c r="B171" s="331" t="str">
        <f t="shared" si="59"/>
        <v>Total</v>
      </c>
      <c r="C171" s="447">
        <f>SUM(C161:C170)</f>
        <v>241.39268210815985</v>
      </c>
      <c r="D171" s="447">
        <f t="shared" ref="D171:N171" si="61">SUM(D161:D170)</f>
        <v>226.66395513501286</v>
      </c>
      <c r="E171" s="447">
        <f t="shared" si="61"/>
        <v>214.50363738548356</v>
      </c>
      <c r="F171" s="447">
        <f t="shared" si="61"/>
        <v>205.33707303648313</v>
      </c>
      <c r="G171" s="447">
        <f t="shared" si="61"/>
        <v>199.37245779697969</v>
      </c>
      <c r="H171" s="447">
        <f t="shared" si="61"/>
        <v>195.51764004538285</v>
      </c>
      <c r="I171" s="447">
        <f t="shared" si="61"/>
        <v>193.52283586544488</v>
      </c>
      <c r="J171" s="447">
        <f t="shared" si="61"/>
        <v>193.13473203877956</v>
      </c>
      <c r="K171" s="447">
        <f t="shared" si="61"/>
        <v>194.2361046608718</v>
      </c>
      <c r="L171" s="447">
        <f t="shared" si="61"/>
        <v>195.04791515221586</v>
      </c>
      <c r="M171" s="447">
        <f t="shared" si="61"/>
        <v>195.73189303889532</v>
      </c>
      <c r="N171" s="447">
        <f t="shared" si="61"/>
        <v>196.34221840017133</v>
      </c>
      <c r="O171" s="320"/>
      <c r="P171" s="320"/>
    </row>
    <row r="172" spans="1:16">
      <c r="A172" s="302">
        <f>SUM(C172:N172)</f>
        <v>0</v>
      </c>
      <c r="C172" s="302">
        <f>SUM(C161:C170)-C171</f>
        <v>0</v>
      </c>
      <c r="D172" s="302">
        <f t="shared" ref="D172:N172" si="62">SUM(D161:D170)-D171</f>
        <v>0</v>
      </c>
      <c r="E172" s="302">
        <f t="shared" si="62"/>
        <v>0</v>
      </c>
      <c r="F172" s="302">
        <f t="shared" si="62"/>
        <v>0</v>
      </c>
      <c r="G172" s="302">
        <f t="shared" si="62"/>
        <v>0</v>
      </c>
      <c r="H172" s="302">
        <f t="shared" si="62"/>
        <v>0</v>
      </c>
      <c r="I172" s="302">
        <f t="shared" si="62"/>
        <v>0</v>
      </c>
      <c r="J172" s="302">
        <f t="shared" si="62"/>
        <v>0</v>
      </c>
      <c r="K172" s="302">
        <f t="shared" si="62"/>
        <v>0</v>
      </c>
      <c r="L172" s="302">
        <f t="shared" si="62"/>
        <v>0</v>
      </c>
      <c r="M172" s="302">
        <f t="shared" si="62"/>
        <v>0</v>
      </c>
      <c r="N172" s="302">
        <f t="shared" si="62"/>
        <v>0</v>
      </c>
    </row>
    <row r="174" spans="1:16" ht="15.75">
      <c r="B174" s="333" t="s">
        <v>527</v>
      </c>
      <c r="H174" s="318"/>
    </row>
    <row r="175" spans="1:16">
      <c r="H175" s="318"/>
    </row>
    <row r="176" spans="1:16">
      <c r="B176" s="334" t="s">
        <v>46</v>
      </c>
      <c r="H176" s="318"/>
    </row>
    <row r="177" spans="1:14">
      <c r="H177" s="318"/>
    </row>
    <row r="178" spans="1:14">
      <c r="B178" s="331" t="str">
        <f t="shared" ref="B178:B189" si="63">B144</f>
        <v>Age group</v>
      </c>
      <c r="C178" s="331" t="str">
        <f t="shared" ref="C178:N178" si="64">C144</f>
        <v>2017/18</v>
      </c>
      <c r="D178" s="331" t="str">
        <f t="shared" si="64"/>
        <v>2018/19</v>
      </c>
      <c r="E178" s="331" t="str">
        <f t="shared" si="64"/>
        <v>2019/20</v>
      </c>
      <c r="F178" s="331" t="str">
        <f t="shared" si="64"/>
        <v>2020/21</v>
      </c>
      <c r="G178" s="331" t="str">
        <f t="shared" si="64"/>
        <v>2021/22</v>
      </c>
      <c r="H178" s="331" t="str">
        <f t="shared" si="64"/>
        <v>2022/23</v>
      </c>
      <c r="I178" s="331" t="str">
        <f t="shared" si="64"/>
        <v>2023/24</v>
      </c>
      <c r="J178" s="331" t="str">
        <f t="shared" si="64"/>
        <v>2024/25</v>
      </c>
      <c r="K178" s="331" t="str">
        <f t="shared" si="64"/>
        <v>2025/26</v>
      </c>
      <c r="L178" s="331" t="str">
        <f t="shared" si="64"/>
        <v>2026/27</v>
      </c>
      <c r="M178" s="331" t="str">
        <f t="shared" si="64"/>
        <v>2027/28</v>
      </c>
      <c r="N178" s="331" t="str">
        <f t="shared" si="64"/>
        <v>2028/29</v>
      </c>
    </row>
    <row r="179" spans="1:14">
      <c r="B179" s="331" t="str">
        <f t="shared" si="63"/>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3"/>
        <v>25-29</v>
      </c>
      <c r="C180" s="447">
        <f>C78*Calc_SEC_death_rates!$G125</f>
        <v>3.9795004410449517E-2</v>
      </c>
      <c r="D180" s="447">
        <f>D78*Calc_SEC_death_rates!$G125</f>
        <v>3.9400607361354062E-2</v>
      </c>
      <c r="E180" s="447">
        <f>E78*Calc_SEC_death_rates!$G125</f>
        <v>4.0634323815890085E-2</v>
      </c>
      <c r="F180" s="447">
        <f>F78*Calc_SEC_death_rates!$G125</f>
        <v>4.2787558111050471E-2</v>
      </c>
      <c r="G180" s="447">
        <f>G78*Calc_SEC_death_rates!$G125</f>
        <v>4.5920346319636575E-2</v>
      </c>
      <c r="H180" s="447">
        <f>H78*Calc_SEC_death_rates!$G125</f>
        <v>4.9018897820549072E-2</v>
      </c>
      <c r="I180" s="447">
        <f>I78*Calc_SEC_death_rates!$G125</f>
        <v>5.2086604226274376E-2</v>
      </c>
      <c r="J180" s="447">
        <f>J78*Calc_SEC_death_rates!$G125</f>
        <v>5.5183284659172521E-2</v>
      </c>
      <c r="K180" s="447">
        <f>K78*Calc_SEC_death_rates!$G125</f>
        <v>5.847024727067289E-2</v>
      </c>
      <c r="L180" s="447">
        <f>L78*Calc_SEC_death_rates!$G125</f>
        <v>6.0815354817207214E-2</v>
      </c>
      <c r="M180" s="447">
        <f>M78*Calc_SEC_death_rates!$G125</f>
        <v>6.2504659229670273E-2</v>
      </c>
      <c r="N180" s="447">
        <f>N78*Calc_SEC_death_rates!$G125</f>
        <v>6.3740358058081786E-2</v>
      </c>
    </row>
    <row r="181" spans="1:14">
      <c r="B181" s="331" t="str">
        <f t="shared" si="63"/>
        <v>30-34</v>
      </c>
      <c r="C181" s="447">
        <f>C79*Calc_SEC_death_rates!$G126</f>
        <v>0.20757424336765956</v>
      </c>
      <c r="D181" s="447">
        <f>D79*Calc_SEC_death_rates!$G126</f>
        <v>0.19270826108432693</v>
      </c>
      <c r="E181" s="447">
        <f>E79*Calc_SEC_death_rates!$G126</f>
        <v>0.18292767766647328</v>
      </c>
      <c r="F181" s="447">
        <f>F79*Calc_SEC_death_rates!$G126</f>
        <v>0.17713722484545094</v>
      </c>
      <c r="G181" s="447">
        <f>G79*Calc_SEC_death_rates!$G126</f>
        <v>0.17595741805269974</v>
      </c>
      <c r="H181" s="447">
        <f>H79*Calc_SEC_death_rates!$G126</f>
        <v>0.17733337418656978</v>
      </c>
      <c r="I181" s="447">
        <f>I79*Calc_SEC_death_rates!$G126</f>
        <v>0.18079439125875263</v>
      </c>
      <c r="J181" s="447">
        <f>J79*Calc_SEC_death_rates!$G126</f>
        <v>0.18600508782751649</v>
      </c>
      <c r="K181" s="447">
        <f>K79*Calc_SEC_death_rates!$G126</f>
        <v>0.19289707407665388</v>
      </c>
      <c r="L181" s="447">
        <f>L79*Calc_SEC_death_rates!$G126</f>
        <v>0.19917175825721881</v>
      </c>
      <c r="M181" s="447">
        <f>M79*Calc_SEC_death_rates!$G126</f>
        <v>0.20478416778479314</v>
      </c>
      <c r="N181" s="447">
        <f>N79*Calc_SEC_death_rates!$G126</f>
        <v>0.2097265944391643</v>
      </c>
    </row>
    <row r="182" spans="1:14">
      <c r="B182" s="331" t="str">
        <f t="shared" si="63"/>
        <v>35-39</v>
      </c>
      <c r="C182" s="447">
        <f>C80*Calc_SEC_death_rates!$G127</f>
        <v>0.43526817037998022</v>
      </c>
      <c r="D182" s="447">
        <f>D80*Calc_SEC_death_rates!$G127</f>
        <v>0.42083235897328947</v>
      </c>
      <c r="E182" s="447">
        <f>E80*Calc_SEC_death_rates!$G127</f>
        <v>0.40703879316109903</v>
      </c>
      <c r="F182" s="447">
        <f>F80*Calc_SEC_death_rates!$G127</f>
        <v>0.39383022258749156</v>
      </c>
      <c r="G182" s="447">
        <f>G80*Calc_SEC_death_rates!$G127</f>
        <v>0.38464104838246843</v>
      </c>
      <c r="H182" s="447">
        <f>H80*Calc_SEC_death_rates!$G127</f>
        <v>0.37807222437935417</v>
      </c>
      <c r="I182" s="447">
        <f>I80*Calc_SEC_death_rates!$G127</f>
        <v>0.3746506776798238</v>
      </c>
      <c r="J182" s="447">
        <f>J80*Calc_SEC_death_rates!$G127</f>
        <v>0.37461293699132486</v>
      </c>
      <c r="K182" s="447">
        <f>K80*Calc_SEC_death_rates!$G127</f>
        <v>0.3782053154393446</v>
      </c>
      <c r="L182" s="447">
        <f>L80*Calc_SEC_death_rates!$G127</f>
        <v>0.38254413878788884</v>
      </c>
      <c r="M182" s="447">
        <f>M80*Calc_SEC_death_rates!$G127</f>
        <v>0.38762067807547917</v>
      </c>
      <c r="N182" s="447">
        <f>N80*Calc_SEC_death_rates!$G127</f>
        <v>0.39324119140099617</v>
      </c>
    </row>
    <row r="183" spans="1:14">
      <c r="B183" s="331" t="str">
        <f t="shared" si="63"/>
        <v>40-44</v>
      </c>
      <c r="C183" s="447">
        <f>C81*Calc_SEC_death_rates!$G128</f>
        <v>0.5942587326158546</v>
      </c>
      <c r="D183" s="447">
        <f>D81*Calc_SEC_death_rates!$G128</f>
        <v>0.58521839247029794</v>
      </c>
      <c r="E183" s="447">
        <f>E81*Calc_SEC_death_rates!$G128</f>
        <v>0.5778177718582429</v>
      </c>
      <c r="F183" s="447">
        <f>F81*Calc_SEC_death_rates!$G128</f>
        <v>0.56896082708850737</v>
      </c>
      <c r="G183" s="447">
        <f>G81*Calc_SEC_death_rates!$G128</f>
        <v>0.56236103953246941</v>
      </c>
      <c r="H183" s="447">
        <f>H81*Calc_SEC_death_rates!$G128</f>
        <v>0.5558068962574394</v>
      </c>
      <c r="I183" s="447">
        <f>I81*Calc_SEC_death_rates!$G128</f>
        <v>0.55034135448196475</v>
      </c>
      <c r="J183" s="447">
        <f>J81*Calc_SEC_death_rates!$G128</f>
        <v>0.54690065675264132</v>
      </c>
      <c r="K183" s="447">
        <f>K81*Calc_SEC_death_rates!$G128</f>
        <v>0.54648038901258367</v>
      </c>
      <c r="L183" s="447">
        <f>L81*Calc_SEC_death_rates!$G128</f>
        <v>0.54610918352316273</v>
      </c>
      <c r="M183" s="447">
        <f>M81*Calc_SEC_death_rates!$G128</f>
        <v>0.54648808934870874</v>
      </c>
      <c r="N183" s="447">
        <f>N81*Calc_SEC_death_rates!$G128</f>
        <v>0.54791971273285345</v>
      </c>
    </row>
    <row r="184" spans="1:14">
      <c r="B184" s="331" t="str">
        <f t="shared" si="63"/>
        <v>45-49</v>
      </c>
      <c r="C184" s="447">
        <f>C82*Calc_SEC_death_rates!$G129</f>
        <v>0.83918462567313246</v>
      </c>
      <c r="D184" s="447">
        <f>D82*Calc_SEC_death_rates!$G129</f>
        <v>0.81259264836637368</v>
      </c>
      <c r="E184" s="447">
        <f>E82*Calc_SEC_death_rates!$G129</f>
        <v>0.7951344878126706</v>
      </c>
      <c r="F184" s="447">
        <f>F82*Calc_SEC_death_rates!$G129</f>
        <v>0.78038895840444</v>
      </c>
      <c r="G184" s="447">
        <f>G82*Calc_SEC_death_rates!$G129</f>
        <v>0.77181643552863277</v>
      </c>
      <c r="H184" s="447">
        <f>H82*Calc_SEC_death_rates!$G129</f>
        <v>0.76477075555279617</v>
      </c>
      <c r="I184" s="447">
        <f>I82*Calc_SEC_death_rates!$G129</f>
        <v>0.75926155514897087</v>
      </c>
      <c r="J184" s="447">
        <f>J82*Calc_SEC_death_rates!$G129</f>
        <v>0.75561387191342599</v>
      </c>
      <c r="K184" s="447">
        <f>K82*Calc_SEC_death_rates!$G129</f>
        <v>0.75462534095174505</v>
      </c>
      <c r="L184" s="447">
        <f>L82*Calc_SEC_death_rates!$G129</f>
        <v>0.75246859382718656</v>
      </c>
      <c r="M184" s="447">
        <f>M82*Calc_SEC_death_rates!$G129</f>
        <v>0.75010054123535652</v>
      </c>
      <c r="N184" s="447">
        <f>N82*Calc_SEC_death_rates!$G129</f>
        <v>0.74815422227092765</v>
      </c>
    </row>
    <row r="185" spans="1:14">
      <c r="B185" s="331" t="str">
        <f t="shared" si="63"/>
        <v>50-54</v>
      </c>
      <c r="C185" s="447">
        <f>C83*Calc_SEC_death_rates!$G130</f>
        <v>0.80998107099218752</v>
      </c>
      <c r="D185" s="447">
        <f>D83*Calc_SEC_death_rates!$G130</f>
        <v>0.7799092809399446</v>
      </c>
      <c r="E185" s="447">
        <f>E83*Calc_SEC_death_rates!$G130</f>
        <v>0.75725022692719979</v>
      </c>
      <c r="F185" s="447">
        <f>F83*Calc_SEC_death_rates!$G130</f>
        <v>0.73727146259738097</v>
      </c>
      <c r="G185" s="447">
        <f>G83*Calc_SEC_death_rates!$G130</f>
        <v>0.72424317075283939</v>
      </c>
      <c r="H185" s="447">
        <f>H83*Calc_SEC_death_rates!$G130</f>
        <v>0.71413040703479702</v>
      </c>
      <c r="I185" s="447">
        <f>I83*Calc_SEC_death_rates!$G130</f>
        <v>0.70676382368076451</v>
      </c>
      <c r="J185" s="447">
        <f>J83*Calc_SEC_death_rates!$G130</f>
        <v>0.70204804018943678</v>
      </c>
      <c r="K185" s="447">
        <f>K83*Calc_SEC_death_rates!$G130</f>
        <v>0.70024450583694464</v>
      </c>
      <c r="L185" s="447">
        <f>L83*Calc_SEC_death_rates!$G130</f>
        <v>0.6976055519472788</v>
      </c>
      <c r="M185" s="447">
        <f>M83*Calc_SEC_death_rates!$G130</f>
        <v>0.69467776152861094</v>
      </c>
      <c r="N185" s="447">
        <f>N83*Calc_SEC_death_rates!$G130</f>
        <v>0.6918208000915167</v>
      </c>
    </row>
    <row r="186" spans="1:14">
      <c r="B186" s="331" t="str">
        <f t="shared" si="63"/>
        <v>55-59</v>
      </c>
      <c r="C186" s="447">
        <f>C84*Calc_SEC_death_rates!$G131</f>
        <v>0.82698454586340309</v>
      </c>
      <c r="D186" s="447">
        <f>D84*Calc_SEC_death_rates!$G131</f>
        <v>0.72534079301085974</v>
      </c>
      <c r="E186" s="447">
        <f>E84*Calc_SEC_death_rates!$G131</f>
        <v>0.66011415730012102</v>
      </c>
      <c r="F186" s="447">
        <f>F84*Calc_SEC_death_rates!$G131</f>
        <v>0.61562940455566761</v>
      </c>
      <c r="G186" s="447">
        <f>G84*Calc_SEC_death_rates!$G131</f>
        <v>0.58752961909851009</v>
      </c>
      <c r="H186" s="447">
        <f>H84*Calc_SEC_death_rates!$G131</f>
        <v>0.56825313344896655</v>
      </c>
      <c r="I186" s="447">
        <f>I84*Calc_SEC_death_rates!$G131</f>
        <v>0.55534849455348489</v>
      </c>
      <c r="J186" s="447">
        <f>J84*Calc_SEC_death_rates!$G131</f>
        <v>0.54731783153727465</v>
      </c>
      <c r="K186" s="447">
        <f>K84*Calc_SEC_death_rates!$G131</f>
        <v>0.54347900258980741</v>
      </c>
      <c r="L186" s="447">
        <f>L84*Calc_SEC_death_rates!$G131</f>
        <v>0.53964049838560912</v>
      </c>
      <c r="M186" s="447">
        <f>M84*Calc_SEC_death_rates!$G131</f>
        <v>0.53611164425701452</v>
      </c>
      <c r="N186" s="447">
        <f>N84*Calc_SEC_death_rates!$G131</f>
        <v>0.53299820299736267</v>
      </c>
    </row>
    <row r="187" spans="1:14">
      <c r="B187" s="331" t="str">
        <f t="shared" si="63"/>
        <v>60-64</v>
      </c>
      <c r="C187" s="447">
        <f>C85*Calc_SEC_death_rates!$G132</f>
        <v>0.64689444275668329</v>
      </c>
      <c r="D187" s="447">
        <f>D85*Calc_SEC_death_rates!$G132</f>
        <v>0.56135009724341689</v>
      </c>
      <c r="E187" s="447">
        <f>E85*Calc_SEC_death_rates!$G132</f>
        <v>0.49513847390550325</v>
      </c>
      <c r="F187" s="447">
        <f>F85*Calc_SEC_death_rates!$G132</f>
        <v>0.44565300290257048</v>
      </c>
      <c r="G187" s="447">
        <f>G85*Calc_SEC_death_rates!$G132</f>
        <v>0.41238899924377553</v>
      </c>
      <c r="H187" s="447">
        <f>H85*Calc_SEC_death_rates!$G132</f>
        <v>0.38915468477713111</v>
      </c>
      <c r="I187" s="447">
        <f>I85*Calc_SEC_death_rates!$G132</f>
        <v>0.37355595736244485</v>
      </c>
      <c r="J187" s="447">
        <f>J85*Calc_SEC_death_rates!$G132</f>
        <v>0.36377562525341867</v>
      </c>
      <c r="K187" s="447">
        <f>K85*Calc_SEC_death_rates!$G132</f>
        <v>0.35873123874197133</v>
      </c>
      <c r="L187" s="447">
        <f>L85*Calc_SEC_death_rates!$G132</f>
        <v>0.35421433737302277</v>
      </c>
      <c r="M187" s="447">
        <f>M85*Calc_SEC_death_rates!$G132</f>
        <v>0.35043545663357045</v>
      </c>
      <c r="N187" s="447">
        <f>N85*Calc_SEC_death_rates!$G132</f>
        <v>0.34738378469461173</v>
      </c>
    </row>
    <row r="188" spans="1:14">
      <c r="B188" s="331" t="str">
        <f t="shared" si="63"/>
        <v>65 plus</v>
      </c>
      <c r="C188" s="447">
        <f>C86*Calc_SEC_death_rates!$G133</f>
        <v>0.25131697656600499</v>
      </c>
      <c r="D188" s="447">
        <f>D86*Calc_SEC_death_rates!$G133</f>
        <v>0.24771924321095881</v>
      </c>
      <c r="E188" s="447">
        <f>E86*Calc_SEC_death_rates!$G133</f>
        <v>0.2359011229843552</v>
      </c>
      <c r="F188" s="447">
        <f>F86*Calc_SEC_death_rates!$G133</f>
        <v>0.21978732190747977</v>
      </c>
      <c r="G188" s="447">
        <f>G86*Calc_SEC_death_rates!$G133</f>
        <v>0.20512643151629584</v>
      </c>
      <c r="H188" s="447">
        <f>H86*Calc_SEC_death_rates!$G133</f>
        <v>0.19222100903806075</v>
      </c>
      <c r="I188" s="447">
        <f>I86*Calc_SEC_death_rates!$G133</f>
        <v>0.1818387699404386</v>
      </c>
      <c r="J188" s="447">
        <f>J86*Calc_SEC_death_rates!$G133</f>
        <v>0.17413202875582423</v>
      </c>
      <c r="K188" s="447">
        <f>K86*Calc_SEC_death_rates!$G133</f>
        <v>0.16904736526738146</v>
      </c>
      <c r="L188" s="447">
        <f>L86*Calc_SEC_death_rates!$G133</f>
        <v>0.16488740391734522</v>
      </c>
      <c r="M188" s="447">
        <f>M86*Calc_SEC_death_rates!$G133</f>
        <v>0.16155871799341368</v>
      </c>
      <c r="N188" s="447">
        <f>N86*Calc_SEC_death_rates!$G133</f>
        <v>0.15894762799897139</v>
      </c>
    </row>
    <row r="189" spans="1:14">
      <c r="B189" s="331" t="str">
        <f t="shared" si="63"/>
        <v>Total</v>
      </c>
      <c r="C189" s="447">
        <f>SUM(C179:C188)</f>
        <v>4.6512578126253548</v>
      </c>
      <c r="D189" s="447">
        <f t="shared" ref="D189:N189" si="65">SUM(D179:D188)</f>
        <v>4.3650716826608225</v>
      </c>
      <c r="E189" s="447">
        <f t="shared" si="65"/>
        <v>4.1519570354315549</v>
      </c>
      <c r="F189" s="447">
        <f t="shared" si="65"/>
        <v>3.9814459830000399</v>
      </c>
      <c r="G189" s="447">
        <f t="shared" si="65"/>
        <v>3.8699845084273279</v>
      </c>
      <c r="H189" s="447">
        <f t="shared" si="65"/>
        <v>3.7887613824956641</v>
      </c>
      <c r="I189" s="447">
        <f t="shared" si="65"/>
        <v>3.7346416283329189</v>
      </c>
      <c r="J189" s="447">
        <f t="shared" si="65"/>
        <v>3.7055893638800357</v>
      </c>
      <c r="K189" s="447">
        <f t="shared" si="65"/>
        <v>3.7021804791871054</v>
      </c>
      <c r="L189" s="447">
        <f t="shared" si="65"/>
        <v>3.69745682083592</v>
      </c>
      <c r="M189" s="447">
        <f t="shared" si="65"/>
        <v>3.6942817160866173</v>
      </c>
      <c r="N189" s="447">
        <f t="shared" si="65"/>
        <v>3.6939324946844856</v>
      </c>
    </row>
    <row r="190" spans="1:14">
      <c r="A190" s="302">
        <f>SUM(C190:N190)</f>
        <v>0</v>
      </c>
      <c r="C190" s="302">
        <f>SUM(C179:C188)-C189</f>
        <v>0</v>
      </c>
      <c r="D190" s="302">
        <f t="shared" ref="D190:N190" si="66">SUM(D179:D188)-D189</f>
        <v>0</v>
      </c>
      <c r="E190" s="302">
        <f t="shared" si="66"/>
        <v>0</v>
      </c>
      <c r="F190" s="302">
        <f t="shared" si="66"/>
        <v>0</v>
      </c>
      <c r="G190" s="302">
        <f t="shared" si="66"/>
        <v>0</v>
      </c>
      <c r="H190" s="302">
        <f t="shared" si="66"/>
        <v>0</v>
      </c>
      <c r="I190" s="302">
        <f t="shared" si="66"/>
        <v>0</v>
      </c>
      <c r="J190" s="302">
        <f t="shared" si="66"/>
        <v>0</v>
      </c>
      <c r="K190" s="302">
        <f t="shared" si="66"/>
        <v>0</v>
      </c>
      <c r="L190" s="302">
        <f t="shared" si="66"/>
        <v>0</v>
      </c>
      <c r="M190" s="302">
        <f t="shared" si="66"/>
        <v>0</v>
      </c>
      <c r="N190" s="302">
        <f t="shared" si="66"/>
        <v>0</v>
      </c>
    </row>
    <row r="192" spans="1:14">
      <c r="B192" s="334" t="s">
        <v>47</v>
      </c>
      <c r="C192" s="322"/>
      <c r="D192" s="322"/>
      <c r="E192" s="322"/>
      <c r="F192" s="322"/>
      <c r="G192" s="322"/>
      <c r="H192" s="332"/>
      <c r="I192" s="322"/>
      <c r="J192" s="322"/>
      <c r="K192" s="322"/>
      <c r="L192" s="322"/>
    </row>
    <row r="193" spans="1:14">
      <c r="C193" s="322"/>
      <c r="D193" s="322"/>
      <c r="E193" s="322"/>
      <c r="F193" s="322"/>
      <c r="G193" s="322"/>
      <c r="H193" s="332"/>
      <c r="I193" s="322"/>
      <c r="J193" s="322"/>
      <c r="K193" s="322"/>
      <c r="L193" s="322"/>
    </row>
    <row r="194" spans="1:14">
      <c r="B194" s="331" t="str">
        <f t="shared" ref="B194:B205" si="67">B178</f>
        <v>Age group</v>
      </c>
      <c r="C194" s="331" t="str">
        <f t="shared" ref="C194:N194" si="68">C178</f>
        <v>2017/18</v>
      </c>
      <c r="D194" s="331" t="str">
        <f t="shared" si="68"/>
        <v>2018/19</v>
      </c>
      <c r="E194" s="331" t="str">
        <f t="shared" si="68"/>
        <v>2019/20</v>
      </c>
      <c r="F194" s="331" t="str">
        <f t="shared" si="68"/>
        <v>2020/21</v>
      </c>
      <c r="G194" s="331" t="str">
        <f t="shared" si="68"/>
        <v>2021/22</v>
      </c>
      <c r="H194" s="331" t="str">
        <f t="shared" si="68"/>
        <v>2022/23</v>
      </c>
      <c r="I194" s="331" t="str">
        <f t="shared" si="68"/>
        <v>2023/24</v>
      </c>
      <c r="J194" s="331" t="str">
        <f t="shared" si="68"/>
        <v>2024/25</v>
      </c>
      <c r="K194" s="331" t="str">
        <f t="shared" si="68"/>
        <v>2025/26</v>
      </c>
      <c r="L194" s="331" t="str">
        <f t="shared" si="68"/>
        <v>2026/27</v>
      </c>
      <c r="M194" s="331" t="str">
        <f t="shared" si="68"/>
        <v>2027/28</v>
      </c>
      <c r="N194" s="331" t="str">
        <f t="shared" si="68"/>
        <v>2028/29</v>
      </c>
    </row>
    <row r="195" spans="1:14">
      <c r="B195" s="331" t="str">
        <f t="shared" si="67"/>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row>
    <row r="196" spans="1:14">
      <c r="B196" s="331" t="str">
        <f t="shared" si="67"/>
        <v>25-29</v>
      </c>
      <c r="C196" s="447">
        <f>C94*Calc_SEC_death_rates!$G141</f>
        <v>0.14003803076716367</v>
      </c>
      <c r="D196" s="447">
        <f>D94*Calc_SEC_death_rates!$G141</f>
        <v>0.13027972809344796</v>
      </c>
      <c r="E196" s="447">
        <f>E94*Calc_SEC_death_rates!$G141</f>
        <v>0.1258878154992715</v>
      </c>
      <c r="F196" s="447">
        <f>F94*Calc_SEC_death_rates!$G141</f>
        <v>0.12542133258109536</v>
      </c>
      <c r="G196" s="447">
        <f>G94*Calc_SEC_death_rates!$G141</f>
        <v>0.1283020803303766</v>
      </c>
      <c r="H196" s="447">
        <f>H94*Calc_SEC_death_rates!$G141</f>
        <v>0.13215267250421858</v>
      </c>
      <c r="I196" s="447">
        <f>I94*Calc_SEC_death_rates!$G141</f>
        <v>0.13676971933693707</v>
      </c>
      <c r="J196" s="447">
        <f>J94*Calc_SEC_death_rates!$G141</f>
        <v>0.14212372355666883</v>
      </c>
      <c r="K196" s="447">
        <f>K94*Calc_SEC_death_rates!$G141</f>
        <v>0.14846707697500494</v>
      </c>
      <c r="L196" s="447">
        <f>L94*Calc_SEC_death_rates!$G141</f>
        <v>0.1528954825009072</v>
      </c>
      <c r="M196" s="447">
        <f>M94*Calc_SEC_death_rates!$G141</f>
        <v>0.15602481668090074</v>
      </c>
      <c r="N196" s="447">
        <f>N94*Calc_SEC_death_rates!$G141</f>
        <v>0.15828212307173434</v>
      </c>
    </row>
    <row r="197" spans="1:14">
      <c r="B197" s="331" t="str">
        <f t="shared" si="67"/>
        <v>30-34</v>
      </c>
      <c r="C197" s="447">
        <f>C95*Calc_SEC_death_rates!$G142</f>
        <v>0.15864898041942646</v>
      </c>
      <c r="D197" s="447">
        <f>D95*Calc_SEC_death_rates!$G142</f>
        <v>0.14711032003458024</v>
      </c>
      <c r="E197" s="447">
        <f>E95*Calc_SEC_death_rates!$G142</f>
        <v>0.13782048063930175</v>
      </c>
      <c r="F197" s="447">
        <f>F95*Calc_SEC_death_rates!$G142</f>
        <v>0.13099957089858341</v>
      </c>
      <c r="G197" s="447">
        <f>G95*Calc_SEC_death_rates!$G142</f>
        <v>0.12687168080995168</v>
      </c>
      <c r="H197" s="447">
        <f>H95*Calc_SEC_death_rates!$G142</f>
        <v>0.1245884041501087</v>
      </c>
      <c r="I197" s="447">
        <f>I95*Calc_SEC_death_rates!$G142</f>
        <v>0.12392308384308338</v>
      </c>
      <c r="J197" s="447">
        <f>J95*Calc_SEC_death_rates!$G142</f>
        <v>0.12468900026996051</v>
      </c>
      <c r="K197" s="447">
        <f>K95*Calc_SEC_death_rates!$G142</f>
        <v>0.12683896091922306</v>
      </c>
      <c r="L197" s="447">
        <f>L95*Calc_SEC_death_rates!$G142</f>
        <v>0.12889416549687577</v>
      </c>
      <c r="M197" s="447">
        <f>M95*Calc_SEC_death_rates!$G142</f>
        <v>0.13080882366929258</v>
      </c>
      <c r="N197" s="447">
        <f>N95*Calc_SEC_death_rates!$G142</f>
        <v>0.13255299834760703</v>
      </c>
    </row>
    <row r="198" spans="1:14">
      <c r="B198" s="331" t="str">
        <f t="shared" si="67"/>
        <v>35-39</v>
      </c>
      <c r="C198" s="447">
        <f>C96*Calc_SEC_death_rates!$G143</f>
        <v>0.73709438966354535</v>
      </c>
      <c r="D198" s="447">
        <f>D96*Calc_SEC_death_rates!$G143</f>
        <v>0.72056257673449164</v>
      </c>
      <c r="E198" s="447">
        <f>E96*Calc_SEC_death_rates!$G143</f>
        <v>0.69976161246898372</v>
      </c>
      <c r="F198" s="447">
        <f>F96*Calc_SEC_death_rates!$G143</f>
        <v>0.67778611762243623</v>
      </c>
      <c r="G198" s="447">
        <f>G96*Calc_SEC_death_rates!$G143</f>
        <v>0.65830077809434195</v>
      </c>
      <c r="H198" s="447">
        <f>H96*Calc_SEC_death_rates!$G143</f>
        <v>0.6413725056757299</v>
      </c>
      <c r="I198" s="447">
        <f>I96*Calc_SEC_death_rates!$G143</f>
        <v>0.6283964097599205</v>
      </c>
      <c r="J198" s="447">
        <f>J96*Calc_SEC_death_rates!$G143</f>
        <v>0.62022066578122936</v>
      </c>
      <c r="K198" s="447">
        <f>K96*Calc_SEC_death_rates!$G143</f>
        <v>0.6176054517063867</v>
      </c>
      <c r="L198" s="447">
        <f>L96*Calc_SEC_death_rates!$G143</f>
        <v>0.61626827677722362</v>
      </c>
      <c r="M198" s="447">
        <f>M96*Calc_SEC_death_rates!$G143</f>
        <v>0.61642942706821091</v>
      </c>
      <c r="N198" s="447">
        <f>N96*Calc_SEC_death_rates!$G143</f>
        <v>0.61794020298113672</v>
      </c>
    </row>
    <row r="199" spans="1:14">
      <c r="B199" s="331" t="str">
        <f t="shared" si="67"/>
        <v>40-44</v>
      </c>
      <c r="C199" s="447">
        <f>C97*Calc_SEC_death_rates!$G144</f>
        <v>0.51613577558267532</v>
      </c>
      <c r="D199" s="447">
        <f>D97*Calc_SEC_death_rates!$G144</f>
        <v>0.52411199315869339</v>
      </c>
      <c r="E199" s="447">
        <f>E97*Calc_SEC_death_rates!$G144</f>
        <v>0.52860065113479804</v>
      </c>
      <c r="F199" s="447">
        <f>F97*Calc_SEC_death_rates!$G144</f>
        <v>0.52974073631109542</v>
      </c>
      <c r="G199" s="447">
        <f>G97*Calc_SEC_death_rates!$G144</f>
        <v>0.52902831110912507</v>
      </c>
      <c r="H199" s="447">
        <f>H97*Calc_SEC_death_rates!$G144</f>
        <v>0.52616637089039953</v>
      </c>
      <c r="I199" s="447">
        <f>I97*Calc_SEC_death_rates!$G144</f>
        <v>0.52244183561725255</v>
      </c>
      <c r="J199" s="447">
        <f>J97*Calc_SEC_death_rates!$G144</f>
        <v>0.5190434172587578</v>
      </c>
      <c r="K199" s="447">
        <f>K97*Calc_SEC_death_rates!$G144</f>
        <v>0.51720217706299343</v>
      </c>
      <c r="L199" s="447">
        <f>L97*Calc_SEC_death_rates!$G144</f>
        <v>0.51444847182895093</v>
      </c>
      <c r="M199" s="447">
        <f>M97*Calc_SEC_death_rates!$G144</f>
        <v>0.5117002392250698</v>
      </c>
      <c r="N199" s="447">
        <f>N97*Calc_SEC_death_rates!$G144</f>
        <v>0.50947045330309326</v>
      </c>
    </row>
    <row r="200" spans="1:14">
      <c r="B200" s="331" t="str">
        <f t="shared" si="67"/>
        <v>45-49</v>
      </c>
      <c r="C200" s="447">
        <f>C98*Calc_SEC_death_rates!$G145</f>
        <v>0.81567353543824805</v>
      </c>
      <c r="D200" s="447">
        <f>D98*Calc_SEC_death_rates!$G145</f>
        <v>0.81877612388446064</v>
      </c>
      <c r="E200" s="447">
        <f>E98*Calc_SEC_death_rates!$G145</f>
        <v>0.82591955705801956</v>
      </c>
      <c r="F200" s="447">
        <f>F98*Calc_SEC_death_rates!$G145</f>
        <v>0.83453134505916693</v>
      </c>
      <c r="G200" s="447">
        <f>G98*Calc_SEC_death_rates!$G145</f>
        <v>0.84428064139786674</v>
      </c>
      <c r="H200" s="447">
        <f>H98*Calc_SEC_death_rates!$G145</f>
        <v>0.85237604686520174</v>
      </c>
      <c r="I200" s="447">
        <f>I98*Calc_SEC_death_rates!$G145</f>
        <v>0.85898608187669268</v>
      </c>
      <c r="J200" s="447">
        <f>J98*Calc_SEC_death_rates!$G145</f>
        <v>0.86472375765426812</v>
      </c>
      <c r="K200" s="447">
        <f>K98*Calc_SEC_death_rates!$G145</f>
        <v>0.87081225711559029</v>
      </c>
      <c r="L200" s="447">
        <f>L98*Calc_SEC_death_rates!$G145</f>
        <v>0.87300960565271113</v>
      </c>
      <c r="M200" s="447">
        <f>M98*Calc_SEC_death_rates!$G145</f>
        <v>0.87280493572938511</v>
      </c>
      <c r="N200" s="447">
        <f>N98*Calc_SEC_death_rates!$G145</f>
        <v>0.87129416952650796</v>
      </c>
    </row>
    <row r="201" spans="1:14">
      <c r="B201" s="331" t="str">
        <f t="shared" si="67"/>
        <v>50-54</v>
      </c>
      <c r="C201" s="447">
        <f>C99*Calc_SEC_death_rates!$G146</f>
        <v>1.0987112565314383</v>
      </c>
      <c r="D201" s="447">
        <f>D99*Calc_SEC_death_rates!$G146</f>
        <v>1.0758094892100742</v>
      </c>
      <c r="E201" s="447">
        <f>E99*Calc_SEC_death_rates!$G146</f>
        <v>1.0630211729780557</v>
      </c>
      <c r="F201" s="447">
        <f>F99*Calc_SEC_death_rates!$G146</f>
        <v>1.0583048801570714</v>
      </c>
      <c r="G201" s="447">
        <f>G99*Calc_SEC_death_rates!$G146</f>
        <v>1.0613906068314929</v>
      </c>
      <c r="H201" s="447">
        <f>H99*Calc_SEC_death_rates!$G146</f>
        <v>1.0681111203076392</v>
      </c>
      <c r="I201" s="447">
        <f>I99*Calc_SEC_death_rates!$G146</f>
        <v>1.0775088239573485</v>
      </c>
      <c r="J201" s="447">
        <f>J99*Calc_SEC_death_rates!$G146</f>
        <v>1.0889964358383242</v>
      </c>
      <c r="K201" s="447">
        <f>K99*Calc_SEC_death_rates!$G146</f>
        <v>1.1027877424051005</v>
      </c>
      <c r="L201" s="447">
        <f>L99*Calc_SEC_death_rates!$G146</f>
        <v>1.1124053748667584</v>
      </c>
      <c r="M201" s="447">
        <f>M99*Calc_SEC_death_rates!$G146</f>
        <v>1.1188403695374043</v>
      </c>
      <c r="N201" s="447">
        <f>N99*Calc_SEC_death_rates!$G146</f>
        <v>1.1228488955231315</v>
      </c>
    </row>
    <row r="202" spans="1:14">
      <c r="B202" s="331" t="str">
        <f t="shared" si="67"/>
        <v>55-59</v>
      </c>
      <c r="C202" s="447">
        <f>C100*Calc_SEC_death_rates!$G147</f>
        <v>1.1568788960389236</v>
      </c>
      <c r="D202" s="447">
        <f>D100*Calc_SEC_death_rates!$G147</f>
        <v>1.0308703929803895</v>
      </c>
      <c r="E202" s="447">
        <f>E100*Calc_SEC_death_rates!$G147</f>
        <v>0.9510078570436703</v>
      </c>
      <c r="F202" s="447">
        <f>F100*Calc_SEC_death_rates!$G147</f>
        <v>0.90175389317771371</v>
      </c>
      <c r="G202" s="447">
        <f>G100*Calc_SEC_death_rates!$G147</f>
        <v>0.87470810633686435</v>
      </c>
      <c r="H202" s="447">
        <f>H100*Calc_SEC_death_rates!$G147</f>
        <v>0.86064925887969745</v>
      </c>
      <c r="I202" s="447">
        <f>I100*Calc_SEC_death_rates!$G147</f>
        <v>0.85596656949921601</v>
      </c>
      <c r="J202" s="447">
        <f>J100*Calc_SEC_death_rates!$G147</f>
        <v>0.85826661321510911</v>
      </c>
      <c r="K202" s="447">
        <f>K100*Calc_SEC_death_rates!$G147</f>
        <v>0.86637850840755048</v>
      </c>
      <c r="L202" s="447">
        <f>L100*Calc_SEC_death_rates!$G147</f>
        <v>0.87289933885677795</v>
      </c>
      <c r="M202" s="447">
        <f>M100*Calc_SEC_death_rates!$G147</f>
        <v>0.87830307211964342</v>
      </c>
      <c r="N202" s="447">
        <f>N100*Calc_SEC_death_rates!$G147</f>
        <v>0.88274944371359365</v>
      </c>
    </row>
    <row r="203" spans="1:14">
      <c r="B203" s="331" t="str">
        <f t="shared" si="67"/>
        <v>60-64</v>
      </c>
      <c r="C203" s="447">
        <f>C101*Calc_SEC_death_rates!$G148</f>
        <v>0.48099394245628058</v>
      </c>
      <c r="D203" s="447">
        <f>D101*Calc_SEC_death_rates!$G148</f>
        <v>0.44549991492605856</v>
      </c>
      <c r="E203" s="447">
        <f>E101*Calc_SEC_death_rates!$G148</f>
        <v>0.40988871230039325</v>
      </c>
      <c r="F203" s="447">
        <f>F101*Calc_SEC_death_rates!$G148</f>
        <v>0.38125468148884645</v>
      </c>
      <c r="G203" s="447">
        <f>G101*Calc_SEC_death_rates!$G148</f>
        <v>0.36158647124756721</v>
      </c>
      <c r="H203" s="447">
        <f>H101*Calc_SEC_death_rates!$G148</f>
        <v>0.34834010791659203</v>
      </c>
      <c r="I203" s="447">
        <f>I101*Calc_SEC_death_rates!$G148</f>
        <v>0.34062754135336104</v>
      </c>
      <c r="J203" s="447">
        <f>J101*Calc_SEC_death_rates!$G148</f>
        <v>0.3374766111782283</v>
      </c>
      <c r="K203" s="447">
        <f>K101*Calc_SEC_death_rates!$G148</f>
        <v>0.33826503147934434</v>
      </c>
      <c r="L203" s="447">
        <f>L101*Calc_SEC_death_rates!$G148</f>
        <v>0.33885527709194541</v>
      </c>
      <c r="M203" s="447">
        <f>M101*Calc_SEC_death_rates!$G148</f>
        <v>0.33959625822599759</v>
      </c>
      <c r="N203" s="447">
        <f>N101*Calc_SEC_death_rates!$G148</f>
        <v>0.34053223285653644</v>
      </c>
    </row>
    <row r="204" spans="1:14">
      <c r="B204" s="331" t="str">
        <f t="shared" si="67"/>
        <v>65 plus</v>
      </c>
      <c r="C204" s="447">
        <f>C102*Calc_SEC_death_rates!$G149</f>
        <v>0.47317807199664463</v>
      </c>
      <c r="D204" s="447">
        <f>D102*Calc_SEC_death_rates!$G149</f>
        <v>0.57915230789009164</v>
      </c>
      <c r="E204" s="447">
        <f>E102*Calc_SEC_death_rates!$G149</f>
        <v>0.63161676834451141</v>
      </c>
      <c r="F204" s="447">
        <f>F102*Calc_SEC_death_rates!$G149</f>
        <v>0.649795609181263</v>
      </c>
      <c r="G204" s="447">
        <f>G102*Calc_SEC_death_rates!$G149</f>
        <v>0.65081542388153313</v>
      </c>
      <c r="H204" s="447">
        <f>H102*Calc_SEC_death_rates!$G149</f>
        <v>0.64320736884356811</v>
      </c>
      <c r="I204" s="447">
        <f>I102*Calc_SEC_death_rates!$G149</f>
        <v>0.63375810385626896</v>
      </c>
      <c r="J204" s="447">
        <f>J102*Calc_SEC_death_rates!$G149</f>
        <v>0.62637904821285151</v>
      </c>
      <c r="K204" s="447">
        <f>K102*Calc_SEC_death_rates!$G149</f>
        <v>0.62345282551133285</v>
      </c>
      <c r="L204" s="447">
        <f>L102*Calc_SEC_death_rates!$G149</f>
        <v>0.62033551139046283</v>
      </c>
      <c r="M204" s="447">
        <f>M102*Calc_SEC_death_rates!$G149</f>
        <v>0.61778601673197364</v>
      </c>
      <c r="N204" s="447">
        <f>N102*Calc_SEC_death_rates!$G149</f>
        <v>0.61612808859710277</v>
      </c>
    </row>
    <row r="205" spans="1:14">
      <c r="B205" s="331" t="str">
        <f t="shared" si="67"/>
        <v>Total</v>
      </c>
      <c r="C205" s="447">
        <f>SUM(C195:C204)</f>
        <v>5.5773528788943469</v>
      </c>
      <c r="D205" s="447">
        <f t="shared" ref="D205:N205" si="69">SUM(D195:D204)</f>
        <v>5.4721728469122874</v>
      </c>
      <c r="E205" s="447">
        <f t="shared" si="69"/>
        <v>5.3735246274670061</v>
      </c>
      <c r="F205" s="447">
        <f t="shared" si="69"/>
        <v>5.2895881664772713</v>
      </c>
      <c r="G205" s="447">
        <f t="shared" si="69"/>
        <v>5.2352841000391201</v>
      </c>
      <c r="H205" s="447">
        <f t="shared" si="69"/>
        <v>5.1969638560331566</v>
      </c>
      <c r="I205" s="447">
        <f t="shared" si="69"/>
        <v>5.1783781691000801</v>
      </c>
      <c r="J205" s="447">
        <f t="shared" si="69"/>
        <v>5.1819192729653984</v>
      </c>
      <c r="K205" s="447">
        <f t="shared" si="69"/>
        <v>5.2118100315825266</v>
      </c>
      <c r="L205" s="447">
        <f t="shared" si="69"/>
        <v>5.2300115044626132</v>
      </c>
      <c r="M205" s="447">
        <f t="shared" si="69"/>
        <v>5.2422939589878776</v>
      </c>
      <c r="N205" s="447">
        <f t="shared" si="69"/>
        <v>5.2517986079204437</v>
      </c>
    </row>
    <row r="206" spans="1:14">
      <c r="A206" s="302">
        <f>SUM(C206:N206)</f>
        <v>0</v>
      </c>
      <c r="C206" s="302">
        <f>SUM(C195:C204)-C205</f>
        <v>0</v>
      </c>
      <c r="D206" s="302">
        <f t="shared" ref="D206:N206" si="70">SUM(D195:D204)-D205</f>
        <v>0</v>
      </c>
      <c r="E206" s="302">
        <f t="shared" si="70"/>
        <v>0</v>
      </c>
      <c r="F206" s="302">
        <f t="shared" si="70"/>
        <v>0</v>
      </c>
      <c r="G206" s="302">
        <f t="shared" si="70"/>
        <v>0</v>
      </c>
      <c r="H206" s="302">
        <f t="shared" si="70"/>
        <v>0</v>
      </c>
      <c r="I206" s="302">
        <f t="shared" si="70"/>
        <v>0</v>
      </c>
      <c r="J206" s="302">
        <f t="shared" si="70"/>
        <v>0</v>
      </c>
      <c r="K206" s="302">
        <f t="shared" si="70"/>
        <v>0</v>
      </c>
      <c r="L206" s="302">
        <f t="shared" si="70"/>
        <v>0</v>
      </c>
      <c r="M206" s="302">
        <f t="shared" si="70"/>
        <v>0</v>
      </c>
      <c r="N206" s="302">
        <f t="shared" si="70"/>
        <v>0</v>
      </c>
    </row>
    <row r="208" spans="1:14"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1">B178</f>
        <v>Age group</v>
      </c>
      <c r="C212" s="331" t="str">
        <f t="shared" ref="C212:N212" si="72">C178</f>
        <v>2017/18</v>
      </c>
      <c r="D212" s="331" t="str">
        <f t="shared" si="72"/>
        <v>2018/19</v>
      </c>
      <c r="E212" s="331" t="str">
        <f t="shared" si="72"/>
        <v>2019/20</v>
      </c>
      <c r="F212" s="331" t="str">
        <f t="shared" si="72"/>
        <v>2020/21</v>
      </c>
      <c r="G212" s="331" t="str">
        <f t="shared" si="72"/>
        <v>2021/22</v>
      </c>
      <c r="H212" s="331" t="str">
        <f t="shared" si="72"/>
        <v>2022/23</v>
      </c>
      <c r="I212" s="331" t="str">
        <f t="shared" si="72"/>
        <v>2023/24</v>
      </c>
      <c r="J212" s="331" t="str">
        <f t="shared" si="72"/>
        <v>2024/25</v>
      </c>
      <c r="K212" s="331" t="str">
        <f t="shared" si="72"/>
        <v>2025/26</v>
      </c>
      <c r="L212" s="331" t="str">
        <f t="shared" si="72"/>
        <v>2026/27</v>
      </c>
      <c r="M212" s="331" t="str">
        <f t="shared" si="72"/>
        <v>2027/28</v>
      </c>
      <c r="N212" s="331" t="str">
        <f t="shared" si="72"/>
        <v>2028/29</v>
      </c>
    </row>
    <row r="213" spans="1:14">
      <c r="B213" s="331" t="str">
        <f t="shared" si="71"/>
        <v>20-24</v>
      </c>
      <c r="C213" s="447">
        <f t="shared" ref="C213:C222" si="73">C111+C145+C179</f>
        <v>10.96009736632473</v>
      </c>
      <c r="D213" s="447">
        <f t="shared" ref="D213:N213" si="74">D111+D145+D179</f>
        <v>16.845110884349513</v>
      </c>
      <c r="E213" s="447">
        <f t="shared" si="74"/>
        <v>22.698709356284635</v>
      </c>
      <c r="F213" s="447">
        <f t="shared" si="74"/>
        <v>26.542325915846671</v>
      </c>
      <c r="G213" s="447">
        <f t="shared" si="74"/>
        <v>30.568225999174281</v>
      </c>
      <c r="H213" s="447">
        <f t="shared" si="74"/>
        <v>33.708965078227394</v>
      </c>
      <c r="I213" s="447">
        <f t="shared" si="74"/>
        <v>36.342932751189764</v>
      </c>
      <c r="J213" s="447">
        <f t="shared" si="74"/>
        <v>38.743878888012539</v>
      </c>
      <c r="K213" s="447">
        <f t="shared" si="74"/>
        <v>41.189587451106753</v>
      </c>
      <c r="L213" s="447">
        <f t="shared" si="74"/>
        <v>42.534863663390901</v>
      </c>
      <c r="M213" s="447">
        <f t="shared" si="74"/>
        <v>43.285568539462403</v>
      </c>
      <c r="N213" s="447">
        <f t="shared" si="74"/>
        <v>43.722481160001507</v>
      </c>
    </row>
    <row r="214" spans="1:14">
      <c r="B214" s="331" t="str">
        <f t="shared" si="71"/>
        <v>25-29</v>
      </c>
      <c r="C214" s="447">
        <f t="shared" si="73"/>
        <v>42.246881002549095</v>
      </c>
      <c r="D214" s="447">
        <f t="shared" ref="D214:N214" si="75">D112+D146+D180</f>
        <v>40.325688579928354</v>
      </c>
      <c r="E214" s="447">
        <f t="shared" si="75"/>
        <v>43.147537608901253</v>
      </c>
      <c r="F214" s="447">
        <f t="shared" si="75"/>
        <v>44.581612370508154</v>
      </c>
      <c r="G214" s="447">
        <f t="shared" si="75"/>
        <v>47.845756334779253</v>
      </c>
      <c r="H214" s="447">
        <f t="shared" si="75"/>
        <v>51.074228068670067</v>
      </c>
      <c r="I214" s="447">
        <f t="shared" si="75"/>
        <v>54.270561392754985</v>
      </c>
      <c r="J214" s="447">
        <f t="shared" si="75"/>
        <v>57.4970836059763</v>
      </c>
      <c r="K214" s="447">
        <f t="shared" si="75"/>
        <v>60.921866404796901</v>
      </c>
      <c r="L214" s="447">
        <f t="shared" si="75"/>
        <v>63.365302773271168</v>
      </c>
      <c r="M214" s="447">
        <f t="shared" si="75"/>
        <v>65.125438612216527</v>
      </c>
      <c r="N214" s="447">
        <f t="shared" si="75"/>
        <v>66.412949482361412</v>
      </c>
    </row>
    <row r="215" spans="1:14">
      <c r="B215" s="331" t="str">
        <f t="shared" si="71"/>
        <v>30-34</v>
      </c>
      <c r="C215" s="447">
        <f t="shared" si="73"/>
        <v>53.977916258675236</v>
      </c>
      <c r="D215" s="447">
        <f t="shared" ref="D215:N215" si="76">D113+D147+D181</f>
        <v>48.320764006371213</v>
      </c>
      <c r="E215" s="447">
        <f t="shared" si="76"/>
        <v>47.579348382832684</v>
      </c>
      <c r="F215" s="447">
        <f t="shared" si="76"/>
        <v>45.213093916622853</v>
      </c>
      <c r="G215" s="447">
        <f t="shared" si="76"/>
        <v>44.911956110209374</v>
      </c>
      <c r="H215" s="447">
        <f t="shared" si="76"/>
        <v>45.263159726276506</v>
      </c>
      <c r="I215" s="447">
        <f t="shared" si="76"/>
        <v>46.146561225132366</v>
      </c>
      <c r="J215" s="447">
        <f t="shared" si="76"/>
        <v>47.47655673307878</v>
      </c>
      <c r="K215" s="447">
        <f t="shared" si="76"/>
        <v>49.235690206159866</v>
      </c>
      <c r="L215" s="447">
        <f t="shared" si="76"/>
        <v>50.837261447893788</v>
      </c>
      <c r="M215" s="447">
        <f t="shared" si="76"/>
        <v>52.269791506384671</v>
      </c>
      <c r="N215" s="447">
        <f t="shared" si="76"/>
        <v>53.531312909890175</v>
      </c>
    </row>
    <row r="216" spans="1:14">
      <c r="B216" s="331" t="str">
        <f t="shared" si="71"/>
        <v>35-39</v>
      </c>
      <c r="C216" s="447">
        <f t="shared" si="73"/>
        <v>57.76943071696104</v>
      </c>
      <c r="D216" s="447">
        <f t="shared" ref="D216:N216" si="77">D114+D148+D182</f>
        <v>53.868676632647755</v>
      </c>
      <c r="E216" s="447">
        <f t="shared" si="77"/>
        <v>54.034710278237441</v>
      </c>
      <c r="F216" s="447">
        <f t="shared" si="77"/>
        <v>51.310970609585787</v>
      </c>
      <c r="G216" s="447">
        <f t="shared" si="77"/>
        <v>50.113740380624485</v>
      </c>
      <c r="H216" s="447">
        <f t="shared" si="77"/>
        <v>49.25790780091824</v>
      </c>
      <c r="I216" s="447">
        <f t="shared" si="77"/>
        <v>48.812124638352735</v>
      </c>
      <c r="J216" s="447">
        <f t="shared" si="77"/>
        <v>48.807207516082052</v>
      </c>
      <c r="K216" s="447">
        <f t="shared" si="77"/>
        <v>49.275247840041445</v>
      </c>
      <c r="L216" s="447">
        <f t="shared" si="77"/>
        <v>49.840540254256503</v>
      </c>
      <c r="M216" s="447">
        <f t="shared" si="77"/>
        <v>50.501947488248277</v>
      </c>
      <c r="N216" s="447">
        <f t="shared" si="77"/>
        <v>51.234227484845839</v>
      </c>
    </row>
    <row r="217" spans="1:14">
      <c r="B217" s="331" t="str">
        <f t="shared" si="71"/>
        <v>40-44</v>
      </c>
      <c r="C217" s="447">
        <f t="shared" si="73"/>
        <v>58.717564139716551</v>
      </c>
      <c r="D217" s="447">
        <f t="shared" ref="D217:N217" si="78">D115+D149+D183</f>
        <v>55.781602070117856</v>
      </c>
      <c r="E217" s="447">
        <f t="shared" si="78"/>
        <v>57.10559154061098</v>
      </c>
      <c r="F217" s="447">
        <f t="shared" si="78"/>
        <v>55.192846136137199</v>
      </c>
      <c r="G217" s="447">
        <f t="shared" si="78"/>
        <v>54.552624451675015</v>
      </c>
      <c r="H217" s="447">
        <f t="shared" si="78"/>
        <v>53.916830554959773</v>
      </c>
      <c r="I217" s="447">
        <f t="shared" si="78"/>
        <v>53.386637979474301</v>
      </c>
      <c r="J217" s="447">
        <f t="shared" si="78"/>
        <v>53.052868251693091</v>
      </c>
      <c r="K217" s="447">
        <f t="shared" si="78"/>
        <v>53.012099587826228</v>
      </c>
      <c r="L217" s="447">
        <f t="shared" si="78"/>
        <v>52.976090276662667</v>
      </c>
      <c r="M217" s="447">
        <f t="shared" si="78"/>
        <v>53.012846569774204</v>
      </c>
      <c r="N217" s="447">
        <f t="shared" si="78"/>
        <v>53.151723211897938</v>
      </c>
    </row>
    <row r="218" spans="1:14">
      <c r="B218" s="331" t="str">
        <f t="shared" si="71"/>
        <v>45-49</v>
      </c>
      <c r="C218" s="447">
        <f t="shared" si="73"/>
        <v>59.627986137756487</v>
      </c>
      <c r="D218" s="447">
        <f t="shared" ref="D218:N218" si="79">D116+D150+D184</f>
        <v>55.722229810804727</v>
      </c>
      <c r="E218" s="447">
        <f t="shared" si="79"/>
        <v>56.510272532040851</v>
      </c>
      <c r="F218" s="447">
        <f t="shared" si="79"/>
        <v>54.450795873983473</v>
      </c>
      <c r="G218" s="447">
        <f t="shared" si="79"/>
        <v>53.852657358300227</v>
      </c>
      <c r="H218" s="447">
        <f t="shared" si="79"/>
        <v>53.361052655253069</v>
      </c>
      <c r="I218" s="447">
        <f t="shared" si="79"/>
        <v>52.9766541532152</v>
      </c>
      <c r="J218" s="447">
        <f t="shared" si="79"/>
        <v>52.722140999059746</v>
      </c>
      <c r="K218" s="447">
        <f t="shared" si="79"/>
        <v>52.653167319934845</v>
      </c>
      <c r="L218" s="447">
        <f t="shared" si="79"/>
        <v>52.502682621033877</v>
      </c>
      <c r="M218" s="447">
        <f t="shared" si="79"/>
        <v>52.337454311601839</v>
      </c>
      <c r="N218" s="447">
        <f t="shared" si="79"/>
        <v>52.201652010074589</v>
      </c>
    </row>
    <row r="219" spans="1:14">
      <c r="B219" s="331" t="str">
        <f t="shared" si="71"/>
        <v>50-54</v>
      </c>
      <c r="C219" s="447">
        <f t="shared" si="73"/>
        <v>65.792528329491475</v>
      </c>
      <c r="D219" s="447">
        <f t="shared" ref="D219:N219" si="80">D117+D151+D185</f>
        <v>61.664365026680748</v>
      </c>
      <c r="E219" s="447">
        <f t="shared" si="80"/>
        <v>61.519512186645976</v>
      </c>
      <c r="F219" s="447">
        <f t="shared" si="80"/>
        <v>59.064087499127304</v>
      </c>
      <c r="G219" s="447">
        <f t="shared" si="80"/>
        <v>58.020368586205819</v>
      </c>
      <c r="H219" s="447">
        <f t="shared" si="80"/>
        <v>57.210217656185847</v>
      </c>
      <c r="I219" s="447">
        <f t="shared" si="80"/>
        <v>56.620067967956565</v>
      </c>
      <c r="J219" s="447">
        <f t="shared" si="80"/>
        <v>56.242278425177489</v>
      </c>
      <c r="K219" s="447">
        <f t="shared" si="80"/>
        <v>56.097794179947108</v>
      </c>
      <c r="L219" s="447">
        <f t="shared" si="80"/>
        <v>55.886383035812671</v>
      </c>
      <c r="M219" s="447">
        <f t="shared" si="80"/>
        <v>55.651832699552415</v>
      </c>
      <c r="N219" s="447">
        <f t="shared" si="80"/>
        <v>55.422956595074311</v>
      </c>
    </row>
    <row r="220" spans="1:14">
      <c r="B220" s="331" t="str">
        <f t="shared" si="71"/>
        <v>55-59</v>
      </c>
      <c r="C220" s="447">
        <f t="shared" si="73"/>
        <v>103.52769725842124</v>
      </c>
      <c r="D220" s="447">
        <f t="shared" ref="D220:N220" si="81">D118+D152+D186</f>
        <v>90.134428413267429</v>
      </c>
      <c r="E220" s="447">
        <f t="shared" si="81"/>
        <v>82.641477826883971</v>
      </c>
      <c r="F220" s="447">
        <f t="shared" si="81"/>
        <v>76.775791911515981</v>
      </c>
      <c r="G220" s="447">
        <f t="shared" si="81"/>
        <v>73.271438050163198</v>
      </c>
      <c r="H220" s="447">
        <f t="shared" si="81"/>
        <v>70.867447207518424</v>
      </c>
      <c r="I220" s="447">
        <f t="shared" si="81"/>
        <v>69.258096089457652</v>
      </c>
      <c r="J220" s="447">
        <f t="shared" si="81"/>
        <v>68.256583640439615</v>
      </c>
      <c r="K220" s="447">
        <f t="shared" si="81"/>
        <v>67.777839236300295</v>
      </c>
      <c r="L220" s="447">
        <f t="shared" si="81"/>
        <v>67.299135331236329</v>
      </c>
      <c r="M220" s="447">
        <f t="shared" si="81"/>
        <v>66.859048213470047</v>
      </c>
      <c r="N220" s="447">
        <f t="shared" si="81"/>
        <v>66.470767672432075</v>
      </c>
    </row>
    <row r="221" spans="1:14">
      <c r="B221" s="331" t="str">
        <f t="shared" si="71"/>
        <v>60-64</v>
      </c>
      <c r="C221" s="447">
        <f t="shared" si="73"/>
        <v>71.380472230830648</v>
      </c>
      <c r="D221" s="447">
        <f t="shared" ref="D221:N221" si="82">D119+D153+D187</f>
        <v>61.60779598432093</v>
      </c>
      <c r="E221" s="447">
        <f t="shared" si="82"/>
        <v>54.637043459701317</v>
      </c>
      <c r="F221" s="447">
        <f t="shared" si="82"/>
        <v>49.038192988408433</v>
      </c>
      <c r="G221" s="447">
        <f t="shared" si="82"/>
        <v>45.377931259298691</v>
      </c>
      <c r="H221" s="447">
        <f t="shared" si="82"/>
        <v>42.821303593047404</v>
      </c>
      <c r="I221" s="447">
        <f t="shared" si="82"/>
        <v>41.104870851984515</v>
      </c>
      <c r="J221" s="447">
        <f t="shared" si="82"/>
        <v>40.02867522370552</v>
      </c>
      <c r="K221" s="447">
        <f t="shared" si="82"/>
        <v>39.473607496919541</v>
      </c>
      <c r="L221" s="447">
        <f t="shared" si="82"/>
        <v>38.976582503039879</v>
      </c>
      <c r="M221" s="447">
        <f t="shared" si="82"/>
        <v>38.560766875691897</v>
      </c>
      <c r="N221" s="447">
        <f t="shared" si="82"/>
        <v>38.224970916716423</v>
      </c>
    </row>
    <row r="222" spans="1:14">
      <c r="B222" s="331" t="str">
        <f t="shared" si="71"/>
        <v>65 plus</v>
      </c>
      <c r="C222" s="447">
        <f t="shared" si="73"/>
        <v>29.563271690400498</v>
      </c>
      <c r="D222" s="447">
        <f t="shared" ref="D222:N222" si="83">D120+D154+D188</f>
        <v>28.897488012153708</v>
      </c>
      <c r="E222" s="447">
        <f t="shared" si="83"/>
        <v>27.751287110893749</v>
      </c>
      <c r="F222" s="447">
        <f t="shared" si="83"/>
        <v>25.743242746575337</v>
      </c>
      <c r="G222" s="447">
        <f t="shared" si="83"/>
        <v>24.026042423346244</v>
      </c>
      <c r="H222" s="447">
        <f t="shared" si="83"/>
        <v>22.5144564923608</v>
      </c>
      <c r="I222" s="447">
        <f t="shared" si="83"/>
        <v>21.298405907534153</v>
      </c>
      <c r="J222" s="447">
        <f t="shared" si="83"/>
        <v>20.395730960777797</v>
      </c>
      <c r="K222" s="447">
        <f t="shared" si="83"/>
        <v>19.800174650561083</v>
      </c>
      <c r="L222" s="447">
        <f t="shared" si="83"/>
        <v>19.312926824249089</v>
      </c>
      <c r="M222" s="447">
        <f t="shared" si="83"/>
        <v>18.923044600728709</v>
      </c>
      <c r="N222" s="447">
        <f t="shared" si="83"/>
        <v>18.617212931382568</v>
      </c>
    </row>
    <row r="223" spans="1:14">
      <c r="B223" s="331" t="str">
        <f t="shared" si="71"/>
        <v>Total</v>
      </c>
      <c r="C223" s="447">
        <f>SUM(C213:C222)</f>
        <v>553.56384513112698</v>
      </c>
      <c r="D223" s="447">
        <f t="shared" ref="D223:N223" si="84">SUM(D213:D222)</f>
        <v>513.16814942064229</v>
      </c>
      <c r="E223" s="447">
        <f t="shared" si="84"/>
        <v>507.62549028303289</v>
      </c>
      <c r="F223" s="447">
        <f t="shared" si="84"/>
        <v>487.91295996831116</v>
      </c>
      <c r="G223" s="447">
        <f t="shared" si="84"/>
        <v>482.54074095377655</v>
      </c>
      <c r="H223" s="447">
        <f t="shared" si="84"/>
        <v>479.99556883341751</v>
      </c>
      <c r="I223" s="447">
        <f t="shared" si="84"/>
        <v>480.21691295705227</v>
      </c>
      <c r="J223" s="447">
        <f t="shared" si="84"/>
        <v>483.22300424400294</v>
      </c>
      <c r="K223" s="447">
        <f t="shared" si="84"/>
        <v>489.43707437359404</v>
      </c>
      <c r="L223" s="447">
        <f t="shared" si="84"/>
        <v>493.53176873084686</v>
      </c>
      <c r="M223" s="447">
        <f t="shared" si="84"/>
        <v>496.52773941713099</v>
      </c>
      <c r="N223" s="447">
        <f t="shared" si="84"/>
        <v>498.99025437467685</v>
      </c>
    </row>
    <row r="224" spans="1:14">
      <c r="A224" s="302">
        <f>SUM(C224:N224)</f>
        <v>0</v>
      </c>
      <c r="C224" s="302">
        <f>SUM(C213:C222)-C223</f>
        <v>0</v>
      </c>
      <c r="D224" s="302">
        <f t="shared" ref="D224:N224" si="85">SUM(D213:D222)-D223</f>
        <v>0</v>
      </c>
      <c r="E224" s="302">
        <f t="shared" si="85"/>
        <v>0</v>
      </c>
      <c r="F224" s="302">
        <f t="shared" si="85"/>
        <v>0</v>
      </c>
      <c r="G224" s="302">
        <f t="shared" si="85"/>
        <v>0</v>
      </c>
      <c r="H224" s="302">
        <f t="shared" si="85"/>
        <v>0</v>
      </c>
      <c r="I224" s="302">
        <f t="shared" si="85"/>
        <v>0</v>
      </c>
      <c r="J224" s="302">
        <f t="shared" si="85"/>
        <v>0</v>
      </c>
      <c r="K224" s="302">
        <f t="shared" si="85"/>
        <v>0</v>
      </c>
      <c r="L224" s="302">
        <f t="shared" si="85"/>
        <v>0</v>
      </c>
      <c r="M224" s="302">
        <f t="shared" si="85"/>
        <v>0</v>
      </c>
      <c r="N224" s="302">
        <f t="shared" si="85"/>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6">B212</f>
        <v>Age group</v>
      </c>
      <c r="C228" s="331" t="str">
        <f t="shared" ref="C228:N228" si="87">C212</f>
        <v>2017/18</v>
      </c>
      <c r="D228" s="331" t="str">
        <f t="shared" si="87"/>
        <v>2018/19</v>
      </c>
      <c r="E228" s="331" t="str">
        <f t="shared" si="87"/>
        <v>2019/20</v>
      </c>
      <c r="F228" s="331" t="str">
        <f t="shared" si="87"/>
        <v>2020/21</v>
      </c>
      <c r="G228" s="331" t="str">
        <f t="shared" si="87"/>
        <v>2021/22</v>
      </c>
      <c r="H228" s="331" t="str">
        <f t="shared" si="87"/>
        <v>2022/23</v>
      </c>
      <c r="I228" s="331" t="str">
        <f t="shared" si="87"/>
        <v>2023/24</v>
      </c>
      <c r="J228" s="331" t="str">
        <f t="shared" si="87"/>
        <v>2024/25</v>
      </c>
      <c r="K228" s="331" t="str">
        <f t="shared" si="87"/>
        <v>2025/26</v>
      </c>
      <c r="L228" s="331" t="str">
        <f t="shared" si="87"/>
        <v>2026/27</v>
      </c>
      <c r="M228" s="331" t="str">
        <f t="shared" si="87"/>
        <v>2027/28</v>
      </c>
      <c r="N228" s="331" t="str">
        <f t="shared" si="87"/>
        <v>2028/29</v>
      </c>
    </row>
    <row r="229" spans="1:14">
      <c r="B229" s="331" t="str">
        <f t="shared" si="86"/>
        <v>20-24</v>
      </c>
      <c r="C229" s="447">
        <f t="shared" ref="C229:C238" si="88">C195+C161+C127</f>
        <v>34.045167745067054</v>
      </c>
      <c r="D229" s="447">
        <f t="shared" ref="D229:N229" si="89">D195+D161+D127</f>
        <v>42.055688004754273</v>
      </c>
      <c r="E229" s="447">
        <f t="shared" si="89"/>
        <v>49.459347210843298</v>
      </c>
      <c r="F229" s="447">
        <f t="shared" si="89"/>
        <v>56.219356717183487</v>
      </c>
      <c r="G229" s="447">
        <f t="shared" si="89"/>
        <v>62.344587078352447</v>
      </c>
      <c r="H229" s="447">
        <f t="shared" si="89"/>
        <v>67.241949891711613</v>
      </c>
      <c r="I229" s="447">
        <f t="shared" si="89"/>
        <v>71.498686496660156</v>
      </c>
      <c r="J229" s="447">
        <f t="shared" si="89"/>
        <v>75.542072924073494</v>
      </c>
      <c r="K229" s="447">
        <f t="shared" si="89"/>
        <v>79.835895433858056</v>
      </c>
      <c r="L229" s="447">
        <f t="shared" si="89"/>
        <v>82.134464304045437</v>
      </c>
      <c r="M229" s="447">
        <f t="shared" si="89"/>
        <v>83.374879342320412</v>
      </c>
      <c r="N229" s="447">
        <f t="shared" si="89"/>
        <v>84.071869119452273</v>
      </c>
    </row>
    <row r="230" spans="1:14">
      <c r="B230" s="331" t="str">
        <f t="shared" si="86"/>
        <v>25-29</v>
      </c>
      <c r="C230" s="447">
        <f t="shared" si="88"/>
        <v>111.56553619024191</v>
      </c>
      <c r="D230" s="447">
        <f t="shared" ref="D230:N230" si="90">D196+D162+D128</f>
        <v>104.30359498309143</v>
      </c>
      <c r="E230" s="447">
        <f t="shared" si="90"/>
        <v>102.46304963275399</v>
      </c>
      <c r="F230" s="447">
        <f t="shared" si="90"/>
        <v>103.39408398031431</v>
      </c>
      <c r="G230" s="447">
        <f t="shared" si="90"/>
        <v>105.76889748759942</v>
      </c>
      <c r="H230" s="447">
        <f t="shared" si="90"/>
        <v>108.94322550981795</v>
      </c>
      <c r="I230" s="447">
        <f t="shared" si="90"/>
        <v>112.74939881494113</v>
      </c>
      <c r="J230" s="447">
        <f t="shared" si="90"/>
        <v>117.16310061936079</v>
      </c>
      <c r="K230" s="447">
        <f t="shared" si="90"/>
        <v>122.39239616705551</v>
      </c>
      <c r="L230" s="447">
        <f t="shared" si="90"/>
        <v>126.04305848598736</v>
      </c>
      <c r="M230" s="447">
        <f t="shared" si="90"/>
        <v>128.62280018024433</v>
      </c>
      <c r="N230" s="447">
        <f t="shared" si="90"/>
        <v>130.48366484927692</v>
      </c>
    </row>
    <row r="231" spans="1:14">
      <c r="B231" s="331" t="str">
        <f t="shared" si="86"/>
        <v>30-34</v>
      </c>
      <c r="C231" s="447">
        <f t="shared" si="88"/>
        <v>139.78340372338198</v>
      </c>
      <c r="D231" s="447">
        <f t="shared" ref="D231:N231" si="91">D197+D163+D129</f>
        <v>130.25604203003189</v>
      </c>
      <c r="E231" s="447">
        <f t="shared" si="91"/>
        <v>124.05753516613277</v>
      </c>
      <c r="F231" s="447">
        <f t="shared" si="91"/>
        <v>119.430433019871</v>
      </c>
      <c r="G231" s="447">
        <f t="shared" si="91"/>
        <v>115.6670947328671</v>
      </c>
      <c r="H231" s="447">
        <f t="shared" si="91"/>
        <v>113.58546409607425</v>
      </c>
      <c r="I231" s="447">
        <f t="shared" si="91"/>
        <v>112.97890109880714</v>
      </c>
      <c r="J231" s="447">
        <f t="shared" si="91"/>
        <v>113.6771761381184</v>
      </c>
      <c r="K231" s="447">
        <f t="shared" si="91"/>
        <v>115.63726447700232</v>
      </c>
      <c r="L231" s="447">
        <f t="shared" si="91"/>
        <v>117.51096506220125</v>
      </c>
      <c r="M231" s="447">
        <f t="shared" si="91"/>
        <v>119.25653150221504</v>
      </c>
      <c r="N231" s="447">
        <f t="shared" si="91"/>
        <v>120.84667058178999</v>
      </c>
    </row>
    <row r="232" spans="1:14">
      <c r="B232" s="331" t="str">
        <f t="shared" si="86"/>
        <v>35-39</v>
      </c>
      <c r="C232" s="447">
        <f t="shared" si="88"/>
        <v>129.88832084862509</v>
      </c>
      <c r="D232" s="447">
        <f t="shared" ref="D232:N232" si="92">D198+D164+D130</f>
        <v>127.59662763465437</v>
      </c>
      <c r="E232" s="447">
        <f t="shared" si="92"/>
        <v>125.95619243970354</v>
      </c>
      <c r="F232" s="447">
        <f t="shared" si="92"/>
        <v>123.55422764770758</v>
      </c>
      <c r="G232" s="447">
        <f t="shared" si="92"/>
        <v>120.00222796336446</v>
      </c>
      <c r="H232" s="447">
        <f t="shared" si="92"/>
        <v>116.9163582919282</v>
      </c>
      <c r="I232" s="447">
        <f t="shared" si="92"/>
        <v>114.5509343520217</v>
      </c>
      <c r="J232" s="447">
        <f t="shared" si="92"/>
        <v>113.06057078972859</v>
      </c>
      <c r="K232" s="447">
        <f t="shared" si="92"/>
        <v>112.58384111535278</v>
      </c>
      <c r="L232" s="447">
        <f t="shared" si="92"/>
        <v>112.34008632116759</v>
      </c>
      <c r="M232" s="447">
        <f t="shared" si="92"/>
        <v>112.36946254947983</v>
      </c>
      <c r="N232" s="447">
        <f t="shared" si="92"/>
        <v>112.64486321971648</v>
      </c>
    </row>
    <row r="233" spans="1:14">
      <c r="B233" s="331" t="str">
        <f t="shared" si="86"/>
        <v>40-44</v>
      </c>
      <c r="C233" s="447">
        <f t="shared" si="88"/>
        <v>105.1187250870898</v>
      </c>
      <c r="D233" s="447">
        <f t="shared" ref="D233:N233" si="93">D199+D165+D131</f>
        <v>107.26334518451685</v>
      </c>
      <c r="E233" s="447">
        <f t="shared" si="93"/>
        <v>109.95773016398776</v>
      </c>
      <c r="F233" s="447">
        <f t="shared" si="93"/>
        <v>111.59205292350576</v>
      </c>
      <c r="G233" s="447">
        <f t="shared" si="93"/>
        <v>111.44197764064963</v>
      </c>
      <c r="H233" s="447">
        <f t="shared" si="93"/>
        <v>110.83909822726733</v>
      </c>
      <c r="I233" s="447">
        <f t="shared" si="93"/>
        <v>110.05450963736439</v>
      </c>
      <c r="J233" s="447">
        <f t="shared" si="93"/>
        <v>109.33861890946187</v>
      </c>
      <c r="K233" s="447">
        <f t="shared" si="93"/>
        <v>108.9507541309262</v>
      </c>
      <c r="L233" s="447">
        <f t="shared" si="93"/>
        <v>108.37067485978525</v>
      </c>
      <c r="M233" s="447">
        <f t="shared" si="93"/>
        <v>107.79174842057272</v>
      </c>
      <c r="N233" s="447">
        <f t="shared" si="93"/>
        <v>107.32203489552646</v>
      </c>
    </row>
    <row r="234" spans="1:14">
      <c r="B234" s="331" t="str">
        <f t="shared" si="86"/>
        <v>45-49</v>
      </c>
      <c r="C234" s="447">
        <f t="shared" si="88"/>
        <v>96.108215684046826</v>
      </c>
      <c r="D234" s="447">
        <f t="shared" ref="D234:N234" si="94">D200+D166+D132</f>
        <v>96.940643612302694</v>
      </c>
      <c r="E234" s="447">
        <f t="shared" si="94"/>
        <v>99.380494012811766</v>
      </c>
      <c r="F234" s="447">
        <f t="shared" si="94"/>
        <v>101.68131168888777</v>
      </c>
      <c r="G234" s="447">
        <f t="shared" si="94"/>
        <v>102.86918946679484</v>
      </c>
      <c r="H234" s="447">
        <f t="shared" si="94"/>
        <v>103.85555319231032</v>
      </c>
      <c r="I234" s="447">
        <f t="shared" si="94"/>
        <v>104.66093579927546</v>
      </c>
      <c r="J234" s="447">
        <f t="shared" si="94"/>
        <v>105.36002805334539</v>
      </c>
      <c r="K234" s="447">
        <f t="shared" si="94"/>
        <v>106.10186551111092</v>
      </c>
      <c r="L234" s="447">
        <f t="shared" si="94"/>
        <v>106.36959575613396</v>
      </c>
      <c r="M234" s="447">
        <f t="shared" si="94"/>
        <v>106.3446582790814</v>
      </c>
      <c r="N234" s="447">
        <f t="shared" si="94"/>
        <v>106.16058288146658</v>
      </c>
    </row>
    <row r="235" spans="1:14">
      <c r="B235" s="331" t="str">
        <f t="shared" si="86"/>
        <v>50-54</v>
      </c>
      <c r="C235" s="447">
        <f t="shared" si="88"/>
        <v>98.518862324291788</v>
      </c>
      <c r="D235" s="447">
        <f t="shared" ref="D235:N235" si="95">D201+D167+D133</f>
        <v>96.830104036019819</v>
      </c>
      <c r="E235" s="447">
        <f t="shared" si="95"/>
        <v>96.899189085644593</v>
      </c>
      <c r="F235" s="447">
        <f t="shared" si="95"/>
        <v>97.422956731822879</v>
      </c>
      <c r="G235" s="447">
        <f t="shared" si="95"/>
        <v>97.707015344728262</v>
      </c>
      <c r="H235" s="447">
        <f t="shared" si="95"/>
        <v>98.325676664238628</v>
      </c>
      <c r="I235" s="447">
        <f t="shared" si="95"/>
        <v>99.190788498465665</v>
      </c>
      <c r="J235" s="447">
        <f t="shared" si="95"/>
        <v>100.24828821921358</v>
      </c>
      <c r="K235" s="447">
        <f t="shared" si="95"/>
        <v>101.51785608016019</v>
      </c>
      <c r="L235" s="447">
        <f t="shared" si="95"/>
        <v>102.40321360684531</v>
      </c>
      <c r="M235" s="447">
        <f t="shared" si="95"/>
        <v>102.99559130359637</v>
      </c>
      <c r="N235" s="447">
        <f t="shared" si="95"/>
        <v>103.36459881833818</v>
      </c>
    </row>
    <row r="236" spans="1:14">
      <c r="B236" s="331" t="str">
        <f t="shared" si="86"/>
        <v>55-59</v>
      </c>
      <c r="C236" s="447">
        <f t="shared" si="88"/>
        <v>152.98837509222642</v>
      </c>
      <c r="D236" s="447">
        <f t="shared" ref="D236:N236" si="96">D202+D168+D134</f>
        <v>136.4893685728172</v>
      </c>
      <c r="E236" s="447">
        <f t="shared" si="96"/>
        <v>126.42957007676777</v>
      </c>
      <c r="F236" s="447">
        <f t="shared" si="96"/>
        <v>120.26438461018874</v>
      </c>
      <c r="G236" s="447">
        <f t="shared" si="96"/>
        <v>116.65736396373386</v>
      </c>
      <c r="H236" s="447">
        <f t="shared" si="96"/>
        <v>114.78237495558386</v>
      </c>
      <c r="I236" s="447">
        <f t="shared" si="96"/>
        <v>114.15785782189039</v>
      </c>
      <c r="J236" s="447">
        <f t="shared" si="96"/>
        <v>114.46460819376142</v>
      </c>
      <c r="K236" s="447">
        <f t="shared" si="96"/>
        <v>115.54646887739369</v>
      </c>
      <c r="L236" s="447">
        <f t="shared" si="96"/>
        <v>116.4161337239298</v>
      </c>
      <c r="M236" s="447">
        <f t="shared" si="96"/>
        <v>117.1368144555272</v>
      </c>
      <c r="N236" s="447">
        <f t="shared" si="96"/>
        <v>117.72981454961081</v>
      </c>
    </row>
    <row r="237" spans="1:14">
      <c r="B237" s="331" t="str">
        <f t="shared" si="86"/>
        <v>60-64</v>
      </c>
      <c r="C237" s="447">
        <f t="shared" si="88"/>
        <v>96.585488644538188</v>
      </c>
      <c r="D237" s="447">
        <f t="shared" ref="D237:N237" si="97">D203+D169+D135</f>
        <v>89.518791654756683</v>
      </c>
      <c r="E237" s="447">
        <f t="shared" si="97"/>
        <v>82.55194307301042</v>
      </c>
      <c r="F237" s="447">
        <f t="shared" si="97"/>
        <v>76.922949102567983</v>
      </c>
      <c r="G237" s="447">
        <f t="shared" si="97"/>
        <v>72.95463918065353</v>
      </c>
      <c r="H237" s="447">
        <f t="shared" si="97"/>
        <v>70.282018012242943</v>
      </c>
      <c r="I237" s="447">
        <f t="shared" si="97"/>
        <v>68.725910260656036</v>
      </c>
      <c r="J237" s="447">
        <f t="shared" si="97"/>
        <v>68.090170286156678</v>
      </c>
      <c r="K237" s="447">
        <f t="shared" si="97"/>
        <v>68.249244043513158</v>
      </c>
      <c r="L237" s="447">
        <f t="shared" si="97"/>
        <v>68.368333553545725</v>
      </c>
      <c r="M237" s="447">
        <f t="shared" si="97"/>
        <v>68.517835859558261</v>
      </c>
      <c r="N237" s="447">
        <f t="shared" si="97"/>
        <v>68.706680567209006</v>
      </c>
    </row>
    <row r="238" spans="1:14">
      <c r="B238" s="331" t="str">
        <f t="shared" si="86"/>
        <v>65 plus</v>
      </c>
      <c r="C238" s="447">
        <f t="shared" si="88"/>
        <v>25.010802793421224</v>
      </c>
      <c r="D238" s="447">
        <f t="shared" ref="D238:N238" si="98">D204+D170+D136</f>
        <v>30.64423315893697</v>
      </c>
      <c r="E238" s="447">
        <f t="shared" si="98"/>
        <v>33.538167009687214</v>
      </c>
      <c r="F238" s="447">
        <f t="shared" si="98"/>
        <v>34.598690972587249</v>
      </c>
      <c r="G238" s="447">
        <f t="shared" si="98"/>
        <v>34.652991514427484</v>
      </c>
      <c r="H238" s="447">
        <f t="shared" si="98"/>
        <v>34.247896833205111</v>
      </c>
      <c r="I238" s="447">
        <f t="shared" si="98"/>
        <v>33.744766010844543</v>
      </c>
      <c r="J238" s="447">
        <f t="shared" si="98"/>
        <v>33.351864516484163</v>
      </c>
      <c r="K238" s="447">
        <f t="shared" si="98"/>
        <v>33.196056330746536</v>
      </c>
      <c r="L238" s="447">
        <f t="shared" si="98"/>
        <v>33.030073387173928</v>
      </c>
      <c r="M238" s="447">
        <f t="shared" si="98"/>
        <v>32.894324273792762</v>
      </c>
      <c r="N238" s="447">
        <f t="shared" si="98"/>
        <v>32.806047064186146</v>
      </c>
    </row>
    <row r="239" spans="1:14">
      <c r="B239" s="331" t="str">
        <f t="shared" si="86"/>
        <v>Total</v>
      </c>
      <c r="C239" s="447">
        <f>SUM(C229:C238)</f>
        <v>989.61289813293035</v>
      </c>
      <c r="D239" s="447">
        <f t="shared" ref="D239:N239" si="99">SUM(D229:D238)</f>
        <v>961.89843887188226</v>
      </c>
      <c r="E239" s="447">
        <f t="shared" si="99"/>
        <v>950.69321787134311</v>
      </c>
      <c r="F239" s="447">
        <f t="shared" si="99"/>
        <v>945.08044739463662</v>
      </c>
      <c r="G239" s="447">
        <f t="shared" si="99"/>
        <v>940.06598437317109</v>
      </c>
      <c r="H239" s="447">
        <f t="shared" si="99"/>
        <v>939.01961567438025</v>
      </c>
      <c r="I239" s="447">
        <f t="shared" si="99"/>
        <v>942.31268879092659</v>
      </c>
      <c r="J239" s="447">
        <f t="shared" si="99"/>
        <v>950.29649864970429</v>
      </c>
      <c r="K239" s="447">
        <f t="shared" si="99"/>
        <v>964.01164216711913</v>
      </c>
      <c r="L239" s="447">
        <f t="shared" si="99"/>
        <v>972.98659906081559</v>
      </c>
      <c r="M239" s="447">
        <f t="shared" si="99"/>
        <v>979.30464616638847</v>
      </c>
      <c r="N239" s="447">
        <f t="shared" si="99"/>
        <v>984.13682654657282</v>
      </c>
    </row>
    <row r="240" spans="1:14">
      <c r="A240" s="302">
        <f>SUM(C240:N240)</f>
        <v>0</v>
      </c>
      <c r="C240" s="302">
        <f>SUM(C229:C238)-C239</f>
        <v>0</v>
      </c>
      <c r="D240" s="302">
        <f t="shared" ref="D240:N240" si="100">SUM(D229:D238)-D239</f>
        <v>0</v>
      </c>
      <c r="E240" s="302">
        <f t="shared" si="100"/>
        <v>0</v>
      </c>
      <c r="F240" s="302">
        <f t="shared" si="100"/>
        <v>0</v>
      </c>
      <c r="G240" s="302">
        <f t="shared" si="100"/>
        <v>0</v>
      </c>
      <c r="H240" s="302">
        <f t="shared" si="100"/>
        <v>0</v>
      </c>
      <c r="I240" s="302">
        <f t="shared" si="100"/>
        <v>0</v>
      </c>
      <c r="J240" s="302">
        <f t="shared" si="100"/>
        <v>0</v>
      </c>
      <c r="K240" s="302">
        <f t="shared" si="100"/>
        <v>0</v>
      </c>
      <c r="L240" s="302">
        <f t="shared" si="100"/>
        <v>0</v>
      </c>
      <c r="M240" s="302">
        <f t="shared" si="100"/>
        <v>0</v>
      </c>
      <c r="N240" s="302">
        <f t="shared" si="100"/>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1">B212</f>
        <v>Age group</v>
      </c>
      <c r="C246" s="331" t="str">
        <f t="shared" ref="C246:N246" si="102">C212</f>
        <v>2017/18</v>
      </c>
      <c r="D246" s="331" t="str">
        <f t="shared" si="102"/>
        <v>2018/19</v>
      </c>
      <c r="E246" s="331" t="str">
        <f t="shared" si="102"/>
        <v>2019/20</v>
      </c>
      <c r="F246" s="331" t="str">
        <f t="shared" si="102"/>
        <v>2020/21</v>
      </c>
      <c r="G246" s="331" t="str">
        <f t="shared" si="102"/>
        <v>2021/22</v>
      </c>
      <c r="H246" s="331" t="str">
        <f t="shared" si="102"/>
        <v>2022/23</v>
      </c>
      <c r="I246" s="331" t="str">
        <f t="shared" si="102"/>
        <v>2023/24</v>
      </c>
      <c r="J246" s="331" t="str">
        <f t="shared" si="102"/>
        <v>2024/25</v>
      </c>
      <c r="K246" s="331" t="str">
        <f t="shared" si="102"/>
        <v>2025/26</v>
      </c>
      <c r="L246" s="331" t="str">
        <f t="shared" si="102"/>
        <v>2026/27</v>
      </c>
      <c r="M246" s="331" t="str">
        <f t="shared" si="102"/>
        <v>2027/28</v>
      </c>
      <c r="N246" s="331" t="str">
        <f t="shared" si="102"/>
        <v>2028/29</v>
      </c>
    </row>
    <row r="247" spans="2:14">
      <c r="B247" s="331" t="str">
        <f t="shared" si="101"/>
        <v>20-24</v>
      </c>
      <c r="C247" s="447">
        <f t="shared" ref="C247:C256" si="103">C77-C213</f>
        <v>78.559833490020523</v>
      </c>
      <c r="D247" s="447">
        <f t="shared" ref="D247:N247" si="104">D77-D213</f>
        <v>125.87385021821584</v>
      </c>
      <c r="E247" s="447">
        <f t="shared" si="104"/>
        <v>162.65851348488152</v>
      </c>
      <c r="F247" s="447">
        <f t="shared" si="104"/>
        <v>194.34961118715037</v>
      </c>
      <c r="G247" s="447">
        <f t="shared" si="104"/>
        <v>223.8282679692939</v>
      </c>
      <c r="H247" s="447">
        <f t="shared" si="104"/>
        <v>246.82555241186913</v>
      </c>
      <c r="I247" s="447">
        <f t="shared" si="104"/>
        <v>266.1121286803841</v>
      </c>
      <c r="J247" s="447">
        <f t="shared" si="104"/>
        <v>283.69246243305679</v>
      </c>
      <c r="K247" s="447">
        <f t="shared" si="104"/>
        <v>301.60055797153638</v>
      </c>
      <c r="L247" s="447">
        <f t="shared" si="104"/>
        <v>311.45101002406915</v>
      </c>
      <c r="M247" s="447">
        <f t="shared" si="104"/>
        <v>316.94786064836535</v>
      </c>
      <c r="N247" s="447">
        <f t="shared" si="104"/>
        <v>320.14704515818397</v>
      </c>
    </row>
    <row r="248" spans="2:14">
      <c r="B248" s="331" t="str">
        <f t="shared" si="101"/>
        <v>25-29</v>
      </c>
      <c r="C248" s="447">
        <f t="shared" si="103"/>
        <v>396.56349023106895</v>
      </c>
      <c r="D248" s="447">
        <f t="shared" ref="D248:N248" si="105">D78-D214</f>
        <v>394.13575700106247</v>
      </c>
      <c r="E248" s="447">
        <f t="shared" si="105"/>
        <v>404.91781588546127</v>
      </c>
      <c r="F248" s="447">
        <f t="shared" si="105"/>
        <v>427.22696101816302</v>
      </c>
      <c r="G248" s="447">
        <f t="shared" si="105"/>
        <v>458.50735291138756</v>
      </c>
      <c r="H248" s="447">
        <f t="shared" si="105"/>
        <v>489.44589672492725</v>
      </c>
      <c r="I248" s="447">
        <f t="shared" si="105"/>
        <v>520.07645716991544</v>
      </c>
      <c r="J248" s="447">
        <f t="shared" si="105"/>
        <v>550.99631866698473</v>
      </c>
      <c r="K248" s="447">
        <f t="shared" si="105"/>
        <v>583.81611744697057</v>
      </c>
      <c r="L248" s="447">
        <f t="shared" si="105"/>
        <v>607.23164323524554</v>
      </c>
      <c r="M248" s="447">
        <f t="shared" si="105"/>
        <v>624.09907905614546</v>
      </c>
      <c r="N248" s="447">
        <f t="shared" si="105"/>
        <v>636.43733528067185</v>
      </c>
    </row>
    <row r="249" spans="2:14">
      <c r="B249" s="331" t="str">
        <f t="shared" si="101"/>
        <v>30-34</v>
      </c>
      <c r="C249" s="447">
        <f t="shared" si="103"/>
        <v>701.62162497162944</v>
      </c>
      <c r="D249" s="447">
        <f t="shared" ref="D249:N249" si="106">D79-D215</f>
        <v>653.16450364651121</v>
      </c>
      <c r="E249" s="447">
        <f t="shared" si="106"/>
        <v>618.3032152755793</v>
      </c>
      <c r="F249" s="447">
        <f t="shared" si="106"/>
        <v>599.59140425497128</v>
      </c>
      <c r="G249" s="447">
        <f t="shared" si="106"/>
        <v>595.59787882725584</v>
      </c>
      <c r="H249" s="447">
        <f t="shared" si="106"/>
        <v>600.25534972994262</v>
      </c>
      <c r="I249" s="447">
        <f t="shared" si="106"/>
        <v>611.97053883415902</v>
      </c>
      <c r="J249" s="447">
        <f t="shared" si="106"/>
        <v>629.60821423263928</v>
      </c>
      <c r="K249" s="447">
        <f t="shared" si="106"/>
        <v>652.93688338635138</v>
      </c>
      <c r="L249" s="447">
        <f t="shared" si="106"/>
        <v>674.17604812071977</v>
      </c>
      <c r="M249" s="447">
        <f t="shared" si="106"/>
        <v>693.17348083328659</v>
      </c>
      <c r="N249" s="447">
        <f t="shared" si="106"/>
        <v>709.90308998634373</v>
      </c>
    </row>
    <row r="250" spans="2:14">
      <c r="B250" s="331" t="str">
        <f t="shared" si="101"/>
        <v>35-39</v>
      </c>
      <c r="C250" s="447">
        <f t="shared" si="103"/>
        <v>747.89245983418346</v>
      </c>
      <c r="D250" s="447">
        <f t="shared" ref="D250:N250" si="107">D80-D216</f>
        <v>725.0731734905437</v>
      </c>
      <c r="E250" s="447">
        <f t="shared" si="107"/>
        <v>699.37586725043002</v>
      </c>
      <c r="F250" s="447">
        <f t="shared" si="107"/>
        <v>677.65113431305383</v>
      </c>
      <c r="G250" s="447">
        <f t="shared" si="107"/>
        <v>661.83961461169122</v>
      </c>
      <c r="H250" s="447">
        <f t="shared" si="107"/>
        <v>650.53684813641303</v>
      </c>
      <c r="I250" s="447">
        <f t="shared" si="107"/>
        <v>644.64950158690658</v>
      </c>
      <c r="J250" s="447">
        <f t="shared" si="107"/>
        <v>644.58456238492499</v>
      </c>
      <c r="K250" s="447">
        <f t="shared" si="107"/>
        <v>650.76585368905171</v>
      </c>
      <c r="L250" s="447">
        <f t="shared" si="107"/>
        <v>658.23152898539536</v>
      </c>
      <c r="M250" s="447">
        <f t="shared" si="107"/>
        <v>666.96656862765167</v>
      </c>
      <c r="N250" s="447">
        <f t="shared" si="107"/>
        <v>676.6376070904555</v>
      </c>
    </row>
    <row r="251" spans="2:14">
      <c r="B251" s="331" t="str">
        <f t="shared" si="101"/>
        <v>40-44</v>
      </c>
      <c r="C251" s="447">
        <f t="shared" si="103"/>
        <v>677.70770801276853</v>
      </c>
      <c r="D251" s="447">
        <f t="shared" ref="D251:N251" si="108">D81-D217</f>
        <v>669.4405785893116</v>
      </c>
      <c r="E251" s="447">
        <f t="shared" si="108"/>
        <v>658.94549284507991</v>
      </c>
      <c r="F251" s="447">
        <f t="shared" si="108"/>
        <v>649.88241643237848</v>
      </c>
      <c r="G251" s="447">
        <f t="shared" si="108"/>
        <v>642.34396091724841</v>
      </c>
      <c r="H251" s="447">
        <f t="shared" si="108"/>
        <v>634.85764153210391</v>
      </c>
      <c r="I251" s="447">
        <f t="shared" si="108"/>
        <v>628.61475216776284</v>
      </c>
      <c r="J251" s="447">
        <f t="shared" si="108"/>
        <v>624.68469433585824</v>
      </c>
      <c r="K251" s="447">
        <f t="shared" si="108"/>
        <v>624.20465317756816</v>
      </c>
      <c r="L251" s="447">
        <f t="shared" si="108"/>
        <v>623.78065224644536</v>
      </c>
      <c r="M251" s="447">
        <f t="shared" si="108"/>
        <v>624.21344870936935</v>
      </c>
      <c r="N251" s="447">
        <f t="shared" si="108"/>
        <v>625.84868758700884</v>
      </c>
    </row>
    <row r="252" spans="2:14">
      <c r="B252" s="331" t="str">
        <f t="shared" si="101"/>
        <v>45-49</v>
      </c>
      <c r="C252" s="447">
        <f t="shared" si="103"/>
        <v>624.96475958802068</v>
      </c>
      <c r="D252" s="447">
        <f t="shared" ref="D252:N252" si="109">D82-D218</f>
        <v>607.1772267366714</v>
      </c>
      <c r="E252" s="447">
        <f t="shared" si="109"/>
        <v>592.1471093835338</v>
      </c>
      <c r="F252" s="447">
        <f t="shared" si="109"/>
        <v>582.17743041131075</v>
      </c>
      <c r="G252" s="447">
        <f t="shared" si="109"/>
        <v>575.78224851357663</v>
      </c>
      <c r="H252" s="447">
        <f t="shared" si="109"/>
        <v>570.52610563808094</v>
      </c>
      <c r="I252" s="447">
        <f t="shared" si="109"/>
        <v>566.41619083190835</v>
      </c>
      <c r="J252" s="447">
        <f t="shared" si="109"/>
        <v>563.69498516881731</v>
      </c>
      <c r="K252" s="447">
        <f t="shared" si="109"/>
        <v>562.95753186562081</v>
      </c>
      <c r="L252" s="447">
        <f t="shared" si="109"/>
        <v>561.34857842580072</v>
      </c>
      <c r="M252" s="447">
        <f t="shared" si="109"/>
        <v>559.58198913959507</v>
      </c>
      <c r="N252" s="447">
        <f t="shared" si="109"/>
        <v>558.13001706686271</v>
      </c>
    </row>
    <row r="253" spans="2:14">
      <c r="B253" s="331" t="str">
        <f t="shared" si="101"/>
        <v>50-54</v>
      </c>
      <c r="C253" s="447">
        <f t="shared" si="103"/>
        <v>505.65652985800182</v>
      </c>
      <c r="D253" s="447">
        <f t="shared" ref="D253:N253" si="110">D83-D219</f>
        <v>488.56877007471365</v>
      </c>
      <c r="E253" s="447">
        <f t="shared" si="110"/>
        <v>472.72745294272517</v>
      </c>
      <c r="F253" s="447">
        <f t="shared" si="110"/>
        <v>461.08767655839682</v>
      </c>
      <c r="G253" s="447">
        <f t="shared" si="110"/>
        <v>452.93981634560453</v>
      </c>
      <c r="H253" s="447">
        <f t="shared" si="110"/>
        <v>446.61531992483015</v>
      </c>
      <c r="I253" s="447">
        <f t="shared" si="110"/>
        <v>442.00827764094953</v>
      </c>
      <c r="J253" s="447">
        <f t="shared" si="110"/>
        <v>439.05903877375067</v>
      </c>
      <c r="K253" s="447">
        <f t="shared" si="110"/>
        <v>437.93111302811798</v>
      </c>
      <c r="L253" s="447">
        <f t="shared" si="110"/>
        <v>436.2807180525088</v>
      </c>
      <c r="M253" s="447">
        <f t="shared" si="110"/>
        <v>434.44968545450536</v>
      </c>
      <c r="N253" s="447">
        <f t="shared" si="110"/>
        <v>432.66294911941662</v>
      </c>
    </row>
    <row r="254" spans="2:14">
      <c r="B254" s="331" t="str">
        <f t="shared" si="101"/>
        <v>55-59</v>
      </c>
      <c r="C254" s="447">
        <f t="shared" si="103"/>
        <v>314.41652255797891</v>
      </c>
      <c r="D254" s="447">
        <f t="shared" ref="D254:N254" si="111">D84-D220</f>
        <v>276.44073112545243</v>
      </c>
      <c r="E254" s="447">
        <f t="shared" si="111"/>
        <v>250.96922607631777</v>
      </c>
      <c r="F254" s="447">
        <f t="shared" si="111"/>
        <v>234.35305864568988</v>
      </c>
      <c r="G254" s="447">
        <f t="shared" si="111"/>
        <v>223.65624881100453</v>
      </c>
      <c r="H254" s="447">
        <f t="shared" si="111"/>
        <v>216.31822476848697</v>
      </c>
      <c r="I254" s="447">
        <f t="shared" si="111"/>
        <v>211.40578625678688</v>
      </c>
      <c r="J254" s="447">
        <f t="shared" si="111"/>
        <v>208.34873533154712</v>
      </c>
      <c r="K254" s="447">
        <f t="shared" si="111"/>
        <v>206.8873995038573</v>
      </c>
      <c r="L254" s="447">
        <f t="shared" si="111"/>
        <v>205.42618729693308</v>
      </c>
      <c r="M254" s="447">
        <f t="shared" si="111"/>
        <v>204.08285029510893</v>
      </c>
      <c r="N254" s="447">
        <f t="shared" si="111"/>
        <v>202.8976494637098</v>
      </c>
    </row>
    <row r="255" spans="2:14">
      <c r="B255" s="331" t="str">
        <f t="shared" si="101"/>
        <v>60-64</v>
      </c>
      <c r="C255" s="447">
        <f t="shared" si="103"/>
        <v>126.48649877028198</v>
      </c>
      <c r="D255" s="447">
        <f t="shared" ref="D255:N255" si="112">D85-D221</f>
        <v>110.09354517948428</v>
      </c>
      <c r="E255" s="447">
        <f t="shared" si="112"/>
        <v>96.812008475724667</v>
      </c>
      <c r="F255" s="447">
        <f t="shared" si="112"/>
        <v>87.27463329915463</v>
      </c>
      <c r="G255" s="447">
        <f t="shared" si="112"/>
        <v>80.76036389566147</v>
      </c>
      <c r="H255" s="447">
        <f t="shared" si="112"/>
        <v>76.210262669311263</v>
      </c>
      <c r="I255" s="447">
        <f t="shared" si="112"/>
        <v>73.155479674058256</v>
      </c>
      <c r="J255" s="447">
        <f t="shared" si="112"/>
        <v>71.240144440592275</v>
      </c>
      <c r="K255" s="447">
        <f t="shared" si="112"/>
        <v>70.2522749992592</v>
      </c>
      <c r="L255" s="447">
        <f t="shared" si="112"/>
        <v>69.367705820871734</v>
      </c>
      <c r="M255" s="447">
        <f t="shared" si="112"/>
        <v>68.627667206369139</v>
      </c>
      <c r="N255" s="447">
        <f t="shared" si="112"/>
        <v>68.030041816913013</v>
      </c>
    </row>
    <row r="256" spans="2:14">
      <c r="B256" s="331" t="str">
        <f t="shared" si="101"/>
        <v>65 plus</v>
      </c>
      <c r="C256" s="447">
        <f t="shared" si="103"/>
        <v>44.440981320291627</v>
      </c>
      <c r="D256" s="447">
        <f t="shared" ref="D256:N256" si="113">D86-D222</f>
        <v>44.047355590109866</v>
      </c>
      <c r="E256" s="447">
        <f t="shared" si="113"/>
        <v>41.713524337112823</v>
      </c>
      <c r="F256" s="447">
        <f t="shared" si="113"/>
        <v>38.976605475503433</v>
      </c>
      <c r="G256" s="447">
        <f t="shared" si="113"/>
        <v>36.376675071249622</v>
      </c>
      <c r="H256" s="447">
        <f t="shared" si="113"/>
        <v>34.088055527304284</v>
      </c>
      <c r="I256" s="447">
        <f t="shared" si="113"/>
        <v>32.246891834383412</v>
      </c>
      <c r="J256" s="447">
        <f t="shared" si="113"/>
        <v>30.880195120270955</v>
      </c>
      <c r="K256" s="447">
        <f t="shared" si="113"/>
        <v>29.978491959939639</v>
      </c>
      <c r="L256" s="447">
        <f t="shared" si="113"/>
        <v>29.240773464957662</v>
      </c>
      <c r="M256" s="447">
        <f t="shared" si="113"/>
        <v>28.650471545434044</v>
      </c>
      <c r="N256" s="447">
        <f t="shared" si="113"/>
        <v>28.187426526771631</v>
      </c>
    </row>
    <row r="257" spans="1:14">
      <c r="B257" s="331" t="str">
        <f t="shared" si="101"/>
        <v>Total</v>
      </c>
      <c r="C257" s="447">
        <f>SUM(C247:C256)</f>
        <v>4218.3104086342464</v>
      </c>
      <c r="D257" s="447">
        <f t="shared" ref="D257:N257" si="114">SUM(D247:D256)</f>
        <v>4094.0154916520764</v>
      </c>
      <c r="E257" s="447">
        <f t="shared" si="114"/>
        <v>3998.5702259568461</v>
      </c>
      <c r="F257" s="447">
        <f t="shared" si="114"/>
        <v>3952.570931595772</v>
      </c>
      <c r="G257" s="447">
        <f t="shared" si="114"/>
        <v>3951.6324278739735</v>
      </c>
      <c r="H257" s="447">
        <f t="shared" si="114"/>
        <v>3965.6792570632697</v>
      </c>
      <c r="I257" s="447">
        <f t="shared" si="114"/>
        <v>3996.6560046772147</v>
      </c>
      <c r="J257" s="447">
        <f t="shared" si="114"/>
        <v>4046.7893508884422</v>
      </c>
      <c r="K257" s="447">
        <f t="shared" si="114"/>
        <v>4121.3308770282729</v>
      </c>
      <c r="L257" s="447">
        <f t="shared" si="114"/>
        <v>4176.5348456729471</v>
      </c>
      <c r="M257" s="447">
        <f t="shared" si="114"/>
        <v>4220.793101515831</v>
      </c>
      <c r="N257" s="447">
        <f t="shared" si="114"/>
        <v>4258.8818490963376</v>
      </c>
    </row>
    <row r="258" spans="1:14">
      <c r="A258" s="302">
        <f>SUM(C258:N258)</f>
        <v>0</v>
      </c>
      <c r="C258" s="302">
        <f>SUM(C247:C256)-C257</f>
        <v>0</v>
      </c>
      <c r="D258" s="302">
        <f t="shared" ref="D258:N258" si="115">SUM(D247:D256)-D257</f>
        <v>0</v>
      </c>
      <c r="E258" s="302">
        <f t="shared" si="115"/>
        <v>0</v>
      </c>
      <c r="F258" s="302">
        <f t="shared" si="115"/>
        <v>0</v>
      </c>
      <c r="G258" s="302">
        <f t="shared" si="115"/>
        <v>0</v>
      </c>
      <c r="H258" s="302">
        <f t="shared" si="115"/>
        <v>0</v>
      </c>
      <c r="I258" s="302">
        <f t="shared" si="115"/>
        <v>0</v>
      </c>
      <c r="J258" s="302">
        <f t="shared" si="115"/>
        <v>0</v>
      </c>
      <c r="K258" s="302">
        <f t="shared" si="115"/>
        <v>0</v>
      </c>
      <c r="L258" s="302">
        <f t="shared" si="115"/>
        <v>0</v>
      </c>
      <c r="M258" s="302">
        <f t="shared" si="115"/>
        <v>0</v>
      </c>
      <c r="N258" s="302">
        <f t="shared" si="115"/>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6">B246</f>
        <v>Age group</v>
      </c>
      <c r="C262" s="331" t="str">
        <f t="shared" ref="C262:N262" si="117">C246</f>
        <v>2017/18</v>
      </c>
      <c r="D262" s="331" t="str">
        <f t="shared" si="117"/>
        <v>2018/19</v>
      </c>
      <c r="E262" s="331" t="str">
        <f t="shared" si="117"/>
        <v>2019/20</v>
      </c>
      <c r="F262" s="331" t="str">
        <f t="shared" si="117"/>
        <v>2020/21</v>
      </c>
      <c r="G262" s="331" t="str">
        <f t="shared" si="117"/>
        <v>2021/22</v>
      </c>
      <c r="H262" s="331" t="str">
        <f t="shared" si="117"/>
        <v>2022/23</v>
      </c>
      <c r="I262" s="331" t="str">
        <f t="shared" si="117"/>
        <v>2023/24</v>
      </c>
      <c r="J262" s="331" t="str">
        <f t="shared" si="117"/>
        <v>2024/25</v>
      </c>
      <c r="K262" s="331" t="str">
        <f t="shared" si="117"/>
        <v>2025/26</v>
      </c>
      <c r="L262" s="331" t="str">
        <f t="shared" si="117"/>
        <v>2026/27</v>
      </c>
      <c r="M262" s="331" t="str">
        <f t="shared" si="117"/>
        <v>2027/28</v>
      </c>
      <c r="N262" s="331" t="str">
        <f t="shared" si="117"/>
        <v>2028/29</v>
      </c>
    </row>
    <row r="263" spans="1:14">
      <c r="B263" s="331" t="str">
        <f t="shared" si="116"/>
        <v>20-24</v>
      </c>
      <c r="C263" s="447">
        <f t="shared" ref="C263:C272" si="118">C93-C229</f>
        <v>257.67477315521245</v>
      </c>
      <c r="D263" s="447">
        <f t="shared" ref="D263:N263" si="119">D93-D229</f>
        <v>316.53113625538742</v>
      </c>
      <c r="E263" s="447">
        <f t="shared" si="119"/>
        <v>365.34942980097384</v>
      </c>
      <c r="F263" s="447">
        <f t="shared" si="119"/>
        <v>409.30022911154555</v>
      </c>
      <c r="G263" s="447">
        <f t="shared" si="119"/>
        <v>453.89444606069048</v>
      </c>
      <c r="H263" s="447">
        <f t="shared" si="119"/>
        <v>489.54927810784551</v>
      </c>
      <c r="I263" s="447">
        <f t="shared" si="119"/>
        <v>520.54008571238012</v>
      </c>
      <c r="J263" s="447">
        <f t="shared" si="119"/>
        <v>549.97761555556588</v>
      </c>
      <c r="K263" s="447">
        <f t="shared" si="119"/>
        <v>581.23842392554081</v>
      </c>
      <c r="L263" s="447">
        <f t="shared" si="119"/>
        <v>597.97295843701102</v>
      </c>
      <c r="M263" s="447">
        <f t="shared" si="119"/>
        <v>607.00369427259511</v>
      </c>
      <c r="N263" s="447">
        <f t="shared" si="119"/>
        <v>612.07806886751609</v>
      </c>
    </row>
    <row r="264" spans="1:14">
      <c r="B264" s="331" t="str">
        <f t="shared" si="116"/>
        <v>25-29</v>
      </c>
      <c r="C264" s="447">
        <f t="shared" si="118"/>
        <v>1085.5890648891109</v>
      </c>
      <c r="D264" s="447">
        <f t="shared" ref="D264:N264" si="120">D94-D230</f>
        <v>1009.4294035461132</v>
      </c>
      <c r="E264" s="447">
        <f t="shared" si="120"/>
        <v>973.72444542962</v>
      </c>
      <c r="F264" s="447">
        <f t="shared" si="120"/>
        <v>968.80555029338564</v>
      </c>
      <c r="G264" s="447">
        <f t="shared" si="120"/>
        <v>991.05762138100795</v>
      </c>
      <c r="H264" s="447">
        <f t="shared" si="120"/>
        <v>1020.80116654325</v>
      </c>
      <c r="I264" s="447">
        <f t="shared" si="120"/>
        <v>1056.4651202379694</v>
      </c>
      <c r="J264" s="447">
        <f t="shared" si="120"/>
        <v>1097.8216335011057</v>
      </c>
      <c r="K264" s="447">
        <f t="shared" si="120"/>
        <v>1146.8202836723833</v>
      </c>
      <c r="L264" s="447">
        <f t="shared" si="120"/>
        <v>1181.0270949392784</v>
      </c>
      <c r="M264" s="447">
        <f t="shared" si="120"/>
        <v>1205.199349051953</v>
      </c>
      <c r="N264" s="447">
        <f t="shared" si="120"/>
        <v>1222.6357046953467</v>
      </c>
    </row>
    <row r="265" spans="1:14">
      <c r="B265" s="331" t="str">
        <f t="shared" si="116"/>
        <v>30-34</v>
      </c>
      <c r="C265" s="447">
        <f t="shared" si="118"/>
        <v>1600.4757616223019</v>
      </c>
      <c r="D265" s="447">
        <f t="shared" ref="D265:N265" si="121">D95-D231</f>
        <v>1483.4327574837832</v>
      </c>
      <c r="E265" s="447">
        <f t="shared" si="121"/>
        <v>1387.7287616686094</v>
      </c>
      <c r="F265" s="447">
        <f t="shared" si="121"/>
        <v>1317.535649648356</v>
      </c>
      <c r="G265" s="447">
        <f t="shared" si="121"/>
        <v>1276.0191598438751</v>
      </c>
      <c r="H265" s="447">
        <f t="shared" si="121"/>
        <v>1253.054974719314</v>
      </c>
      <c r="I265" s="447">
        <f t="shared" si="121"/>
        <v>1246.3634778164769</v>
      </c>
      <c r="J265" s="447">
        <f t="shared" si="121"/>
        <v>1254.0667259274433</v>
      </c>
      <c r="K265" s="447">
        <f t="shared" si="121"/>
        <v>1275.6900776782477</v>
      </c>
      <c r="L265" s="447">
        <f t="shared" si="121"/>
        <v>1296.3604148389265</v>
      </c>
      <c r="M265" s="447">
        <f t="shared" si="121"/>
        <v>1315.617198519559</v>
      </c>
      <c r="N265" s="447">
        <f t="shared" si="121"/>
        <v>1333.1593347428318</v>
      </c>
    </row>
    <row r="266" spans="1:14">
      <c r="B266" s="331" t="str">
        <f t="shared" si="116"/>
        <v>35-39</v>
      </c>
      <c r="C266" s="447">
        <f t="shared" si="118"/>
        <v>1520.7716252858368</v>
      </c>
      <c r="D266" s="447">
        <f t="shared" ref="D266:N266" si="122">D96-D232</f>
        <v>1486.0417350748776</v>
      </c>
      <c r="E266" s="447">
        <f t="shared" si="122"/>
        <v>1441.100186964107</v>
      </c>
      <c r="F266" s="447">
        <f t="shared" si="122"/>
        <v>1394.2899075057594</v>
      </c>
      <c r="G266" s="447">
        <f t="shared" si="122"/>
        <v>1354.2061531443592</v>
      </c>
      <c r="H266" s="447">
        <f t="shared" si="122"/>
        <v>1319.382602217152</v>
      </c>
      <c r="I266" s="447">
        <f t="shared" si="122"/>
        <v>1292.6891673653067</v>
      </c>
      <c r="J266" s="447">
        <f t="shared" si="122"/>
        <v>1275.870650403308</v>
      </c>
      <c r="K266" s="447">
        <f t="shared" si="122"/>
        <v>1270.4908314667521</v>
      </c>
      <c r="L266" s="447">
        <f t="shared" si="122"/>
        <v>1267.7400971866787</v>
      </c>
      <c r="M266" s="447">
        <f t="shared" si="122"/>
        <v>1268.0716032746218</v>
      </c>
      <c r="N266" s="447">
        <f t="shared" si="122"/>
        <v>1271.1794562582215</v>
      </c>
    </row>
    <row r="267" spans="1:14">
      <c r="B267" s="331" t="str">
        <f t="shared" si="116"/>
        <v>40-44</v>
      </c>
      <c r="C267" s="447">
        <f t="shared" si="118"/>
        <v>1212.8286045228097</v>
      </c>
      <c r="D267" s="447">
        <f t="shared" ref="D267:N267" si="123">D97-D233</f>
        <v>1231.051172967648</v>
      </c>
      <c r="E267" s="447">
        <f t="shared" si="123"/>
        <v>1239.8185294000386</v>
      </c>
      <c r="F267" s="447">
        <f t="shared" si="123"/>
        <v>1241.0954022690985</v>
      </c>
      <c r="G267" s="447">
        <f t="shared" si="123"/>
        <v>1239.4263072155763</v>
      </c>
      <c r="H267" s="447">
        <f t="shared" si="123"/>
        <v>1232.7212520752757</v>
      </c>
      <c r="I267" s="447">
        <f t="shared" si="123"/>
        <v>1223.9952786202589</v>
      </c>
      <c r="J267" s="447">
        <f t="shared" si="123"/>
        <v>1216.0333434496968</v>
      </c>
      <c r="K267" s="447">
        <f t="shared" si="123"/>
        <v>1211.7196205569678</v>
      </c>
      <c r="L267" s="447">
        <f t="shared" si="123"/>
        <v>1205.2681421810112</v>
      </c>
      <c r="M267" s="447">
        <f t="shared" si="123"/>
        <v>1198.8294852772688</v>
      </c>
      <c r="N267" s="447">
        <f t="shared" si="123"/>
        <v>1193.6054636642052</v>
      </c>
    </row>
    <row r="268" spans="1:14">
      <c r="B268" s="331" t="str">
        <f t="shared" si="116"/>
        <v>45-49</v>
      </c>
      <c r="C268" s="447">
        <f t="shared" si="118"/>
        <v>973.3031085226005</v>
      </c>
      <c r="D268" s="447">
        <f t="shared" ref="D268:N268" si="124">D98-D234</f>
        <v>976.538414895605</v>
      </c>
      <c r="E268" s="447">
        <f t="shared" si="124"/>
        <v>983.46415991730464</v>
      </c>
      <c r="F268" s="447">
        <f t="shared" si="124"/>
        <v>992.45406482810995</v>
      </c>
      <c r="G268" s="447">
        <f t="shared" si="124"/>
        <v>1004.0482713703105</v>
      </c>
      <c r="H268" s="447">
        <f t="shared" si="124"/>
        <v>1013.6756126440151</v>
      </c>
      <c r="I268" s="447">
        <f t="shared" si="124"/>
        <v>1021.5364990620624</v>
      </c>
      <c r="J268" s="447">
        <f t="shared" si="124"/>
        <v>1028.3599451576872</v>
      </c>
      <c r="K268" s="447">
        <f t="shared" si="124"/>
        <v>1035.6006031328104</v>
      </c>
      <c r="L268" s="447">
        <f t="shared" si="124"/>
        <v>1038.2137673961072</v>
      </c>
      <c r="M268" s="447">
        <f t="shared" si="124"/>
        <v>1037.970366715527</v>
      </c>
      <c r="N268" s="447">
        <f t="shared" si="124"/>
        <v>1036.1737103431483</v>
      </c>
    </row>
    <row r="269" spans="1:14">
      <c r="B269" s="331" t="str">
        <f t="shared" si="116"/>
        <v>50-54</v>
      </c>
      <c r="C269" s="447">
        <f t="shared" si="118"/>
        <v>768.79002221998644</v>
      </c>
      <c r="D269" s="447">
        <f t="shared" ref="D269:N269" si="125">D99-D235</f>
        <v>752.4004126463592</v>
      </c>
      <c r="E269" s="447">
        <f t="shared" si="125"/>
        <v>742.23639116966399</v>
      </c>
      <c r="F269" s="447">
        <f t="shared" si="125"/>
        <v>737.98964112803321</v>
      </c>
      <c r="G269" s="447">
        <f t="shared" si="125"/>
        <v>740.1414164470109</v>
      </c>
      <c r="H269" s="447">
        <f t="shared" si="125"/>
        <v>744.82784416878542</v>
      </c>
      <c r="I269" s="447">
        <f t="shared" si="125"/>
        <v>751.38116171830586</v>
      </c>
      <c r="J269" s="447">
        <f t="shared" si="125"/>
        <v>759.39183872491765</v>
      </c>
      <c r="K269" s="447">
        <f t="shared" si="125"/>
        <v>769.00895528058493</v>
      </c>
      <c r="L269" s="447">
        <f t="shared" si="125"/>
        <v>775.71563618318726</v>
      </c>
      <c r="M269" s="447">
        <f t="shared" si="125"/>
        <v>780.20296256398012</v>
      </c>
      <c r="N269" s="447">
        <f t="shared" si="125"/>
        <v>782.99823518260405</v>
      </c>
    </row>
    <row r="270" spans="1:14">
      <c r="B270" s="331" t="str">
        <f t="shared" si="116"/>
        <v>55-59</v>
      </c>
      <c r="C270" s="447">
        <f t="shared" si="118"/>
        <v>482.92191689231879</v>
      </c>
      <c r="D270" s="447">
        <f t="shared" ref="D270:N270" si="126">D100-D236</f>
        <v>430.15688527701241</v>
      </c>
      <c r="E270" s="447">
        <f t="shared" si="126"/>
        <v>396.3180451860573</v>
      </c>
      <c r="F270" s="447">
        <f t="shared" si="126"/>
        <v>375.40943524445828</v>
      </c>
      <c r="G270" s="447">
        <f t="shared" si="126"/>
        <v>364.14999556753492</v>
      </c>
      <c r="H270" s="447">
        <f t="shared" si="126"/>
        <v>358.29715254238943</v>
      </c>
      <c r="I270" s="447">
        <f t="shared" si="126"/>
        <v>356.3477007140674</v>
      </c>
      <c r="J270" s="447">
        <f t="shared" si="126"/>
        <v>357.30523260714108</v>
      </c>
      <c r="K270" s="447">
        <f t="shared" si="126"/>
        <v>360.68229814131394</v>
      </c>
      <c r="L270" s="447">
        <f t="shared" si="126"/>
        <v>363.39698703236252</v>
      </c>
      <c r="M270" s="447">
        <f t="shared" si="126"/>
        <v>365.646616856832</v>
      </c>
      <c r="N270" s="447">
        <f t="shared" si="126"/>
        <v>367.49768715616796</v>
      </c>
    </row>
    <row r="271" spans="1:14">
      <c r="B271" s="331" t="str">
        <f t="shared" si="116"/>
        <v>60-64</v>
      </c>
      <c r="C271" s="447">
        <f t="shared" si="118"/>
        <v>171.83778487737908</v>
      </c>
      <c r="D271" s="447">
        <f t="shared" ref="D271:N271" si="127">D101-D237</f>
        <v>159.09670006540696</v>
      </c>
      <c r="E271" s="447">
        <f t="shared" si="127"/>
        <v>146.19037616182152</v>
      </c>
      <c r="F271" s="447">
        <f t="shared" si="127"/>
        <v>135.83987516126138</v>
      </c>
      <c r="G271" s="447">
        <f t="shared" si="127"/>
        <v>128.83215209963919</v>
      </c>
      <c r="H271" s="447">
        <f t="shared" si="127"/>
        <v>124.11251342086005</v>
      </c>
      <c r="I271" s="447">
        <f t="shared" si="127"/>
        <v>121.36454957939083</v>
      </c>
      <c r="J271" s="447">
        <f t="shared" si="127"/>
        <v>120.24188280986971</v>
      </c>
      <c r="K271" s="447">
        <f t="shared" si="127"/>
        <v>120.52279454808095</v>
      </c>
      <c r="L271" s="447">
        <f t="shared" si="127"/>
        <v>120.73309725181984</v>
      </c>
      <c r="M271" s="447">
        <f t="shared" si="127"/>
        <v>120.99710656012113</v>
      </c>
      <c r="N271" s="447">
        <f t="shared" si="127"/>
        <v>121.33059145391967</v>
      </c>
    </row>
    <row r="272" spans="1:14">
      <c r="B272" s="331" t="str">
        <f t="shared" si="116"/>
        <v>65 plus</v>
      </c>
      <c r="C272" s="447">
        <f t="shared" si="118"/>
        <v>44.094463217835894</v>
      </c>
      <c r="D272" s="447">
        <f t="shared" ref="D272:N272" si="128">D102-D238</f>
        <v>53.938034419308011</v>
      </c>
      <c r="E272" s="447">
        <f t="shared" si="128"/>
        <v>58.706269866769588</v>
      </c>
      <c r="F272" s="447">
        <f t="shared" si="128"/>
        <v>60.300673733680171</v>
      </c>
      <c r="G272" s="447">
        <f t="shared" si="128"/>
        <v>60.395311974753056</v>
      </c>
      <c r="H272" s="447">
        <f t="shared" si="128"/>
        <v>59.689288668177845</v>
      </c>
      <c r="I272" s="447">
        <f t="shared" si="128"/>
        <v>58.812402094967297</v>
      </c>
      <c r="J272" s="447">
        <f t="shared" si="128"/>
        <v>58.127629805759263</v>
      </c>
      <c r="K272" s="447">
        <f t="shared" si="128"/>
        <v>57.856077954833872</v>
      </c>
      <c r="L272" s="447">
        <f t="shared" si="128"/>
        <v>57.56679292570783</v>
      </c>
      <c r="M272" s="447">
        <f t="shared" si="128"/>
        <v>57.33020122915724</v>
      </c>
      <c r="N272" s="447">
        <f t="shared" si="128"/>
        <v>57.176346413701182</v>
      </c>
    </row>
    <row r="273" spans="1:14">
      <c r="B273" s="331" t="str">
        <f t="shared" si="116"/>
        <v>Total</v>
      </c>
      <c r="C273" s="447">
        <f>SUM(C263:C272)</f>
        <v>8118.2871252053928</v>
      </c>
      <c r="D273" s="447">
        <f t="shared" ref="D273:N273" si="129">SUM(D263:D272)</f>
        <v>7898.6166526315001</v>
      </c>
      <c r="E273" s="447">
        <f t="shared" si="129"/>
        <v>7734.6365955649653</v>
      </c>
      <c r="F273" s="447">
        <f t="shared" si="129"/>
        <v>7633.0204289236872</v>
      </c>
      <c r="G273" s="447">
        <f t="shared" si="129"/>
        <v>7612.1708351047582</v>
      </c>
      <c r="H273" s="447">
        <f t="shared" si="129"/>
        <v>7616.1116851070647</v>
      </c>
      <c r="I273" s="447">
        <f t="shared" si="129"/>
        <v>7649.4954429211848</v>
      </c>
      <c r="J273" s="447">
        <f t="shared" si="129"/>
        <v>7717.1964979424947</v>
      </c>
      <c r="K273" s="447">
        <f t="shared" si="129"/>
        <v>7829.6299663575173</v>
      </c>
      <c r="L273" s="447">
        <f t="shared" si="129"/>
        <v>7903.9949883720919</v>
      </c>
      <c r="M273" s="447">
        <f t="shared" si="129"/>
        <v>7956.8685843216153</v>
      </c>
      <c r="N273" s="447">
        <f t="shared" si="129"/>
        <v>7997.8345987776611</v>
      </c>
    </row>
    <row r="274" spans="1:14">
      <c r="A274" s="302">
        <f>SUM(C274:N274)</f>
        <v>0</v>
      </c>
      <c r="C274" s="302">
        <f>SUM(C263:C272)-C273</f>
        <v>0</v>
      </c>
      <c r="D274" s="302">
        <f t="shared" ref="D274:N274" si="130">SUM(D263:D272)-D273</f>
        <v>0</v>
      </c>
      <c r="E274" s="302">
        <f t="shared" si="130"/>
        <v>0</v>
      </c>
      <c r="F274" s="302">
        <f t="shared" si="130"/>
        <v>0</v>
      </c>
      <c r="G274" s="302">
        <f t="shared" si="130"/>
        <v>0</v>
      </c>
      <c r="H274" s="302">
        <f t="shared" si="130"/>
        <v>0</v>
      </c>
      <c r="I274" s="302">
        <f t="shared" si="130"/>
        <v>0</v>
      </c>
      <c r="J274" s="302">
        <f t="shared" si="130"/>
        <v>0</v>
      </c>
      <c r="K274" s="302">
        <f t="shared" si="130"/>
        <v>0</v>
      </c>
      <c r="L274" s="302">
        <f t="shared" si="130"/>
        <v>0</v>
      </c>
      <c r="M274" s="302">
        <f t="shared" si="130"/>
        <v>0</v>
      </c>
      <c r="N274" s="302">
        <f t="shared" si="130"/>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1">D262</f>
        <v>2018/19</v>
      </c>
      <c r="E278" s="319" t="str">
        <f t="shared" si="131"/>
        <v>2019/20</v>
      </c>
      <c r="F278" s="319" t="str">
        <f t="shared" si="131"/>
        <v>2020/21</v>
      </c>
      <c r="G278" s="319" t="str">
        <f t="shared" si="131"/>
        <v>2021/22</v>
      </c>
      <c r="H278" s="319" t="str">
        <f t="shared" si="131"/>
        <v>2022/23</v>
      </c>
      <c r="I278" s="319" t="str">
        <f t="shared" si="131"/>
        <v>2023/24</v>
      </c>
      <c r="J278" s="319" t="str">
        <f t="shared" si="131"/>
        <v>2024/25</v>
      </c>
      <c r="K278" s="319" t="str">
        <f t="shared" si="131"/>
        <v>2025/26</v>
      </c>
      <c r="L278" s="319" t="str">
        <f t="shared" si="131"/>
        <v>2026/27</v>
      </c>
      <c r="M278" s="319" t="str">
        <f t="shared" si="131"/>
        <v>2027/28</v>
      </c>
      <c r="N278" s="319" t="str">
        <f t="shared" si="131"/>
        <v>2028/29</v>
      </c>
    </row>
    <row r="279" spans="1:14">
      <c r="B279" s="319" t="s">
        <v>225</v>
      </c>
      <c r="C279" s="447">
        <f>C223+C239</f>
        <v>1543.1767432640572</v>
      </c>
      <c r="D279" s="447">
        <f t="shared" ref="D279:N279" si="132">D223+D239</f>
        <v>1475.0665882925246</v>
      </c>
      <c r="E279" s="447">
        <f t="shared" si="132"/>
        <v>1458.3187081543761</v>
      </c>
      <c r="F279" s="447">
        <f t="shared" si="132"/>
        <v>1432.9934073629479</v>
      </c>
      <c r="G279" s="447">
        <f t="shared" si="132"/>
        <v>1422.6067253269475</v>
      </c>
      <c r="H279" s="447">
        <f t="shared" si="132"/>
        <v>1419.0151845077978</v>
      </c>
      <c r="I279" s="447">
        <f t="shared" si="132"/>
        <v>1422.5296017479789</v>
      </c>
      <c r="J279" s="447">
        <f t="shared" si="132"/>
        <v>1433.5195028937073</v>
      </c>
      <c r="K279" s="447">
        <f t="shared" si="132"/>
        <v>1453.4487165407131</v>
      </c>
      <c r="L279" s="447">
        <f t="shared" si="132"/>
        <v>1466.5183677916625</v>
      </c>
      <c r="M279" s="447">
        <f t="shared" si="132"/>
        <v>1475.8323855835195</v>
      </c>
      <c r="N279" s="447">
        <f t="shared" si="132"/>
        <v>1483.1270809212497</v>
      </c>
    </row>
    <row r="280" spans="1:14">
      <c r="B280" s="319" t="s">
        <v>226</v>
      </c>
      <c r="C280" s="447">
        <f>C155+C171</f>
        <v>423.34342320737483</v>
      </c>
      <c r="D280" s="447">
        <f t="shared" ref="D280:N280" si="133">D155+D171</f>
        <v>389.68178721114748</v>
      </c>
      <c r="E280" s="447">
        <f t="shared" si="133"/>
        <v>363.39955333931653</v>
      </c>
      <c r="F280" s="447">
        <f t="shared" si="133"/>
        <v>343.3815694230251</v>
      </c>
      <c r="G280" s="447">
        <f t="shared" si="133"/>
        <v>329.96816067741759</v>
      </c>
      <c r="H280" s="447">
        <f t="shared" si="133"/>
        <v>320.68492257571887</v>
      </c>
      <c r="I280" s="447">
        <f t="shared" si="133"/>
        <v>314.88431835920312</v>
      </c>
      <c r="J280" s="447">
        <f t="shared" si="133"/>
        <v>312.00943338618782</v>
      </c>
      <c r="K280" s="447">
        <f t="shared" si="133"/>
        <v>311.77748802402675</v>
      </c>
      <c r="L280" s="447">
        <f t="shared" si="133"/>
        <v>311.36975129391305</v>
      </c>
      <c r="M280" s="447">
        <f t="shared" si="133"/>
        <v>311.00210194924495</v>
      </c>
      <c r="N280" s="447">
        <f t="shared" si="133"/>
        <v>310.73598276209958</v>
      </c>
    </row>
    <row r="281" spans="1:14">
      <c r="B281" s="319" t="s">
        <v>552</v>
      </c>
      <c r="C281" s="447">
        <f>C189+C205</f>
        <v>10.228610691519702</v>
      </c>
      <c r="D281" s="447">
        <f t="shared" ref="D281:N281" si="134">D189+D205</f>
        <v>9.837244529573109</v>
      </c>
      <c r="E281" s="447">
        <f t="shared" si="134"/>
        <v>9.5254816628985601</v>
      </c>
      <c r="F281" s="447">
        <f t="shared" si="134"/>
        <v>9.2710341494773107</v>
      </c>
      <c r="G281" s="447">
        <f t="shared" si="134"/>
        <v>9.1052686084664476</v>
      </c>
      <c r="H281" s="447">
        <f t="shared" si="134"/>
        <v>8.9857252385288202</v>
      </c>
      <c r="I281" s="447">
        <f t="shared" si="134"/>
        <v>8.9130197974329981</v>
      </c>
      <c r="J281" s="447">
        <f t="shared" si="134"/>
        <v>8.8875086368454337</v>
      </c>
      <c r="K281" s="447">
        <f t="shared" si="134"/>
        <v>8.9139905107696329</v>
      </c>
      <c r="L281" s="447">
        <f t="shared" si="134"/>
        <v>8.9274683252985341</v>
      </c>
      <c r="M281" s="447">
        <f t="shared" si="134"/>
        <v>8.9365756750744954</v>
      </c>
      <c r="N281" s="447">
        <f t="shared" si="134"/>
        <v>8.9457311026049293</v>
      </c>
    </row>
    <row r="282" spans="1:14">
      <c r="B282" s="319" t="s">
        <v>227</v>
      </c>
      <c r="C282" s="447">
        <f>C121+C137</f>
        <v>1109.6047093651628</v>
      </c>
      <c r="D282" s="447">
        <f t="shared" ref="D282:N282" si="135">D121+D137</f>
        <v>1075.5475565518041</v>
      </c>
      <c r="E282" s="447">
        <f t="shared" si="135"/>
        <v>1085.3936731521608</v>
      </c>
      <c r="F282" s="447">
        <f t="shared" si="135"/>
        <v>1080.3408037904458</v>
      </c>
      <c r="G282" s="447">
        <f t="shared" si="135"/>
        <v>1083.5332960410637</v>
      </c>
      <c r="H282" s="447">
        <f t="shared" si="135"/>
        <v>1089.34453669355</v>
      </c>
      <c r="I282" s="447">
        <f t="shared" si="135"/>
        <v>1098.7322635913429</v>
      </c>
      <c r="J282" s="447">
        <f t="shared" si="135"/>
        <v>1112.6225608706741</v>
      </c>
      <c r="K282" s="447">
        <f t="shared" si="135"/>
        <v>1132.7572380059169</v>
      </c>
      <c r="L282" s="447">
        <f t="shared" si="135"/>
        <v>1146.2211481724507</v>
      </c>
      <c r="M282" s="447">
        <f t="shared" si="135"/>
        <v>1155.8937079591999</v>
      </c>
      <c r="N282" s="447">
        <f t="shared" si="135"/>
        <v>1163.4453670565451</v>
      </c>
    </row>
    <row r="283" spans="1:14" ht="15.75">
      <c r="A283" s="302">
        <f>SUM(C283:N283)</f>
        <v>0</v>
      </c>
      <c r="B283" s="333"/>
      <c r="C283" s="302">
        <f>C279-C280-C281-C282</f>
        <v>0</v>
      </c>
      <c r="D283" s="302">
        <f t="shared" ref="D283:N283" si="136">D279-D280-D281-D282</f>
        <v>0</v>
      </c>
      <c r="E283" s="302">
        <f t="shared" si="136"/>
        <v>0</v>
      </c>
      <c r="F283" s="302">
        <f t="shared" si="136"/>
        <v>0</v>
      </c>
      <c r="G283" s="302">
        <f t="shared" si="136"/>
        <v>0</v>
      </c>
      <c r="H283" s="302">
        <f t="shared" si="136"/>
        <v>0</v>
      </c>
      <c r="I283" s="302">
        <f t="shared" si="136"/>
        <v>0</v>
      </c>
      <c r="J283" s="302">
        <f t="shared" si="136"/>
        <v>0</v>
      </c>
      <c r="K283" s="302">
        <f t="shared" si="136"/>
        <v>0</v>
      </c>
      <c r="L283" s="302">
        <f t="shared" si="136"/>
        <v>0</v>
      </c>
      <c r="M283" s="302">
        <f t="shared" si="136"/>
        <v>0</v>
      </c>
      <c r="N283" s="302">
        <f t="shared" si="136"/>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7">D278</f>
        <v>2018/19</v>
      </c>
      <c r="E289" s="319" t="str">
        <f t="shared" si="137"/>
        <v>2019/20</v>
      </c>
      <c r="F289" s="319" t="str">
        <f t="shared" si="137"/>
        <v>2020/21</v>
      </c>
      <c r="G289" s="319" t="str">
        <f t="shared" si="137"/>
        <v>2021/22</v>
      </c>
      <c r="H289" s="319" t="str">
        <f t="shared" si="137"/>
        <v>2022/23</v>
      </c>
      <c r="I289" s="319" t="str">
        <f t="shared" si="137"/>
        <v>2023/24</v>
      </c>
      <c r="J289" s="319" t="str">
        <f t="shared" si="137"/>
        <v>2024/25</v>
      </c>
      <c r="K289" s="319" t="str">
        <f t="shared" si="137"/>
        <v>2025/26</v>
      </c>
      <c r="L289" s="319" t="str">
        <f t="shared" si="137"/>
        <v>2026/27</v>
      </c>
      <c r="M289" s="319" t="str">
        <f t="shared" si="137"/>
        <v>2027/28</v>
      </c>
      <c r="N289" s="319" t="str">
        <f t="shared" si="137"/>
        <v>2028/29</v>
      </c>
    </row>
    <row r="290" spans="2:14" ht="15.75">
      <c r="B290" s="333"/>
      <c r="C290" s="447">
        <f>C53+C69-C15</f>
        <v>0</v>
      </c>
      <c r="D290" s="447">
        <f>D53+D69-D15</f>
        <v>0</v>
      </c>
      <c r="E290" s="447">
        <f>E53+E69-E15</f>
        <v>0</v>
      </c>
      <c r="F290" s="447">
        <f t="shared" ref="F290:N290" si="138">F53+F69-F15</f>
        <v>0</v>
      </c>
      <c r="G290" s="447">
        <f t="shared" si="138"/>
        <v>0</v>
      </c>
      <c r="H290" s="447">
        <f t="shared" si="138"/>
        <v>0</v>
      </c>
      <c r="I290" s="447">
        <f t="shared" si="138"/>
        <v>0</v>
      </c>
      <c r="J290" s="447">
        <f t="shared" si="138"/>
        <v>0</v>
      </c>
      <c r="K290" s="447">
        <f t="shared" si="138"/>
        <v>0</v>
      </c>
      <c r="L290" s="447">
        <f t="shared" si="138"/>
        <v>0</v>
      </c>
      <c r="M290" s="447">
        <f t="shared" si="138"/>
        <v>0</v>
      </c>
      <c r="N290" s="447">
        <f t="shared" si="138"/>
        <v>0</v>
      </c>
    </row>
    <row r="291" spans="2:14" ht="15.75">
      <c r="B291" s="333"/>
      <c r="H291" s="320"/>
    </row>
    <row r="292" spans="2:14" ht="15.75">
      <c r="B292" s="333" t="s">
        <v>264</v>
      </c>
      <c r="H292" s="320"/>
    </row>
    <row r="293" spans="2:14" ht="15.75">
      <c r="B293" s="333"/>
      <c r="C293" s="358" t="str">
        <f t="shared" ref="C293:N293" si="139">C262</f>
        <v>2017/18</v>
      </c>
      <c r="D293" s="358" t="str">
        <f t="shared" si="139"/>
        <v>2018/19</v>
      </c>
      <c r="E293" s="358" t="str">
        <f t="shared" si="139"/>
        <v>2019/20</v>
      </c>
      <c r="F293" s="358" t="str">
        <f t="shared" si="139"/>
        <v>2020/21</v>
      </c>
      <c r="G293" s="358" t="str">
        <f t="shared" si="139"/>
        <v>2021/22</v>
      </c>
      <c r="H293" s="358" t="str">
        <f t="shared" si="139"/>
        <v>2022/23</v>
      </c>
      <c r="I293" s="358" t="str">
        <f t="shared" si="139"/>
        <v>2023/24</v>
      </c>
      <c r="J293" s="358" t="str">
        <f t="shared" si="139"/>
        <v>2024/25</v>
      </c>
      <c r="K293" s="358" t="str">
        <f t="shared" si="139"/>
        <v>2025/26</v>
      </c>
      <c r="L293" s="358" t="str">
        <f t="shared" si="139"/>
        <v>2026/27</v>
      </c>
      <c r="M293" s="358" t="str">
        <f t="shared" si="139"/>
        <v>2027/28</v>
      </c>
      <c r="N293" s="358" t="str">
        <f t="shared" si="139"/>
        <v>2028/29</v>
      </c>
    </row>
    <row r="294" spans="2:14">
      <c r="B294" s="356" t="s">
        <v>268</v>
      </c>
      <c r="C294" s="447">
        <f>C36-C15+C279-C290</f>
        <v>1131.1011987364636</v>
      </c>
      <c r="D294" s="447">
        <f>D36-D15+D279-D290</f>
        <v>1198.8933853926105</v>
      </c>
      <c r="E294" s="447">
        <f>E36-E15+E279-E290</f>
        <v>1285.3779463605965</v>
      </c>
      <c r="F294" s="447">
        <f t="shared" ref="F294:N294" si="140">F36-F15+F279-F290</f>
        <v>1400.8186277862183</v>
      </c>
      <c r="G294" s="447">
        <f t="shared" si="140"/>
        <v>1437.002863699402</v>
      </c>
      <c r="H294" s="447">
        <f t="shared" si="140"/>
        <v>1486.8901071760445</v>
      </c>
      <c r="I294" s="447">
        <f t="shared" si="140"/>
        <v>1551.3539041262441</v>
      </c>
      <c r="J294" s="447">
        <f t="shared" si="140"/>
        <v>1640.423711095566</v>
      </c>
      <c r="K294" s="447">
        <f t="shared" si="140"/>
        <v>1596.0873584509113</v>
      </c>
      <c r="L294" s="447">
        <f t="shared" si="140"/>
        <v>1572.9642373759284</v>
      </c>
      <c r="M294" s="447">
        <f t="shared" si="140"/>
        <v>1562.1818429578041</v>
      </c>
      <c r="N294" s="447">
        <f t="shared" si="140"/>
        <v>1531.5114801687128</v>
      </c>
    </row>
    <row r="295" spans="2:14" ht="12.75" customHeight="1">
      <c r="B295" s="1327" t="s">
        <v>265</v>
      </c>
      <c r="C295" s="1327"/>
      <c r="D295" s="1327"/>
      <c r="E295" s="1327"/>
      <c r="F295" s="1327"/>
      <c r="G295" s="1327"/>
      <c r="H295" s="1327"/>
      <c r="I295" s="1327"/>
      <c r="J295" s="1327"/>
      <c r="K295" s="1327"/>
      <c r="L295" s="1327"/>
      <c r="M295" s="1327"/>
      <c r="N295" s="1327"/>
    </row>
    <row r="296" spans="2:14">
      <c r="B296" s="526" t="s">
        <v>41</v>
      </c>
      <c r="C296" s="527">
        <f>IF(C294&lt;0,0,C294)</f>
        <v>1131.1011987364636</v>
      </c>
      <c r="D296" s="527">
        <f t="shared" ref="D296:N296" si="141">IF(D294&lt;0,0,D294)</f>
        <v>1198.8933853926105</v>
      </c>
      <c r="E296" s="527">
        <f t="shared" si="141"/>
        <v>1285.3779463605965</v>
      </c>
      <c r="F296" s="527">
        <f t="shared" si="141"/>
        <v>1400.8186277862183</v>
      </c>
      <c r="G296" s="527">
        <f t="shared" si="141"/>
        <v>1437.002863699402</v>
      </c>
      <c r="H296" s="527">
        <f t="shared" si="141"/>
        <v>1486.8901071760445</v>
      </c>
      <c r="I296" s="527">
        <f t="shared" si="141"/>
        <v>1551.3539041262441</v>
      </c>
      <c r="J296" s="527">
        <f t="shared" si="141"/>
        <v>1640.423711095566</v>
      </c>
      <c r="K296" s="527">
        <f t="shared" si="141"/>
        <v>1596.0873584509113</v>
      </c>
      <c r="L296" s="527">
        <f t="shared" si="141"/>
        <v>1572.9642373759284</v>
      </c>
      <c r="M296" s="527">
        <f t="shared" si="141"/>
        <v>1562.1818429578041</v>
      </c>
      <c r="N296" s="527">
        <f t="shared" si="141"/>
        <v>1531.5114801687128</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2">B262</f>
        <v>Age group</v>
      </c>
      <c r="C302" s="331" t="str">
        <f>C293</f>
        <v>2017/18</v>
      </c>
      <c r="D302" s="331" t="str">
        <f t="shared" ref="D302:N302" si="143">D293</f>
        <v>2018/19</v>
      </c>
      <c r="E302" s="331" t="str">
        <f t="shared" si="143"/>
        <v>2019/20</v>
      </c>
      <c r="F302" s="331" t="str">
        <f t="shared" si="143"/>
        <v>2020/21</v>
      </c>
      <c r="G302" s="331" t="str">
        <f t="shared" si="143"/>
        <v>2021/22</v>
      </c>
      <c r="H302" s="331" t="str">
        <f t="shared" si="143"/>
        <v>2022/23</v>
      </c>
      <c r="I302" s="331" t="str">
        <f t="shared" si="143"/>
        <v>2023/24</v>
      </c>
      <c r="J302" s="331" t="str">
        <f t="shared" si="143"/>
        <v>2024/25</v>
      </c>
      <c r="K302" s="331" t="str">
        <f t="shared" si="143"/>
        <v>2025/26</v>
      </c>
      <c r="L302" s="331" t="str">
        <f t="shared" si="143"/>
        <v>2026/27</v>
      </c>
      <c r="M302" s="331" t="str">
        <f t="shared" si="143"/>
        <v>2027/28</v>
      </c>
      <c r="N302" s="331" t="str">
        <f t="shared" si="143"/>
        <v>2028/29</v>
      </c>
    </row>
    <row r="303" spans="2:14">
      <c r="B303" s="331" t="str">
        <f t="shared" si="142"/>
        <v>20-24</v>
      </c>
      <c r="C303" s="447">
        <f>C$296*Entrant_age_breakdowns!$K76*$G$31</f>
        <v>99.838867888186144</v>
      </c>
      <c r="D303" s="447">
        <f>D$296*Entrant_age_breakdowns!$K76*$G$31</f>
        <v>105.82267833324187</v>
      </c>
      <c r="E303" s="447">
        <f>E$296*Entrant_age_breakdowns!$K76*$G$31</f>
        <v>113.45640789386476</v>
      </c>
      <c r="F303" s="447">
        <f>F$296*Entrant_age_breakdowns!$K76*$G$31</f>
        <v>123.64600627343484</v>
      </c>
      <c r="G303" s="447">
        <f>G$296*Entrant_age_breakdowns!$K76*$G$31</f>
        <v>126.83987889332674</v>
      </c>
      <c r="H303" s="447">
        <f>H$296*Entrant_age_breakdowns!$K76*$G$31</f>
        <v>131.24327437759828</v>
      </c>
      <c r="I303" s="447">
        <f>I$296*Entrant_age_breakdowns!$K76*$G$31</f>
        <v>136.93329797095262</v>
      </c>
      <c r="J303" s="447">
        <f>J$296*Entrant_age_breakdowns!$K76*$G$31</f>
        <v>144.79521934524715</v>
      </c>
      <c r="K303" s="447">
        <f>K$296*Entrant_age_breakdowns!$K76*$G$31</f>
        <v>140.88178413778871</v>
      </c>
      <c r="L303" s="447">
        <f>L$296*Entrant_age_breakdowns!$K76*$G$31</f>
        <v>138.84077646071557</v>
      </c>
      <c r="M303" s="447">
        <f>M$296*Entrant_age_breakdowns!$K76*$G$31</f>
        <v>137.88904724936651</v>
      </c>
      <c r="N303" s="447">
        <f>N$296*Entrant_age_breakdowns!$K76*$G$31</f>
        <v>135.18186746562705</v>
      </c>
    </row>
    <row r="304" spans="2:14">
      <c r="B304" s="331" t="str">
        <f t="shared" si="142"/>
        <v>25-29</v>
      </c>
      <c r="C304" s="447">
        <f>C$296*Entrant_age_breakdowns!$K77*$G$31</f>
        <v>101.91364140061791</v>
      </c>
      <c r="D304" s="447">
        <f>D$296*Entrant_age_breakdowns!$K77*$G$31</f>
        <v>108.02180272902618</v>
      </c>
      <c r="E304" s="447">
        <f>E$296*Entrant_age_breakdowns!$K77*$G$31</f>
        <v>115.81417050569119</v>
      </c>
      <c r="F304" s="447">
        <f>F$296*Entrant_age_breakdowns!$K77*$G$31</f>
        <v>126.21552117439906</v>
      </c>
      <c r="G304" s="447">
        <f>G$296*Entrant_age_breakdowns!$K77*$G$31</f>
        <v>129.47576636495407</v>
      </c>
      <c r="H304" s="447">
        <f>H$296*Entrant_age_breakdowns!$K77*$G$31</f>
        <v>133.97066978104394</v>
      </c>
      <c r="I304" s="447">
        <f>I$296*Entrant_age_breakdowns!$K77*$G$31</f>
        <v>139.77893900845157</v>
      </c>
      <c r="J304" s="447">
        <f>J$296*Entrant_age_breakdowns!$K77*$G$31</f>
        <v>147.80424070314874</v>
      </c>
      <c r="K304" s="447">
        <f>K$296*Entrant_age_breakdowns!$K77*$G$31</f>
        <v>143.80947953634401</v>
      </c>
      <c r="L304" s="447">
        <f>L$296*Entrant_age_breakdowns!$K77*$G$31</f>
        <v>141.72605722901079</v>
      </c>
      <c r="M304" s="447">
        <f>M$296*Entrant_age_breakdowns!$K77*$G$31</f>
        <v>140.75454992321335</v>
      </c>
      <c r="N304" s="447">
        <f>N$296*Entrant_age_breakdowns!$K77*$G$31</f>
        <v>137.99111163987848</v>
      </c>
    </row>
    <row r="305" spans="1:14">
      <c r="B305" s="331" t="str">
        <f t="shared" si="142"/>
        <v>30-34</v>
      </c>
      <c r="C305" s="447">
        <f>C$296*Entrant_age_breakdowns!$K78*$G$31</f>
        <v>50.615676686551829</v>
      </c>
      <c r="D305" s="447">
        <f>D$296*Entrant_age_breakdowns!$K78*$G$31</f>
        <v>53.649310993981629</v>
      </c>
      <c r="E305" s="447">
        <f>E$296*Entrant_age_breakdowns!$K78*$G$31</f>
        <v>57.519410841125257</v>
      </c>
      <c r="F305" s="447">
        <f>F$296*Entrant_age_breakdowns!$K78*$G$31</f>
        <v>62.685268868719739</v>
      </c>
      <c r="G305" s="447">
        <f>G$296*Entrant_age_breakdowns!$K78*$G$31</f>
        <v>64.304478173932708</v>
      </c>
      <c r="H305" s="447">
        <f>H$296*Entrant_age_breakdowns!$K78*$G$31</f>
        <v>66.536883717678705</v>
      </c>
      <c r="I305" s="447">
        <f>I$296*Entrant_age_breakdowns!$K78*$G$31</f>
        <v>69.421575828396769</v>
      </c>
      <c r="J305" s="447">
        <f>J$296*Entrant_age_breakdowns!$K78*$G$31</f>
        <v>73.407362915466408</v>
      </c>
      <c r="K305" s="447">
        <f>K$296*Entrant_age_breakdowns!$K78*$G$31</f>
        <v>71.423354328586953</v>
      </c>
      <c r="L305" s="447">
        <f>L$296*Entrant_age_breakdowns!$K78*$G$31</f>
        <v>70.388617187805238</v>
      </c>
      <c r="M305" s="447">
        <f>M$296*Entrant_age_breakdowns!$K78*$G$31</f>
        <v>69.906115542166177</v>
      </c>
      <c r="N305" s="447">
        <f>N$296*Entrant_age_breakdowns!$K78*$G$31</f>
        <v>68.533646687455345</v>
      </c>
    </row>
    <row r="306" spans="1:14">
      <c r="B306" s="331" t="str">
        <f t="shared" si="142"/>
        <v>35-39</v>
      </c>
      <c r="C306" s="447">
        <f>C$296*Entrant_age_breakdowns!$K79*$G$31</f>
        <v>37.725527405260515</v>
      </c>
      <c r="D306" s="447">
        <f>D$296*Entrant_age_breakdowns!$K79*$G$31</f>
        <v>39.986594760167357</v>
      </c>
      <c r="E306" s="447">
        <f>E$296*Entrant_age_breakdowns!$K79*$G$31</f>
        <v>42.871107373693327</v>
      </c>
      <c r="F306" s="447">
        <f>F$296*Entrant_age_breakdowns!$K79*$G$31</f>
        <v>46.721391146417837</v>
      </c>
      <c r="G306" s="447">
        <f>G$296*Entrant_age_breakdowns!$K79*$G$31</f>
        <v>47.928241059675933</v>
      </c>
      <c r="H306" s="447">
        <f>H$296*Entrant_age_breakdowns!$K79*$G$31</f>
        <v>49.592126283255709</v>
      </c>
      <c r="I306" s="447">
        <f>I$296*Entrant_age_breakdowns!$K79*$G$31</f>
        <v>51.742182123713292</v>
      </c>
      <c r="J306" s="447">
        <f>J$296*Entrant_age_breakdowns!$K79*$G$31</f>
        <v>54.712920239415091</v>
      </c>
      <c r="K306" s="447">
        <f>K$296*Entrant_age_breakdowns!$K79*$G$31</f>
        <v>53.234173431778729</v>
      </c>
      <c r="L306" s="447">
        <f>L$296*Entrant_age_breakdowns!$K79*$G$31</f>
        <v>52.462949832348464</v>
      </c>
      <c r="M306" s="447">
        <f>M$296*Entrant_age_breakdowns!$K79*$G$31</f>
        <v>52.103325497611941</v>
      </c>
      <c r="N306" s="447">
        <f>N$296*Entrant_age_breakdowns!$K79*$G$31</f>
        <v>51.08037935165995</v>
      </c>
    </row>
    <row r="307" spans="1:14">
      <c r="B307" s="331" t="str">
        <f t="shared" si="142"/>
        <v>40-44</v>
      </c>
      <c r="C307" s="447">
        <f>C$296*Entrant_age_breakdowns!$K80*$G$31</f>
        <v>32.415521001657332</v>
      </c>
      <c r="D307" s="447">
        <f>D$296*Entrant_age_breakdowns!$K80*$G$31</f>
        <v>34.358334830124157</v>
      </c>
      <c r="E307" s="447">
        <f>E$296*Entrant_age_breakdowns!$K80*$G$31</f>
        <v>36.836841709533843</v>
      </c>
      <c r="F307" s="447">
        <f>F$296*Entrant_age_breakdowns!$K80*$G$31</f>
        <v>40.14518391390785</v>
      </c>
      <c r="G307" s="447">
        <f>G$296*Entrant_age_breakdowns!$K80*$G$31</f>
        <v>41.182165273739308</v>
      </c>
      <c r="H307" s="447">
        <f>H$296*Entrant_age_breakdowns!$K80*$G$31</f>
        <v>42.611852547025165</v>
      </c>
      <c r="I307" s="447">
        <f>I$296*Entrant_age_breakdowns!$K80*$G$31</f>
        <v>44.459280139021402</v>
      </c>
      <c r="J307" s="447">
        <f>J$296*Entrant_age_breakdowns!$K80*$G$31</f>
        <v>47.011875964799792</v>
      </c>
      <c r="K307" s="447">
        <f>K$296*Entrant_age_breakdowns!$K80*$G$31</f>
        <v>45.741268196109282</v>
      </c>
      <c r="L307" s="447">
        <f>L$296*Entrant_age_breakdowns!$K80*$G$31</f>
        <v>45.07859714804809</v>
      </c>
      <c r="M307" s="447">
        <f>M$296*Entrant_age_breakdowns!$K80*$G$31</f>
        <v>44.76959125794798</v>
      </c>
      <c r="N307" s="447">
        <f>N$296*Entrant_age_breakdowns!$K80*$G$31</f>
        <v>43.890628535400388</v>
      </c>
    </row>
    <row r="308" spans="1:14">
      <c r="B308" s="331" t="str">
        <f t="shared" si="142"/>
        <v>45-49</v>
      </c>
      <c r="C308" s="447">
        <f>C$296*Entrant_age_breakdowns!$K81*$G$31</f>
        <v>26.12875384271814</v>
      </c>
      <c r="D308" s="447">
        <f>D$296*Entrant_age_breakdowns!$K81*$G$31</f>
        <v>27.69477230293796</v>
      </c>
      <c r="E308" s="447">
        <f>E$296*Entrant_age_breakdowns!$K81*$G$31</f>
        <v>29.692589834430603</v>
      </c>
      <c r="F308" s="447">
        <f>F$296*Entrant_age_breakdowns!$K81*$G$31</f>
        <v>32.359301841963791</v>
      </c>
      <c r="G308" s="447">
        <f>G$296*Entrant_age_breakdowns!$K81*$G$31</f>
        <v>33.195167805344056</v>
      </c>
      <c r="H308" s="447">
        <f>H$296*Entrant_age_breakdowns!$K81*$G$31</f>
        <v>34.347577073541316</v>
      </c>
      <c r="I308" s="447">
        <f>I$296*Entrant_age_breakdowns!$K81*$G$31</f>
        <v>35.83670880124199</v>
      </c>
      <c r="J308" s="447">
        <f>J$296*Entrant_age_breakdowns!$K81*$G$31</f>
        <v>37.894246237962598</v>
      </c>
      <c r="K308" s="447">
        <f>K$296*Entrant_age_breakdowns!$K81*$G$31</f>
        <v>36.870064099503004</v>
      </c>
      <c r="L308" s="447">
        <f>L$296*Entrant_age_breakdowns!$K81*$G$31</f>
        <v>36.335913539572097</v>
      </c>
      <c r="M308" s="447">
        <f>M$296*Entrant_age_breakdowns!$K81*$G$31</f>
        <v>36.086837214747241</v>
      </c>
      <c r="N308" s="447">
        <f>N$296*Entrant_age_breakdowns!$K81*$G$31</f>
        <v>35.378343261705517</v>
      </c>
    </row>
    <row r="309" spans="1:14">
      <c r="B309" s="331" t="str">
        <f t="shared" si="142"/>
        <v>50-54</v>
      </c>
      <c r="C309" s="447">
        <f>C$296*Entrant_age_breakdowns!$K82*$G$31</f>
        <v>19.361510661056439</v>
      </c>
      <c r="D309" s="447">
        <f>D$296*Entrant_age_breakdowns!$K82*$G$31</f>
        <v>20.521936577097865</v>
      </c>
      <c r="E309" s="447">
        <f>E$296*Entrant_age_breakdowns!$K82*$G$31</f>
        <v>22.002327324688771</v>
      </c>
      <c r="F309" s="447">
        <f>F$296*Entrant_age_breakdowns!$K82*$G$31</f>
        <v>23.978371543047484</v>
      </c>
      <c r="G309" s="447">
        <f>G$296*Entrant_age_breakdowns!$K82*$G$31</f>
        <v>24.597751550935282</v>
      </c>
      <c r="H309" s="447">
        <f>H$296*Entrant_age_breakdowns!$K82*$G$31</f>
        <v>25.451691408396943</v>
      </c>
      <c r="I309" s="447">
        <f>I$296*Entrant_age_breakdowns!$K82*$G$31</f>
        <v>26.555143949423083</v>
      </c>
      <c r="J309" s="447">
        <f>J$296*Entrant_age_breakdowns!$K82*$G$31</f>
        <v>28.079787384635782</v>
      </c>
      <c r="K309" s="447">
        <f>K$296*Entrant_age_breakdowns!$K82*$G$31</f>
        <v>27.320864341002938</v>
      </c>
      <c r="L309" s="447">
        <f>L$296*Entrant_age_breakdowns!$K82*$G$31</f>
        <v>26.925056648720144</v>
      </c>
      <c r="M309" s="447">
        <f>M$296*Entrant_age_breakdowns!$K82*$G$31</f>
        <v>26.740490100022789</v>
      </c>
      <c r="N309" s="447">
        <f>N$296*Entrant_age_breakdowns!$K82*$G$31</f>
        <v>26.215493259083345</v>
      </c>
    </row>
    <row r="310" spans="1:14">
      <c r="B310" s="331" t="str">
        <f t="shared" si="142"/>
        <v>55-59</v>
      </c>
      <c r="C310" s="447">
        <f>C$296*Entrant_age_breakdowns!$K83*$G$31</f>
        <v>12.547916735656306</v>
      </c>
      <c r="D310" s="447">
        <f>D$296*Entrant_age_breakdowns!$K83*$G$31</f>
        <v>13.299972090596826</v>
      </c>
      <c r="E310" s="447">
        <f>E$296*Entrant_age_breakdowns!$K83*$G$31</f>
        <v>14.259392053336096</v>
      </c>
      <c r="F310" s="447">
        <f>F$296*Entrant_age_breakdowns!$K83*$G$31</f>
        <v>15.540037905408632</v>
      </c>
      <c r="G310" s="447">
        <f>G$296*Entrant_age_breakdowns!$K83*$G$31</f>
        <v>15.941449184867247</v>
      </c>
      <c r="H310" s="447">
        <f>H$296*Entrant_age_breakdowns!$K83*$G$31</f>
        <v>16.494875331011901</v>
      </c>
      <c r="I310" s="447">
        <f>I$296*Entrant_age_breakdowns!$K83*$G$31</f>
        <v>17.210007060603342</v>
      </c>
      <c r="J310" s="447">
        <f>J$296*Entrant_age_breakdowns!$K83*$G$31</f>
        <v>18.198106554053204</v>
      </c>
      <c r="K310" s="447">
        <f>K$296*Entrant_age_breakdowns!$K83*$G$31</f>
        <v>17.706259439074202</v>
      </c>
      <c r="L310" s="447">
        <f>L$296*Entrant_age_breakdowns!$K83*$G$31</f>
        <v>17.449742163483386</v>
      </c>
      <c r="M310" s="447">
        <f>M$296*Entrant_age_breakdowns!$K83*$G$31</f>
        <v>17.33012723643639</v>
      </c>
      <c r="N310" s="447">
        <f>N$296*Entrant_age_breakdowns!$K83*$G$31</f>
        <v>16.989884330708946</v>
      </c>
    </row>
    <row r="311" spans="1:14">
      <c r="B311" s="331" t="str">
        <f t="shared" si="142"/>
        <v>60-64</v>
      </c>
      <c r="C311" s="447">
        <f>C$296*Entrant_age_breakdowns!$K84*$G$31</f>
        <v>6.3990678610657099</v>
      </c>
      <c r="D311" s="447">
        <f>D$296*Entrant_age_breakdowns!$K84*$G$31</f>
        <v>6.7825939357859175</v>
      </c>
      <c r="E311" s="447">
        <f>E$296*Entrant_age_breakdowns!$K84*$G$31</f>
        <v>7.2718698513156994</v>
      </c>
      <c r="F311" s="447">
        <f>F$296*Entrant_age_breakdowns!$K84*$G$31</f>
        <v>7.9249615067709556</v>
      </c>
      <c r="G311" s="447">
        <f>G$296*Entrant_age_breakdowns!$K84*$G$31</f>
        <v>8.1296694333189343</v>
      </c>
      <c r="H311" s="447">
        <f>H$296*Entrant_age_breakdowns!$K84*$G$31</f>
        <v>8.4119004633674841</v>
      </c>
      <c r="I311" s="447">
        <f>I$296*Entrant_age_breakdowns!$K84*$G$31</f>
        <v>8.7765965769664209</v>
      </c>
      <c r="J311" s="447">
        <f>J$296*Entrant_age_breakdowns!$K84*$G$31</f>
        <v>9.2804982082310801</v>
      </c>
      <c r="K311" s="447">
        <f>K$296*Entrant_age_breakdowns!$K84*$G$31</f>
        <v>9.0296706698974489</v>
      </c>
      <c r="L311" s="447">
        <f>L$296*Entrant_age_breakdowns!$K84*$G$31</f>
        <v>8.8988544166004448</v>
      </c>
      <c r="M311" s="447">
        <f>M$296*Entrant_age_breakdowns!$K84*$G$31</f>
        <v>8.8378543277813097</v>
      </c>
      <c r="N311" s="447">
        <f>N$296*Entrant_age_breakdowns!$K84*$G$31</f>
        <v>8.664340469755043</v>
      </c>
    </row>
    <row r="312" spans="1:14">
      <c r="B312" s="331" t="str">
        <f t="shared" si="142"/>
        <v>65 plus</v>
      </c>
      <c r="C312" s="447">
        <f>C$296*Entrant_age_breakdowns!$K85*$G$31</f>
        <v>1.9267489557024178</v>
      </c>
      <c r="D312" s="447">
        <f>D$296*Entrant_age_breakdowns!$K85*$G$31</f>
        <v>2.0422280348426631</v>
      </c>
      <c r="E312" s="447">
        <f>E$296*Entrant_age_breakdowns!$K85*$G$31</f>
        <v>2.1895482195578713</v>
      </c>
      <c r="F312" s="447">
        <f>F$296*Entrant_age_breakdowns!$K85*$G$31</f>
        <v>2.3861930579073132</v>
      </c>
      <c r="G312" s="447">
        <f>G$296*Entrant_age_breakdowns!$K85*$G$31</f>
        <v>2.4478302826193881</v>
      </c>
      <c r="H312" s="447">
        <f>H$296*Entrant_age_breakdowns!$K85*$G$31</f>
        <v>2.5328095880775274</v>
      </c>
      <c r="I312" s="447">
        <f>I$296*Entrant_age_breakdowns!$K85*$G$31</f>
        <v>2.6426189964604005</v>
      </c>
      <c r="J312" s="447">
        <f>J$296*Entrant_age_breakdowns!$K85*$G$31</f>
        <v>2.7943429604650936</v>
      </c>
      <c r="K312" s="447">
        <f>K$296*Entrant_age_breakdowns!$K85*$G$31</f>
        <v>2.7188191954357852</v>
      </c>
      <c r="L312" s="447">
        <f>L$296*Entrant_age_breakdowns!$K85*$G$31</f>
        <v>2.679430633710651</v>
      </c>
      <c r="M312" s="447">
        <f>M$296*Entrant_age_breakdowns!$K85*$G$31</f>
        <v>2.6610636058900634</v>
      </c>
      <c r="N312" s="447">
        <f>N$296*Entrant_age_breakdowns!$K85*$G$31</f>
        <v>2.6088188646229611</v>
      </c>
    </row>
    <row r="313" spans="1:14">
      <c r="B313" s="331" t="str">
        <f t="shared" si="142"/>
        <v>Total</v>
      </c>
      <c r="C313" s="447">
        <f>C$296*Entrant_age_breakdowns!$K86*$G$31</f>
        <v>388.87323243847277</v>
      </c>
      <c r="D313" s="447">
        <f>D$296*Entrant_age_breakdowns!$K86*$G$31</f>
        <v>412.18022458780246</v>
      </c>
      <c r="E313" s="447">
        <f>E$296*Entrant_age_breakdowns!$K86*$G$31</f>
        <v>441.91366560723748</v>
      </c>
      <c r="F313" s="447">
        <f>F$296*Entrant_age_breakdowns!$K86*$G$31</f>
        <v>481.60223723197754</v>
      </c>
      <c r="G313" s="447">
        <f>G$296*Entrant_age_breakdowns!$K86*$G$31</f>
        <v>494.04239802271371</v>
      </c>
      <c r="H313" s="447">
        <f>H$296*Entrant_age_breakdowns!$K86*$G$31</f>
        <v>511.193660570997</v>
      </c>
      <c r="I313" s="447">
        <f>I$296*Entrant_age_breakdowns!$K86*$G$31</f>
        <v>533.35635045523088</v>
      </c>
      <c r="J313" s="447">
        <f>J$296*Entrant_age_breakdowns!$K86*$G$31</f>
        <v>563.97860051342491</v>
      </c>
      <c r="K313" s="447">
        <f>K$296*Entrant_age_breakdowns!$K86*$G$31</f>
        <v>548.73573737552113</v>
      </c>
      <c r="L313" s="447">
        <f>L$296*Entrant_age_breakdowns!$K86*$G$31</f>
        <v>540.78599526001494</v>
      </c>
      <c r="M313" s="447">
        <f>M$296*Entrant_age_breakdowns!$K86*$G$31</f>
        <v>537.0790019551838</v>
      </c>
      <c r="N313" s="447">
        <f>N$296*Entrant_age_breakdowns!$K86*$G$31</f>
        <v>526.53451386589711</v>
      </c>
    </row>
    <row r="314" spans="1:14">
      <c r="A314" s="302">
        <f>SUM(C314:N314)</f>
        <v>0</v>
      </c>
      <c r="C314" s="302">
        <f>SUM(C303:C312)-C313</f>
        <v>0</v>
      </c>
      <c r="D314" s="302">
        <f t="shared" ref="D314:N314" si="144">SUM(D303:D312)-D313</f>
        <v>0</v>
      </c>
      <c r="E314" s="302">
        <f t="shared" si="144"/>
        <v>0</v>
      </c>
      <c r="F314" s="302">
        <f t="shared" si="144"/>
        <v>0</v>
      </c>
      <c r="G314" s="302">
        <f t="shared" si="144"/>
        <v>0</v>
      </c>
      <c r="H314" s="302">
        <f t="shared" si="144"/>
        <v>0</v>
      </c>
      <c r="I314" s="302">
        <f t="shared" si="144"/>
        <v>0</v>
      </c>
      <c r="J314" s="302">
        <f t="shared" si="144"/>
        <v>0</v>
      </c>
      <c r="K314" s="302">
        <f t="shared" si="144"/>
        <v>0</v>
      </c>
      <c r="L314" s="302">
        <f t="shared" si="144"/>
        <v>0</v>
      </c>
      <c r="M314" s="302">
        <f t="shared" si="144"/>
        <v>0</v>
      </c>
      <c r="N314" s="302">
        <f t="shared" si="144"/>
        <v>0</v>
      </c>
    </row>
    <row r="316" spans="1:14">
      <c r="B316" s="334" t="s">
        <v>47</v>
      </c>
      <c r="H316" s="318"/>
    </row>
    <row r="317" spans="1:14">
      <c r="H317" s="318"/>
    </row>
    <row r="318" spans="1:14">
      <c r="B318" s="331" t="str">
        <f t="shared" ref="B318:B329" si="145">B302</f>
        <v>Age group</v>
      </c>
      <c r="C318" s="331" t="str">
        <f>C293</f>
        <v>2017/18</v>
      </c>
      <c r="D318" s="331" t="str">
        <f t="shared" ref="D318:N318" si="146">D302</f>
        <v>2018/19</v>
      </c>
      <c r="E318" s="331" t="str">
        <f t="shared" si="146"/>
        <v>2019/20</v>
      </c>
      <c r="F318" s="331" t="str">
        <f t="shared" si="146"/>
        <v>2020/21</v>
      </c>
      <c r="G318" s="331" t="str">
        <f t="shared" si="146"/>
        <v>2021/22</v>
      </c>
      <c r="H318" s="331" t="str">
        <f t="shared" si="146"/>
        <v>2022/23</v>
      </c>
      <c r="I318" s="331" t="str">
        <f t="shared" si="146"/>
        <v>2023/24</v>
      </c>
      <c r="J318" s="331" t="str">
        <f t="shared" si="146"/>
        <v>2024/25</v>
      </c>
      <c r="K318" s="331" t="str">
        <f t="shared" si="146"/>
        <v>2025/26</v>
      </c>
      <c r="L318" s="331" t="str">
        <f t="shared" si="146"/>
        <v>2026/27</v>
      </c>
      <c r="M318" s="331" t="str">
        <f t="shared" si="146"/>
        <v>2027/28</v>
      </c>
      <c r="N318" s="331" t="str">
        <f t="shared" si="146"/>
        <v>2028/29</v>
      </c>
    </row>
    <row r="319" spans="1:14">
      <c r="B319" s="331" t="str">
        <f t="shared" si="145"/>
        <v>20-24</v>
      </c>
      <c r="C319" s="447">
        <f>C$296*Entrant_age_breakdowns!$K76*$H$31</f>
        <v>190.55875716996471</v>
      </c>
      <c r="D319" s="447">
        <f>D$296*Entrant_age_breakdowns!$K76*$H$31</f>
        <v>201.979835009384</v>
      </c>
      <c r="E319" s="447">
        <f>E$296*Entrant_age_breakdowns!$K76*$H$31</f>
        <v>216.55005248493742</v>
      </c>
      <c r="F319" s="447">
        <f>F$296*Entrant_age_breakdowns!$K76*$H$31</f>
        <v>235.99856231225812</v>
      </c>
      <c r="G319" s="447">
        <f>G$296*Entrant_age_breakdowns!$K76*$H$31</f>
        <v>242.09458893875592</v>
      </c>
      <c r="H319" s="447">
        <f>H$296*Entrant_age_breakdowns!$K76*$H$31</f>
        <v>250.49918715345493</v>
      </c>
      <c r="I319" s="447">
        <f>I$296*Entrant_age_breakdowns!$K76*$H$31</f>
        <v>261.35952488716919</v>
      </c>
      <c r="J319" s="447">
        <f>J$296*Entrant_age_breakdowns!$K76*$H$31</f>
        <v>276.36528364368269</v>
      </c>
      <c r="K319" s="447">
        <f>K$296*Entrant_age_breakdowns!$K76*$H$31</f>
        <v>268.89585450077971</v>
      </c>
      <c r="L319" s="447">
        <f>L$296*Entrant_age_breakdowns!$K76*$H$31</f>
        <v>265.00025858163326</v>
      </c>
      <c r="M319" s="447">
        <f>M$296*Entrant_age_breakdowns!$K76*$H$31</f>
        <v>263.18372821111524</v>
      </c>
      <c r="N319" s="447">
        <f>N$296*Entrant_age_breakdowns!$K76*$H$31</f>
        <v>258.01663421318653</v>
      </c>
    </row>
    <row r="320" spans="1:14">
      <c r="B320" s="331" t="str">
        <f t="shared" si="145"/>
        <v>25-29</v>
      </c>
      <c r="C320" s="447">
        <f>C$296*Entrant_age_breakdowns!$K77*$H$31</f>
        <v>194.51880069110067</v>
      </c>
      <c r="D320" s="447">
        <f>D$296*Entrant_age_breakdowns!$K77*$H$31</f>
        <v>206.17722246566137</v>
      </c>
      <c r="E320" s="447">
        <f>E$296*Entrant_age_breakdowns!$K77*$H$31</f>
        <v>221.05022684102724</v>
      </c>
      <c r="F320" s="447">
        <f>F$296*Entrant_age_breakdowns!$K77*$H$31</f>
        <v>240.90290043642256</v>
      </c>
      <c r="G320" s="447">
        <f>G$296*Entrant_age_breakdowns!$K77*$H$31</f>
        <v>247.12560993546558</v>
      </c>
      <c r="H320" s="447">
        <f>H$296*Entrant_age_breakdowns!$K77*$H$31</f>
        <v>255.70486595756302</v>
      </c>
      <c r="I320" s="447">
        <f>I$296*Entrant_age_breakdowns!$K77*$H$31</f>
        <v>266.79089476272657</v>
      </c>
      <c r="J320" s="447">
        <f>J$296*Entrant_age_breakdowns!$K77*$H$31</f>
        <v>282.10849149838089</v>
      </c>
      <c r="K320" s="447">
        <f>K$296*Entrant_age_breakdowns!$K77*$H$31</f>
        <v>274.48383850261894</v>
      </c>
      <c r="L320" s="447">
        <f>L$296*Entrant_age_breakdowns!$K77*$H$31</f>
        <v>270.50728734630741</v>
      </c>
      <c r="M320" s="447">
        <f>M$296*Entrant_age_breakdowns!$K77*$H$31</f>
        <v>268.65300725789893</v>
      </c>
      <c r="N320" s="447">
        <f>N$296*Entrant_age_breakdowns!$K77*$H$31</f>
        <v>263.37853474106362</v>
      </c>
    </row>
    <row r="321" spans="1:14">
      <c r="B321" s="331" t="str">
        <f t="shared" si="145"/>
        <v>30-34</v>
      </c>
      <c r="C321" s="447">
        <f>C$296*Entrant_age_breakdowns!$K78*$H$31</f>
        <v>96.608271374913997</v>
      </c>
      <c r="D321" s="447">
        <f>D$296*Entrant_age_breakdowns!$K78*$H$31</f>
        <v>102.39845705670091</v>
      </c>
      <c r="E321" s="447">
        <f>E$296*Entrant_age_breakdowns!$K78*$H$31</f>
        <v>109.78517359901284</v>
      </c>
      <c r="F321" s="447">
        <f>F$296*Entrant_age_breakdowns!$K78*$H$31</f>
        <v>119.64505589011975</v>
      </c>
      <c r="G321" s="447">
        <f>G$296*Entrant_age_breakdowns!$K78*$H$31</f>
        <v>122.73558084624193</v>
      </c>
      <c r="H321" s="447">
        <f>H$296*Entrant_age_breakdowns!$K78*$H$31</f>
        <v>126.99649079958802</v>
      </c>
      <c r="I321" s="447">
        <f>I$296*Entrant_age_breakdowns!$K78*$H$31</f>
        <v>132.50239601530095</v>
      </c>
      <c r="J321" s="447">
        <f>J$296*Entrant_age_breakdowns!$K78*$H$31</f>
        <v>140.10992051674771</v>
      </c>
      <c r="K321" s="447">
        <f>K$296*Entrant_age_breakdowns!$K78*$H$31</f>
        <v>136.32311665441119</v>
      </c>
      <c r="L321" s="447">
        <f>L$296*Entrant_age_breakdowns!$K78*$H$31</f>
        <v>134.34815211689468</v>
      </c>
      <c r="M321" s="447">
        <f>M$296*Entrant_age_breakdowns!$K78*$H$31</f>
        <v>133.4272190587553</v>
      </c>
      <c r="N321" s="447">
        <f>N$296*Entrant_age_breakdowns!$K78*$H$31</f>
        <v>130.80763848116814</v>
      </c>
    </row>
    <row r="322" spans="1:14">
      <c r="B322" s="331" t="str">
        <f t="shared" si="145"/>
        <v>35-39</v>
      </c>
      <c r="C322" s="447">
        <f>C$296*Entrant_age_breakdowns!$K79*$H$31</f>
        <v>72.00531985177436</v>
      </c>
      <c r="D322" s="447">
        <f>D$296*Entrant_age_breakdowns!$K79*$H$31</f>
        <v>76.320935544764524</v>
      </c>
      <c r="E322" s="447">
        <f>E$296*Entrant_age_breakdowns!$K79*$H$31</f>
        <v>81.826498160820961</v>
      </c>
      <c r="F322" s="447">
        <f>F$296*Entrant_age_breakdowns!$K79*$H$31</f>
        <v>89.175392494276082</v>
      </c>
      <c r="G322" s="447">
        <f>G$296*Entrant_age_breakdowns!$K79*$H$31</f>
        <v>91.478862319461825</v>
      </c>
      <c r="H322" s="447">
        <f>H$296*Entrant_age_breakdowns!$K79*$H$31</f>
        <v>94.654658549782951</v>
      </c>
      <c r="I322" s="447">
        <f>I$296*Entrant_age_breakdowns!$K79*$H$31</f>
        <v>98.758390668044498</v>
      </c>
      <c r="J322" s="447">
        <f>J$296*Entrant_age_breakdowns!$K79*$H$31</f>
        <v>104.42852871327533</v>
      </c>
      <c r="K322" s="447">
        <f>K$296*Entrant_age_breakdowns!$K79*$H$31</f>
        <v>101.6060993348911</v>
      </c>
      <c r="L322" s="447">
        <f>L$296*Entrant_age_breakdowns!$K79*$H$31</f>
        <v>100.13409335449307</v>
      </c>
      <c r="M322" s="447">
        <f>M$296*Entrant_age_breakdowns!$K79*$H$31</f>
        <v>99.447691678221901</v>
      </c>
      <c r="N322" s="447">
        <f>N$296*Entrant_age_breakdowns!$K79*$H$31</f>
        <v>97.49523217675069</v>
      </c>
    </row>
    <row r="323" spans="1:14">
      <c r="B323" s="331" t="str">
        <f t="shared" si="145"/>
        <v>40-44</v>
      </c>
      <c r="C323" s="447">
        <f>C$296*Entrant_age_breakdowns!$K80*$H$31</f>
        <v>61.870306882993397</v>
      </c>
      <c r="D323" s="447">
        <f>D$296*Entrant_age_breakdowns!$K80*$H$31</f>
        <v>65.578483832474475</v>
      </c>
      <c r="E323" s="447">
        <f>E$296*Entrant_age_breakdowns!$K80*$H$31</f>
        <v>70.309118309484646</v>
      </c>
      <c r="F323" s="447">
        <f>F$296*Entrant_age_breakdowns!$K80*$H$31</f>
        <v>76.623628801175144</v>
      </c>
      <c r="G323" s="447">
        <f>G$296*Entrant_age_breakdowns!$K80*$H$31</f>
        <v>78.602876796647308</v>
      </c>
      <c r="H323" s="447">
        <f>H$296*Entrant_age_breakdowns!$K80*$H$31</f>
        <v>81.331668055019591</v>
      </c>
      <c r="I323" s="447">
        <f>I$296*Entrant_age_breakdowns!$K80*$H$31</f>
        <v>84.85778482035164</v>
      </c>
      <c r="J323" s="447">
        <f>J$296*Entrant_age_breakdowns!$K80*$H$31</f>
        <v>89.72983013102494</v>
      </c>
      <c r="K323" s="447">
        <f>K$296*Entrant_age_breakdowns!$K80*$H$31</f>
        <v>87.304668043616942</v>
      </c>
      <c r="L323" s="447">
        <f>L$296*Entrant_age_breakdowns!$K80*$H$31</f>
        <v>86.039852305997769</v>
      </c>
      <c r="M323" s="447">
        <f>M$296*Entrant_age_breakdowns!$K80*$H$31</f>
        <v>85.450064184185109</v>
      </c>
      <c r="N323" s="447">
        <f>N$296*Entrant_age_breakdowns!$K80*$H$31</f>
        <v>83.772420521448666</v>
      </c>
    </row>
    <row r="324" spans="1:14">
      <c r="B324" s="331" t="str">
        <f t="shared" si="145"/>
        <v>45-49</v>
      </c>
      <c r="C324" s="447">
        <f>C$296*Entrant_age_breakdowns!$K81*$H$31</f>
        <v>49.870986760833226</v>
      </c>
      <c r="D324" s="447">
        <f>D$296*Entrant_age_breakdowns!$K81*$H$31</f>
        <v>52.859988317009943</v>
      </c>
      <c r="E324" s="447">
        <f>E$296*Entrant_age_breakdowns!$K81*$H$31</f>
        <v>56.673148801561602</v>
      </c>
      <c r="F324" s="447">
        <f>F$296*Entrant_age_breakdowns!$K81*$H$31</f>
        <v>61.763003450703486</v>
      </c>
      <c r="G324" s="447">
        <f>G$296*Entrant_age_breakdowns!$K81*$H$31</f>
        <v>63.358389922040523</v>
      </c>
      <c r="H324" s="447">
        <f>H$296*Entrant_age_breakdowns!$K81*$H$31</f>
        <v>65.55795090008327</v>
      </c>
      <c r="I324" s="447">
        <f>I$296*Entrant_age_breakdowns!$K81*$H$31</f>
        <v>68.400201591575538</v>
      </c>
      <c r="J324" s="447">
        <f>J$296*Entrant_age_breakdowns!$K81*$H$31</f>
        <v>72.327347252033789</v>
      </c>
      <c r="K324" s="447">
        <f>K$296*Entrant_age_breakdowns!$K81*$H$31</f>
        <v>70.37252865734466</v>
      </c>
      <c r="L324" s="447">
        <f>L$296*Entrant_age_breakdowns!$K81*$H$31</f>
        <v>69.353015225400796</v>
      </c>
      <c r="M324" s="447">
        <f>M$296*Entrant_age_breakdowns!$K81*$H$31</f>
        <v>68.877612449878114</v>
      </c>
      <c r="N324" s="447">
        <f>N$296*Entrant_age_breakdowns!$K81*$H$31</f>
        <v>67.52533622710213</v>
      </c>
    </row>
    <row r="325" spans="1:14">
      <c r="B325" s="331" t="str">
        <f t="shared" si="145"/>
        <v>50-54</v>
      </c>
      <c r="C325" s="447">
        <f>C$296*Entrant_age_breakdowns!$K82*$H$31</f>
        <v>36.954599812129011</v>
      </c>
      <c r="D325" s="447">
        <f>D$296*Entrant_age_breakdowns!$K82*$H$31</f>
        <v>39.169461869622737</v>
      </c>
      <c r="E325" s="447">
        <f>E$296*Entrant_age_breakdowns!$K82*$H$31</f>
        <v>41.995028975439439</v>
      </c>
      <c r="F325" s="447">
        <f>F$296*Entrant_age_breakdowns!$K82*$H$31</f>
        <v>45.766631541937365</v>
      </c>
      <c r="G325" s="447">
        <f>G$296*Entrant_age_breakdowns!$K82*$H$31</f>
        <v>46.948819271181314</v>
      </c>
      <c r="H325" s="447">
        <f>H$296*Entrant_age_breakdowns!$K82*$H$31</f>
        <v>48.578702716154218</v>
      </c>
      <c r="I325" s="447">
        <f>I$296*Entrant_age_breakdowns!$K82*$H$31</f>
        <v>50.684821798448645</v>
      </c>
      <c r="J325" s="447">
        <f>J$296*Entrant_age_breakdowns!$K82*$H$31</f>
        <v>53.594852373583564</v>
      </c>
      <c r="K325" s="447">
        <f>K$296*Entrant_age_breakdowns!$K82*$H$31</f>
        <v>52.146324009416944</v>
      </c>
      <c r="L325" s="447">
        <f>L$296*Entrant_age_breakdowns!$K82*$H$31</f>
        <v>51.390860495906431</v>
      </c>
      <c r="M325" s="447">
        <f>M$296*Entrant_age_breakdowns!$K82*$H$31</f>
        <v>51.038585145846298</v>
      </c>
      <c r="N325" s="447">
        <f>N$296*Entrant_age_breakdowns!$K82*$H$31</f>
        <v>50.036543079026991</v>
      </c>
    </row>
    <row r="326" spans="1:14">
      <c r="B326" s="331" t="str">
        <f t="shared" si="145"/>
        <v>55-59</v>
      </c>
      <c r="C326" s="447">
        <f>C$296*Entrant_age_breakdowns!$K83*$H$31</f>
        <v>23.949744911939302</v>
      </c>
      <c r="D326" s="447">
        <f>D$296*Entrant_age_breakdowns!$K83*$H$31</f>
        <v>25.385165172523408</v>
      </c>
      <c r="E326" s="447">
        <f>E$296*Entrant_age_breakdowns!$K83*$H$31</f>
        <v>27.216374595975644</v>
      </c>
      <c r="F326" s="447">
        <f>F$296*Entrant_age_breakdowns!$K83*$H$31</f>
        <v>29.660696002135033</v>
      </c>
      <c r="G326" s="447">
        <f>G$296*Entrant_age_breakdowns!$K83*$H$31</f>
        <v>30.426854875383739</v>
      </c>
      <c r="H326" s="447">
        <f>H$296*Entrant_age_breakdowns!$K83*$H$31</f>
        <v>31.483158906322853</v>
      </c>
      <c r="I326" s="447">
        <f>I$296*Entrant_age_breakdowns!$K83*$H$31</f>
        <v>32.848104407872135</v>
      </c>
      <c r="J326" s="447">
        <f>J$296*Entrant_age_breakdowns!$K83*$H$31</f>
        <v>34.734053391618147</v>
      </c>
      <c r="K326" s="447">
        <f>K$296*Entrant_age_breakdowns!$K83*$H$31</f>
        <v>33.795282981551004</v>
      </c>
      <c r="L326" s="447">
        <f>L$296*Entrant_age_breakdowns!$K83*$H$31</f>
        <v>33.305677938313174</v>
      </c>
      <c r="M326" s="447">
        <f>M$296*Entrant_age_breakdowns!$K83*$H$31</f>
        <v>33.077373347934817</v>
      </c>
      <c r="N326" s="447">
        <f>N$296*Entrant_age_breakdowns!$K83*$H$31</f>
        <v>32.427964288890479</v>
      </c>
    </row>
    <row r="327" spans="1:14">
      <c r="B327" s="331" t="str">
        <f t="shared" si="145"/>
        <v>60-64</v>
      </c>
      <c r="C327" s="447">
        <f>C$296*Entrant_age_breakdowns!$K84*$H$31</f>
        <v>12.213664321760971</v>
      </c>
      <c r="D327" s="447">
        <f>D$296*Entrant_age_breakdowns!$K84*$H$31</f>
        <v>12.945686365748967</v>
      </c>
      <c r="E327" s="447">
        <f>E$296*Entrant_age_breakdowns!$K84*$H$31</f>
        <v>13.879549222456946</v>
      </c>
      <c r="F327" s="447">
        <f>F$296*Entrant_age_breakdowns!$K84*$H$31</f>
        <v>15.126081127456189</v>
      </c>
      <c r="G327" s="447">
        <f>G$296*Entrant_age_breakdowns!$K84*$H$31</f>
        <v>15.516799581009879</v>
      </c>
      <c r="H327" s="447">
        <f>H$296*Entrant_age_breakdowns!$K84*$H$31</f>
        <v>16.05548351702048</v>
      </c>
      <c r="I327" s="447">
        <f>I$296*Entrant_age_breakdowns!$K84*$H$31</f>
        <v>16.751565510157278</v>
      </c>
      <c r="J327" s="447">
        <f>J$296*Entrant_age_breakdowns!$K84*$H$31</f>
        <v>17.713343929933142</v>
      </c>
      <c r="K327" s="447">
        <f>K$296*Entrant_age_breakdowns!$K84*$H$31</f>
        <v>17.234598677909766</v>
      </c>
      <c r="L327" s="447">
        <f>L$296*Entrant_age_breakdowns!$K84*$H$31</f>
        <v>16.984914530110469</v>
      </c>
      <c r="M327" s="447">
        <f>M$296*Entrant_age_breakdowns!$K84*$H$31</f>
        <v>16.868485915098024</v>
      </c>
      <c r="N327" s="447">
        <f>N$296*Entrant_age_breakdowns!$K84*$H$31</f>
        <v>16.537306427222806</v>
      </c>
    </row>
    <row r="328" spans="1:14">
      <c r="B328" s="331" t="str">
        <f t="shared" si="145"/>
        <v>65 plus</v>
      </c>
      <c r="C328" s="447">
        <f>C$296*Entrant_age_breakdowns!$K85*$H$31</f>
        <v>3.6775145205810746</v>
      </c>
      <c r="D328" s="447">
        <f>D$296*Entrant_age_breakdowns!$K85*$H$31</f>
        <v>3.8979251709175964</v>
      </c>
      <c r="E328" s="447">
        <f>E$296*Entrant_age_breakdowns!$K85*$H$31</f>
        <v>4.1791097626421339</v>
      </c>
      <c r="F328" s="447">
        <f>F$296*Entrant_age_breakdowns!$K85*$H$31</f>
        <v>4.5544384977568511</v>
      </c>
      <c r="G328" s="447">
        <f>G$296*Entrant_age_breakdowns!$K85*$H$31</f>
        <v>4.6720831905000937</v>
      </c>
      <c r="H328" s="447">
        <f>H$296*Entrant_age_breakdowns!$K85*$H$31</f>
        <v>4.8342800500578926</v>
      </c>
      <c r="I328" s="447">
        <f>I$296*Entrant_age_breakdowns!$K85*$H$31</f>
        <v>5.0438692093665143</v>
      </c>
      <c r="J328" s="447">
        <f>J$296*Entrant_age_breakdowns!$K85*$H$31</f>
        <v>5.3334591318605771</v>
      </c>
      <c r="K328" s="447">
        <f>K$296*Entrant_age_breakdowns!$K85*$H$31</f>
        <v>5.1893097128497425</v>
      </c>
      <c r="L328" s="447">
        <f>L$296*Entrant_age_breakdowns!$K85*$H$31</f>
        <v>5.1141302208561026</v>
      </c>
      <c r="M328" s="447">
        <f>M$296*Entrant_age_breakdowns!$K85*$H$31</f>
        <v>5.0790737536862505</v>
      </c>
      <c r="N328" s="447">
        <f>N$296*Entrant_age_breakdowns!$K85*$H$31</f>
        <v>4.9793561469554213</v>
      </c>
    </row>
    <row r="329" spans="1:14">
      <c r="B329" s="331" t="str">
        <f t="shared" si="145"/>
        <v>Total</v>
      </c>
      <c r="C329" s="447">
        <f>C$296*Entrant_age_breakdowns!$K86*$H$31</f>
        <v>742.22796629799075</v>
      </c>
      <c r="D329" s="447">
        <f>D$296*Entrant_age_breakdowns!$K86*$H$31</f>
        <v>786.71316080480801</v>
      </c>
      <c r="E329" s="447">
        <f>E$296*Entrant_age_breakdowns!$K86*$H$31</f>
        <v>843.46428075335893</v>
      </c>
      <c r="F329" s="447">
        <f>F$296*Entrant_age_breakdowns!$K86*$H$31</f>
        <v>919.21639055424055</v>
      </c>
      <c r="G329" s="447">
        <f>G$296*Entrant_age_breakdowns!$K86*$H$31</f>
        <v>942.96046567668816</v>
      </c>
      <c r="H329" s="447">
        <f>H$296*Entrant_age_breakdowns!$K86*$H$31</f>
        <v>975.6964466050473</v>
      </c>
      <c r="I329" s="447">
        <f>I$296*Entrant_age_breakdowns!$K86*$H$31</f>
        <v>1017.997553671013</v>
      </c>
      <c r="J329" s="447">
        <f>J$296*Entrant_age_breakdowns!$K86*$H$31</f>
        <v>1076.4451105821408</v>
      </c>
      <c r="K329" s="447">
        <f>K$296*Entrant_age_breakdowns!$K86*$H$31</f>
        <v>1047.3516210753901</v>
      </c>
      <c r="L329" s="447">
        <f>L$296*Entrant_age_breakdowns!$K86*$H$31</f>
        <v>1032.1782421159132</v>
      </c>
      <c r="M329" s="447">
        <f>M$296*Entrant_age_breakdowns!$K86*$H$31</f>
        <v>1025.1028410026202</v>
      </c>
      <c r="N329" s="447">
        <f>N$296*Entrant_age_breakdowns!$K86*$H$31</f>
        <v>1004.9769663028155</v>
      </c>
    </row>
    <row r="330" spans="1:14">
      <c r="A330" s="302">
        <f>SUM(C330:N330)</f>
        <v>0</v>
      </c>
      <c r="C330" s="302">
        <f>SUM(C319:C328)-C329</f>
        <v>0</v>
      </c>
      <c r="D330" s="302">
        <f t="shared" ref="D330:N330" si="147">SUM(D319:D328)-D329</f>
        <v>0</v>
      </c>
      <c r="E330" s="302">
        <f t="shared" si="147"/>
        <v>0</v>
      </c>
      <c r="F330" s="302">
        <f t="shared" si="147"/>
        <v>0</v>
      </c>
      <c r="G330" s="302">
        <f t="shared" si="147"/>
        <v>0</v>
      </c>
      <c r="H330" s="302">
        <f t="shared" si="147"/>
        <v>0</v>
      </c>
      <c r="I330" s="302">
        <f t="shared" si="147"/>
        <v>0</v>
      </c>
      <c r="J330" s="302">
        <f t="shared" si="147"/>
        <v>0</v>
      </c>
      <c r="K330" s="302">
        <f t="shared" si="147"/>
        <v>0</v>
      </c>
      <c r="L330" s="302">
        <f t="shared" si="147"/>
        <v>0</v>
      </c>
      <c r="M330" s="302">
        <f t="shared" si="147"/>
        <v>0</v>
      </c>
      <c r="N330" s="302">
        <f t="shared" si="147"/>
        <v>0</v>
      </c>
    </row>
    <row r="331" spans="1:14">
      <c r="C331" s="322">
        <f>C296</f>
        <v>1131.1011987364636</v>
      </c>
      <c r="D331" s="322">
        <f t="shared" ref="D331:N331" si="148">D296</f>
        <v>1198.8933853926105</v>
      </c>
      <c r="E331" s="322">
        <f t="shared" si="148"/>
        <v>1285.3779463605965</v>
      </c>
      <c r="F331" s="322">
        <f t="shared" si="148"/>
        <v>1400.8186277862183</v>
      </c>
      <c r="G331" s="322">
        <f t="shared" si="148"/>
        <v>1437.002863699402</v>
      </c>
      <c r="H331" s="322">
        <f t="shared" si="148"/>
        <v>1486.8901071760445</v>
      </c>
      <c r="I331" s="322">
        <f t="shared" si="148"/>
        <v>1551.3539041262441</v>
      </c>
      <c r="J331" s="322">
        <f t="shared" si="148"/>
        <v>1640.423711095566</v>
      </c>
      <c r="K331" s="322">
        <f t="shared" si="148"/>
        <v>1596.0873584509113</v>
      </c>
      <c r="L331" s="322">
        <f t="shared" si="148"/>
        <v>1572.9642373759284</v>
      </c>
      <c r="M331" s="322">
        <f t="shared" si="148"/>
        <v>1562.1818429578041</v>
      </c>
      <c r="N331" s="322">
        <f t="shared" si="148"/>
        <v>1531.5114801687128</v>
      </c>
    </row>
    <row r="332" spans="1:14">
      <c r="C332" s="322">
        <f>C313+C329</f>
        <v>1131.1011987364636</v>
      </c>
      <c r="D332" s="322">
        <f t="shared" ref="D332:N332" si="149">D313+D329</f>
        <v>1198.8933853926105</v>
      </c>
      <c r="E332" s="322">
        <f t="shared" si="149"/>
        <v>1285.3779463605965</v>
      </c>
      <c r="F332" s="322">
        <f t="shared" si="149"/>
        <v>1400.818627786218</v>
      </c>
      <c r="G332" s="322">
        <f t="shared" si="149"/>
        <v>1437.0028636994018</v>
      </c>
      <c r="H332" s="322">
        <f t="shared" si="149"/>
        <v>1486.8901071760442</v>
      </c>
      <c r="I332" s="322">
        <f t="shared" si="149"/>
        <v>1551.3539041262438</v>
      </c>
      <c r="J332" s="322">
        <f t="shared" si="149"/>
        <v>1640.4237110955657</v>
      </c>
      <c r="K332" s="322">
        <f t="shared" si="149"/>
        <v>1596.0873584509113</v>
      </c>
      <c r="L332" s="322">
        <f t="shared" si="149"/>
        <v>1572.9642373759282</v>
      </c>
      <c r="M332" s="322">
        <f t="shared" si="149"/>
        <v>1562.1818429578038</v>
      </c>
      <c r="N332" s="322">
        <f t="shared" si="149"/>
        <v>1531.5114801687128</v>
      </c>
    </row>
    <row r="333" spans="1:14">
      <c r="A333" s="302">
        <f>SUM(C333:L333)</f>
        <v>0</v>
      </c>
      <c r="C333" s="322">
        <f>C331-C332</f>
        <v>0</v>
      </c>
      <c r="D333" s="322">
        <f t="shared" ref="D333:K333" si="150">D331-D332</f>
        <v>0</v>
      </c>
      <c r="E333" s="322">
        <f t="shared" si="150"/>
        <v>0</v>
      </c>
      <c r="F333" s="322">
        <f t="shared" si="150"/>
        <v>0</v>
      </c>
      <c r="G333" s="322">
        <f t="shared" si="150"/>
        <v>0</v>
      </c>
      <c r="H333" s="322">
        <f t="shared" si="150"/>
        <v>0</v>
      </c>
      <c r="I333" s="322">
        <f t="shared" si="150"/>
        <v>0</v>
      </c>
      <c r="J333" s="322">
        <f t="shared" si="150"/>
        <v>0</v>
      </c>
      <c r="K333" s="322">
        <f t="shared" si="150"/>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5">
      <c r="B337" s="334" t="s">
        <v>46</v>
      </c>
      <c r="C337" s="322"/>
      <c r="D337" s="322"/>
      <c r="E337" s="322"/>
      <c r="F337" s="322"/>
      <c r="G337" s="322"/>
      <c r="H337" s="332"/>
      <c r="I337" s="322"/>
      <c r="J337" s="322"/>
      <c r="K337" s="322"/>
      <c r="L337" s="322"/>
    </row>
    <row r="338" spans="1:15">
      <c r="C338" s="322"/>
      <c r="D338" s="322"/>
      <c r="E338" s="322"/>
      <c r="F338" s="322"/>
      <c r="G338" s="322"/>
      <c r="H338" s="332"/>
      <c r="I338" s="322"/>
      <c r="J338" s="322"/>
      <c r="K338" s="322"/>
      <c r="L338" s="322"/>
    </row>
    <row r="339" spans="1:15">
      <c r="B339" s="331" t="str">
        <f>B318</f>
        <v>Age group</v>
      </c>
      <c r="C339" s="331" t="str">
        <f t="shared" ref="C339:N339" si="151">C318</f>
        <v>2017/18</v>
      </c>
      <c r="D339" s="331" t="str">
        <f t="shared" si="151"/>
        <v>2018/19</v>
      </c>
      <c r="E339" s="331" t="str">
        <f t="shared" si="151"/>
        <v>2019/20</v>
      </c>
      <c r="F339" s="331" t="str">
        <f t="shared" si="151"/>
        <v>2020/21</v>
      </c>
      <c r="G339" s="331" t="str">
        <f t="shared" si="151"/>
        <v>2021/22</v>
      </c>
      <c r="H339" s="331" t="str">
        <f t="shared" si="151"/>
        <v>2022/23</v>
      </c>
      <c r="I339" s="331" t="str">
        <f t="shared" si="151"/>
        <v>2023/24</v>
      </c>
      <c r="J339" s="331" t="str">
        <f t="shared" si="151"/>
        <v>2024/25</v>
      </c>
      <c r="K339" s="331" t="str">
        <f t="shared" si="151"/>
        <v>2025/26</v>
      </c>
      <c r="L339" s="331" t="str">
        <f t="shared" si="151"/>
        <v>2026/27</v>
      </c>
      <c r="M339" s="331" t="str">
        <f t="shared" si="151"/>
        <v>2027/28</v>
      </c>
      <c r="N339" s="331" t="str">
        <f t="shared" si="151"/>
        <v>2028/29</v>
      </c>
    </row>
    <row r="340" spans="1:15">
      <c r="B340" s="331" t="str">
        <f t="shared" ref="B340:B350" si="152">B319</f>
        <v>20-24</v>
      </c>
      <c r="C340" s="447">
        <f t="shared" ref="C340:N340" si="153">C303+C247</f>
        <v>178.39870137820668</v>
      </c>
      <c r="D340" s="447">
        <f t="shared" si="153"/>
        <v>231.6965285514577</v>
      </c>
      <c r="E340" s="447">
        <f t="shared" si="153"/>
        <v>276.11492137874632</v>
      </c>
      <c r="F340" s="447">
        <f t="shared" si="153"/>
        <v>317.99561746058521</v>
      </c>
      <c r="G340" s="447">
        <f t="shared" si="153"/>
        <v>350.66814686262063</v>
      </c>
      <c r="H340" s="447">
        <f t="shared" si="153"/>
        <v>378.06882678946738</v>
      </c>
      <c r="I340" s="447">
        <f t="shared" si="153"/>
        <v>403.0454266513367</v>
      </c>
      <c r="J340" s="447">
        <f t="shared" si="153"/>
        <v>428.48768177830391</v>
      </c>
      <c r="K340" s="447">
        <f t="shared" si="153"/>
        <v>442.48234210932509</v>
      </c>
      <c r="L340" s="447">
        <f t="shared" si="153"/>
        <v>450.29178648478472</v>
      </c>
      <c r="M340" s="447">
        <f t="shared" si="153"/>
        <v>454.83690789773186</v>
      </c>
      <c r="N340" s="447">
        <f t="shared" si="153"/>
        <v>455.32891262381099</v>
      </c>
      <c r="O340" s="320"/>
    </row>
    <row r="341" spans="1:15">
      <c r="B341" s="331" t="str">
        <f t="shared" si="152"/>
        <v>25-29</v>
      </c>
      <c r="C341" s="447">
        <f t="shared" ref="C341:N341" si="154">C304+C248</f>
        <v>498.47713163168686</v>
      </c>
      <c r="D341" s="447">
        <f t="shared" si="154"/>
        <v>502.15755973008868</v>
      </c>
      <c r="E341" s="447">
        <f t="shared" si="154"/>
        <v>520.73198639115242</v>
      </c>
      <c r="F341" s="447">
        <f t="shared" si="154"/>
        <v>553.44248219256212</v>
      </c>
      <c r="G341" s="447">
        <f t="shared" si="154"/>
        <v>587.98311927634165</v>
      </c>
      <c r="H341" s="447">
        <f t="shared" si="154"/>
        <v>623.41656650597122</v>
      </c>
      <c r="I341" s="447">
        <f t="shared" si="154"/>
        <v>659.85539617836707</v>
      </c>
      <c r="J341" s="447">
        <f t="shared" si="154"/>
        <v>698.80055937013344</v>
      </c>
      <c r="K341" s="447">
        <f t="shared" si="154"/>
        <v>727.62559698331461</v>
      </c>
      <c r="L341" s="447">
        <f t="shared" si="154"/>
        <v>748.95770046425628</v>
      </c>
      <c r="M341" s="447">
        <f t="shared" si="154"/>
        <v>764.85362897935875</v>
      </c>
      <c r="N341" s="447">
        <f t="shared" si="154"/>
        <v>774.4284469205503</v>
      </c>
      <c r="O341" s="320"/>
    </row>
    <row r="342" spans="1:15">
      <c r="B342" s="331" t="str">
        <f t="shared" si="152"/>
        <v>30-34</v>
      </c>
      <c r="C342" s="447">
        <f t="shared" ref="C342:N342" si="155">C305+C249</f>
        <v>752.23730165818131</v>
      </c>
      <c r="D342" s="447">
        <f t="shared" si="155"/>
        <v>706.81381464049286</v>
      </c>
      <c r="E342" s="447">
        <f t="shared" si="155"/>
        <v>675.82262611670455</v>
      </c>
      <c r="F342" s="447">
        <f t="shared" si="155"/>
        <v>662.27667312369101</v>
      </c>
      <c r="G342" s="447">
        <f t="shared" si="155"/>
        <v>659.90235700118853</v>
      </c>
      <c r="H342" s="447">
        <f t="shared" si="155"/>
        <v>666.79223344762136</v>
      </c>
      <c r="I342" s="447">
        <f t="shared" si="155"/>
        <v>681.39211466255574</v>
      </c>
      <c r="J342" s="447">
        <f t="shared" si="155"/>
        <v>703.01557714810565</v>
      </c>
      <c r="K342" s="447">
        <f t="shared" si="155"/>
        <v>724.36023771493831</v>
      </c>
      <c r="L342" s="447">
        <f t="shared" si="155"/>
        <v>744.56466530852504</v>
      </c>
      <c r="M342" s="447">
        <f t="shared" si="155"/>
        <v>763.07959637545275</v>
      </c>
      <c r="N342" s="447">
        <f t="shared" si="155"/>
        <v>778.43673667379903</v>
      </c>
      <c r="O342" s="320"/>
    </row>
    <row r="343" spans="1:15">
      <c r="B343" s="331" t="str">
        <f t="shared" si="152"/>
        <v>35-39</v>
      </c>
      <c r="C343" s="447">
        <f t="shared" ref="C343:N343" si="156">C306+C250</f>
        <v>785.61798723944401</v>
      </c>
      <c r="D343" s="447">
        <f t="shared" si="156"/>
        <v>765.05976825071104</v>
      </c>
      <c r="E343" s="447">
        <f t="shared" si="156"/>
        <v>742.24697462412337</v>
      </c>
      <c r="F343" s="447">
        <f t="shared" si="156"/>
        <v>724.37252545947172</v>
      </c>
      <c r="G343" s="447">
        <f t="shared" si="156"/>
        <v>709.7678556713671</v>
      </c>
      <c r="H343" s="447">
        <f t="shared" si="156"/>
        <v>700.12897441966879</v>
      </c>
      <c r="I343" s="447">
        <f t="shared" si="156"/>
        <v>696.39168371061987</v>
      </c>
      <c r="J343" s="447">
        <f t="shared" si="156"/>
        <v>699.29748262434009</v>
      </c>
      <c r="K343" s="447">
        <f t="shared" si="156"/>
        <v>704.0000271208304</v>
      </c>
      <c r="L343" s="447">
        <f t="shared" si="156"/>
        <v>710.69447881774386</v>
      </c>
      <c r="M343" s="447">
        <f t="shared" si="156"/>
        <v>719.06989412526366</v>
      </c>
      <c r="N343" s="447">
        <f t="shared" si="156"/>
        <v>727.71798644211549</v>
      </c>
      <c r="O343" s="320"/>
    </row>
    <row r="344" spans="1:15">
      <c r="B344" s="331" t="str">
        <f t="shared" si="152"/>
        <v>40-44</v>
      </c>
      <c r="C344" s="447">
        <f t="shared" ref="C344:N344" si="157">C307+C251</f>
        <v>710.12322901442587</v>
      </c>
      <c r="D344" s="447">
        <f t="shared" si="157"/>
        <v>703.79891341943573</v>
      </c>
      <c r="E344" s="447">
        <f t="shared" si="157"/>
        <v>695.78233455461373</v>
      </c>
      <c r="F344" s="447">
        <f t="shared" si="157"/>
        <v>690.02760034628636</v>
      </c>
      <c r="G344" s="447">
        <f t="shared" si="157"/>
        <v>683.52612619098772</v>
      </c>
      <c r="H344" s="447">
        <f t="shared" si="157"/>
        <v>677.46949407912905</v>
      </c>
      <c r="I344" s="447">
        <f t="shared" si="157"/>
        <v>673.07403230678426</v>
      </c>
      <c r="J344" s="447">
        <f t="shared" si="157"/>
        <v>671.69657030065798</v>
      </c>
      <c r="K344" s="447">
        <f t="shared" si="157"/>
        <v>669.94592137367749</v>
      </c>
      <c r="L344" s="447">
        <f t="shared" si="157"/>
        <v>668.85924939449342</v>
      </c>
      <c r="M344" s="447">
        <f t="shared" si="157"/>
        <v>668.98303996731738</v>
      </c>
      <c r="N344" s="447">
        <f t="shared" si="157"/>
        <v>669.73931612240926</v>
      </c>
      <c r="O344" s="320"/>
    </row>
    <row r="345" spans="1:15">
      <c r="B345" s="331" t="str">
        <f t="shared" si="152"/>
        <v>45-49</v>
      </c>
      <c r="C345" s="447">
        <f t="shared" ref="C345:N345" si="158">C308+C252</f>
        <v>651.09351343073877</v>
      </c>
      <c r="D345" s="447">
        <f t="shared" si="158"/>
        <v>634.87199903960936</v>
      </c>
      <c r="E345" s="447">
        <f t="shared" si="158"/>
        <v>621.83969921796438</v>
      </c>
      <c r="F345" s="447">
        <f t="shared" si="158"/>
        <v>614.53673225327452</v>
      </c>
      <c r="G345" s="447">
        <f t="shared" si="158"/>
        <v>608.97741631892063</v>
      </c>
      <c r="H345" s="447">
        <f t="shared" si="158"/>
        <v>604.87368271162222</v>
      </c>
      <c r="I345" s="447">
        <f t="shared" si="158"/>
        <v>602.25289963315038</v>
      </c>
      <c r="J345" s="447">
        <f t="shared" si="158"/>
        <v>601.58923140677996</v>
      </c>
      <c r="K345" s="447">
        <f t="shared" si="158"/>
        <v>599.82759596512381</v>
      </c>
      <c r="L345" s="447">
        <f t="shared" si="158"/>
        <v>597.68449196537279</v>
      </c>
      <c r="M345" s="447">
        <f t="shared" si="158"/>
        <v>595.66882635434229</v>
      </c>
      <c r="N345" s="447">
        <f t="shared" si="158"/>
        <v>593.50836032856819</v>
      </c>
      <c r="O345" s="320"/>
    </row>
    <row r="346" spans="1:15">
      <c r="B346" s="331" t="str">
        <f t="shared" si="152"/>
        <v>50-54</v>
      </c>
      <c r="C346" s="447">
        <f t="shared" ref="C346:N346" si="159">C309+C253</f>
        <v>525.01804051905822</v>
      </c>
      <c r="D346" s="447">
        <f t="shared" si="159"/>
        <v>509.0907066518115</v>
      </c>
      <c r="E346" s="447">
        <f t="shared" si="159"/>
        <v>494.72978026741396</v>
      </c>
      <c r="F346" s="447">
        <f t="shared" si="159"/>
        <v>485.06604810144432</v>
      </c>
      <c r="G346" s="447">
        <f t="shared" si="159"/>
        <v>477.53756789653983</v>
      </c>
      <c r="H346" s="447">
        <f t="shared" si="159"/>
        <v>472.06701133322707</v>
      </c>
      <c r="I346" s="447">
        <f t="shared" si="159"/>
        <v>468.56342159037263</v>
      </c>
      <c r="J346" s="447">
        <f t="shared" si="159"/>
        <v>467.13882615838645</v>
      </c>
      <c r="K346" s="447">
        <f t="shared" si="159"/>
        <v>465.25197736912094</v>
      </c>
      <c r="L346" s="447">
        <f t="shared" si="159"/>
        <v>463.20577470122896</v>
      </c>
      <c r="M346" s="447">
        <f t="shared" si="159"/>
        <v>461.19017555452814</v>
      </c>
      <c r="N346" s="447">
        <f t="shared" si="159"/>
        <v>458.87844237849998</v>
      </c>
      <c r="O346" s="320"/>
    </row>
    <row r="347" spans="1:15">
      <c r="B347" s="331" t="str">
        <f t="shared" si="152"/>
        <v>55-59</v>
      </c>
      <c r="C347" s="447">
        <f t="shared" ref="C347:N347" si="160">C310+C254</f>
        <v>326.96443929363522</v>
      </c>
      <c r="D347" s="447">
        <f t="shared" si="160"/>
        <v>289.74070321604927</v>
      </c>
      <c r="E347" s="447">
        <f t="shared" si="160"/>
        <v>265.22861812965385</v>
      </c>
      <c r="F347" s="447">
        <f t="shared" si="160"/>
        <v>249.89309655109852</v>
      </c>
      <c r="G347" s="447">
        <f t="shared" si="160"/>
        <v>239.59769799587178</v>
      </c>
      <c r="H347" s="447">
        <f t="shared" si="160"/>
        <v>232.81310009949888</v>
      </c>
      <c r="I347" s="447">
        <f t="shared" si="160"/>
        <v>228.61579331739023</v>
      </c>
      <c r="J347" s="447">
        <f t="shared" si="160"/>
        <v>226.54684188560032</v>
      </c>
      <c r="K347" s="447">
        <f t="shared" si="160"/>
        <v>224.59365894293148</v>
      </c>
      <c r="L347" s="447">
        <f t="shared" si="160"/>
        <v>222.87592946041647</v>
      </c>
      <c r="M347" s="447">
        <f t="shared" si="160"/>
        <v>221.41297753154532</v>
      </c>
      <c r="N347" s="447">
        <f t="shared" si="160"/>
        <v>219.88753379441874</v>
      </c>
      <c r="O347" s="320"/>
    </row>
    <row r="348" spans="1:15">
      <c r="B348" s="331" t="str">
        <f t="shared" si="152"/>
        <v>60-64</v>
      </c>
      <c r="C348" s="447">
        <f t="shared" ref="C348:N348" si="161">C311+C255</f>
        <v>132.8855666313477</v>
      </c>
      <c r="D348" s="447">
        <f t="shared" si="161"/>
        <v>116.87613911527019</v>
      </c>
      <c r="E348" s="447">
        <f t="shared" si="161"/>
        <v>104.08387832704037</v>
      </c>
      <c r="F348" s="447">
        <f t="shared" si="161"/>
        <v>95.199594805925585</v>
      </c>
      <c r="G348" s="447">
        <f t="shared" si="161"/>
        <v>88.890033328980408</v>
      </c>
      <c r="H348" s="447">
        <f t="shared" si="161"/>
        <v>84.62216313267875</v>
      </c>
      <c r="I348" s="447">
        <f t="shared" si="161"/>
        <v>81.932076251024682</v>
      </c>
      <c r="J348" s="447">
        <f t="shared" si="161"/>
        <v>80.520642648823355</v>
      </c>
      <c r="K348" s="447">
        <f t="shared" si="161"/>
        <v>79.281945669156642</v>
      </c>
      <c r="L348" s="447">
        <f t="shared" si="161"/>
        <v>78.266560237472177</v>
      </c>
      <c r="M348" s="447">
        <f t="shared" si="161"/>
        <v>77.465521534150454</v>
      </c>
      <c r="N348" s="447">
        <f t="shared" si="161"/>
        <v>76.694382286668059</v>
      </c>
      <c r="O348" s="320"/>
    </row>
    <row r="349" spans="1:15">
      <c r="B349" s="331" t="str">
        <f t="shared" si="152"/>
        <v>65 plus</v>
      </c>
      <c r="C349" s="447">
        <f t="shared" ref="C349:N349" si="162">C312+C256</f>
        <v>46.367730275994042</v>
      </c>
      <c r="D349" s="447">
        <f t="shared" si="162"/>
        <v>46.089583624952532</v>
      </c>
      <c r="E349" s="447">
        <f t="shared" si="162"/>
        <v>43.903072556670693</v>
      </c>
      <c r="F349" s="447">
        <f t="shared" si="162"/>
        <v>41.362798533410746</v>
      </c>
      <c r="G349" s="447">
        <f t="shared" si="162"/>
        <v>38.824505353869007</v>
      </c>
      <c r="H349" s="447">
        <f t="shared" si="162"/>
        <v>36.620865115381811</v>
      </c>
      <c r="I349" s="447">
        <f t="shared" si="162"/>
        <v>34.889510830843811</v>
      </c>
      <c r="J349" s="447">
        <f t="shared" si="162"/>
        <v>33.674538080736049</v>
      </c>
      <c r="K349" s="447">
        <f t="shared" si="162"/>
        <v>32.697311155375424</v>
      </c>
      <c r="L349" s="447">
        <f t="shared" si="162"/>
        <v>31.920204098668314</v>
      </c>
      <c r="M349" s="447">
        <f t="shared" si="162"/>
        <v>31.311535151324108</v>
      </c>
      <c r="N349" s="447">
        <f t="shared" si="162"/>
        <v>30.796245391394592</v>
      </c>
      <c r="O349" s="320"/>
    </row>
    <row r="350" spans="1:15">
      <c r="B350" s="331" t="str">
        <f t="shared" si="152"/>
        <v>Total</v>
      </c>
      <c r="C350" s="447">
        <f t="shared" ref="C350:N350" si="163">SUM(C340:C349)</f>
        <v>4607.1836410727192</v>
      </c>
      <c r="D350" s="447">
        <f t="shared" si="163"/>
        <v>4506.1957162398794</v>
      </c>
      <c r="E350" s="447">
        <f t="shared" si="163"/>
        <v>4440.4838915640839</v>
      </c>
      <c r="F350" s="447">
        <f t="shared" si="163"/>
        <v>4434.1731688277496</v>
      </c>
      <c r="G350" s="447">
        <f t="shared" si="163"/>
        <v>4445.6748258966873</v>
      </c>
      <c r="H350" s="447">
        <f t="shared" si="163"/>
        <v>4476.8729176342667</v>
      </c>
      <c r="I350" s="447">
        <f t="shared" si="163"/>
        <v>4530.0123551324441</v>
      </c>
      <c r="J350" s="447">
        <f t="shared" si="163"/>
        <v>4610.7679514018673</v>
      </c>
      <c r="K350" s="447">
        <f t="shared" si="163"/>
        <v>4670.0666144037941</v>
      </c>
      <c r="L350" s="447">
        <f t="shared" si="163"/>
        <v>4717.3208409329609</v>
      </c>
      <c r="M350" s="447">
        <f t="shared" si="163"/>
        <v>4757.8721034710152</v>
      </c>
      <c r="N350" s="447">
        <f t="shared" si="163"/>
        <v>4785.4163629622344</v>
      </c>
      <c r="O350" s="320"/>
    </row>
    <row r="351" spans="1:15">
      <c r="A351" s="302">
        <f>SUM(C351:N351)</f>
        <v>0</v>
      </c>
      <c r="C351" s="302">
        <f>SUM(C340:C349)-C350</f>
        <v>0</v>
      </c>
      <c r="D351" s="302">
        <f t="shared" ref="D351:N351" si="164">SUM(D340:D349)-D350</f>
        <v>0</v>
      </c>
      <c r="E351" s="302">
        <f t="shared" si="164"/>
        <v>0</v>
      </c>
      <c r="F351" s="302">
        <f t="shared" si="164"/>
        <v>0</v>
      </c>
      <c r="G351" s="302">
        <f t="shared" si="164"/>
        <v>0</v>
      </c>
      <c r="H351" s="302">
        <f t="shared" si="164"/>
        <v>0</v>
      </c>
      <c r="I351" s="302">
        <f t="shared" si="164"/>
        <v>0</v>
      </c>
      <c r="J351" s="302">
        <f t="shared" si="164"/>
        <v>0</v>
      </c>
      <c r="K351" s="302">
        <f t="shared" si="164"/>
        <v>0</v>
      </c>
      <c r="L351" s="302">
        <f t="shared" si="164"/>
        <v>0</v>
      </c>
      <c r="M351" s="302">
        <f t="shared" si="164"/>
        <v>0</v>
      </c>
      <c r="N351" s="302">
        <f t="shared" si="164"/>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5">B339</f>
        <v>Age group</v>
      </c>
      <c r="C355" s="331" t="str">
        <f t="shared" ref="C355:N355" si="166">C339</f>
        <v>2017/18</v>
      </c>
      <c r="D355" s="331" t="str">
        <f t="shared" si="166"/>
        <v>2018/19</v>
      </c>
      <c r="E355" s="331" t="str">
        <f t="shared" si="166"/>
        <v>2019/20</v>
      </c>
      <c r="F355" s="331" t="str">
        <f t="shared" si="166"/>
        <v>2020/21</v>
      </c>
      <c r="G355" s="331" t="str">
        <f t="shared" si="166"/>
        <v>2021/22</v>
      </c>
      <c r="H355" s="331" t="str">
        <f t="shared" si="166"/>
        <v>2022/23</v>
      </c>
      <c r="I355" s="331" t="str">
        <f t="shared" si="166"/>
        <v>2023/24</v>
      </c>
      <c r="J355" s="331" t="str">
        <f t="shared" si="166"/>
        <v>2024/25</v>
      </c>
      <c r="K355" s="331" t="str">
        <f t="shared" si="166"/>
        <v>2025/26</v>
      </c>
      <c r="L355" s="331" t="str">
        <f t="shared" si="166"/>
        <v>2026/27</v>
      </c>
      <c r="M355" s="331" t="str">
        <f t="shared" si="166"/>
        <v>2027/28</v>
      </c>
      <c r="N355" s="331" t="str">
        <f t="shared" si="166"/>
        <v>2028/29</v>
      </c>
    </row>
    <row r="356" spans="1:14">
      <c r="B356" s="331" t="str">
        <f t="shared" si="165"/>
        <v>20-24</v>
      </c>
      <c r="C356" s="447">
        <f t="shared" ref="C356:N356" si="167">C319+C263</f>
        <v>448.23353032517718</v>
      </c>
      <c r="D356" s="447">
        <f t="shared" si="167"/>
        <v>518.51097126477146</v>
      </c>
      <c r="E356" s="447">
        <f t="shared" si="167"/>
        <v>581.89948228591129</v>
      </c>
      <c r="F356" s="447">
        <f t="shared" si="167"/>
        <v>645.29879142380366</v>
      </c>
      <c r="G356" s="447">
        <f t="shared" si="167"/>
        <v>695.9890349994464</v>
      </c>
      <c r="H356" s="447">
        <f t="shared" si="167"/>
        <v>740.04846526130041</v>
      </c>
      <c r="I356" s="447">
        <f t="shared" si="167"/>
        <v>781.89961059954931</v>
      </c>
      <c r="J356" s="447">
        <f t="shared" si="167"/>
        <v>826.34289919924856</v>
      </c>
      <c r="K356" s="447">
        <f t="shared" si="167"/>
        <v>850.13427842632052</v>
      </c>
      <c r="L356" s="447">
        <f t="shared" si="167"/>
        <v>862.97321701864428</v>
      </c>
      <c r="M356" s="447">
        <f t="shared" si="167"/>
        <v>870.18742248371041</v>
      </c>
      <c r="N356" s="447">
        <f t="shared" si="167"/>
        <v>870.09470308070263</v>
      </c>
    </row>
    <row r="357" spans="1:14">
      <c r="B357" s="331" t="str">
        <f t="shared" si="165"/>
        <v>25-29</v>
      </c>
      <c r="C357" s="447">
        <f t="shared" ref="C357:N357" si="168">C320+C264</f>
        <v>1280.1078655802116</v>
      </c>
      <c r="D357" s="447">
        <f t="shared" si="168"/>
        <v>1215.6066260117746</v>
      </c>
      <c r="E357" s="447">
        <f t="shared" si="168"/>
        <v>1194.7746722706472</v>
      </c>
      <c r="F357" s="447">
        <f t="shared" si="168"/>
        <v>1209.7084507298082</v>
      </c>
      <c r="G357" s="447">
        <f t="shared" si="168"/>
        <v>1238.1832313164734</v>
      </c>
      <c r="H357" s="447">
        <f t="shared" si="168"/>
        <v>1276.506032500813</v>
      </c>
      <c r="I357" s="447">
        <f t="shared" si="168"/>
        <v>1323.2560150006959</v>
      </c>
      <c r="J357" s="447">
        <f t="shared" si="168"/>
        <v>1379.9301249994865</v>
      </c>
      <c r="K357" s="447">
        <f t="shared" si="168"/>
        <v>1421.3041221750022</v>
      </c>
      <c r="L357" s="447">
        <f t="shared" si="168"/>
        <v>1451.5343822855857</v>
      </c>
      <c r="M357" s="447">
        <f t="shared" si="168"/>
        <v>1473.852356309852</v>
      </c>
      <c r="N357" s="447">
        <f t="shared" si="168"/>
        <v>1486.0142394364102</v>
      </c>
    </row>
    <row r="358" spans="1:14">
      <c r="B358" s="331" t="str">
        <f t="shared" si="165"/>
        <v>30-34</v>
      </c>
      <c r="C358" s="447">
        <f t="shared" ref="C358:N358" si="169">C321+C265</f>
        <v>1697.0840329972159</v>
      </c>
      <c r="D358" s="447">
        <f t="shared" si="169"/>
        <v>1585.8312145404841</v>
      </c>
      <c r="E358" s="447">
        <f t="shared" si="169"/>
        <v>1497.5139352676222</v>
      </c>
      <c r="F358" s="447">
        <f t="shared" si="169"/>
        <v>1437.1807055384756</v>
      </c>
      <c r="G358" s="447">
        <f t="shared" si="169"/>
        <v>1398.7547406901169</v>
      </c>
      <c r="H358" s="447">
        <f t="shared" si="169"/>
        <v>1380.051465518902</v>
      </c>
      <c r="I358" s="447">
        <f t="shared" si="169"/>
        <v>1378.8658738317779</v>
      </c>
      <c r="J358" s="447">
        <f t="shared" si="169"/>
        <v>1394.176646444191</v>
      </c>
      <c r="K358" s="447">
        <f t="shared" si="169"/>
        <v>1412.0131943326589</v>
      </c>
      <c r="L358" s="447">
        <f t="shared" si="169"/>
        <v>1430.7085669558212</v>
      </c>
      <c r="M358" s="447">
        <f t="shared" si="169"/>
        <v>1449.0444175783143</v>
      </c>
      <c r="N358" s="447">
        <f t="shared" si="169"/>
        <v>1463.966973224</v>
      </c>
    </row>
    <row r="359" spans="1:14">
      <c r="B359" s="331" t="str">
        <f t="shared" si="165"/>
        <v>35-39</v>
      </c>
      <c r="C359" s="447">
        <f t="shared" ref="C359:N359" si="170">C322+C266</f>
        <v>1592.7769451376112</v>
      </c>
      <c r="D359" s="447">
        <f t="shared" si="170"/>
        <v>1562.3626706196421</v>
      </c>
      <c r="E359" s="447">
        <f t="shared" si="170"/>
        <v>1522.9266851249281</v>
      </c>
      <c r="F359" s="447">
        <f t="shared" si="170"/>
        <v>1483.4653000000355</v>
      </c>
      <c r="G359" s="447">
        <f t="shared" si="170"/>
        <v>1445.6850154638209</v>
      </c>
      <c r="H359" s="447">
        <f t="shared" si="170"/>
        <v>1414.0372607669349</v>
      </c>
      <c r="I359" s="447">
        <f t="shared" si="170"/>
        <v>1391.4475580333512</v>
      </c>
      <c r="J359" s="447">
        <f t="shared" si="170"/>
        <v>1380.2991791165832</v>
      </c>
      <c r="K359" s="447">
        <f t="shared" si="170"/>
        <v>1372.0969308016431</v>
      </c>
      <c r="L359" s="447">
        <f t="shared" si="170"/>
        <v>1367.8741905411716</v>
      </c>
      <c r="M359" s="447">
        <f t="shared" si="170"/>
        <v>1367.5192949528437</v>
      </c>
      <c r="N359" s="447">
        <f t="shared" si="170"/>
        <v>1368.6746884349723</v>
      </c>
    </row>
    <row r="360" spans="1:14">
      <c r="B360" s="331" t="str">
        <f t="shared" si="165"/>
        <v>40-44</v>
      </c>
      <c r="C360" s="447">
        <f t="shared" ref="C360:N360" si="171">C323+C267</f>
        <v>1274.6989114058031</v>
      </c>
      <c r="D360" s="447">
        <f t="shared" si="171"/>
        <v>1296.6296568001223</v>
      </c>
      <c r="E360" s="447">
        <f t="shared" si="171"/>
        <v>1310.1276477095232</v>
      </c>
      <c r="F360" s="447">
        <f t="shared" si="171"/>
        <v>1317.7190310702736</v>
      </c>
      <c r="G360" s="447">
        <f t="shared" si="171"/>
        <v>1318.0291840122236</v>
      </c>
      <c r="H360" s="447">
        <f t="shared" si="171"/>
        <v>1314.0529201302954</v>
      </c>
      <c r="I360" s="447">
        <f t="shared" si="171"/>
        <v>1308.8530634406106</v>
      </c>
      <c r="J360" s="447">
        <f t="shared" si="171"/>
        <v>1305.7631735807217</v>
      </c>
      <c r="K360" s="447">
        <f t="shared" si="171"/>
        <v>1299.0242886005847</v>
      </c>
      <c r="L360" s="447">
        <f t="shared" si="171"/>
        <v>1291.307994487009</v>
      </c>
      <c r="M360" s="447">
        <f t="shared" si="171"/>
        <v>1284.2795494614538</v>
      </c>
      <c r="N360" s="447">
        <f t="shared" si="171"/>
        <v>1277.3778841856538</v>
      </c>
    </row>
    <row r="361" spans="1:14">
      <c r="B361" s="331" t="str">
        <f t="shared" si="165"/>
        <v>45-49</v>
      </c>
      <c r="C361" s="447">
        <f t="shared" ref="C361:N361" si="172">C324+C268</f>
        <v>1023.1740952834338</v>
      </c>
      <c r="D361" s="447">
        <f t="shared" si="172"/>
        <v>1029.398403212615</v>
      </c>
      <c r="E361" s="447">
        <f t="shared" si="172"/>
        <v>1040.1373087188663</v>
      </c>
      <c r="F361" s="447">
        <f t="shared" si="172"/>
        <v>1054.2170682788135</v>
      </c>
      <c r="G361" s="447">
        <f t="shared" si="172"/>
        <v>1067.4066612923511</v>
      </c>
      <c r="H361" s="447">
        <f t="shared" si="172"/>
        <v>1079.2335635440984</v>
      </c>
      <c r="I361" s="447">
        <f t="shared" si="172"/>
        <v>1089.9367006536379</v>
      </c>
      <c r="J361" s="447">
        <f t="shared" si="172"/>
        <v>1100.6872924097211</v>
      </c>
      <c r="K361" s="447">
        <f t="shared" si="172"/>
        <v>1105.9731317901551</v>
      </c>
      <c r="L361" s="447">
        <f t="shared" si="172"/>
        <v>1107.5667826215081</v>
      </c>
      <c r="M361" s="447">
        <f t="shared" si="172"/>
        <v>1106.8479791654051</v>
      </c>
      <c r="N361" s="447">
        <f t="shared" si="172"/>
        <v>1103.6990465702504</v>
      </c>
    </row>
    <row r="362" spans="1:14">
      <c r="B362" s="331" t="str">
        <f t="shared" si="165"/>
        <v>50-54</v>
      </c>
      <c r="C362" s="447">
        <f t="shared" ref="C362:N362" si="173">C325+C269</f>
        <v>805.74462203211544</v>
      </c>
      <c r="D362" s="447">
        <f t="shared" si="173"/>
        <v>791.56987451598195</v>
      </c>
      <c r="E362" s="447">
        <f t="shared" si="173"/>
        <v>784.23142014510347</v>
      </c>
      <c r="F362" s="447">
        <f t="shared" si="173"/>
        <v>783.7562726699706</v>
      </c>
      <c r="G362" s="447">
        <f t="shared" si="173"/>
        <v>787.09023571819216</v>
      </c>
      <c r="H362" s="447">
        <f t="shared" si="173"/>
        <v>793.40654688493964</v>
      </c>
      <c r="I362" s="447">
        <f t="shared" si="173"/>
        <v>802.0659835167545</v>
      </c>
      <c r="J362" s="447">
        <f t="shared" si="173"/>
        <v>812.98669109850118</v>
      </c>
      <c r="K362" s="447">
        <f t="shared" si="173"/>
        <v>821.15527929000189</v>
      </c>
      <c r="L362" s="447">
        <f t="shared" si="173"/>
        <v>827.10649667909365</v>
      </c>
      <c r="M362" s="447">
        <f t="shared" si="173"/>
        <v>831.24154770982636</v>
      </c>
      <c r="N362" s="447">
        <f t="shared" si="173"/>
        <v>833.034778261631</v>
      </c>
    </row>
    <row r="363" spans="1:14">
      <c r="B363" s="331" t="str">
        <f t="shared" si="165"/>
        <v>55-59</v>
      </c>
      <c r="C363" s="447">
        <f t="shared" ref="C363:N363" si="174">C326+C270</f>
        <v>506.87166180425811</v>
      </c>
      <c r="D363" s="447">
        <f t="shared" si="174"/>
        <v>455.54205044953579</v>
      </c>
      <c r="E363" s="447">
        <f t="shared" si="174"/>
        <v>423.53441978203296</v>
      </c>
      <c r="F363" s="447">
        <f t="shared" si="174"/>
        <v>405.07013124659329</v>
      </c>
      <c r="G363" s="447">
        <f t="shared" si="174"/>
        <v>394.57685044291867</v>
      </c>
      <c r="H363" s="447">
        <f t="shared" si="174"/>
        <v>389.78031144871227</v>
      </c>
      <c r="I363" s="447">
        <f t="shared" si="174"/>
        <v>389.19580512193954</v>
      </c>
      <c r="J363" s="447">
        <f t="shared" si="174"/>
        <v>392.03928599875923</v>
      </c>
      <c r="K363" s="447">
        <f t="shared" si="174"/>
        <v>394.47758112286493</v>
      </c>
      <c r="L363" s="447">
        <f t="shared" si="174"/>
        <v>396.7026649706757</v>
      </c>
      <c r="M363" s="447">
        <f t="shared" si="174"/>
        <v>398.72399020476684</v>
      </c>
      <c r="N363" s="447">
        <f t="shared" si="174"/>
        <v>399.92565144505841</v>
      </c>
    </row>
    <row r="364" spans="1:14">
      <c r="B364" s="331" t="str">
        <f t="shared" si="165"/>
        <v>60-64</v>
      </c>
      <c r="C364" s="447">
        <f t="shared" ref="C364:N364" si="175">C327+C271</f>
        <v>184.05144919914005</v>
      </c>
      <c r="D364" s="447">
        <f t="shared" si="175"/>
        <v>172.04238643115593</v>
      </c>
      <c r="E364" s="447">
        <f t="shared" si="175"/>
        <v>160.06992538427846</v>
      </c>
      <c r="F364" s="447">
        <f t="shared" si="175"/>
        <v>150.96595628871756</v>
      </c>
      <c r="G364" s="447">
        <f t="shared" si="175"/>
        <v>144.34895168064907</v>
      </c>
      <c r="H364" s="447">
        <f t="shared" si="175"/>
        <v>140.16799693788053</v>
      </c>
      <c r="I364" s="447">
        <f t="shared" si="175"/>
        <v>138.11611508954809</v>
      </c>
      <c r="J364" s="447">
        <f t="shared" si="175"/>
        <v>137.95522673980284</v>
      </c>
      <c r="K364" s="447">
        <f t="shared" si="175"/>
        <v>137.75739322599071</v>
      </c>
      <c r="L364" s="447">
        <f t="shared" si="175"/>
        <v>137.7180117819303</v>
      </c>
      <c r="M364" s="447">
        <f t="shared" si="175"/>
        <v>137.86559247521916</v>
      </c>
      <c r="N364" s="447">
        <f t="shared" si="175"/>
        <v>137.86789788114248</v>
      </c>
    </row>
    <row r="365" spans="1:14">
      <c r="B365" s="331" t="str">
        <f t="shared" si="165"/>
        <v>65 plus</v>
      </c>
      <c r="C365" s="447">
        <f t="shared" ref="C365:N365" si="176">C328+C272</f>
        <v>47.771977738416972</v>
      </c>
      <c r="D365" s="447">
        <f t="shared" si="176"/>
        <v>57.835959590225606</v>
      </c>
      <c r="E365" s="447">
        <f t="shared" si="176"/>
        <v>62.885379629411723</v>
      </c>
      <c r="F365" s="447">
        <f t="shared" si="176"/>
        <v>64.855112231437019</v>
      </c>
      <c r="G365" s="447">
        <f t="shared" si="176"/>
        <v>65.067395165253146</v>
      </c>
      <c r="H365" s="447">
        <f t="shared" si="176"/>
        <v>64.523568718235737</v>
      </c>
      <c r="I365" s="447">
        <f t="shared" si="176"/>
        <v>63.856271304333809</v>
      </c>
      <c r="J365" s="447">
        <f t="shared" si="176"/>
        <v>63.461088937619841</v>
      </c>
      <c r="K365" s="447">
        <f t="shared" si="176"/>
        <v>63.045387667683613</v>
      </c>
      <c r="L365" s="447">
        <f t="shared" si="176"/>
        <v>62.680923146563934</v>
      </c>
      <c r="M365" s="447">
        <f t="shared" si="176"/>
        <v>62.409274982843492</v>
      </c>
      <c r="N365" s="447">
        <f t="shared" si="176"/>
        <v>62.155702560656607</v>
      </c>
    </row>
    <row r="366" spans="1:14">
      <c r="B366" s="331" t="str">
        <f t="shared" si="165"/>
        <v>Total</v>
      </c>
      <c r="C366" s="447">
        <f t="shared" ref="C366:N366" si="177">SUM(C356:C365)</f>
        <v>8860.5150915033846</v>
      </c>
      <c r="D366" s="447">
        <f t="shared" si="177"/>
        <v>8685.3298134363085</v>
      </c>
      <c r="E366" s="447">
        <f t="shared" si="177"/>
        <v>8578.1008763183236</v>
      </c>
      <c r="F366" s="447">
        <f t="shared" si="177"/>
        <v>8552.2368194779283</v>
      </c>
      <c r="G366" s="447">
        <f t="shared" si="177"/>
        <v>8555.131300781446</v>
      </c>
      <c r="H366" s="447">
        <f t="shared" si="177"/>
        <v>8591.8081317121123</v>
      </c>
      <c r="I366" s="447">
        <f t="shared" si="177"/>
        <v>8667.4929965921983</v>
      </c>
      <c r="J366" s="447">
        <f t="shared" si="177"/>
        <v>8793.6416085246365</v>
      </c>
      <c r="K366" s="447">
        <f t="shared" si="177"/>
        <v>8876.9815874329051</v>
      </c>
      <c r="L366" s="447">
        <f t="shared" si="177"/>
        <v>8936.1732304880024</v>
      </c>
      <c r="M366" s="447">
        <f t="shared" si="177"/>
        <v>8981.9714253242346</v>
      </c>
      <c r="N366" s="447">
        <f t="shared" si="177"/>
        <v>9002.8115650804775</v>
      </c>
    </row>
    <row r="367" spans="1:14">
      <c r="A367" s="302">
        <f>SUM(C367:N367)</f>
        <v>0</v>
      </c>
      <c r="C367" s="302">
        <f>SUM(C356:C365)-C366</f>
        <v>0</v>
      </c>
      <c r="D367" s="302">
        <f t="shared" ref="D367:N367" si="178">SUM(D356:D365)-D366</f>
        <v>0</v>
      </c>
      <c r="E367" s="302">
        <f t="shared" si="178"/>
        <v>0</v>
      </c>
      <c r="F367" s="302">
        <f t="shared" si="178"/>
        <v>0</v>
      </c>
      <c r="G367" s="302">
        <f t="shared" si="178"/>
        <v>0</v>
      </c>
      <c r="H367" s="302">
        <f t="shared" si="178"/>
        <v>0</v>
      </c>
      <c r="I367" s="302">
        <f t="shared" si="178"/>
        <v>0</v>
      </c>
      <c r="J367" s="302">
        <f t="shared" si="178"/>
        <v>0</v>
      </c>
      <c r="K367" s="302">
        <f t="shared" si="178"/>
        <v>0</v>
      </c>
      <c r="L367" s="302">
        <f t="shared" si="178"/>
        <v>0</v>
      </c>
      <c r="M367" s="302">
        <f t="shared" si="178"/>
        <v>0</v>
      </c>
      <c r="N367" s="302">
        <f t="shared" si="178"/>
        <v>0</v>
      </c>
    </row>
    <row r="368" spans="1:14">
      <c r="C368" s="322">
        <f>C350+C366</f>
        <v>13467.698732576104</v>
      </c>
      <c r="D368" s="322">
        <f t="shared" ref="D368:N368" si="179">D350+D366</f>
        <v>13191.525529676188</v>
      </c>
      <c r="E368" s="322">
        <f t="shared" si="179"/>
        <v>13018.584767882407</v>
      </c>
      <c r="F368" s="322">
        <f t="shared" si="179"/>
        <v>12986.409988305677</v>
      </c>
      <c r="G368" s="322">
        <f t="shared" si="179"/>
        <v>13000.806126678133</v>
      </c>
      <c r="H368" s="322">
        <f t="shared" si="179"/>
        <v>13068.681049346378</v>
      </c>
      <c r="I368" s="322">
        <f t="shared" si="179"/>
        <v>13197.505351724642</v>
      </c>
      <c r="J368" s="322">
        <f t="shared" si="179"/>
        <v>13404.409559926504</v>
      </c>
      <c r="K368" s="322">
        <f t="shared" si="179"/>
        <v>13547.0482018367</v>
      </c>
      <c r="L368" s="322">
        <f t="shared" si="179"/>
        <v>13653.494071420962</v>
      </c>
      <c r="M368" s="322">
        <f t="shared" si="179"/>
        <v>13739.843528795249</v>
      </c>
      <c r="N368" s="322">
        <f t="shared" si="179"/>
        <v>13788.227928042712</v>
      </c>
    </row>
    <row r="369" spans="1:14">
      <c r="C369" s="322">
        <f t="shared" ref="C369:N369" si="180">C36</f>
        <v>13467.698732576104</v>
      </c>
      <c r="D369" s="322">
        <f t="shared" si="180"/>
        <v>13191.52552967619</v>
      </c>
      <c r="E369" s="322">
        <f t="shared" si="180"/>
        <v>13018.58476788241</v>
      </c>
      <c r="F369" s="322">
        <f t="shared" si="180"/>
        <v>12986.409988305681</v>
      </c>
      <c r="G369" s="322">
        <f t="shared" si="180"/>
        <v>13000.806126678135</v>
      </c>
      <c r="H369" s="322">
        <f t="shared" si="180"/>
        <v>13068.681049346382</v>
      </c>
      <c r="I369" s="322">
        <f t="shared" si="180"/>
        <v>13197.505351724647</v>
      </c>
      <c r="J369" s="322">
        <f t="shared" si="180"/>
        <v>13404.409559926506</v>
      </c>
      <c r="K369" s="322">
        <f t="shared" si="180"/>
        <v>13547.048201836704</v>
      </c>
      <c r="L369" s="322">
        <f t="shared" si="180"/>
        <v>13653.49407142097</v>
      </c>
      <c r="M369" s="322">
        <f t="shared" si="180"/>
        <v>13739.843528795254</v>
      </c>
      <c r="N369" s="322">
        <f t="shared" si="180"/>
        <v>13788.227928042717</v>
      </c>
    </row>
    <row r="370" spans="1:14">
      <c r="A370" s="302">
        <f>SUM(C370:L370)</f>
        <v>0</v>
      </c>
      <c r="C370" s="322">
        <f>C368-C369</f>
        <v>0</v>
      </c>
      <c r="D370" s="322">
        <f t="shared" ref="D370:N370" si="181">D368-D369</f>
        <v>0</v>
      </c>
      <c r="E370" s="322">
        <f t="shared" si="181"/>
        <v>0</v>
      </c>
      <c r="F370" s="322">
        <f t="shared" si="181"/>
        <v>0</v>
      </c>
      <c r="G370" s="322">
        <f t="shared" si="181"/>
        <v>0</v>
      </c>
      <c r="H370" s="322">
        <f t="shared" si="181"/>
        <v>0</v>
      </c>
      <c r="I370" s="322">
        <f t="shared" si="181"/>
        <v>0</v>
      </c>
      <c r="J370" s="322">
        <f t="shared" si="181"/>
        <v>0</v>
      </c>
      <c r="K370" s="322">
        <f t="shared" si="181"/>
        <v>0</v>
      </c>
      <c r="L370" s="322">
        <f t="shared" si="181"/>
        <v>0</v>
      </c>
      <c r="M370" s="322">
        <f t="shared" si="181"/>
        <v>0</v>
      </c>
      <c r="N370" s="322">
        <f t="shared" si="181"/>
        <v>0</v>
      </c>
    </row>
    <row r="371" spans="1:14">
      <c r="A371" s="302">
        <f>SUM(C371:L371)</f>
        <v>0</v>
      </c>
      <c r="C371" s="322">
        <f>IF(C294&gt;0,0,C294)</f>
        <v>0</v>
      </c>
      <c r="D371" s="322">
        <f t="shared" ref="D371:N371" si="182">IF(D294&gt;0,0,D294)</f>
        <v>0</v>
      </c>
      <c r="E371" s="322">
        <f t="shared" si="182"/>
        <v>0</v>
      </c>
      <c r="F371" s="322">
        <f t="shared" si="182"/>
        <v>0</v>
      </c>
      <c r="G371" s="322">
        <f t="shared" si="182"/>
        <v>0</v>
      </c>
      <c r="H371" s="322">
        <f t="shared" si="182"/>
        <v>0</v>
      </c>
      <c r="I371" s="322">
        <f t="shared" si="182"/>
        <v>0</v>
      </c>
      <c r="J371" s="322">
        <f t="shared" si="182"/>
        <v>0</v>
      </c>
      <c r="K371" s="322">
        <f t="shared" si="182"/>
        <v>0</v>
      </c>
      <c r="L371" s="322">
        <f t="shared" si="182"/>
        <v>0</v>
      </c>
      <c r="M371" s="322">
        <f t="shared" si="182"/>
        <v>0</v>
      </c>
      <c r="N371" s="322">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S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606</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Forecast_stock_figures!B32</f>
        <v>Physical Education</v>
      </c>
      <c r="C15" s="300">
        <f>Forecast_stock_figures!C56</f>
        <v>16696.033108673455</v>
      </c>
      <c r="D15" s="300">
        <f>Forecast_stock_figures!D56</f>
        <v>16467.262477428438</v>
      </c>
      <c r="E15" s="300">
        <f>Forecast_stock_figures!E56</f>
        <v>16482.014449636485</v>
      </c>
      <c r="F15" s="300">
        <f>Forecast_stock_figures!F56</f>
        <v>16590.416376455454</v>
      </c>
      <c r="G15" s="300">
        <f>Forecast_stock_figures!G56</f>
        <v>16626.361766054804</v>
      </c>
      <c r="H15" s="300">
        <f>Forecast_stock_figures!H56</f>
        <v>16616.544724022035</v>
      </c>
      <c r="I15" s="300">
        <f>Forecast_stock_figures!I56</f>
        <v>16557.647838055684</v>
      </c>
      <c r="J15" s="300">
        <f>Forecast_stock_figures!J56</f>
        <v>16586.779985111461</v>
      </c>
      <c r="K15" s="300">
        <f>Forecast_stock_figures!K56</f>
        <v>16667.969198455685</v>
      </c>
      <c r="L15" s="300">
        <f>Forecast_stock_figures!L56</f>
        <v>16678.773728357537</v>
      </c>
      <c r="M15" s="300">
        <f>Forecast_stock_figures!M56</f>
        <v>16639.88761305494</v>
      </c>
      <c r="N15" s="300">
        <f>Forecast_stock_figures!N56</f>
        <v>16605.50062864659</v>
      </c>
    </row>
    <row r="17" spans="1:9" ht="15.75">
      <c r="B17" s="333" t="s">
        <v>162</v>
      </c>
    </row>
    <row r="19" spans="1:9">
      <c r="B19" s="1327" t="str">
        <f>Stock_ages_breakdowns!B73</f>
        <v>Age group</v>
      </c>
      <c r="C19" s="1325" t="str">
        <f>Stock_ages_breakdowns!AI73</f>
        <v>Physical Education</v>
      </c>
      <c r="D19" s="1332"/>
      <c r="H19" s="318" t="s">
        <v>133</v>
      </c>
    </row>
    <row r="20" spans="1:9">
      <c r="B20" s="1327"/>
      <c r="C20" s="356" t="str">
        <f>Stock_ages_breakdowns!AI74</f>
        <v>Male</v>
      </c>
      <c r="D20" s="356" t="str">
        <f>Stock_ages_breakdowns!AJ74</f>
        <v>Female</v>
      </c>
    </row>
    <row r="21" spans="1:9">
      <c r="B21" s="356" t="str">
        <f>Stock_ages_breakdowns!B75</f>
        <v>20-24</v>
      </c>
      <c r="C21" s="324">
        <f>Stock_ages_breakdowns!AI20</f>
        <v>368.35269213933157</v>
      </c>
      <c r="D21" s="324">
        <f>Stock_ages_breakdowns!AJ20</f>
        <v>605.23482714830379</v>
      </c>
    </row>
    <row r="22" spans="1:9">
      <c r="B22" s="356" t="str">
        <f>Stock_ages_breakdowns!B76</f>
        <v>25-29</v>
      </c>
      <c r="C22" s="324">
        <f>Stock_ages_breakdowns!AI21</f>
        <v>1575.9287974705626</v>
      </c>
      <c r="D22" s="324">
        <f>Stock_ages_breakdowns!AJ21</f>
        <v>1751.2085077968386</v>
      </c>
    </row>
    <row r="23" spans="1:9">
      <c r="B23" s="356" t="str">
        <f>Stock_ages_breakdowns!B77</f>
        <v>30-34</v>
      </c>
      <c r="C23" s="324">
        <f>Stock_ages_breakdowns!AI22</f>
        <v>2132.4704173501123</v>
      </c>
      <c r="D23" s="324">
        <f>Stock_ages_breakdowns!AJ22</f>
        <v>1884.1784585026062</v>
      </c>
    </row>
    <row r="24" spans="1:9">
      <c r="B24" s="356" t="str">
        <f>Stock_ages_breakdowns!B78</f>
        <v>35-39</v>
      </c>
      <c r="C24" s="324">
        <f>Stock_ages_breakdowns!AI23</f>
        <v>2056.0274039835467</v>
      </c>
      <c r="D24" s="324">
        <f>Stock_ages_breakdowns!AJ23</f>
        <v>1616.5757937611231</v>
      </c>
    </row>
    <row r="25" spans="1:9">
      <c r="B25" s="356" t="str">
        <f>Stock_ages_breakdowns!B79</f>
        <v>40-44</v>
      </c>
      <c r="C25" s="324">
        <f>Stock_ages_breakdowns!AI24</f>
        <v>1212.4050346402662</v>
      </c>
      <c r="D25" s="324">
        <f>Stock_ages_breakdowns!AJ24</f>
        <v>930.01189463655146</v>
      </c>
    </row>
    <row r="26" spans="1:9">
      <c r="B26" s="356" t="str">
        <f>Stock_ages_breakdowns!B80</f>
        <v>45-49</v>
      </c>
      <c r="C26" s="324">
        <f>Stock_ages_breakdowns!AI25</f>
        <v>623.47009901392971</v>
      </c>
      <c r="D26" s="324">
        <f>Stock_ages_breakdowns!AJ25</f>
        <v>485.43869272272684</v>
      </c>
    </row>
    <row r="27" spans="1:9">
      <c r="B27" s="356" t="str">
        <f>Stock_ages_breakdowns!B81</f>
        <v>50-54</v>
      </c>
      <c r="C27" s="324">
        <f>Stock_ages_breakdowns!AI26</f>
        <v>396.11452545833646</v>
      </c>
      <c r="D27" s="324">
        <f>Stock_ages_breakdowns!AJ26</f>
        <v>365.89011860004155</v>
      </c>
    </row>
    <row r="28" spans="1:9">
      <c r="B28" s="356" t="str">
        <f>Stock_ages_breakdowns!B82</f>
        <v>55-59</v>
      </c>
      <c r="C28" s="324">
        <f>Stock_ages_breakdowns!AI27</f>
        <v>290.55561412010792</v>
      </c>
      <c r="D28" s="324">
        <f>Stock_ages_breakdowns!AJ27</f>
        <v>269.04091994249291</v>
      </c>
    </row>
    <row r="29" spans="1:9">
      <c r="B29" s="356" t="str">
        <f>Stock_ages_breakdowns!B83</f>
        <v>60-64</v>
      </c>
      <c r="C29" s="324">
        <f>Stock_ages_breakdowns!AI28</f>
        <v>63.180997464292133</v>
      </c>
      <c r="D29" s="324">
        <f>Stock_ages_breakdowns!AJ28</f>
        <v>51.454246220255342</v>
      </c>
      <c r="F29" s="318"/>
    </row>
    <row r="30" spans="1:9">
      <c r="B30" s="356" t="str">
        <f>Stock_ages_breakdowns!B84</f>
        <v>65 plus</v>
      </c>
      <c r="C30" s="324">
        <f>Stock_ages_breakdowns!AI29</f>
        <v>12.785938396712694</v>
      </c>
      <c r="D30" s="324">
        <f>Stock_ages_breakdowns!AJ29</f>
        <v>5.7081293053161168</v>
      </c>
      <c r="G30" s="319" t="s">
        <v>46</v>
      </c>
      <c r="H30" s="319" t="s">
        <v>47</v>
      </c>
    </row>
    <row r="31" spans="1:9">
      <c r="A31" s="302">
        <f>I31</f>
        <v>0</v>
      </c>
      <c r="B31" s="356" t="str">
        <f>Stock_ages_breakdowns!B85</f>
        <v>Total</v>
      </c>
      <c r="C31" s="324">
        <f>Stock_ages_breakdowns!AI30</f>
        <v>8731.2915200372008</v>
      </c>
      <c r="D31" s="324">
        <f>Stock_ages_breakdowns!AJ30</f>
        <v>7964.7415886362551</v>
      </c>
      <c r="E31" s="320">
        <f>SUM(C31:D31)</f>
        <v>16696.033108673455</v>
      </c>
      <c r="G31" s="359">
        <f>C31/$E$31</f>
        <v>0.52295604969190945</v>
      </c>
      <c r="H31" s="359">
        <f>D31/$E$31</f>
        <v>0.4770439503080906</v>
      </c>
      <c r="I31" s="302">
        <f>(G31+H31)-1</f>
        <v>0</v>
      </c>
    </row>
    <row r="33" spans="2:17" ht="15.75">
      <c r="B33" s="333" t="s">
        <v>263</v>
      </c>
      <c r="H33" s="318"/>
    </row>
    <row r="34" spans="2:17">
      <c r="H34" s="318"/>
    </row>
    <row r="35" spans="2:17">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7">
      <c r="B36" s="315" t="str">
        <f>B15</f>
        <v>Physical Education</v>
      </c>
      <c r="C36" s="300">
        <f>Teacher_need_by_subject!C639</f>
        <v>16467.262477428438</v>
      </c>
      <c r="D36" s="300">
        <f>Teacher_need_by_subject!D639</f>
        <v>16482.014449636485</v>
      </c>
      <c r="E36" s="300">
        <f>Teacher_need_by_subject!E639</f>
        <v>16590.416376455454</v>
      </c>
      <c r="F36" s="300">
        <f>Teacher_need_by_subject!F639</f>
        <v>16626.361766054804</v>
      </c>
      <c r="G36" s="300">
        <f>Teacher_need_by_subject!G639</f>
        <v>16616.544724022035</v>
      </c>
      <c r="H36" s="300">
        <f>Teacher_need_by_subject!H639</f>
        <v>16557.647838055684</v>
      </c>
      <c r="I36" s="300">
        <f>Teacher_need_by_subject!I639</f>
        <v>16586.779985111461</v>
      </c>
      <c r="J36" s="300">
        <f>Teacher_need_by_subject!J639</f>
        <v>16667.969198455685</v>
      </c>
      <c r="K36" s="300">
        <f>Teacher_need_by_subject!K639</f>
        <v>16678.773728357537</v>
      </c>
      <c r="L36" s="300">
        <f>Teacher_need_by_subject!L639</f>
        <v>16639.88761305494</v>
      </c>
      <c r="M36" s="300">
        <f>Teacher_need_by_subject!M639</f>
        <v>16605.50062864659</v>
      </c>
      <c r="N36" s="300">
        <f>Teacher_need_by_subject!N639</f>
        <v>16557.904130163955</v>
      </c>
    </row>
    <row r="37" spans="2:17">
      <c r="H37" s="318"/>
    </row>
    <row r="38" spans="2:17" ht="15.75">
      <c r="B38" s="333" t="s">
        <v>170</v>
      </c>
      <c r="H38" s="318"/>
    </row>
    <row r="39" spans="2:17">
      <c r="H39" s="318"/>
    </row>
    <row r="40" spans="2:17">
      <c r="B40" s="334" t="s">
        <v>46</v>
      </c>
      <c r="H40" s="318"/>
    </row>
    <row r="41" spans="2:17">
      <c r="H41" s="318"/>
    </row>
    <row r="42" spans="2:17">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7">
      <c r="B43" s="356" t="str">
        <f>B21</f>
        <v>20-24</v>
      </c>
      <c r="C43" s="300">
        <f>C21</f>
        <v>368.35269213933157</v>
      </c>
      <c r="D43" s="300">
        <f>C340</f>
        <v>439.87452431901943</v>
      </c>
      <c r="E43" s="300">
        <f t="shared" ref="E43:L43" si="2">D340</f>
        <v>520.12762188452575</v>
      </c>
      <c r="F43" s="300">
        <f t="shared" si="2"/>
        <v>594.32680557666254</v>
      </c>
      <c r="G43" s="300">
        <f t="shared" si="2"/>
        <v>640.69140856767251</v>
      </c>
      <c r="H43" s="300">
        <f t="shared" si="2"/>
        <v>669.67141611954639</v>
      </c>
      <c r="I43" s="300">
        <f t="shared" si="2"/>
        <v>685.38300878556174</v>
      </c>
      <c r="J43" s="300">
        <f t="shared" si="2"/>
        <v>709.4904311956459</v>
      </c>
      <c r="K43" s="300">
        <f t="shared" si="2"/>
        <v>735.93371945709782</v>
      </c>
      <c r="L43" s="300">
        <f t="shared" si="2"/>
        <v>748.22094632606877</v>
      </c>
      <c r="M43" s="300">
        <f>L340</f>
        <v>752.12614499666165</v>
      </c>
      <c r="N43" s="300">
        <f>M340</f>
        <v>756.50290605804958</v>
      </c>
      <c r="O43" s="320"/>
      <c r="P43" s="320"/>
      <c r="Q43" s="320"/>
    </row>
    <row r="44" spans="2:17">
      <c r="B44" s="356" t="str">
        <f t="shared" ref="B44:C53" si="3">B22</f>
        <v>25-29</v>
      </c>
      <c r="C44" s="300">
        <f t="shared" si="3"/>
        <v>1575.9287974705626</v>
      </c>
      <c r="D44" s="300">
        <f t="shared" ref="D44:K53" si="4">C341</f>
        <v>1390.9795585013248</v>
      </c>
      <c r="E44" s="300">
        <f t="shared" si="4"/>
        <v>1303.4287890271505</v>
      </c>
      <c r="F44" s="300">
        <f t="shared" si="4"/>
        <v>1270.2806130390511</v>
      </c>
      <c r="G44" s="300">
        <f t="shared" si="4"/>
        <v>1254.8164449269875</v>
      </c>
      <c r="H44" s="300">
        <f t="shared" si="4"/>
        <v>1248.2801062766971</v>
      </c>
      <c r="I44" s="300">
        <f t="shared" si="4"/>
        <v>1244.009444855114</v>
      </c>
      <c r="J44" s="300">
        <f t="shared" si="4"/>
        <v>1257.0807772290036</v>
      </c>
      <c r="K44" s="300">
        <f t="shared" si="4"/>
        <v>1280.5872848598781</v>
      </c>
      <c r="L44" s="300">
        <f t="shared" ref="L44:L53" si="5">K341</f>
        <v>1295.9475789808264</v>
      </c>
      <c r="M44" s="300">
        <f t="shared" ref="M44:M53" si="6">L341</f>
        <v>1304.4579142381931</v>
      </c>
      <c r="N44" s="300">
        <f t="shared" ref="N44:N53" si="7">M341</f>
        <v>1312.991933911195</v>
      </c>
      <c r="O44" s="320"/>
      <c r="P44" s="320"/>
      <c r="Q44" s="320"/>
    </row>
    <row r="45" spans="2:17">
      <c r="B45" s="356" t="str">
        <f t="shared" si="3"/>
        <v>30-34</v>
      </c>
      <c r="C45" s="300">
        <f t="shared" si="3"/>
        <v>2132.4704173501123</v>
      </c>
      <c r="D45" s="300">
        <f t="shared" si="4"/>
        <v>1968.6754898014769</v>
      </c>
      <c r="E45" s="300">
        <f t="shared" si="4"/>
        <v>1831.82994141892</v>
      </c>
      <c r="F45" s="300">
        <f t="shared" si="4"/>
        <v>1718.999386767644</v>
      </c>
      <c r="G45" s="300">
        <f t="shared" si="4"/>
        <v>1627.7450625397712</v>
      </c>
      <c r="H45" s="300">
        <f t="shared" si="4"/>
        <v>1555.1317108351222</v>
      </c>
      <c r="I45" s="300">
        <f t="shared" si="4"/>
        <v>1497.5226937300354</v>
      </c>
      <c r="J45" s="300">
        <f t="shared" si="4"/>
        <v>1460.4880618158957</v>
      </c>
      <c r="K45" s="300">
        <f t="shared" si="4"/>
        <v>1440.1722259278408</v>
      </c>
      <c r="L45" s="300">
        <f t="shared" si="5"/>
        <v>1426.2239841951778</v>
      </c>
      <c r="M45" s="300">
        <f t="shared" si="6"/>
        <v>1416.2996715604597</v>
      </c>
      <c r="N45" s="300">
        <f t="shared" si="7"/>
        <v>1411.3250013353565</v>
      </c>
      <c r="O45" s="320"/>
      <c r="P45" s="320"/>
      <c r="Q45" s="320"/>
    </row>
    <row r="46" spans="2:17">
      <c r="B46" s="356" t="str">
        <f t="shared" si="3"/>
        <v>35-39</v>
      </c>
      <c r="C46" s="300">
        <f t="shared" si="3"/>
        <v>2056.0274039835467</v>
      </c>
      <c r="D46" s="300">
        <f t="shared" si="4"/>
        <v>1991.2894814292745</v>
      </c>
      <c r="E46" s="300">
        <f t="shared" si="4"/>
        <v>1928.6312014779801</v>
      </c>
      <c r="F46" s="300">
        <f t="shared" si="4"/>
        <v>1858.9367768729035</v>
      </c>
      <c r="G46" s="300">
        <f t="shared" si="4"/>
        <v>1786.0928276368736</v>
      </c>
      <c r="H46" s="300">
        <f t="shared" si="4"/>
        <v>1713.5724020633099</v>
      </c>
      <c r="I46" s="300">
        <f t="shared" si="4"/>
        <v>1644.3684365914664</v>
      </c>
      <c r="J46" s="300">
        <f t="shared" si="4"/>
        <v>1587.1219812022432</v>
      </c>
      <c r="K46" s="300">
        <f t="shared" si="4"/>
        <v>1541.2430434764947</v>
      </c>
      <c r="L46" s="300">
        <f t="shared" si="5"/>
        <v>1500.956062111555</v>
      </c>
      <c r="M46" s="300">
        <f t="shared" si="6"/>
        <v>1466.6094249614534</v>
      </c>
      <c r="N46" s="300">
        <f t="shared" si="7"/>
        <v>1439.8362308100841</v>
      </c>
      <c r="O46" s="320"/>
      <c r="P46" s="320"/>
      <c r="Q46" s="320"/>
    </row>
    <row r="47" spans="2:17">
      <c r="B47" s="356" t="str">
        <f t="shared" si="3"/>
        <v>40-44</v>
      </c>
      <c r="C47" s="300">
        <f t="shared" si="3"/>
        <v>1212.4050346402662</v>
      </c>
      <c r="D47" s="300">
        <f t="shared" si="4"/>
        <v>1329.8623264772496</v>
      </c>
      <c r="E47" s="300">
        <f t="shared" si="4"/>
        <v>1417.789778239721</v>
      </c>
      <c r="F47" s="300">
        <f t="shared" si="4"/>
        <v>1473.1501839767195</v>
      </c>
      <c r="G47" s="300">
        <f t="shared" si="4"/>
        <v>1501.1463170313375</v>
      </c>
      <c r="H47" s="300">
        <f t="shared" si="4"/>
        <v>1507.1750364478696</v>
      </c>
      <c r="I47" s="300">
        <f t="shared" si="4"/>
        <v>1496.7301111406084</v>
      </c>
      <c r="J47" s="300">
        <f t="shared" si="4"/>
        <v>1480.5074798723087</v>
      </c>
      <c r="K47" s="300">
        <f t="shared" si="4"/>
        <v>1461.0684894720389</v>
      </c>
      <c r="L47" s="300">
        <f t="shared" si="5"/>
        <v>1436.2233793090561</v>
      </c>
      <c r="M47" s="300">
        <f t="shared" si="6"/>
        <v>1408.9364185418067</v>
      </c>
      <c r="N47" s="300">
        <f t="shared" si="7"/>
        <v>1383.0126304574255</v>
      </c>
      <c r="O47" s="320"/>
      <c r="P47" s="320"/>
      <c r="Q47" s="320"/>
    </row>
    <row r="48" spans="2:17">
      <c r="B48" s="356" t="str">
        <f t="shared" si="3"/>
        <v>45-49</v>
      </c>
      <c r="C48" s="300">
        <f t="shared" si="3"/>
        <v>623.47009901392971</v>
      </c>
      <c r="D48" s="300">
        <f t="shared" si="4"/>
        <v>724.13390128656624</v>
      </c>
      <c r="E48" s="300">
        <f t="shared" si="4"/>
        <v>829.12361957423707</v>
      </c>
      <c r="F48" s="300">
        <f t="shared" si="4"/>
        <v>924.34638187951487</v>
      </c>
      <c r="G48" s="300">
        <f t="shared" si="4"/>
        <v>1003.8539922567018</v>
      </c>
      <c r="H48" s="300">
        <f t="shared" si="4"/>
        <v>1066.1836974304165</v>
      </c>
      <c r="I48" s="300">
        <f t="shared" si="4"/>
        <v>1111.6586978082278</v>
      </c>
      <c r="J48" s="300">
        <f t="shared" si="4"/>
        <v>1146.4317083671356</v>
      </c>
      <c r="K48" s="300">
        <f t="shared" si="4"/>
        <v>1171.3834151482374</v>
      </c>
      <c r="L48" s="300">
        <f t="shared" si="5"/>
        <v>1184.4267772810815</v>
      </c>
      <c r="M48" s="300">
        <f t="shared" si="6"/>
        <v>1188.1835648801084</v>
      </c>
      <c r="N48" s="300">
        <f t="shared" si="7"/>
        <v>1186.3673817913552</v>
      </c>
      <c r="O48" s="320"/>
      <c r="P48" s="320"/>
      <c r="Q48" s="320"/>
    </row>
    <row r="49" spans="1:17">
      <c r="B49" s="356" t="str">
        <f t="shared" si="3"/>
        <v>50-54</v>
      </c>
      <c r="C49" s="300">
        <f t="shared" si="3"/>
        <v>396.11452545833646</v>
      </c>
      <c r="D49" s="300">
        <f t="shared" si="4"/>
        <v>425.89807334344653</v>
      </c>
      <c r="E49" s="300">
        <f t="shared" si="4"/>
        <v>471.80918861254179</v>
      </c>
      <c r="F49" s="300">
        <f t="shared" si="4"/>
        <v>525.15768043987521</v>
      </c>
      <c r="G49" s="300">
        <f t="shared" si="4"/>
        <v>579.41918780374453</v>
      </c>
      <c r="H49" s="300">
        <f t="shared" si="4"/>
        <v>631.28632897543253</v>
      </c>
      <c r="I49" s="300">
        <f t="shared" si="4"/>
        <v>678.20990904594225</v>
      </c>
      <c r="J49" s="300">
        <f t="shared" si="4"/>
        <v>722.07887946433652</v>
      </c>
      <c r="K49" s="300">
        <f t="shared" si="4"/>
        <v>761.1912507729154</v>
      </c>
      <c r="L49" s="300">
        <f t="shared" si="5"/>
        <v>792.12512574201776</v>
      </c>
      <c r="M49" s="300">
        <f t="shared" si="6"/>
        <v>815.45472166463253</v>
      </c>
      <c r="N49" s="300">
        <f t="shared" si="7"/>
        <v>832.98086106201231</v>
      </c>
      <c r="O49" s="320"/>
      <c r="P49" s="320"/>
      <c r="Q49" s="320"/>
    </row>
    <row r="50" spans="1:17">
      <c r="B50" s="356" t="str">
        <f t="shared" si="3"/>
        <v>55-59</v>
      </c>
      <c r="C50" s="300">
        <f t="shared" si="3"/>
        <v>290.55561412010792</v>
      </c>
      <c r="D50" s="300">
        <f t="shared" si="4"/>
        <v>257.24763737852464</v>
      </c>
      <c r="E50" s="300">
        <f t="shared" si="4"/>
        <v>245.79471292675183</v>
      </c>
      <c r="F50" s="300">
        <f t="shared" si="4"/>
        <v>247.71593504500166</v>
      </c>
      <c r="G50" s="300">
        <f t="shared" si="4"/>
        <v>256.33074252847041</v>
      </c>
      <c r="H50" s="300">
        <f t="shared" si="4"/>
        <v>269.23691612451574</v>
      </c>
      <c r="I50" s="300">
        <f t="shared" si="4"/>
        <v>284.2386219475884</v>
      </c>
      <c r="J50" s="300">
        <f t="shared" si="4"/>
        <v>301.98731442244696</v>
      </c>
      <c r="K50" s="300">
        <f t="shared" si="4"/>
        <v>320.48198811583569</v>
      </c>
      <c r="L50" s="300">
        <f t="shared" si="5"/>
        <v>336.72381659581112</v>
      </c>
      <c r="M50" s="300">
        <f t="shared" si="6"/>
        <v>350.574874678176</v>
      </c>
      <c r="N50" s="300">
        <f t="shared" si="7"/>
        <v>362.64049542060133</v>
      </c>
      <c r="O50" s="320"/>
      <c r="P50" s="320"/>
      <c r="Q50" s="320"/>
    </row>
    <row r="51" spans="1:17">
      <c r="B51" s="356" t="str">
        <f t="shared" si="3"/>
        <v>60-64</v>
      </c>
      <c r="C51" s="300">
        <f t="shared" si="3"/>
        <v>63.180997464292133</v>
      </c>
      <c r="D51" s="300">
        <f t="shared" si="4"/>
        <v>81.076685129701374</v>
      </c>
      <c r="E51" s="300">
        <f t="shared" si="4"/>
        <v>88.022136305840434</v>
      </c>
      <c r="F51" s="300">
        <f t="shared" si="4"/>
        <v>91.127024471156034</v>
      </c>
      <c r="G51" s="300">
        <f t="shared" si="4"/>
        <v>92.64761385142539</v>
      </c>
      <c r="H51" s="300">
        <f t="shared" si="4"/>
        <v>94.29534613761632</v>
      </c>
      <c r="I51" s="300">
        <f t="shared" si="4"/>
        <v>96.491575502792656</v>
      </c>
      <c r="J51" s="300">
        <f t="shared" si="4"/>
        <v>100.3737927072968</v>
      </c>
      <c r="K51" s="300">
        <f t="shared" si="4"/>
        <v>105.24227517032857</v>
      </c>
      <c r="L51" s="300">
        <f t="shared" si="5"/>
        <v>109.69874988303201</v>
      </c>
      <c r="M51" s="300">
        <f t="shared" si="6"/>
        <v>113.75711394601748</v>
      </c>
      <c r="N51" s="300">
        <f t="shared" si="7"/>
        <v>117.71379627244231</v>
      </c>
      <c r="O51" s="320"/>
      <c r="P51" s="320"/>
      <c r="Q51" s="320"/>
    </row>
    <row r="52" spans="1:17">
      <c r="B52" s="356" t="str">
        <f t="shared" si="3"/>
        <v>65 plus</v>
      </c>
      <c r="C52" s="300">
        <f t="shared" si="3"/>
        <v>12.785938396712694</v>
      </c>
      <c r="D52" s="300">
        <f t="shared" si="4"/>
        <v>18.764755646182046</v>
      </c>
      <c r="E52" s="300">
        <f t="shared" si="4"/>
        <v>25.170666146253048</v>
      </c>
      <c r="F52" s="300">
        <f t="shared" si="4"/>
        <v>30.109240138254425</v>
      </c>
      <c r="G52" s="300">
        <f t="shared" si="4"/>
        <v>33.400109284053059</v>
      </c>
      <c r="H52" s="300">
        <f t="shared" si="4"/>
        <v>35.494607501856166</v>
      </c>
      <c r="I52" s="300">
        <f t="shared" si="4"/>
        <v>36.864008532854662</v>
      </c>
      <c r="J52" s="300">
        <f t="shared" si="4"/>
        <v>38.205057340619192</v>
      </c>
      <c r="K52" s="300">
        <f t="shared" si="4"/>
        <v>39.663136011284067</v>
      </c>
      <c r="L52" s="300">
        <f t="shared" si="5"/>
        <v>41.005565330724259</v>
      </c>
      <c r="M52" s="300">
        <f t="shared" si="6"/>
        <v>42.259252253087922</v>
      </c>
      <c r="N52" s="300">
        <f t="shared" si="7"/>
        <v>43.534503799408476</v>
      </c>
      <c r="O52" s="320"/>
      <c r="P52" s="320"/>
      <c r="Q52" s="320"/>
    </row>
    <row r="53" spans="1:17">
      <c r="B53" s="356" t="str">
        <f t="shared" si="3"/>
        <v>Total</v>
      </c>
      <c r="C53" s="300">
        <f t="shared" si="3"/>
        <v>8731.2915200372008</v>
      </c>
      <c r="D53" s="300">
        <f t="shared" si="4"/>
        <v>8627.8024333127651</v>
      </c>
      <c r="E53" s="300">
        <f t="shared" si="4"/>
        <v>8661.7276556139223</v>
      </c>
      <c r="F53" s="300">
        <f t="shared" si="4"/>
        <v>8734.1500282067827</v>
      </c>
      <c r="G53" s="300">
        <f t="shared" si="4"/>
        <v>8776.1437064270394</v>
      </c>
      <c r="H53" s="300">
        <f t="shared" si="4"/>
        <v>8790.3275679123817</v>
      </c>
      <c r="I53" s="300">
        <f t="shared" si="4"/>
        <v>8775.4765079401914</v>
      </c>
      <c r="J53" s="300">
        <f t="shared" si="4"/>
        <v>8803.7654836169331</v>
      </c>
      <c r="K53" s="300">
        <f t="shared" si="4"/>
        <v>8856.9668284119525</v>
      </c>
      <c r="L53" s="300">
        <f t="shared" si="5"/>
        <v>8871.5519857553518</v>
      </c>
      <c r="M53" s="300">
        <f t="shared" si="6"/>
        <v>8858.6591017205974</v>
      </c>
      <c r="N53" s="300">
        <f t="shared" si="7"/>
        <v>8846.9057409179313</v>
      </c>
      <c r="O53" s="320"/>
      <c r="P53" s="320"/>
      <c r="Q53" s="320"/>
    </row>
    <row r="54" spans="1:17">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7">
      <c r="B56" s="334" t="s">
        <v>47</v>
      </c>
      <c r="H56" s="318"/>
    </row>
    <row r="57" spans="1:17">
      <c r="H57" s="318"/>
    </row>
    <row r="58" spans="1:17">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7">
      <c r="B59" s="331" t="str">
        <f t="shared" si="9"/>
        <v>20-24</v>
      </c>
      <c r="C59" s="300">
        <f t="shared" ref="C59:C69" si="11">D21</f>
        <v>605.23482714830379</v>
      </c>
      <c r="D59" s="300">
        <f>C356</f>
        <v>593.03721447322641</v>
      </c>
      <c r="E59" s="300">
        <f t="shared" ref="E59:L59" si="12">D356</f>
        <v>610.13473122462915</v>
      </c>
      <c r="F59" s="300">
        <f t="shared" si="12"/>
        <v>638.96844354592679</v>
      </c>
      <c r="G59" s="300">
        <f t="shared" si="12"/>
        <v>652.28121105961634</v>
      </c>
      <c r="H59" s="300">
        <f t="shared" si="12"/>
        <v>658.31134789291968</v>
      </c>
      <c r="I59" s="300">
        <f t="shared" si="12"/>
        <v>658.27769136854818</v>
      </c>
      <c r="J59" s="300">
        <f t="shared" si="12"/>
        <v>670.15691753810813</v>
      </c>
      <c r="K59" s="300">
        <f t="shared" si="12"/>
        <v>687.15552876945242</v>
      </c>
      <c r="L59" s="300">
        <f t="shared" si="12"/>
        <v>693.34198852575696</v>
      </c>
      <c r="M59" s="300">
        <f>L356</f>
        <v>693.36646489104646</v>
      </c>
      <c r="N59" s="300">
        <f>M356</f>
        <v>694.86875388405963</v>
      </c>
    </row>
    <row r="60" spans="1:17">
      <c r="B60" s="331" t="str">
        <f t="shared" si="9"/>
        <v>25-29</v>
      </c>
      <c r="C60" s="300">
        <f t="shared" si="11"/>
        <v>1751.2085077968386</v>
      </c>
      <c r="D60" s="300">
        <f t="shared" ref="D60:K69" si="13">C357</f>
        <v>1548.9666704703175</v>
      </c>
      <c r="E60" s="300">
        <f t="shared" si="13"/>
        <v>1425.9448946915531</v>
      </c>
      <c r="F60" s="300">
        <f t="shared" si="13"/>
        <v>1355.9584625312045</v>
      </c>
      <c r="G60" s="300">
        <f t="shared" si="13"/>
        <v>1302.685832565784</v>
      </c>
      <c r="H60" s="300">
        <f t="shared" si="13"/>
        <v>1263.1800995996407</v>
      </c>
      <c r="I60" s="300">
        <f t="shared" si="13"/>
        <v>1231.3489101793557</v>
      </c>
      <c r="J60" s="300">
        <f t="shared" si="13"/>
        <v>1220.48376271185</v>
      </c>
      <c r="K60" s="300">
        <f t="shared" si="13"/>
        <v>1223.5991138377756</v>
      </c>
      <c r="L60" s="300">
        <f t="shared" ref="L60:L69" si="14">K357</f>
        <v>1223.0328968313056</v>
      </c>
      <c r="M60" s="300">
        <f t="shared" ref="M60:M69" si="15">L357</f>
        <v>1219.3246659437709</v>
      </c>
      <c r="N60" s="300">
        <f t="shared" ref="N60:N69" si="16">M357</f>
        <v>1218.1645116640977</v>
      </c>
    </row>
    <row r="61" spans="1:17">
      <c r="B61" s="331" t="str">
        <f t="shared" si="9"/>
        <v>30-34</v>
      </c>
      <c r="C61" s="300">
        <f t="shared" si="11"/>
        <v>1884.1784585026062</v>
      </c>
      <c r="D61" s="300">
        <f t="shared" si="13"/>
        <v>1792.2084886849659</v>
      </c>
      <c r="E61" s="300">
        <f t="shared" si="13"/>
        <v>1699.8287878447056</v>
      </c>
      <c r="F61" s="300">
        <f t="shared" si="13"/>
        <v>1616.0464443273636</v>
      </c>
      <c r="G61" s="300">
        <f t="shared" si="13"/>
        <v>1536.8721159926256</v>
      </c>
      <c r="H61" s="300">
        <f t="shared" si="13"/>
        <v>1467.3377917516686</v>
      </c>
      <c r="I61" s="300">
        <f t="shared" si="13"/>
        <v>1406.9218328430675</v>
      </c>
      <c r="J61" s="300">
        <f t="shared" si="13"/>
        <v>1362.8034780077492</v>
      </c>
      <c r="K61" s="300">
        <f t="shared" si="13"/>
        <v>1332.8315502635678</v>
      </c>
      <c r="L61" s="300">
        <f t="shared" si="14"/>
        <v>1308.4928306619775</v>
      </c>
      <c r="M61" s="300">
        <f t="shared" si="15"/>
        <v>1288.3426401098475</v>
      </c>
      <c r="N61" s="300">
        <f t="shared" si="16"/>
        <v>1273.6351673677466</v>
      </c>
    </row>
    <row r="62" spans="1:17">
      <c r="B62" s="331" t="str">
        <f t="shared" si="9"/>
        <v>35-39</v>
      </c>
      <c r="C62" s="300">
        <f t="shared" si="11"/>
        <v>1616.5757937611231</v>
      </c>
      <c r="D62" s="300">
        <f t="shared" si="13"/>
        <v>1601.1608666153097</v>
      </c>
      <c r="E62" s="300">
        <f t="shared" si="13"/>
        <v>1582.042167101109</v>
      </c>
      <c r="F62" s="300">
        <f t="shared" si="13"/>
        <v>1555.5414770318457</v>
      </c>
      <c r="G62" s="300">
        <f t="shared" si="13"/>
        <v>1516.6803538300696</v>
      </c>
      <c r="H62" s="300">
        <f t="shared" si="13"/>
        <v>1472.316481890839</v>
      </c>
      <c r="I62" s="300">
        <f t="shared" si="13"/>
        <v>1425.3241348060042</v>
      </c>
      <c r="J62" s="300">
        <f t="shared" si="13"/>
        <v>1384.188513839392</v>
      </c>
      <c r="K62" s="300">
        <f t="shared" si="13"/>
        <v>1349.1192427568578</v>
      </c>
      <c r="L62" s="300">
        <f t="shared" si="14"/>
        <v>1315.6608062014493</v>
      </c>
      <c r="M62" s="300">
        <f t="shared" si="15"/>
        <v>1284.9663800048604</v>
      </c>
      <c r="N62" s="300">
        <f t="shared" si="16"/>
        <v>1259.2688550638004</v>
      </c>
    </row>
    <row r="63" spans="1:17">
      <c r="B63" s="331" t="str">
        <f t="shared" si="9"/>
        <v>40-44</v>
      </c>
      <c r="C63" s="300">
        <f t="shared" si="11"/>
        <v>930.01189463655146</v>
      </c>
      <c r="D63" s="300">
        <f t="shared" si="13"/>
        <v>1035.8831428466831</v>
      </c>
      <c r="E63" s="300">
        <f t="shared" si="13"/>
        <v>1118.9796557223926</v>
      </c>
      <c r="F63" s="300">
        <f t="shared" si="13"/>
        <v>1180.7685900311219</v>
      </c>
      <c r="G63" s="300">
        <f t="shared" si="13"/>
        <v>1217.9879150203744</v>
      </c>
      <c r="H63" s="300">
        <f t="shared" si="13"/>
        <v>1237.0935193094538</v>
      </c>
      <c r="I63" s="300">
        <f t="shared" si="13"/>
        <v>1241.5882281676761</v>
      </c>
      <c r="J63" s="300">
        <f t="shared" si="13"/>
        <v>1240.128842870964</v>
      </c>
      <c r="K63" s="300">
        <f t="shared" si="13"/>
        <v>1234.3154057680063</v>
      </c>
      <c r="L63" s="300">
        <f t="shared" si="14"/>
        <v>1221.7396539163708</v>
      </c>
      <c r="M63" s="300">
        <f t="shared" si="15"/>
        <v>1204.9644892657229</v>
      </c>
      <c r="N63" s="300">
        <f t="shared" si="16"/>
        <v>1187.5011947621329</v>
      </c>
    </row>
    <row r="64" spans="1:17">
      <c r="B64" s="331" t="str">
        <f t="shared" si="9"/>
        <v>45-49</v>
      </c>
      <c r="C64" s="300">
        <f t="shared" si="11"/>
        <v>485.43869272272684</v>
      </c>
      <c r="D64" s="300">
        <f t="shared" si="13"/>
        <v>566.01140000441217</v>
      </c>
      <c r="E64" s="300">
        <f t="shared" si="13"/>
        <v>650.46291723919046</v>
      </c>
      <c r="F64" s="300">
        <f t="shared" si="13"/>
        <v>730.58160531156307</v>
      </c>
      <c r="G64" s="300">
        <f t="shared" si="13"/>
        <v>797.44135144413428</v>
      </c>
      <c r="H64" s="300">
        <f t="shared" si="13"/>
        <v>851.8379414136175</v>
      </c>
      <c r="I64" s="300">
        <f t="shared" si="13"/>
        <v>893.65818181671511</v>
      </c>
      <c r="J64" s="300">
        <f t="shared" si="13"/>
        <v>927.93568812238709</v>
      </c>
      <c r="K64" s="300">
        <f t="shared" si="13"/>
        <v>954.80646428458385</v>
      </c>
      <c r="L64" s="300">
        <f t="shared" si="14"/>
        <v>971.74060656599181</v>
      </c>
      <c r="M64" s="300">
        <f t="shared" si="15"/>
        <v>980.61510292147022</v>
      </c>
      <c r="N64" s="300">
        <f t="shared" si="16"/>
        <v>984.40033062513498</v>
      </c>
    </row>
    <row r="65" spans="1:17">
      <c r="B65" s="331" t="str">
        <f t="shared" si="9"/>
        <v>50-54</v>
      </c>
      <c r="C65" s="300">
        <f t="shared" si="11"/>
        <v>365.89011860004155</v>
      </c>
      <c r="D65" s="300">
        <f t="shared" si="13"/>
        <v>377.58909408958584</v>
      </c>
      <c r="E65" s="300">
        <f t="shared" si="13"/>
        <v>405.03109797006721</v>
      </c>
      <c r="F65" s="300">
        <f t="shared" si="13"/>
        <v>442.22069559483378</v>
      </c>
      <c r="G65" s="300">
        <f t="shared" si="13"/>
        <v>480.93324595624938</v>
      </c>
      <c r="H65" s="300">
        <f t="shared" si="13"/>
        <v>519.45769243068037</v>
      </c>
      <c r="I65" s="300">
        <f t="shared" si="13"/>
        <v>555.46471352793822</v>
      </c>
      <c r="J65" s="300">
        <f t="shared" si="13"/>
        <v>590.60808003744273</v>
      </c>
      <c r="K65" s="300">
        <f t="shared" si="13"/>
        <v>623.17627158056632</v>
      </c>
      <c r="L65" s="300">
        <f t="shared" si="14"/>
        <v>649.8208836000299</v>
      </c>
      <c r="M65" s="300">
        <f t="shared" si="15"/>
        <v>670.80355474551357</v>
      </c>
      <c r="N65" s="300">
        <f t="shared" si="16"/>
        <v>687.48806299941396</v>
      </c>
    </row>
    <row r="66" spans="1:17">
      <c r="B66" s="331" t="str">
        <f t="shared" si="9"/>
        <v>55-59</v>
      </c>
      <c r="C66" s="300">
        <f t="shared" si="11"/>
        <v>269.04091994249291</v>
      </c>
      <c r="D66" s="300">
        <f t="shared" si="13"/>
        <v>239.80669147879922</v>
      </c>
      <c r="E66" s="300">
        <f t="shared" si="13"/>
        <v>227.01159960915177</v>
      </c>
      <c r="F66" s="300">
        <f t="shared" si="13"/>
        <v>225.37538417701606</v>
      </c>
      <c r="G66" s="300">
        <f t="shared" si="13"/>
        <v>229.03270136018966</v>
      </c>
      <c r="H66" s="300">
        <f t="shared" si="13"/>
        <v>236.69361247758638</v>
      </c>
      <c r="I66" s="300">
        <f t="shared" si="13"/>
        <v>246.6334955581946</v>
      </c>
      <c r="J66" s="300">
        <f t="shared" si="13"/>
        <v>259.60616408860886</v>
      </c>
      <c r="K66" s="300">
        <f t="shared" si="13"/>
        <v>273.87584910558559</v>
      </c>
      <c r="L66" s="300">
        <f t="shared" si="14"/>
        <v>286.72986285595886</v>
      </c>
      <c r="M66" s="300">
        <f t="shared" si="15"/>
        <v>298.01023028528351</v>
      </c>
      <c r="N66" s="300">
        <f t="shared" si="16"/>
        <v>308.20996079860367</v>
      </c>
    </row>
    <row r="67" spans="1:17">
      <c r="B67" s="331" t="str">
        <f t="shared" si="9"/>
        <v>60-64</v>
      </c>
      <c r="C67" s="300">
        <f t="shared" si="11"/>
        <v>51.454246220255342</v>
      </c>
      <c r="D67" s="300">
        <f t="shared" si="13"/>
        <v>71.396753002793304</v>
      </c>
      <c r="E67" s="300">
        <f t="shared" si="13"/>
        <v>79.507298369581108</v>
      </c>
      <c r="F67" s="300">
        <f t="shared" si="13"/>
        <v>83.06713282581967</v>
      </c>
      <c r="G67" s="300">
        <f t="shared" si="13"/>
        <v>84.207093893726238</v>
      </c>
      <c r="H67" s="300">
        <f t="shared" si="13"/>
        <v>85.042672639524085</v>
      </c>
      <c r="I67" s="300">
        <f t="shared" si="13"/>
        <v>86.173676817960882</v>
      </c>
      <c r="J67" s="300">
        <f t="shared" si="13"/>
        <v>88.783495810731281</v>
      </c>
      <c r="K67" s="300">
        <f t="shared" si="13"/>
        <v>92.32695810230372</v>
      </c>
      <c r="L67" s="300">
        <f t="shared" si="14"/>
        <v>95.589121072179239</v>
      </c>
      <c r="M67" s="300">
        <f t="shared" si="15"/>
        <v>98.619333480895904</v>
      </c>
      <c r="N67" s="300">
        <f t="shared" si="16"/>
        <v>101.70265096321677</v>
      </c>
    </row>
    <row r="68" spans="1:17">
      <c r="B68" s="331" t="str">
        <f t="shared" si="9"/>
        <v>65 plus</v>
      </c>
      <c r="C68" s="300">
        <f t="shared" si="11"/>
        <v>5.7081293053161168</v>
      </c>
      <c r="D68" s="300">
        <f t="shared" si="13"/>
        <v>13.399722449577837</v>
      </c>
      <c r="E68" s="300">
        <f t="shared" si="13"/>
        <v>21.343644250183598</v>
      </c>
      <c r="F68" s="300">
        <f t="shared" si="13"/>
        <v>27.738112871977538</v>
      </c>
      <c r="G68" s="300">
        <f t="shared" si="13"/>
        <v>32.096238504998809</v>
      </c>
      <c r="H68" s="300">
        <f t="shared" si="13"/>
        <v>34.945996703723488</v>
      </c>
      <c r="I68" s="300">
        <f t="shared" si="13"/>
        <v>36.780465030033184</v>
      </c>
      <c r="J68" s="300">
        <f t="shared" si="13"/>
        <v>38.319558467297924</v>
      </c>
      <c r="K68" s="300">
        <f t="shared" si="13"/>
        <v>39.795985575035964</v>
      </c>
      <c r="L68" s="300">
        <f t="shared" si="14"/>
        <v>41.073092371169096</v>
      </c>
      <c r="M68" s="300">
        <f t="shared" si="15"/>
        <v>42.215649685934281</v>
      </c>
      <c r="N68" s="300">
        <f t="shared" si="16"/>
        <v>43.355399600456366</v>
      </c>
    </row>
    <row r="69" spans="1:17">
      <c r="B69" s="331" t="str">
        <f t="shared" si="9"/>
        <v>Total</v>
      </c>
      <c r="C69" s="300">
        <f t="shared" si="11"/>
        <v>7964.7415886362551</v>
      </c>
      <c r="D69" s="300">
        <f t="shared" si="13"/>
        <v>7839.4600441156717</v>
      </c>
      <c r="E69" s="300">
        <f t="shared" si="13"/>
        <v>7820.2867940225633</v>
      </c>
      <c r="F69" s="300">
        <f t="shared" si="13"/>
        <v>7856.2663482486714</v>
      </c>
      <c r="G69" s="300">
        <f t="shared" si="13"/>
        <v>7850.2180596277685</v>
      </c>
      <c r="H69" s="300">
        <f t="shared" si="13"/>
        <v>7826.2171561096548</v>
      </c>
      <c r="I69" s="300">
        <f t="shared" si="13"/>
        <v>7782.1713301154932</v>
      </c>
      <c r="J69" s="300">
        <f t="shared" si="13"/>
        <v>7783.0145014945319</v>
      </c>
      <c r="K69" s="300">
        <f t="shared" si="13"/>
        <v>7811.0023700437368</v>
      </c>
      <c r="L69" s="300">
        <f t="shared" si="14"/>
        <v>7807.2217426021889</v>
      </c>
      <c r="M69" s="300">
        <f t="shared" si="15"/>
        <v>7781.2285113343469</v>
      </c>
      <c r="N69" s="300">
        <f t="shared" si="16"/>
        <v>7758.5948877286646</v>
      </c>
    </row>
    <row r="70" spans="1:17">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7" ht="15.75">
      <c r="B72" s="333" t="s">
        <v>163</v>
      </c>
      <c r="H72" s="318"/>
    </row>
    <row r="73" spans="1:17">
      <c r="H73" s="318"/>
    </row>
    <row r="74" spans="1:17">
      <c r="B74" s="334" t="s">
        <v>46</v>
      </c>
      <c r="C74" s="256" t="s">
        <v>456</v>
      </c>
      <c r="H74" s="318"/>
    </row>
    <row r="75" spans="1:17">
      <c r="H75" s="318"/>
    </row>
    <row r="76" spans="1:17">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7">
      <c r="B77" s="331" t="str">
        <f t="shared" si="18"/>
        <v>20-24</v>
      </c>
      <c r="C77" s="447">
        <f>C43-(0.2*C43)</f>
        <v>294.68215371146528</v>
      </c>
      <c r="D77" s="447">
        <f>D43-(0.2*D43)</f>
        <v>351.89961945521554</v>
      </c>
      <c r="E77" s="447">
        <f t="shared" ref="E77:N77" si="20">E43-(0.2*E43)</f>
        <v>416.10209750762061</v>
      </c>
      <c r="F77" s="447">
        <f t="shared" si="20"/>
        <v>475.46144446133002</v>
      </c>
      <c r="G77" s="447">
        <f t="shared" si="20"/>
        <v>512.55312685413799</v>
      </c>
      <c r="H77" s="447">
        <f t="shared" si="20"/>
        <v>535.73713289563716</v>
      </c>
      <c r="I77" s="447">
        <f t="shared" si="20"/>
        <v>548.30640702844937</v>
      </c>
      <c r="J77" s="447">
        <f t="shared" si="20"/>
        <v>567.59234495651674</v>
      </c>
      <c r="K77" s="447">
        <f t="shared" si="20"/>
        <v>588.74697556567821</v>
      </c>
      <c r="L77" s="447">
        <f t="shared" si="20"/>
        <v>598.57675706085502</v>
      </c>
      <c r="M77" s="447">
        <f t="shared" si="20"/>
        <v>601.70091599732928</v>
      </c>
      <c r="N77" s="447">
        <f t="shared" si="20"/>
        <v>605.20232484643964</v>
      </c>
      <c r="O77" s="320"/>
      <c r="P77" s="320"/>
      <c r="Q77" s="320"/>
    </row>
    <row r="78" spans="1:17">
      <c r="B78" s="331" t="str">
        <f t="shared" si="18"/>
        <v>25-29</v>
      </c>
      <c r="C78" s="447">
        <f t="shared" ref="C78:C85" si="21">C44+(0.2*C43)-(0.2*C44)</f>
        <v>1334.4135764043165</v>
      </c>
      <c r="D78" s="447">
        <f t="shared" ref="D78:N78" si="22">D44+(0.2*D43)-(0.2*D44)</f>
        <v>1200.7585516648637</v>
      </c>
      <c r="E78" s="447">
        <f t="shared" si="22"/>
        <v>1146.7685555986257</v>
      </c>
      <c r="F78" s="447">
        <f t="shared" si="22"/>
        <v>1135.0898515465733</v>
      </c>
      <c r="G78" s="447">
        <f t="shared" si="22"/>
        <v>1131.9914376551246</v>
      </c>
      <c r="H78" s="447">
        <f t="shared" si="22"/>
        <v>1132.5583682452668</v>
      </c>
      <c r="I78" s="447">
        <f t="shared" si="22"/>
        <v>1132.2841576412034</v>
      </c>
      <c r="J78" s="447">
        <f t="shared" si="22"/>
        <v>1147.5627080223321</v>
      </c>
      <c r="K78" s="447">
        <f t="shared" si="22"/>
        <v>1171.6565717793221</v>
      </c>
      <c r="L78" s="447">
        <f t="shared" si="22"/>
        <v>1186.4022524498748</v>
      </c>
      <c r="M78" s="447">
        <f t="shared" si="22"/>
        <v>1193.9915603898869</v>
      </c>
      <c r="N78" s="447">
        <f t="shared" si="22"/>
        <v>1201.6941283405658</v>
      </c>
      <c r="O78" s="320"/>
      <c r="P78" s="320"/>
      <c r="Q78" s="320"/>
    </row>
    <row r="79" spans="1:17">
      <c r="B79" s="331" t="str">
        <f t="shared" si="18"/>
        <v>30-34</v>
      </c>
      <c r="C79" s="447">
        <f t="shared" si="21"/>
        <v>2021.1620933742024</v>
      </c>
      <c r="D79" s="447">
        <f t="shared" ref="D79:N79" si="23">D45+(0.2*D44)-(0.2*D45)</f>
        <v>1853.1363035414463</v>
      </c>
      <c r="E79" s="447">
        <f t="shared" si="23"/>
        <v>1726.1497109405661</v>
      </c>
      <c r="F79" s="447">
        <f t="shared" si="23"/>
        <v>1629.2556320219255</v>
      </c>
      <c r="G79" s="447">
        <f t="shared" si="23"/>
        <v>1553.1593390172145</v>
      </c>
      <c r="H79" s="447">
        <f t="shared" si="23"/>
        <v>1493.7613899234373</v>
      </c>
      <c r="I79" s="447">
        <f t="shared" si="23"/>
        <v>1446.8200439550512</v>
      </c>
      <c r="J79" s="447">
        <f t="shared" si="23"/>
        <v>1419.8066048985172</v>
      </c>
      <c r="K79" s="447">
        <f t="shared" si="23"/>
        <v>1408.2552377142483</v>
      </c>
      <c r="L79" s="447">
        <f t="shared" si="23"/>
        <v>1400.1687031523074</v>
      </c>
      <c r="M79" s="447">
        <f t="shared" si="23"/>
        <v>1393.9313200960064</v>
      </c>
      <c r="N79" s="447">
        <f t="shared" si="23"/>
        <v>1391.6583878505242</v>
      </c>
      <c r="O79" s="320"/>
      <c r="P79" s="320"/>
      <c r="Q79" s="320"/>
    </row>
    <row r="80" spans="1:17">
      <c r="B80" s="331" t="str">
        <f t="shared" si="18"/>
        <v>35-39</v>
      </c>
      <c r="C80" s="447">
        <f t="shared" si="21"/>
        <v>2071.3160066568598</v>
      </c>
      <c r="D80" s="447">
        <f t="shared" ref="D80:N80" si="24">D46+(0.2*D45)-(0.2*D46)</f>
        <v>1986.7666831037152</v>
      </c>
      <c r="E80" s="447">
        <f t="shared" si="24"/>
        <v>1909.2709494661683</v>
      </c>
      <c r="F80" s="447">
        <f t="shared" si="24"/>
        <v>1830.9492988518514</v>
      </c>
      <c r="G80" s="447">
        <f t="shared" si="24"/>
        <v>1754.423274617453</v>
      </c>
      <c r="H80" s="447">
        <f t="shared" si="24"/>
        <v>1681.8842638176725</v>
      </c>
      <c r="I80" s="447">
        <f t="shared" si="24"/>
        <v>1614.9992880191801</v>
      </c>
      <c r="J80" s="447">
        <f t="shared" si="24"/>
        <v>1561.7951973249737</v>
      </c>
      <c r="K80" s="447">
        <f t="shared" si="24"/>
        <v>1521.0288799667637</v>
      </c>
      <c r="L80" s="447">
        <f t="shared" si="24"/>
        <v>1486.0096465282795</v>
      </c>
      <c r="M80" s="447">
        <f t="shared" si="24"/>
        <v>1456.5474742812546</v>
      </c>
      <c r="N80" s="447">
        <f t="shared" si="24"/>
        <v>1434.1339849151386</v>
      </c>
      <c r="O80" s="320"/>
      <c r="P80" s="320"/>
      <c r="Q80" s="320"/>
    </row>
    <row r="81" spans="1:17">
      <c r="B81" s="331" t="str">
        <f t="shared" si="18"/>
        <v>40-44</v>
      </c>
      <c r="C81" s="447">
        <f t="shared" si="21"/>
        <v>1381.1295085089223</v>
      </c>
      <c r="D81" s="447">
        <f t="shared" ref="D81:N81" si="25">D47+(0.2*D46)-(0.2*D47)</f>
        <v>1462.1477574676546</v>
      </c>
      <c r="E81" s="447">
        <f t="shared" si="25"/>
        <v>1519.9580628873728</v>
      </c>
      <c r="F81" s="447">
        <f t="shared" si="25"/>
        <v>1550.3075025559565</v>
      </c>
      <c r="G81" s="447">
        <f t="shared" si="25"/>
        <v>1558.1356191524446</v>
      </c>
      <c r="H81" s="447">
        <f t="shared" si="25"/>
        <v>1548.4545095709577</v>
      </c>
      <c r="I81" s="447">
        <f t="shared" si="25"/>
        <v>1526.2577762307801</v>
      </c>
      <c r="J81" s="447">
        <f t="shared" si="25"/>
        <v>1501.8303801382956</v>
      </c>
      <c r="K81" s="447">
        <f t="shared" si="25"/>
        <v>1477.1034002729302</v>
      </c>
      <c r="L81" s="447">
        <f t="shared" si="25"/>
        <v>1449.169915869556</v>
      </c>
      <c r="M81" s="447">
        <f t="shared" si="25"/>
        <v>1420.471019825736</v>
      </c>
      <c r="N81" s="447">
        <f t="shared" si="25"/>
        <v>1394.3773505279573</v>
      </c>
      <c r="O81" s="320"/>
      <c r="P81" s="320"/>
      <c r="Q81" s="320"/>
    </row>
    <row r="82" spans="1:17">
      <c r="B82" s="331" t="str">
        <f t="shared" si="18"/>
        <v>45-49</v>
      </c>
      <c r="C82" s="447">
        <f t="shared" si="21"/>
        <v>741.25708613919699</v>
      </c>
      <c r="D82" s="447">
        <f t="shared" ref="D82:N82" si="26">D48+(0.2*D47)-(0.2*D48)</f>
        <v>845.2795863247029</v>
      </c>
      <c r="E82" s="447">
        <f t="shared" si="26"/>
        <v>946.85685130733373</v>
      </c>
      <c r="F82" s="447">
        <f t="shared" si="26"/>
        <v>1034.107142298956</v>
      </c>
      <c r="G82" s="447">
        <f t="shared" si="26"/>
        <v>1103.312457211629</v>
      </c>
      <c r="H82" s="447">
        <f t="shared" si="26"/>
        <v>1154.3819652339073</v>
      </c>
      <c r="I82" s="447">
        <f t="shared" si="26"/>
        <v>1188.6729804747038</v>
      </c>
      <c r="J82" s="447">
        <f t="shared" si="26"/>
        <v>1213.2468626681703</v>
      </c>
      <c r="K82" s="447">
        <f t="shared" si="26"/>
        <v>1229.3204300129976</v>
      </c>
      <c r="L82" s="447">
        <f t="shared" si="26"/>
        <v>1234.7860976866764</v>
      </c>
      <c r="M82" s="447">
        <f t="shared" si="26"/>
        <v>1232.3341356124481</v>
      </c>
      <c r="N82" s="447">
        <f t="shared" si="26"/>
        <v>1225.6964315245691</v>
      </c>
      <c r="O82" s="320"/>
      <c r="P82" s="320"/>
      <c r="Q82" s="320"/>
    </row>
    <row r="83" spans="1:17">
      <c r="B83" s="331" t="str">
        <f t="shared" si="18"/>
        <v>50-54</v>
      </c>
      <c r="C83" s="447">
        <f t="shared" si="21"/>
        <v>441.58564016945508</v>
      </c>
      <c r="D83" s="447">
        <f t="shared" ref="D83:N83" si="27">D49+(0.2*D48)-(0.2*D49)</f>
        <v>485.54523893207056</v>
      </c>
      <c r="E83" s="447">
        <f t="shared" si="27"/>
        <v>543.27207480488073</v>
      </c>
      <c r="F83" s="447">
        <f t="shared" si="27"/>
        <v>604.99542072780321</v>
      </c>
      <c r="G83" s="447">
        <f t="shared" si="27"/>
        <v>664.306148694336</v>
      </c>
      <c r="H83" s="447">
        <f t="shared" si="27"/>
        <v>718.26580266642929</v>
      </c>
      <c r="I83" s="447">
        <f t="shared" si="27"/>
        <v>764.89966679839938</v>
      </c>
      <c r="J83" s="447">
        <f t="shared" si="27"/>
        <v>806.94944524489642</v>
      </c>
      <c r="K83" s="447">
        <f t="shared" si="27"/>
        <v>843.22968364797987</v>
      </c>
      <c r="L83" s="447">
        <f t="shared" si="27"/>
        <v>870.58545604983055</v>
      </c>
      <c r="M83" s="447">
        <f t="shared" si="27"/>
        <v>890.00049030772766</v>
      </c>
      <c r="N83" s="447">
        <f t="shared" si="27"/>
        <v>903.65816520788076</v>
      </c>
      <c r="O83" s="320"/>
      <c r="P83" s="320"/>
      <c r="Q83" s="320"/>
    </row>
    <row r="84" spans="1:17">
      <c r="B84" s="331" t="str">
        <f t="shared" si="18"/>
        <v>55-59</v>
      </c>
      <c r="C84" s="447">
        <f t="shared" si="21"/>
        <v>311.66739638775363</v>
      </c>
      <c r="D84" s="447">
        <f t="shared" ref="D84:N84" si="28">D50+(0.2*D49)-(0.2*D50)</f>
        <v>290.97772457150904</v>
      </c>
      <c r="E84" s="447">
        <f t="shared" si="28"/>
        <v>290.99760806390987</v>
      </c>
      <c r="F84" s="447">
        <f t="shared" si="28"/>
        <v>303.20428412397632</v>
      </c>
      <c r="G84" s="447">
        <f t="shared" si="28"/>
        <v>320.94843158352523</v>
      </c>
      <c r="H84" s="447">
        <f t="shared" si="28"/>
        <v>341.6467986946991</v>
      </c>
      <c r="I84" s="447">
        <f t="shared" si="28"/>
        <v>363.03287936725917</v>
      </c>
      <c r="J84" s="447">
        <f t="shared" si="28"/>
        <v>386.00562743082486</v>
      </c>
      <c r="K84" s="447">
        <f t="shared" si="28"/>
        <v>408.62384064725165</v>
      </c>
      <c r="L84" s="447">
        <f t="shared" si="28"/>
        <v>427.80407842505247</v>
      </c>
      <c r="M84" s="447">
        <f t="shared" si="28"/>
        <v>443.5508440754673</v>
      </c>
      <c r="N84" s="447">
        <f t="shared" si="28"/>
        <v>456.70856854888348</v>
      </c>
      <c r="O84" s="320"/>
      <c r="P84" s="320"/>
      <c r="Q84" s="320"/>
    </row>
    <row r="85" spans="1:17">
      <c r="B85" s="331" t="str">
        <f t="shared" si="18"/>
        <v>60-64</v>
      </c>
      <c r="C85" s="447">
        <f t="shared" si="21"/>
        <v>108.6559207954553</v>
      </c>
      <c r="D85" s="447">
        <f t="shared" ref="D85:N85" si="29">D51+(0.2*D50)-(0.2*D51)</f>
        <v>116.31087557946603</v>
      </c>
      <c r="E85" s="447">
        <f t="shared" si="29"/>
        <v>119.57665163002271</v>
      </c>
      <c r="F85" s="447">
        <f t="shared" si="29"/>
        <v>122.44480658592515</v>
      </c>
      <c r="G85" s="447">
        <f t="shared" si="29"/>
        <v>125.3842395868344</v>
      </c>
      <c r="H85" s="447">
        <f t="shared" si="29"/>
        <v>129.28366013499621</v>
      </c>
      <c r="I85" s="447">
        <f t="shared" si="29"/>
        <v>134.04098479175181</v>
      </c>
      <c r="J85" s="447">
        <f t="shared" si="29"/>
        <v>140.69649705032685</v>
      </c>
      <c r="K85" s="447">
        <f t="shared" si="29"/>
        <v>148.29021775942999</v>
      </c>
      <c r="L85" s="447">
        <f t="shared" si="29"/>
        <v>155.10376322558781</v>
      </c>
      <c r="M85" s="447">
        <f t="shared" si="29"/>
        <v>161.1206660924492</v>
      </c>
      <c r="N85" s="447">
        <f t="shared" si="29"/>
        <v>166.69913610207411</v>
      </c>
      <c r="O85" s="320"/>
      <c r="P85" s="320"/>
      <c r="Q85" s="320"/>
    </row>
    <row r="86" spans="1:17">
      <c r="B86" s="331" t="str">
        <f t="shared" si="18"/>
        <v>65 plus</v>
      </c>
      <c r="C86" s="447">
        <f>C52+(0.2*C51)</f>
        <v>25.422137889571122</v>
      </c>
      <c r="D86" s="447">
        <f t="shared" ref="D86:N86" si="30">D52+(0.2*D51)</f>
        <v>34.980092672122325</v>
      </c>
      <c r="E86" s="447">
        <f t="shared" si="30"/>
        <v>42.775093407421139</v>
      </c>
      <c r="F86" s="447">
        <f t="shared" si="30"/>
        <v>48.334645032485632</v>
      </c>
      <c r="G86" s="447">
        <f t="shared" si="30"/>
        <v>51.929632054338143</v>
      </c>
      <c r="H86" s="447">
        <f t="shared" si="30"/>
        <v>54.35367672937943</v>
      </c>
      <c r="I86" s="447">
        <f t="shared" si="30"/>
        <v>56.162323633413195</v>
      </c>
      <c r="J86" s="447">
        <f t="shared" si="30"/>
        <v>58.279815882078552</v>
      </c>
      <c r="K86" s="447">
        <f t="shared" si="30"/>
        <v>60.711591045349778</v>
      </c>
      <c r="L86" s="447">
        <f t="shared" si="30"/>
        <v>62.945315307330659</v>
      </c>
      <c r="M86" s="447">
        <f t="shared" si="30"/>
        <v>65.010675042291425</v>
      </c>
      <c r="N86" s="447">
        <f t="shared" si="30"/>
        <v>67.077263053896942</v>
      </c>
      <c r="O86" s="320"/>
      <c r="P86" s="320"/>
      <c r="Q86" s="320"/>
    </row>
    <row r="87" spans="1:17">
      <c r="B87" s="331" t="str">
        <f t="shared" si="18"/>
        <v>Total</v>
      </c>
      <c r="C87" s="447">
        <f>SUM(C77:C86)</f>
        <v>8731.291520037199</v>
      </c>
      <c r="D87" s="447">
        <f t="shared" ref="D87:N87" si="31">SUM(D77:D86)</f>
        <v>8627.8024333127651</v>
      </c>
      <c r="E87" s="447">
        <f t="shared" si="31"/>
        <v>8661.7276556139223</v>
      </c>
      <c r="F87" s="447">
        <f t="shared" si="31"/>
        <v>8734.1500282067827</v>
      </c>
      <c r="G87" s="447">
        <f t="shared" si="31"/>
        <v>8776.1437064270358</v>
      </c>
      <c r="H87" s="447">
        <f t="shared" si="31"/>
        <v>8790.3275679123817</v>
      </c>
      <c r="I87" s="447">
        <f t="shared" si="31"/>
        <v>8775.4765079401932</v>
      </c>
      <c r="J87" s="447">
        <f t="shared" si="31"/>
        <v>8803.7654836169313</v>
      </c>
      <c r="K87" s="447">
        <f t="shared" si="31"/>
        <v>8856.9668284119507</v>
      </c>
      <c r="L87" s="447">
        <f t="shared" si="31"/>
        <v>8871.55198575535</v>
      </c>
      <c r="M87" s="447">
        <f t="shared" si="31"/>
        <v>8858.6591017205974</v>
      </c>
      <c r="N87" s="447">
        <f t="shared" si="31"/>
        <v>8846.9057409179295</v>
      </c>
      <c r="O87" s="320"/>
      <c r="P87" s="320"/>
      <c r="Q87" s="320"/>
    </row>
    <row r="88" spans="1:17">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7">
      <c r="B90" s="334" t="s">
        <v>47</v>
      </c>
      <c r="H90" s="318"/>
    </row>
    <row r="91" spans="1:17">
      <c r="H91" s="318"/>
    </row>
    <row r="92" spans="1:17">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7">
      <c r="B93" s="331" t="str">
        <f t="shared" si="33"/>
        <v>20-24</v>
      </c>
      <c r="C93" s="447">
        <f>C59-(0.2*C59)</f>
        <v>484.18786171864303</v>
      </c>
      <c r="D93" s="447">
        <f t="shared" ref="D93:N93" si="35">D59-(0.2*D59)</f>
        <v>474.42977157858115</v>
      </c>
      <c r="E93" s="447">
        <f t="shared" si="35"/>
        <v>488.1077849797033</v>
      </c>
      <c r="F93" s="447">
        <f t="shared" si="35"/>
        <v>511.17475483674144</v>
      </c>
      <c r="G93" s="447">
        <f t="shared" si="35"/>
        <v>521.82496884769307</v>
      </c>
      <c r="H93" s="447">
        <f t="shared" si="35"/>
        <v>526.64907831433572</v>
      </c>
      <c r="I93" s="447">
        <f t="shared" si="35"/>
        <v>526.6221530948385</v>
      </c>
      <c r="J93" s="447">
        <f t="shared" si="35"/>
        <v>536.12553403048651</v>
      </c>
      <c r="K93" s="447">
        <f t="shared" si="35"/>
        <v>549.72442301556191</v>
      </c>
      <c r="L93" s="447">
        <f t="shared" si="35"/>
        <v>554.67359082060557</v>
      </c>
      <c r="M93" s="447">
        <f t="shared" si="35"/>
        <v>554.69317191283722</v>
      </c>
      <c r="N93" s="447">
        <f t="shared" si="35"/>
        <v>555.8950031072477</v>
      </c>
      <c r="O93" s="320"/>
    </row>
    <row r="94" spans="1:17">
      <c r="B94" s="331" t="str">
        <f t="shared" si="33"/>
        <v>25-29</v>
      </c>
      <c r="C94" s="447">
        <f t="shared" ref="C94:C101" si="36">C60+(0.2*C59)-(0.2*C60)</f>
        <v>1522.0137716671316</v>
      </c>
      <c r="D94" s="447">
        <f t="shared" ref="D94:N94" si="37">D60+(0.2*D59)-(0.2*D60)</f>
        <v>1357.7807792708993</v>
      </c>
      <c r="E94" s="447">
        <f t="shared" si="37"/>
        <v>1262.7828619981683</v>
      </c>
      <c r="F94" s="447">
        <f t="shared" si="37"/>
        <v>1212.5604587341488</v>
      </c>
      <c r="G94" s="447">
        <f t="shared" si="37"/>
        <v>1172.6049082645507</v>
      </c>
      <c r="H94" s="447">
        <f t="shared" si="37"/>
        <v>1142.2063492582963</v>
      </c>
      <c r="I94" s="447">
        <f t="shared" si="37"/>
        <v>1116.7346664171941</v>
      </c>
      <c r="J94" s="447">
        <f t="shared" si="37"/>
        <v>1110.4183936771017</v>
      </c>
      <c r="K94" s="447">
        <f t="shared" si="37"/>
        <v>1116.310396824111</v>
      </c>
      <c r="L94" s="447">
        <f t="shared" si="37"/>
        <v>1117.0947151701957</v>
      </c>
      <c r="M94" s="447">
        <f t="shared" si="37"/>
        <v>1114.1330257332261</v>
      </c>
      <c r="N94" s="447">
        <f t="shared" si="37"/>
        <v>1113.5053601080901</v>
      </c>
      <c r="O94" s="320"/>
    </row>
    <row r="95" spans="1:17">
      <c r="B95" s="331" t="str">
        <f t="shared" si="33"/>
        <v>30-34</v>
      </c>
      <c r="C95" s="447">
        <f t="shared" si="36"/>
        <v>1857.5844683614528</v>
      </c>
      <c r="D95" s="447">
        <f t="shared" ref="D95:N95" si="38">D61+(0.2*D60)-(0.2*D61)</f>
        <v>1743.5601250420364</v>
      </c>
      <c r="E95" s="447">
        <f t="shared" si="38"/>
        <v>1645.052009214075</v>
      </c>
      <c r="F95" s="447">
        <f t="shared" si="38"/>
        <v>1564.0288479681319</v>
      </c>
      <c r="G95" s="447">
        <f t="shared" si="38"/>
        <v>1490.0348593072572</v>
      </c>
      <c r="H95" s="447">
        <f t="shared" si="38"/>
        <v>1426.5062533212631</v>
      </c>
      <c r="I95" s="447">
        <f t="shared" si="38"/>
        <v>1371.8072483103251</v>
      </c>
      <c r="J95" s="447">
        <f t="shared" si="38"/>
        <v>1334.3395349485693</v>
      </c>
      <c r="K95" s="447">
        <f t="shared" si="38"/>
        <v>1310.9850629784094</v>
      </c>
      <c r="L95" s="447">
        <f t="shared" si="38"/>
        <v>1291.4008438958431</v>
      </c>
      <c r="M95" s="447">
        <f t="shared" si="38"/>
        <v>1274.5390452766324</v>
      </c>
      <c r="N95" s="447">
        <f t="shared" si="38"/>
        <v>1262.5410362270168</v>
      </c>
      <c r="O95" s="320"/>
    </row>
    <row r="96" spans="1:17">
      <c r="B96" s="331" t="str">
        <f t="shared" si="33"/>
        <v>35-39</v>
      </c>
      <c r="C96" s="447">
        <f t="shared" si="36"/>
        <v>1670.0963267094198</v>
      </c>
      <c r="D96" s="447">
        <f t="shared" ref="D96:N96" si="39">D62+(0.2*D61)-(0.2*D62)</f>
        <v>1639.3703910292411</v>
      </c>
      <c r="E96" s="447">
        <f t="shared" si="39"/>
        <v>1605.5994912498284</v>
      </c>
      <c r="F96" s="447">
        <f t="shared" si="39"/>
        <v>1567.6424704909491</v>
      </c>
      <c r="G96" s="447">
        <f t="shared" si="39"/>
        <v>1520.7187062625808</v>
      </c>
      <c r="H96" s="447">
        <f t="shared" si="39"/>
        <v>1471.320743863005</v>
      </c>
      <c r="I96" s="447">
        <f t="shared" si="39"/>
        <v>1421.6436744134169</v>
      </c>
      <c r="J96" s="447">
        <f t="shared" si="39"/>
        <v>1379.9115066730635</v>
      </c>
      <c r="K96" s="447">
        <f t="shared" si="39"/>
        <v>1345.8617042581998</v>
      </c>
      <c r="L96" s="447">
        <f t="shared" si="39"/>
        <v>1314.2272110935551</v>
      </c>
      <c r="M96" s="447">
        <f t="shared" si="39"/>
        <v>1285.6416320258577</v>
      </c>
      <c r="N96" s="447">
        <f t="shared" si="39"/>
        <v>1262.1421175245898</v>
      </c>
      <c r="O96" s="320"/>
    </row>
    <row r="97" spans="1:15">
      <c r="B97" s="331" t="str">
        <f t="shared" si="33"/>
        <v>40-44</v>
      </c>
      <c r="C97" s="447">
        <f t="shared" si="36"/>
        <v>1067.324674461466</v>
      </c>
      <c r="D97" s="447">
        <f t="shared" ref="D97:N97" si="40">D63+(0.2*D62)-(0.2*D63)</f>
        <v>1148.9386876004085</v>
      </c>
      <c r="E97" s="447">
        <f t="shared" si="40"/>
        <v>1211.5921579981359</v>
      </c>
      <c r="F97" s="447">
        <f t="shared" si="40"/>
        <v>1255.7231674312668</v>
      </c>
      <c r="G97" s="447">
        <f t="shared" si="40"/>
        <v>1277.7264027823135</v>
      </c>
      <c r="H97" s="447">
        <f t="shared" si="40"/>
        <v>1284.1381118257309</v>
      </c>
      <c r="I97" s="447">
        <f t="shared" si="40"/>
        <v>1278.3354094953418</v>
      </c>
      <c r="J97" s="447">
        <f t="shared" si="40"/>
        <v>1268.9407770646496</v>
      </c>
      <c r="K97" s="447">
        <f t="shared" si="40"/>
        <v>1257.2761731657765</v>
      </c>
      <c r="L97" s="447">
        <f t="shared" si="40"/>
        <v>1240.5238843733864</v>
      </c>
      <c r="M97" s="447">
        <f t="shared" si="40"/>
        <v>1220.9648674135506</v>
      </c>
      <c r="N97" s="447">
        <f t="shared" si="40"/>
        <v>1201.8547268224663</v>
      </c>
      <c r="O97" s="320"/>
    </row>
    <row r="98" spans="1:15">
      <c r="B98" s="331" t="str">
        <f t="shared" si="33"/>
        <v>45-49</v>
      </c>
      <c r="C98" s="447">
        <f t="shared" si="36"/>
        <v>574.35333310549186</v>
      </c>
      <c r="D98" s="447">
        <f t="shared" ref="D98:N98" si="41">D64+(0.2*D63)-(0.2*D64)</f>
        <v>659.98574857286644</v>
      </c>
      <c r="E98" s="447">
        <f t="shared" si="41"/>
        <v>744.1662649358309</v>
      </c>
      <c r="F98" s="447">
        <f t="shared" si="41"/>
        <v>820.61900225547481</v>
      </c>
      <c r="G98" s="447">
        <f t="shared" si="41"/>
        <v>881.55066415938222</v>
      </c>
      <c r="H98" s="447">
        <f t="shared" si="41"/>
        <v>928.88905699278462</v>
      </c>
      <c r="I98" s="447">
        <f t="shared" si="41"/>
        <v>963.24419108690734</v>
      </c>
      <c r="J98" s="447">
        <f t="shared" si="41"/>
        <v>990.37431907210248</v>
      </c>
      <c r="K98" s="447">
        <f t="shared" si="41"/>
        <v>1010.7082525812684</v>
      </c>
      <c r="L98" s="447">
        <f t="shared" si="41"/>
        <v>1021.7404160360677</v>
      </c>
      <c r="M98" s="447">
        <f t="shared" si="41"/>
        <v>1025.4849801903206</v>
      </c>
      <c r="N98" s="447">
        <f t="shared" si="41"/>
        <v>1025.0205034525345</v>
      </c>
      <c r="O98" s="320"/>
    </row>
    <row r="99" spans="1:15">
      <c r="B99" s="331" t="str">
        <f t="shared" si="33"/>
        <v>50-54</v>
      </c>
      <c r="C99" s="447">
        <f t="shared" si="36"/>
        <v>389.79983342457859</v>
      </c>
      <c r="D99" s="447">
        <f t="shared" ref="D99:N99" si="42">D65+(0.2*D64)-(0.2*D65)</f>
        <v>415.27355527255111</v>
      </c>
      <c r="E99" s="447">
        <f t="shared" si="42"/>
        <v>454.11746182389192</v>
      </c>
      <c r="F99" s="447">
        <f t="shared" si="42"/>
        <v>499.89287753817962</v>
      </c>
      <c r="G99" s="447">
        <f t="shared" si="42"/>
        <v>544.23486705382629</v>
      </c>
      <c r="H99" s="447">
        <f t="shared" si="42"/>
        <v>585.93374222726789</v>
      </c>
      <c r="I99" s="447">
        <f t="shared" si="42"/>
        <v>623.10340718569353</v>
      </c>
      <c r="J99" s="447">
        <f t="shared" si="42"/>
        <v>658.07360165443163</v>
      </c>
      <c r="K99" s="447">
        <f t="shared" si="42"/>
        <v>689.50231012136987</v>
      </c>
      <c r="L99" s="447">
        <f t="shared" si="42"/>
        <v>714.20482819322228</v>
      </c>
      <c r="M99" s="447">
        <f t="shared" si="42"/>
        <v>732.7658643807049</v>
      </c>
      <c r="N99" s="447">
        <f t="shared" si="42"/>
        <v>746.87051652455818</v>
      </c>
      <c r="O99" s="320"/>
    </row>
    <row r="100" spans="1:15">
      <c r="B100" s="331" t="str">
        <f t="shared" si="33"/>
        <v>55-59</v>
      </c>
      <c r="C100" s="447">
        <f t="shared" si="36"/>
        <v>288.41075967400263</v>
      </c>
      <c r="D100" s="447">
        <f t="shared" ref="D100:N100" si="43">D66+(0.2*D65)-(0.2*D66)</f>
        <v>267.36317200095658</v>
      </c>
      <c r="E100" s="447">
        <f t="shared" si="43"/>
        <v>262.61549928133491</v>
      </c>
      <c r="F100" s="447">
        <f t="shared" si="43"/>
        <v>268.74444646057964</v>
      </c>
      <c r="G100" s="447">
        <f t="shared" si="43"/>
        <v>279.41281027940164</v>
      </c>
      <c r="H100" s="447">
        <f t="shared" si="43"/>
        <v>293.24642846820518</v>
      </c>
      <c r="I100" s="447">
        <f t="shared" si="43"/>
        <v>308.39973915214335</v>
      </c>
      <c r="J100" s="447">
        <f t="shared" si="43"/>
        <v>325.80654727837566</v>
      </c>
      <c r="K100" s="447">
        <f t="shared" si="43"/>
        <v>343.73593360058175</v>
      </c>
      <c r="L100" s="447">
        <f t="shared" si="43"/>
        <v>359.34806700477304</v>
      </c>
      <c r="M100" s="447">
        <f t="shared" si="43"/>
        <v>372.56889517732947</v>
      </c>
      <c r="N100" s="447">
        <f t="shared" si="43"/>
        <v>384.06558123876573</v>
      </c>
      <c r="O100" s="320"/>
    </row>
    <row r="101" spans="1:15">
      <c r="B101" s="331" t="str">
        <f t="shared" si="33"/>
        <v>60-64</v>
      </c>
      <c r="C101" s="447">
        <f t="shared" si="36"/>
        <v>94.971580964702852</v>
      </c>
      <c r="D101" s="447">
        <f t="shared" ref="D101:N101" si="44">D67+(0.2*D66)-(0.2*D67)</f>
        <v>105.07874069799449</v>
      </c>
      <c r="E101" s="447">
        <f t="shared" si="44"/>
        <v>109.00815861749524</v>
      </c>
      <c r="F101" s="447">
        <f t="shared" si="44"/>
        <v>111.52878309605896</v>
      </c>
      <c r="G101" s="447">
        <f t="shared" si="44"/>
        <v>113.17221538701894</v>
      </c>
      <c r="H101" s="447">
        <f t="shared" si="44"/>
        <v>115.37286060713656</v>
      </c>
      <c r="I101" s="447">
        <f t="shared" si="44"/>
        <v>118.26564056600763</v>
      </c>
      <c r="J101" s="447">
        <f t="shared" si="44"/>
        <v>122.94802946630678</v>
      </c>
      <c r="K101" s="447">
        <f t="shared" si="44"/>
        <v>128.63673630296009</v>
      </c>
      <c r="L101" s="447">
        <f t="shared" si="44"/>
        <v>133.81726942893516</v>
      </c>
      <c r="M101" s="447">
        <f t="shared" si="44"/>
        <v>138.49751284177341</v>
      </c>
      <c r="N101" s="447">
        <f t="shared" si="44"/>
        <v>143.00411293029413</v>
      </c>
      <c r="O101" s="320"/>
    </row>
    <row r="102" spans="1:15">
      <c r="B102" s="331" t="str">
        <f t="shared" si="33"/>
        <v>65 plus</v>
      </c>
      <c r="C102" s="447">
        <f>C68+(0.2*C67)</f>
        <v>15.998978549367186</v>
      </c>
      <c r="D102" s="447">
        <f t="shared" ref="D102:N102" si="45">D68+(0.2*D67)</f>
        <v>27.679073050136498</v>
      </c>
      <c r="E102" s="447">
        <f t="shared" si="45"/>
        <v>37.245103924099823</v>
      </c>
      <c r="F102" s="447">
        <f t="shared" si="45"/>
        <v>44.351539437141469</v>
      </c>
      <c r="G102" s="447">
        <f t="shared" si="45"/>
        <v>48.937657283744059</v>
      </c>
      <c r="H102" s="447">
        <f t="shared" si="45"/>
        <v>51.954531231628309</v>
      </c>
      <c r="I102" s="447">
        <f t="shared" si="45"/>
        <v>54.015200393625364</v>
      </c>
      <c r="J102" s="447">
        <f t="shared" si="45"/>
        <v>56.076257629444186</v>
      </c>
      <c r="K102" s="447">
        <f t="shared" si="45"/>
        <v>58.261377195496706</v>
      </c>
      <c r="L102" s="447">
        <f t="shared" si="45"/>
        <v>60.190916585604946</v>
      </c>
      <c r="M102" s="447">
        <f t="shared" si="45"/>
        <v>61.939516382113467</v>
      </c>
      <c r="N102" s="447">
        <f t="shared" si="45"/>
        <v>63.695929793099722</v>
      </c>
      <c r="O102" s="320"/>
    </row>
    <row r="103" spans="1:15">
      <c r="B103" s="331" t="str">
        <f t="shared" si="33"/>
        <v>Total</v>
      </c>
      <c r="C103" s="447">
        <f>SUM(C93:C102)</f>
        <v>7964.741588636256</v>
      </c>
      <c r="D103" s="447">
        <f t="shared" ref="D103:N103" si="46">SUM(D93:D102)</f>
        <v>7839.4600441156699</v>
      </c>
      <c r="E103" s="447">
        <f t="shared" si="46"/>
        <v>7820.2867940225642</v>
      </c>
      <c r="F103" s="447">
        <f t="shared" si="46"/>
        <v>7856.2663482486723</v>
      </c>
      <c r="G103" s="447">
        <f t="shared" si="46"/>
        <v>7850.2180596277685</v>
      </c>
      <c r="H103" s="447">
        <f t="shared" si="46"/>
        <v>7826.2171561096529</v>
      </c>
      <c r="I103" s="447">
        <f t="shared" si="46"/>
        <v>7782.1713301154941</v>
      </c>
      <c r="J103" s="447">
        <f t="shared" si="46"/>
        <v>7783.0145014945319</v>
      </c>
      <c r="K103" s="447">
        <f t="shared" si="46"/>
        <v>7811.0023700437359</v>
      </c>
      <c r="L103" s="447">
        <f t="shared" si="46"/>
        <v>7807.221742602188</v>
      </c>
      <c r="M103" s="447">
        <f t="shared" si="46"/>
        <v>7781.2285113343451</v>
      </c>
      <c r="N103" s="447">
        <f t="shared" si="46"/>
        <v>7758.5948877286637</v>
      </c>
      <c r="O103" s="320"/>
    </row>
    <row r="104" spans="1:15">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5" ht="15.75">
      <c r="B106" s="333" t="s">
        <v>164</v>
      </c>
      <c r="H106" s="318"/>
    </row>
    <row r="107" spans="1:15">
      <c r="H107" s="318"/>
    </row>
    <row r="108" spans="1:15">
      <c r="B108" s="334" t="s">
        <v>46</v>
      </c>
      <c r="H108" s="318"/>
    </row>
    <row r="109" spans="1:15">
      <c r="H109" s="318"/>
    </row>
    <row r="110" spans="1:15">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5">
      <c r="B111" s="331" t="str">
        <f t="shared" si="48"/>
        <v>20-24</v>
      </c>
      <c r="C111" s="447">
        <f>C77*Group_3_rates!E74</f>
        <v>36.078503031674344</v>
      </c>
      <c r="D111" s="447">
        <f>D77*Group_3_rates!F74</f>
        <v>41.534692125620801</v>
      </c>
      <c r="E111" s="447">
        <f>E77*Group_3_rates!G74</f>
        <v>50.955557215913601</v>
      </c>
      <c r="F111" s="447">
        <f>F77*Group_3_rates!H74</f>
        <v>57.13134116537487</v>
      </c>
      <c r="G111" s="447">
        <f>G77*Group_3_rates!I74</f>
        <v>61.588269452340498</v>
      </c>
      <c r="H111" s="447">
        <f>H77*Group_3_rates!J74</f>
        <v>64.37405444956066</v>
      </c>
      <c r="I111" s="447">
        <f>I77*Group_3_rates!K74</f>
        <v>65.884375627119823</v>
      </c>
      <c r="J111" s="447">
        <f>J77*Group_3_rates!L74</f>
        <v>68.201769628879461</v>
      </c>
      <c r="K111" s="447">
        <f>K77*Group_3_rates!M74</f>
        <v>70.743705326586252</v>
      </c>
      <c r="L111" s="447">
        <f>L77*Group_3_rates!N74</f>
        <v>71.924849679559557</v>
      </c>
      <c r="M111" s="447">
        <f>M77*Group_3_rates!O74</f>
        <v>72.300247920854986</v>
      </c>
      <c r="N111" s="447">
        <f>N77*Group_3_rates!P74</f>
        <v>72.720976427547299</v>
      </c>
    </row>
    <row r="112" spans="1:15">
      <c r="B112" s="331" t="str">
        <f t="shared" si="48"/>
        <v>25-29</v>
      </c>
      <c r="C112" s="447">
        <f>C78*Group_3_rates!E75</f>
        <v>128.35090569542541</v>
      </c>
      <c r="D112" s="447">
        <f>D78*Group_3_rates!F75</f>
        <v>111.34268711278648</v>
      </c>
      <c r="E112" s="447">
        <f>E78*Group_3_rates!G75</f>
        <v>110.32685484616243</v>
      </c>
      <c r="F112" s="447">
        <f>F78*Group_3_rates!H75</f>
        <v>107.15271170520992</v>
      </c>
      <c r="G112" s="447">
        <f>G78*Group_3_rates!I75</f>
        <v>106.86022080680091</v>
      </c>
      <c r="H112" s="447">
        <f>H78*Group_3_rates!J75</f>
        <v>106.91373916924562</v>
      </c>
      <c r="I112" s="447">
        <f>I78*Group_3_rates!K75</f>
        <v>106.88785363272734</v>
      </c>
      <c r="J112" s="447">
        <f>J78*Group_3_rates!L75</f>
        <v>108.33015188077528</v>
      </c>
      <c r="K112" s="447">
        <f>K78*Group_3_rates!M75</f>
        <v>110.60461749554554</v>
      </c>
      <c r="L112" s="447">
        <f>L78*Group_3_rates!N75</f>
        <v>111.99661273507304</v>
      </c>
      <c r="M112" s="447">
        <f>M78*Group_3_rates!O75</f>
        <v>112.71304494053251</v>
      </c>
      <c r="N112" s="447">
        <f>N78*Group_3_rates!P75</f>
        <v>113.44016891392047</v>
      </c>
    </row>
    <row r="113" spans="1:19">
      <c r="B113" s="331" t="str">
        <f t="shared" si="48"/>
        <v>30-34</v>
      </c>
      <c r="C113" s="447">
        <f>C79*Group_3_rates!E76</f>
        <v>143.55451589205259</v>
      </c>
      <c r="D113" s="447">
        <f>D79*Group_3_rates!F76</f>
        <v>126.88801479272367</v>
      </c>
      <c r="E113" s="447">
        <f>E79*Group_3_rates!G76</f>
        <v>122.62842494608059</v>
      </c>
      <c r="F113" s="447">
        <f>F79*Group_3_rates!H76</f>
        <v>113.57150607665697</v>
      </c>
      <c r="G113" s="447">
        <f>G79*Group_3_rates!I76</f>
        <v>108.26701583366771</v>
      </c>
      <c r="H113" s="447">
        <f>H79*Group_3_rates!J76</f>
        <v>104.12652713204321</v>
      </c>
      <c r="I113" s="447">
        <f>I79*Group_3_rates!K76</f>
        <v>100.85435838570662</v>
      </c>
      <c r="J113" s="447">
        <f>J79*Group_3_rates!L76</f>
        <v>98.971316278831594</v>
      </c>
      <c r="K113" s="447">
        <f>K79*Group_3_rates!M76</f>
        <v>98.166098151867814</v>
      </c>
      <c r="L113" s="447">
        <f>L79*Group_3_rates!N76</f>
        <v>97.602405204554927</v>
      </c>
      <c r="M113" s="447">
        <f>M79*Group_3_rates!O76</f>
        <v>97.167612177752858</v>
      </c>
      <c r="N113" s="447">
        <f>N79*Group_3_rates!P76</f>
        <v>97.009171517333428</v>
      </c>
    </row>
    <row r="114" spans="1:19">
      <c r="B114" s="331" t="str">
        <f t="shared" si="48"/>
        <v>35-39</v>
      </c>
      <c r="C114" s="447">
        <f>C80*Group_3_rates!E77</f>
        <v>146.79364131627614</v>
      </c>
      <c r="D114" s="447">
        <f>D80*Group_3_rates!F77</f>
        <v>135.7391967837946</v>
      </c>
      <c r="E114" s="447">
        <f>E80*Group_3_rates!G77</f>
        <v>135.3397664559929</v>
      </c>
      <c r="F114" s="447">
        <f>F80*Group_3_rates!H77</f>
        <v>127.35078908100935</v>
      </c>
      <c r="G114" s="447">
        <f>G80*Group_3_rates!I77</f>
        <v>122.02805863861296</v>
      </c>
      <c r="H114" s="447">
        <f>H80*Group_3_rates!J77</f>
        <v>116.9826429789326</v>
      </c>
      <c r="I114" s="447">
        <f>I80*Group_3_rates!K77</f>
        <v>112.33049097726681</v>
      </c>
      <c r="J114" s="447">
        <f>J80*Group_3_rates!L77</f>
        <v>108.6299062934126</v>
      </c>
      <c r="K114" s="447">
        <f>K80*Group_3_rates!M77</f>
        <v>105.79442489217966</v>
      </c>
      <c r="L114" s="447">
        <f>L80*Group_3_rates!N77</f>
        <v>103.35867912128387</v>
      </c>
      <c r="M114" s="447">
        <f>M80*Group_3_rates!O77</f>
        <v>101.30945204216592</v>
      </c>
      <c r="N114" s="447">
        <f>N80*Group_3_rates!P77</f>
        <v>99.750492676866401</v>
      </c>
    </row>
    <row r="115" spans="1:19">
      <c r="B115" s="331" t="str">
        <f t="shared" si="48"/>
        <v>40-44</v>
      </c>
      <c r="C115" s="447">
        <f>C81*Group_3_rates!E78</f>
        <v>108.19699170552671</v>
      </c>
      <c r="D115" s="447">
        <f>D81*Group_3_rates!F78</f>
        <v>110.42554930309964</v>
      </c>
      <c r="E115" s="447">
        <f>E81*Group_3_rates!G78</f>
        <v>119.09934223622501</v>
      </c>
      <c r="F115" s="447">
        <f>F81*Group_3_rates!H78</f>
        <v>119.19638108071193</v>
      </c>
      <c r="G115" s="447">
        <f>G81*Group_3_rates!I78</f>
        <v>119.7982508178066</v>
      </c>
      <c r="H115" s="447">
        <f>H81*Group_3_rates!J78</f>
        <v>119.0539125332685</v>
      </c>
      <c r="I115" s="447">
        <f>I81*Group_3_rates!K78</f>
        <v>117.34730253389694</v>
      </c>
      <c r="J115" s="447">
        <f>J81*Group_3_rates!L78</f>
        <v>115.46918660615428</v>
      </c>
      <c r="K115" s="447">
        <f>K81*Group_3_rates!M78</f>
        <v>113.56803698896677</v>
      </c>
      <c r="L115" s="447">
        <f>L81*Group_3_rates!N78</f>
        <v>111.4203532253474</v>
      </c>
      <c r="M115" s="447">
        <f>M81*Group_3_rates!O78</f>
        <v>109.21382029959229</v>
      </c>
      <c r="N115" s="447">
        <f>N81*Group_3_rates!P78</f>
        <v>107.20759189375391</v>
      </c>
    </row>
    <row r="116" spans="1:19">
      <c r="B116" s="331" t="str">
        <f t="shared" si="48"/>
        <v>45-49</v>
      </c>
      <c r="C116" s="447">
        <f>C82*Group_3_rates!E79</f>
        <v>62.707125729856756</v>
      </c>
      <c r="D116" s="447">
        <f>D82*Group_3_rates!F79</f>
        <v>68.935978048599424</v>
      </c>
      <c r="E116" s="447">
        <f>E82*Group_3_rates!G79</f>
        <v>80.117859635441675</v>
      </c>
      <c r="F116" s="447">
        <f>F82*Group_3_rates!H79</f>
        <v>85.857455606346832</v>
      </c>
      <c r="G116" s="447">
        <f>G82*Group_3_rates!I79</f>
        <v>91.603274399966892</v>
      </c>
      <c r="H116" s="447">
        <f>H82*Group_3_rates!J79</f>
        <v>95.843355372730485</v>
      </c>
      <c r="I116" s="447">
        <f>I82*Group_3_rates!K79</f>
        <v>98.690390460591928</v>
      </c>
      <c r="J116" s="447">
        <f>J82*Group_3_rates!L79</f>
        <v>100.73065390448485</v>
      </c>
      <c r="K116" s="447">
        <f>K82*Group_3_rates!M79</f>
        <v>102.06517287093946</v>
      </c>
      <c r="L116" s="447">
        <f>L82*Group_3_rates!N79</f>
        <v>102.51896368279739</v>
      </c>
      <c r="M116" s="447">
        <f>M82*Group_3_rates!O79</f>
        <v>102.31538784783267</v>
      </c>
      <c r="N116" s="447">
        <f>N82*Group_3_rates!P79</f>
        <v>101.76428790785334</v>
      </c>
    </row>
    <row r="117" spans="1:19">
      <c r="B117" s="331" t="str">
        <f t="shared" si="48"/>
        <v>50-54</v>
      </c>
      <c r="C117" s="447">
        <f>C83*Group_3_rates!E80</f>
        <v>37.622469661484125</v>
      </c>
      <c r="D117" s="447">
        <f>D83*Group_3_rates!F80</f>
        <v>39.880407067113303</v>
      </c>
      <c r="E117" s="447">
        <f>E83*Group_3_rates!G80</f>
        <v>46.296346133547601</v>
      </c>
      <c r="F117" s="447">
        <f>F83*Group_3_rates!H80</f>
        <v>50.58816023862228</v>
      </c>
      <c r="G117" s="447">
        <f>G83*Group_3_rates!I80</f>
        <v>55.547570686110994</v>
      </c>
      <c r="H117" s="447">
        <f>H83*Group_3_rates!J80</f>
        <v>60.059538096173441</v>
      </c>
      <c r="I117" s="447">
        <f>I83*Group_3_rates!K80</f>
        <v>63.958941811355686</v>
      </c>
      <c r="J117" s="447">
        <f>J83*Group_3_rates!L80</f>
        <v>67.475036077806379</v>
      </c>
      <c r="K117" s="447">
        <f>K83*Group_3_rates!M80</f>
        <v>70.50869625265976</v>
      </c>
      <c r="L117" s="447">
        <f>L83*Group_3_rates!N80</f>
        <v>72.796115545935265</v>
      </c>
      <c r="M117" s="447">
        <f>M83*Group_3_rates!O80</f>
        <v>74.419550749618793</v>
      </c>
      <c r="N117" s="447">
        <f>N83*Group_3_rates!P80</f>
        <v>75.561570379295972</v>
      </c>
    </row>
    <row r="118" spans="1:19">
      <c r="B118" s="331" t="str">
        <f t="shared" si="48"/>
        <v>55-59</v>
      </c>
      <c r="C118" s="447">
        <f>C84*Group_3_rates!E81</f>
        <v>15.814940022172662</v>
      </c>
      <c r="D118" s="447">
        <f>D84*Group_3_rates!F81</f>
        <v>14.234212459662066</v>
      </c>
      <c r="E118" s="447">
        <f>E84*Group_3_rates!G81</f>
        <v>14.769390430657923</v>
      </c>
      <c r="F118" s="447">
        <f>F84*Group_3_rates!H81</f>
        <v>15.099965298053467</v>
      </c>
      <c r="G118" s="447">
        <f>G84*Group_3_rates!I81</f>
        <v>15.983646779193677</v>
      </c>
      <c r="H118" s="447">
        <f>H84*Group_3_rates!J81</f>
        <v>17.014452217870463</v>
      </c>
      <c r="I118" s="447">
        <f>I84*Group_3_rates!K81</f>
        <v>18.07950668090367</v>
      </c>
      <c r="J118" s="447">
        <f>J84*Group_3_rates!L81</f>
        <v>19.223579231075583</v>
      </c>
      <c r="K118" s="447">
        <f>K84*Group_3_rates!M81</f>
        <v>20.349995487556871</v>
      </c>
      <c r="L118" s="447">
        <f>L84*Group_3_rates!N81</f>
        <v>21.305196122963409</v>
      </c>
      <c r="M118" s="447">
        <f>M84*Group_3_rates!O81</f>
        <v>22.089405408016322</v>
      </c>
      <c r="N118" s="447">
        <f>N84*Group_3_rates!P81</f>
        <v>22.744677095631051</v>
      </c>
    </row>
    <row r="119" spans="1:19">
      <c r="B119" s="331" t="str">
        <f t="shared" si="48"/>
        <v>60-64</v>
      </c>
      <c r="C119" s="447">
        <f>C85*Group_3_rates!E82</f>
        <v>5.8685559563704812</v>
      </c>
      <c r="D119" s="447">
        <f>D85*Group_3_rates!F82</f>
        <v>6.0561371613308932</v>
      </c>
      <c r="E119" s="447">
        <f>E85*Group_3_rates!G82</f>
        <v>6.4598319096300507</v>
      </c>
      <c r="F119" s="447">
        <f>F85*Group_3_rates!H82</f>
        <v>6.4905673765496292</v>
      </c>
      <c r="G119" s="447">
        <f>G85*Group_3_rates!I82</f>
        <v>6.6463811547997231</v>
      </c>
      <c r="H119" s="447">
        <f>H85*Group_3_rates!J82</f>
        <v>6.8530820554180396</v>
      </c>
      <c r="I119" s="447">
        <f>I85*Group_3_rates!K82</f>
        <v>7.1052588285923655</v>
      </c>
      <c r="J119" s="447">
        <f>J85*Group_3_rates!L82</f>
        <v>7.4580549327653856</v>
      </c>
      <c r="K119" s="447">
        <f>K85*Group_3_rates!M82</f>
        <v>7.8605836906228843</v>
      </c>
      <c r="L119" s="447">
        <f>L85*Group_3_rates!N82</f>
        <v>8.2217568359309929</v>
      </c>
      <c r="M119" s="447">
        <f>M85*Group_3_rates!O82</f>
        <v>8.540701465306622</v>
      </c>
      <c r="N119" s="447">
        <f>N85*Group_3_rates!P82</f>
        <v>8.8364055989900994</v>
      </c>
    </row>
    <row r="120" spans="1:19">
      <c r="B120" s="331" t="str">
        <f t="shared" si="48"/>
        <v>65 plus</v>
      </c>
      <c r="C120" s="447">
        <f>C86*Group_3_rates!E83</f>
        <v>2.3512629471646154</v>
      </c>
      <c r="D120" s="447">
        <f>D86*Group_3_rates!F83</f>
        <v>3.1189442351750931</v>
      </c>
      <c r="E120" s="447">
        <f>E86*Group_3_rates!G83</f>
        <v>3.9571004278612687</v>
      </c>
      <c r="F120" s="447">
        <f>F86*Group_3_rates!H83</f>
        <v>4.3874492212436218</v>
      </c>
      <c r="G120" s="447">
        <f>G86*Group_3_rates!I83</f>
        <v>4.7137746343878959</v>
      </c>
      <c r="H120" s="447">
        <f>H86*Group_3_rates!J83</f>
        <v>4.9338108612934963</v>
      </c>
      <c r="I120" s="447">
        <f>I86*Group_3_rates!K83</f>
        <v>5.0979859875466076</v>
      </c>
      <c r="J120" s="447">
        <f>J86*Group_3_rates!L83</f>
        <v>5.2901957309129273</v>
      </c>
      <c r="K120" s="447">
        <f>K86*Group_3_rates!M83</f>
        <v>5.5109336723866482</v>
      </c>
      <c r="L120" s="447">
        <f>L86*Group_3_rates!N83</f>
        <v>5.7136940685189508</v>
      </c>
      <c r="M120" s="447">
        <f>M86*Group_3_rates!O83</f>
        <v>5.9011716212071148</v>
      </c>
      <c r="N120" s="447">
        <f>N86*Group_3_rates!P83</f>
        <v>6.0887606674503658</v>
      </c>
    </row>
    <row r="121" spans="1:19">
      <c r="B121" s="331" t="str">
        <f t="shared" si="48"/>
        <v>Total</v>
      </c>
      <c r="C121" s="447">
        <f>SUM(C111:C120)</f>
        <v>687.33891195800402</v>
      </c>
      <c r="D121" s="447">
        <f t="shared" ref="D121:N121" si="50">SUM(D111:D120)</f>
        <v>658.155819089906</v>
      </c>
      <c r="E121" s="447">
        <f t="shared" si="50"/>
        <v>689.95047423751294</v>
      </c>
      <c r="F121" s="447">
        <f t="shared" si="50"/>
        <v>686.82632684977887</v>
      </c>
      <c r="G121" s="447">
        <f t="shared" si="50"/>
        <v>693.03646320368796</v>
      </c>
      <c r="H121" s="447">
        <f t="shared" si="50"/>
        <v>696.15511486653656</v>
      </c>
      <c r="I121" s="447">
        <f t="shared" si="50"/>
        <v>696.23646492570788</v>
      </c>
      <c r="J121" s="447">
        <f t="shared" si="50"/>
        <v>699.77985056509851</v>
      </c>
      <c r="K121" s="447">
        <f t="shared" si="50"/>
        <v>705.17226482931164</v>
      </c>
      <c r="L121" s="447">
        <f t="shared" si="50"/>
        <v>706.85862622196487</v>
      </c>
      <c r="M121" s="447">
        <f t="shared" si="50"/>
        <v>705.97039447288012</v>
      </c>
      <c r="N121" s="447">
        <f t="shared" si="50"/>
        <v>705.12410307864241</v>
      </c>
    </row>
    <row r="122" spans="1:19">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9">
      <c r="B124" s="334" t="s">
        <v>47</v>
      </c>
      <c r="C124" s="322"/>
      <c r="D124" s="322"/>
      <c r="E124" s="322"/>
      <c r="F124" s="322"/>
      <c r="G124" s="322"/>
      <c r="H124" s="332"/>
      <c r="I124" s="322"/>
      <c r="J124" s="322"/>
      <c r="K124" s="322"/>
      <c r="L124" s="322"/>
    </row>
    <row r="125" spans="1:19">
      <c r="C125" s="322"/>
      <c r="D125" s="322"/>
      <c r="E125" s="322"/>
      <c r="F125" s="322"/>
      <c r="G125" s="322"/>
      <c r="H125" s="332"/>
      <c r="I125" s="322"/>
      <c r="J125" s="322"/>
      <c r="K125" s="322"/>
      <c r="L125" s="322"/>
    </row>
    <row r="126" spans="1:19">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9">
      <c r="B127" s="331" t="str">
        <f t="shared" si="52"/>
        <v>20-24</v>
      </c>
      <c r="C127" s="447">
        <f>C93*Group_3_rates!E89</f>
        <v>56.507131193926348</v>
      </c>
      <c r="D127" s="447">
        <f>D93*Group_3_rates!F89</f>
        <v>55.641950857627862</v>
      </c>
      <c r="E127" s="447">
        <f>E93*Group_3_rates!G89</f>
        <v>58.199087752039155</v>
      </c>
      <c r="F127" s="447">
        <f>F93*Group_3_rates!H89</f>
        <v>61.732989893058232</v>
      </c>
      <c r="G127" s="447">
        <f>G93*Group_3_rates!I89</f>
        <v>63.019183210854145</v>
      </c>
      <c r="H127" s="447">
        <f>H93*Group_3_rates!J89</f>
        <v>63.601775950674352</v>
      </c>
      <c r="I127" s="447">
        <f>I93*Group_3_rates!K89</f>
        <v>63.598524275415812</v>
      </c>
      <c r="J127" s="447">
        <f>J93*Group_3_rates!L89</f>
        <v>64.746218119251296</v>
      </c>
      <c r="K127" s="447">
        <f>K93*Group_3_rates!M89</f>
        <v>66.388513769279243</v>
      </c>
      <c r="L127" s="447">
        <f>L93*Group_3_rates!N89</f>
        <v>66.986209416798829</v>
      </c>
      <c r="M127" s="447">
        <f>M93*Group_3_rates!O89</f>
        <v>66.988574164583014</v>
      </c>
      <c r="N127" s="447">
        <f>N93*Group_3_rates!P89</f>
        <v>67.133715590828515</v>
      </c>
      <c r="O127" s="320"/>
      <c r="P127" s="320"/>
      <c r="Q127" s="320"/>
      <c r="R127" s="320"/>
      <c r="S127" s="320"/>
    </row>
    <row r="128" spans="1:19">
      <c r="B128" s="331" t="str">
        <f t="shared" si="52"/>
        <v>25-29</v>
      </c>
      <c r="C128" s="447">
        <f>C94*Group_3_rates!E90</f>
        <v>141.66185600480347</v>
      </c>
      <c r="D128" s="447">
        <f>D94*Group_3_rates!F90</f>
        <v>127.00038999738341</v>
      </c>
      <c r="E128" s="447">
        <f>E94*Group_3_rates!G90</f>
        <v>120.08094749407275</v>
      </c>
      <c r="F128" s="447">
        <f>F94*Group_3_rates!H90</f>
        <v>116.78748336621118</v>
      </c>
      <c r="G128" s="447">
        <f>G94*Group_3_rates!I90</f>
        <v>112.93917365740919</v>
      </c>
      <c r="H128" s="447">
        <f>H94*Group_3_rates!J90</f>
        <v>110.01134339647035</v>
      </c>
      <c r="I128" s="447">
        <f>I94*Group_3_rates!K90</f>
        <v>107.55804408699086</v>
      </c>
      <c r="J128" s="447">
        <f>J94*Group_3_rates!L90</f>
        <v>106.94969372206135</v>
      </c>
      <c r="K128" s="447">
        <f>K94*Group_3_rates!M90</f>
        <v>107.51718065812999</v>
      </c>
      <c r="L128" s="447">
        <f>L94*Group_3_rates!N90</f>
        <v>107.59272210032151</v>
      </c>
      <c r="M128" s="447">
        <f>M94*Group_3_rates!O90</f>
        <v>107.30746765930414</v>
      </c>
      <c r="N128" s="447">
        <f>N94*Group_3_rates!P90</f>
        <v>107.24701418811671</v>
      </c>
      <c r="O128" s="320"/>
      <c r="P128" s="320"/>
      <c r="Q128" s="320"/>
      <c r="R128" s="320"/>
      <c r="S128" s="320"/>
    </row>
    <row r="129" spans="1:19">
      <c r="B129" s="331" t="str">
        <f t="shared" si="52"/>
        <v>30-34</v>
      </c>
      <c r="C129" s="447">
        <f>C95*Group_3_rates!E91</f>
        <v>148.88311330624714</v>
      </c>
      <c r="D129" s="447">
        <f>D95*Group_3_rates!F91</f>
        <v>140.43483602689074</v>
      </c>
      <c r="E129" s="447">
        <f>E95*Group_3_rates!G91</f>
        <v>134.70619998649138</v>
      </c>
      <c r="F129" s="447">
        <f>F95*Group_3_rates!H91</f>
        <v>129.7179816122117</v>
      </c>
      <c r="G129" s="447">
        <f>G95*Group_3_rates!I91</f>
        <v>123.58104182814377</v>
      </c>
      <c r="H129" s="447">
        <f>H95*Group_3_rates!J91</f>
        <v>118.31208367954795</v>
      </c>
      <c r="I129" s="447">
        <f>I95*Group_3_rates!K91</f>
        <v>113.77543812123041</v>
      </c>
      <c r="J129" s="447">
        <f>J95*Group_3_rates!L91</f>
        <v>110.66792756653322</v>
      </c>
      <c r="K129" s="447">
        <f>K95*Group_3_rates!M91</f>
        <v>108.73094605271791</v>
      </c>
      <c r="L129" s="447">
        <f>L95*Group_3_rates!N91</f>
        <v>107.10666311564665</v>
      </c>
      <c r="M129" s="447">
        <f>M95*Group_3_rates!O91</f>
        <v>105.70817325653879</v>
      </c>
      <c r="N129" s="447">
        <f>N95*Group_3_rates!P91</f>
        <v>104.71307810896329</v>
      </c>
      <c r="O129" s="320"/>
      <c r="P129" s="320"/>
      <c r="Q129" s="320"/>
      <c r="R129" s="320"/>
      <c r="S129" s="320"/>
    </row>
    <row r="130" spans="1:19">
      <c r="B130" s="331" t="str">
        <f t="shared" si="52"/>
        <v>35-39</v>
      </c>
      <c r="C130" s="447">
        <f>C96*Group_3_rates!E92</f>
        <v>130.15292842559683</v>
      </c>
      <c r="D130" s="447">
        <f>D96*Group_3_rates!F92</f>
        <v>128.38981201087162</v>
      </c>
      <c r="E130" s="447">
        <f>E96*Group_3_rates!G92</f>
        <v>127.8382234378129</v>
      </c>
      <c r="F130" s="447">
        <f>F96*Group_3_rates!H92</f>
        <v>126.42064357139522</v>
      </c>
      <c r="G130" s="447">
        <f>G96*Group_3_rates!I92</f>
        <v>122.63653298227287</v>
      </c>
      <c r="H130" s="447">
        <f>H96*Group_3_rates!J92</f>
        <v>118.65289365428617</v>
      </c>
      <c r="I130" s="447">
        <f>I96*Group_3_rates!K92</f>
        <v>114.64674607358749</v>
      </c>
      <c r="J130" s="447">
        <f>J96*Group_3_rates!L92</f>
        <v>111.2813055457402</v>
      </c>
      <c r="K130" s="447">
        <f>K96*Group_3_rates!M92</f>
        <v>108.53540013950442</v>
      </c>
      <c r="L130" s="447">
        <f>L96*Group_3_rates!N92</f>
        <v>105.98427444585259</v>
      </c>
      <c r="M130" s="447">
        <f>M96*Group_3_rates!O92</f>
        <v>103.67902476639759</v>
      </c>
      <c r="N130" s="447">
        <f>N96*Group_3_rates!P92</f>
        <v>101.78393465319388</v>
      </c>
      <c r="O130" s="320"/>
      <c r="P130" s="320"/>
      <c r="Q130" s="320"/>
      <c r="R130" s="320"/>
      <c r="S130" s="320"/>
    </row>
    <row r="131" spans="1:19">
      <c r="B131" s="331" t="str">
        <f t="shared" si="52"/>
        <v>40-44</v>
      </c>
      <c r="C131" s="447">
        <f>C97*Group_3_rates!E93</f>
        <v>83.936064134209985</v>
      </c>
      <c r="D131" s="447">
        <f>D97*Group_3_rates!F93</f>
        <v>90.800859049907828</v>
      </c>
      <c r="E131" s="447">
        <f>E97*Group_3_rates!G93</f>
        <v>97.346330732119597</v>
      </c>
      <c r="F131" s="447">
        <f>F97*Group_3_rates!H93</f>
        <v>102.18908504741077</v>
      </c>
      <c r="G131" s="447">
        <f>G97*Group_3_rates!I93</f>
        <v>103.97967914244994</v>
      </c>
      <c r="H131" s="447">
        <f>H97*Group_3_rates!J93</f>
        <v>104.50145551620064</v>
      </c>
      <c r="I131" s="447">
        <f>I97*Group_3_rates!K93</f>
        <v>104.02923930061712</v>
      </c>
      <c r="J131" s="447">
        <f>J97*Group_3_rates!L93</f>
        <v>103.2647165798864</v>
      </c>
      <c r="K131" s="447">
        <f>K97*Group_3_rates!M93</f>
        <v>102.31546659327934</v>
      </c>
      <c r="L131" s="447">
        <f>L97*Group_3_rates!N93</f>
        <v>100.95218756128835</v>
      </c>
      <c r="M131" s="447">
        <f>M97*Group_3_rates!O93</f>
        <v>99.360500715499697</v>
      </c>
      <c r="N131" s="447">
        <f>N97*Group_3_rates!P93</f>
        <v>97.805342832950586</v>
      </c>
      <c r="O131" s="320"/>
      <c r="P131" s="320"/>
      <c r="Q131" s="320"/>
      <c r="R131" s="320"/>
      <c r="S131" s="320"/>
    </row>
    <row r="132" spans="1:19">
      <c r="B132" s="331" t="str">
        <f t="shared" si="52"/>
        <v>45-49</v>
      </c>
      <c r="C132" s="447">
        <f>C98*Group_3_rates!E94</f>
        <v>50.542654278767181</v>
      </c>
      <c r="D132" s="447">
        <f>D98*Group_3_rates!F94</f>
        <v>58.365271500896057</v>
      </c>
      <c r="E132" s="447">
        <f>E98*Group_3_rates!G94</f>
        <v>66.905213291811108</v>
      </c>
      <c r="F132" s="447">
        <f>F98*Group_3_rates!H94</f>
        <v>74.727253679545427</v>
      </c>
      <c r="G132" s="447">
        <f>G98*Group_3_rates!I94</f>
        <v>80.275816098518106</v>
      </c>
      <c r="H132" s="447">
        <f>H98*Group_3_rates!J94</f>
        <v>84.586547485825605</v>
      </c>
      <c r="I132" s="447">
        <f>I98*Group_3_rates!K94</f>
        <v>87.714996636515721</v>
      </c>
      <c r="J132" s="447">
        <f>J98*Group_3_rates!L94</f>
        <v>90.185521875068574</v>
      </c>
      <c r="K132" s="447">
        <f>K98*Group_3_rates!M94</f>
        <v>92.037171670486543</v>
      </c>
      <c r="L132" s="447">
        <f>L98*Group_3_rates!N94</f>
        <v>93.041783158710828</v>
      </c>
      <c r="M132" s="447">
        <f>M98*Group_3_rates!O94</f>
        <v>93.382770870066636</v>
      </c>
      <c r="N132" s="447">
        <f>N98*Group_3_rates!P94</f>
        <v>93.340474663279579</v>
      </c>
      <c r="O132" s="320"/>
      <c r="P132" s="320"/>
      <c r="Q132" s="320"/>
      <c r="R132" s="320"/>
      <c r="S132" s="320"/>
    </row>
    <row r="133" spans="1:19">
      <c r="B133" s="331" t="str">
        <f t="shared" si="52"/>
        <v>50-54</v>
      </c>
      <c r="C133" s="447">
        <f>C99*Group_3_rates!E95</f>
        <v>33.880075083671322</v>
      </c>
      <c r="D133" s="447">
        <f>D99*Group_3_rates!F95</f>
        <v>36.272546292526798</v>
      </c>
      <c r="E133" s="447">
        <f>E99*Group_3_rates!G95</f>
        <v>40.325707735395838</v>
      </c>
      <c r="F133" s="447">
        <f>F99*Group_3_rates!H95</f>
        <v>44.961233410573492</v>
      </c>
      <c r="G133" s="447">
        <f>G99*Group_3_rates!I95</f>
        <v>48.949428942225019</v>
      </c>
      <c r="H133" s="447">
        <f>H99*Group_3_rates!J95</f>
        <v>52.699898180483537</v>
      </c>
      <c r="I133" s="447">
        <f>I99*Group_3_rates!K95</f>
        <v>56.043002387566283</v>
      </c>
      <c r="J133" s="447">
        <f>J99*Group_3_rates!L95</f>
        <v>59.188282399686472</v>
      </c>
      <c r="K133" s="447">
        <f>K99*Group_3_rates!M95</f>
        <v>62.015035011433682</v>
      </c>
      <c r="L133" s="447">
        <f>L99*Group_3_rates!N95</f>
        <v>64.236822379813702</v>
      </c>
      <c r="M133" s="447">
        <f>M99*Group_3_rates!O95</f>
        <v>65.906234203557418</v>
      </c>
      <c r="N133" s="447">
        <f>N99*Group_3_rates!P95</f>
        <v>67.174831108433892</v>
      </c>
      <c r="O133" s="320"/>
      <c r="P133" s="320"/>
      <c r="Q133" s="320"/>
      <c r="R133" s="320"/>
      <c r="S133" s="320"/>
    </row>
    <row r="134" spans="1:19">
      <c r="B134" s="331" t="str">
        <f t="shared" si="52"/>
        <v>55-59</v>
      </c>
      <c r="C134" s="447">
        <f>C100*Group_3_rates!E96</f>
        <v>16.957245371749135</v>
      </c>
      <c r="D134" s="447">
        <f>D100*Group_3_rates!F96</f>
        <v>15.797431604563194</v>
      </c>
      <c r="E134" s="447">
        <f>E100*Group_3_rates!G96</f>
        <v>15.775214804028513</v>
      </c>
      <c r="F134" s="447">
        <f>F100*Group_3_rates!H96</f>
        <v>16.35090883500278</v>
      </c>
      <c r="G134" s="447">
        <f>G100*Group_3_rates!I96</f>
        <v>16.999991807758413</v>
      </c>
      <c r="H134" s="447">
        <f>H100*Group_3_rates!J96</f>
        <v>17.841654706628926</v>
      </c>
      <c r="I134" s="447">
        <f>I100*Group_3_rates!K96</f>
        <v>18.763610136051692</v>
      </c>
      <c r="J134" s="447">
        <f>J100*Group_3_rates!L96</f>
        <v>19.822672514935707</v>
      </c>
      <c r="K134" s="447">
        <f>K100*Group_3_rates!M96</f>
        <v>20.913529517128456</v>
      </c>
      <c r="L134" s="447">
        <f>L100*Group_3_rates!N96</f>
        <v>21.863400568879765</v>
      </c>
      <c r="M134" s="447">
        <f>M100*Group_3_rates!O96</f>
        <v>22.6677801905603</v>
      </c>
      <c r="N134" s="447">
        <f>N100*Group_3_rates!P96</f>
        <v>23.367259819519873</v>
      </c>
      <c r="O134" s="320"/>
      <c r="P134" s="320"/>
      <c r="Q134" s="320"/>
      <c r="R134" s="320"/>
      <c r="S134" s="320"/>
    </row>
    <row r="135" spans="1:19">
      <c r="B135" s="331" t="str">
        <f t="shared" si="52"/>
        <v>60-64</v>
      </c>
      <c r="C135" s="447">
        <f>C101*Group_3_rates!E97</f>
        <v>4.6875029758459279</v>
      </c>
      <c r="D135" s="447">
        <f>D101*Group_3_rates!F97</f>
        <v>5.2119927257920597</v>
      </c>
      <c r="E135" s="447">
        <f>E101*Group_3_rates!G97</f>
        <v>5.4969017401309408</v>
      </c>
      <c r="F135" s="447">
        <f>F101*Group_3_rates!H97</f>
        <v>5.6963072325123978</v>
      </c>
      <c r="G135" s="447">
        <f>G101*Group_3_rates!I97</f>
        <v>5.7802451630202265</v>
      </c>
      <c r="H135" s="447">
        <f>H101*Group_3_rates!J97</f>
        <v>5.8926426171622044</v>
      </c>
      <c r="I135" s="447">
        <f>I101*Group_3_rates!K97</f>
        <v>6.0403906956792239</v>
      </c>
      <c r="J135" s="447">
        <f>J101*Group_3_rates!L97</f>
        <v>6.2795426438829187</v>
      </c>
      <c r="K135" s="447">
        <f>K101*Group_3_rates!M97</f>
        <v>6.5700920518268857</v>
      </c>
      <c r="L135" s="447">
        <f>L101*Group_3_rates!N97</f>
        <v>6.834686603067933</v>
      </c>
      <c r="M135" s="447">
        <f>M101*Group_3_rates!O97</f>
        <v>7.073728970987494</v>
      </c>
      <c r="N135" s="447">
        <f>N101*Group_3_rates!P97</f>
        <v>7.3039025456078797</v>
      </c>
      <c r="O135" s="320"/>
      <c r="P135" s="320"/>
      <c r="Q135" s="320"/>
      <c r="R135" s="320"/>
      <c r="S135" s="320"/>
    </row>
    <row r="136" spans="1:19">
      <c r="B136" s="331" t="str">
        <f t="shared" si="52"/>
        <v>65 plus</v>
      </c>
      <c r="C136" s="447">
        <f>C102*Group_3_rates!E98</f>
        <v>1.2225948856783919</v>
      </c>
      <c r="D136" s="447">
        <f>D102*Group_3_rates!F98</f>
        <v>2.1256067139358925</v>
      </c>
      <c r="E136" s="447">
        <f>E102*Group_3_rates!G98</f>
        <v>2.9078405631578734</v>
      </c>
      <c r="F136" s="447">
        <f>F102*Group_3_rates!H98</f>
        <v>3.5071760767608935</v>
      </c>
      <c r="G136" s="447">
        <f>G102*Group_3_rates!I98</f>
        <v>3.8698314208804989</v>
      </c>
      <c r="H136" s="447">
        <f>H102*Group_3_rates!J98</f>
        <v>4.1083960405284516</v>
      </c>
      <c r="I136" s="447">
        <f>I102*Group_3_rates!K98</f>
        <v>4.2713470830129596</v>
      </c>
      <c r="J136" s="447">
        <f>J102*Group_3_rates!L98</f>
        <v>4.4343288131182588</v>
      </c>
      <c r="K136" s="447">
        <f>K102*Group_3_rates!M98</f>
        <v>4.6071209904401531</v>
      </c>
      <c r="L136" s="447">
        <f>L102*Group_3_rates!N98</f>
        <v>4.7597027153145843</v>
      </c>
      <c r="M136" s="447">
        <f>M102*Group_3_rates!O98</f>
        <v>4.8979763232202433</v>
      </c>
      <c r="N136" s="447">
        <f>N102*Group_3_rates!P98</f>
        <v>5.0368678064492194</v>
      </c>
      <c r="O136" s="320"/>
      <c r="P136" s="320"/>
      <c r="Q136" s="320"/>
      <c r="R136" s="320"/>
      <c r="S136" s="320"/>
    </row>
    <row r="137" spans="1:19">
      <c r="B137" s="331" t="str">
        <f t="shared" si="52"/>
        <v>Total</v>
      </c>
      <c r="C137" s="447">
        <f>SUM(C127:C136)</f>
        <v>668.43116566049559</v>
      </c>
      <c r="D137" s="447">
        <f t="shared" ref="D137:N137" si="54">SUM(D127:D136)</f>
        <v>660.04069678039536</v>
      </c>
      <c r="E137" s="447">
        <f t="shared" si="54"/>
        <v>669.58166753706007</v>
      </c>
      <c r="F137" s="447">
        <f t="shared" si="54"/>
        <v>682.09106272468205</v>
      </c>
      <c r="G137" s="447">
        <f t="shared" si="54"/>
        <v>682.03092425353225</v>
      </c>
      <c r="H137" s="447">
        <f t="shared" si="54"/>
        <v>680.20869122780812</v>
      </c>
      <c r="I137" s="447">
        <f t="shared" si="54"/>
        <v>676.44133879666765</v>
      </c>
      <c r="J137" s="447">
        <f t="shared" si="54"/>
        <v>676.8202097801643</v>
      </c>
      <c r="K137" s="447">
        <f t="shared" si="54"/>
        <v>679.63045645422676</v>
      </c>
      <c r="L137" s="447">
        <f t="shared" si="54"/>
        <v>679.35845206569468</v>
      </c>
      <c r="M137" s="447">
        <f t="shared" si="54"/>
        <v>676.97223112071549</v>
      </c>
      <c r="N137" s="447">
        <f t="shared" si="54"/>
        <v>674.90642131734342</v>
      </c>
      <c r="O137" s="320"/>
      <c r="P137" s="320"/>
      <c r="Q137" s="320"/>
      <c r="R137" s="320"/>
      <c r="S137" s="320"/>
    </row>
    <row r="138" spans="1:19">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9" ht="15.75">
      <c r="B140" s="333" t="s">
        <v>165</v>
      </c>
      <c r="H140" s="318"/>
    </row>
    <row r="141" spans="1:19">
      <c r="H141" s="318"/>
    </row>
    <row r="142" spans="1:19">
      <c r="B142" s="334" t="s">
        <v>46</v>
      </c>
      <c r="H142" s="318"/>
    </row>
    <row r="143" spans="1:19">
      <c r="H143" s="318"/>
    </row>
    <row r="144" spans="1:19">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0.27640392580495737</v>
      </c>
      <c r="D147" s="447">
        <f>D79*Calc_SEC_retirement_rates!$G126</f>
        <v>0.25342556691998597</v>
      </c>
      <c r="E147" s="447">
        <f>E79*Calc_SEC_retirement_rates!$G126</f>
        <v>0.23605952149763121</v>
      </c>
      <c r="F147" s="447">
        <f>F79*Calc_SEC_retirement_rates!$G126</f>
        <v>0.22280877635048821</v>
      </c>
      <c r="G147" s="447">
        <f>G79*Calc_SEC_retirement_rates!$G126</f>
        <v>0.2124022314253394</v>
      </c>
      <c r="H147" s="447">
        <f>H79*Calc_SEC_retirement_rates!$G126</f>
        <v>0.20427926772633467</v>
      </c>
      <c r="I147" s="447">
        <f>I79*Calc_SEC_retirement_rates!$G126</f>
        <v>0.19785980619439486</v>
      </c>
      <c r="J147" s="447">
        <f>J79*Calc_SEC_retirement_rates!$G126</f>
        <v>0.1941655846229553</v>
      </c>
      <c r="K147" s="447">
        <f>K79*Calc_SEC_retirement_rates!$G126</f>
        <v>0.19258587795389925</v>
      </c>
      <c r="L147" s="447">
        <f>L79*Calc_SEC_retirement_rates!$G126</f>
        <v>0.19148000430506859</v>
      </c>
      <c r="M147" s="447">
        <f>M79*Calc_SEC_retirement_rates!$G126</f>
        <v>0.19062701128231072</v>
      </c>
      <c r="N147" s="447">
        <f>N79*Calc_SEC_retirement_rates!$G126</f>
        <v>0.19031617654134683</v>
      </c>
    </row>
    <row r="148" spans="1:14">
      <c r="B148" s="331" t="str">
        <f t="shared" si="56"/>
        <v>35-39</v>
      </c>
      <c r="C148" s="447">
        <f>C80*Calc_SEC_retirement_rates!$G127</f>
        <v>0.60959322142689687</v>
      </c>
      <c r="D148" s="447">
        <f>D80*Calc_SEC_retirement_rates!$G127</f>
        <v>0.58471015464781373</v>
      </c>
      <c r="E148" s="447">
        <f>E80*Calc_SEC_retirement_rates!$G127</f>
        <v>0.56190297613756779</v>
      </c>
      <c r="F148" s="447">
        <f>F80*Calc_SEC_retirement_rates!$G127</f>
        <v>0.53885272829899022</v>
      </c>
      <c r="G148" s="447">
        <f>G80*Calc_SEC_retirement_rates!$G127</f>
        <v>0.51633093756975557</v>
      </c>
      <c r="H148" s="447">
        <f>H80*Calc_SEC_retirement_rates!$G127</f>
        <v>0.49498253436597339</v>
      </c>
      <c r="I148" s="447">
        <f>I80*Calc_SEC_retirement_rates!$G127</f>
        <v>0.47529812709493091</v>
      </c>
      <c r="J148" s="447">
        <f>J80*Calc_SEC_retirement_rates!$G127</f>
        <v>0.45964003681071725</v>
      </c>
      <c r="K148" s="447">
        <f>K80*Calc_SEC_retirement_rates!$G127</f>
        <v>0.4476424127667587</v>
      </c>
      <c r="L148" s="447">
        <f>L80*Calc_SEC_retirement_rates!$G127</f>
        <v>0.43733616917328533</v>
      </c>
      <c r="M148" s="447">
        <f>M80*Calc_SEC_retirement_rates!$G127</f>
        <v>0.4286653818899458</v>
      </c>
      <c r="N148" s="447">
        <f>N80*Calc_SEC_retirement_rates!$G127</f>
        <v>0.42206903872347712</v>
      </c>
    </row>
    <row r="149" spans="1:14">
      <c r="B149" s="331" t="str">
        <f t="shared" si="56"/>
        <v>40-44</v>
      </c>
      <c r="C149" s="447">
        <f>C81*Calc_SEC_retirement_rates!$G128</f>
        <v>0.81041918245944078</v>
      </c>
      <c r="D149" s="447">
        <f>D81*Calc_SEC_retirement_rates!$G128</f>
        <v>0.8579590711381766</v>
      </c>
      <c r="E149" s="447">
        <f>E81*Calc_SEC_retirement_rates!$G128</f>
        <v>0.89188100254818525</v>
      </c>
      <c r="F149" s="447">
        <f>F81*Calc_SEC_retirement_rates!$G128</f>
        <v>0.90968944696471898</v>
      </c>
      <c r="G149" s="447">
        <f>G81*Calc_SEC_retirement_rates!$G128</f>
        <v>0.91428282927480531</v>
      </c>
      <c r="H149" s="447">
        <f>H81*Calc_SEC_retirement_rates!$G128</f>
        <v>0.90860214772829395</v>
      </c>
      <c r="I149" s="447">
        <f>I81*Calc_SEC_retirement_rates!$G128</f>
        <v>0.8955775483869638</v>
      </c>
      <c r="J149" s="447">
        <f>J81*Calc_SEC_retirement_rates!$G128</f>
        <v>0.88124404074056173</v>
      </c>
      <c r="K149" s="447">
        <f>K81*Calc_SEC_retirement_rates!$G128</f>
        <v>0.86673474332585732</v>
      </c>
      <c r="L149" s="447">
        <f>L81*Calc_SEC_retirement_rates!$G128</f>
        <v>0.85034393315638523</v>
      </c>
      <c r="M149" s="447">
        <f>M81*Calc_SEC_retirement_rates!$G128</f>
        <v>0.8335039947392916</v>
      </c>
      <c r="N149" s="447">
        <f>N81*Calc_SEC_retirement_rates!$G128</f>
        <v>0.81819275129007796</v>
      </c>
    </row>
    <row r="150" spans="1:14">
      <c r="B150" s="331" t="str">
        <f t="shared" si="56"/>
        <v>45-49</v>
      </c>
      <c r="C150" s="447">
        <f>C82*Calc_SEC_retirement_rates!$G129</f>
        <v>0.94767630907418177</v>
      </c>
      <c r="D150" s="447">
        <f>D82*Calc_SEC_retirement_rates!$G129</f>
        <v>1.0806661460414291</v>
      </c>
      <c r="E150" s="447">
        <f>E82*Calc_SEC_retirement_rates!$G129</f>
        <v>1.2105298186654141</v>
      </c>
      <c r="F150" s="447">
        <f>F82*Calc_SEC_retirement_rates!$G129</f>
        <v>1.3220768585234073</v>
      </c>
      <c r="G150" s="447">
        <f>G82*Calc_SEC_retirement_rates!$G129</f>
        <v>1.4105539046537192</v>
      </c>
      <c r="H150" s="447">
        <f>H82*Calc_SEC_retirement_rates!$G129</f>
        <v>1.4758448324219278</v>
      </c>
      <c r="I150" s="447">
        <f>I82*Calc_SEC_retirement_rates!$G129</f>
        <v>1.5196849296910986</v>
      </c>
      <c r="J150" s="447">
        <f>J82*Calc_SEC_retirement_rates!$G129</f>
        <v>1.5511019460167341</v>
      </c>
      <c r="K150" s="447">
        <f>K82*Calc_SEC_retirement_rates!$G129</f>
        <v>1.5716515491973784</v>
      </c>
      <c r="L150" s="447">
        <f>L82*Calc_SEC_retirement_rates!$G129</f>
        <v>1.5786392513920329</v>
      </c>
      <c r="M150" s="447">
        <f>M82*Calc_SEC_retirement_rates!$G129</f>
        <v>1.57550448693319</v>
      </c>
      <c r="N150" s="447">
        <f>N82*Calc_SEC_retirement_rates!$G129</f>
        <v>1.5670183691903015</v>
      </c>
    </row>
    <row r="151" spans="1:14">
      <c r="B151" s="331" t="str">
        <f t="shared" si="56"/>
        <v>50-54</v>
      </c>
      <c r="C151" s="447">
        <f>C83*Calc_SEC_retirement_rates!$G130</f>
        <v>12.592609565352721</v>
      </c>
      <c r="D151" s="447">
        <f>D83*Calc_SEC_retirement_rates!$G130</f>
        <v>13.846196669441415</v>
      </c>
      <c r="E151" s="447">
        <f>E83*Calc_SEC_retirement_rates!$G130</f>
        <v>15.492381326421071</v>
      </c>
      <c r="F151" s="447">
        <f>F83*Calc_SEC_retirement_rates!$G130</f>
        <v>17.25253366284284</v>
      </c>
      <c r="G151" s="447">
        <f>G83*Calc_SEC_retirement_rates!$G130</f>
        <v>18.943885854532734</v>
      </c>
      <c r="H151" s="447">
        <f>H83*Calc_SEC_retirement_rates!$G130</f>
        <v>20.482642537135355</v>
      </c>
      <c r="I151" s="447">
        <f>I83*Calc_SEC_retirement_rates!$G130</f>
        <v>21.812491133009662</v>
      </c>
      <c r="J151" s="447">
        <f>J83*Calc_SEC_retirement_rates!$G130</f>
        <v>23.011616272321536</v>
      </c>
      <c r="K151" s="447">
        <f>K83*Calc_SEC_retirement_rates!$G130</f>
        <v>24.046212589748496</v>
      </c>
      <c r="L151" s="447">
        <f>L83*Calc_SEC_retirement_rates!$G130</f>
        <v>24.826311691437958</v>
      </c>
      <c r="M151" s="447">
        <f>M83*Calc_SEC_retirement_rates!$G130</f>
        <v>25.379966348355303</v>
      </c>
      <c r="N151" s="447">
        <f>N83*Calc_SEC_retirement_rates!$G130</f>
        <v>25.769439537569852</v>
      </c>
    </row>
    <row r="152" spans="1:14">
      <c r="B152" s="331" t="str">
        <f t="shared" si="56"/>
        <v>55-59</v>
      </c>
      <c r="C152" s="447">
        <f>C84*Calc_SEC_retirement_rates!$G131</f>
        <v>60.770552061796479</v>
      </c>
      <c r="D152" s="447">
        <f>D84*Calc_SEC_retirement_rates!$G131</f>
        <v>56.736370774876413</v>
      </c>
      <c r="E152" s="447">
        <f>E84*Calc_SEC_retirement_rates!$G131</f>
        <v>56.740247763050725</v>
      </c>
      <c r="F152" s="447">
        <f>F84*Calc_SEC_retirement_rates!$G131</f>
        <v>59.120369814979611</v>
      </c>
      <c r="G152" s="447">
        <f>G84*Calc_SEC_retirement_rates!$G131</f>
        <v>62.580217233992741</v>
      </c>
      <c r="H152" s="447">
        <f>H84*Calc_SEC_retirement_rates!$G131</f>
        <v>66.616093975359817</v>
      </c>
      <c r="I152" s="447">
        <f>I84*Calc_SEC_retirement_rates!$G131</f>
        <v>70.786064732559808</v>
      </c>
      <c r="J152" s="447">
        <f>J84*Calc_SEC_retirement_rates!$G131</f>
        <v>75.265412262586878</v>
      </c>
      <c r="K152" s="447">
        <f>K84*Calc_SEC_retirement_rates!$G131</f>
        <v>79.675630719007003</v>
      </c>
      <c r="L152" s="447">
        <f>L84*Calc_SEC_retirement_rates!$G131</f>
        <v>83.415494599357629</v>
      </c>
      <c r="M152" s="447">
        <f>M84*Calc_SEC_retirement_rates!$G131</f>
        <v>86.485881983005825</v>
      </c>
      <c r="N152" s="447">
        <f>N84*Calc_SEC_retirement_rates!$G131</f>
        <v>89.051444468507867</v>
      </c>
    </row>
    <row r="153" spans="1:14">
      <c r="B153" s="331" t="str">
        <f t="shared" si="56"/>
        <v>60-64</v>
      </c>
      <c r="C153" s="447">
        <f>C85*Calc_SEC_retirement_rates!$G132</f>
        <v>32.973813676290057</v>
      </c>
      <c r="D153" s="447">
        <f>D85*Calc_SEC_retirement_rates!$G132</f>
        <v>35.296862902696802</v>
      </c>
      <c r="E153" s="447">
        <f>E85*Calc_SEC_retirement_rates!$G132</f>
        <v>36.28792800261219</v>
      </c>
      <c r="F153" s="447">
        <f>F85*Calc_SEC_retirement_rates!$G132</f>
        <v>37.158327023837096</v>
      </c>
      <c r="G153" s="447">
        <f>G85*Calc_SEC_retirement_rates!$G132</f>
        <v>38.050356794293684</v>
      </c>
      <c r="H153" s="447">
        <f>H85*Calc_SEC_retirement_rates!$G132</f>
        <v>39.233713998017848</v>
      </c>
      <c r="I153" s="447">
        <f>I85*Calc_SEC_retirement_rates!$G132</f>
        <v>40.677419372571549</v>
      </c>
      <c r="J153" s="447">
        <f>J85*Calc_SEC_retirement_rates!$G132</f>
        <v>42.697167762975852</v>
      </c>
      <c r="K153" s="447">
        <f>K85*Calc_SEC_retirement_rates!$G132</f>
        <v>45.001634283885636</v>
      </c>
      <c r="L153" s="447">
        <f>L85*Calc_SEC_retirement_rates!$G132</f>
        <v>47.06934101382037</v>
      </c>
      <c r="M153" s="447">
        <f>M85*Calc_SEC_retirement_rates!$G132</f>
        <v>48.895290603937148</v>
      </c>
      <c r="N153" s="447">
        <f>N85*Calc_SEC_retirement_rates!$G132</f>
        <v>50.588188969249586</v>
      </c>
    </row>
    <row r="154" spans="1:14">
      <c r="B154" s="331" t="str">
        <f t="shared" si="56"/>
        <v>65 plus</v>
      </c>
      <c r="C154" s="447">
        <f>C86*Calc_SEC_retirement_rates!$G133</f>
        <v>7.7180577233690393</v>
      </c>
      <c r="D154" s="447">
        <f>D86*Calc_SEC_retirement_rates!$G133</f>
        <v>10.619813942673609</v>
      </c>
      <c r="E154" s="447">
        <f>E86*Calc_SEC_retirement_rates!$G133</f>
        <v>12.986344479565261</v>
      </c>
      <c r="F154" s="447">
        <f>F86*Calc_SEC_retirement_rates!$G133</f>
        <v>14.674201753594931</v>
      </c>
      <c r="G154" s="447">
        <f>G86*Calc_SEC_retirement_rates!$G133</f>
        <v>15.765625199960651</v>
      </c>
      <c r="H154" s="447">
        <f>H86*Calc_SEC_retirement_rates!$G133</f>
        <v>16.501555309665111</v>
      </c>
      <c r="I154" s="447">
        <f>I86*Calc_SEC_retirement_rates!$G133</f>
        <v>17.050653157657344</v>
      </c>
      <c r="J154" s="447">
        <f>J86*Calc_SEC_retirement_rates!$G133</f>
        <v>17.693515196836593</v>
      </c>
      <c r="K154" s="447">
        <f>K86*Calc_SEC_retirement_rates!$G133</f>
        <v>18.431792251343559</v>
      </c>
      <c r="L154" s="447">
        <f>L86*Calc_SEC_retirement_rates!$G133</f>
        <v>19.109941857287229</v>
      </c>
      <c r="M154" s="447">
        <f>M86*Calc_SEC_retirement_rates!$G133</f>
        <v>19.736976677222206</v>
      </c>
      <c r="N154" s="447">
        <f>N86*Calc_SEC_retirement_rates!$G133</f>
        <v>20.364384396953636</v>
      </c>
    </row>
    <row r="155" spans="1:14">
      <c r="B155" s="331" t="str">
        <f t="shared" si="56"/>
        <v>Total</v>
      </c>
      <c r="C155" s="447">
        <f>SUM(C145:C154)</f>
        <v>116.69912566557377</v>
      </c>
      <c r="D155" s="447">
        <f t="shared" ref="D155:N155" si="58">SUM(D145:D154)</f>
        <v>119.27600522843565</v>
      </c>
      <c r="E155" s="447">
        <f t="shared" si="58"/>
        <v>124.40727489049804</v>
      </c>
      <c r="F155" s="447">
        <f t="shared" si="58"/>
        <v>131.19886006539207</v>
      </c>
      <c r="G155" s="447">
        <f t="shared" si="58"/>
        <v>138.39365498570342</v>
      </c>
      <c r="H155" s="447">
        <f t="shared" si="58"/>
        <v>145.91771460242066</v>
      </c>
      <c r="I155" s="447">
        <f t="shared" si="58"/>
        <v>153.41504880716576</v>
      </c>
      <c r="J155" s="447">
        <f t="shared" si="58"/>
        <v>161.75386310291182</v>
      </c>
      <c r="K155" s="447">
        <f t="shared" si="58"/>
        <v>170.23388442722859</v>
      </c>
      <c r="L155" s="447">
        <f t="shared" si="58"/>
        <v>177.47888851992997</v>
      </c>
      <c r="M155" s="447">
        <f t="shared" si="58"/>
        <v>183.52641648736522</v>
      </c>
      <c r="N155" s="447">
        <f t="shared" si="58"/>
        <v>188.77105370802613</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0.15490411903919751</v>
      </c>
      <c r="D163" s="447">
        <f>D95*Calc_SEC_retirement_rates!$G142</f>
        <v>0.14539561982866236</v>
      </c>
      <c r="E163" s="447">
        <f>E95*Calc_SEC_retirement_rates!$G142</f>
        <v>0.13718102008343433</v>
      </c>
      <c r="F163" s="447">
        <f>F95*Calc_SEC_retirement_rates!$G142</f>
        <v>0.13042449211480603</v>
      </c>
      <c r="G163" s="447">
        <f>G95*Calc_SEC_retirement_rates!$G142</f>
        <v>0.12425412741649457</v>
      </c>
      <c r="H163" s="447">
        <f>H95*Calc_SEC_retirement_rates!$G142</f>
        <v>0.1189564718257751</v>
      </c>
      <c r="I163" s="447">
        <f>I95*Calc_SEC_retirement_rates!$G142</f>
        <v>0.11439511737441387</v>
      </c>
      <c r="J163" s="447">
        <f>J95*Calc_SEC_retirement_rates!$G142</f>
        <v>0.11127068172716952</v>
      </c>
      <c r="K163" s="447">
        <f>K95*Calc_SEC_retirement_rates!$G142</f>
        <v>0.10932315042090576</v>
      </c>
      <c r="L163" s="447">
        <f>L95*Calc_SEC_retirement_rates!$G142</f>
        <v>0.10769002080783814</v>
      </c>
      <c r="M163" s="447">
        <f>M95*Calc_SEC_retirement_rates!$G142</f>
        <v>0.10628391405737141</v>
      </c>
      <c r="N163" s="447">
        <f>N95*Calc_SEC_retirement_rates!$G142</f>
        <v>0.10528339911244704</v>
      </c>
    </row>
    <row r="164" spans="1:14">
      <c r="B164" s="331" t="str">
        <f t="shared" si="60"/>
        <v>35-39</v>
      </c>
      <c r="C164" s="447">
        <f>C96*Calc_SEC_retirement_rates!$G143</f>
        <v>0.51904274826342611</v>
      </c>
      <c r="D164" s="447">
        <f>D96*Calc_SEC_retirement_rates!$G143</f>
        <v>0.50949355409818442</v>
      </c>
      <c r="E164" s="447">
        <f>E96*Calc_SEC_retirement_rates!$G143</f>
        <v>0.49899802737166832</v>
      </c>
      <c r="F164" s="447">
        <f>F96*Calc_SEC_retirement_rates!$G143</f>
        <v>0.48720151237100484</v>
      </c>
      <c r="G164" s="447">
        <f>G96*Calc_SEC_retirement_rates!$G143</f>
        <v>0.47261825800750074</v>
      </c>
      <c r="H164" s="447">
        <f>H96*Calc_SEC_retirement_rates!$G143</f>
        <v>0.45726605720779784</v>
      </c>
      <c r="I164" s="447">
        <f>I96*Calc_SEC_retirement_rates!$G143</f>
        <v>0.44182711381248463</v>
      </c>
      <c r="J164" s="447">
        <f>J96*Calc_SEC_retirement_rates!$G143</f>
        <v>0.42885733554968142</v>
      </c>
      <c r="K164" s="447">
        <f>K96*Calc_SEC_retirement_rates!$G143</f>
        <v>0.41827512975676218</v>
      </c>
      <c r="L164" s="447">
        <f>L96*Calc_SEC_retirement_rates!$G143</f>
        <v>0.40844356854109909</v>
      </c>
      <c r="M164" s="447">
        <f>M96*Calc_SEC_retirement_rates!$G143</f>
        <v>0.39955956749115207</v>
      </c>
      <c r="N164" s="447">
        <f>N96*Calc_SEC_retirement_rates!$G143</f>
        <v>0.39225624468603792</v>
      </c>
    </row>
    <row r="165" spans="1:14">
      <c r="B165" s="331" t="str">
        <f t="shared" si="60"/>
        <v>40-44</v>
      </c>
      <c r="C165" s="447">
        <f>C97*Calc_SEC_retirement_rates!$G144</f>
        <v>0.77515465006165063</v>
      </c>
      <c r="D165" s="447">
        <f>D97*Calc_SEC_retirement_rates!$G144</f>
        <v>0.83442759981029613</v>
      </c>
      <c r="E165" s="447">
        <f>E97*Calc_SEC_retirement_rates!$G144</f>
        <v>0.87993027587819761</v>
      </c>
      <c r="F165" s="447">
        <f>F97*Calc_SEC_retirement_rates!$G144</f>
        <v>0.91198083930330187</v>
      </c>
      <c r="G165" s="447">
        <f>G97*Calc_SEC_retirement_rates!$G144</f>
        <v>0.92796089729959108</v>
      </c>
      <c r="H165" s="447">
        <f>H97*Calc_SEC_retirement_rates!$G144</f>
        <v>0.93261746169725668</v>
      </c>
      <c r="I165" s="447">
        <f>I97*Calc_SEC_retirement_rates!$G144</f>
        <v>0.92840319419089157</v>
      </c>
      <c r="J165" s="447">
        <f>J97*Calc_SEC_retirement_rates!$G144</f>
        <v>0.92158025344144678</v>
      </c>
      <c r="K165" s="447">
        <f>K97*Calc_SEC_retirement_rates!$G144</f>
        <v>0.91310872442156266</v>
      </c>
      <c r="L165" s="447">
        <f>L97*Calc_SEC_retirement_rates!$G144</f>
        <v>0.90094221607849545</v>
      </c>
      <c r="M165" s="447">
        <f>M97*Calc_SEC_retirement_rates!$G144</f>
        <v>0.886737294830234</v>
      </c>
      <c r="N165" s="447">
        <f>N97*Calc_SEC_retirement_rates!$G144</f>
        <v>0.8728583742946574</v>
      </c>
    </row>
    <row r="166" spans="1:14">
      <c r="B166" s="331" t="str">
        <f t="shared" si="60"/>
        <v>45-49</v>
      </c>
      <c r="C166" s="447">
        <f>C98*Calc_SEC_retirement_rates!$G145</f>
        <v>0.63652062266939158</v>
      </c>
      <c r="D166" s="447">
        <f>D98*Calc_SEC_retirement_rates!$G145</f>
        <v>0.73142178415349501</v>
      </c>
      <c r="E166" s="447">
        <f>E98*Calc_SEC_retirement_rates!$G145</f>
        <v>0.82471389478209911</v>
      </c>
      <c r="F166" s="447">
        <f>F98*Calc_SEC_retirement_rates!$G145</f>
        <v>0.90944178118672292</v>
      </c>
      <c r="G166" s="447">
        <f>G98*Calc_SEC_retirement_rates!$G145</f>
        <v>0.97696861030017468</v>
      </c>
      <c r="H166" s="447">
        <f>H98*Calc_SEC_retirement_rates!$G145</f>
        <v>1.0294308518258999</v>
      </c>
      <c r="I166" s="447">
        <f>I98*Calc_SEC_retirement_rates!$G145</f>
        <v>1.0675045428537622</v>
      </c>
      <c r="J166" s="447">
        <f>J98*Calc_SEC_retirement_rates!$G145</f>
        <v>1.0975712021083799</v>
      </c>
      <c r="K166" s="447">
        <f>K98*Calc_SEC_retirement_rates!$G145</f>
        <v>1.1201060552598197</v>
      </c>
      <c r="L166" s="447">
        <f>L98*Calc_SEC_retirement_rates!$G145</f>
        <v>1.1323323263492042</v>
      </c>
      <c r="M166" s="447">
        <f>M98*Calc_SEC_retirement_rates!$G145</f>
        <v>1.1364821974646084</v>
      </c>
      <c r="N166" s="447">
        <f>N98*Calc_SEC_retirement_rates!$G145</f>
        <v>1.1359674463431124</v>
      </c>
    </row>
    <row r="167" spans="1:14">
      <c r="B167" s="331" t="str">
        <f t="shared" si="60"/>
        <v>50-54</v>
      </c>
      <c r="C167" s="447">
        <f>C99*Calc_SEC_retirement_rates!$G146</f>
        <v>9.9040476609765005</v>
      </c>
      <c r="D167" s="447">
        <f>D99*Calc_SEC_retirement_rates!$G146</f>
        <v>10.551284867489043</v>
      </c>
      <c r="E167" s="447">
        <f>E99*Calc_SEC_retirement_rates!$G146</f>
        <v>11.538232189767552</v>
      </c>
      <c r="F167" s="447">
        <f>F99*Calc_SEC_retirement_rates!$G146</f>
        <v>12.701295536799581</v>
      </c>
      <c r="G167" s="447">
        <f>G99*Calc_SEC_retirement_rates!$G146</f>
        <v>13.827938341357008</v>
      </c>
      <c r="H167" s="447">
        <f>H99*Calc_SEC_retirement_rates!$G146</f>
        <v>14.887424805213548</v>
      </c>
      <c r="I167" s="447">
        <f>I99*Calc_SEC_retirement_rates!$G146</f>
        <v>15.831832939143663</v>
      </c>
      <c r="J167" s="447">
        <f>J99*Calc_SEC_retirement_rates!$G146</f>
        <v>16.720356850734849</v>
      </c>
      <c r="K167" s="447">
        <f>K99*Calc_SEC_retirement_rates!$G146</f>
        <v>17.518898563400096</v>
      </c>
      <c r="L167" s="447">
        <f>L99*Calc_SEC_retirement_rates!$G146</f>
        <v>18.146540997672961</v>
      </c>
      <c r="M167" s="447">
        <f>M99*Calc_SEC_retirement_rates!$G146</f>
        <v>18.618140447634005</v>
      </c>
      <c r="N167" s="447">
        <f>N99*Calc_SEC_retirement_rates!$G146</f>
        <v>18.976511937552168</v>
      </c>
    </row>
    <row r="168" spans="1:14">
      <c r="B168" s="331" t="str">
        <f t="shared" si="60"/>
        <v>55-59</v>
      </c>
      <c r="C168" s="447">
        <f>C100*Calc_SEC_retirement_rates!$G147</f>
        <v>51.904412809193033</v>
      </c>
      <c r="D168" s="447">
        <f>D100*Calc_SEC_retirement_rates!$G147</f>
        <v>48.116542063821747</v>
      </c>
      <c r="E168" s="447">
        <f>E100*Calc_SEC_retirement_rates!$G147</f>
        <v>47.262117752465514</v>
      </c>
      <c r="F168" s="447">
        <f>F100*Calc_SEC_retirement_rates!$G147</f>
        <v>48.365125853955327</v>
      </c>
      <c r="G168" s="447">
        <f>G100*Calc_SEC_retirement_rates!$G147</f>
        <v>50.285079049448782</v>
      </c>
      <c r="H168" s="447">
        <f>H100*Calc_SEC_retirement_rates!$G147</f>
        <v>52.774673508157683</v>
      </c>
      <c r="I168" s="447">
        <f>I100*Calc_SEC_retirement_rates!$G147</f>
        <v>55.501769036958713</v>
      </c>
      <c r="J168" s="447">
        <f>J100*Calc_SEC_retirement_rates!$G147</f>
        <v>58.634419690129953</v>
      </c>
      <c r="K168" s="447">
        <f>K100*Calc_SEC_retirement_rates!$G147</f>
        <v>61.861117161941266</v>
      </c>
      <c r="L168" s="447">
        <f>L100*Calc_SEC_retirement_rates!$G147</f>
        <v>64.670785629093047</v>
      </c>
      <c r="M168" s="447">
        <f>M100*Calc_SEC_retirement_rates!$G147</f>
        <v>67.050098120497424</v>
      </c>
      <c r="N168" s="447">
        <f>N100*Calc_SEC_retirement_rates!$G147</f>
        <v>69.119121966712385</v>
      </c>
    </row>
    <row r="169" spans="1:14">
      <c r="B169" s="331" t="str">
        <f t="shared" si="60"/>
        <v>60-64</v>
      </c>
      <c r="C169" s="447">
        <f>C101*Calc_SEC_retirement_rates!$G148</f>
        <v>29.31549415594106</v>
      </c>
      <c r="D169" s="447">
        <f>D101*Calc_SEC_retirement_rates!$G148</f>
        <v>32.435336735002636</v>
      </c>
      <c r="E169" s="447">
        <f>E101*Calc_SEC_retirement_rates!$G148</f>
        <v>33.648255661751755</v>
      </c>
      <c r="F169" s="447">
        <f>F101*Calc_SEC_retirement_rates!$G148</f>
        <v>34.426313175589705</v>
      </c>
      <c r="G169" s="447">
        <f>G101*Calc_SEC_retirement_rates!$G148</f>
        <v>34.93360208488172</v>
      </c>
      <c r="H169" s="447">
        <f>H101*Calc_SEC_retirement_rates!$G148</f>
        <v>35.612889524706844</v>
      </c>
      <c r="I169" s="447">
        <f>I101*Calc_SEC_retirement_rates!$G148</f>
        <v>36.50582268552499</v>
      </c>
      <c r="J169" s="447">
        <f>J101*Calc_SEC_retirement_rates!$G148</f>
        <v>37.951166050858454</v>
      </c>
      <c r="K169" s="447">
        <f>K101*Calc_SEC_retirement_rates!$G148</f>
        <v>39.707136103486647</v>
      </c>
      <c r="L169" s="447">
        <f>L101*Calc_SEC_retirement_rates!$G148</f>
        <v>41.306244879359561</v>
      </c>
      <c r="M169" s="447">
        <f>M101*Calc_SEC_retirement_rates!$G148</f>
        <v>42.750925983156648</v>
      </c>
      <c r="N169" s="447">
        <f>N101*Calc_SEC_retirement_rates!$G148</f>
        <v>44.142007475285261</v>
      </c>
    </row>
    <row r="170" spans="1:14">
      <c r="B170" s="331" t="str">
        <f t="shared" si="60"/>
        <v>65 plus</v>
      </c>
      <c r="C170" s="447">
        <f>C102*Calc_SEC_retirement_rates!$G149</f>
        <v>4.458259182758936</v>
      </c>
      <c r="D170" s="447">
        <f>D102*Calc_SEC_retirement_rates!$G149</f>
        <v>7.7130225042340186</v>
      </c>
      <c r="E170" s="447">
        <f>E102*Calc_SEC_retirement_rates!$G149</f>
        <v>10.37868299342127</v>
      </c>
      <c r="F170" s="447">
        <f>F102*Calc_SEC_retirement_rates!$G149</f>
        <v>12.358955126729136</v>
      </c>
      <c r="G170" s="447">
        <f>G102*Calc_SEC_retirement_rates!$G149</f>
        <v>13.636918087910765</v>
      </c>
      <c r="H170" s="447">
        <f>H102*Calc_SEC_retirement_rates!$G149</f>
        <v>14.477597131255887</v>
      </c>
      <c r="I170" s="447">
        <f>I102*Calc_SEC_retirement_rates!$G149</f>
        <v>15.051821115978019</v>
      </c>
      <c r="J170" s="447">
        <f>J102*Calc_SEC_retirement_rates!$G149</f>
        <v>15.626153240958864</v>
      </c>
      <c r="K170" s="447">
        <f>K102*Calc_SEC_retirement_rates!$G149</f>
        <v>16.235056449418082</v>
      </c>
      <c r="L170" s="447">
        <f>L102*Calc_SEC_retirement_rates!$G149</f>
        <v>16.772739944517546</v>
      </c>
      <c r="M170" s="447">
        <f>M102*Calc_SEC_retirement_rates!$G149</f>
        <v>17.260002995449188</v>
      </c>
      <c r="N170" s="447">
        <f>N102*Calc_SEC_retirement_rates!$G149</f>
        <v>17.749443380289264</v>
      </c>
    </row>
    <row r="171" spans="1:14">
      <c r="B171" s="331" t="str">
        <f t="shared" si="60"/>
        <v>Total</v>
      </c>
      <c r="C171" s="447">
        <f>SUM(C161:C170)</f>
        <v>97.667835948903203</v>
      </c>
      <c r="D171" s="447">
        <f t="shared" ref="D171:N171" si="62">SUM(D161:D170)</f>
        <v>101.03692472843808</v>
      </c>
      <c r="E171" s="447">
        <f t="shared" si="62"/>
        <v>105.16811181552148</v>
      </c>
      <c r="F171" s="447">
        <f t="shared" si="62"/>
        <v>110.29073831804959</v>
      </c>
      <c r="G171" s="447">
        <f t="shared" si="62"/>
        <v>115.18533945662205</v>
      </c>
      <c r="H171" s="447">
        <f t="shared" si="62"/>
        <v>120.29085581189069</v>
      </c>
      <c r="I171" s="447">
        <f t="shared" si="62"/>
        <v>125.44337574583693</v>
      </c>
      <c r="J171" s="447">
        <f t="shared" si="62"/>
        <v>131.4913753055088</v>
      </c>
      <c r="K171" s="447">
        <f t="shared" si="62"/>
        <v>137.88302133810515</v>
      </c>
      <c r="L171" s="447">
        <f t="shared" si="62"/>
        <v>143.44571958241977</v>
      </c>
      <c r="M171" s="447">
        <f t="shared" si="62"/>
        <v>148.20823052058063</v>
      </c>
      <c r="N171" s="447">
        <f t="shared" si="62"/>
        <v>152.49345022427531</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0.12101581375364076</v>
      </c>
      <c r="D180" s="447">
        <f>D78*Calc_SEC_death_rates!$G125</f>
        <v>0.10889485525388463</v>
      </c>
      <c r="E180" s="447">
        <f>E78*Calc_SEC_death_rates!$G125</f>
        <v>0.10399858964025301</v>
      </c>
      <c r="F180" s="447">
        <f>F78*Calc_SEC_death_rates!$G125</f>
        <v>0.10293946681698608</v>
      </c>
      <c r="G180" s="447">
        <f>G78*Calc_SEC_death_rates!$G125</f>
        <v>0.10265847666142307</v>
      </c>
      <c r="H180" s="447">
        <f>H78*Calc_SEC_death_rates!$G125</f>
        <v>0.10270989068172459</v>
      </c>
      <c r="I180" s="447">
        <f>I78*Calc_SEC_death_rates!$G125</f>
        <v>0.102685022964566</v>
      </c>
      <c r="J180" s="447">
        <f>J78*Calc_SEC_death_rates!$G125</f>
        <v>0.10407061004194754</v>
      </c>
      <c r="K180" s="447">
        <f>K78*Calc_SEC_death_rates!$G125</f>
        <v>0.10625564366314179</v>
      </c>
      <c r="L180" s="447">
        <f>L78*Calc_SEC_death_rates!$G125</f>
        <v>0.10759290564642184</v>
      </c>
      <c r="M180" s="447">
        <f>M78*Calc_SEC_death_rates!$G125</f>
        <v>0.10828116773579768</v>
      </c>
      <c r="N180" s="447">
        <f>N78*Calc_SEC_death_rates!$G125</f>
        <v>0.10897970119276072</v>
      </c>
    </row>
    <row r="181" spans="1:14">
      <c r="B181" s="331" t="str">
        <f t="shared" si="64"/>
        <v>30-34</v>
      </c>
      <c r="C181" s="447">
        <f>C79*Calc_SEC_death_rates!$G126</f>
        <v>0.55524278319760112</v>
      </c>
      <c r="D181" s="447">
        <f>D79*Calc_SEC_death_rates!$G126</f>
        <v>0.50908364163168918</v>
      </c>
      <c r="E181" s="447">
        <f>E79*Calc_SEC_death_rates!$G126</f>
        <v>0.47419856767565466</v>
      </c>
      <c r="F181" s="447">
        <f>F79*Calc_SEC_death_rates!$G126</f>
        <v>0.44758034728129792</v>
      </c>
      <c r="G181" s="447">
        <f>G79*Calc_SEC_death_rates!$G126</f>
        <v>0.42667558281066659</v>
      </c>
      <c r="H181" s="447">
        <f>H79*Calc_SEC_death_rates!$G126</f>
        <v>0.41035809759798886</v>
      </c>
      <c r="I181" s="447">
        <f>I79*Calc_SEC_death_rates!$G126</f>
        <v>0.39746262342104333</v>
      </c>
      <c r="J181" s="447">
        <f>J79*Calc_SEC_death_rates!$G126</f>
        <v>0.39004163668541303</v>
      </c>
      <c r="K181" s="447">
        <f>K79*Calc_SEC_death_rates!$G126</f>
        <v>0.38686830720028331</v>
      </c>
      <c r="L181" s="447">
        <f>L79*Calc_SEC_death_rates!$G126</f>
        <v>0.38464681790394489</v>
      </c>
      <c r="M181" s="447">
        <f>M79*Calc_SEC_death_rates!$G126</f>
        <v>0.38293331756698362</v>
      </c>
      <c r="N181" s="447">
        <f>N79*Calc_SEC_death_rates!$G126</f>
        <v>0.38230890984128046</v>
      </c>
    </row>
    <row r="182" spans="1:14">
      <c r="B182" s="331" t="str">
        <f t="shared" si="64"/>
        <v>35-39</v>
      </c>
      <c r="C182" s="447">
        <f>C80*Calc_SEC_death_rates!$G127</f>
        <v>1.1190524698636777</v>
      </c>
      <c r="D182" s="447">
        <f>D80*Calc_SEC_death_rates!$G127</f>
        <v>1.0733737182664456</v>
      </c>
      <c r="E182" s="447">
        <f>E80*Calc_SEC_death_rates!$G127</f>
        <v>1.0315057503406024</v>
      </c>
      <c r="F182" s="447">
        <f>F80*Calc_SEC_death_rates!$G127</f>
        <v>0.98919157119938417</v>
      </c>
      <c r="G182" s="447">
        <f>G80*Calc_SEC_death_rates!$G127</f>
        <v>0.94784750001317719</v>
      </c>
      <c r="H182" s="447">
        <f>H80*Calc_SEC_death_rates!$G127</f>
        <v>0.90865745902663542</v>
      </c>
      <c r="I182" s="447">
        <f>I80*Calc_SEC_death_rates!$G127</f>
        <v>0.87252207595445952</v>
      </c>
      <c r="J182" s="447">
        <f>J80*Calc_SEC_death_rates!$G127</f>
        <v>0.84377794956000451</v>
      </c>
      <c r="K182" s="447">
        <f>K80*Calc_SEC_death_rates!$G127</f>
        <v>0.82175347430835888</v>
      </c>
      <c r="L182" s="447">
        <f>L80*Calc_SEC_death_rates!$G127</f>
        <v>0.80283392772728501</v>
      </c>
      <c r="M182" s="447">
        <f>M80*Calc_SEC_death_rates!$G127</f>
        <v>0.7869166478363252</v>
      </c>
      <c r="N182" s="447">
        <f>N80*Calc_SEC_death_rates!$G127</f>
        <v>0.7748075005344135</v>
      </c>
    </row>
    <row r="183" spans="1:14">
      <c r="B183" s="331" t="str">
        <f t="shared" si="64"/>
        <v>40-44</v>
      </c>
      <c r="C183" s="447">
        <f>C81*Calc_SEC_death_rates!$G128</f>
        <v>1.1145031306515583</v>
      </c>
      <c r="D183" s="447">
        <f>D81*Calc_SEC_death_rates!$G128</f>
        <v>1.179880846172167</v>
      </c>
      <c r="E183" s="447">
        <f>E81*Calc_SEC_death_rates!$G128</f>
        <v>1.2265309003323721</v>
      </c>
      <c r="F183" s="447">
        <f>F81*Calc_SEC_death_rates!$G128</f>
        <v>1.251021395478388</v>
      </c>
      <c r="G183" s="447">
        <f>G81*Calc_SEC_death_rates!$G128</f>
        <v>1.2573382979847363</v>
      </c>
      <c r="H183" s="447">
        <f>H81*Calc_SEC_death_rates!$G128</f>
        <v>1.2495261218851925</v>
      </c>
      <c r="I183" s="447">
        <f>I81*Calc_SEC_death_rates!$G128</f>
        <v>1.2316144570880416</v>
      </c>
      <c r="J183" s="447">
        <f>J81*Calc_SEC_death_rates!$G128</f>
        <v>1.2119027578947259</v>
      </c>
      <c r="K183" s="447">
        <f>K81*Calc_SEC_death_rates!$G128</f>
        <v>1.1919493094297373</v>
      </c>
      <c r="L183" s="447">
        <f>L81*Calc_SEC_death_rates!$G128</f>
        <v>1.1694083705635645</v>
      </c>
      <c r="M183" s="447">
        <f>M81*Calc_SEC_death_rates!$G128</f>
        <v>1.1462497824007409</v>
      </c>
      <c r="N183" s="447">
        <f>N81*Calc_SEC_death_rates!$G128</f>
        <v>1.1251934832315507</v>
      </c>
    </row>
    <row r="184" spans="1:14">
      <c r="B184" s="331" t="str">
        <f t="shared" si="64"/>
        <v>45-49</v>
      </c>
      <c r="C184" s="447">
        <f>C82*Calc_SEC_death_rates!$G129</f>
        <v>0.90864467121953707</v>
      </c>
      <c r="D184" s="447">
        <f>D82*Calc_SEC_death_rates!$G129</f>
        <v>1.0361570987536786</v>
      </c>
      <c r="E184" s="447">
        <f>E82*Calc_SEC_death_rates!$G129</f>
        <v>1.1606721182649933</v>
      </c>
      <c r="F184" s="447">
        <f>F82*Calc_SEC_death_rates!$G129</f>
        <v>1.267624906244148</v>
      </c>
      <c r="G184" s="447">
        <f>G82*Calc_SEC_death_rates!$G129</f>
        <v>1.3524578768711051</v>
      </c>
      <c r="H184" s="447">
        <f>H82*Calc_SEC_death_rates!$G129</f>
        <v>1.415059688299229</v>
      </c>
      <c r="I184" s="447">
        <f>I82*Calc_SEC_death_rates!$G129</f>
        <v>1.4570941576512111</v>
      </c>
      <c r="J184" s="447">
        <f>J82*Calc_SEC_death_rates!$G129</f>
        <v>1.4872172114793629</v>
      </c>
      <c r="K184" s="447">
        <f>K82*Calc_SEC_death_rates!$G129</f>
        <v>1.506920444795399</v>
      </c>
      <c r="L184" s="447">
        <f>L82*Calc_SEC_death_rates!$G129</f>
        <v>1.5136203467581744</v>
      </c>
      <c r="M184" s="447">
        <f>M82*Calc_SEC_death_rates!$G129</f>
        <v>1.510614692829948</v>
      </c>
      <c r="N184" s="447">
        <f>N82*Calc_SEC_death_rates!$G129</f>
        <v>1.5024780900758385</v>
      </c>
    </row>
    <row r="185" spans="1:14">
      <c r="B185" s="331" t="str">
        <f t="shared" si="64"/>
        <v>50-54</v>
      </c>
      <c r="C185" s="447">
        <f>C83*Calc_SEC_death_rates!$G130</f>
        <v>0.62591057704022313</v>
      </c>
      <c r="D185" s="447">
        <f>D83*Calc_SEC_death_rates!$G130</f>
        <v>0.68821961819791744</v>
      </c>
      <c r="E185" s="447">
        <f>E83*Calc_SEC_death_rates!$G130</f>
        <v>0.77004256229997559</v>
      </c>
      <c r="F185" s="447">
        <f>F83*Calc_SEC_death_rates!$G130</f>
        <v>0.85753022392014167</v>
      </c>
      <c r="G185" s="447">
        <f>G83*Calc_SEC_death_rates!$G130</f>
        <v>0.94159820210884015</v>
      </c>
      <c r="H185" s="447">
        <f>H83*Calc_SEC_death_rates!$G130</f>
        <v>1.0180814820941295</v>
      </c>
      <c r="I185" s="447">
        <f>I83*Calc_SEC_death_rates!$G130</f>
        <v>1.0841810699277734</v>
      </c>
      <c r="J185" s="447">
        <f>J83*Calc_SEC_death_rates!$G130</f>
        <v>1.1437831011028829</v>
      </c>
      <c r="K185" s="447">
        <f>K83*Calc_SEC_death_rates!$G130</f>
        <v>1.195207293577341</v>
      </c>
      <c r="L185" s="447">
        <f>L83*Calc_SEC_death_rates!$G130</f>
        <v>1.2339818046390068</v>
      </c>
      <c r="M185" s="447">
        <f>M83*Calc_SEC_death_rates!$G130</f>
        <v>1.2615009859487814</v>
      </c>
      <c r="N185" s="447">
        <f>N83*Calc_SEC_death_rates!$G130</f>
        <v>1.2808595936573612</v>
      </c>
    </row>
    <row r="186" spans="1:14">
      <c r="B186" s="331" t="str">
        <f t="shared" si="64"/>
        <v>55-59</v>
      </c>
      <c r="C186" s="447">
        <f>C84*Calc_SEC_death_rates!$G131</f>
        <v>0.61669502302336132</v>
      </c>
      <c r="D186" s="447">
        <f>D84*Calc_SEC_death_rates!$G131</f>
        <v>0.57575645265974629</v>
      </c>
      <c r="E186" s="447">
        <f>E84*Calc_SEC_death_rates!$G131</f>
        <v>0.57579579604614484</v>
      </c>
      <c r="F186" s="447">
        <f>F84*Calc_SEC_death_rates!$G131</f>
        <v>0.59994909684420417</v>
      </c>
      <c r="G186" s="447">
        <f>G84*Calc_SEC_death_rates!$G131</f>
        <v>0.63505937001657764</v>
      </c>
      <c r="H186" s="447">
        <f>H84*Calc_SEC_death_rates!$G131</f>
        <v>0.67601514572527766</v>
      </c>
      <c r="I186" s="447">
        <f>I84*Calc_SEC_death_rates!$G131</f>
        <v>0.71833169749040193</v>
      </c>
      <c r="J186" s="447">
        <f>J84*Calc_SEC_death_rates!$G131</f>
        <v>0.76378778163705663</v>
      </c>
      <c r="K186" s="447">
        <f>K84*Calc_SEC_death_rates!$G131</f>
        <v>0.80854234910839351</v>
      </c>
      <c r="L186" s="447">
        <f>L84*Calc_SEC_death_rates!$G131</f>
        <v>0.84649420841439049</v>
      </c>
      <c r="M186" s="447">
        <f>M84*Calc_SEC_death_rates!$G131</f>
        <v>0.87765227023887604</v>
      </c>
      <c r="N186" s="447">
        <f>N84*Calc_SEC_death_rates!$G131</f>
        <v>0.90368740670523007</v>
      </c>
    </row>
    <row r="187" spans="1:14">
      <c r="B187" s="331" t="str">
        <f t="shared" si="64"/>
        <v>60-64</v>
      </c>
      <c r="C187" s="447">
        <f>C85*Calc_SEC_death_rates!$G132</f>
        <v>0.35523316994019749</v>
      </c>
      <c r="D187" s="447">
        <f>D85*Calc_SEC_death_rates!$G132</f>
        <v>0.38025982135289021</v>
      </c>
      <c r="E187" s="447">
        <f>E85*Calc_SEC_death_rates!$G132</f>
        <v>0.39093675428264685</v>
      </c>
      <c r="F187" s="447">
        <f>F85*Calc_SEC_death_rates!$G132</f>
        <v>0.40031372858285941</v>
      </c>
      <c r="G187" s="447">
        <f>G85*Calc_SEC_death_rates!$G132</f>
        <v>0.40992373506106589</v>
      </c>
      <c r="H187" s="447">
        <f>H85*Calc_SEC_death_rates!$G132</f>
        <v>0.42267226742002595</v>
      </c>
      <c r="I187" s="447">
        <f>I85*Calc_SEC_death_rates!$G132</f>
        <v>0.43822558016986957</v>
      </c>
      <c r="J187" s="447">
        <f>J85*Calc_SEC_death_rates!$G132</f>
        <v>0.45998471395550261</v>
      </c>
      <c r="K187" s="447">
        <f>K85*Calc_SEC_death_rates!$G132</f>
        <v>0.48481117034542498</v>
      </c>
      <c r="L187" s="447">
        <f>L85*Calc_SEC_death_rates!$G132</f>
        <v>0.50708696844971146</v>
      </c>
      <c r="M187" s="447">
        <f>M85*Calc_SEC_death_rates!$G132</f>
        <v>0.52675827087823801</v>
      </c>
      <c r="N187" s="447">
        <f>N85*Calc_SEC_death_rates!$G132</f>
        <v>0.54499618714113407</v>
      </c>
    </row>
    <row r="188" spans="1:14">
      <c r="B188" s="331" t="str">
        <f t="shared" si="64"/>
        <v>65 plus</v>
      </c>
      <c r="C188" s="447">
        <f>C86*Calc_SEC_death_rates!$G133</f>
        <v>8.6333076442620255E-2</v>
      </c>
      <c r="D188" s="447">
        <f>D86*Calc_SEC_death_rates!$G133</f>
        <v>0.11879170145918928</v>
      </c>
      <c r="E188" s="447">
        <f>E86*Calc_SEC_death_rates!$G133</f>
        <v>0.14526336947051352</v>
      </c>
      <c r="F188" s="447">
        <f>F86*Calc_SEC_death_rates!$G133</f>
        <v>0.16414349660688174</v>
      </c>
      <c r="G188" s="447">
        <f>G86*Calc_SEC_death_rates!$G133</f>
        <v>0.17635200128559886</v>
      </c>
      <c r="H188" s="447">
        <f>H86*Calc_SEC_death_rates!$G133</f>
        <v>0.18458400896094532</v>
      </c>
      <c r="I188" s="447">
        <f>I86*Calc_SEC_death_rates!$G133</f>
        <v>0.19072613800225272</v>
      </c>
      <c r="J188" s="447">
        <f>J86*Calc_SEC_death_rates!$G133</f>
        <v>0.19791709971305657</v>
      </c>
      <c r="K188" s="447">
        <f>K86*Calc_SEC_death_rates!$G133</f>
        <v>0.20617535997322473</v>
      </c>
      <c r="L188" s="447">
        <f>L86*Calc_SEC_death_rates!$G133</f>
        <v>0.21376104329769607</v>
      </c>
      <c r="M188" s="447">
        <f>M86*Calc_SEC_death_rates!$G133</f>
        <v>0.2207749640251509</v>
      </c>
      <c r="N188" s="447">
        <f>N86*Calc_SEC_death_rates!$G133</f>
        <v>0.22779305595574861</v>
      </c>
    </row>
    <row r="189" spans="1:14">
      <c r="B189" s="331" t="str">
        <f t="shared" si="64"/>
        <v>Total</v>
      </c>
      <c r="C189" s="447">
        <f>SUM(C179:C188)</f>
        <v>5.5026307151324163</v>
      </c>
      <c r="D189" s="447">
        <f t="shared" ref="D189:N189" si="66">SUM(D179:D188)</f>
        <v>5.6704177537476088</v>
      </c>
      <c r="E189" s="447">
        <f t="shared" si="66"/>
        <v>5.8789444083531563</v>
      </c>
      <c r="F189" s="447">
        <f t="shared" si="66"/>
        <v>6.0802942329742917</v>
      </c>
      <c r="G189" s="447">
        <f t="shared" si="66"/>
        <v>6.2499110428131903</v>
      </c>
      <c r="H189" s="447">
        <f t="shared" si="66"/>
        <v>6.3876641616911485</v>
      </c>
      <c r="I189" s="447">
        <f t="shared" si="66"/>
        <v>6.49284282266962</v>
      </c>
      <c r="J189" s="447">
        <f t="shared" si="66"/>
        <v>6.6024828620699516</v>
      </c>
      <c r="K189" s="447">
        <f t="shared" si="66"/>
        <v>6.7084833524013039</v>
      </c>
      <c r="L189" s="447">
        <f t="shared" si="66"/>
        <v>6.7794263934001959</v>
      </c>
      <c r="M189" s="447">
        <f t="shared" si="66"/>
        <v>6.8216820994608423</v>
      </c>
      <c r="N189" s="447">
        <f t="shared" si="66"/>
        <v>6.8511039283353172</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6">
      <c r="C193" s="322"/>
      <c r="D193" s="322"/>
      <c r="E193" s="322"/>
      <c r="F193" s="322"/>
      <c r="G193" s="322"/>
      <c r="H193" s="332"/>
      <c r="I193" s="322"/>
      <c r="J193" s="322"/>
      <c r="K193" s="322"/>
      <c r="L193" s="322"/>
    </row>
    <row r="194" spans="1:16">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6">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c r="P195" s="320"/>
    </row>
    <row r="196" spans="1:16">
      <c r="B196" s="331" t="str">
        <f t="shared" si="68"/>
        <v>25-29</v>
      </c>
      <c r="C196" s="447">
        <f>C94*Calc_SEC_death_rates!$G141</f>
        <v>0.17803866868372897</v>
      </c>
      <c r="D196" s="447">
        <f>D94*Calc_SEC_death_rates!$G141</f>
        <v>0.15882739486710479</v>
      </c>
      <c r="E196" s="447">
        <f>E94*Calc_SEC_death_rates!$G141</f>
        <v>0.14771494435331073</v>
      </c>
      <c r="F196" s="447">
        <f>F94*Calc_SEC_death_rates!$G141</f>
        <v>0.14184014217893268</v>
      </c>
      <c r="G196" s="447">
        <f>G94*Calc_SEC_death_rates!$G141</f>
        <v>0.1371663125825415</v>
      </c>
      <c r="H196" s="447">
        <f>H94*Calc_SEC_death_rates!$G141</f>
        <v>0.13361041901828738</v>
      </c>
      <c r="I196" s="447">
        <f>I94*Calc_SEC_death_rates!$G141</f>
        <v>0.1306308503793015</v>
      </c>
      <c r="J196" s="447">
        <f>J94*Calc_SEC_death_rates!$G141</f>
        <v>0.12989199977845731</v>
      </c>
      <c r="K196" s="447">
        <f>K94*Calc_SEC_death_rates!$G141</f>
        <v>0.13058122113486123</v>
      </c>
      <c r="L196" s="447">
        <f>L94*Calc_SEC_death_rates!$G141</f>
        <v>0.13067296734423239</v>
      </c>
      <c r="M196" s="447">
        <f>M94*Calc_SEC_death_rates!$G141</f>
        <v>0.13032652156678376</v>
      </c>
      <c r="N196" s="447">
        <f>N94*Calc_SEC_death_rates!$G141</f>
        <v>0.13025309992345965</v>
      </c>
      <c r="O196" s="320"/>
      <c r="P196" s="320"/>
    </row>
    <row r="197" spans="1:16">
      <c r="B197" s="331" t="str">
        <f t="shared" si="68"/>
        <v>30-34</v>
      </c>
      <c r="C197" s="447">
        <f>C95*Calc_SEC_death_rates!$G142</f>
        <v>0.16934482393027192</v>
      </c>
      <c r="D197" s="447">
        <f>D95*Calc_SEC_death_rates!$G142</f>
        <v>0.15894990909755694</v>
      </c>
      <c r="E197" s="447">
        <f>E95*Calc_SEC_death_rates!$G142</f>
        <v>0.14996951557321631</v>
      </c>
      <c r="F197" s="447">
        <f>F95*Calc_SEC_death_rates!$G142</f>
        <v>0.14258312038679916</v>
      </c>
      <c r="G197" s="447">
        <f>G95*Calc_SEC_death_rates!$G142</f>
        <v>0.1358375326651666</v>
      </c>
      <c r="H197" s="447">
        <f>H95*Calc_SEC_death_rates!$G142</f>
        <v>0.13004601105284203</v>
      </c>
      <c r="I197" s="447">
        <f>I95*Calc_SEC_death_rates!$G142</f>
        <v>0.12505943115270479</v>
      </c>
      <c r="J197" s="447">
        <f>J95*Calc_SEC_death_rates!$G142</f>
        <v>0.12164372466377553</v>
      </c>
      <c r="K197" s="447">
        <f>K95*Calc_SEC_death_rates!$G142</f>
        <v>0.11951463766335513</v>
      </c>
      <c r="L197" s="447">
        <f>L95*Calc_SEC_death_rates!$G142</f>
        <v>0.11772926198389842</v>
      </c>
      <c r="M197" s="447">
        <f>M95*Calc_SEC_death_rates!$G142</f>
        <v>0.11619207303397319</v>
      </c>
      <c r="N197" s="447">
        <f>N95*Calc_SEC_death_rates!$G142</f>
        <v>0.11509828657923761</v>
      </c>
      <c r="O197" s="320"/>
      <c r="P197" s="320"/>
    </row>
    <row r="198" spans="1:16">
      <c r="B198" s="331" t="str">
        <f t="shared" si="68"/>
        <v>35-39</v>
      </c>
      <c r="C198" s="447">
        <f>C96*Calc_SEC_death_rates!$G143</f>
        <v>0.74577361345565163</v>
      </c>
      <c r="D198" s="447">
        <f>D96*Calc_SEC_death_rates!$G143</f>
        <v>0.73205309224226667</v>
      </c>
      <c r="E198" s="447">
        <f>E96*Calc_SEC_death_rates!$G143</f>
        <v>0.71697285671611355</v>
      </c>
      <c r="F198" s="447">
        <f>F96*Calc_SEC_death_rates!$G143</f>
        <v>0.70002332867114481</v>
      </c>
      <c r="G198" s="447">
        <f>G96*Calc_SEC_death_rates!$G143</f>
        <v>0.67906974375159657</v>
      </c>
      <c r="H198" s="447">
        <f>H96*Calc_SEC_death_rates!$G143</f>
        <v>0.6570113173441432</v>
      </c>
      <c r="I198" s="447">
        <f>I96*Calc_SEC_death_rates!$G143</f>
        <v>0.63482825700396395</v>
      </c>
      <c r="J198" s="447">
        <f>J96*Calc_SEC_death_rates!$G143</f>
        <v>0.61619295493466264</v>
      </c>
      <c r="K198" s="447">
        <f>K96*Calc_SEC_death_rates!$G143</f>
        <v>0.60098817675613891</v>
      </c>
      <c r="L198" s="447">
        <f>L96*Calc_SEC_death_rates!$G143</f>
        <v>0.58686194349645704</v>
      </c>
      <c r="M198" s="447">
        <f>M96*Calc_SEC_death_rates!$G143</f>
        <v>0.57409718840233481</v>
      </c>
      <c r="N198" s="447">
        <f>N96*Calc_SEC_death_rates!$G143</f>
        <v>0.56360359137814753</v>
      </c>
      <c r="O198" s="320"/>
      <c r="P198" s="320"/>
    </row>
    <row r="199" spans="1:16">
      <c r="B199" s="331" t="str">
        <f t="shared" si="68"/>
        <v>40-44</v>
      </c>
      <c r="C199" s="447">
        <f>C97*Calc_SEC_death_rates!$G144</f>
        <v>0.41798669512441894</v>
      </c>
      <c r="D199" s="447">
        <f>D97*Calc_SEC_death_rates!$G144</f>
        <v>0.44994845188320465</v>
      </c>
      <c r="E199" s="447">
        <f>E97*Calc_SEC_death_rates!$G144</f>
        <v>0.47448486302055176</v>
      </c>
      <c r="F199" s="447">
        <f>F97*Calc_SEC_death_rates!$G144</f>
        <v>0.49176749053477675</v>
      </c>
      <c r="G199" s="447">
        <f>G97*Calc_SEC_death_rates!$G144</f>
        <v>0.50038441830426661</v>
      </c>
      <c r="H199" s="447">
        <f>H97*Calc_SEC_death_rates!$G144</f>
        <v>0.50289537784383653</v>
      </c>
      <c r="I199" s="447">
        <f>I97*Calc_SEC_death_rates!$G144</f>
        <v>0.50062291808730197</v>
      </c>
      <c r="J199" s="447">
        <f>J97*Calc_SEC_death_rates!$G144</f>
        <v>0.49694378327895972</v>
      </c>
      <c r="K199" s="447">
        <f>K97*Calc_SEC_death_rates!$G144</f>
        <v>0.4923756801044637</v>
      </c>
      <c r="L199" s="447">
        <f>L97*Calc_SEC_death_rates!$G144</f>
        <v>0.48581513297607087</v>
      </c>
      <c r="M199" s="447">
        <f>M97*Calc_SEC_death_rates!$G144</f>
        <v>0.47815541231698533</v>
      </c>
      <c r="N199" s="447">
        <f>N97*Calc_SEC_death_rates!$G144</f>
        <v>0.4706714810445628</v>
      </c>
      <c r="O199" s="320"/>
      <c r="P199" s="320"/>
    </row>
    <row r="200" spans="1:16">
      <c r="B200" s="331" t="str">
        <f t="shared" si="68"/>
        <v>45-49</v>
      </c>
      <c r="C200" s="447">
        <f>C98*Calc_SEC_death_rates!$G145</f>
        <v>0.43807728906597104</v>
      </c>
      <c r="D200" s="447">
        <f>D98*Calc_SEC_death_rates!$G145</f>
        <v>0.50339181631226493</v>
      </c>
      <c r="E200" s="447">
        <f>E98*Calc_SEC_death_rates!$G145</f>
        <v>0.56759893460487831</v>
      </c>
      <c r="F200" s="447">
        <f>F98*Calc_SEC_death_rates!$G145</f>
        <v>0.62591183361004676</v>
      </c>
      <c r="G200" s="447">
        <f>G98*Calc_SEC_death_rates!$G145</f>
        <v>0.6723863219199202</v>
      </c>
      <c r="H200" s="447">
        <f>H98*Calc_SEC_death_rates!$G145</f>
        <v>0.70849279785707298</v>
      </c>
      <c r="I200" s="447">
        <f>I98*Calc_SEC_death_rates!$G145</f>
        <v>0.73469653542063118</v>
      </c>
      <c r="J200" s="447">
        <f>J98*Calc_SEC_death_rates!$G145</f>
        <v>0.75538953437217404</v>
      </c>
      <c r="K200" s="447">
        <f>K98*Calc_SEC_death_rates!$G145</f>
        <v>0.77089886278431896</v>
      </c>
      <c r="L200" s="447">
        <f>L98*Calc_SEC_death_rates!$G145</f>
        <v>0.77931343963143107</v>
      </c>
      <c r="M200" s="447">
        <f>M98*Calc_SEC_death_rates!$G145</f>
        <v>0.78216953607742734</v>
      </c>
      <c r="N200" s="447">
        <f>N98*Calc_SEC_death_rates!$G145</f>
        <v>0.78181526511146404</v>
      </c>
      <c r="O200" s="320"/>
      <c r="P200" s="320"/>
    </row>
    <row r="201" spans="1:16">
      <c r="B201" s="331" t="str">
        <f t="shared" si="68"/>
        <v>50-54</v>
      </c>
      <c r="C201" s="447">
        <f>C99*Calc_SEC_death_rates!$G146</f>
        <v>0.49380038923814285</v>
      </c>
      <c r="D201" s="447">
        <f>D99*Calc_SEC_death_rates!$G146</f>
        <v>0.52607062817939898</v>
      </c>
      <c r="E201" s="447">
        <f>E99*Calc_SEC_death_rates!$G146</f>
        <v>0.57527828433991257</v>
      </c>
      <c r="F201" s="447">
        <f>F99*Calc_SEC_death_rates!$G146</f>
        <v>0.63326681116576267</v>
      </c>
      <c r="G201" s="447">
        <f>G99*Calc_SEC_death_rates!$G146</f>
        <v>0.6894394664746486</v>
      </c>
      <c r="H201" s="447">
        <f>H99*Calc_SEC_death_rates!$G146</f>
        <v>0.74226381124292895</v>
      </c>
      <c r="I201" s="447">
        <f>I99*Calc_SEC_death_rates!$G146</f>
        <v>0.78935052973398045</v>
      </c>
      <c r="J201" s="447">
        <f>J99*Calc_SEC_death_rates!$G146</f>
        <v>0.83365094794782668</v>
      </c>
      <c r="K201" s="447">
        <f>K99*Calc_SEC_death_rates!$G146</f>
        <v>0.87346499388489107</v>
      </c>
      <c r="L201" s="447">
        <f>L99*Calc_SEC_death_rates!$G146</f>
        <v>0.90475826800426851</v>
      </c>
      <c r="M201" s="447">
        <f>M99*Calc_SEC_death_rates!$G146</f>
        <v>0.92827148198776177</v>
      </c>
      <c r="N201" s="447">
        <f>N99*Calc_SEC_death_rates!$G146</f>
        <v>0.94613932625417296</v>
      </c>
      <c r="O201" s="320"/>
      <c r="P201" s="320"/>
    </row>
    <row r="202" spans="1:16">
      <c r="B202" s="331" t="str">
        <f t="shared" si="68"/>
        <v>55-59</v>
      </c>
      <c r="C202" s="447">
        <f>C100*Calc_SEC_death_rates!$G147</f>
        <v>0.52469086514724383</v>
      </c>
      <c r="D202" s="447">
        <f>D100*Calc_SEC_death_rates!$G147</f>
        <v>0.48640007114942035</v>
      </c>
      <c r="E202" s="447">
        <f>E100*Calc_SEC_death_rates!$G147</f>
        <v>0.47776287429341552</v>
      </c>
      <c r="F202" s="447">
        <f>F100*Calc_SEC_death_rates!$G147</f>
        <v>0.48891295274941549</v>
      </c>
      <c r="G202" s="447">
        <f>G100*Calc_SEC_death_rates!$G147</f>
        <v>0.5083213584834122</v>
      </c>
      <c r="H202" s="447">
        <f>H100*Calc_SEC_death_rates!$G147</f>
        <v>0.53348814873702233</v>
      </c>
      <c r="I202" s="447">
        <f>I100*Calc_SEC_death_rates!$G147</f>
        <v>0.56105578768914555</v>
      </c>
      <c r="J202" s="447">
        <f>J100*Calc_SEC_death_rates!$G147</f>
        <v>0.59272309866439621</v>
      </c>
      <c r="K202" s="447">
        <f>K100*Calc_SEC_death_rates!$G147</f>
        <v>0.62534110928088926</v>
      </c>
      <c r="L202" s="447">
        <f>L100*Calc_SEC_death_rates!$G147</f>
        <v>0.65374346081554913</v>
      </c>
      <c r="M202" s="447">
        <f>M100*Calc_SEC_death_rates!$G147</f>
        <v>0.67779543370193718</v>
      </c>
      <c r="N202" s="447">
        <f>N100*Calc_SEC_death_rates!$G147</f>
        <v>0.69871076350003347</v>
      </c>
      <c r="O202" s="320"/>
      <c r="P202" s="320"/>
    </row>
    <row r="203" spans="1:16">
      <c r="B203" s="331" t="str">
        <f t="shared" si="68"/>
        <v>60-64</v>
      </c>
      <c r="C203" s="447">
        <f>C101*Calc_SEC_death_rates!$G148</f>
        <v>0.17018179739093434</v>
      </c>
      <c r="D203" s="447">
        <f>D101*Calc_SEC_death_rates!$G148</f>
        <v>0.18829305333146801</v>
      </c>
      <c r="E203" s="447">
        <f>E101*Calc_SEC_death_rates!$G148</f>
        <v>0.19533426921360983</v>
      </c>
      <c r="F203" s="447">
        <f>F101*Calc_SEC_death_rates!$G148</f>
        <v>0.19985103517614539</v>
      </c>
      <c r="G203" s="447">
        <f>G101*Calc_SEC_death_rates!$G148</f>
        <v>0.20279593993949577</v>
      </c>
      <c r="H203" s="447">
        <f>H101*Calc_SEC_death_rates!$G148</f>
        <v>0.2067393275842542</v>
      </c>
      <c r="I203" s="447">
        <f>I101*Calc_SEC_death_rates!$G148</f>
        <v>0.21192296765696311</v>
      </c>
      <c r="J203" s="447">
        <f>J101*Calc_SEC_death_rates!$G148</f>
        <v>0.22031344985218348</v>
      </c>
      <c r="K203" s="447">
        <f>K101*Calc_SEC_death_rates!$G148</f>
        <v>0.23050717669612816</v>
      </c>
      <c r="L203" s="447">
        <f>L101*Calc_SEC_death_rates!$G148</f>
        <v>0.23979029518132408</v>
      </c>
      <c r="M203" s="447">
        <f>M101*Calc_SEC_death_rates!$G148</f>
        <v>0.24817693282737863</v>
      </c>
      <c r="N203" s="447">
        <f>N101*Calc_SEC_death_rates!$G148</f>
        <v>0.25625241493893408</v>
      </c>
      <c r="O203" s="320"/>
      <c r="P203" s="320"/>
    </row>
    <row r="204" spans="1:16">
      <c r="B204" s="331" t="str">
        <f t="shared" si="68"/>
        <v>65 plus</v>
      </c>
      <c r="C204" s="447">
        <f>C102*Calc_SEC_death_rates!$G149</f>
        <v>0.10954832042281758</v>
      </c>
      <c r="D204" s="447">
        <f>D102*Calc_SEC_death_rates!$G149</f>
        <v>0.1895243470791991</v>
      </c>
      <c r="E204" s="447">
        <f>E102*Calc_SEC_death_rates!$G149</f>
        <v>0.25502494214043503</v>
      </c>
      <c r="F204" s="447">
        <f>F102*Calc_SEC_death_rates!$G149</f>
        <v>0.30368417824382793</v>
      </c>
      <c r="G204" s="447">
        <f>G102*Calc_SEC_death_rates!$G149</f>
        <v>0.33508627718446904</v>
      </c>
      <c r="H204" s="447">
        <f>H102*Calc_SEC_death_rates!$G149</f>
        <v>0.35574343807122744</v>
      </c>
      <c r="I204" s="447">
        <f>I102*Calc_SEC_death_rates!$G149</f>
        <v>0.36985326670480612</v>
      </c>
      <c r="J204" s="447">
        <f>J102*Calc_SEC_death_rates!$G149</f>
        <v>0.38396575256023452</v>
      </c>
      <c r="K204" s="447">
        <f>K102*Calc_SEC_death_rates!$G149</f>
        <v>0.39892771889111367</v>
      </c>
      <c r="L204" s="447">
        <f>L102*Calc_SEC_death_rates!$G149</f>
        <v>0.41213967481216129</v>
      </c>
      <c r="M204" s="447">
        <f>M102*Calc_SEC_death_rates!$G149</f>
        <v>0.42411269985298589</v>
      </c>
      <c r="N204" s="447">
        <f>N102*Calc_SEC_death_rates!$G149</f>
        <v>0.436139226330782</v>
      </c>
      <c r="O204" s="320"/>
      <c r="P204" s="320"/>
    </row>
    <row r="205" spans="1:16">
      <c r="B205" s="331" t="str">
        <f t="shared" si="68"/>
        <v>Total</v>
      </c>
      <c r="C205" s="447">
        <f>SUM(C195:C204)</f>
        <v>3.2474424624591807</v>
      </c>
      <c r="D205" s="447">
        <f t="shared" ref="D205:N205" si="70">SUM(D195:D204)</f>
        <v>3.3934587641418843</v>
      </c>
      <c r="E205" s="447">
        <f t="shared" si="70"/>
        <v>3.560141484255444</v>
      </c>
      <c r="F205" s="447">
        <f t="shared" si="70"/>
        <v>3.7278408927168516</v>
      </c>
      <c r="G205" s="447">
        <f t="shared" si="70"/>
        <v>3.860487371305517</v>
      </c>
      <c r="H205" s="447">
        <f t="shared" si="70"/>
        <v>3.9702906487516154</v>
      </c>
      <c r="I205" s="447">
        <f t="shared" si="70"/>
        <v>4.0580205438287988</v>
      </c>
      <c r="J205" s="447">
        <f t="shared" si="70"/>
        <v>4.1507152460526706</v>
      </c>
      <c r="K205" s="447">
        <f t="shared" si="70"/>
        <v>4.2425995771961604</v>
      </c>
      <c r="L205" s="447">
        <f t="shared" si="70"/>
        <v>4.3108244442453927</v>
      </c>
      <c r="M205" s="447">
        <f t="shared" si="70"/>
        <v>4.359297279767568</v>
      </c>
      <c r="N205" s="447">
        <f t="shared" si="70"/>
        <v>4.3986834550607945</v>
      </c>
      <c r="O205" s="320"/>
      <c r="P205" s="320"/>
    </row>
    <row r="206" spans="1:16">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6"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36.078503031674344</v>
      </c>
      <c r="D213" s="447">
        <f t="shared" ref="D213:N213" si="75">D111+D145+D179</f>
        <v>41.534692125620801</v>
      </c>
      <c r="E213" s="447">
        <f t="shared" si="75"/>
        <v>50.955557215913601</v>
      </c>
      <c r="F213" s="447">
        <f t="shared" si="75"/>
        <v>57.13134116537487</v>
      </c>
      <c r="G213" s="447">
        <f t="shared" si="75"/>
        <v>61.588269452340498</v>
      </c>
      <c r="H213" s="447">
        <f t="shared" si="75"/>
        <v>64.37405444956066</v>
      </c>
      <c r="I213" s="447">
        <f t="shared" si="75"/>
        <v>65.884375627119823</v>
      </c>
      <c r="J213" s="447">
        <f t="shared" si="75"/>
        <v>68.201769628879461</v>
      </c>
      <c r="K213" s="447">
        <f t="shared" si="75"/>
        <v>70.743705326586252</v>
      </c>
      <c r="L213" s="447">
        <f t="shared" si="75"/>
        <v>71.924849679559557</v>
      </c>
      <c r="M213" s="447">
        <f t="shared" si="75"/>
        <v>72.300247920854986</v>
      </c>
      <c r="N213" s="447">
        <f t="shared" si="75"/>
        <v>72.720976427547299</v>
      </c>
    </row>
    <row r="214" spans="1:14">
      <c r="B214" s="331" t="str">
        <f t="shared" si="72"/>
        <v>25-29</v>
      </c>
      <c r="C214" s="447">
        <f t="shared" si="74"/>
        <v>128.47192150917905</v>
      </c>
      <c r="D214" s="447">
        <f t="shared" ref="D214:N214" si="76">D112+D146+D180</f>
        <v>111.45158196804036</v>
      </c>
      <c r="E214" s="447">
        <f t="shared" si="76"/>
        <v>110.43085343580269</v>
      </c>
      <c r="F214" s="447">
        <f t="shared" si="76"/>
        <v>107.25565117202692</v>
      </c>
      <c r="G214" s="447">
        <f t="shared" si="76"/>
        <v>106.96287928346233</v>
      </c>
      <c r="H214" s="447">
        <f t="shared" si="76"/>
        <v>107.01644905992734</v>
      </c>
      <c r="I214" s="447">
        <f t="shared" si="76"/>
        <v>106.99053865569191</v>
      </c>
      <c r="J214" s="447">
        <f t="shared" si="76"/>
        <v>108.43422249081722</v>
      </c>
      <c r="K214" s="447">
        <f t="shared" si="76"/>
        <v>110.71087313920869</v>
      </c>
      <c r="L214" s="447">
        <f t="shared" si="76"/>
        <v>112.10420564071947</v>
      </c>
      <c r="M214" s="447">
        <f t="shared" si="76"/>
        <v>112.82132610826831</v>
      </c>
      <c r="N214" s="447">
        <f t="shared" si="76"/>
        <v>113.54914861511324</v>
      </c>
    </row>
    <row r="215" spans="1:14">
      <c r="B215" s="331" t="str">
        <f t="shared" si="72"/>
        <v>30-34</v>
      </c>
      <c r="C215" s="447">
        <f t="shared" si="74"/>
        <v>144.38616260105516</v>
      </c>
      <c r="D215" s="447">
        <f t="shared" ref="D215:N215" si="77">D113+D147+D181</f>
        <v>127.65052400127534</v>
      </c>
      <c r="E215" s="447">
        <f t="shared" si="77"/>
        <v>123.33868303525388</v>
      </c>
      <c r="F215" s="447">
        <f t="shared" si="77"/>
        <v>114.24189520028877</v>
      </c>
      <c r="G215" s="447">
        <f t="shared" si="77"/>
        <v>108.90609364790372</v>
      </c>
      <c r="H215" s="447">
        <f t="shared" si="77"/>
        <v>104.74116449736754</v>
      </c>
      <c r="I215" s="447">
        <f t="shared" si="77"/>
        <v>101.44968081532207</v>
      </c>
      <c r="J215" s="447">
        <f t="shared" si="77"/>
        <v>99.555523500139955</v>
      </c>
      <c r="K215" s="447">
        <f t="shared" si="77"/>
        <v>98.745552337022005</v>
      </c>
      <c r="L215" s="447">
        <f t="shared" si="77"/>
        <v>98.178532026763932</v>
      </c>
      <c r="M215" s="447">
        <f t="shared" si="77"/>
        <v>97.741172506602155</v>
      </c>
      <c r="N215" s="447">
        <f t="shared" si="77"/>
        <v>97.581796603716057</v>
      </c>
    </row>
    <row r="216" spans="1:14">
      <c r="B216" s="331" t="str">
        <f t="shared" si="72"/>
        <v>35-39</v>
      </c>
      <c r="C216" s="447">
        <f t="shared" si="74"/>
        <v>148.52228700756672</v>
      </c>
      <c r="D216" s="447">
        <f t="shared" ref="D216:N216" si="78">D114+D148+D182</f>
        <v>137.39728065670886</v>
      </c>
      <c r="E216" s="447">
        <f t="shared" si="78"/>
        <v>136.93317518247108</v>
      </c>
      <c r="F216" s="447">
        <f t="shared" si="78"/>
        <v>128.87883338050773</v>
      </c>
      <c r="G216" s="447">
        <f t="shared" si="78"/>
        <v>123.49223707619591</v>
      </c>
      <c r="H216" s="447">
        <f t="shared" si="78"/>
        <v>118.38628297232522</v>
      </c>
      <c r="I216" s="447">
        <f t="shared" si="78"/>
        <v>113.6783111803162</v>
      </c>
      <c r="J216" s="447">
        <f t="shared" si="78"/>
        <v>109.93332427978332</v>
      </c>
      <c r="K216" s="447">
        <f t="shared" si="78"/>
        <v>107.06382077925477</v>
      </c>
      <c r="L216" s="447">
        <f t="shared" si="78"/>
        <v>104.59884921818444</v>
      </c>
      <c r="M216" s="447">
        <f t="shared" si="78"/>
        <v>102.52503407189218</v>
      </c>
      <c r="N216" s="447">
        <f t="shared" si="78"/>
        <v>100.94736921612429</v>
      </c>
    </row>
    <row r="217" spans="1:14">
      <c r="B217" s="331" t="str">
        <f t="shared" si="72"/>
        <v>40-44</v>
      </c>
      <c r="C217" s="447">
        <f t="shared" si="74"/>
        <v>110.12191401863771</v>
      </c>
      <c r="D217" s="447">
        <f t="shared" ref="D217:N217" si="79">D115+D149+D183</f>
        <v>112.46338922040999</v>
      </c>
      <c r="E217" s="447">
        <f t="shared" si="79"/>
        <v>121.21775413910558</v>
      </c>
      <c r="F217" s="447">
        <f t="shared" si="79"/>
        <v>121.35709192315504</v>
      </c>
      <c r="G217" s="447">
        <f t="shared" si="79"/>
        <v>121.96987194506615</v>
      </c>
      <c r="H217" s="447">
        <f t="shared" si="79"/>
        <v>121.21204080288199</v>
      </c>
      <c r="I217" s="447">
        <f t="shared" si="79"/>
        <v>119.47449453937195</v>
      </c>
      <c r="J217" s="447">
        <f t="shared" si="79"/>
        <v>117.56233340478956</v>
      </c>
      <c r="K217" s="447">
        <f t="shared" si="79"/>
        <v>115.62672104172236</v>
      </c>
      <c r="L217" s="447">
        <f t="shared" si="79"/>
        <v>113.44010552906734</v>
      </c>
      <c r="M217" s="447">
        <f t="shared" si="79"/>
        <v>111.19357407673232</v>
      </c>
      <c r="N217" s="447">
        <f t="shared" si="79"/>
        <v>109.15097812827555</v>
      </c>
    </row>
    <row r="218" spans="1:14">
      <c r="B218" s="331" t="str">
        <f t="shared" si="72"/>
        <v>45-49</v>
      </c>
      <c r="C218" s="447">
        <f t="shared" si="74"/>
        <v>64.563446710150473</v>
      </c>
      <c r="D218" s="447">
        <f t="shared" ref="D218:N218" si="80">D116+D150+D184</f>
        <v>71.052801293394523</v>
      </c>
      <c r="E218" s="447">
        <f t="shared" si="80"/>
        <v>82.489061572372094</v>
      </c>
      <c r="F218" s="447">
        <f t="shared" si="80"/>
        <v>88.447157371114386</v>
      </c>
      <c r="G218" s="447">
        <f t="shared" si="80"/>
        <v>94.366286181491716</v>
      </c>
      <c r="H218" s="447">
        <f t="shared" si="80"/>
        <v>98.734259893451636</v>
      </c>
      <c r="I218" s="447">
        <f t="shared" si="80"/>
        <v>101.66716954793424</v>
      </c>
      <c r="J218" s="447">
        <f t="shared" si="80"/>
        <v>103.76897306198094</v>
      </c>
      <c r="K218" s="447">
        <f t="shared" si="80"/>
        <v>105.14374486493224</v>
      </c>
      <c r="L218" s="447">
        <f t="shared" si="80"/>
        <v>105.6112232809476</v>
      </c>
      <c r="M218" s="447">
        <f t="shared" si="80"/>
        <v>105.4015070275958</v>
      </c>
      <c r="N218" s="447">
        <f t="shared" si="80"/>
        <v>104.83378436711949</v>
      </c>
    </row>
    <row r="219" spans="1:14">
      <c r="B219" s="331" t="str">
        <f t="shared" si="72"/>
        <v>50-54</v>
      </c>
      <c r="C219" s="447">
        <f t="shared" si="74"/>
        <v>50.840989803877072</v>
      </c>
      <c r="D219" s="447">
        <f t="shared" ref="D219:N219" si="81">D117+D151+D185</f>
        <v>54.414823354752642</v>
      </c>
      <c r="E219" s="447">
        <f t="shared" si="81"/>
        <v>62.558770022268646</v>
      </c>
      <c r="F219" s="447">
        <f t="shared" si="81"/>
        <v>68.698224125385252</v>
      </c>
      <c r="G219" s="447">
        <f t="shared" si="81"/>
        <v>75.43305474275256</v>
      </c>
      <c r="H219" s="447">
        <f t="shared" si="81"/>
        <v>81.560262115402921</v>
      </c>
      <c r="I219" s="447">
        <f t="shared" si="81"/>
        <v>86.855614014293124</v>
      </c>
      <c r="J219" s="447">
        <f t="shared" si="81"/>
        <v>91.630435451230795</v>
      </c>
      <c r="K219" s="447">
        <f t="shared" si="81"/>
        <v>95.750116135985593</v>
      </c>
      <c r="L219" s="447">
        <f t="shared" si="81"/>
        <v>98.856409042012217</v>
      </c>
      <c r="M219" s="447">
        <f t="shared" si="81"/>
        <v>101.06101808392289</v>
      </c>
      <c r="N219" s="447">
        <f t="shared" si="81"/>
        <v>102.61186951052319</v>
      </c>
    </row>
    <row r="220" spans="1:14">
      <c r="B220" s="331" t="str">
        <f t="shared" si="72"/>
        <v>55-59</v>
      </c>
      <c r="C220" s="447">
        <f t="shared" si="74"/>
        <v>77.202187106992511</v>
      </c>
      <c r="D220" s="447">
        <f t="shared" ref="D220:N220" si="82">D118+D152+D186</f>
        <v>71.546339687198227</v>
      </c>
      <c r="E220" s="447">
        <f t="shared" si="82"/>
        <v>72.085433989754804</v>
      </c>
      <c r="F220" s="447">
        <f t="shared" si="82"/>
        <v>74.820284209877272</v>
      </c>
      <c r="G220" s="447">
        <f t="shared" si="82"/>
        <v>79.198923383202995</v>
      </c>
      <c r="H220" s="447">
        <f t="shared" si="82"/>
        <v>84.306561338955561</v>
      </c>
      <c r="I220" s="447">
        <f t="shared" si="82"/>
        <v>89.583903110953869</v>
      </c>
      <c r="J220" s="447">
        <f t="shared" si="82"/>
        <v>95.252779275299531</v>
      </c>
      <c r="K220" s="447">
        <f t="shared" si="82"/>
        <v>100.83416855567226</v>
      </c>
      <c r="L220" s="447">
        <f t="shared" si="82"/>
        <v>105.56718493073542</v>
      </c>
      <c r="M220" s="447">
        <f t="shared" si="82"/>
        <v>109.45293966126101</v>
      </c>
      <c r="N220" s="447">
        <f t="shared" si="82"/>
        <v>112.69980897084415</v>
      </c>
    </row>
    <row r="221" spans="1:14">
      <c r="B221" s="331" t="str">
        <f t="shared" si="72"/>
        <v>60-64</v>
      </c>
      <c r="C221" s="447">
        <f t="shared" si="74"/>
        <v>39.197602802600734</v>
      </c>
      <c r="D221" s="447">
        <f t="shared" ref="D221:N221" si="83">D119+D153+D187</f>
        <v>41.733259885380583</v>
      </c>
      <c r="E221" s="447">
        <f t="shared" si="83"/>
        <v>43.138696666524893</v>
      </c>
      <c r="F221" s="447">
        <f t="shared" si="83"/>
        <v>44.049208128969582</v>
      </c>
      <c r="G221" s="447">
        <f t="shared" si="83"/>
        <v>45.106661684154467</v>
      </c>
      <c r="H221" s="447">
        <f t="shared" si="83"/>
        <v>46.509468320855916</v>
      </c>
      <c r="I221" s="447">
        <f t="shared" si="83"/>
        <v>48.220903781333789</v>
      </c>
      <c r="J221" s="447">
        <f t="shared" si="83"/>
        <v>50.615207409696737</v>
      </c>
      <c r="K221" s="447">
        <f t="shared" si="83"/>
        <v>53.347029144853941</v>
      </c>
      <c r="L221" s="447">
        <f t="shared" si="83"/>
        <v>55.798184818201079</v>
      </c>
      <c r="M221" s="447">
        <f t="shared" si="83"/>
        <v>57.962750340122007</v>
      </c>
      <c r="N221" s="447">
        <f t="shared" si="83"/>
        <v>59.969590755380821</v>
      </c>
    </row>
    <row r="222" spans="1:14">
      <c r="B222" s="331" t="str">
        <f t="shared" si="72"/>
        <v>65 plus</v>
      </c>
      <c r="C222" s="447">
        <f t="shared" si="74"/>
        <v>10.155653746976276</v>
      </c>
      <c r="D222" s="447">
        <f t="shared" ref="D222:N222" si="84">D120+D154+D188</f>
        <v>13.857549879307891</v>
      </c>
      <c r="E222" s="447">
        <f t="shared" si="84"/>
        <v>17.088708276897044</v>
      </c>
      <c r="F222" s="447">
        <f t="shared" si="84"/>
        <v>19.225794471445436</v>
      </c>
      <c r="G222" s="447">
        <f t="shared" si="84"/>
        <v>20.655751835634149</v>
      </c>
      <c r="H222" s="447">
        <f t="shared" si="84"/>
        <v>21.619950179919556</v>
      </c>
      <c r="I222" s="447">
        <f t="shared" si="84"/>
        <v>22.339365283206202</v>
      </c>
      <c r="J222" s="447">
        <f t="shared" si="84"/>
        <v>23.181628027462576</v>
      </c>
      <c r="K222" s="447">
        <f t="shared" si="84"/>
        <v>24.148901283703434</v>
      </c>
      <c r="L222" s="447">
        <f t="shared" si="84"/>
        <v>25.037396969103877</v>
      </c>
      <c r="M222" s="447">
        <f t="shared" si="84"/>
        <v>25.858923262454471</v>
      </c>
      <c r="N222" s="447">
        <f t="shared" si="84"/>
        <v>26.680938120359748</v>
      </c>
    </row>
    <row r="223" spans="1:14">
      <c r="B223" s="331" t="str">
        <f t="shared" si="72"/>
        <v>Total</v>
      </c>
      <c r="C223" s="447">
        <f>SUM(C213:C222)</f>
        <v>809.54066833871013</v>
      </c>
      <c r="D223" s="447">
        <f t="shared" ref="D223:N223" si="85">SUM(D213:D222)</f>
        <v>783.10224207208921</v>
      </c>
      <c r="E223" s="447">
        <f t="shared" si="85"/>
        <v>820.23669353636421</v>
      </c>
      <c r="F223" s="447">
        <f t="shared" si="85"/>
        <v>824.10548114814515</v>
      </c>
      <c r="G223" s="447">
        <f t="shared" si="85"/>
        <v>837.68002923220456</v>
      </c>
      <c r="H223" s="447">
        <f t="shared" si="85"/>
        <v>848.46049363064833</v>
      </c>
      <c r="I223" s="447">
        <f t="shared" si="85"/>
        <v>856.14435655554325</v>
      </c>
      <c r="J223" s="447">
        <f t="shared" si="85"/>
        <v>868.13619653008016</v>
      </c>
      <c r="K223" s="447">
        <f t="shared" si="85"/>
        <v>882.11463260894163</v>
      </c>
      <c r="L223" s="447">
        <f t="shared" si="85"/>
        <v>891.11694113529484</v>
      </c>
      <c r="M223" s="447">
        <f t="shared" si="85"/>
        <v>896.31849305970616</v>
      </c>
      <c r="N223" s="447">
        <f t="shared" si="85"/>
        <v>900.74626071500393</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56.507131193926348</v>
      </c>
      <c r="D229" s="447">
        <f t="shared" ref="D229:N229" si="90">D195+D161+D127</f>
        <v>55.641950857627862</v>
      </c>
      <c r="E229" s="447">
        <f t="shared" si="90"/>
        <v>58.199087752039155</v>
      </c>
      <c r="F229" s="447">
        <f t="shared" si="90"/>
        <v>61.732989893058232</v>
      </c>
      <c r="G229" s="447">
        <f t="shared" si="90"/>
        <v>63.019183210854145</v>
      </c>
      <c r="H229" s="447">
        <f t="shared" si="90"/>
        <v>63.601775950674352</v>
      </c>
      <c r="I229" s="447">
        <f t="shared" si="90"/>
        <v>63.598524275415812</v>
      </c>
      <c r="J229" s="447">
        <f t="shared" si="90"/>
        <v>64.746218119251296</v>
      </c>
      <c r="K229" s="447">
        <f t="shared" si="90"/>
        <v>66.388513769279243</v>
      </c>
      <c r="L229" s="447">
        <f t="shared" si="90"/>
        <v>66.986209416798829</v>
      </c>
      <c r="M229" s="447">
        <f t="shared" si="90"/>
        <v>66.988574164583014</v>
      </c>
      <c r="N229" s="447">
        <f t="shared" si="90"/>
        <v>67.133715590828515</v>
      </c>
    </row>
    <row r="230" spans="1:14">
      <c r="B230" s="331" t="str">
        <f t="shared" si="87"/>
        <v>25-29</v>
      </c>
      <c r="C230" s="447">
        <f t="shared" si="89"/>
        <v>141.83989467348721</v>
      </c>
      <c r="D230" s="447">
        <f t="shared" ref="D230:N230" si="91">D196+D162+D128</f>
        <v>127.15921739225051</v>
      </c>
      <c r="E230" s="447">
        <f t="shared" si="91"/>
        <v>120.22866243842606</v>
      </c>
      <c r="F230" s="447">
        <f t="shared" si="91"/>
        <v>116.92932350839011</v>
      </c>
      <c r="G230" s="447">
        <f t="shared" si="91"/>
        <v>113.07633996999172</v>
      </c>
      <c r="H230" s="447">
        <f t="shared" si="91"/>
        <v>110.14495381548863</v>
      </c>
      <c r="I230" s="447">
        <f t="shared" si="91"/>
        <v>107.68867493737017</v>
      </c>
      <c r="J230" s="447">
        <f t="shared" si="91"/>
        <v>107.07958572183981</v>
      </c>
      <c r="K230" s="447">
        <f t="shared" si="91"/>
        <v>107.64776187926485</v>
      </c>
      <c r="L230" s="447">
        <f t="shared" si="91"/>
        <v>107.72339506766575</v>
      </c>
      <c r="M230" s="447">
        <f t="shared" si="91"/>
        <v>107.43779418087092</v>
      </c>
      <c r="N230" s="447">
        <f t="shared" si="91"/>
        <v>107.37726728804017</v>
      </c>
    </row>
    <row r="231" spans="1:14">
      <c r="B231" s="331" t="str">
        <f t="shared" si="87"/>
        <v>30-34</v>
      </c>
      <c r="C231" s="447">
        <f t="shared" si="89"/>
        <v>149.2073622492166</v>
      </c>
      <c r="D231" s="447">
        <f t="shared" ref="D231:N231" si="92">D197+D163+D129</f>
        <v>140.73918155581694</v>
      </c>
      <c r="E231" s="447">
        <f t="shared" si="92"/>
        <v>134.99335052214803</v>
      </c>
      <c r="F231" s="447">
        <f t="shared" si="92"/>
        <v>129.9909892247133</v>
      </c>
      <c r="G231" s="447">
        <f t="shared" si="92"/>
        <v>123.84113348822542</v>
      </c>
      <c r="H231" s="447">
        <f t="shared" si="92"/>
        <v>118.56108616242658</v>
      </c>
      <c r="I231" s="447">
        <f t="shared" si="92"/>
        <v>114.01489266975753</v>
      </c>
      <c r="J231" s="447">
        <f t="shared" si="92"/>
        <v>110.90084197292417</v>
      </c>
      <c r="K231" s="447">
        <f t="shared" si="92"/>
        <v>108.95978384080217</v>
      </c>
      <c r="L231" s="447">
        <f t="shared" si="92"/>
        <v>107.33208239843839</v>
      </c>
      <c r="M231" s="447">
        <f t="shared" si="92"/>
        <v>105.93064924363013</v>
      </c>
      <c r="N231" s="447">
        <f t="shared" si="92"/>
        <v>104.93345979465498</v>
      </c>
    </row>
    <row r="232" spans="1:14">
      <c r="B232" s="331" t="str">
        <f t="shared" si="87"/>
        <v>35-39</v>
      </c>
      <c r="C232" s="447">
        <f t="shared" si="89"/>
        <v>131.41774478731591</v>
      </c>
      <c r="D232" s="447">
        <f t="shared" ref="D232:N232" si="93">D198+D164+D130</f>
        <v>129.63135865721208</v>
      </c>
      <c r="E232" s="447">
        <f t="shared" si="93"/>
        <v>129.0541943219007</v>
      </c>
      <c r="F232" s="447">
        <f t="shared" si="93"/>
        <v>127.60786841243737</v>
      </c>
      <c r="G232" s="447">
        <f t="shared" si="93"/>
        <v>123.78822098403197</v>
      </c>
      <c r="H232" s="447">
        <f t="shared" si="93"/>
        <v>119.76717102883812</v>
      </c>
      <c r="I232" s="447">
        <f t="shared" si="93"/>
        <v>115.72340144440395</v>
      </c>
      <c r="J232" s="447">
        <f t="shared" si="93"/>
        <v>112.32635583622454</v>
      </c>
      <c r="K232" s="447">
        <f t="shared" si="93"/>
        <v>109.55466344601732</v>
      </c>
      <c r="L232" s="447">
        <f t="shared" si="93"/>
        <v>106.97957995789015</v>
      </c>
      <c r="M232" s="447">
        <f t="shared" si="93"/>
        <v>104.65268152229108</v>
      </c>
      <c r="N232" s="447">
        <f t="shared" si="93"/>
        <v>102.73979448925807</v>
      </c>
    </row>
    <row r="233" spans="1:14">
      <c r="B233" s="331" t="str">
        <f t="shared" si="87"/>
        <v>40-44</v>
      </c>
      <c r="C233" s="447">
        <f t="shared" si="89"/>
        <v>85.129205479396049</v>
      </c>
      <c r="D233" s="447">
        <f t="shared" ref="D233:N233" si="94">D199+D165+D131</f>
        <v>92.085235101601327</v>
      </c>
      <c r="E233" s="447">
        <f t="shared" si="94"/>
        <v>98.700745871018341</v>
      </c>
      <c r="F233" s="447">
        <f t="shared" si="94"/>
        <v>103.59283337724885</v>
      </c>
      <c r="G233" s="447">
        <f t="shared" si="94"/>
        <v>105.4080244580538</v>
      </c>
      <c r="H233" s="447">
        <f t="shared" si="94"/>
        <v>105.93696835574173</v>
      </c>
      <c r="I233" s="447">
        <f t="shared" si="94"/>
        <v>105.45826541289532</v>
      </c>
      <c r="J233" s="447">
        <f t="shared" si="94"/>
        <v>104.68324061660681</v>
      </c>
      <c r="K233" s="447">
        <f t="shared" si="94"/>
        <v>103.72095099780536</v>
      </c>
      <c r="L233" s="447">
        <f t="shared" si="94"/>
        <v>102.33894491034292</v>
      </c>
      <c r="M233" s="447">
        <f t="shared" si="94"/>
        <v>100.72539342264692</v>
      </c>
      <c r="N233" s="447">
        <f t="shared" si="94"/>
        <v>99.148872688289799</v>
      </c>
    </row>
    <row r="234" spans="1:14">
      <c r="B234" s="331" t="str">
        <f t="shared" si="87"/>
        <v>45-49</v>
      </c>
      <c r="C234" s="447">
        <f t="shared" si="89"/>
        <v>51.617252190502541</v>
      </c>
      <c r="D234" s="447">
        <f t="shared" ref="D234:N234" si="95">D200+D166+D132</f>
        <v>59.60008510136182</v>
      </c>
      <c r="E234" s="447">
        <f t="shared" si="95"/>
        <v>68.297526121198089</v>
      </c>
      <c r="F234" s="447">
        <f t="shared" si="95"/>
        <v>76.262607294342203</v>
      </c>
      <c r="G234" s="447">
        <f t="shared" si="95"/>
        <v>81.925171030738198</v>
      </c>
      <c r="H234" s="447">
        <f t="shared" si="95"/>
        <v>86.324471135508574</v>
      </c>
      <c r="I234" s="447">
        <f t="shared" si="95"/>
        <v>89.517197714790115</v>
      </c>
      <c r="J234" s="447">
        <f t="shared" si="95"/>
        <v>92.038482611549128</v>
      </c>
      <c r="K234" s="447">
        <f t="shared" si="95"/>
        <v>93.928176588530675</v>
      </c>
      <c r="L234" s="447">
        <f t="shared" si="95"/>
        <v>94.953428924691465</v>
      </c>
      <c r="M234" s="447">
        <f t="shared" si="95"/>
        <v>95.301422603608671</v>
      </c>
      <c r="N234" s="447">
        <f t="shared" si="95"/>
        <v>95.258257374734157</v>
      </c>
    </row>
    <row r="235" spans="1:14">
      <c r="B235" s="331" t="str">
        <f t="shared" si="87"/>
        <v>50-54</v>
      </c>
      <c r="C235" s="447">
        <f t="shared" si="89"/>
        <v>44.277923133885963</v>
      </c>
      <c r="D235" s="447">
        <f t="shared" ref="D235:N235" si="96">D201+D167+D133</f>
        <v>47.34990178819524</v>
      </c>
      <c r="E235" s="447">
        <f t="shared" si="96"/>
        <v>52.439218209503302</v>
      </c>
      <c r="F235" s="447">
        <f t="shared" si="96"/>
        <v>58.295795758538837</v>
      </c>
      <c r="G235" s="447">
        <f t="shared" si="96"/>
        <v>63.466806750056676</v>
      </c>
      <c r="H235" s="447">
        <f t="shared" si="96"/>
        <v>68.329586796940021</v>
      </c>
      <c r="I235" s="447">
        <f t="shared" si="96"/>
        <v>72.664185856443922</v>
      </c>
      <c r="J235" s="447">
        <f t="shared" si="96"/>
        <v>76.742290198369147</v>
      </c>
      <c r="K235" s="447">
        <f t="shared" si="96"/>
        <v>80.407398568718662</v>
      </c>
      <c r="L235" s="447">
        <f t="shared" si="96"/>
        <v>83.288121645490932</v>
      </c>
      <c r="M235" s="447">
        <f t="shared" si="96"/>
        <v>85.452646133179186</v>
      </c>
      <c r="N235" s="447">
        <f t="shared" si="96"/>
        <v>87.097482372240236</v>
      </c>
    </row>
    <row r="236" spans="1:14">
      <c r="B236" s="331" t="str">
        <f t="shared" si="87"/>
        <v>55-59</v>
      </c>
      <c r="C236" s="447">
        <f t="shared" si="89"/>
        <v>69.386349046089407</v>
      </c>
      <c r="D236" s="447">
        <f t="shared" ref="D236:N236" si="97">D202+D168+D134</f>
        <v>64.400373739534359</v>
      </c>
      <c r="E236" s="447">
        <f t="shared" si="97"/>
        <v>63.515095430787447</v>
      </c>
      <c r="F236" s="447">
        <f t="shared" si="97"/>
        <v>65.20494764170752</v>
      </c>
      <c r="G236" s="447">
        <f t="shared" si="97"/>
        <v>67.793392215690602</v>
      </c>
      <c r="H236" s="447">
        <f t="shared" si="97"/>
        <v>71.149816363523627</v>
      </c>
      <c r="I236" s="447">
        <f t="shared" si="97"/>
        <v>74.826434960699558</v>
      </c>
      <c r="J236" s="447">
        <f t="shared" si="97"/>
        <v>79.049815303730057</v>
      </c>
      <c r="K236" s="447">
        <f t="shared" si="97"/>
        <v>83.399987788350614</v>
      </c>
      <c r="L236" s="447">
        <f t="shared" si="97"/>
        <v>87.187929658788363</v>
      </c>
      <c r="M236" s="447">
        <f t="shared" si="97"/>
        <v>90.395673744759648</v>
      </c>
      <c r="N236" s="447">
        <f t="shared" si="97"/>
        <v>93.185092549732289</v>
      </c>
    </row>
    <row r="237" spans="1:14">
      <c r="B237" s="331" t="str">
        <f t="shared" si="87"/>
        <v>60-64</v>
      </c>
      <c r="C237" s="447">
        <f t="shared" si="89"/>
        <v>34.173178929177922</v>
      </c>
      <c r="D237" s="447">
        <f t="shared" ref="D237:N237" si="98">D203+D169+D135</f>
        <v>37.835622514126165</v>
      </c>
      <c r="E237" s="447">
        <f t="shared" si="98"/>
        <v>39.340491671096302</v>
      </c>
      <c r="F237" s="447">
        <f t="shared" si="98"/>
        <v>40.322471443278246</v>
      </c>
      <c r="G237" s="447">
        <f t="shared" si="98"/>
        <v>40.916643187841444</v>
      </c>
      <c r="H237" s="447">
        <f t="shared" si="98"/>
        <v>41.712271469453299</v>
      </c>
      <c r="I237" s="447">
        <f t="shared" si="98"/>
        <v>42.758136348861171</v>
      </c>
      <c r="J237" s="447">
        <f t="shared" si="98"/>
        <v>44.451022144593558</v>
      </c>
      <c r="K237" s="447">
        <f t="shared" si="98"/>
        <v>46.507735332009659</v>
      </c>
      <c r="L237" s="447">
        <f t="shared" si="98"/>
        <v>48.380721777608812</v>
      </c>
      <c r="M237" s="447">
        <f t="shared" si="98"/>
        <v>50.072831886971521</v>
      </c>
      <c r="N237" s="447">
        <f t="shared" si="98"/>
        <v>51.702162435832079</v>
      </c>
    </row>
    <row r="238" spans="1:14">
      <c r="B238" s="331" t="str">
        <f t="shared" si="87"/>
        <v>65 plus</v>
      </c>
      <c r="C238" s="447">
        <f t="shared" si="89"/>
        <v>5.7904023888601452</v>
      </c>
      <c r="D238" s="447">
        <f t="shared" ref="D238:N238" si="99">D204+D170+D136</f>
        <v>10.028153565249109</v>
      </c>
      <c r="E238" s="447">
        <f t="shared" si="99"/>
        <v>13.541548498719578</v>
      </c>
      <c r="F238" s="447">
        <f t="shared" si="99"/>
        <v>16.169815381733855</v>
      </c>
      <c r="G238" s="447">
        <f t="shared" si="99"/>
        <v>17.841835785975732</v>
      </c>
      <c r="H238" s="447">
        <f t="shared" si="99"/>
        <v>18.941736609855568</v>
      </c>
      <c r="I238" s="447">
        <f t="shared" si="99"/>
        <v>19.693021465695786</v>
      </c>
      <c r="J238" s="447">
        <f t="shared" si="99"/>
        <v>20.44444780663736</v>
      </c>
      <c r="K238" s="447">
        <f t="shared" si="99"/>
        <v>21.241105158749349</v>
      </c>
      <c r="L238" s="447">
        <f t="shared" si="99"/>
        <v>21.944582334644291</v>
      </c>
      <c r="M238" s="447">
        <f t="shared" si="99"/>
        <v>22.582092018522417</v>
      </c>
      <c r="N238" s="447">
        <f t="shared" si="99"/>
        <v>23.222450413069264</v>
      </c>
    </row>
    <row r="239" spans="1:14">
      <c r="B239" s="331" t="str">
        <f t="shared" si="87"/>
        <v>Total</v>
      </c>
      <c r="C239" s="447">
        <f>SUM(C229:C238)</f>
        <v>769.34644407185806</v>
      </c>
      <c r="D239" s="447">
        <f t="shared" ref="D239:N239" si="100">SUM(D229:D238)</f>
        <v>764.47108027297543</v>
      </c>
      <c r="E239" s="447">
        <f t="shared" si="100"/>
        <v>778.30992083683714</v>
      </c>
      <c r="F239" s="447">
        <f t="shared" si="100"/>
        <v>796.10964193544851</v>
      </c>
      <c r="G239" s="447">
        <f t="shared" si="100"/>
        <v>801.07675108145963</v>
      </c>
      <c r="H239" s="447">
        <f t="shared" si="100"/>
        <v>804.46983768845053</v>
      </c>
      <c r="I239" s="447">
        <f t="shared" si="100"/>
        <v>805.94273508633341</v>
      </c>
      <c r="J239" s="447">
        <f t="shared" si="100"/>
        <v>812.46230033172594</v>
      </c>
      <c r="K239" s="447">
        <f t="shared" si="100"/>
        <v>821.75607736952793</v>
      </c>
      <c r="L239" s="447">
        <f t="shared" si="100"/>
        <v>827.11499609235989</v>
      </c>
      <c r="M239" s="447">
        <f t="shared" si="100"/>
        <v>829.53975892106337</v>
      </c>
      <c r="N239" s="447">
        <f t="shared" si="100"/>
        <v>831.79855499667963</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258.60365067979092</v>
      </c>
      <c r="D247" s="447">
        <f t="shared" ref="D247:N247" si="105">D77-D213</f>
        <v>310.36492732959476</v>
      </c>
      <c r="E247" s="447">
        <f t="shared" si="105"/>
        <v>365.14654029170703</v>
      </c>
      <c r="F247" s="447">
        <f t="shared" si="105"/>
        <v>418.33010329595515</v>
      </c>
      <c r="G247" s="447">
        <f t="shared" si="105"/>
        <v>450.96485740179747</v>
      </c>
      <c r="H247" s="447">
        <f t="shared" si="105"/>
        <v>471.36307844607649</v>
      </c>
      <c r="I247" s="447">
        <f t="shared" si="105"/>
        <v>482.42203140132955</v>
      </c>
      <c r="J247" s="447">
        <f t="shared" si="105"/>
        <v>499.39057532763729</v>
      </c>
      <c r="K247" s="447">
        <f t="shared" si="105"/>
        <v>518.00327023909199</v>
      </c>
      <c r="L247" s="447">
        <f t="shared" si="105"/>
        <v>526.65190738129547</v>
      </c>
      <c r="M247" s="447">
        <f t="shared" si="105"/>
        <v>529.40066807647429</v>
      </c>
      <c r="N247" s="447">
        <f t="shared" si="105"/>
        <v>532.48134841889237</v>
      </c>
    </row>
    <row r="248" spans="2:14">
      <c r="B248" s="331" t="str">
        <f t="shared" si="102"/>
        <v>25-29</v>
      </c>
      <c r="C248" s="447">
        <f t="shared" si="104"/>
        <v>1205.9416548951374</v>
      </c>
      <c r="D248" s="447">
        <f t="shared" ref="D248:N248" si="106">D78-D214</f>
        <v>1089.3069696968234</v>
      </c>
      <c r="E248" s="447">
        <f t="shared" si="106"/>
        <v>1036.337702162823</v>
      </c>
      <c r="F248" s="447">
        <f t="shared" si="106"/>
        <v>1027.8342003745463</v>
      </c>
      <c r="G248" s="447">
        <f t="shared" si="106"/>
        <v>1025.0285583716623</v>
      </c>
      <c r="H248" s="447">
        <f t="shared" si="106"/>
        <v>1025.5419191853396</v>
      </c>
      <c r="I248" s="447">
        <f t="shared" si="106"/>
        <v>1025.2936189855116</v>
      </c>
      <c r="J248" s="447">
        <f t="shared" si="106"/>
        <v>1039.1284855315148</v>
      </c>
      <c r="K248" s="447">
        <f t="shared" si="106"/>
        <v>1060.9456986401135</v>
      </c>
      <c r="L248" s="447">
        <f t="shared" si="106"/>
        <v>1074.2980468091553</v>
      </c>
      <c r="M248" s="447">
        <f t="shared" si="106"/>
        <v>1081.1702342816186</v>
      </c>
      <c r="N248" s="447">
        <f t="shared" si="106"/>
        <v>1088.1449797254527</v>
      </c>
    </row>
    <row r="249" spans="2:14">
      <c r="B249" s="331" t="str">
        <f t="shared" si="102"/>
        <v>30-34</v>
      </c>
      <c r="C249" s="447">
        <f t="shared" si="104"/>
        <v>1876.7759307731471</v>
      </c>
      <c r="D249" s="447">
        <f t="shared" ref="D249:N249" si="107">D79-D215</f>
        <v>1725.4857795401711</v>
      </c>
      <c r="E249" s="447">
        <f t="shared" si="107"/>
        <v>1602.8110279053124</v>
      </c>
      <c r="F249" s="447">
        <f t="shared" si="107"/>
        <v>1515.0137368216367</v>
      </c>
      <c r="G249" s="447">
        <f t="shared" si="107"/>
        <v>1444.2532453693109</v>
      </c>
      <c r="H249" s="447">
        <f t="shared" si="107"/>
        <v>1389.0202254260698</v>
      </c>
      <c r="I249" s="447">
        <f t="shared" si="107"/>
        <v>1345.3703631397291</v>
      </c>
      <c r="J249" s="447">
        <f t="shared" si="107"/>
        <v>1320.2510813983772</v>
      </c>
      <c r="K249" s="447">
        <f t="shared" si="107"/>
        <v>1309.5096853772263</v>
      </c>
      <c r="L249" s="447">
        <f t="shared" si="107"/>
        <v>1301.9901711255436</v>
      </c>
      <c r="M249" s="447">
        <f t="shared" si="107"/>
        <v>1296.1901475894042</v>
      </c>
      <c r="N249" s="447">
        <f t="shared" si="107"/>
        <v>1294.076591246808</v>
      </c>
    </row>
    <row r="250" spans="2:14">
      <c r="B250" s="331" t="str">
        <f t="shared" si="102"/>
        <v>35-39</v>
      </c>
      <c r="C250" s="447">
        <f t="shared" si="104"/>
        <v>1922.7937196492931</v>
      </c>
      <c r="D250" s="447">
        <f t="shared" ref="D250:N250" si="108">D80-D216</f>
        <v>1849.3694024470065</v>
      </c>
      <c r="E250" s="447">
        <f t="shared" si="108"/>
        <v>1772.3377742836972</v>
      </c>
      <c r="F250" s="447">
        <f t="shared" si="108"/>
        <v>1702.0704654713436</v>
      </c>
      <c r="G250" s="447">
        <f t="shared" si="108"/>
        <v>1630.9310375412572</v>
      </c>
      <c r="H250" s="447">
        <f t="shared" si="108"/>
        <v>1563.4979808453472</v>
      </c>
      <c r="I250" s="447">
        <f t="shared" si="108"/>
        <v>1501.3209768388638</v>
      </c>
      <c r="J250" s="447">
        <f t="shared" si="108"/>
        <v>1451.8618730451904</v>
      </c>
      <c r="K250" s="447">
        <f t="shared" si="108"/>
        <v>1413.965059187509</v>
      </c>
      <c r="L250" s="447">
        <f t="shared" si="108"/>
        <v>1381.4107973100952</v>
      </c>
      <c r="M250" s="447">
        <f t="shared" si="108"/>
        <v>1354.0224402093625</v>
      </c>
      <c r="N250" s="447">
        <f t="shared" si="108"/>
        <v>1333.1866156990143</v>
      </c>
    </row>
    <row r="251" spans="2:14">
      <c r="B251" s="331" t="str">
        <f t="shared" si="102"/>
        <v>40-44</v>
      </c>
      <c r="C251" s="447">
        <f t="shared" si="104"/>
        <v>1271.0075944902846</v>
      </c>
      <c r="D251" s="447">
        <f t="shared" ref="D251:N251" si="109">D81-D217</f>
        <v>1349.6843682472447</v>
      </c>
      <c r="E251" s="447">
        <f t="shared" si="109"/>
        <v>1398.7403087482671</v>
      </c>
      <c r="F251" s="447">
        <f t="shared" si="109"/>
        <v>1428.9504106328015</v>
      </c>
      <c r="G251" s="447">
        <f t="shared" si="109"/>
        <v>1436.1657472073784</v>
      </c>
      <c r="H251" s="447">
        <f t="shared" si="109"/>
        <v>1427.2424687680757</v>
      </c>
      <c r="I251" s="447">
        <f t="shared" si="109"/>
        <v>1406.7832816914081</v>
      </c>
      <c r="J251" s="447">
        <f t="shared" si="109"/>
        <v>1384.268046733506</v>
      </c>
      <c r="K251" s="447">
        <f t="shared" si="109"/>
        <v>1361.476679231208</v>
      </c>
      <c r="L251" s="447">
        <f t="shared" si="109"/>
        <v>1335.7298103404887</v>
      </c>
      <c r="M251" s="447">
        <f t="shared" si="109"/>
        <v>1309.2774457490036</v>
      </c>
      <c r="N251" s="447">
        <f t="shared" si="109"/>
        <v>1285.2263723996818</v>
      </c>
    </row>
    <row r="252" spans="2:14">
      <c r="B252" s="331" t="str">
        <f t="shared" si="102"/>
        <v>45-49</v>
      </c>
      <c r="C252" s="447">
        <f t="shared" si="104"/>
        <v>676.69363942904647</v>
      </c>
      <c r="D252" s="447">
        <f t="shared" ref="D252:N252" si="110">D82-D218</f>
        <v>774.2267850313084</v>
      </c>
      <c r="E252" s="447">
        <f t="shared" si="110"/>
        <v>864.36778973496166</v>
      </c>
      <c r="F252" s="447">
        <f t="shared" si="110"/>
        <v>945.65998492784161</v>
      </c>
      <c r="G252" s="447">
        <f t="shared" si="110"/>
        <v>1008.9461710301373</v>
      </c>
      <c r="H252" s="447">
        <f t="shared" si="110"/>
        <v>1055.6477053404556</v>
      </c>
      <c r="I252" s="447">
        <f t="shared" si="110"/>
        <v>1087.0058109267695</v>
      </c>
      <c r="J252" s="447">
        <f t="shared" si="110"/>
        <v>1109.4778896061894</v>
      </c>
      <c r="K252" s="447">
        <f t="shared" si="110"/>
        <v>1124.1766851480654</v>
      </c>
      <c r="L252" s="447">
        <f t="shared" si="110"/>
        <v>1129.1748744057288</v>
      </c>
      <c r="M252" s="447">
        <f t="shared" si="110"/>
        <v>1126.9326285848524</v>
      </c>
      <c r="N252" s="447">
        <f t="shared" si="110"/>
        <v>1120.8626471574496</v>
      </c>
    </row>
    <row r="253" spans="2:14">
      <c r="B253" s="331" t="str">
        <f t="shared" si="102"/>
        <v>50-54</v>
      </c>
      <c r="C253" s="447">
        <f t="shared" si="104"/>
        <v>390.74465036557802</v>
      </c>
      <c r="D253" s="447">
        <f t="shared" ref="D253:N253" si="111">D83-D219</f>
        <v>431.13041557731793</v>
      </c>
      <c r="E253" s="447">
        <f t="shared" si="111"/>
        <v>480.71330478261211</v>
      </c>
      <c r="F253" s="447">
        <f t="shared" si="111"/>
        <v>536.2971966024179</v>
      </c>
      <c r="G253" s="447">
        <f t="shared" si="111"/>
        <v>588.87309395158343</v>
      </c>
      <c r="H253" s="447">
        <f t="shared" si="111"/>
        <v>636.70554055102639</v>
      </c>
      <c r="I253" s="447">
        <f t="shared" si="111"/>
        <v>678.04405278410627</v>
      </c>
      <c r="J253" s="447">
        <f t="shared" si="111"/>
        <v>715.3190097936656</v>
      </c>
      <c r="K253" s="447">
        <f t="shared" si="111"/>
        <v>747.47956751199422</v>
      </c>
      <c r="L253" s="447">
        <f t="shared" si="111"/>
        <v>771.72904700781828</v>
      </c>
      <c r="M253" s="447">
        <f t="shared" si="111"/>
        <v>788.93947222380473</v>
      </c>
      <c r="N253" s="447">
        <f t="shared" si="111"/>
        <v>801.04629569735755</v>
      </c>
    </row>
    <row r="254" spans="2:14">
      <c r="B254" s="331" t="str">
        <f t="shared" si="102"/>
        <v>55-59</v>
      </c>
      <c r="C254" s="447">
        <f t="shared" si="104"/>
        <v>234.46520928076112</v>
      </c>
      <c r="D254" s="447">
        <f t="shared" ref="D254:N254" si="112">D84-D220</f>
        <v>219.43138488431083</v>
      </c>
      <c r="E254" s="447">
        <f t="shared" si="112"/>
        <v>218.91217407415508</v>
      </c>
      <c r="F254" s="447">
        <f t="shared" si="112"/>
        <v>228.38399991409904</v>
      </c>
      <c r="G254" s="447">
        <f t="shared" si="112"/>
        <v>241.74950820032223</v>
      </c>
      <c r="H254" s="447">
        <f t="shared" si="112"/>
        <v>257.34023735574351</v>
      </c>
      <c r="I254" s="447">
        <f t="shared" si="112"/>
        <v>273.44897625630529</v>
      </c>
      <c r="J254" s="447">
        <f t="shared" si="112"/>
        <v>290.75284815552533</v>
      </c>
      <c r="K254" s="447">
        <f t="shared" si="112"/>
        <v>307.7896720915794</v>
      </c>
      <c r="L254" s="447">
        <f t="shared" si="112"/>
        <v>322.23689349431703</v>
      </c>
      <c r="M254" s="447">
        <f t="shared" si="112"/>
        <v>334.09790441420625</v>
      </c>
      <c r="N254" s="447">
        <f t="shared" si="112"/>
        <v>344.0087595780393</v>
      </c>
    </row>
    <row r="255" spans="2:14">
      <c r="B255" s="331" t="str">
        <f t="shared" si="102"/>
        <v>60-64</v>
      </c>
      <c r="C255" s="447">
        <f t="shared" si="104"/>
        <v>69.458317992854575</v>
      </c>
      <c r="D255" s="447">
        <f t="shared" ref="D255:N255" si="113">D85-D221</f>
        <v>74.577615694085438</v>
      </c>
      <c r="E255" s="447">
        <f t="shared" si="113"/>
        <v>76.437954963497816</v>
      </c>
      <c r="F255" s="447">
        <f t="shared" si="113"/>
        <v>78.395598456955568</v>
      </c>
      <c r="G255" s="447">
        <f t="shared" si="113"/>
        <v>80.277577902679923</v>
      </c>
      <c r="H255" s="447">
        <f t="shared" si="113"/>
        <v>82.774191814140295</v>
      </c>
      <c r="I255" s="447">
        <f t="shared" si="113"/>
        <v>85.820081010418022</v>
      </c>
      <c r="J255" s="447">
        <f t="shared" si="113"/>
        <v>90.081289640630118</v>
      </c>
      <c r="K255" s="447">
        <f t="shared" si="113"/>
        <v>94.943188614576059</v>
      </c>
      <c r="L255" s="447">
        <f t="shared" si="113"/>
        <v>99.305578407386733</v>
      </c>
      <c r="M255" s="447">
        <f t="shared" si="113"/>
        <v>103.1579157523272</v>
      </c>
      <c r="N255" s="447">
        <f t="shared" si="113"/>
        <v>106.72954534669329</v>
      </c>
    </row>
    <row r="256" spans="2:14">
      <c r="B256" s="331" t="str">
        <f t="shared" si="102"/>
        <v>65 plus</v>
      </c>
      <c r="C256" s="447">
        <f t="shared" si="104"/>
        <v>15.266484142594846</v>
      </c>
      <c r="D256" s="447">
        <f t="shared" ref="D256:N256" si="114">D86-D222</f>
        <v>21.122542792814436</v>
      </c>
      <c r="E256" s="447">
        <f t="shared" si="114"/>
        <v>25.686385130524094</v>
      </c>
      <c r="F256" s="447">
        <f t="shared" si="114"/>
        <v>29.108850561040196</v>
      </c>
      <c r="G256" s="447">
        <f t="shared" si="114"/>
        <v>31.273880218703994</v>
      </c>
      <c r="H256" s="447">
        <f t="shared" si="114"/>
        <v>32.733726549459874</v>
      </c>
      <c r="I256" s="447">
        <f t="shared" si="114"/>
        <v>33.822958350206989</v>
      </c>
      <c r="J256" s="447">
        <f t="shared" si="114"/>
        <v>35.098187854615972</v>
      </c>
      <c r="K256" s="447">
        <f t="shared" si="114"/>
        <v>36.56268976164634</v>
      </c>
      <c r="L256" s="447">
        <f t="shared" si="114"/>
        <v>37.907918338226779</v>
      </c>
      <c r="M256" s="447">
        <f t="shared" si="114"/>
        <v>39.151751779836957</v>
      </c>
      <c r="N256" s="447">
        <f t="shared" si="114"/>
        <v>40.396324933537194</v>
      </c>
    </row>
    <row r="257" spans="1:14">
      <c r="B257" s="331" t="str">
        <f t="shared" si="102"/>
        <v>Total</v>
      </c>
      <c r="C257" s="447">
        <f>SUM(C247:C256)</f>
        <v>7921.7508516984881</v>
      </c>
      <c r="D257" s="447">
        <f t="shared" ref="D257:N257" si="115">SUM(D247:D256)</f>
        <v>7844.7001912406786</v>
      </c>
      <c r="E257" s="447">
        <f t="shared" si="115"/>
        <v>7841.490962077557</v>
      </c>
      <c r="F257" s="447">
        <f t="shared" si="115"/>
        <v>7910.0445470586383</v>
      </c>
      <c r="G257" s="447">
        <f t="shared" si="115"/>
        <v>7938.4636771948335</v>
      </c>
      <c r="H257" s="447">
        <f t="shared" si="115"/>
        <v>7941.8670742817339</v>
      </c>
      <c r="I257" s="447">
        <f t="shared" si="115"/>
        <v>7919.3321513846486</v>
      </c>
      <c r="J257" s="447">
        <f t="shared" si="115"/>
        <v>7935.6292870868529</v>
      </c>
      <c r="K257" s="447">
        <f t="shared" si="115"/>
        <v>7974.8521958030096</v>
      </c>
      <c r="L257" s="447">
        <f t="shared" si="115"/>
        <v>7980.4350446200551</v>
      </c>
      <c r="M257" s="447">
        <f t="shared" si="115"/>
        <v>7962.3406086608911</v>
      </c>
      <c r="N257" s="447">
        <f t="shared" si="115"/>
        <v>7946.1594802029276</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427.68073052471669</v>
      </c>
      <c r="D263" s="447">
        <f t="shared" ref="D263:N263" si="120">D93-D229</f>
        <v>418.78782072095328</v>
      </c>
      <c r="E263" s="447">
        <f t="shared" si="120"/>
        <v>429.90869722766416</v>
      </c>
      <c r="F263" s="447">
        <f t="shared" si="120"/>
        <v>449.44176494368321</v>
      </c>
      <c r="G263" s="447">
        <f t="shared" si="120"/>
        <v>458.80578563683895</v>
      </c>
      <c r="H263" s="447">
        <f t="shared" si="120"/>
        <v>463.0473023636614</v>
      </c>
      <c r="I263" s="447">
        <f t="shared" si="120"/>
        <v>463.0236288194227</v>
      </c>
      <c r="J263" s="447">
        <f t="shared" si="120"/>
        <v>471.37931591123521</v>
      </c>
      <c r="K263" s="447">
        <f t="shared" si="120"/>
        <v>483.33590924628265</v>
      </c>
      <c r="L263" s="447">
        <f t="shared" si="120"/>
        <v>487.68738140380674</v>
      </c>
      <c r="M263" s="447">
        <f t="shared" si="120"/>
        <v>487.70459774825417</v>
      </c>
      <c r="N263" s="447">
        <f t="shared" si="120"/>
        <v>488.7612875164192</v>
      </c>
    </row>
    <row r="264" spans="1:14">
      <c r="B264" s="331" t="str">
        <f t="shared" si="117"/>
        <v>25-29</v>
      </c>
      <c r="C264" s="447">
        <f t="shared" si="119"/>
        <v>1380.1738769936444</v>
      </c>
      <c r="D264" s="447">
        <f t="shared" ref="D264:N264" si="121">D94-D230</f>
        <v>1230.6215618786489</v>
      </c>
      <c r="E264" s="447">
        <f t="shared" si="121"/>
        <v>1142.5541995597423</v>
      </c>
      <c r="F264" s="447">
        <f t="shared" si="121"/>
        <v>1095.6311352257587</v>
      </c>
      <c r="G264" s="447">
        <f t="shared" si="121"/>
        <v>1059.5285682945589</v>
      </c>
      <c r="H264" s="447">
        <f t="shared" si="121"/>
        <v>1032.0613954428077</v>
      </c>
      <c r="I264" s="447">
        <f t="shared" si="121"/>
        <v>1009.045991479824</v>
      </c>
      <c r="J264" s="447">
        <f t="shared" si="121"/>
        <v>1003.3388079552619</v>
      </c>
      <c r="K264" s="447">
        <f t="shared" si="121"/>
        <v>1008.6626349448461</v>
      </c>
      <c r="L264" s="447">
        <f t="shared" si="121"/>
        <v>1009.37132010253</v>
      </c>
      <c r="M264" s="447">
        <f t="shared" si="121"/>
        <v>1006.6952315523552</v>
      </c>
      <c r="N264" s="447">
        <f t="shared" si="121"/>
        <v>1006.1280928200499</v>
      </c>
    </row>
    <row r="265" spans="1:14">
      <c r="B265" s="331" t="str">
        <f t="shared" si="117"/>
        <v>30-34</v>
      </c>
      <c r="C265" s="447">
        <f t="shared" si="119"/>
        <v>1708.3771061122361</v>
      </c>
      <c r="D265" s="447">
        <f t="shared" ref="D265:N265" si="122">D95-D231</f>
        <v>1602.8209434862194</v>
      </c>
      <c r="E265" s="447">
        <f t="shared" si="122"/>
        <v>1510.0586586919271</v>
      </c>
      <c r="F265" s="447">
        <f t="shared" si="122"/>
        <v>1434.0378587434186</v>
      </c>
      <c r="G265" s="447">
        <f t="shared" si="122"/>
        <v>1366.1937258190317</v>
      </c>
      <c r="H265" s="447">
        <f t="shared" si="122"/>
        <v>1307.9451671588365</v>
      </c>
      <c r="I265" s="447">
        <f t="shared" si="122"/>
        <v>1257.7923556405676</v>
      </c>
      <c r="J265" s="447">
        <f t="shared" si="122"/>
        <v>1223.4386929756452</v>
      </c>
      <c r="K265" s="447">
        <f t="shared" si="122"/>
        <v>1202.0252791376072</v>
      </c>
      <c r="L265" s="447">
        <f t="shared" si="122"/>
        <v>1184.0687614974047</v>
      </c>
      <c r="M265" s="447">
        <f t="shared" si="122"/>
        <v>1168.6083960330022</v>
      </c>
      <c r="N265" s="447">
        <f t="shared" si="122"/>
        <v>1157.6075764323618</v>
      </c>
    </row>
    <row r="266" spans="1:14">
      <c r="B266" s="331" t="str">
        <f t="shared" si="117"/>
        <v>35-39</v>
      </c>
      <c r="C266" s="447">
        <f t="shared" si="119"/>
        <v>1538.6785819221038</v>
      </c>
      <c r="D266" s="447">
        <f t="shared" ref="D266:N266" si="123">D96-D232</f>
        <v>1509.739032372029</v>
      </c>
      <c r="E266" s="447">
        <f t="shared" si="123"/>
        <v>1476.5452969279277</v>
      </c>
      <c r="F266" s="447">
        <f t="shared" si="123"/>
        <v>1440.0346020785119</v>
      </c>
      <c r="G266" s="447">
        <f t="shared" si="123"/>
        <v>1396.9304852785488</v>
      </c>
      <c r="H266" s="447">
        <f t="shared" si="123"/>
        <v>1351.5535728341667</v>
      </c>
      <c r="I266" s="447">
        <f t="shared" si="123"/>
        <v>1305.920272969013</v>
      </c>
      <c r="J266" s="447">
        <f t="shared" si="123"/>
        <v>1267.5851508368389</v>
      </c>
      <c r="K266" s="447">
        <f t="shared" si="123"/>
        <v>1236.3070408121825</v>
      </c>
      <c r="L266" s="447">
        <f t="shared" si="123"/>
        <v>1207.247631135665</v>
      </c>
      <c r="M266" s="447">
        <f t="shared" si="123"/>
        <v>1180.9889505035667</v>
      </c>
      <c r="N266" s="447">
        <f t="shared" si="123"/>
        <v>1159.4023230353318</v>
      </c>
    </row>
    <row r="267" spans="1:14">
      <c r="B267" s="331" t="str">
        <f t="shared" si="117"/>
        <v>40-44</v>
      </c>
      <c r="C267" s="447">
        <f t="shared" si="119"/>
        <v>982.19546898206988</v>
      </c>
      <c r="D267" s="447">
        <f t="shared" ref="D267:N267" si="124">D97-D233</f>
        <v>1056.8534524988072</v>
      </c>
      <c r="E267" s="447">
        <f t="shared" si="124"/>
        <v>1112.8914121271175</v>
      </c>
      <c r="F267" s="447">
        <f t="shared" si="124"/>
        <v>1152.130334054018</v>
      </c>
      <c r="G267" s="447">
        <f t="shared" si="124"/>
        <v>1172.3183783242596</v>
      </c>
      <c r="H267" s="447">
        <f t="shared" si="124"/>
        <v>1178.2011434699891</v>
      </c>
      <c r="I267" s="447">
        <f t="shared" si="124"/>
        <v>1172.8771440824464</v>
      </c>
      <c r="J267" s="447">
        <f t="shared" si="124"/>
        <v>1164.2575364480429</v>
      </c>
      <c r="K267" s="447">
        <f t="shared" si="124"/>
        <v>1153.5552221679711</v>
      </c>
      <c r="L267" s="447">
        <f t="shared" si="124"/>
        <v>1138.1849394630435</v>
      </c>
      <c r="M267" s="447">
        <f t="shared" si="124"/>
        <v>1120.2394739909037</v>
      </c>
      <c r="N267" s="447">
        <f t="shared" si="124"/>
        <v>1102.7058541341764</v>
      </c>
    </row>
    <row r="268" spans="1:14">
      <c r="B268" s="331" t="str">
        <f t="shared" si="117"/>
        <v>45-49</v>
      </c>
      <c r="C268" s="447">
        <f t="shared" si="119"/>
        <v>522.73608091498932</v>
      </c>
      <c r="D268" s="447">
        <f t="shared" ref="D268:N268" si="125">D98-D234</f>
        <v>600.38566347150459</v>
      </c>
      <c r="E268" s="447">
        <f t="shared" si="125"/>
        <v>675.86873881463282</v>
      </c>
      <c r="F268" s="447">
        <f t="shared" si="125"/>
        <v>744.35639496113265</v>
      </c>
      <c r="G268" s="447">
        <f t="shared" si="125"/>
        <v>799.62549312864405</v>
      </c>
      <c r="H268" s="447">
        <f t="shared" si="125"/>
        <v>842.56458585727603</v>
      </c>
      <c r="I268" s="447">
        <f t="shared" si="125"/>
        <v>873.72699337211725</v>
      </c>
      <c r="J268" s="447">
        <f t="shared" si="125"/>
        <v>898.33583646055331</v>
      </c>
      <c r="K268" s="447">
        <f t="shared" si="125"/>
        <v>916.78007599273769</v>
      </c>
      <c r="L268" s="447">
        <f t="shared" si="125"/>
        <v>926.78698711137622</v>
      </c>
      <c r="M268" s="447">
        <f t="shared" si="125"/>
        <v>930.18355758671191</v>
      </c>
      <c r="N268" s="447">
        <f t="shared" si="125"/>
        <v>929.76224607780034</v>
      </c>
    </row>
    <row r="269" spans="1:14">
      <c r="B269" s="331" t="str">
        <f t="shared" si="117"/>
        <v>50-54</v>
      </c>
      <c r="C269" s="447">
        <f t="shared" si="119"/>
        <v>345.52191029069263</v>
      </c>
      <c r="D269" s="447">
        <f t="shared" ref="D269:N269" si="126">D99-D235</f>
        <v>367.9236534843559</v>
      </c>
      <c r="E269" s="447">
        <f t="shared" si="126"/>
        <v>401.67824361438863</v>
      </c>
      <c r="F269" s="447">
        <f t="shared" si="126"/>
        <v>441.5970817796408</v>
      </c>
      <c r="G269" s="447">
        <f t="shared" si="126"/>
        <v>480.76806030376963</v>
      </c>
      <c r="H269" s="447">
        <f t="shared" si="126"/>
        <v>517.60415543032786</v>
      </c>
      <c r="I269" s="447">
        <f t="shared" si="126"/>
        <v>550.43922132924956</v>
      </c>
      <c r="J269" s="447">
        <f t="shared" si="126"/>
        <v>581.33131145606251</v>
      </c>
      <c r="K269" s="447">
        <f t="shared" si="126"/>
        <v>609.09491155265118</v>
      </c>
      <c r="L269" s="447">
        <f t="shared" si="126"/>
        <v>630.91670654773134</v>
      </c>
      <c r="M269" s="447">
        <f t="shared" si="126"/>
        <v>647.3132182475257</v>
      </c>
      <c r="N269" s="447">
        <f t="shared" si="126"/>
        <v>659.7730341523179</v>
      </c>
    </row>
    <row r="270" spans="1:14">
      <c r="B270" s="331" t="str">
        <f t="shared" si="117"/>
        <v>55-59</v>
      </c>
      <c r="C270" s="447">
        <f t="shared" si="119"/>
        <v>219.02441062791323</v>
      </c>
      <c r="D270" s="447">
        <f t="shared" ref="D270:N270" si="127">D100-D236</f>
        <v>202.96279826142222</v>
      </c>
      <c r="E270" s="447">
        <f t="shared" si="127"/>
        <v>199.10040385054745</v>
      </c>
      <c r="F270" s="447">
        <f t="shared" si="127"/>
        <v>203.53949881887212</v>
      </c>
      <c r="G270" s="447">
        <f t="shared" si="127"/>
        <v>211.61941806371104</v>
      </c>
      <c r="H270" s="447">
        <f t="shared" si="127"/>
        <v>222.09661210468155</v>
      </c>
      <c r="I270" s="447">
        <f t="shared" si="127"/>
        <v>233.57330419144381</v>
      </c>
      <c r="J270" s="447">
        <f t="shared" si="127"/>
        <v>246.75673197464562</v>
      </c>
      <c r="K270" s="447">
        <f t="shared" si="127"/>
        <v>260.3359458122311</v>
      </c>
      <c r="L270" s="447">
        <f t="shared" si="127"/>
        <v>272.16013734598471</v>
      </c>
      <c r="M270" s="447">
        <f t="shared" si="127"/>
        <v>282.17322143256979</v>
      </c>
      <c r="N270" s="447">
        <f t="shared" si="127"/>
        <v>290.88048868903343</v>
      </c>
    </row>
    <row r="271" spans="1:14">
      <c r="B271" s="331" t="str">
        <f t="shared" si="117"/>
        <v>60-64</v>
      </c>
      <c r="C271" s="447">
        <f t="shared" si="119"/>
        <v>60.79840203552493</v>
      </c>
      <c r="D271" s="447">
        <f t="shared" ref="D271:N271" si="128">D101-D237</f>
        <v>67.243118183868319</v>
      </c>
      <c r="E271" s="447">
        <f t="shared" si="128"/>
        <v>69.667666946398938</v>
      </c>
      <c r="F271" s="447">
        <f t="shared" si="128"/>
        <v>71.206311652780713</v>
      </c>
      <c r="G271" s="447">
        <f t="shared" si="128"/>
        <v>72.255572199177493</v>
      </c>
      <c r="H271" s="447">
        <f t="shared" si="128"/>
        <v>73.66058913768326</v>
      </c>
      <c r="I271" s="447">
        <f t="shared" si="128"/>
        <v>75.507504217146462</v>
      </c>
      <c r="J271" s="447">
        <f t="shared" si="128"/>
        <v>78.497007321713227</v>
      </c>
      <c r="K271" s="447">
        <f t="shared" si="128"/>
        <v>82.129000970950429</v>
      </c>
      <c r="L271" s="447">
        <f t="shared" si="128"/>
        <v>85.43654765132635</v>
      </c>
      <c r="M271" s="447">
        <f t="shared" si="128"/>
        <v>88.424680954801886</v>
      </c>
      <c r="N271" s="447">
        <f t="shared" si="128"/>
        <v>91.301950494462048</v>
      </c>
    </row>
    <row r="272" spans="1:14">
      <c r="B272" s="331" t="str">
        <f t="shared" si="117"/>
        <v>65 plus</v>
      </c>
      <c r="C272" s="447">
        <f t="shared" si="119"/>
        <v>10.20857616050704</v>
      </c>
      <c r="D272" s="447">
        <f t="shared" ref="D272:N272" si="129">D102-D238</f>
        <v>17.650919484887389</v>
      </c>
      <c r="E272" s="447">
        <f t="shared" si="129"/>
        <v>23.703555425380245</v>
      </c>
      <c r="F272" s="447">
        <f t="shared" si="129"/>
        <v>28.181724055407614</v>
      </c>
      <c r="G272" s="447">
        <f t="shared" si="129"/>
        <v>31.095821497768327</v>
      </c>
      <c r="H272" s="447">
        <f t="shared" si="129"/>
        <v>33.012794621772741</v>
      </c>
      <c r="I272" s="447">
        <f t="shared" si="129"/>
        <v>34.322178927929578</v>
      </c>
      <c r="J272" s="447">
        <f t="shared" si="129"/>
        <v>35.631809822806829</v>
      </c>
      <c r="K272" s="447">
        <f t="shared" si="129"/>
        <v>37.020272036747357</v>
      </c>
      <c r="L272" s="447">
        <f t="shared" si="129"/>
        <v>38.246334250960658</v>
      </c>
      <c r="M272" s="447">
        <f t="shared" si="129"/>
        <v>39.357424363591051</v>
      </c>
      <c r="N272" s="447">
        <f t="shared" si="129"/>
        <v>40.473479380030454</v>
      </c>
    </row>
    <row r="273" spans="1:14">
      <c r="B273" s="331" t="str">
        <f t="shared" si="117"/>
        <v>Total</v>
      </c>
      <c r="C273" s="447">
        <f>SUM(C263:C272)</f>
        <v>7195.3951445643979</v>
      </c>
      <c r="D273" s="447">
        <f t="shared" ref="D273:N273" si="130">SUM(D263:D272)</f>
        <v>7074.9889638426966</v>
      </c>
      <c r="E273" s="447">
        <f t="shared" si="130"/>
        <v>7041.9768731857248</v>
      </c>
      <c r="F273" s="447">
        <f t="shared" si="130"/>
        <v>7060.1567063132234</v>
      </c>
      <c r="G273" s="447">
        <f t="shared" si="130"/>
        <v>7049.1413085463082</v>
      </c>
      <c r="H273" s="447">
        <f t="shared" si="130"/>
        <v>7021.7473184212013</v>
      </c>
      <c r="I273" s="447">
        <f t="shared" si="130"/>
        <v>6976.2285950291607</v>
      </c>
      <c r="J273" s="447">
        <f t="shared" si="130"/>
        <v>6970.5522011628045</v>
      </c>
      <c r="K273" s="447">
        <f t="shared" si="130"/>
        <v>6989.2462926742064</v>
      </c>
      <c r="L273" s="447">
        <f t="shared" si="130"/>
        <v>6980.1067465098295</v>
      </c>
      <c r="M273" s="447">
        <f t="shared" si="130"/>
        <v>6951.6887524132826</v>
      </c>
      <c r="N273" s="447">
        <f t="shared" si="130"/>
        <v>6926.7963327319849</v>
      </c>
    </row>
    <row r="274" spans="1:14">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4" ht="15.75">
      <c r="B275" s="333"/>
      <c r="H275" s="320"/>
    </row>
    <row r="276" spans="1:14" ht="15.75">
      <c r="B276" s="333" t="s">
        <v>528</v>
      </c>
      <c r="H276" s="320"/>
    </row>
    <row r="277" spans="1:14" ht="15.75">
      <c r="B277" s="333"/>
      <c r="H277" s="320"/>
    </row>
    <row r="278" spans="1:14"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4">
      <c r="B279" s="319" t="s">
        <v>607</v>
      </c>
      <c r="C279" s="447">
        <f>C223+C239</f>
        <v>1578.8871124105681</v>
      </c>
      <c r="D279" s="447">
        <f t="shared" ref="D279:N279" si="133">D223+D239</f>
        <v>1547.5733223450648</v>
      </c>
      <c r="E279" s="447">
        <f t="shared" si="133"/>
        <v>1598.5466143732015</v>
      </c>
      <c r="F279" s="447">
        <f t="shared" si="133"/>
        <v>1620.2151230835937</v>
      </c>
      <c r="G279" s="447">
        <f t="shared" si="133"/>
        <v>1638.7567803136642</v>
      </c>
      <c r="H279" s="447">
        <f t="shared" si="133"/>
        <v>1652.930331319099</v>
      </c>
      <c r="I279" s="447">
        <f t="shared" si="133"/>
        <v>1662.0870916418767</v>
      </c>
      <c r="J279" s="447">
        <f t="shared" si="133"/>
        <v>1680.5984968618061</v>
      </c>
      <c r="K279" s="447">
        <f t="shared" si="133"/>
        <v>1703.8707099784697</v>
      </c>
      <c r="L279" s="447">
        <f t="shared" si="133"/>
        <v>1718.2319372276547</v>
      </c>
      <c r="M279" s="447">
        <f t="shared" si="133"/>
        <v>1725.8582519807696</v>
      </c>
      <c r="N279" s="447">
        <f t="shared" si="133"/>
        <v>1732.5448157116834</v>
      </c>
    </row>
    <row r="280" spans="1:14">
      <c r="B280" s="319" t="s">
        <v>608</v>
      </c>
      <c r="C280" s="447">
        <f>C155+C171</f>
        <v>214.36696161447696</v>
      </c>
      <c r="D280" s="447">
        <f t="shared" ref="D280:N280" si="134">D155+D171</f>
        <v>220.31292995687375</v>
      </c>
      <c r="E280" s="447">
        <f t="shared" si="134"/>
        <v>229.57538670601951</v>
      </c>
      <c r="F280" s="447">
        <f t="shared" si="134"/>
        <v>241.48959838344166</v>
      </c>
      <c r="G280" s="447">
        <f t="shared" si="134"/>
        <v>253.57899444232547</v>
      </c>
      <c r="H280" s="447">
        <f t="shared" si="134"/>
        <v>266.20857041431134</v>
      </c>
      <c r="I280" s="447">
        <f t="shared" si="134"/>
        <v>278.85842455300269</v>
      </c>
      <c r="J280" s="447">
        <f t="shared" si="134"/>
        <v>293.24523840842062</v>
      </c>
      <c r="K280" s="447">
        <f t="shared" si="134"/>
        <v>308.11690576533374</v>
      </c>
      <c r="L280" s="447">
        <f t="shared" si="134"/>
        <v>320.92460810234974</v>
      </c>
      <c r="M280" s="447">
        <f t="shared" si="134"/>
        <v>331.73464700794585</v>
      </c>
      <c r="N280" s="447">
        <f t="shared" si="134"/>
        <v>341.26450393230141</v>
      </c>
    </row>
    <row r="281" spans="1:14">
      <c r="B281" s="319" t="s">
        <v>609</v>
      </c>
      <c r="C281" s="447">
        <f>C189+C205</f>
        <v>8.750073177591597</v>
      </c>
      <c r="D281" s="447">
        <f t="shared" ref="D281:N281" si="135">D189+D205</f>
        <v>9.0638765178894936</v>
      </c>
      <c r="E281" s="447">
        <f t="shared" si="135"/>
        <v>9.4390858926086008</v>
      </c>
      <c r="F281" s="447">
        <f t="shared" si="135"/>
        <v>9.8081351256911429</v>
      </c>
      <c r="G281" s="447">
        <f t="shared" si="135"/>
        <v>10.110398414118707</v>
      </c>
      <c r="H281" s="447">
        <f t="shared" si="135"/>
        <v>10.357954810442763</v>
      </c>
      <c r="I281" s="447">
        <f t="shared" si="135"/>
        <v>10.550863366498419</v>
      </c>
      <c r="J281" s="447">
        <f t="shared" si="135"/>
        <v>10.753198108122621</v>
      </c>
      <c r="K281" s="447">
        <f t="shared" si="135"/>
        <v>10.951082929597465</v>
      </c>
      <c r="L281" s="447">
        <f t="shared" si="135"/>
        <v>11.090250837645588</v>
      </c>
      <c r="M281" s="447">
        <f t="shared" si="135"/>
        <v>11.180979379228411</v>
      </c>
      <c r="N281" s="447">
        <f t="shared" si="135"/>
        <v>11.249787383396111</v>
      </c>
    </row>
    <row r="282" spans="1:14">
      <c r="B282" s="319" t="s">
        <v>610</v>
      </c>
      <c r="C282" s="447">
        <f>C121+C137</f>
        <v>1355.7700776184997</v>
      </c>
      <c r="D282" s="447">
        <f t="shared" ref="D282:N282" si="136">D121+D137</f>
        <v>1318.1965158703015</v>
      </c>
      <c r="E282" s="447">
        <f t="shared" si="136"/>
        <v>1359.5321417745731</v>
      </c>
      <c r="F282" s="447">
        <f t="shared" si="136"/>
        <v>1368.9173895744609</v>
      </c>
      <c r="G282" s="447">
        <f t="shared" si="136"/>
        <v>1375.0673874572203</v>
      </c>
      <c r="H282" s="447">
        <f t="shared" si="136"/>
        <v>1376.3638060943447</v>
      </c>
      <c r="I282" s="447">
        <f t="shared" si="136"/>
        <v>1372.6778037223755</v>
      </c>
      <c r="J282" s="447">
        <f t="shared" si="136"/>
        <v>1376.6000603452628</v>
      </c>
      <c r="K282" s="447">
        <f t="shared" si="136"/>
        <v>1384.8027212835384</v>
      </c>
      <c r="L282" s="447">
        <f t="shared" si="136"/>
        <v>1386.2170782876597</v>
      </c>
      <c r="M282" s="447">
        <f t="shared" si="136"/>
        <v>1382.9426255935955</v>
      </c>
      <c r="N282" s="447">
        <f t="shared" si="136"/>
        <v>1380.0305243959858</v>
      </c>
    </row>
    <row r="283" spans="1:14"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4" ht="15.75">
      <c r="B284" s="333"/>
      <c r="H284" s="320"/>
    </row>
    <row r="285" spans="1:14" ht="15.75">
      <c r="B285" s="333" t="s">
        <v>266</v>
      </c>
      <c r="F285" s="357"/>
      <c r="G285" s="357" t="s">
        <v>267</v>
      </c>
      <c r="H285" s="320"/>
    </row>
    <row r="286" spans="1:14" ht="15.75">
      <c r="B286" s="333"/>
      <c r="H286" s="320"/>
    </row>
    <row r="287" spans="1:14" ht="15.75">
      <c r="B287" s="333" t="s">
        <v>212</v>
      </c>
      <c r="H287" s="320"/>
    </row>
    <row r="288" spans="1:14"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4" ht="15.75">
      <c r="B291" s="333"/>
      <c r="H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1350.1164811655508</v>
      </c>
      <c r="D294" s="447">
        <f>D36-D15+D279-D290</f>
        <v>1562.3252945531117</v>
      </c>
      <c r="E294" s="447">
        <f>E36-E15+E279-E290</f>
        <v>1706.948541192171</v>
      </c>
      <c r="F294" s="447">
        <f t="shared" ref="F294:N294" si="141">F36-F15+F279-F290</f>
        <v>1656.1605126829438</v>
      </c>
      <c r="G294" s="447">
        <f t="shared" si="141"/>
        <v>1628.9397382808945</v>
      </c>
      <c r="H294" s="447">
        <f t="shared" si="141"/>
        <v>1594.033445352748</v>
      </c>
      <c r="I294" s="447">
        <f t="shared" si="141"/>
        <v>1691.2192386976544</v>
      </c>
      <c r="J294" s="447">
        <f t="shared" si="141"/>
        <v>1761.7877102060295</v>
      </c>
      <c r="K294" s="447">
        <f t="shared" si="141"/>
        <v>1714.6752398803219</v>
      </c>
      <c r="L294" s="447">
        <f t="shared" si="141"/>
        <v>1679.3458219250574</v>
      </c>
      <c r="M294" s="447">
        <f t="shared" si="141"/>
        <v>1691.4712675724204</v>
      </c>
      <c r="N294" s="447">
        <f t="shared" si="141"/>
        <v>1684.9483172290484</v>
      </c>
    </row>
    <row r="295" spans="2:14" ht="12.75" customHeight="1">
      <c r="B295" s="1327" t="s">
        <v>265</v>
      </c>
      <c r="C295" s="1327"/>
      <c r="D295" s="1327"/>
      <c r="E295" s="1327"/>
      <c r="F295" s="1327"/>
      <c r="G295" s="1327"/>
      <c r="H295" s="1327"/>
      <c r="I295" s="1327"/>
      <c r="J295" s="1327"/>
      <c r="K295" s="1327"/>
      <c r="L295" s="1327"/>
      <c r="M295" s="1327"/>
      <c r="N295" s="1327"/>
    </row>
    <row r="296" spans="2:14">
      <c r="B296" s="319" t="s">
        <v>575</v>
      </c>
      <c r="C296" s="276">
        <f>IF(C294&lt;0,0,C294)</f>
        <v>1350.1164811655508</v>
      </c>
      <c r="D296" s="276">
        <f t="shared" ref="D296:N296" si="142">IF(D294&lt;0,0,D294)</f>
        <v>1562.3252945531117</v>
      </c>
      <c r="E296" s="276">
        <f t="shared" si="142"/>
        <v>1706.948541192171</v>
      </c>
      <c r="F296" s="276">
        <f t="shared" si="142"/>
        <v>1656.1605126829438</v>
      </c>
      <c r="G296" s="276">
        <f t="shared" si="142"/>
        <v>1628.9397382808945</v>
      </c>
      <c r="H296" s="276">
        <f t="shared" si="142"/>
        <v>1594.033445352748</v>
      </c>
      <c r="I296" s="276">
        <f t="shared" si="142"/>
        <v>1691.2192386976544</v>
      </c>
      <c r="J296" s="276">
        <f t="shared" si="142"/>
        <v>1761.7877102060295</v>
      </c>
      <c r="K296" s="276">
        <f t="shared" si="142"/>
        <v>1714.6752398803219</v>
      </c>
      <c r="L296" s="276">
        <f t="shared" si="142"/>
        <v>1679.3458219250574</v>
      </c>
      <c r="M296" s="276">
        <f t="shared" si="142"/>
        <v>1691.4712675724204</v>
      </c>
      <c r="N296" s="276">
        <f t="shared" si="142"/>
        <v>1684.9483172290484</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181.27087363922854</v>
      </c>
      <c r="D303" s="447">
        <f>D$296*Entrant_age_breakdowns!$K76*$G$31</f>
        <v>209.76269455493096</v>
      </c>
      <c r="E303" s="447">
        <f>E$296*Entrant_age_breakdowns!$K76*$G$31</f>
        <v>229.18026528495545</v>
      </c>
      <c r="F303" s="447">
        <f>F$296*Entrant_age_breakdowns!$K76*$G$31</f>
        <v>222.36130527171736</v>
      </c>
      <c r="G303" s="447">
        <f>G$296*Entrant_age_breakdowns!$K76*$G$31</f>
        <v>218.70655871774889</v>
      </c>
      <c r="H303" s="447">
        <f>H$296*Entrant_age_breakdowns!$K76*$G$31</f>
        <v>214.01993033948523</v>
      </c>
      <c r="I303" s="447">
        <f>I$296*Entrant_age_breakdowns!$K76*$G$31</f>
        <v>227.06839979431629</v>
      </c>
      <c r="J303" s="447">
        <f>J$296*Entrant_age_breakdowns!$K76*$G$31</f>
        <v>236.54314412946053</v>
      </c>
      <c r="K303" s="447">
        <f>K$296*Entrant_age_breakdowns!$K76*$G$31</f>
        <v>230.21767608697681</v>
      </c>
      <c r="L303" s="447">
        <f>L$296*Entrant_age_breakdowns!$K76*$G$31</f>
        <v>225.47423761536621</v>
      </c>
      <c r="M303" s="447">
        <f>M$296*Entrant_age_breakdowns!$K76*$G$31</f>
        <v>227.10223798157529</v>
      </c>
      <c r="N303" s="447">
        <f>N$296*Entrant_age_breakdowns!$K76*$G$31</f>
        <v>226.22644620809251</v>
      </c>
    </row>
    <row r="304" spans="2:14">
      <c r="B304" s="331" t="str">
        <f t="shared" si="143"/>
        <v>25-29</v>
      </c>
      <c r="C304" s="447">
        <f>C$296*Entrant_age_breakdowns!$K77*$G$31</f>
        <v>185.03790360618734</v>
      </c>
      <c r="D304" s="447">
        <f>D$296*Entrant_age_breakdowns!$K77*$G$31</f>
        <v>214.12181933032699</v>
      </c>
      <c r="E304" s="447">
        <f>E$296*Entrant_age_breakdowns!$K77*$G$31</f>
        <v>233.94291087622801</v>
      </c>
      <c r="F304" s="447">
        <f>F$296*Entrant_age_breakdowns!$K77*$G$31</f>
        <v>226.98224455244113</v>
      </c>
      <c r="G304" s="447">
        <f>G$296*Entrant_age_breakdowns!$K77*$G$31</f>
        <v>223.25154790503493</v>
      </c>
      <c r="H304" s="447">
        <f>H$296*Entrant_age_breakdowns!$K77*$G$31</f>
        <v>218.4675256697744</v>
      </c>
      <c r="I304" s="447">
        <f>I$296*Entrant_age_breakdowns!$K77*$G$31</f>
        <v>231.78715824349197</v>
      </c>
      <c r="J304" s="447">
        <f>J$296*Entrant_age_breakdowns!$K77*$G$31</f>
        <v>241.45879932836337</v>
      </c>
      <c r="K304" s="447">
        <f>K$296*Entrant_age_breakdowns!$K77*$G$31</f>
        <v>235.00188034071292</v>
      </c>
      <c r="L304" s="447">
        <f>L$296*Entrant_age_breakdowns!$K77*$G$31</f>
        <v>230.15986742903783</v>
      </c>
      <c r="M304" s="447">
        <f>M$296*Entrant_age_breakdowns!$K77*$G$31</f>
        <v>231.82169962957644</v>
      </c>
      <c r="N304" s="447">
        <f>N$296*Entrant_age_breakdowns!$K77*$G$31</f>
        <v>230.92770783427383</v>
      </c>
    </row>
    <row r="305" spans="1:14">
      <c r="B305" s="331" t="str">
        <f t="shared" si="143"/>
        <v>30-34</v>
      </c>
      <c r="C305" s="447">
        <f>C$296*Entrant_age_breakdowns!$K78*$G$31</f>
        <v>91.899559028329818</v>
      </c>
      <c r="D305" s="447">
        <f>D$296*Entrant_age_breakdowns!$K78*$G$31</f>
        <v>106.34416187874909</v>
      </c>
      <c r="E305" s="447">
        <f>E$296*Entrant_age_breakdowns!$K78*$G$31</f>
        <v>116.1883588623316</v>
      </c>
      <c r="F305" s="447">
        <f>F$296*Entrant_age_breakdowns!$K78*$G$31</f>
        <v>112.73132571813439</v>
      </c>
      <c r="G305" s="447">
        <f>G$296*Entrant_age_breakdowns!$K78*$G$31</f>
        <v>110.87846546581127</v>
      </c>
      <c r="H305" s="447">
        <f>H$296*Entrant_age_breakdowns!$K78*$G$31</f>
        <v>108.50246830396564</v>
      </c>
      <c r="I305" s="447">
        <f>I$296*Entrant_age_breakdowns!$K78*$G$31</f>
        <v>115.11769867616648</v>
      </c>
      <c r="J305" s="447">
        <f>J$296*Entrant_age_breakdowns!$K78*$G$31</f>
        <v>119.92114452946373</v>
      </c>
      <c r="K305" s="447">
        <f>K$296*Entrant_age_breakdowns!$K78*$G$31</f>
        <v>116.71429881795146</v>
      </c>
      <c r="L305" s="447">
        <f>L$296*Entrant_age_breakdowns!$K78*$G$31</f>
        <v>114.30950043491605</v>
      </c>
      <c r="M305" s="447">
        <f>M$296*Entrant_age_breakdowns!$K78*$G$31</f>
        <v>115.13485374595233</v>
      </c>
      <c r="N305" s="447">
        <f>N$296*Entrant_age_breakdowns!$K78*$G$31</f>
        <v>114.69085038144108</v>
      </c>
    </row>
    <row r="306" spans="1:14">
      <c r="B306" s="331" t="str">
        <f t="shared" si="143"/>
        <v>35-39</v>
      </c>
      <c r="C306" s="447">
        <f>C$296*Entrant_age_breakdowns!$K79*$G$31</f>
        <v>68.495761779981407</v>
      </c>
      <c r="D306" s="447">
        <f>D$296*Entrant_age_breakdowns!$K79*$G$31</f>
        <v>79.261799030973663</v>
      </c>
      <c r="E306" s="447">
        <f>E$296*Entrant_age_breakdowns!$K79*$G$31</f>
        <v>86.599002589206378</v>
      </c>
      <c r="F306" s="447">
        <f>F$296*Entrant_age_breakdowns!$K79*$G$31</f>
        <v>84.022362165529941</v>
      </c>
      <c r="G306" s="447">
        <f>G$296*Entrant_age_breakdowns!$K79*$G$31</f>
        <v>82.641364522052712</v>
      </c>
      <c r="H306" s="447">
        <f>H$296*Entrant_age_breakdowns!$K79*$G$31</f>
        <v>80.870455746119191</v>
      </c>
      <c r="I306" s="447">
        <f>I$296*Entrant_age_breakdowns!$K79*$G$31</f>
        <v>85.801004363379533</v>
      </c>
      <c r="J306" s="447">
        <f>J$296*Entrant_age_breakdowns!$K79*$G$31</f>
        <v>89.381170431304426</v>
      </c>
      <c r="K306" s="447">
        <f>K$296*Entrant_age_breakdowns!$K79*$G$31</f>
        <v>86.991002924045901</v>
      </c>
      <c r="L306" s="447">
        <f>L$296*Entrant_age_breakdowns!$K79*$G$31</f>
        <v>85.198627651358251</v>
      </c>
      <c r="M306" s="447">
        <f>M$296*Entrant_age_breakdowns!$K79*$G$31</f>
        <v>85.813790600721617</v>
      </c>
      <c r="N306" s="447">
        <f>N$296*Entrant_age_breakdowns!$K79*$G$31</f>
        <v>85.482860300221517</v>
      </c>
    </row>
    <row r="307" spans="1:14">
      <c r="B307" s="331" t="str">
        <f t="shared" si="143"/>
        <v>40-44</v>
      </c>
      <c r="C307" s="447">
        <f>C$296*Entrant_age_breakdowns!$K80*$G$31</f>
        <v>58.854731986964843</v>
      </c>
      <c r="D307" s="447">
        <f>D$296*Entrant_age_breakdowns!$K80*$G$31</f>
        <v>68.105409992476339</v>
      </c>
      <c r="E307" s="447">
        <f>E$296*Entrant_age_breakdowns!$K80*$G$31</f>
        <v>74.409875228452393</v>
      </c>
      <c r="F307" s="447">
        <f>F$296*Entrant_age_breakdowns!$K80*$G$31</f>
        <v>72.195906398536025</v>
      </c>
      <c r="G307" s="447">
        <f>G$296*Entrant_age_breakdowns!$K80*$G$31</f>
        <v>71.009289240491142</v>
      </c>
      <c r="H307" s="447">
        <f>H$296*Entrant_age_breakdowns!$K80*$G$31</f>
        <v>69.487642372532747</v>
      </c>
      <c r="I307" s="447">
        <f>I$296*Entrant_age_breakdowns!$K80*$G$31</f>
        <v>73.724198180900558</v>
      </c>
      <c r="J307" s="447">
        <f>J$296*Entrant_age_breakdowns!$K80*$G$31</f>
        <v>76.800442738532851</v>
      </c>
      <c r="K307" s="447">
        <f>K$296*Entrant_age_breakdowns!$K80*$G$31</f>
        <v>74.746700077848047</v>
      </c>
      <c r="L307" s="447">
        <f>L$296*Entrant_age_breakdowns!$K80*$G$31</f>
        <v>73.206608201317877</v>
      </c>
      <c r="M307" s="447">
        <f>M$296*Entrant_age_breakdowns!$K80*$G$31</f>
        <v>73.735184708421897</v>
      </c>
      <c r="N307" s="447">
        <f>N$296*Entrant_age_breakdowns!$K80*$G$31</f>
        <v>73.450834061956172</v>
      </c>
    </row>
    <row r="308" spans="1:14">
      <c r="B308" s="331" t="str">
        <f t="shared" si="143"/>
        <v>45-49</v>
      </c>
      <c r="C308" s="447">
        <f>C$296*Entrant_age_breakdowns!$K81*$G$31</f>
        <v>47.440261857519722</v>
      </c>
      <c r="D308" s="447">
        <f>D$296*Entrant_age_breakdowns!$K81*$G$31</f>
        <v>54.896834542928623</v>
      </c>
      <c r="E308" s="447">
        <f>E$296*Entrant_age_breakdowns!$K81*$G$31</f>
        <v>59.978592144553176</v>
      </c>
      <c r="F308" s="447">
        <f>F$296*Entrant_age_breakdowns!$K81*$G$31</f>
        <v>58.194007328860174</v>
      </c>
      <c r="G308" s="447">
        <f>G$296*Entrant_age_breakdowns!$K81*$G$31</f>
        <v>57.237526400279215</v>
      </c>
      <c r="H308" s="447">
        <f>H$296*Entrant_age_breakdowns!$K81*$G$31</f>
        <v>56.010992467772162</v>
      </c>
      <c r="I308" s="447">
        <f>I$296*Entrant_age_breakdowns!$K81*$G$31</f>
        <v>59.425897440366015</v>
      </c>
      <c r="J308" s="447">
        <f>J$296*Entrant_age_breakdowns!$K81*$G$31</f>
        <v>61.905525542048103</v>
      </c>
      <c r="K308" s="447">
        <f>K$296*Entrant_age_breakdowns!$K81*$G$31</f>
        <v>60.250092133016089</v>
      </c>
      <c r="L308" s="447">
        <f>L$296*Entrant_age_breakdowns!$K81*$G$31</f>
        <v>59.008690474379506</v>
      </c>
      <c r="M308" s="447">
        <f>M$296*Entrant_age_breakdowns!$K81*$G$31</f>
        <v>59.434753206502755</v>
      </c>
      <c r="N308" s="447">
        <f>N$296*Entrant_age_breakdowns!$K81*$G$31</f>
        <v>59.205550410529163</v>
      </c>
    </row>
    <row r="309" spans="1:14">
      <c r="B309" s="331" t="str">
        <f t="shared" si="143"/>
        <v>50-54</v>
      </c>
      <c r="C309" s="447">
        <f>C$296*Entrant_age_breakdowns!$K82*$G$31</f>
        <v>35.153422977868473</v>
      </c>
      <c r="D309" s="447">
        <f>D$296*Entrant_age_breakdowns!$K82*$G$31</f>
        <v>40.678773035223834</v>
      </c>
      <c r="E309" s="447">
        <f>E$296*Entrant_age_breakdowns!$K82*$G$31</f>
        <v>44.444375657263109</v>
      </c>
      <c r="F309" s="447">
        <f>F$296*Entrant_age_breakdowns!$K82*$G$31</f>
        <v>43.121991201326693</v>
      </c>
      <c r="G309" s="447">
        <f>G$296*Entrant_age_breakdowns!$K82*$G$31</f>
        <v>42.413235023849111</v>
      </c>
      <c r="H309" s="447">
        <f>H$296*Entrant_age_breakdowns!$K82*$G$31</f>
        <v>41.504368494915859</v>
      </c>
      <c r="I309" s="447">
        <f>I$296*Entrant_age_breakdowns!$K82*$G$31</f>
        <v>44.034826680230232</v>
      </c>
      <c r="J309" s="447">
        <f>J$296*Entrant_age_breakdowns!$K82*$G$31</f>
        <v>45.872240979249803</v>
      </c>
      <c r="K309" s="447">
        <f>K$296*Entrant_age_breakdowns!$K82*$G$31</f>
        <v>44.645558230023518</v>
      </c>
      <c r="L309" s="447">
        <f>L$296*Entrant_age_breakdowns!$K82*$G$31</f>
        <v>43.725674656814235</v>
      </c>
      <c r="M309" s="447">
        <f>M$296*Entrant_age_breakdowns!$K82*$G$31</f>
        <v>44.041388838207624</v>
      </c>
      <c r="N309" s="447">
        <f>N$296*Entrant_age_breakdowns!$K82*$G$31</f>
        <v>43.871548653539826</v>
      </c>
    </row>
    <row r="310" spans="1:14">
      <c r="B310" s="331" t="str">
        <f t="shared" si="143"/>
        <v>55-59</v>
      </c>
      <c r="C310" s="447">
        <f>C$296*Entrant_age_breakdowns!$K83*$G$31</f>
        <v>22.782428097763553</v>
      </c>
      <c r="D310" s="447">
        <f>D$296*Entrant_age_breakdowns!$K83*$G$31</f>
        <v>26.363328042440997</v>
      </c>
      <c r="E310" s="447">
        <f>E$296*Entrant_age_breakdowns!$K83*$G$31</f>
        <v>28.803760970846589</v>
      </c>
      <c r="F310" s="447">
        <f>F$296*Entrant_age_breakdowns!$K83*$G$31</f>
        <v>27.946742614371349</v>
      </c>
      <c r="G310" s="447">
        <f>G$296*Entrant_age_breakdowns!$K83*$G$31</f>
        <v>27.487407924193541</v>
      </c>
      <c r="H310" s="447">
        <f>H$296*Entrant_age_breakdowns!$K83*$G$31</f>
        <v>26.898384591844888</v>
      </c>
      <c r="I310" s="447">
        <f>I$296*Entrant_age_breakdowns!$K83*$G$31</f>
        <v>28.538338166141667</v>
      </c>
      <c r="J310" s="447">
        <f>J$296*Entrant_age_breakdowns!$K83*$G$31</f>
        <v>29.729139960310341</v>
      </c>
      <c r="K310" s="447">
        <f>K$296*Entrant_age_breakdowns!$K83*$G$31</f>
        <v>28.934144504231732</v>
      </c>
      <c r="L310" s="447">
        <f>L$296*Entrant_age_breakdowns!$K83*$G$31</f>
        <v>28.337981183858968</v>
      </c>
      <c r="M310" s="447">
        <f>M$296*Entrant_age_breakdowns!$K83*$G$31</f>
        <v>28.542591006395096</v>
      </c>
      <c r="N310" s="447">
        <f>N$296*Entrant_age_breakdowns!$K83*$G$31</f>
        <v>28.432520024182612</v>
      </c>
    </row>
    <row r="311" spans="1:14">
      <c r="B311" s="331" t="str">
        <f t="shared" si="143"/>
        <v>60-64</v>
      </c>
      <c r="C311" s="447">
        <f>C$296*Entrant_age_breakdowns!$K84*$G$31</f>
        <v>11.618367136846798</v>
      </c>
      <c r="D311" s="447">
        <f>D$296*Entrant_age_breakdowns!$K84*$G$31</f>
        <v>13.444520611754989</v>
      </c>
      <c r="E311" s="447">
        <f>E$296*Entrant_age_breakdowns!$K84*$G$31</f>
        <v>14.689069507658216</v>
      </c>
      <c r="F311" s="447">
        <f>F$296*Entrant_age_breakdowns!$K84*$G$31</f>
        <v>14.252015394469822</v>
      </c>
      <c r="G311" s="447">
        <f>G$296*Entrant_age_breakdowns!$K84*$G$31</f>
        <v>14.017768234936399</v>
      </c>
      <c r="H311" s="447">
        <f>H$296*Entrant_age_breakdowns!$K84*$G$31</f>
        <v>13.717383688652356</v>
      </c>
      <c r="I311" s="447">
        <f>I$296*Entrant_age_breakdowns!$K84*$G$31</f>
        <v>14.553711696878773</v>
      </c>
      <c r="J311" s="447">
        <f>J$296*Entrant_age_breakdowns!$K84*$G$31</f>
        <v>15.160985529698447</v>
      </c>
      <c r="K311" s="447">
        <f>K$296*Entrant_age_breakdowns!$K84*$G$31</f>
        <v>14.755561268455944</v>
      </c>
      <c r="L311" s="447">
        <f>L$296*Entrant_age_breakdowns!$K84*$G$31</f>
        <v>14.451535538630758</v>
      </c>
      <c r="M311" s="447">
        <f>M$296*Entrant_age_breakdowns!$K84*$G$31</f>
        <v>14.555880520115114</v>
      </c>
      <c r="N311" s="447">
        <f>N$296*Entrant_age_breakdowns!$K84*$G$31</f>
        <v>14.499747561987464</v>
      </c>
    </row>
    <row r="312" spans="1:14">
      <c r="B312" s="331" t="str">
        <f t="shared" si="143"/>
        <v>65 plus</v>
      </c>
      <c r="C312" s="447">
        <f>C$296*Entrant_age_breakdowns!$K85*$G$31</f>
        <v>3.4982715035871976</v>
      </c>
      <c r="D312" s="447">
        <f>D$296*Entrant_age_breakdowns!$K85*$G$31</f>
        <v>4.0481233534386103</v>
      </c>
      <c r="E312" s="447">
        <f>E$296*Entrant_age_breakdowns!$K85*$G$31</f>
        <v>4.4228550077303312</v>
      </c>
      <c r="F312" s="447">
        <f>F$296*Entrant_age_breakdowns!$K85*$G$31</f>
        <v>4.2912587230128665</v>
      </c>
      <c r="G312" s="447">
        <f>G$296*Entrant_age_breakdowns!$K85*$G$31</f>
        <v>4.2207272831521694</v>
      </c>
      <c r="H312" s="447">
        <f>H$296*Entrant_age_breakdowns!$K85*$G$31</f>
        <v>4.1302819833947853</v>
      </c>
      <c r="I312" s="447">
        <f>I$296*Entrant_age_breakdowns!$K85*$G$31</f>
        <v>4.3820989904122047</v>
      </c>
      <c r="J312" s="447">
        <f>J$296*Entrant_age_breakdowns!$K85*$G$31</f>
        <v>4.5649481566680929</v>
      </c>
      <c r="K312" s="447">
        <f>K$296*Entrant_age_breakdowns!$K85*$G$31</f>
        <v>4.442875569077918</v>
      </c>
      <c r="L312" s="447">
        <f>L$296*Entrant_age_breakdowns!$K85*$G$31</f>
        <v>4.3513339148611445</v>
      </c>
      <c r="M312" s="447">
        <f>M$296*Entrant_age_breakdowns!$K85*$G$31</f>
        <v>4.3827520195715222</v>
      </c>
      <c r="N312" s="447">
        <f>N$296*Entrant_age_breakdowns!$K85*$G$31</f>
        <v>4.3658504769091939</v>
      </c>
    </row>
    <row r="313" spans="1:14">
      <c r="B313" s="331" t="str">
        <f t="shared" si="143"/>
        <v>Total</v>
      </c>
      <c r="C313" s="447">
        <f>C$296*Entrant_age_breakdowns!$K86*$G$31</f>
        <v>706.05158161427767</v>
      </c>
      <c r="D313" s="447">
        <f>D$296*Entrant_age_breakdowns!$K86*$G$31</f>
        <v>817.02746437324413</v>
      </c>
      <c r="E313" s="447">
        <f>E$296*Entrant_age_breakdowns!$K86*$G$31</f>
        <v>892.65906612922527</v>
      </c>
      <c r="F313" s="447">
        <f>F$296*Entrant_age_breakdowns!$K86*$G$31</f>
        <v>866.0991593683998</v>
      </c>
      <c r="G313" s="447">
        <f>G$296*Entrant_age_breakdowns!$K86*$G$31</f>
        <v>851.86389071754945</v>
      </c>
      <c r="H313" s="447">
        <f>H$296*Entrant_age_breakdowns!$K86*$G$31</f>
        <v>833.60943365845731</v>
      </c>
      <c r="I313" s="447">
        <f>I$296*Entrant_age_breakdowns!$K86*$G$31</f>
        <v>884.43333223228387</v>
      </c>
      <c r="J313" s="447">
        <f>J$296*Entrant_age_breakdowns!$K86*$G$31</f>
        <v>921.33754132509978</v>
      </c>
      <c r="K313" s="447">
        <f>K$296*Entrant_age_breakdowns!$K86*$G$31</f>
        <v>896.69978995234032</v>
      </c>
      <c r="L313" s="447">
        <f>L$296*Entrant_age_breakdowns!$K86*$G$31</f>
        <v>878.22405710054079</v>
      </c>
      <c r="M313" s="447">
        <f>M$296*Entrant_age_breakdowns!$K86*$G$31</f>
        <v>884.56513225703975</v>
      </c>
      <c r="N313" s="447">
        <f>N$296*Entrant_age_breakdowns!$K86*$G$31</f>
        <v>881.15391591313346</v>
      </c>
    </row>
    <row r="314" spans="1:14">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165.35648394850978</v>
      </c>
      <c r="D319" s="447">
        <f>D$296*Entrant_age_breakdowns!$K76*$H$31</f>
        <v>191.34691050367587</v>
      </c>
      <c r="E319" s="447">
        <f>E$296*Entrant_age_breakdowns!$K76*$H$31</f>
        <v>209.0597463182626</v>
      </c>
      <c r="F319" s="447">
        <f>F$296*Entrant_age_breakdowns!$K76*$H$31</f>
        <v>202.8394461159331</v>
      </c>
      <c r="G319" s="447">
        <f>G$296*Entrant_age_breakdowns!$K76*$H$31</f>
        <v>199.50556225608074</v>
      </c>
      <c r="H319" s="447">
        <f>H$296*Entrant_age_breakdowns!$K76*$H$31</f>
        <v>195.23038900488683</v>
      </c>
      <c r="I319" s="447">
        <f>I$296*Entrant_age_breakdowns!$K76*$H$31</f>
        <v>207.13328871868541</v>
      </c>
      <c r="J319" s="447">
        <f>J$296*Entrant_age_breakdowns!$K76*$H$31</f>
        <v>215.77621285821724</v>
      </c>
      <c r="K319" s="447">
        <f>K$296*Entrant_age_breakdowns!$K76*$H$31</f>
        <v>210.00607927947436</v>
      </c>
      <c r="L319" s="447">
        <f>L$296*Entrant_age_breakdowns!$K76*$H$31</f>
        <v>205.67908348723978</v>
      </c>
      <c r="M319" s="447">
        <f>M$296*Entrant_age_breakdowns!$K76*$H$31</f>
        <v>207.16415613580546</v>
      </c>
      <c r="N319" s="447">
        <f>N$296*Entrant_age_breakdowns!$K76*$H$31</f>
        <v>206.36525311610487</v>
      </c>
    </row>
    <row r="320" spans="1:14">
      <c r="B320" s="331" t="str">
        <f t="shared" si="146"/>
        <v>25-29</v>
      </c>
      <c r="C320" s="447">
        <f>C$296*Entrant_age_breakdowns!$K77*$H$31</f>
        <v>168.79279347667315</v>
      </c>
      <c r="D320" s="447">
        <f>D$296*Entrant_age_breakdowns!$K77*$H$31</f>
        <v>195.32333281290414</v>
      </c>
      <c r="E320" s="447">
        <f>E$296*Entrant_age_breakdowns!$K77*$H$31</f>
        <v>213.40426297146234</v>
      </c>
      <c r="F320" s="447">
        <f>F$296*Entrant_age_breakdowns!$K77*$H$31</f>
        <v>207.0546973400254</v>
      </c>
      <c r="G320" s="447">
        <f>G$296*Entrant_age_breakdowns!$K77*$H$31</f>
        <v>203.65153130508176</v>
      </c>
      <c r="H320" s="447">
        <f>H$296*Entrant_age_breakdowns!$K77*$H$31</f>
        <v>199.28751473654808</v>
      </c>
      <c r="I320" s="447">
        <f>I$296*Entrant_age_breakdowns!$K77*$H$31</f>
        <v>211.43777123202591</v>
      </c>
      <c r="J320" s="447">
        <f>J$296*Entrant_age_breakdowns!$K77*$H$31</f>
        <v>220.26030588251365</v>
      </c>
      <c r="K320" s="447">
        <f>K$296*Entrant_age_breakdowns!$K77*$H$31</f>
        <v>214.37026188645939</v>
      </c>
      <c r="L320" s="447">
        <f>L$296*Entrant_age_breakdowns!$K77*$H$31</f>
        <v>209.95334584124092</v>
      </c>
      <c r="M320" s="447">
        <f>M$296*Entrant_age_breakdowns!$K77*$H$31</f>
        <v>211.46928011174259</v>
      </c>
      <c r="N320" s="447">
        <f>N$296*Entrant_age_breakdowns!$K77*$H$31</f>
        <v>210.65377491235645</v>
      </c>
    </row>
    <row r="321" spans="1:14">
      <c r="B321" s="331" t="str">
        <f t="shared" si="146"/>
        <v>30-34</v>
      </c>
      <c r="C321" s="447">
        <f>C$296*Entrant_age_breakdowns!$K78*$H$31</f>
        <v>83.831382572729893</v>
      </c>
      <c r="D321" s="447">
        <f>D$296*Entrant_age_breakdowns!$K78*$H$31</f>
        <v>97.007844358486196</v>
      </c>
      <c r="E321" s="447">
        <f>E$296*Entrant_age_breakdowns!$K78*$H$31</f>
        <v>105.98778563543637</v>
      </c>
      <c r="F321" s="447">
        <f>F$296*Entrant_age_breakdowns!$K78*$H$31</f>
        <v>102.83425724920696</v>
      </c>
      <c r="G321" s="447">
        <f>G$296*Entrant_age_breakdowns!$K78*$H$31</f>
        <v>101.14406593263688</v>
      </c>
      <c r="H321" s="447">
        <f>H$296*Entrant_age_breakdowns!$K78*$H$31</f>
        <v>98.976665684230895</v>
      </c>
      <c r="I321" s="447">
        <f>I$296*Entrant_age_breakdowns!$K78*$H$31</f>
        <v>105.01112236718143</v>
      </c>
      <c r="J321" s="447">
        <f>J$296*Entrant_age_breakdowns!$K78*$H$31</f>
        <v>109.39285728792267</v>
      </c>
      <c r="K321" s="447">
        <f>K$296*Entrant_age_breakdowns!$K78*$H$31</f>
        <v>106.46755152437019</v>
      </c>
      <c r="L321" s="447">
        <f>L$296*Entrant_age_breakdowns!$K78*$H$31</f>
        <v>104.27387861244276</v>
      </c>
      <c r="M321" s="447">
        <f>M$296*Entrant_age_breakdowns!$K78*$H$31</f>
        <v>105.02677133474432</v>
      </c>
      <c r="N321" s="447">
        <f>N$296*Entrant_age_breakdowns!$K78*$H$31</f>
        <v>104.62174854347666</v>
      </c>
    </row>
    <row r="322" spans="1:14">
      <c r="B322" s="331" t="str">
        <f t="shared" si="146"/>
        <v>35-39</v>
      </c>
      <c r="C322" s="447">
        <f>C$296*Entrant_age_breakdowns!$K79*$H$31</f>
        <v>62.48228469320599</v>
      </c>
      <c r="D322" s="447">
        <f>D$296*Entrant_age_breakdowns!$K79*$H$31</f>
        <v>72.303134729080156</v>
      </c>
      <c r="E322" s="447">
        <f>E$296*Entrant_age_breakdowns!$K79*$H$31</f>
        <v>78.996180103918007</v>
      </c>
      <c r="F322" s="447">
        <f>F$296*Entrant_age_breakdowns!$K79*$H$31</f>
        <v>76.645751751557881</v>
      </c>
      <c r="G322" s="447">
        <f>G$296*Entrant_age_breakdowns!$K79*$H$31</f>
        <v>75.385996612290128</v>
      </c>
      <c r="H322" s="447">
        <f>H$296*Entrant_age_breakdowns!$K79*$H$31</f>
        <v>73.770561971837481</v>
      </c>
      <c r="I322" s="447">
        <f>I$296*Entrant_age_breakdowns!$K79*$H$31</f>
        <v>78.26824087037906</v>
      </c>
      <c r="J322" s="447">
        <f>J$296*Entrant_age_breakdowns!$K79*$H$31</f>
        <v>81.534091920018994</v>
      </c>
      <c r="K322" s="447">
        <f>K$296*Entrant_age_breakdowns!$K79*$H$31</f>
        <v>79.353765389266769</v>
      </c>
      <c r="L322" s="447">
        <f>L$296*Entrant_age_breakdowns!$K79*$H$31</f>
        <v>77.718748869195551</v>
      </c>
      <c r="M322" s="447">
        <f>M$296*Entrant_age_breakdowns!$K79*$H$31</f>
        <v>78.27990456023376</v>
      </c>
      <c r="N322" s="447">
        <f>N$296*Entrant_age_breakdowns!$K79*$H$31</f>
        <v>77.978027762135312</v>
      </c>
    </row>
    <row r="323" spans="1:14">
      <c r="B323" s="331" t="str">
        <f t="shared" si="146"/>
        <v>40-44</v>
      </c>
      <c r="C323" s="447">
        <f>C$296*Entrant_age_breakdowns!$K80*$H$31</f>
        <v>53.687673864613117</v>
      </c>
      <c r="D323" s="447">
        <f>D$296*Entrant_age_breakdowns!$K80*$H$31</f>
        <v>62.126203223585456</v>
      </c>
      <c r="E323" s="447">
        <f>E$296*Entrant_age_breakdowns!$K80*$H$31</f>
        <v>67.877177904004327</v>
      </c>
      <c r="F323" s="447">
        <f>F$296*Entrant_age_breakdowns!$K80*$H$31</f>
        <v>65.857580966356309</v>
      </c>
      <c r="G323" s="447">
        <f>G$296*Entrant_age_breakdowns!$K80*$H$31</f>
        <v>64.775140985194255</v>
      </c>
      <c r="H323" s="447">
        <f>H$296*Entrant_age_breakdowns!$K80*$H$31</f>
        <v>63.387084697687015</v>
      </c>
      <c r="I323" s="447">
        <f>I$296*Entrant_age_breakdowns!$K80*$H$31</f>
        <v>67.251698788517629</v>
      </c>
      <c r="J323" s="447">
        <f>J$296*Entrant_age_breakdowns!$K80*$H$31</f>
        <v>70.057869319963288</v>
      </c>
      <c r="K323" s="447">
        <f>K$296*Entrant_age_breakdowns!$K80*$H$31</f>
        <v>68.184431748399646</v>
      </c>
      <c r="L323" s="447">
        <f>L$296*Entrant_age_breakdowns!$K80*$H$31</f>
        <v>66.779549802679384</v>
      </c>
      <c r="M323" s="447">
        <f>M$296*Entrant_age_breakdowns!$K80*$H$31</f>
        <v>67.26172077122925</v>
      </c>
      <c r="N323" s="447">
        <f>N$296*Entrant_age_breakdowns!$K80*$H$31</f>
        <v>67.002334240099941</v>
      </c>
    </row>
    <row r="324" spans="1:14">
      <c r="B324" s="331" t="str">
        <f t="shared" si="146"/>
        <v>45-49</v>
      </c>
      <c r="C324" s="447">
        <f>C$296*Entrant_age_breakdowns!$K81*$H$31</f>
        <v>43.275319089422837</v>
      </c>
      <c r="D324" s="447">
        <f>D$296*Entrant_age_breakdowns!$K81*$H$31</f>
        <v>50.077253767685917</v>
      </c>
      <c r="E324" s="447">
        <f>E$296*Entrant_age_breakdowns!$K81*$H$31</f>
        <v>54.712866496930239</v>
      </c>
      <c r="F324" s="447">
        <f>F$296*Entrant_age_breakdowns!$K81*$H$31</f>
        <v>53.084956483001591</v>
      </c>
      <c r="G324" s="447">
        <f>G$296*Entrant_age_breakdowns!$K81*$H$31</f>
        <v>52.212448284973433</v>
      </c>
      <c r="H324" s="447">
        <f>H$296*Entrant_age_breakdowns!$K81*$H$31</f>
        <v>51.093595959439028</v>
      </c>
      <c r="I324" s="447">
        <f>I$296*Entrant_age_breakdowns!$K81*$H$31</f>
        <v>54.208694750269821</v>
      </c>
      <c r="J324" s="447">
        <f>J$296*Entrant_age_breakdowns!$K81*$H$31</f>
        <v>56.470627824030515</v>
      </c>
      <c r="K324" s="447">
        <f>K$296*Entrant_age_breakdowns!$K81*$H$31</f>
        <v>54.960530573254154</v>
      </c>
      <c r="L324" s="447">
        <f>L$296*Entrant_age_breakdowns!$K81*$H$31</f>
        <v>53.82811581009404</v>
      </c>
      <c r="M324" s="447">
        <f>M$296*Entrant_age_breakdowns!$K81*$H$31</f>
        <v>54.216773038423028</v>
      </c>
      <c r="N324" s="447">
        <f>N$296*Entrant_age_breakdowns!$K81*$H$31</f>
        <v>54.007692739462307</v>
      </c>
    </row>
    <row r="325" spans="1:14">
      <c r="B325" s="331" t="str">
        <f t="shared" si="146"/>
        <v>50-54</v>
      </c>
      <c r="C325" s="447">
        <f>C$296*Entrant_age_breakdowns!$K82*$H$31</f>
        <v>32.067183798893183</v>
      </c>
      <c r="D325" s="447">
        <f>D$296*Entrant_age_breakdowns!$K82*$H$31</f>
        <v>37.107444485711312</v>
      </c>
      <c r="E325" s="447">
        <f>E$296*Entrant_age_breakdowns!$K82*$H$31</f>
        <v>40.542451980445165</v>
      </c>
      <c r="F325" s="447">
        <f>F$296*Entrant_age_breakdowns!$K82*$H$31</f>
        <v>39.336164176608555</v>
      </c>
      <c r="G325" s="447">
        <f>G$296*Entrant_age_breakdowns!$K82*$H$31</f>
        <v>38.689632126910766</v>
      </c>
      <c r="H325" s="447">
        <f>H$296*Entrant_age_breakdowns!$K82*$H$31</f>
        <v>37.860558097610308</v>
      </c>
      <c r="I325" s="447">
        <f>I$296*Entrant_age_breakdowns!$K82*$H$31</f>
        <v>40.168858708193127</v>
      </c>
      <c r="J325" s="447">
        <f>J$296*Entrant_age_breakdowns!$K82*$H$31</f>
        <v>41.844960124503842</v>
      </c>
      <c r="K325" s="447">
        <f>K$296*Entrant_age_breakdowns!$K82*$H$31</f>
        <v>40.725972047378725</v>
      </c>
      <c r="L325" s="447">
        <f>L$296*Entrant_age_breakdowns!$K82*$H$31</f>
        <v>39.886848197782179</v>
      </c>
      <c r="M325" s="447">
        <f>M$296*Entrant_age_breakdowns!$K82*$H$31</f>
        <v>40.174844751888237</v>
      </c>
      <c r="N325" s="447">
        <f>N$296*Entrant_age_breakdowns!$K82*$H$31</f>
        <v>40.019915417649322</v>
      </c>
    </row>
    <row r="326" spans="1:14">
      <c r="B326" s="331" t="str">
        <f t="shared" si="146"/>
        <v>55-59</v>
      </c>
      <c r="C326" s="447">
        <f>C$296*Entrant_age_breakdowns!$K83*$H$31</f>
        <v>20.782280850886011</v>
      </c>
      <c r="D326" s="447">
        <f>D$296*Entrant_age_breakdowns!$K83*$H$31</f>
        <v>24.048801347729555</v>
      </c>
      <c r="E326" s="447">
        <f>E$296*Entrant_age_breakdowns!$K83*$H$31</f>
        <v>26.274980326468604</v>
      </c>
      <c r="F326" s="447">
        <f>F$296*Entrant_age_breakdowns!$K83*$H$31</f>
        <v>25.49320254131753</v>
      </c>
      <c r="G326" s="447">
        <f>G$296*Entrant_age_breakdowns!$K83*$H$31</f>
        <v>25.074194413875357</v>
      </c>
      <c r="H326" s="447">
        <f>H$296*Entrant_age_breakdowns!$K83*$H$31</f>
        <v>24.536883453513052</v>
      </c>
      <c r="I326" s="447">
        <f>I$296*Entrant_age_breakdowns!$K83*$H$31</f>
        <v>26.032859897165068</v>
      </c>
      <c r="J326" s="447">
        <f>J$296*Entrant_age_breakdowns!$K83*$H$31</f>
        <v>27.119117130939973</v>
      </c>
      <c r="K326" s="447">
        <f>K$296*Entrant_age_breakdowns!$K83*$H$31</f>
        <v>26.393917043727772</v>
      </c>
      <c r="L326" s="447">
        <f>L$296*Entrant_age_breakdowns!$K83*$H$31</f>
        <v>25.850092939298804</v>
      </c>
      <c r="M326" s="447">
        <f>M$296*Entrant_age_breakdowns!$K83*$H$31</f>
        <v>26.036739366033856</v>
      </c>
      <c r="N326" s="447">
        <f>N$296*Entrant_age_breakdowns!$K83*$H$31</f>
        <v>25.93633189163927</v>
      </c>
    </row>
    <row r="327" spans="1:14">
      <c r="B327" s="331" t="str">
        <f t="shared" si="146"/>
        <v>60-64</v>
      </c>
      <c r="C327" s="447">
        <f>C$296*Entrant_age_breakdowns!$K84*$H$31</f>
        <v>10.598350967268374</v>
      </c>
      <c r="D327" s="447">
        <f>D$296*Entrant_age_breakdowns!$K84*$H$31</f>
        <v>12.264180185712785</v>
      </c>
      <c r="E327" s="447">
        <f>E$296*Entrant_age_breakdowns!$K84*$H$31</f>
        <v>13.399465879420735</v>
      </c>
      <c r="F327" s="447">
        <f>F$296*Entrant_age_breakdowns!$K84*$H$31</f>
        <v>13.000782240945529</v>
      </c>
      <c r="G327" s="447">
        <f>G$296*Entrant_age_breakdowns!$K84*$H$31</f>
        <v>12.787100440346595</v>
      </c>
      <c r="H327" s="447">
        <f>H$296*Entrant_age_breakdowns!$K84*$H$31</f>
        <v>12.513087680277629</v>
      </c>
      <c r="I327" s="447">
        <f>I$296*Entrant_age_breakdowns!$K84*$H$31</f>
        <v>13.27599159358482</v>
      </c>
      <c r="J327" s="447">
        <f>J$296*Entrant_age_breakdowns!$K84*$H$31</f>
        <v>13.829950780590499</v>
      </c>
      <c r="K327" s="447">
        <f>K$296*Entrant_age_breakdowns!$K84*$H$31</f>
        <v>13.46012010122881</v>
      </c>
      <c r="L327" s="447">
        <f>L$296*Entrant_age_breakdowns!$K84*$H$31</f>
        <v>13.182785829569555</v>
      </c>
      <c r="M327" s="447">
        <f>M$296*Entrant_age_breakdowns!$K84*$H$31</f>
        <v>13.277970008414885</v>
      </c>
      <c r="N327" s="447">
        <f>N$296*Entrant_age_breakdowns!$K84*$H$31</f>
        <v>13.226765154577802</v>
      </c>
    </row>
    <row r="328" spans="1:14">
      <c r="B328" s="331" t="str">
        <f t="shared" si="146"/>
        <v>65 plus</v>
      </c>
      <c r="C328" s="447">
        <f>C$296*Entrant_age_breakdowns!$K85*$H$31</f>
        <v>3.1911462890707978</v>
      </c>
      <c r="D328" s="447">
        <f>D$296*Entrant_age_breakdowns!$K85*$H$31</f>
        <v>3.6927247652962101</v>
      </c>
      <c r="E328" s="447">
        <f>E$296*Entrant_age_breakdowns!$K85*$H$31</f>
        <v>4.0345574465972938</v>
      </c>
      <c r="F328" s="447">
        <f>F$296*Entrant_age_breakdowns!$K85*$H$31</f>
        <v>3.9145144495911941</v>
      </c>
      <c r="G328" s="447">
        <f>G$296*Entrant_age_breakdowns!$K85*$H$31</f>
        <v>3.8501752059551624</v>
      </c>
      <c r="H328" s="447">
        <f>H$296*Entrant_age_breakdowns!$K85*$H$31</f>
        <v>3.7676704082604404</v>
      </c>
      <c r="I328" s="447">
        <f>I$296*Entrant_age_breakdowns!$K85*$H$31</f>
        <v>3.9973795393683442</v>
      </c>
      <c r="J328" s="447">
        <f>J$296*Entrant_age_breakdowns!$K85*$H$31</f>
        <v>4.1641757522291343</v>
      </c>
      <c r="K328" s="447">
        <f>K$296*Entrant_age_breakdowns!$K85*$H$31</f>
        <v>4.0528203344217388</v>
      </c>
      <c r="L328" s="447">
        <f>L$296*Entrant_age_breakdowns!$K85*$H$31</f>
        <v>3.9693154349736228</v>
      </c>
      <c r="M328" s="447">
        <f>M$296*Entrant_age_breakdowns!$K85*$H$31</f>
        <v>3.9979752368653148</v>
      </c>
      <c r="N328" s="447">
        <f>N$296*Entrant_age_breakdowns!$K85*$H$31</f>
        <v>3.9825575384130492</v>
      </c>
    </row>
    <row r="329" spans="1:14">
      <c r="B329" s="331" t="str">
        <f t="shared" si="146"/>
        <v>Total</v>
      </c>
      <c r="C329" s="447">
        <f>C$296*Entrant_age_breakdowns!$K86*$H$31</f>
        <v>644.06489955127313</v>
      </c>
      <c r="D329" s="447">
        <f>D$296*Entrant_age_breakdowns!$K86*$H$31</f>
        <v>745.29783017986767</v>
      </c>
      <c r="E329" s="447">
        <f>E$296*Entrant_age_breakdowns!$K86*$H$31</f>
        <v>814.28947506294571</v>
      </c>
      <c r="F329" s="447">
        <f>F$296*Entrant_age_breakdowns!$K86*$H$31</f>
        <v>790.06135331454414</v>
      </c>
      <c r="G329" s="447">
        <f>G$296*Entrant_age_breakdowns!$K86*$H$31</f>
        <v>777.07584756334518</v>
      </c>
      <c r="H329" s="447">
        <f>H$296*Entrant_age_breakdowns!$K86*$H$31</f>
        <v>760.42401169429081</v>
      </c>
      <c r="I329" s="447">
        <f>I$296*Entrant_age_breakdowns!$K86*$H$31</f>
        <v>806.78590646537066</v>
      </c>
      <c r="J329" s="447">
        <f>J$296*Entrant_age_breakdowns!$K86*$H$31</f>
        <v>840.45016888092982</v>
      </c>
      <c r="K329" s="447">
        <f>K$296*Entrant_age_breakdowns!$K86*$H$31</f>
        <v>817.97544992798157</v>
      </c>
      <c r="L329" s="447">
        <f>L$296*Entrant_age_breakdowns!$K86*$H$31</f>
        <v>801.12176482451662</v>
      </c>
      <c r="M329" s="447">
        <f>M$296*Entrant_age_breakdowns!$K86*$H$31</f>
        <v>806.90613531538077</v>
      </c>
      <c r="N329" s="447">
        <f>N$296*Entrant_age_breakdowns!$K86*$H$31</f>
        <v>803.79440131591502</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1350.1164811655508</v>
      </c>
      <c r="D331" s="322">
        <f t="shared" ref="D331:N331" si="149">D296</f>
        <v>1562.3252945531117</v>
      </c>
      <c r="E331" s="322">
        <f t="shared" si="149"/>
        <v>1706.948541192171</v>
      </c>
      <c r="F331" s="322">
        <f t="shared" si="149"/>
        <v>1656.1605126829438</v>
      </c>
      <c r="G331" s="322">
        <f t="shared" si="149"/>
        <v>1628.9397382808945</v>
      </c>
      <c r="H331" s="322">
        <f t="shared" si="149"/>
        <v>1594.033445352748</v>
      </c>
      <c r="I331" s="322">
        <f t="shared" si="149"/>
        <v>1691.2192386976544</v>
      </c>
      <c r="J331" s="322">
        <f t="shared" si="149"/>
        <v>1761.7877102060295</v>
      </c>
      <c r="K331" s="322">
        <f t="shared" si="149"/>
        <v>1714.6752398803219</v>
      </c>
      <c r="L331" s="322">
        <f t="shared" si="149"/>
        <v>1679.3458219250574</v>
      </c>
      <c r="M331" s="322">
        <f t="shared" si="149"/>
        <v>1691.4712675724204</v>
      </c>
      <c r="N331" s="322">
        <f t="shared" si="149"/>
        <v>1684.9483172290484</v>
      </c>
    </row>
    <row r="332" spans="1:14">
      <c r="C332" s="322">
        <f>C313+C329</f>
        <v>1350.1164811655508</v>
      </c>
      <c r="D332" s="322">
        <f t="shared" ref="D332:N332" si="150">D313+D329</f>
        <v>1562.3252945531117</v>
      </c>
      <c r="E332" s="322">
        <f t="shared" si="150"/>
        <v>1706.948541192171</v>
      </c>
      <c r="F332" s="322">
        <f t="shared" si="150"/>
        <v>1656.160512682944</v>
      </c>
      <c r="G332" s="322">
        <f t="shared" si="150"/>
        <v>1628.9397382808947</v>
      </c>
      <c r="H332" s="322">
        <f t="shared" si="150"/>
        <v>1594.033445352748</v>
      </c>
      <c r="I332" s="322">
        <f t="shared" si="150"/>
        <v>1691.2192386976544</v>
      </c>
      <c r="J332" s="322">
        <f t="shared" si="150"/>
        <v>1761.7877102060297</v>
      </c>
      <c r="K332" s="322">
        <f t="shared" si="150"/>
        <v>1714.6752398803219</v>
      </c>
      <c r="L332" s="322">
        <f t="shared" si="150"/>
        <v>1679.3458219250574</v>
      </c>
      <c r="M332" s="322">
        <f t="shared" si="150"/>
        <v>1691.4712675724204</v>
      </c>
      <c r="N332" s="322">
        <f t="shared" si="150"/>
        <v>1684.9483172290484</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439.87452431901943</v>
      </c>
      <c r="D340" s="447">
        <f t="shared" si="154"/>
        <v>520.12762188452575</v>
      </c>
      <c r="E340" s="447">
        <f t="shared" si="154"/>
        <v>594.32680557666254</v>
      </c>
      <c r="F340" s="447">
        <f t="shared" si="154"/>
        <v>640.69140856767251</v>
      </c>
      <c r="G340" s="447">
        <f t="shared" si="154"/>
        <v>669.67141611954639</v>
      </c>
      <c r="H340" s="447">
        <f t="shared" si="154"/>
        <v>685.38300878556174</v>
      </c>
      <c r="I340" s="447">
        <f t="shared" si="154"/>
        <v>709.4904311956459</v>
      </c>
      <c r="J340" s="447">
        <f t="shared" si="154"/>
        <v>735.93371945709782</v>
      </c>
      <c r="K340" s="447">
        <f t="shared" si="154"/>
        <v>748.22094632606877</v>
      </c>
      <c r="L340" s="447">
        <f t="shared" si="154"/>
        <v>752.12614499666165</v>
      </c>
      <c r="M340" s="447">
        <f t="shared" si="154"/>
        <v>756.50290605804958</v>
      </c>
      <c r="N340" s="447">
        <f t="shared" si="154"/>
        <v>758.70779462698488</v>
      </c>
    </row>
    <row r="341" spans="1:14">
      <c r="B341" s="331" t="str">
        <f t="shared" si="153"/>
        <v>25-29</v>
      </c>
      <c r="C341" s="447">
        <f t="shared" ref="C341:N341" si="155">C304+C248</f>
        <v>1390.9795585013248</v>
      </c>
      <c r="D341" s="447">
        <f t="shared" si="155"/>
        <v>1303.4287890271505</v>
      </c>
      <c r="E341" s="447">
        <f t="shared" si="155"/>
        <v>1270.2806130390511</v>
      </c>
      <c r="F341" s="447">
        <f t="shared" si="155"/>
        <v>1254.8164449269875</v>
      </c>
      <c r="G341" s="447">
        <f t="shared" si="155"/>
        <v>1248.2801062766971</v>
      </c>
      <c r="H341" s="447">
        <f t="shared" si="155"/>
        <v>1244.009444855114</v>
      </c>
      <c r="I341" s="447">
        <f t="shared" si="155"/>
        <v>1257.0807772290036</v>
      </c>
      <c r="J341" s="447">
        <f t="shared" si="155"/>
        <v>1280.5872848598781</v>
      </c>
      <c r="K341" s="447">
        <f t="shared" si="155"/>
        <v>1295.9475789808264</v>
      </c>
      <c r="L341" s="447">
        <f t="shared" si="155"/>
        <v>1304.4579142381931</v>
      </c>
      <c r="M341" s="447">
        <f t="shared" si="155"/>
        <v>1312.991933911195</v>
      </c>
      <c r="N341" s="447">
        <f t="shared" si="155"/>
        <v>1319.0726875597265</v>
      </c>
    </row>
    <row r="342" spans="1:14">
      <c r="B342" s="331" t="str">
        <f t="shared" si="153"/>
        <v>30-34</v>
      </c>
      <c r="C342" s="447">
        <f t="shared" ref="C342:N342" si="156">C305+C249</f>
        <v>1968.6754898014769</v>
      </c>
      <c r="D342" s="447">
        <f t="shared" si="156"/>
        <v>1831.82994141892</v>
      </c>
      <c r="E342" s="447">
        <f t="shared" si="156"/>
        <v>1718.999386767644</v>
      </c>
      <c r="F342" s="447">
        <f t="shared" si="156"/>
        <v>1627.7450625397712</v>
      </c>
      <c r="G342" s="447">
        <f t="shared" si="156"/>
        <v>1555.1317108351222</v>
      </c>
      <c r="H342" s="447">
        <f t="shared" si="156"/>
        <v>1497.5226937300354</v>
      </c>
      <c r="I342" s="447">
        <f t="shared" si="156"/>
        <v>1460.4880618158957</v>
      </c>
      <c r="J342" s="447">
        <f t="shared" si="156"/>
        <v>1440.1722259278408</v>
      </c>
      <c r="K342" s="447">
        <f t="shared" si="156"/>
        <v>1426.2239841951778</v>
      </c>
      <c r="L342" s="447">
        <f t="shared" si="156"/>
        <v>1416.2996715604597</v>
      </c>
      <c r="M342" s="447">
        <f t="shared" si="156"/>
        <v>1411.3250013353565</v>
      </c>
      <c r="N342" s="447">
        <f t="shared" si="156"/>
        <v>1408.7674416282491</v>
      </c>
    </row>
    <row r="343" spans="1:14">
      <c r="B343" s="331" t="str">
        <f t="shared" si="153"/>
        <v>35-39</v>
      </c>
      <c r="C343" s="447">
        <f t="shared" ref="C343:N343" si="157">C306+C250</f>
        <v>1991.2894814292745</v>
      </c>
      <c r="D343" s="447">
        <f t="shared" si="157"/>
        <v>1928.6312014779801</v>
      </c>
      <c r="E343" s="447">
        <f t="shared" si="157"/>
        <v>1858.9367768729035</v>
      </c>
      <c r="F343" s="447">
        <f t="shared" si="157"/>
        <v>1786.0928276368736</v>
      </c>
      <c r="G343" s="447">
        <f t="shared" si="157"/>
        <v>1713.5724020633099</v>
      </c>
      <c r="H343" s="447">
        <f t="shared" si="157"/>
        <v>1644.3684365914664</v>
      </c>
      <c r="I343" s="447">
        <f t="shared" si="157"/>
        <v>1587.1219812022432</v>
      </c>
      <c r="J343" s="447">
        <f t="shared" si="157"/>
        <v>1541.2430434764947</v>
      </c>
      <c r="K343" s="447">
        <f t="shared" si="157"/>
        <v>1500.956062111555</v>
      </c>
      <c r="L343" s="447">
        <f t="shared" si="157"/>
        <v>1466.6094249614534</v>
      </c>
      <c r="M343" s="447">
        <f t="shared" si="157"/>
        <v>1439.8362308100841</v>
      </c>
      <c r="N343" s="447">
        <f t="shared" si="157"/>
        <v>1418.6694759992358</v>
      </c>
    </row>
    <row r="344" spans="1:14">
      <c r="B344" s="331" t="str">
        <f t="shared" si="153"/>
        <v>40-44</v>
      </c>
      <c r="C344" s="447">
        <f t="shared" ref="C344:N344" si="158">C307+C251</f>
        <v>1329.8623264772496</v>
      </c>
      <c r="D344" s="447">
        <f t="shared" si="158"/>
        <v>1417.789778239721</v>
      </c>
      <c r="E344" s="447">
        <f t="shared" si="158"/>
        <v>1473.1501839767195</v>
      </c>
      <c r="F344" s="447">
        <f t="shared" si="158"/>
        <v>1501.1463170313375</v>
      </c>
      <c r="G344" s="447">
        <f t="shared" si="158"/>
        <v>1507.1750364478696</v>
      </c>
      <c r="H344" s="447">
        <f t="shared" si="158"/>
        <v>1496.7301111406084</v>
      </c>
      <c r="I344" s="447">
        <f t="shared" si="158"/>
        <v>1480.5074798723087</v>
      </c>
      <c r="J344" s="447">
        <f t="shared" si="158"/>
        <v>1461.0684894720389</v>
      </c>
      <c r="K344" s="447">
        <f t="shared" si="158"/>
        <v>1436.2233793090561</v>
      </c>
      <c r="L344" s="447">
        <f t="shared" si="158"/>
        <v>1408.9364185418067</v>
      </c>
      <c r="M344" s="447">
        <f t="shared" si="158"/>
        <v>1383.0126304574255</v>
      </c>
      <c r="N344" s="447">
        <f t="shared" si="158"/>
        <v>1358.677206461638</v>
      </c>
    </row>
    <row r="345" spans="1:14">
      <c r="B345" s="331" t="str">
        <f t="shared" si="153"/>
        <v>45-49</v>
      </c>
      <c r="C345" s="447">
        <f t="shared" ref="C345:N345" si="159">C308+C252</f>
        <v>724.13390128656624</v>
      </c>
      <c r="D345" s="447">
        <f t="shared" si="159"/>
        <v>829.12361957423707</v>
      </c>
      <c r="E345" s="447">
        <f t="shared" si="159"/>
        <v>924.34638187951487</v>
      </c>
      <c r="F345" s="447">
        <f t="shared" si="159"/>
        <v>1003.8539922567018</v>
      </c>
      <c r="G345" s="447">
        <f t="shared" si="159"/>
        <v>1066.1836974304165</v>
      </c>
      <c r="H345" s="447">
        <f t="shared" si="159"/>
        <v>1111.6586978082278</v>
      </c>
      <c r="I345" s="447">
        <f t="shared" si="159"/>
        <v>1146.4317083671356</v>
      </c>
      <c r="J345" s="447">
        <f t="shared" si="159"/>
        <v>1171.3834151482374</v>
      </c>
      <c r="K345" s="447">
        <f t="shared" si="159"/>
        <v>1184.4267772810815</v>
      </c>
      <c r="L345" s="447">
        <f t="shared" si="159"/>
        <v>1188.1835648801084</v>
      </c>
      <c r="M345" s="447">
        <f t="shared" si="159"/>
        <v>1186.3673817913552</v>
      </c>
      <c r="N345" s="447">
        <f t="shared" si="159"/>
        <v>1180.0681975679788</v>
      </c>
    </row>
    <row r="346" spans="1:14">
      <c r="B346" s="331" t="str">
        <f t="shared" si="153"/>
        <v>50-54</v>
      </c>
      <c r="C346" s="447">
        <f t="shared" ref="C346:N346" si="160">C309+C253</f>
        <v>425.89807334344653</v>
      </c>
      <c r="D346" s="447">
        <f t="shared" si="160"/>
        <v>471.80918861254179</v>
      </c>
      <c r="E346" s="447">
        <f t="shared" si="160"/>
        <v>525.15768043987521</v>
      </c>
      <c r="F346" s="447">
        <f t="shared" si="160"/>
        <v>579.41918780374453</v>
      </c>
      <c r="G346" s="447">
        <f t="shared" si="160"/>
        <v>631.28632897543253</v>
      </c>
      <c r="H346" s="447">
        <f t="shared" si="160"/>
        <v>678.20990904594225</v>
      </c>
      <c r="I346" s="447">
        <f t="shared" si="160"/>
        <v>722.07887946433652</v>
      </c>
      <c r="J346" s="447">
        <f t="shared" si="160"/>
        <v>761.1912507729154</v>
      </c>
      <c r="K346" s="447">
        <f t="shared" si="160"/>
        <v>792.12512574201776</v>
      </c>
      <c r="L346" s="447">
        <f t="shared" si="160"/>
        <v>815.45472166463253</v>
      </c>
      <c r="M346" s="447">
        <f t="shared" si="160"/>
        <v>832.98086106201231</v>
      </c>
      <c r="N346" s="447">
        <f t="shared" si="160"/>
        <v>844.91784435089733</v>
      </c>
    </row>
    <row r="347" spans="1:14">
      <c r="B347" s="331" t="str">
        <f t="shared" si="153"/>
        <v>55-59</v>
      </c>
      <c r="C347" s="447">
        <f t="shared" ref="C347:N347" si="161">C310+C254</f>
        <v>257.24763737852464</v>
      </c>
      <c r="D347" s="447">
        <f t="shared" si="161"/>
        <v>245.79471292675183</v>
      </c>
      <c r="E347" s="447">
        <f t="shared" si="161"/>
        <v>247.71593504500166</v>
      </c>
      <c r="F347" s="447">
        <f t="shared" si="161"/>
        <v>256.33074252847041</v>
      </c>
      <c r="G347" s="447">
        <f t="shared" si="161"/>
        <v>269.23691612451574</v>
      </c>
      <c r="H347" s="447">
        <f t="shared" si="161"/>
        <v>284.2386219475884</v>
      </c>
      <c r="I347" s="447">
        <f t="shared" si="161"/>
        <v>301.98731442244696</v>
      </c>
      <c r="J347" s="447">
        <f t="shared" si="161"/>
        <v>320.48198811583569</v>
      </c>
      <c r="K347" s="447">
        <f t="shared" si="161"/>
        <v>336.72381659581112</v>
      </c>
      <c r="L347" s="447">
        <f t="shared" si="161"/>
        <v>350.574874678176</v>
      </c>
      <c r="M347" s="447">
        <f t="shared" si="161"/>
        <v>362.64049542060133</v>
      </c>
      <c r="N347" s="447">
        <f t="shared" si="161"/>
        <v>372.44127960222193</v>
      </c>
    </row>
    <row r="348" spans="1:14">
      <c r="B348" s="331" t="str">
        <f t="shared" si="153"/>
        <v>60-64</v>
      </c>
      <c r="C348" s="447">
        <f t="shared" ref="C348:N348" si="162">C311+C255</f>
        <v>81.076685129701374</v>
      </c>
      <c r="D348" s="447">
        <f t="shared" si="162"/>
        <v>88.022136305840434</v>
      </c>
      <c r="E348" s="447">
        <f t="shared" si="162"/>
        <v>91.127024471156034</v>
      </c>
      <c r="F348" s="447">
        <f t="shared" si="162"/>
        <v>92.64761385142539</v>
      </c>
      <c r="G348" s="447">
        <f t="shared" si="162"/>
        <v>94.29534613761632</v>
      </c>
      <c r="H348" s="447">
        <f t="shared" si="162"/>
        <v>96.491575502792656</v>
      </c>
      <c r="I348" s="447">
        <f t="shared" si="162"/>
        <v>100.3737927072968</v>
      </c>
      <c r="J348" s="447">
        <f t="shared" si="162"/>
        <v>105.24227517032857</v>
      </c>
      <c r="K348" s="447">
        <f t="shared" si="162"/>
        <v>109.69874988303201</v>
      </c>
      <c r="L348" s="447">
        <f t="shared" si="162"/>
        <v>113.75711394601748</v>
      </c>
      <c r="M348" s="447">
        <f t="shared" si="162"/>
        <v>117.71379627244231</v>
      </c>
      <c r="N348" s="447">
        <f t="shared" si="162"/>
        <v>121.22929290868075</v>
      </c>
    </row>
    <row r="349" spans="1:14">
      <c r="B349" s="331" t="str">
        <f t="shared" si="153"/>
        <v>65 plus</v>
      </c>
      <c r="C349" s="447">
        <f t="shared" ref="C349:N349" si="163">C312+C256</f>
        <v>18.764755646182046</v>
      </c>
      <c r="D349" s="447">
        <f t="shared" si="163"/>
        <v>25.170666146253048</v>
      </c>
      <c r="E349" s="447">
        <f t="shared" si="163"/>
        <v>30.109240138254425</v>
      </c>
      <c r="F349" s="447">
        <f t="shared" si="163"/>
        <v>33.400109284053059</v>
      </c>
      <c r="G349" s="447">
        <f t="shared" si="163"/>
        <v>35.494607501856166</v>
      </c>
      <c r="H349" s="447">
        <f t="shared" si="163"/>
        <v>36.864008532854662</v>
      </c>
      <c r="I349" s="447">
        <f t="shared" si="163"/>
        <v>38.205057340619192</v>
      </c>
      <c r="J349" s="447">
        <f t="shared" si="163"/>
        <v>39.663136011284067</v>
      </c>
      <c r="K349" s="447">
        <f t="shared" si="163"/>
        <v>41.005565330724259</v>
      </c>
      <c r="L349" s="447">
        <f t="shared" si="163"/>
        <v>42.259252253087922</v>
      </c>
      <c r="M349" s="447">
        <f t="shared" si="163"/>
        <v>43.534503799408476</v>
      </c>
      <c r="N349" s="447">
        <f t="shared" si="163"/>
        <v>44.762175410446389</v>
      </c>
    </row>
    <row r="350" spans="1:14">
      <c r="B350" s="331" t="str">
        <f t="shared" si="153"/>
        <v>Total</v>
      </c>
      <c r="C350" s="447">
        <f t="shared" ref="C350:N350" si="164">SUM(C340:C349)</f>
        <v>8627.8024333127651</v>
      </c>
      <c r="D350" s="447">
        <f t="shared" si="164"/>
        <v>8661.7276556139223</v>
      </c>
      <c r="E350" s="447">
        <f t="shared" si="164"/>
        <v>8734.1500282067827</v>
      </c>
      <c r="F350" s="447">
        <f t="shared" si="164"/>
        <v>8776.1437064270394</v>
      </c>
      <c r="G350" s="447">
        <f t="shared" si="164"/>
        <v>8790.3275679123817</v>
      </c>
      <c r="H350" s="447">
        <f t="shared" si="164"/>
        <v>8775.4765079401914</v>
      </c>
      <c r="I350" s="447">
        <f t="shared" si="164"/>
        <v>8803.7654836169331</v>
      </c>
      <c r="J350" s="447">
        <f t="shared" si="164"/>
        <v>8856.9668284119525</v>
      </c>
      <c r="K350" s="447">
        <f t="shared" si="164"/>
        <v>8871.5519857553518</v>
      </c>
      <c r="L350" s="447">
        <f t="shared" si="164"/>
        <v>8858.6591017205974</v>
      </c>
      <c r="M350" s="447">
        <f t="shared" si="164"/>
        <v>8846.9057409179313</v>
      </c>
      <c r="N350" s="447">
        <f t="shared" si="164"/>
        <v>8827.3133961160602</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5">
      <c r="B353" s="334" t="s">
        <v>47</v>
      </c>
      <c r="C353" s="322"/>
      <c r="D353" s="322"/>
      <c r="E353" s="322"/>
      <c r="F353" s="322"/>
      <c r="G353" s="322"/>
      <c r="H353" s="332"/>
      <c r="I353" s="322"/>
      <c r="J353" s="322"/>
      <c r="K353" s="322"/>
      <c r="L353" s="322"/>
    </row>
    <row r="354" spans="1:15">
      <c r="C354" s="322"/>
      <c r="D354" s="322"/>
      <c r="E354" s="322"/>
      <c r="F354" s="322"/>
      <c r="G354" s="322"/>
      <c r="H354" s="332"/>
      <c r="I354" s="322"/>
      <c r="J354" s="322"/>
      <c r="K354" s="322"/>
      <c r="L354" s="322"/>
    </row>
    <row r="355" spans="1:15">
      <c r="B355" s="331" t="str">
        <f t="shared" ref="B355:B366" si="166">B339</f>
        <v>Age group</v>
      </c>
      <c r="C355" s="331" t="str">
        <f t="shared" ref="C355:K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L339</f>
        <v>2026/27</v>
      </c>
      <c r="M355" s="331" t="str">
        <f>M339</f>
        <v>2027/28</v>
      </c>
      <c r="N355" s="331" t="str">
        <f>N339</f>
        <v>2028/29</v>
      </c>
    </row>
    <row r="356" spans="1:15">
      <c r="B356" s="331" t="str">
        <f t="shared" si="166"/>
        <v>20-24</v>
      </c>
      <c r="C356" s="447">
        <f t="shared" ref="C356:N356" si="168">C319+C263</f>
        <v>593.03721447322641</v>
      </c>
      <c r="D356" s="447">
        <f t="shared" si="168"/>
        <v>610.13473122462915</v>
      </c>
      <c r="E356" s="447">
        <f t="shared" si="168"/>
        <v>638.96844354592679</v>
      </c>
      <c r="F356" s="447">
        <f t="shared" si="168"/>
        <v>652.28121105961634</v>
      </c>
      <c r="G356" s="447">
        <f t="shared" si="168"/>
        <v>658.31134789291968</v>
      </c>
      <c r="H356" s="447">
        <f t="shared" si="168"/>
        <v>658.27769136854818</v>
      </c>
      <c r="I356" s="447">
        <f t="shared" si="168"/>
        <v>670.15691753810813</v>
      </c>
      <c r="J356" s="447">
        <f t="shared" si="168"/>
        <v>687.15552876945242</v>
      </c>
      <c r="K356" s="447">
        <f t="shared" si="168"/>
        <v>693.34198852575696</v>
      </c>
      <c r="L356" s="447">
        <f t="shared" si="168"/>
        <v>693.36646489104646</v>
      </c>
      <c r="M356" s="447">
        <f t="shared" si="168"/>
        <v>694.86875388405963</v>
      </c>
      <c r="N356" s="447">
        <f t="shared" si="168"/>
        <v>695.1265406325241</v>
      </c>
      <c r="O356" s="320"/>
    </row>
    <row r="357" spans="1:15">
      <c r="B357" s="331" t="str">
        <f t="shared" si="166"/>
        <v>25-29</v>
      </c>
      <c r="C357" s="447">
        <f t="shared" ref="C357:N357" si="169">C320+C264</f>
        <v>1548.9666704703175</v>
      </c>
      <c r="D357" s="447">
        <f t="shared" si="169"/>
        <v>1425.9448946915531</v>
      </c>
      <c r="E357" s="447">
        <f t="shared" si="169"/>
        <v>1355.9584625312045</v>
      </c>
      <c r="F357" s="447">
        <f t="shared" si="169"/>
        <v>1302.685832565784</v>
      </c>
      <c r="G357" s="447">
        <f t="shared" si="169"/>
        <v>1263.1800995996407</v>
      </c>
      <c r="H357" s="447">
        <f t="shared" si="169"/>
        <v>1231.3489101793557</v>
      </c>
      <c r="I357" s="447">
        <f t="shared" si="169"/>
        <v>1220.48376271185</v>
      </c>
      <c r="J357" s="447">
        <f t="shared" si="169"/>
        <v>1223.5991138377756</v>
      </c>
      <c r="K357" s="447">
        <f t="shared" si="169"/>
        <v>1223.0328968313056</v>
      </c>
      <c r="L357" s="447">
        <f t="shared" si="169"/>
        <v>1219.3246659437709</v>
      </c>
      <c r="M357" s="447">
        <f t="shared" si="169"/>
        <v>1218.1645116640977</v>
      </c>
      <c r="N357" s="447">
        <f t="shared" si="169"/>
        <v>1216.7818677324065</v>
      </c>
      <c r="O357" s="320"/>
    </row>
    <row r="358" spans="1:15">
      <c r="B358" s="331" t="str">
        <f t="shared" si="166"/>
        <v>30-34</v>
      </c>
      <c r="C358" s="447">
        <f t="shared" ref="C358:N358" si="170">C321+C265</f>
        <v>1792.2084886849659</v>
      </c>
      <c r="D358" s="447">
        <f t="shared" si="170"/>
        <v>1699.8287878447056</v>
      </c>
      <c r="E358" s="447">
        <f t="shared" si="170"/>
        <v>1616.0464443273636</v>
      </c>
      <c r="F358" s="447">
        <f t="shared" si="170"/>
        <v>1536.8721159926256</v>
      </c>
      <c r="G358" s="447">
        <f t="shared" si="170"/>
        <v>1467.3377917516686</v>
      </c>
      <c r="H358" s="447">
        <f t="shared" si="170"/>
        <v>1406.9218328430675</v>
      </c>
      <c r="I358" s="447">
        <f t="shared" si="170"/>
        <v>1362.8034780077492</v>
      </c>
      <c r="J358" s="447">
        <f t="shared" si="170"/>
        <v>1332.8315502635678</v>
      </c>
      <c r="K358" s="447">
        <f t="shared" si="170"/>
        <v>1308.4928306619775</v>
      </c>
      <c r="L358" s="447">
        <f t="shared" si="170"/>
        <v>1288.3426401098475</v>
      </c>
      <c r="M358" s="447">
        <f t="shared" si="170"/>
        <v>1273.6351673677466</v>
      </c>
      <c r="N358" s="447">
        <f t="shared" si="170"/>
        <v>1262.2293249758386</v>
      </c>
      <c r="O358" s="320"/>
    </row>
    <row r="359" spans="1:15">
      <c r="B359" s="331" t="str">
        <f t="shared" si="166"/>
        <v>35-39</v>
      </c>
      <c r="C359" s="447">
        <f t="shared" ref="C359:N359" si="171">C322+C266</f>
        <v>1601.1608666153097</v>
      </c>
      <c r="D359" s="447">
        <f t="shared" si="171"/>
        <v>1582.042167101109</v>
      </c>
      <c r="E359" s="447">
        <f t="shared" si="171"/>
        <v>1555.5414770318457</v>
      </c>
      <c r="F359" s="447">
        <f t="shared" si="171"/>
        <v>1516.6803538300696</v>
      </c>
      <c r="G359" s="447">
        <f t="shared" si="171"/>
        <v>1472.316481890839</v>
      </c>
      <c r="H359" s="447">
        <f t="shared" si="171"/>
        <v>1425.3241348060042</v>
      </c>
      <c r="I359" s="447">
        <f t="shared" si="171"/>
        <v>1384.188513839392</v>
      </c>
      <c r="J359" s="447">
        <f t="shared" si="171"/>
        <v>1349.1192427568578</v>
      </c>
      <c r="K359" s="447">
        <f t="shared" si="171"/>
        <v>1315.6608062014493</v>
      </c>
      <c r="L359" s="447">
        <f t="shared" si="171"/>
        <v>1284.9663800048604</v>
      </c>
      <c r="M359" s="447">
        <f t="shared" si="171"/>
        <v>1259.2688550638004</v>
      </c>
      <c r="N359" s="447">
        <f t="shared" si="171"/>
        <v>1237.3803507974671</v>
      </c>
      <c r="O359" s="320"/>
    </row>
    <row r="360" spans="1:15">
      <c r="B360" s="331" t="str">
        <f t="shared" si="166"/>
        <v>40-44</v>
      </c>
      <c r="C360" s="447">
        <f t="shared" ref="C360:N360" si="172">C323+C267</f>
        <v>1035.8831428466831</v>
      </c>
      <c r="D360" s="447">
        <f t="shared" si="172"/>
        <v>1118.9796557223926</v>
      </c>
      <c r="E360" s="447">
        <f t="shared" si="172"/>
        <v>1180.7685900311219</v>
      </c>
      <c r="F360" s="447">
        <f t="shared" si="172"/>
        <v>1217.9879150203744</v>
      </c>
      <c r="G360" s="447">
        <f t="shared" si="172"/>
        <v>1237.0935193094538</v>
      </c>
      <c r="H360" s="447">
        <f t="shared" si="172"/>
        <v>1241.5882281676761</v>
      </c>
      <c r="I360" s="447">
        <f t="shared" si="172"/>
        <v>1240.128842870964</v>
      </c>
      <c r="J360" s="447">
        <f t="shared" si="172"/>
        <v>1234.3154057680063</v>
      </c>
      <c r="K360" s="447">
        <f t="shared" si="172"/>
        <v>1221.7396539163708</v>
      </c>
      <c r="L360" s="447">
        <f t="shared" si="172"/>
        <v>1204.9644892657229</v>
      </c>
      <c r="M360" s="447">
        <f t="shared" si="172"/>
        <v>1187.5011947621329</v>
      </c>
      <c r="N360" s="447">
        <f t="shared" si="172"/>
        <v>1169.7081883742765</v>
      </c>
      <c r="O360" s="320"/>
    </row>
    <row r="361" spans="1:15">
      <c r="B361" s="331" t="str">
        <f t="shared" si="166"/>
        <v>45-49</v>
      </c>
      <c r="C361" s="447">
        <f t="shared" ref="C361:N361" si="173">C324+C268</f>
        <v>566.01140000441217</v>
      </c>
      <c r="D361" s="447">
        <f t="shared" si="173"/>
        <v>650.46291723919046</v>
      </c>
      <c r="E361" s="447">
        <f t="shared" si="173"/>
        <v>730.58160531156307</v>
      </c>
      <c r="F361" s="447">
        <f t="shared" si="173"/>
        <v>797.44135144413428</v>
      </c>
      <c r="G361" s="447">
        <f t="shared" si="173"/>
        <v>851.8379414136175</v>
      </c>
      <c r="H361" s="447">
        <f t="shared" si="173"/>
        <v>893.65818181671511</v>
      </c>
      <c r="I361" s="447">
        <f t="shared" si="173"/>
        <v>927.93568812238709</v>
      </c>
      <c r="J361" s="447">
        <f t="shared" si="173"/>
        <v>954.80646428458385</v>
      </c>
      <c r="K361" s="447">
        <f t="shared" si="173"/>
        <v>971.74060656599181</v>
      </c>
      <c r="L361" s="447">
        <f t="shared" si="173"/>
        <v>980.61510292147022</v>
      </c>
      <c r="M361" s="447">
        <f t="shared" si="173"/>
        <v>984.40033062513498</v>
      </c>
      <c r="N361" s="447">
        <f t="shared" si="173"/>
        <v>983.76993881726264</v>
      </c>
      <c r="O361" s="320"/>
    </row>
    <row r="362" spans="1:15">
      <c r="B362" s="331" t="str">
        <f t="shared" si="166"/>
        <v>50-54</v>
      </c>
      <c r="C362" s="447">
        <f t="shared" ref="C362:N362" si="174">C325+C269</f>
        <v>377.58909408958584</v>
      </c>
      <c r="D362" s="447">
        <f t="shared" si="174"/>
        <v>405.03109797006721</v>
      </c>
      <c r="E362" s="447">
        <f t="shared" si="174"/>
        <v>442.22069559483378</v>
      </c>
      <c r="F362" s="447">
        <f t="shared" si="174"/>
        <v>480.93324595624938</v>
      </c>
      <c r="G362" s="447">
        <f t="shared" si="174"/>
        <v>519.45769243068037</v>
      </c>
      <c r="H362" s="447">
        <f t="shared" si="174"/>
        <v>555.46471352793822</v>
      </c>
      <c r="I362" s="447">
        <f t="shared" si="174"/>
        <v>590.60808003744273</v>
      </c>
      <c r="J362" s="447">
        <f t="shared" si="174"/>
        <v>623.17627158056632</v>
      </c>
      <c r="K362" s="447">
        <f t="shared" si="174"/>
        <v>649.8208836000299</v>
      </c>
      <c r="L362" s="447">
        <f t="shared" si="174"/>
        <v>670.80355474551357</v>
      </c>
      <c r="M362" s="447">
        <f t="shared" si="174"/>
        <v>687.48806299941396</v>
      </c>
      <c r="N362" s="447">
        <f t="shared" si="174"/>
        <v>699.79294956996728</v>
      </c>
      <c r="O362" s="320"/>
    </row>
    <row r="363" spans="1:15">
      <c r="B363" s="331" t="str">
        <f t="shared" si="166"/>
        <v>55-59</v>
      </c>
      <c r="C363" s="447">
        <f t="shared" ref="C363:N363" si="175">C326+C270</f>
        <v>239.80669147879922</v>
      </c>
      <c r="D363" s="447">
        <f t="shared" si="175"/>
        <v>227.01159960915177</v>
      </c>
      <c r="E363" s="447">
        <f t="shared" si="175"/>
        <v>225.37538417701606</v>
      </c>
      <c r="F363" s="447">
        <f t="shared" si="175"/>
        <v>229.03270136018966</v>
      </c>
      <c r="G363" s="447">
        <f t="shared" si="175"/>
        <v>236.69361247758638</v>
      </c>
      <c r="H363" s="447">
        <f t="shared" si="175"/>
        <v>246.6334955581946</v>
      </c>
      <c r="I363" s="447">
        <f t="shared" si="175"/>
        <v>259.60616408860886</v>
      </c>
      <c r="J363" s="447">
        <f t="shared" si="175"/>
        <v>273.87584910558559</v>
      </c>
      <c r="K363" s="447">
        <f t="shared" si="175"/>
        <v>286.72986285595886</v>
      </c>
      <c r="L363" s="447">
        <f t="shared" si="175"/>
        <v>298.01023028528351</v>
      </c>
      <c r="M363" s="447">
        <f t="shared" si="175"/>
        <v>308.20996079860367</v>
      </c>
      <c r="N363" s="447">
        <f t="shared" si="175"/>
        <v>316.8168205806727</v>
      </c>
      <c r="O363" s="320"/>
    </row>
    <row r="364" spans="1:15">
      <c r="B364" s="331" t="str">
        <f t="shared" si="166"/>
        <v>60-64</v>
      </c>
      <c r="C364" s="447">
        <f t="shared" ref="C364:N364" si="176">C327+C271</f>
        <v>71.396753002793304</v>
      </c>
      <c r="D364" s="447">
        <f t="shared" si="176"/>
        <v>79.507298369581108</v>
      </c>
      <c r="E364" s="447">
        <f t="shared" si="176"/>
        <v>83.06713282581967</v>
      </c>
      <c r="F364" s="447">
        <f t="shared" si="176"/>
        <v>84.207093893726238</v>
      </c>
      <c r="G364" s="447">
        <f t="shared" si="176"/>
        <v>85.042672639524085</v>
      </c>
      <c r="H364" s="447">
        <f t="shared" si="176"/>
        <v>86.173676817960882</v>
      </c>
      <c r="I364" s="447">
        <f t="shared" si="176"/>
        <v>88.783495810731281</v>
      </c>
      <c r="J364" s="447">
        <f t="shared" si="176"/>
        <v>92.32695810230372</v>
      </c>
      <c r="K364" s="447">
        <f t="shared" si="176"/>
        <v>95.589121072179239</v>
      </c>
      <c r="L364" s="447">
        <f t="shared" si="176"/>
        <v>98.619333480895904</v>
      </c>
      <c r="M364" s="447">
        <f t="shared" si="176"/>
        <v>101.70265096321677</v>
      </c>
      <c r="N364" s="447">
        <f t="shared" si="176"/>
        <v>104.52871564903985</v>
      </c>
      <c r="O364" s="320"/>
    </row>
    <row r="365" spans="1:15">
      <c r="B365" s="331" t="str">
        <f t="shared" si="166"/>
        <v>65 plus</v>
      </c>
      <c r="C365" s="447">
        <f t="shared" ref="C365:N365" si="177">C328+C272</f>
        <v>13.399722449577837</v>
      </c>
      <c r="D365" s="447">
        <f t="shared" si="177"/>
        <v>21.343644250183598</v>
      </c>
      <c r="E365" s="447">
        <f t="shared" si="177"/>
        <v>27.738112871977538</v>
      </c>
      <c r="F365" s="447">
        <f t="shared" si="177"/>
        <v>32.096238504998809</v>
      </c>
      <c r="G365" s="447">
        <f t="shared" si="177"/>
        <v>34.945996703723488</v>
      </c>
      <c r="H365" s="447">
        <f t="shared" si="177"/>
        <v>36.780465030033184</v>
      </c>
      <c r="I365" s="447">
        <f t="shared" si="177"/>
        <v>38.319558467297924</v>
      </c>
      <c r="J365" s="447">
        <f t="shared" si="177"/>
        <v>39.795985575035964</v>
      </c>
      <c r="K365" s="447">
        <f t="shared" si="177"/>
        <v>41.073092371169096</v>
      </c>
      <c r="L365" s="447">
        <f t="shared" si="177"/>
        <v>42.215649685934281</v>
      </c>
      <c r="M365" s="447">
        <f t="shared" si="177"/>
        <v>43.355399600456366</v>
      </c>
      <c r="N365" s="447">
        <f t="shared" si="177"/>
        <v>44.456036918443502</v>
      </c>
      <c r="O365" s="320"/>
    </row>
    <row r="366" spans="1:15">
      <c r="B366" s="331" t="str">
        <f t="shared" si="166"/>
        <v>Total</v>
      </c>
      <c r="C366" s="447">
        <f t="shared" ref="C366:N366" si="178">SUM(C356:C365)</f>
        <v>7839.4600441156717</v>
      </c>
      <c r="D366" s="447">
        <f t="shared" si="178"/>
        <v>7820.2867940225633</v>
      </c>
      <c r="E366" s="447">
        <f t="shared" si="178"/>
        <v>7856.2663482486714</v>
      </c>
      <c r="F366" s="447">
        <f t="shared" si="178"/>
        <v>7850.2180596277685</v>
      </c>
      <c r="G366" s="447">
        <f t="shared" si="178"/>
        <v>7826.2171561096548</v>
      </c>
      <c r="H366" s="447">
        <f t="shared" si="178"/>
        <v>7782.1713301154932</v>
      </c>
      <c r="I366" s="447">
        <f t="shared" si="178"/>
        <v>7783.0145014945319</v>
      </c>
      <c r="J366" s="447">
        <f t="shared" si="178"/>
        <v>7811.0023700437368</v>
      </c>
      <c r="K366" s="447">
        <f t="shared" si="178"/>
        <v>7807.2217426021889</v>
      </c>
      <c r="L366" s="447">
        <f t="shared" si="178"/>
        <v>7781.2285113343469</v>
      </c>
      <c r="M366" s="447">
        <f t="shared" si="178"/>
        <v>7758.5948877286646</v>
      </c>
      <c r="N366" s="447">
        <f t="shared" si="178"/>
        <v>7730.590734047898</v>
      </c>
      <c r="O366" s="320"/>
    </row>
    <row r="367" spans="1:15">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5">
      <c r="C368" s="322">
        <f>C350+C366</f>
        <v>16467.262477428438</v>
      </c>
      <c r="D368" s="322">
        <f t="shared" ref="D368:N368" si="180">D350+D366</f>
        <v>16482.014449636485</v>
      </c>
      <c r="E368" s="322">
        <f t="shared" si="180"/>
        <v>16590.416376455454</v>
      </c>
      <c r="F368" s="322">
        <f t="shared" si="180"/>
        <v>16626.361766054808</v>
      </c>
      <c r="G368" s="322">
        <f t="shared" si="180"/>
        <v>16616.544724022038</v>
      </c>
      <c r="H368" s="322">
        <f t="shared" si="180"/>
        <v>16557.647838055684</v>
      </c>
      <c r="I368" s="322">
        <f t="shared" si="180"/>
        <v>16586.779985111465</v>
      </c>
      <c r="J368" s="322">
        <f t="shared" si="180"/>
        <v>16667.969198455688</v>
      </c>
      <c r="K368" s="322">
        <f t="shared" si="180"/>
        <v>16678.773728357541</v>
      </c>
      <c r="L368" s="322">
        <f t="shared" si="180"/>
        <v>16639.887613054943</v>
      </c>
      <c r="M368" s="322">
        <f t="shared" si="180"/>
        <v>16605.500628646594</v>
      </c>
      <c r="N368" s="322">
        <f t="shared" si="180"/>
        <v>16557.904130163959</v>
      </c>
    </row>
    <row r="369" spans="1:14">
      <c r="C369" s="322">
        <f t="shared" ref="C369:N369" si="181">C36</f>
        <v>16467.262477428438</v>
      </c>
      <c r="D369" s="322">
        <f t="shared" si="181"/>
        <v>16482.014449636485</v>
      </c>
      <c r="E369" s="322">
        <f t="shared" si="181"/>
        <v>16590.416376455454</v>
      </c>
      <c r="F369" s="322">
        <f t="shared" si="181"/>
        <v>16626.361766054804</v>
      </c>
      <c r="G369" s="322">
        <f t="shared" si="181"/>
        <v>16616.544724022035</v>
      </c>
      <c r="H369" s="322">
        <f t="shared" si="181"/>
        <v>16557.647838055684</v>
      </c>
      <c r="I369" s="322">
        <f t="shared" si="181"/>
        <v>16586.779985111461</v>
      </c>
      <c r="J369" s="322">
        <f t="shared" si="181"/>
        <v>16667.969198455685</v>
      </c>
      <c r="K369" s="322">
        <f t="shared" si="181"/>
        <v>16678.773728357537</v>
      </c>
      <c r="L369" s="322">
        <f t="shared" si="181"/>
        <v>16639.88761305494</v>
      </c>
      <c r="M369" s="322">
        <f t="shared" si="181"/>
        <v>16605.50062864659</v>
      </c>
      <c r="N369" s="322">
        <f t="shared" si="181"/>
        <v>16557.904130163955</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R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430</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Forecast_stock_figures!B33</f>
        <v>Physics</v>
      </c>
      <c r="C15" s="300">
        <f>Forecast_stock_figures!C57</f>
        <v>10373.052443686078</v>
      </c>
      <c r="D15" s="300">
        <f>Forecast_stock_figures!D57</f>
        <v>10747.938420584598</v>
      </c>
      <c r="E15" s="300">
        <f>Forecast_stock_figures!E57</f>
        <v>10870.436031513067</v>
      </c>
      <c r="F15" s="300">
        <f>Forecast_stock_figures!F57</f>
        <v>10983.264747183021</v>
      </c>
      <c r="G15" s="300">
        <f>Forecast_stock_figures!G57</f>
        <v>11078.439550324605</v>
      </c>
      <c r="H15" s="300">
        <f>Forecast_stock_figures!H57</f>
        <v>11190.530438833801</v>
      </c>
      <c r="I15" s="300">
        <f>Forecast_stock_figures!I57</f>
        <v>11321.974429879834</v>
      </c>
      <c r="J15" s="300">
        <f>Forecast_stock_figures!J57</f>
        <v>11450.519442099525</v>
      </c>
      <c r="K15" s="300">
        <f>Forecast_stock_figures!K57</f>
        <v>11533.445875248595</v>
      </c>
      <c r="L15" s="300">
        <f>Forecast_stock_figures!L57</f>
        <v>11596.832841396888</v>
      </c>
      <c r="M15" s="300">
        <f>Forecast_stock_figures!M57</f>
        <v>11630.671884863244</v>
      </c>
      <c r="N15" s="300">
        <f>Forecast_stock_figures!N57</f>
        <v>11609.264983572455</v>
      </c>
    </row>
    <row r="17" spans="1:9" ht="15.75">
      <c r="B17" s="333" t="s">
        <v>162</v>
      </c>
    </row>
    <row r="19" spans="1:9">
      <c r="B19" s="1327" t="str">
        <f>Stock_ages_breakdowns!B73</f>
        <v>Age group</v>
      </c>
      <c r="C19" s="1325" t="str">
        <f>Stock_ages_breakdowns!AK73</f>
        <v>Physics</v>
      </c>
      <c r="D19" s="1332"/>
      <c r="H19" s="318" t="s">
        <v>133</v>
      </c>
    </row>
    <row r="20" spans="1:9">
      <c r="B20" s="1327"/>
      <c r="C20" s="356" t="str">
        <f>Stock_ages_breakdowns!AK74</f>
        <v>Male</v>
      </c>
      <c r="D20" s="356" t="str">
        <f>Stock_ages_breakdowns!AL74</f>
        <v>Female</v>
      </c>
    </row>
    <row r="21" spans="1:9">
      <c r="B21" s="356" t="str">
        <f>Stock_ages_breakdowns!B75</f>
        <v>20-24</v>
      </c>
      <c r="C21" s="324">
        <f>Stock_ages_breakdowns!AK20</f>
        <v>257.15877019016506</v>
      </c>
      <c r="D21" s="324">
        <f>Stock_ages_breakdowns!AL20</f>
        <v>209.7520018952097</v>
      </c>
    </row>
    <row r="22" spans="1:9">
      <c r="B22" s="356" t="str">
        <f>Stock_ages_breakdowns!B76</f>
        <v>25-29</v>
      </c>
      <c r="C22" s="324">
        <f>Stock_ages_breakdowns!AK21</f>
        <v>1001.3281889868051</v>
      </c>
      <c r="D22" s="324">
        <f>Stock_ages_breakdowns!AL21</f>
        <v>621.65216367535334</v>
      </c>
    </row>
    <row r="23" spans="1:9">
      <c r="B23" s="356" t="str">
        <f>Stock_ages_breakdowns!B77</f>
        <v>30-34</v>
      </c>
      <c r="C23" s="324">
        <f>Stock_ages_breakdowns!AK22</f>
        <v>1053.7854796502093</v>
      </c>
      <c r="D23" s="324">
        <f>Stock_ages_breakdowns!AL22</f>
        <v>677.43538365242455</v>
      </c>
    </row>
    <row r="24" spans="1:9">
      <c r="B24" s="356" t="str">
        <f>Stock_ages_breakdowns!B78</f>
        <v>35-39</v>
      </c>
      <c r="C24" s="324">
        <f>Stock_ages_breakdowns!AK23</f>
        <v>965.35624425263734</v>
      </c>
      <c r="D24" s="324">
        <f>Stock_ages_breakdowns!AL23</f>
        <v>588.09424838277153</v>
      </c>
    </row>
    <row r="25" spans="1:9">
      <c r="B25" s="356" t="str">
        <f>Stock_ages_breakdowns!B79</f>
        <v>40-44</v>
      </c>
      <c r="C25" s="324">
        <f>Stock_ages_breakdowns!AK24</f>
        <v>877.62045359295553</v>
      </c>
      <c r="D25" s="324">
        <f>Stock_ages_breakdowns!AL24</f>
        <v>577.8499050945469</v>
      </c>
    </row>
    <row r="26" spans="1:9">
      <c r="B26" s="356" t="str">
        <f>Stock_ages_breakdowns!B80</f>
        <v>45-49</v>
      </c>
      <c r="C26" s="324">
        <f>Stock_ages_breakdowns!AK25</f>
        <v>964.13469925915729</v>
      </c>
      <c r="D26" s="324">
        <f>Stock_ages_breakdowns!AL25</f>
        <v>462.65089696865334</v>
      </c>
    </row>
    <row r="27" spans="1:9">
      <c r="B27" s="356" t="str">
        <f>Stock_ages_breakdowns!B81</f>
        <v>50-54</v>
      </c>
      <c r="C27" s="324">
        <f>Stock_ages_breakdowns!AK26</f>
        <v>817.7146445238609</v>
      </c>
      <c r="D27" s="324">
        <f>Stock_ages_breakdowns!AL26</f>
        <v>428.52579999739248</v>
      </c>
    </row>
    <row r="28" spans="1:9">
      <c r="B28" s="356" t="str">
        <f>Stock_ages_breakdowns!B82</f>
        <v>55-59</v>
      </c>
      <c r="C28" s="324">
        <f>Stock_ages_breakdowns!AK27</f>
        <v>476.21716121945889</v>
      </c>
      <c r="D28" s="324">
        <f>Stock_ages_breakdowns!AL27</f>
        <v>166.7904949547065</v>
      </c>
    </row>
    <row r="29" spans="1:9">
      <c r="B29" s="356" t="str">
        <f>Stock_ages_breakdowns!B83</f>
        <v>60-64</v>
      </c>
      <c r="C29" s="324">
        <f>Stock_ages_breakdowns!AK28</f>
        <v>126.35725546174221</v>
      </c>
      <c r="D29" s="324">
        <f>Stock_ages_breakdowns!AL28</f>
        <v>42.971527818218384</v>
      </c>
      <c r="F29" s="318"/>
    </row>
    <row r="30" spans="1:9">
      <c r="B30" s="356" t="str">
        <f>Stock_ages_breakdowns!B84</f>
        <v>65 plus</v>
      </c>
      <c r="C30" s="324">
        <f>Stock_ages_breakdowns!AK29</f>
        <v>48.019043923352612</v>
      </c>
      <c r="D30" s="324">
        <f>Stock_ages_breakdowns!AL29</f>
        <v>9.6380801864564258</v>
      </c>
      <c r="G30" s="319" t="s">
        <v>46</v>
      </c>
      <c r="H30" s="319" t="s">
        <v>47</v>
      </c>
    </row>
    <row r="31" spans="1:9">
      <c r="A31" s="302">
        <f>I31</f>
        <v>0</v>
      </c>
      <c r="B31" s="356" t="str">
        <f>Stock_ages_breakdowns!B85</f>
        <v>Total</v>
      </c>
      <c r="C31" s="324">
        <f>Stock_ages_breakdowns!AK30</f>
        <v>6587.6919410603441</v>
      </c>
      <c r="D31" s="324">
        <f>Stock_ages_breakdowns!AL30</f>
        <v>3785.3605026257333</v>
      </c>
      <c r="E31" s="320">
        <f>SUM(C31:D31)</f>
        <v>10373.052443686078</v>
      </c>
      <c r="G31" s="359">
        <f>C31/$E$31</f>
        <v>0.6350774737546202</v>
      </c>
      <c r="H31" s="359">
        <f>D31/$E$31</f>
        <v>0.36492252624537974</v>
      </c>
      <c r="I31" s="302">
        <f>(G31+H31)-1</f>
        <v>0</v>
      </c>
    </row>
    <row r="33" spans="2:17" ht="15.75">
      <c r="B33" s="333" t="s">
        <v>263</v>
      </c>
      <c r="H33" s="318"/>
    </row>
    <row r="34" spans="2:17">
      <c r="H34" s="318"/>
    </row>
    <row r="35" spans="2:17">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7">
      <c r="B36" s="315" t="str">
        <f>B15</f>
        <v>Physics</v>
      </c>
      <c r="C36" s="300">
        <f>Teacher_need_by_subject!C640</f>
        <v>10747.938420584598</v>
      </c>
      <c r="D36" s="300">
        <f>Teacher_need_by_subject!D640</f>
        <v>10870.436031513067</v>
      </c>
      <c r="E36" s="300">
        <f>Teacher_need_by_subject!E640</f>
        <v>10983.264747183021</v>
      </c>
      <c r="F36" s="300">
        <f>Teacher_need_by_subject!F640</f>
        <v>11078.439550324605</v>
      </c>
      <c r="G36" s="300">
        <f>Teacher_need_by_subject!G640</f>
        <v>11190.530438833801</v>
      </c>
      <c r="H36" s="300">
        <f>Teacher_need_by_subject!H640</f>
        <v>11321.974429879834</v>
      </c>
      <c r="I36" s="300">
        <f>Teacher_need_by_subject!I640</f>
        <v>11450.519442099525</v>
      </c>
      <c r="J36" s="300">
        <f>Teacher_need_by_subject!J640</f>
        <v>11533.445875248595</v>
      </c>
      <c r="K36" s="300">
        <f>Teacher_need_by_subject!K640</f>
        <v>11596.832841396888</v>
      </c>
      <c r="L36" s="300">
        <f>Teacher_need_by_subject!L640</f>
        <v>11630.671884863244</v>
      </c>
      <c r="M36" s="300">
        <f>Teacher_need_by_subject!M640</f>
        <v>11609.264983572455</v>
      </c>
      <c r="N36" s="300">
        <f>Teacher_need_by_subject!N640</f>
        <v>11541.782789734341</v>
      </c>
    </row>
    <row r="37" spans="2:17">
      <c r="H37" s="318"/>
    </row>
    <row r="38" spans="2:17" ht="15.75">
      <c r="B38" s="333" t="s">
        <v>170</v>
      </c>
      <c r="H38" s="318"/>
    </row>
    <row r="39" spans="2:17">
      <c r="H39" s="318"/>
    </row>
    <row r="40" spans="2:17">
      <c r="B40" s="334" t="s">
        <v>46</v>
      </c>
      <c r="H40" s="318"/>
    </row>
    <row r="41" spans="2:17">
      <c r="H41" s="318"/>
    </row>
    <row r="42" spans="2:17">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7">
      <c r="B43" s="356" t="str">
        <f>B21</f>
        <v>20-24</v>
      </c>
      <c r="C43" s="300">
        <f>C21</f>
        <v>257.15877019016506</v>
      </c>
      <c r="D43" s="300">
        <f>C340</f>
        <v>443.0181907764653</v>
      </c>
      <c r="E43" s="300">
        <f t="shared" ref="E43:L43" si="2">D340</f>
        <v>530.39647718120159</v>
      </c>
      <c r="F43" s="300">
        <f t="shared" si="2"/>
        <v>590.9322654223206</v>
      </c>
      <c r="G43" s="300">
        <f t="shared" si="2"/>
        <v>629.65728954861174</v>
      </c>
      <c r="H43" s="300">
        <f t="shared" si="2"/>
        <v>659.04432355830897</v>
      </c>
      <c r="I43" s="300">
        <f t="shared" si="2"/>
        <v>683.03064271917378</v>
      </c>
      <c r="J43" s="300">
        <f t="shared" si="2"/>
        <v>700.27834681732566</v>
      </c>
      <c r="K43" s="300">
        <f t="shared" si="2"/>
        <v>706.11673447743647</v>
      </c>
      <c r="L43" s="300">
        <f t="shared" si="2"/>
        <v>707.80010130030621</v>
      </c>
      <c r="M43" s="300">
        <f>L340</f>
        <v>704.8026065413967</v>
      </c>
      <c r="N43" s="300">
        <f>M340</f>
        <v>694.00980949569885</v>
      </c>
      <c r="O43" s="320"/>
      <c r="P43" s="320"/>
      <c r="Q43" s="320"/>
    </row>
    <row r="44" spans="2:17">
      <c r="B44" s="356" t="str">
        <f t="shared" ref="B44:C53" si="3">B22</f>
        <v>25-29</v>
      </c>
      <c r="C44" s="300">
        <f t="shared" si="3"/>
        <v>1001.3281889868051</v>
      </c>
      <c r="D44" s="300">
        <f t="shared" ref="D44:K53" si="4">C341</f>
        <v>1020.4538738460399</v>
      </c>
      <c r="E44" s="300">
        <f t="shared" si="4"/>
        <v>1033.2794013740333</v>
      </c>
      <c r="F44" s="300">
        <f t="shared" si="4"/>
        <v>1059.011204089747</v>
      </c>
      <c r="G44" s="300">
        <f t="shared" si="4"/>
        <v>1087.3105231985246</v>
      </c>
      <c r="H44" s="300">
        <f t="shared" si="4"/>
        <v>1117.8383586281741</v>
      </c>
      <c r="I44" s="300">
        <f t="shared" si="4"/>
        <v>1149.0254826113728</v>
      </c>
      <c r="J44" s="300">
        <f t="shared" si="4"/>
        <v>1176.4655612577253</v>
      </c>
      <c r="K44" s="300">
        <f t="shared" si="4"/>
        <v>1192.986369755736</v>
      </c>
      <c r="L44" s="300">
        <f t="shared" ref="L44:L53" si="5">K341</f>
        <v>1203.3129607669973</v>
      </c>
      <c r="M44" s="300">
        <f t="shared" ref="M44:M53" si="6">L341</f>
        <v>1206.6068554012786</v>
      </c>
      <c r="N44" s="300">
        <f t="shared" ref="N44:N53" si="7">M341</f>
        <v>1199.3655885106245</v>
      </c>
      <c r="O44" s="320"/>
      <c r="P44" s="320"/>
      <c r="Q44" s="320"/>
    </row>
    <row r="45" spans="2:17">
      <c r="B45" s="356" t="str">
        <f t="shared" si="3"/>
        <v>30-34</v>
      </c>
      <c r="C45" s="300">
        <f t="shared" si="3"/>
        <v>1053.7854796502093</v>
      </c>
      <c r="D45" s="300">
        <f t="shared" si="4"/>
        <v>1084.6472971049477</v>
      </c>
      <c r="E45" s="300">
        <f t="shared" si="4"/>
        <v>1095.7118709922909</v>
      </c>
      <c r="F45" s="300">
        <f t="shared" si="4"/>
        <v>1105.4051493231889</v>
      </c>
      <c r="G45" s="300">
        <f t="shared" si="4"/>
        <v>1117.7983841497219</v>
      </c>
      <c r="H45" s="300">
        <f t="shared" si="4"/>
        <v>1133.9683250450321</v>
      </c>
      <c r="I45" s="300">
        <f t="shared" si="4"/>
        <v>1153.6491812334605</v>
      </c>
      <c r="J45" s="300">
        <f t="shared" si="4"/>
        <v>1174.3768537729923</v>
      </c>
      <c r="K45" s="300">
        <f t="shared" si="4"/>
        <v>1191.6387899910719</v>
      </c>
      <c r="L45" s="300">
        <f t="shared" si="5"/>
        <v>1206.0857651988727</v>
      </c>
      <c r="M45" s="300">
        <f t="shared" si="6"/>
        <v>1216.3715715519929</v>
      </c>
      <c r="N45" s="300">
        <f t="shared" si="7"/>
        <v>1219.9622506643045</v>
      </c>
      <c r="O45" s="320"/>
      <c r="P45" s="320"/>
      <c r="Q45" s="320"/>
    </row>
    <row r="46" spans="2:17">
      <c r="B46" s="356" t="str">
        <f t="shared" si="3"/>
        <v>35-39</v>
      </c>
      <c r="C46" s="300">
        <f t="shared" si="3"/>
        <v>965.35624425263734</v>
      </c>
      <c r="D46" s="300">
        <f t="shared" si="4"/>
        <v>997.18271303835775</v>
      </c>
      <c r="E46" s="300">
        <f t="shared" si="4"/>
        <v>1015.5318505826548</v>
      </c>
      <c r="F46" s="300">
        <f t="shared" si="4"/>
        <v>1029.7790514840112</v>
      </c>
      <c r="G46" s="300">
        <f t="shared" si="4"/>
        <v>1042.762627834908</v>
      </c>
      <c r="H46" s="300">
        <f t="shared" si="4"/>
        <v>1055.989787386402</v>
      </c>
      <c r="I46" s="300">
        <f t="shared" si="4"/>
        <v>1070.3532523130175</v>
      </c>
      <c r="J46" s="300">
        <f t="shared" si="4"/>
        <v>1084.9743187441291</v>
      </c>
      <c r="K46" s="300">
        <f t="shared" si="4"/>
        <v>1097.3308665249983</v>
      </c>
      <c r="L46" s="300">
        <f t="shared" si="5"/>
        <v>1108.6623027705357</v>
      </c>
      <c r="M46" s="300">
        <f t="shared" si="6"/>
        <v>1117.9948059692499</v>
      </c>
      <c r="N46" s="300">
        <f t="shared" si="7"/>
        <v>1123.3274963353965</v>
      </c>
      <c r="O46" s="320"/>
      <c r="P46" s="320"/>
      <c r="Q46" s="320"/>
    </row>
    <row r="47" spans="2:17">
      <c r="B47" s="356" t="str">
        <f t="shared" si="3"/>
        <v>40-44</v>
      </c>
      <c r="C47" s="300">
        <f t="shared" si="3"/>
        <v>877.62045359295553</v>
      </c>
      <c r="D47" s="300">
        <f t="shared" si="4"/>
        <v>911.33166021738225</v>
      </c>
      <c r="E47" s="300">
        <f t="shared" si="4"/>
        <v>932.85423096156455</v>
      </c>
      <c r="F47" s="300">
        <f t="shared" si="4"/>
        <v>951.24509337508175</v>
      </c>
      <c r="G47" s="300">
        <f t="shared" si="4"/>
        <v>968.04779145530483</v>
      </c>
      <c r="H47" s="300">
        <f t="shared" si="4"/>
        <v>984.10178503183442</v>
      </c>
      <c r="I47" s="300">
        <f t="shared" si="4"/>
        <v>999.88286013307606</v>
      </c>
      <c r="J47" s="300">
        <f t="shared" si="4"/>
        <v>1014.6332626287294</v>
      </c>
      <c r="K47" s="300">
        <f t="shared" si="4"/>
        <v>1026.4019790690106</v>
      </c>
      <c r="L47" s="300">
        <f t="shared" si="5"/>
        <v>1036.6385590138784</v>
      </c>
      <c r="M47" s="300">
        <f t="shared" si="6"/>
        <v>1044.9234604468752</v>
      </c>
      <c r="N47" s="300">
        <f t="shared" si="7"/>
        <v>1049.8695426740819</v>
      </c>
      <c r="O47" s="320"/>
      <c r="P47" s="320"/>
      <c r="Q47" s="320"/>
    </row>
    <row r="48" spans="2:17">
      <c r="B48" s="356" t="str">
        <f t="shared" si="3"/>
        <v>45-49</v>
      </c>
      <c r="C48" s="300">
        <f t="shared" si="3"/>
        <v>964.13469925915729</v>
      </c>
      <c r="D48" s="300">
        <f t="shared" si="4"/>
        <v>921.19077301625987</v>
      </c>
      <c r="E48" s="300">
        <f t="shared" si="4"/>
        <v>890.26595116815201</v>
      </c>
      <c r="F48" s="300">
        <f t="shared" si="4"/>
        <v>870.1322831440832</v>
      </c>
      <c r="G48" s="300">
        <f t="shared" si="4"/>
        <v>860.03040057035423</v>
      </c>
      <c r="H48" s="300">
        <f t="shared" si="4"/>
        <v>856.83756151288969</v>
      </c>
      <c r="I48" s="300">
        <f t="shared" si="4"/>
        <v>858.66550139385367</v>
      </c>
      <c r="J48" s="300">
        <f t="shared" si="4"/>
        <v>863.21679112360096</v>
      </c>
      <c r="K48" s="300">
        <f t="shared" si="4"/>
        <v>867.71050915703154</v>
      </c>
      <c r="L48" s="300">
        <f t="shared" si="5"/>
        <v>872.49605411694984</v>
      </c>
      <c r="M48" s="300">
        <f t="shared" si="6"/>
        <v>876.70353642094256</v>
      </c>
      <c r="N48" s="300">
        <f t="shared" si="7"/>
        <v>878.9072169679215</v>
      </c>
      <c r="O48" s="320"/>
      <c r="P48" s="320"/>
      <c r="Q48" s="320"/>
    </row>
    <row r="49" spans="1:17">
      <c r="B49" s="356" t="str">
        <f t="shared" si="3"/>
        <v>50-54</v>
      </c>
      <c r="C49" s="300">
        <f t="shared" si="3"/>
        <v>817.7146445238609</v>
      </c>
      <c r="D49" s="300">
        <f t="shared" si="4"/>
        <v>787.77546312932441</v>
      </c>
      <c r="E49" s="300">
        <f t="shared" si="4"/>
        <v>755.54757311524736</v>
      </c>
      <c r="F49" s="300">
        <f t="shared" si="4"/>
        <v>725.93704647772927</v>
      </c>
      <c r="G49" s="300">
        <f t="shared" si="4"/>
        <v>702.8994047130069</v>
      </c>
      <c r="H49" s="300">
        <f t="shared" si="4"/>
        <v>685.90642316575418</v>
      </c>
      <c r="I49" s="300">
        <f t="shared" si="4"/>
        <v>674.45560413290025</v>
      </c>
      <c r="J49" s="300">
        <f t="shared" si="4"/>
        <v>667.10966926240724</v>
      </c>
      <c r="K49" s="300">
        <f t="shared" si="4"/>
        <v>661.73439976637599</v>
      </c>
      <c r="L49" s="300">
        <f t="shared" si="5"/>
        <v>658.36314437430576</v>
      </c>
      <c r="M49" s="300">
        <f t="shared" si="6"/>
        <v>656.05600645279526</v>
      </c>
      <c r="N49" s="300">
        <f t="shared" si="7"/>
        <v>653.47124848922078</v>
      </c>
      <c r="O49" s="320"/>
      <c r="P49" s="320"/>
      <c r="Q49" s="320"/>
    </row>
    <row r="50" spans="1:17">
      <c r="B50" s="356" t="str">
        <f t="shared" si="3"/>
        <v>55-59</v>
      </c>
      <c r="C50" s="300">
        <f t="shared" si="3"/>
        <v>476.21716121945889</v>
      </c>
      <c r="D50" s="300">
        <f t="shared" si="4"/>
        <v>431.91964252390437</v>
      </c>
      <c r="E50" s="300">
        <f t="shared" si="4"/>
        <v>398.46231899254769</v>
      </c>
      <c r="F50" s="300">
        <f t="shared" si="4"/>
        <v>373.63353498394855</v>
      </c>
      <c r="G50" s="300">
        <f t="shared" si="4"/>
        <v>355.12745513172439</v>
      </c>
      <c r="H50" s="300">
        <f t="shared" si="4"/>
        <v>341.44017248467929</v>
      </c>
      <c r="I50" s="300">
        <f t="shared" si="4"/>
        <v>331.54518174030574</v>
      </c>
      <c r="J50" s="300">
        <f t="shared" si="4"/>
        <v>324.27626536548996</v>
      </c>
      <c r="K50" s="300">
        <f t="shared" si="4"/>
        <v>318.26438348334614</v>
      </c>
      <c r="L50" s="300">
        <f t="shared" si="5"/>
        <v>313.69320155784925</v>
      </c>
      <c r="M50" s="300">
        <f t="shared" si="6"/>
        <v>310.01149845005551</v>
      </c>
      <c r="N50" s="300">
        <f t="shared" si="7"/>
        <v>306.41135020081765</v>
      </c>
      <c r="O50" s="320"/>
      <c r="P50" s="320"/>
      <c r="Q50" s="320"/>
    </row>
    <row r="51" spans="1:17">
      <c r="B51" s="356" t="str">
        <f t="shared" si="3"/>
        <v>60-64</v>
      </c>
      <c r="C51" s="300">
        <f t="shared" si="3"/>
        <v>126.35725546174221</v>
      </c>
      <c r="D51" s="300">
        <f t="shared" si="4"/>
        <v>138.38151638462702</v>
      </c>
      <c r="E51" s="300">
        <f t="shared" si="4"/>
        <v>137.0801203056181</v>
      </c>
      <c r="F51" s="300">
        <f t="shared" si="4"/>
        <v>132.14393909234443</v>
      </c>
      <c r="G51" s="300">
        <f t="shared" si="4"/>
        <v>126.77229221309959</v>
      </c>
      <c r="H51" s="300">
        <f t="shared" si="4"/>
        <v>122.09874431396442</v>
      </c>
      <c r="I51" s="300">
        <f t="shared" si="4"/>
        <v>118.40960673168719</v>
      </c>
      <c r="J51" s="300">
        <f t="shared" si="4"/>
        <v>115.46840840245241</v>
      </c>
      <c r="K51" s="300">
        <f t="shared" si="4"/>
        <v>112.7715744955642</v>
      </c>
      <c r="L51" s="300">
        <f t="shared" si="5"/>
        <v>110.56309195807535</v>
      </c>
      <c r="M51" s="300">
        <f t="shared" si="6"/>
        <v>108.64755746203224</v>
      </c>
      <c r="N51" s="300">
        <f t="shared" si="7"/>
        <v>106.68311366158404</v>
      </c>
      <c r="O51" s="320"/>
      <c r="P51" s="320"/>
      <c r="Q51" s="320"/>
    </row>
    <row r="52" spans="1:17">
      <c r="B52" s="356" t="str">
        <f t="shared" si="3"/>
        <v>65 plus</v>
      </c>
      <c r="C52" s="300">
        <f t="shared" si="3"/>
        <v>48.019043923352612</v>
      </c>
      <c r="D52" s="300">
        <f t="shared" si="4"/>
        <v>47.268774379637946</v>
      </c>
      <c r="E52" s="300">
        <f t="shared" si="4"/>
        <v>47.841212886520694</v>
      </c>
      <c r="F52" s="300">
        <f t="shared" si="4"/>
        <v>47.806708024782374</v>
      </c>
      <c r="G52" s="300">
        <f t="shared" si="4"/>
        <v>47.343325451465539</v>
      </c>
      <c r="H52" s="300">
        <f t="shared" si="4"/>
        <v>46.536998473769685</v>
      </c>
      <c r="I52" s="300">
        <f t="shared" si="4"/>
        <v>45.627675728943139</v>
      </c>
      <c r="J52" s="300">
        <f t="shared" si="4"/>
        <v>44.71056100352321</v>
      </c>
      <c r="K52" s="300">
        <f t="shared" si="4"/>
        <v>43.73996951962458</v>
      </c>
      <c r="L52" s="300">
        <f t="shared" si="5"/>
        <v>42.830824239818504</v>
      </c>
      <c r="M52" s="300">
        <f t="shared" si="6"/>
        <v>41.975335132087743</v>
      </c>
      <c r="N52" s="300">
        <f t="shared" si="7"/>
        <v>41.093110010278181</v>
      </c>
      <c r="O52" s="320"/>
      <c r="P52" s="320"/>
      <c r="Q52" s="320"/>
    </row>
    <row r="53" spans="1:17">
      <c r="B53" s="356" t="str">
        <f t="shared" si="3"/>
        <v>Total</v>
      </c>
      <c r="C53" s="300">
        <f t="shared" si="3"/>
        <v>6587.6919410603441</v>
      </c>
      <c r="D53" s="300">
        <f t="shared" si="4"/>
        <v>6783.1699044169463</v>
      </c>
      <c r="E53" s="300">
        <f t="shared" si="4"/>
        <v>6836.9710075598314</v>
      </c>
      <c r="F53" s="300">
        <f t="shared" si="4"/>
        <v>6886.0262754172363</v>
      </c>
      <c r="G53" s="300">
        <f t="shared" si="4"/>
        <v>6937.7494942667226</v>
      </c>
      <c r="H53" s="300">
        <f t="shared" si="4"/>
        <v>7003.7624796008095</v>
      </c>
      <c r="I53" s="300">
        <f t="shared" si="4"/>
        <v>7084.6449887377903</v>
      </c>
      <c r="J53" s="300">
        <f t="shared" si="4"/>
        <v>7165.5100383783747</v>
      </c>
      <c r="K53" s="300">
        <f t="shared" si="4"/>
        <v>7218.6955762401958</v>
      </c>
      <c r="L53" s="300">
        <f t="shared" si="5"/>
        <v>7260.4460052975892</v>
      </c>
      <c r="M53" s="300">
        <f t="shared" si="6"/>
        <v>7284.0932338287066</v>
      </c>
      <c r="N53" s="300">
        <f t="shared" si="7"/>
        <v>7273.1007270099281</v>
      </c>
      <c r="O53" s="320"/>
      <c r="P53" s="320"/>
      <c r="Q53" s="320"/>
    </row>
    <row r="54" spans="1:17">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7">
      <c r="B56" s="334" t="s">
        <v>47</v>
      </c>
      <c r="H56" s="318"/>
    </row>
    <row r="57" spans="1:17">
      <c r="H57" s="318"/>
    </row>
    <row r="58" spans="1:17">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7">
      <c r="B59" s="331" t="str">
        <f t="shared" si="9"/>
        <v>20-24</v>
      </c>
      <c r="C59" s="300">
        <f t="shared" ref="C59:C69" si="11">D21</f>
        <v>209.7520018952097</v>
      </c>
      <c r="D59" s="300">
        <f>C356</f>
        <v>301.54984414431647</v>
      </c>
      <c r="E59" s="300">
        <f t="shared" ref="E59:L59" si="12">D356</f>
        <v>343.30997919239644</v>
      </c>
      <c r="F59" s="300">
        <f t="shared" si="12"/>
        <v>374.55156803967026</v>
      </c>
      <c r="G59" s="300">
        <f t="shared" si="12"/>
        <v>393.87533287533449</v>
      </c>
      <c r="H59" s="300">
        <f t="shared" si="12"/>
        <v>409.31414680204938</v>
      </c>
      <c r="I59" s="300">
        <f t="shared" si="12"/>
        <v>422.52517554003248</v>
      </c>
      <c r="J59" s="300">
        <f t="shared" si="12"/>
        <v>432.383480116334</v>
      </c>
      <c r="K59" s="300">
        <f t="shared" si="12"/>
        <v>435.94440140077029</v>
      </c>
      <c r="L59" s="300">
        <f t="shared" si="12"/>
        <v>437.13360362842104</v>
      </c>
      <c r="M59" s="300">
        <f>L356</f>
        <v>435.58563395198485</v>
      </c>
      <c r="N59" s="300">
        <f>M356</f>
        <v>429.46050871356016</v>
      </c>
    </row>
    <row r="60" spans="1:17">
      <c r="B60" s="331" t="str">
        <f t="shared" si="9"/>
        <v>25-29</v>
      </c>
      <c r="C60" s="300">
        <f t="shared" si="11"/>
        <v>621.65216367535334</v>
      </c>
      <c r="D60" s="300">
        <f t="shared" ref="D60:K69" si="13">C357</f>
        <v>638.12324481868018</v>
      </c>
      <c r="E60" s="300">
        <f t="shared" si="13"/>
        <v>644.41133890878086</v>
      </c>
      <c r="F60" s="300">
        <f t="shared" si="13"/>
        <v>658.55264183862721</v>
      </c>
      <c r="G60" s="300">
        <f t="shared" si="13"/>
        <v>671.70173937618551</v>
      </c>
      <c r="H60" s="300">
        <f t="shared" si="13"/>
        <v>686.71184124786328</v>
      </c>
      <c r="I60" s="300">
        <f t="shared" si="13"/>
        <v>702.76950197533176</v>
      </c>
      <c r="J60" s="300">
        <f t="shared" si="13"/>
        <v>717.29571749447939</v>
      </c>
      <c r="K60" s="300">
        <f t="shared" si="13"/>
        <v>726.051656801229</v>
      </c>
      <c r="L60" s="300">
        <f t="shared" ref="L60:L69" si="14">K357</f>
        <v>731.58540703068229</v>
      </c>
      <c r="M60" s="300">
        <f t="shared" ref="M60:M69" si="15">L357</f>
        <v>733.28493669107593</v>
      </c>
      <c r="N60" s="300">
        <f t="shared" ref="N60:N69" si="16">M357</f>
        <v>729.03042067172623</v>
      </c>
    </row>
    <row r="61" spans="1:17">
      <c r="B61" s="331" t="str">
        <f t="shared" si="9"/>
        <v>30-34</v>
      </c>
      <c r="C61" s="300">
        <f t="shared" si="11"/>
        <v>677.43538365242455</v>
      </c>
      <c r="D61" s="300">
        <f t="shared" si="13"/>
        <v>684.15162864100262</v>
      </c>
      <c r="E61" s="300">
        <f t="shared" si="13"/>
        <v>681.13733968681186</v>
      </c>
      <c r="F61" s="300">
        <f t="shared" si="13"/>
        <v>680.75451742035898</v>
      </c>
      <c r="G61" s="300">
        <f t="shared" si="13"/>
        <v>681.50422691415338</v>
      </c>
      <c r="H61" s="300">
        <f t="shared" si="13"/>
        <v>685.59007512055541</v>
      </c>
      <c r="I61" s="300">
        <f t="shared" si="13"/>
        <v>692.63199333397358</v>
      </c>
      <c r="J61" s="300">
        <f t="shared" si="13"/>
        <v>701.06707753285059</v>
      </c>
      <c r="K61" s="300">
        <f t="shared" si="13"/>
        <v>708.19483582921339</v>
      </c>
      <c r="L61" s="300">
        <f t="shared" si="14"/>
        <v>714.3030015417512</v>
      </c>
      <c r="M61" s="300">
        <f t="shared" si="15"/>
        <v>718.52186964829139</v>
      </c>
      <c r="N61" s="300">
        <f t="shared" si="16"/>
        <v>719.30553095574953</v>
      </c>
    </row>
    <row r="62" spans="1:17">
      <c r="B62" s="331" t="str">
        <f t="shared" si="9"/>
        <v>35-39</v>
      </c>
      <c r="C62" s="300">
        <f t="shared" si="11"/>
        <v>588.09424838277153</v>
      </c>
      <c r="D62" s="300">
        <f t="shared" si="13"/>
        <v>612.9836737330611</v>
      </c>
      <c r="E62" s="300">
        <f t="shared" si="13"/>
        <v>624.25078605405156</v>
      </c>
      <c r="F62" s="300">
        <f t="shared" si="13"/>
        <v>632.28666430338967</v>
      </c>
      <c r="G62" s="300">
        <f t="shared" si="13"/>
        <v>636.82324211864591</v>
      </c>
      <c r="H62" s="300">
        <f t="shared" si="13"/>
        <v>641.13330503219208</v>
      </c>
      <c r="I62" s="300">
        <f t="shared" si="13"/>
        <v>646.04155035848169</v>
      </c>
      <c r="J62" s="300">
        <f t="shared" si="13"/>
        <v>651.22850528695972</v>
      </c>
      <c r="K62" s="300">
        <f t="shared" si="13"/>
        <v>655.35338440089129</v>
      </c>
      <c r="L62" s="300">
        <f t="shared" si="14"/>
        <v>659.18826066663735</v>
      </c>
      <c r="M62" s="300">
        <f t="shared" si="15"/>
        <v>662.2012810598203</v>
      </c>
      <c r="N62" s="300">
        <f t="shared" si="16"/>
        <v>663.24557860895459</v>
      </c>
    </row>
    <row r="63" spans="1:17">
      <c r="B63" s="331" t="str">
        <f t="shared" si="9"/>
        <v>40-44</v>
      </c>
      <c r="C63" s="300">
        <f t="shared" si="11"/>
        <v>577.8499050945469</v>
      </c>
      <c r="D63" s="300">
        <f t="shared" si="13"/>
        <v>581.07324245690404</v>
      </c>
      <c r="E63" s="300">
        <f t="shared" si="13"/>
        <v>580.96537537340384</v>
      </c>
      <c r="F63" s="300">
        <f t="shared" si="13"/>
        <v>583.19980773967973</v>
      </c>
      <c r="G63" s="300">
        <f t="shared" si="13"/>
        <v>585.17961061488404</v>
      </c>
      <c r="H63" s="300">
        <f t="shared" si="13"/>
        <v>588.19632571031775</v>
      </c>
      <c r="I63" s="300">
        <f t="shared" si="13"/>
        <v>592.061063791827</v>
      </c>
      <c r="J63" s="300">
        <f t="shared" si="13"/>
        <v>596.05548656439828</v>
      </c>
      <c r="K63" s="300">
        <f t="shared" si="13"/>
        <v>598.89034554942543</v>
      </c>
      <c r="L63" s="300">
        <f t="shared" si="14"/>
        <v>601.30675453680419</v>
      </c>
      <c r="M63" s="300">
        <f t="shared" si="15"/>
        <v>603.00021560860102</v>
      </c>
      <c r="N63" s="300">
        <f t="shared" si="16"/>
        <v>603.13531941534302</v>
      </c>
    </row>
    <row r="64" spans="1:17">
      <c r="B64" s="331" t="str">
        <f t="shared" si="9"/>
        <v>45-49</v>
      </c>
      <c r="C64" s="300">
        <f t="shared" si="11"/>
        <v>462.65089696865334</v>
      </c>
      <c r="D64" s="300">
        <f t="shared" si="13"/>
        <v>480.75208038385802</v>
      </c>
      <c r="E64" s="300">
        <f t="shared" si="13"/>
        <v>488.75240995596067</v>
      </c>
      <c r="F64" s="300">
        <f t="shared" si="13"/>
        <v>494.61142515161055</v>
      </c>
      <c r="G64" s="300">
        <f t="shared" si="13"/>
        <v>498.25363829201154</v>
      </c>
      <c r="H64" s="300">
        <f t="shared" si="13"/>
        <v>501.84023477206472</v>
      </c>
      <c r="I64" s="300">
        <f t="shared" si="13"/>
        <v>505.68164563974358</v>
      </c>
      <c r="J64" s="300">
        <f t="shared" si="13"/>
        <v>509.37849813883349</v>
      </c>
      <c r="K64" s="300">
        <f t="shared" si="13"/>
        <v>511.94276182998311</v>
      </c>
      <c r="L64" s="300">
        <f t="shared" si="14"/>
        <v>513.98071508803582</v>
      </c>
      <c r="M64" s="300">
        <f t="shared" si="15"/>
        <v>515.26923454118798</v>
      </c>
      <c r="N64" s="300">
        <f t="shared" si="16"/>
        <v>515.17599828142875</v>
      </c>
    </row>
    <row r="65" spans="1:18">
      <c r="B65" s="331" t="str">
        <f t="shared" si="9"/>
        <v>50-54</v>
      </c>
      <c r="C65" s="300">
        <f t="shared" si="11"/>
        <v>428.52579999739248</v>
      </c>
      <c r="D65" s="300">
        <f t="shared" si="13"/>
        <v>413.22800327636406</v>
      </c>
      <c r="E65" s="300">
        <f t="shared" si="13"/>
        <v>401.41623346240766</v>
      </c>
      <c r="F65" s="300">
        <f t="shared" si="13"/>
        <v>394.5154247219092</v>
      </c>
      <c r="G65" s="300">
        <f t="shared" si="13"/>
        <v>389.91920764167111</v>
      </c>
      <c r="H65" s="300">
        <f t="shared" si="13"/>
        <v>387.78498911516476</v>
      </c>
      <c r="I65" s="300">
        <f t="shared" si="13"/>
        <v>387.44533535227771</v>
      </c>
      <c r="J65" s="300">
        <f t="shared" si="13"/>
        <v>388.05057950242008</v>
      </c>
      <c r="K65" s="300">
        <f t="shared" si="13"/>
        <v>388.51294535110827</v>
      </c>
      <c r="L65" s="300">
        <f t="shared" si="14"/>
        <v>389.0470184949877</v>
      </c>
      <c r="M65" s="300">
        <f t="shared" si="15"/>
        <v>389.32094955978738</v>
      </c>
      <c r="N65" s="300">
        <f t="shared" si="16"/>
        <v>388.75460316015148</v>
      </c>
    </row>
    <row r="66" spans="1:18">
      <c r="B66" s="331" t="str">
        <f t="shared" si="9"/>
        <v>55-59</v>
      </c>
      <c r="C66" s="300">
        <f t="shared" si="11"/>
        <v>166.7904949547065</v>
      </c>
      <c r="D66" s="300">
        <f t="shared" si="13"/>
        <v>185.0155524832449</v>
      </c>
      <c r="E66" s="300">
        <f t="shared" si="13"/>
        <v>191.00579586839024</v>
      </c>
      <c r="F66" s="300">
        <f t="shared" si="13"/>
        <v>193.00919434680841</v>
      </c>
      <c r="G66" s="300">
        <f t="shared" si="13"/>
        <v>192.80446167777902</v>
      </c>
      <c r="H66" s="300">
        <f t="shared" si="13"/>
        <v>192.28047322901983</v>
      </c>
      <c r="I66" s="300">
        <f t="shared" si="13"/>
        <v>191.98641044590684</v>
      </c>
      <c r="J66" s="300">
        <f t="shared" si="13"/>
        <v>191.86913781053511</v>
      </c>
      <c r="K66" s="300">
        <f t="shared" si="13"/>
        <v>191.49504178155442</v>
      </c>
      <c r="L66" s="300">
        <f t="shared" si="14"/>
        <v>191.18494800939237</v>
      </c>
      <c r="M66" s="300">
        <f t="shared" si="15"/>
        <v>190.7826799183201</v>
      </c>
      <c r="N66" s="300">
        <f t="shared" si="16"/>
        <v>189.9444623270642</v>
      </c>
    </row>
    <row r="67" spans="1:18">
      <c r="B67" s="331" t="str">
        <f t="shared" si="9"/>
        <v>60-64</v>
      </c>
      <c r="C67" s="300">
        <f t="shared" si="11"/>
        <v>42.971527818218384</v>
      </c>
      <c r="D67" s="300">
        <f t="shared" si="13"/>
        <v>53.021788514808414</v>
      </c>
      <c r="E67" s="300">
        <f t="shared" si="13"/>
        <v>59.063007134212015</v>
      </c>
      <c r="F67" s="300">
        <f t="shared" si="13"/>
        <v>63.015951627632084</v>
      </c>
      <c r="G67" s="300">
        <f t="shared" si="13"/>
        <v>65.112770291143192</v>
      </c>
      <c r="H67" s="300">
        <f t="shared" si="13"/>
        <v>66.293452139189796</v>
      </c>
      <c r="I67" s="300">
        <f t="shared" si="13"/>
        <v>66.997685658539112</v>
      </c>
      <c r="J67" s="300">
        <f t="shared" si="13"/>
        <v>67.372522639047943</v>
      </c>
      <c r="K67" s="300">
        <f t="shared" si="13"/>
        <v>67.345777441775297</v>
      </c>
      <c r="L67" s="300">
        <f t="shared" si="14"/>
        <v>67.206149235949056</v>
      </c>
      <c r="M67" s="300">
        <f t="shared" si="15"/>
        <v>66.945481258970943</v>
      </c>
      <c r="N67" s="300">
        <f t="shared" si="16"/>
        <v>66.437927795717201</v>
      </c>
    </row>
    <row r="68" spans="1:18">
      <c r="B68" s="331" t="str">
        <f t="shared" si="9"/>
        <v>65 plus</v>
      </c>
      <c r="C68" s="300">
        <f t="shared" si="11"/>
        <v>9.6380801864564258</v>
      </c>
      <c r="D68" s="300">
        <f t="shared" si="13"/>
        <v>14.869457715410991</v>
      </c>
      <c r="E68" s="300">
        <f t="shared" si="13"/>
        <v>19.152758316819337</v>
      </c>
      <c r="F68" s="300">
        <f t="shared" si="13"/>
        <v>22.741276576095252</v>
      </c>
      <c r="G68" s="300">
        <f t="shared" si="13"/>
        <v>25.515826256073716</v>
      </c>
      <c r="H68" s="300">
        <f t="shared" si="13"/>
        <v>27.623116064573409</v>
      </c>
      <c r="I68" s="300">
        <f t="shared" si="13"/>
        <v>29.189079045927858</v>
      </c>
      <c r="J68" s="300">
        <f t="shared" si="13"/>
        <v>30.308398635288661</v>
      </c>
      <c r="K68" s="300">
        <f t="shared" si="13"/>
        <v>31.019148622446505</v>
      </c>
      <c r="L68" s="300">
        <f t="shared" si="14"/>
        <v>31.450977866635316</v>
      </c>
      <c r="M68" s="300">
        <f t="shared" si="15"/>
        <v>31.666368796495068</v>
      </c>
      <c r="N68" s="300">
        <f t="shared" si="16"/>
        <v>31.67390663282789</v>
      </c>
    </row>
    <row r="69" spans="1:18">
      <c r="B69" s="331" t="str">
        <f t="shared" si="9"/>
        <v>Total</v>
      </c>
      <c r="C69" s="300">
        <f t="shared" si="11"/>
        <v>3785.3605026257333</v>
      </c>
      <c r="D69" s="300">
        <f t="shared" si="13"/>
        <v>3964.7685161676509</v>
      </c>
      <c r="E69" s="300">
        <f t="shared" si="13"/>
        <v>4033.4650239532339</v>
      </c>
      <c r="F69" s="300">
        <f t="shared" si="13"/>
        <v>4097.2384717657815</v>
      </c>
      <c r="G69" s="300">
        <f t="shared" si="13"/>
        <v>4140.6900560578815</v>
      </c>
      <c r="H69" s="300">
        <f t="shared" si="13"/>
        <v>4186.7679592329896</v>
      </c>
      <c r="I69" s="300">
        <f t="shared" si="13"/>
        <v>4237.3294411420411</v>
      </c>
      <c r="J69" s="300">
        <f t="shared" si="13"/>
        <v>4285.0094037211466</v>
      </c>
      <c r="K69" s="300">
        <f t="shared" si="13"/>
        <v>4314.7502990083976</v>
      </c>
      <c r="L69" s="300">
        <f t="shared" si="14"/>
        <v>4336.3868360992956</v>
      </c>
      <c r="M69" s="300">
        <f t="shared" si="15"/>
        <v>4346.5786510345351</v>
      </c>
      <c r="N69" s="300">
        <f t="shared" si="16"/>
        <v>4336.1642565625225</v>
      </c>
    </row>
    <row r="70" spans="1:18">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8" ht="15.75">
      <c r="B72" s="333" t="s">
        <v>163</v>
      </c>
      <c r="H72" s="318"/>
    </row>
    <row r="73" spans="1:18">
      <c r="H73" s="318"/>
    </row>
    <row r="74" spans="1:18">
      <c r="B74" s="334" t="s">
        <v>46</v>
      </c>
      <c r="C74" s="256" t="s">
        <v>456</v>
      </c>
      <c r="H74" s="318"/>
    </row>
    <row r="75" spans="1:18">
      <c r="H75" s="318"/>
    </row>
    <row r="76" spans="1:18">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8">
      <c r="B77" s="331" t="str">
        <f t="shared" si="18"/>
        <v>20-24</v>
      </c>
      <c r="C77" s="447">
        <f>C43-(0.2*C43)</f>
        <v>205.72701615213205</v>
      </c>
      <c r="D77" s="447">
        <f>D43-(0.2*D43)</f>
        <v>354.41455262117222</v>
      </c>
      <c r="E77" s="447">
        <f t="shared" ref="E77:N77" si="20">E43-(0.2*E43)</f>
        <v>424.31718174496126</v>
      </c>
      <c r="F77" s="447">
        <f t="shared" si="20"/>
        <v>472.74581233785648</v>
      </c>
      <c r="G77" s="447">
        <f t="shared" si="20"/>
        <v>503.72583163888942</v>
      </c>
      <c r="H77" s="447">
        <f t="shared" si="20"/>
        <v>527.23545884664713</v>
      </c>
      <c r="I77" s="447">
        <f t="shared" si="20"/>
        <v>546.42451417533903</v>
      </c>
      <c r="J77" s="447">
        <f t="shared" si="20"/>
        <v>560.22267745386057</v>
      </c>
      <c r="K77" s="447">
        <f t="shared" si="20"/>
        <v>564.89338758194913</v>
      </c>
      <c r="L77" s="447">
        <f t="shared" si="20"/>
        <v>566.24008104024495</v>
      </c>
      <c r="M77" s="447">
        <f t="shared" si="20"/>
        <v>563.84208523311736</v>
      </c>
      <c r="N77" s="447">
        <f t="shared" si="20"/>
        <v>555.20784759655908</v>
      </c>
      <c r="O77" s="320"/>
      <c r="P77" s="320"/>
      <c r="Q77" s="320"/>
      <c r="R77" s="320"/>
    </row>
    <row r="78" spans="1:18">
      <c r="B78" s="331" t="str">
        <f t="shared" si="18"/>
        <v>25-29</v>
      </c>
      <c r="C78" s="447">
        <f t="shared" ref="C78:C85" si="21">C44+(0.2*C43)-(0.2*C44)</f>
        <v>852.49430522747707</v>
      </c>
      <c r="D78" s="447">
        <f t="shared" ref="D78:N78" si="22">D44+(0.2*D43)-(0.2*D44)</f>
        <v>904.96673723212496</v>
      </c>
      <c r="E78" s="447">
        <f t="shared" si="22"/>
        <v>932.70281653546692</v>
      </c>
      <c r="F78" s="447">
        <f t="shared" si="22"/>
        <v>965.39541635626176</v>
      </c>
      <c r="G78" s="447">
        <f t="shared" si="22"/>
        <v>995.77987646854217</v>
      </c>
      <c r="H78" s="447">
        <f t="shared" si="22"/>
        <v>1026.0795516142009</v>
      </c>
      <c r="I78" s="447">
        <f t="shared" si="22"/>
        <v>1055.8265146329329</v>
      </c>
      <c r="J78" s="447">
        <f t="shared" si="22"/>
        <v>1081.2281183696452</v>
      </c>
      <c r="K78" s="447">
        <f t="shared" si="22"/>
        <v>1095.6124427000761</v>
      </c>
      <c r="L78" s="447">
        <f t="shared" si="22"/>
        <v>1104.2103888736592</v>
      </c>
      <c r="M78" s="447">
        <f t="shared" si="22"/>
        <v>1106.2460056293021</v>
      </c>
      <c r="N78" s="447">
        <f t="shared" si="22"/>
        <v>1098.2944327076393</v>
      </c>
      <c r="O78" s="320"/>
      <c r="P78" s="320"/>
      <c r="Q78" s="320"/>
      <c r="R78" s="320"/>
    </row>
    <row r="79" spans="1:18">
      <c r="B79" s="331" t="str">
        <f t="shared" si="18"/>
        <v>30-34</v>
      </c>
      <c r="C79" s="447">
        <f t="shared" si="21"/>
        <v>1043.2940215175283</v>
      </c>
      <c r="D79" s="447">
        <f t="shared" ref="D79:N79" si="23">D45+(0.2*D44)-(0.2*D45)</f>
        <v>1071.808612453166</v>
      </c>
      <c r="E79" s="447">
        <f t="shared" si="23"/>
        <v>1083.2253770686393</v>
      </c>
      <c r="F79" s="447">
        <f t="shared" si="23"/>
        <v>1096.1263602765007</v>
      </c>
      <c r="G79" s="447">
        <f t="shared" si="23"/>
        <v>1111.7008119594823</v>
      </c>
      <c r="H79" s="447">
        <f t="shared" si="23"/>
        <v>1130.7423317616606</v>
      </c>
      <c r="I79" s="447">
        <f t="shared" si="23"/>
        <v>1152.7244415090431</v>
      </c>
      <c r="J79" s="447">
        <f t="shared" si="23"/>
        <v>1174.794595269939</v>
      </c>
      <c r="K79" s="447">
        <f t="shared" si="23"/>
        <v>1191.9083059440047</v>
      </c>
      <c r="L79" s="447">
        <f t="shared" si="23"/>
        <v>1205.5312043124977</v>
      </c>
      <c r="M79" s="447">
        <f t="shared" si="23"/>
        <v>1214.4186283218501</v>
      </c>
      <c r="N79" s="447">
        <f t="shared" si="23"/>
        <v>1215.8429182335685</v>
      </c>
      <c r="O79" s="320"/>
      <c r="P79" s="320"/>
      <c r="Q79" s="320"/>
      <c r="R79" s="320"/>
    </row>
    <row r="80" spans="1:18">
      <c r="B80" s="331" t="str">
        <f t="shared" si="18"/>
        <v>35-39</v>
      </c>
      <c r="C80" s="447">
        <f t="shared" si="21"/>
        <v>983.0420913321517</v>
      </c>
      <c r="D80" s="447">
        <f t="shared" ref="D80:N80" si="24">D46+(0.2*D45)-(0.2*D46)</f>
        <v>1014.6756298516757</v>
      </c>
      <c r="E80" s="447">
        <f t="shared" si="24"/>
        <v>1031.567854664582</v>
      </c>
      <c r="F80" s="447">
        <f t="shared" si="24"/>
        <v>1044.904271051847</v>
      </c>
      <c r="G80" s="447">
        <f t="shared" si="24"/>
        <v>1057.7697790978709</v>
      </c>
      <c r="H80" s="447">
        <f t="shared" si="24"/>
        <v>1071.585494918128</v>
      </c>
      <c r="I80" s="447">
        <f t="shared" si="24"/>
        <v>1087.0124380971063</v>
      </c>
      <c r="J80" s="447">
        <f t="shared" si="24"/>
        <v>1102.8548257499017</v>
      </c>
      <c r="K80" s="447">
        <f t="shared" si="24"/>
        <v>1116.1924512182129</v>
      </c>
      <c r="L80" s="447">
        <f t="shared" si="24"/>
        <v>1128.1469952562031</v>
      </c>
      <c r="M80" s="447">
        <f t="shared" si="24"/>
        <v>1137.6701590857986</v>
      </c>
      <c r="N80" s="447">
        <f t="shared" si="24"/>
        <v>1142.6544472011783</v>
      </c>
      <c r="O80" s="320"/>
      <c r="P80" s="320"/>
      <c r="Q80" s="320"/>
      <c r="R80" s="320"/>
    </row>
    <row r="81" spans="1:18">
      <c r="B81" s="331" t="str">
        <f t="shared" si="18"/>
        <v>40-44</v>
      </c>
      <c r="C81" s="447">
        <f t="shared" si="21"/>
        <v>895.1676117248918</v>
      </c>
      <c r="D81" s="447">
        <f t="shared" ref="D81:N81" si="25">D47+(0.2*D46)-(0.2*D47)</f>
        <v>928.50187078157728</v>
      </c>
      <c r="E81" s="447">
        <f t="shared" si="25"/>
        <v>949.38975488578262</v>
      </c>
      <c r="F81" s="447">
        <f t="shared" si="25"/>
        <v>966.95188499686776</v>
      </c>
      <c r="G81" s="447">
        <f t="shared" si="25"/>
        <v>982.99075873122547</v>
      </c>
      <c r="H81" s="447">
        <f t="shared" si="25"/>
        <v>998.47938550274796</v>
      </c>
      <c r="I81" s="447">
        <f t="shared" si="25"/>
        <v>1013.9769385690643</v>
      </c>
      <c r="J81" s="447">
        <f t="shared" si="25"/>
        <v>1028.7014738518092</v>
      </c>
      <c r="K81" s="447">
        <f t="shared" si="25"/>
        <v>1040.5877565602082</v>
      </c>
      <c r="L81" s="447">
        <f t="shared" si="25"/>
        <v>1051.0433077652099</v>
      </c>
      <c r="M81" s="447">
        <f t="shared" si="25"/>
        <v>1059.5377295513501</v>
      </c>
      <c r="N81" s="447">
        <f t="shared" si="25"/>
        <v>1064.5611334063447</v>
      </c>
      <c r="O81" s="320"/>
      <c r="P81" s="320"/>
      <c r="Q81" s="320"/>
      <c r="R81" s="320"/>
    </row>
    <row r="82" spans="1:18">
      <c r="B82" s="331" t="str">
        <f t="shared" si="18"/>
        <v>45-49</v>
      </c>
      <c r="C82" s="447">
        <f t="shared" si="21"/>
        <v>946.83185012591707</v>
      </c>
      <c r="D82" s="447">
        <f t="shared" ref="D82:N82" si="26">D48+(0.2*D47)-(0.2*D48)</f>
        <v>919.21895045648421</v>
      </c>
      <c r="E82" s="447">
        <f t="shared" si="26"/>
        <v>898.78360712683457</v>
      </c>
      <c r="F82" s="447">
        <f t="shared" si="26"/>
        <v>886.35484519028284</v>
      </c>
      <c r="G82" s="447">
        <f t="shared" si="26"/>
        <v>881.63387874734428</v>
      </c>
      <c r="H82" s="447">
        <f t="shared" si="26"/>
        <v>882.29040621667855</v>
      </c>
      <c r="I82" s="447">
        <f t="shared" si="26"/>
        <v>886.9089731416982</v>
      </c>
      <c r="J82" s="447">
        <f t="shared" si="26"/>
        <v>893.5000854246266</v>
      </c>
      <c r="K82" s="447">
        <f t="shared" si="26"/>
        <v>899.44880313942747</v>
      </c>
      <c r="L82" s="447">
        <f t="shared" si="26"/>
        <v>905.32455509633553</v>
      </c>
      <c r="M82" s="447">
        <f t="shared" si="26"/>
        <v>910.34752122612917</v>
      </c>
      <c r="N82" s="447">
        <f t="shared" si="26"/>
        <v>913.09968210915349</v>
      </c>
      <c r="O82" s="320"/>
      <c r="P82" s="320"/>
      <c r="Q82" s="320"/>
      <c r="R82" s="320"/>
    </row>
    <row r="83" spans="1:18">
      <c r="B83" s="331" t="str">
        <f t="shared" si="18"/>
        <v>50-54</v>
      </c>
      <c r="C83" s="447">
        <f t="shared" si="21"/>
        <v>846.99865547092008</v>
      </c>
      <c r="D83" s="447">
        <f t="shared" ref="D83:N83" si="27">D49+(0.2*D48)-(0.2*D49)</f>
        <v>814.45852510671159</v>
      </c>
      <c r="E83" s="447">
        <f t="shared" si="27"/>
        <v>782.49124872582831</v>
      </c>
      <c r="F83" s="447">
        <f t="shared" si="27"/>
        <v>754.77609381100001</v>
      </c>
      <c r="G83" s="447">
        <f t="shared" si="27"/>
        <v>734.32560388447632</v>
      </c>
      <c r="H83" s="447">
        <f t="shared" si="27"/>
        <v>720.0926508351813</v>
      </c>
      <c r="I83" s="447">
        <f t="shared" si="27"/>
        <v>711.29758358509093</v>
      </c>
      <c r="J83" s="447">
        <f t="shared" si="27"/>
        <v>706.33109363464587</v>
      </c>
      <c r="K83" s="447">
        <f t="shared" si="27"/>
        <v>702.92962164450705</v>
      </c>
      <c r="L83" s="447">
        <f t="shared" si="27"/>
        <v>701.18972632283453</v>
      </c>
      <c r="M83" s="447">
        <f t="shared" si="27"/>
        <v>700.1855124464247</v>
      </c>
      <c r="N83" s="447">
        <f t="shared" si="27"/>
        <v>698.55844218496088</v>
      </c>
      <c r="O83" s="320"/>
      <c r="P83" s="320"/>
      <c r="Q83" s="320"/>
      <c r="R83" s="320"/>
    </row>
    <row r="84" spans="1:18">
      <c r="B84" s="331" t="str">
        <f t="shared" si="18"/>
        <v>55-59</v>
      </c>
      <c r="C84" s="447">
        <f t="shared" si="21"/>
        <v>544.51665788033927</v>
      </c>
      <c r="D84" s="447">
        <f t="shared" ref="D84:N84" si="28">D50+(0.2*D49)-(0.2*D50)</f>
        <v>503.09080664498833</v>
      </c>
      <c r="E84" s="447">
        <f t="shared" si="28"/>
        <v>469.87936981708759</v>
      </c>
      <c r="F84" s="447">
        <f t="shared" si="28"/>
        <v>444.09423728270463</v>
      </c>
      <c r="G84" s="447">
        <f t="shared" si="28"/>
        <v>424.68184504798091</v>
      </c>
      <c r="H84" s="447">
        <f t="shared" si="28"/>
        <v>410.33342262089423</v>
      </c>
      <c r="I84" s="447">
        <f t="shared" si="28"/>
        <v>400.12726621882462</v>
      </c>
      <c r="J84" s="447">
        <f t="shared" si="28"/>
        <v>392.84294614487339</v>
      </c>
      <c r="K84" s="447">
        <f t="shared" si="28"/>
        <v>386.95838673995212</v>
      </c>
      <c r="L84" s="447">
        <f t="shared" si="28"/>
        <v>382.62719012114053</v>
      </c>
      <c r="M84" s="447">
        <f t="shared" si="28"/>
        <v>379.22040005060342</v>
      </c>
      <c r="N84" s="447">
        <f t="shared" si="28"/>
        <v>375.82332985849825</v>
      </c>
      <c r="O84" s="320"/>
      <c r="P84" s="320"/>
      <c r="Q84" s="320"/>
      <c r="R84" s="320"/>
    </row>
    <row r="85" spans="1:18">
      <c r="B85" s="331" t="str">
        <f t="shared" si="18"/>
        <v>60-64</v>
      </c>
      <c r="C85" s="447">
        <f t="shared" si="21"/>
        <v>196.32923661328556</v>
      </c>
      <c r="D85" s="447">
        <f t="shared" ref="D85:N85" si="29">D51+(0.2*D50)-(0.2*D51)</f>
        <v>197.08914161248248</v>
      </c>
      <c r="E85" s="447">
        <f t="shared" si="29"/>
        <v>189.35656004300404</v>
      </c>
      <c r="F85" s="447">
        <f t="shared" si="29"/>
        <v>180.44185827066525</v>
      </c>
      <c r="G85" s="447">
        <f t="shared" si="29"/>
        <v>172.44332479682456</v>
      </c>
      <c r="H85" s="447">
        <f t="shared" si="29"/>
        <v>165.96702994810741</v>
      </c>
      <c r="I85" s="447">
        <f t="shared" si="29"/>
        <v>161.0367217334109</v>
      </c>
      <c r="J85" s="447">
        <f t="shared" si="29"/>
        <v>157.22997979505993</v>
      </c>
      <c r="K85" s="447">
        <f t="shared" si="29"/>
        <v>153.87013629312059</v>
      </c>
      <c r="L85" s="447">
        <f t="shared" si="29"/>
        <v>151.18911387803013</v>
      </c>
      <c r="M85" s="447">
        <f t="shared" si="29"/>
        <v>148.92034565963689</v>
      </c>
      <c r="N85" s="447">
        <f t="shared" si="29"/>
        <v>146.62876096943077</v>
      </c>
      <c r="O85" s="320"/>
      <c r="P85" s="320"/>
      <c r="Q85" s="320"/>
      <c r="R85" s="320"/>
    </row>
    <row r="86" spans="1:18">
      <c r="B86" s="331" t="str">
        <f t="shared" si="18"/>
        <v>65 plus</v>
      </c>
      <c r="C86" s="447">
        <f>C52+(0.2*C51)</f>
        <v>73.290495015701055</v>
      </c>
      <c r="D86" s="447">
        <f t="shared" ref="D86:N86" si="30">D52+(0.2*D51)</f>
        <v>74.945077656563356</v>
      </c>
      <c r="E86" s="447">
        <f t="shared" si="30"/>
        <v>75.257236947644316</v>
      </c>
      <c r="F86" s="447">
        <f t="shared" si="30"/>
        <v>74.235495843251257</v>
      </c>
      <c r="G86" s="447">
        <f t="shared" si="30"/>
        <v>72.697783894085461</v>
      </c>
      <c r="H86" s="447">
        <f t="shared" si="30"/>
        <v>70.956747336562572</v>
      </c>
      <c r="I86" s="447">
        <f t="shared" si="30"/>
        <v>69.309597075280578</v>
      </c>
      <c r="J86" s="447">
        <f t="shared" si="30"/>
        <v>67.804242684013701</v>
      </c>
      <c r="K86" s="447">
        <f t="shared" si="30"/>
        <v>66.294284418737419</v>
      </c>
      <c r="L86" s="447">
        <f t="shared" si="30"/>
        <v>64.943442631433584</v>
      </c>
      <c r="M86" s="447">
        <f t="shared" si="30"/>
        <v>63.704846624494195</v>
      </c>
      <c r="N86" s="447">
        <f t="shared" si="30"/>
        <v>62.429732742594993</v>
      </c>
      <c r="O86" s="320"/>
      <c r="P86" s="320"/>
      <c r="Q86" s="320"/>
      <c r="R86" s="320"/>
    </row>
    <row r="87" spans="1:18">
      <c r="B87" s="331" t="str">
        <f t="shared" si="18"/>
        <v>Total</v>
      </c>
      <c r="C87" s="447">
        <f>SUM(C77:C86)</f>
        <v>6587.6919410603441</v>
      </c>
      <c r="D87" s="447">
        <f t="shared" ref="D87:N87" si="31">SUM(D77:D86)</f>
        <v>6783.1699044169463</v>
      </c>
      <c r="E87" s="447">
        <f t="shared" si="31"/>
        <v>6836.9710075598305</v>
      </c>
      <c r="F87" s="447">
        <f t="shared" si="31"/>
        <v>6886.0262754172372</v>
      </c>
      <c r="G87" s="447">
        <f t="shared" si="31"/>
        <v>6937.7494942667217</v>
      </c>
      <c r="H87" s="447">
        <f t="shared" si="31"/>
        <v>7003.7624796008095</v>
      </c>
      <c r="I87" s="447">
        <f t="shared" si="31"/>
        <v>7084.6449887377903</v>
      </c>
      <c r="J87" s="447">
        <f t="shared" si="31"/>
        <v>7165.5100383783747</v>
      </c>
      <c r="K87" s="447">
        <f t="shared" si="31"/>
        <v>7218.6955762401958</v>
      </c>
      <c r="L87" s="447">
        <f t="shared" si="31"/>
        <v>7260.4460052975892</v>
      </c>
      <c r="M87" s="447">
        <f t="shared" si="31"/>
        <v>7284.0932338287066</v>
      </c>
      <c r="N87" s="447">
        <f t="shared" si="31"/>
        <v>7273.1007270099281</v>
      </c>
      <c r="O87" s="320"/>
      <c r="P87" s="320"/>
      <c r="Q87" s="320"/>
      <c r="R87" s="320"/>
    </row>
    <row r="88" spans="1:18">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8">
      <c r="B90" s="334" t="s">
        <v>47</v>
      </c>
      <c r="H90" s="318"/>
    </row>
    <row r="91" spans="1:18">
      <c r="H91" s="318"/>
    </row>
    <row r="92" spans="1:18">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8">
      <c r="B93" s="331" t="str">
        <f t="shared" si="33"/>
        <v>20-24</v>
      </c>
      <c r="C93" s="447">
        <f>C59-(0.2*C59)</f>
        <v>167.80160151616775</v>
      </c>
      <c r="D93" s="447">
        <f t="shared" ref="D93:N93" si="35">D59-(0.2*D59)</f>
        <v>241.23987531545316</v>
      </c>
      <c r="E93" s="447">
        <f t="shared" si="35"/>
        <v>274.64798335391714</v>
      </c>
      <c r="F93" s="447">
        <f t="shared" si="35"/>
        <v>299.64125443173623</v>
      </c>
      <c r="G93" s="447">
        <f t="shared" si="35"/>
        <v>315.10026630026761</v>
      </c>
      <c r="H93" s="447">
        <f t="shared" si="35"/>
        <v>327.4513174416395</v>
      </c>
      <c r="I93" s="447">
        <f t="shared" si="35"/>
        <v>338.02014043202598</v>
      </c>
      <c r="J93" s="447">
        <f t="shared" si="35"/>
        <v>345.90678409306719</v>
      </c>
      <c r="K93" s="447">
        <f t="shared" si="35"/>
        <v>348.75552112061621</v>
      </c>
      <c r="L93" s="447">
        <f t="shared" si="35"/>
        <v>349.70688290273682</v>
      </c>
      <c r="M93" s="447">
        <f t="shared" si="35"/>
        <v>348.46850716158787</v>
      </c>
      <c r="N93" s="447">
        <f t="shared" si="35"/>
        <v>343.56840697084812</v>
      </c>
      <c r="O93" s="320"/>
      <c r="P93" s="320"/>
    </row>
    <row r="94" spans="1:18">
      <c r="B94" s="331" t="str">
        <f t="shared" si="33"/>
        <v>25-29</v>
      </c>
      <c r="C94" s="447">
        <f t="shared" ref="C94:C101" si="36">C60+(0.2*C59)-(0.2*C60)</f>
        <v>539.27213131932467</v>
      </c>
      <c r="D94" s="447">
        <f t="shared" ref="D94:N94" si="37">D60+(0.2*D59)-(0.2*D60)</f>
        <v>570.80856468380739</v>
      </c>
      <c r="E94" s="447">
        <f t="shared" si="37"/>
        <v>584.19106696550398</v>
      </c>
      <c r="F94" s="447">
        <f t="shared" si="37"/>
        <v>601.75242707883581</v>
      </c>
      <c r="G94" s="447">
        <f t="shared" si="37"/>
        <v>616.13645807601529</v>
      </c>
      <c r="H94" s="447">
        <f t="shared" si="37"/>
        <v>631.23230235870051</v>
      </c>
      <c r="I94" s="447">
        <f t="shared" si="37"/>
        <v>646.72063668827195</v>
      </c>
      <c r="J94" s="447">
        <f t="shared" si="37"/>
        <v>660.31327001885029</v>
      </c>
      <c r="K94" s="447">
        <f t="shared" si="37"/>
        <v>668.03020572113724</v>
      </c>
      <c r="L94" s="447">
        <f t="shared" si="37"/>
        <v>672.69504635022997</v>
      </c>
      <c r="M94" s="447">
        <f t="shared" si="37"/>
        <v>673.74507614325762</v>
      </c>
      <c r="N94" s="447">
        <f t="shared" si="37"/>
        <v>669.11643828009301</v>
      </c>
      <c r="O94" s="320"/>
      <c r="P94" s="320"/>
    </row>
    <row r="95" spans="1:18">
      <c r="B95" s="331" t="str">
        <f t="shared" si="33"/>
        <v>30-34</v>
      </c>
      <c r="C95" s="447">
        <f t="shared" si="36"/>
        <v>666.27873965701031</v>
      </c>
      <c r="D95" s="447">
        <f t="shared" ref="D95:N95" si="38">D61+(0.2*D60)-(0.2*D61)</f>
        <v>674.94595187653817</v>
      </c>
      <c r="E95" s="447">
        <f t="shared" si="38"/>
        <v>673.79213953120563</v>
      </c>
      <c r="F95" s="447">
        <f t="shared" si="38"/>
        <v>676.31414230401265</v>
      </c>
      <c r="G95" s="447">
        <f t="shared" si="38"/>
        <v>679.54372940655981</v>
      </c>
      <c r="H95" s="447">
        <f t="shared" si="38"/>
        <v>685.81442834601705</v>
      </c>
      <c r="I95" s="447">
        <f t="shared" si="38"/>
        <v>694.65949506224513</v>
      </c>
      <c r="J95" s="447">
        <f t="shared" si="38"/>
        <v>704.31280552517637</v>
      </c>
      <c r="K95" s="447">
        <f t="shared" si="38"/>
        <v>711.76620002361653</v>
      </c>
      <c r="L95" s="447">
        <f t="shared" si="38"/>
        <v>717.7594826395374</v>
      </c>
      <c r="M95" s="447">
        <f t="shared" si="38"/>
        <v>721.47448305684838</v>
      </c>
      <c r="N95" s="447">
        <f t="shared" si="38"/>
        <v>721.25050889894487</v>
      </c>
      <c r="O95" s="320"/>
      <c r="P95" s="320"/>
    </row>
    <row r="96" spans="1:18">
      <c r="B96" s="331" t="str">
        <f t="shared" si="33"/>
        <v>35-39</v>
      </c>
      <c r="C96" s="447">
        <f t="shared" si="36"/>
        <v>605.96247543670211</v>
      </c>
      <c r="D96" s="447">
        <f t="shared" ref="D96:N96" si="39">D62+(0.2*D61)-(0.2*D62)</f>
        <v>627.21726471464933</v>
      </c>
      <c r="E96" s="447">
        <f t="shared" si="39"/>
        <v>635.62809678060353</v>
      </c>
      <c r="F96" s="447">
        <f t="shared" si="39"/>
        <v>641.98023492678351</v>
      </c>
      <c r="G96" s="447">
        <f t="shared" si="39"/>
        <v>645.7594390777474</v>
      </c>
      <c r="H96" s="447">
        <f t="shared" si="39"/>
        <v>650.02465904986468</v>
      </c>
      <c r="I96" s="447">
        <f t="shared" si="39"/>
        <v>655.35963895358009</v>
      </c>
      <c r="J96" s="447">
        <f t="shared" si="39"/>
        <v>661.19621973613789</v>
      </c>
      <c r="K96" s="447">
        <f t="shared" si="39"/>
        <v>665.92167468655566</v>
      </c>
      <c r="L96" s="447">
        <f t="shared" si="39"/>
        <v>670.21120884166021</v>
      </c>
      <c r="M96" s="447">
        <f t="shared" si="39"/>
        <v>673.46539877751445</v>
      </c>
      <c r="N96" s="447">
        <f t="shared" si="39"/>
        <v>674.45756907831355</v>
      </c>
      <c r="O96" s="320"/>
      <c r="P96" s="320"/>
    </row>
    <row r="97" spans="1:16">
      <c r="B97" s="331" t="str">
        <f t="shared" si="33"/>
        <v>40-44</v>
      </c>
      <c r="C97" s="447">
        <f t="shared" si="36"/>
        <v>579.8987737521918</v>
      </c>
      <c r="D97" s="447">
        <f t="shared" ref="D97:N97" si="40">D63+(0.2*D62)-(0.2*D63)</f>
        <v>587.4553287121355</v>
      </c>
      <c r="E97" s="447">
        <f t="shared" si="40"/>
        <v>589.62245750953343</v>
      </c>
      <c r="F97" s="447">
        <f t="shared" si="40"/>
        <v>593.01717905242174</v>
      </c>
      <c r="G97" s="447">
        <f t="shared" si="40"/>
        <v>595.50833691563651</v>
      </c>
      <c r="H97" s="447">
        <f t="shared" si="40"/>
        <v>598.78372157469266</v>
      </c>
      <c r="I97" s="447">
        <f t="shared" si="40"/>
        <v>602.85716110515796</v>
      </c>
      <c r="J97" s="447">
        <f t="shared" si="40"/>
        <v>607.09009030891048</v>
      </c>
      <c r="K97" s="447">
        <f t="shared" si="40"/>
        <v>610.18295331971854</v>
      </c>
      <c r="L97" s="447">
        <f t="shared" si="40"/>
        <v>612.88305576277094</v>
      </c>
      <c r="M97" s="447">
        <f t="shared" si="40"/>
        <v>614.8404286988449</v>
      </c>
      <c r="N97" s="447">
        <f t="shared" si="40"/>
        <v>615.15737125406531</v>
      </c>
      <c r="O97" s="320"/>
      <c r="P97" s="320"/>
    </row>
    <row r="98" spans="1:16">
      <c r="B98" s="331" t="str">
        <f t="shared" si="33"/>
        <v>45-49</v>
      </c>
      <c r="C98" s="447">
        <f t="shared" si="36"/>
        <v>485.69069859383205</v>
      </c>
      <c r="D98" s="447">
        <f t="shared" ref="D98:N98" si="41">D64+(0.2*D63)-(0.2*D64)</f>
        <v>500.81631279846721</v>
      </c>
      <c r="E98" s="447">
        <f t="shared" si="41"/>
        <v>507.19500303944926</v>
      </c>
      <c r="F98" s="447">
        <f t="shared" si="41"/>
        <v>512.32910166922443</v>
      </c>
      <c r="G98" s="447">
        <f t="shared" si="41"/>
        <v>515.63883275658611</v>
      </c>
      <c r="H98" s="447">
        <f t="shared" si="41"/>
        <v>519.11145295971528</v>
      </c>
      <c r="I98" s="447">
        <f t="shared" si="41"/>
        <v>522.95752927016019</v>
      </c>
      <c r="J98" s="447">
        <f t="shared" si="41"/>
        <v>526.71389582394647</v>
      </c>
      <c r="K98" s="447">
        <f t="shared" si="41"/>
        <v>529.33227857387158</v>
      </c>
      <c r="L98" s="447">
        <f t="shared" si="41"/>
        <v>531.44592297778945</v>
      </c>
      <c r="M98" s="447">
        <f t="shared" si="41"/>
        <v>532.81543075467061</v>
      </c>
      <c r="N98" s="447">
        <f t="shared" si="41"/>
        <v>532.76786250821158</v>
      </c>
      <c r="O98" s="320"/>
      <c r="P98" s="320"/>
    </row>
    <row r="99" spans="1:16">
      <c r="B99" s="331" t="str">
        <f t="shared" si="33"/>
        <v>50-54</v>
      </c>
      <c r="C99" s="447">
        <f t="shared" si="36"/>
        <v>435.35081939164468</v>
      </c>
      <c r="D99" s="447">
        <f t="shared" ref="D99:N99" si="42">D65+(0.2*D64)-(0.2*D65)</f>
        <v>426.73281869786285</v>
      </c>
      <c r="E99" s="447">
        <f t="shared" si="42"/>
        <v>418.88346876111825</v>
      </c>
      <c r="F99" s="447">
        <f t="shared" si="42"/>
        <v>414.53462480784947</v>
      </c>
      <c r="G99" s="447">
        <f t="shared" si="42"/>
        <v>411.58609377173923</v>
      </c>
      <c r="H99" s="447">
        <f t="shared" si="42"/>
        <v>410.59603824654471</v>
      </c>
      <c r="I99" s="447">
        <f t="shared" si="42"/>
        <v>411.09259740977086</v>
      </c>
      <c r="J99" s="447">
        <f t="shared" si="42"/>
        <v>412.31616322970279</v>
      </c>
      <c r="K99" s="447">
        <f t="shared" si="42"/>
        <v>413.19890864688324</v>
      </c>
      <c r="L99" s="447">
        <f t="shared" si="42"/>
        <v>414.03375781359733</v>
      </c>
      <c r="M99" s="447">
        <f t="shared" si="42"/>
        <v>414.5106065560675</v>
      </c>
      <c r="N99" s="447">
        <f t="shared" si="42"/>
        <v>414.03888218440693</v>
      </c>
      <c r="O99" s="320"/>
      <c r="P99" s="320"/>
    </row>
    <row r="100" spans="1:16">
      <c r="B100" s="331" t="str">
        <f t="shared" si="33"/>
        <v>55-59</v>
      </c>
      <c r="C100" s="447">
        <f t="shared" si="36"/>
        <v>219.1375559632437</v>
      </c>
      <c r="D100" s="447">
        <f t="shared" ref="D100:N100" si="43">D66+(0.2*D65)-(0.2*D66)</f>
        <v>230.65804264186872</v>
      </c>
      <c r="E100" s="447">
        <f t="shared" si="43"/>
        <v>233.08788338719376</v>
      </c>
      <c r="F100" s="447">
        <f t="shared" si="43"/>
        <v>233.31044042182856</v>
      </c>
      <c r="G100" s="447">
        <f t="shared" si="43"/>
        <v>232.22741087055743</v>
      </c>
      <c r="H100" s="447">
        <f t="shared" si="43"/>
        <v>231.38137640624885</v>
      </c>
      <c r="I100" s="447">
        <f t="shared" si="43"/>
        <v>231.07819542718102</v>
      </c>
      <c r="J100" s="447">
        <f t="shared" si="43"/>
        <v>231.1054261489121</v>
      </c>
      <c r="K100" s="447">
        <f t="shared" si="43"/>
        <v>230.89862249546519</v>
      </c>
      <c r="L100" s="447">
        <f t="shared" si="43"/>
        <v>230.75736210651144</v>
      </c>
      <c r="M100" s="447">
        <f t="shared" si="43"/>
        <v>230.49033384661357</v>
      </c>
      <c r="N100" s="447">
        <f t="shared" si="43"/>
        <v>229.70649049368166</v>
      </c>
      <c r="O100" s="320"/>
      <c r="P100" s="320"/>
    </row>
    <row r="101" spans="1:16">
      <c r="B101" s="331" t="str">
        <f t="shared" si="33"/>
        <v>60-64</v>
      </c>
      <c r="C101" s="447">
        <f t="shared" si="36"/>
        <v>67.735321245516019</v>
      </c>
      <c r="D101" s="447">
        <f t="shared" ref="D101:N101" si="44">D67+(0.2*D66)-(0.2*D67)</f>
        <v>79.420541308495714</v>
      </c>
      <c r="E101" s="447">
        <f t="shared" si="44"/>
        <v>85.451564881047659</v>
      </c>
      <c r="F101" s="447">
        <f t="shared" si="44"/>
        <v>89.01460017146735</v>
      </c>
      <c r="G101" s="447">
        <f t="shared" si="44"/>
        <v>90.651108568470363</v>
      </c>
      <c r="H101" s="447">
        <f t="shared" si="44"/>
        <v>91.490856357155806</v>
      </c>
      <c r="I101" s="447">
        <f t="shared" si="44"/>
        <v>91.995430616012669</v>
      </c>
      <c r="J101" s="447">
        <f t="shared" si="44"/>
        <v>92.271845673345382</v>
      </c>
      <c r="K101" s="447">
        <f t="shared" si="44"/>
        <v>92.175630309731133</v>
      </c>
      <c r="L101" s="447">
        <f t="shared" si="44"/>
        <v>92.001908990637716</v>
      </c>
      <c r="M101" s="447">
        <f t="shared" si="44"/>
        <v>91.712920990840772</v>
      </c>
      <c r="N101" s="447">
        <f t="shared" si="44"/>
        <v>91.139234701986609</v>
      </c>
      <c r="O101" s="320"/>
      <c r="P101" s="320"/>
    </row>
    <row r="102" spans="1:16">
      <c r="B102" s="331" t="str">
        <f t="shared" si="33"/>
        <v>65 plus</v>
      </c>
      <c r="C102" s="447">
        <f>C68+(0.2*C67)</f>
        <v>18.232385750100104</v>
      </c>
      <c r="D102" s="447">
        <f t="shared" ref="D102:N102" si="45">D68+(0.2*D67)</f>
        <v>25.473815418372673</v>
      </c>
      <c r="E102" s="447">
        <f t="shared" si="45"/>
        <v>30.965359743661743</v>
      </c>
      <c r="F102" s="447">
        <f t="shared" si="45"/>
        <v>35.344466901621672</v>
      </c>
      <c r="G102" s="447">
        <f t="shared" si="45"/>
        <v>38.538380314302358</v>
      </c>
      <c r="H102" s="447">
        <f t="shared" si="45"/>
        <v>40.881806492411371</v>
      </c>
      <c r="I102" s="447">
        <f t="shared" si="45"/>
        <v>42.588616177635686</v>
      </c>
      <c r="J102" s="447">
        <f t="shared" si="45"/>
        <v>43.782903163098254</v>
      </c>
      <c r="K102" s="447">
        <f t="shared" si="45"/>
        <v>44.488304110801565</v>
      </c>
      <c r="L102" s="447">
        <f t="shared" si="45"/>
        <v>44.89220771382513</v>
      </c>
      <c r="M102" s="447">
        <f t="shared" si="45"/>
        <v>45.055465048289257</v>
      </c>
      <c r="N102" s="447">
        <f t="shared" si="45"/>
        <v>44.961492191971331</v>
      </c>
      <c r="O102" s="320"/>
      <c r="P102" s="320"/>
    </row>
    <row r="103" spans="1:16">
      <c r="B103" s="331" t="str">
        <f t="shared" si="33"/>
        <v>Total</v>
      </c>
      <c r="C103" s="447">
        <f>SUM(C93:C102)</f>
        <v>3785.3605026257333</v>
      </c>
      <c r="D103" s="447">
        <f t="shared" ref="D103:N103" si="46">SUM(D93:D102)</f>
        <v>3964.7685161676504</v>
      </c>
      <c r="E103" s="447">
        <f t="shared" si="46"/>
        <v>4033.4650239532348</v>
      </c>
      <c r="F103" s="447">
        <f t="shared" si="46"/>
        <v>4097.2384717657815</v>
      </c>
      <c r="G103" s="447">
        <f t="shared" si="46"/>
        <v>4140.6900560578815</v>
      </c>
      <c r="H103" s="447">
        <f t="shared" si="46"/>
        <v>4186.7679592329905</v>
      </c>
      <c r="I103" s="447">
        <f t="shared" si="46"/>
        <v>4237.3294411420411</v>
      </c>
      <c r="J103" s="447">
        <f t="shared" si="46"/>
        <v>4285.0094037211475</v>
      </c>
      <c r="K103" s="447">
        <f t="shared" si="46"/>
        <v>4314.7502990083967</v>
      </c>
      <c r="L103" s="447">
        <f t="shared" si="46"/>
        <v>4336.3868360992956</v>
      </c>
      <c r="M103" s="447">
        <f t="shared" si="46"/>
        <v>4346.5786510345351</v>
      </c>
      <c r="N103" s="447">
        <f t="shared" si="46"/>
        <v>4336.1642565625225</v>
      </c>
      <c r="O103" s="320"/>
      <c r="P103" s="320"/>
    </row>
    <row r="104" spans="1:16">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6" ht="15.75">
      <c r="B106" s="333" t="s">
        <v>164</v>
      </c>
      <c r="H106" s="318"/>
    </row>
    <row r="107" spans="1:16">
      <c r="H107" s="318"/>
    </row>
    <row r="108" spans="1:16">
      <c r="B108" s="334" t="s">
        <v>46</v>
      </c>
      <c r="H108" s="318"/>
    </row>
    <row r="109" spans="1:16">
      <c r="H109" s="318"/>
    </row>
    <row r="110" spans="1:16">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6">
      <c r="B111" s="331" t="str">
        <f t="shared" si="48"/>
        <v>20-24</v>
      </c>
      <c r="C111" s="447">
        <f>C77*Group_1_rates!E74</f>
        <v>37.924262229546066</v>
      </c>
      <c r="D111" s="447">
        <f>D77*Group_1_rates!F74</f>
        <v>62.98467374048397</v>
      </c>
      <c r="E111" s="447">
        <f>E77*Group_1_rates!G74</f>
        <v>78.237219488473457</v>
      </c>
      <c r="F111" s="447">
        <f>F77*Group_1_rates!H74</f>
        <v>85.529895976459372</v>
      </c>
      <c r="G111" s="447">
        <f>G77*Group_1_rates!I74</f>
        <v>91.134848487963339</v>
      </c>
      <c r="H111" s="447">
        <f>H77*Group_1_rates!J74</f>
        <v>95.388246227397616</v>
      </c>
      <c r="I111" s="447">
        <f>I77*Group_1_rates!K74</f>
        <v>98.859959489188711</v>
      </c>
      <c r="J111" s="447">
        <f>J77*Group_1_rates!L74</f>
        <v>101.35634430969502</v>
      </c>
      <c r="K111" s="447">
        <f>K77*Group_1_rates!M74</f>
        <v>102.20137633529043</v>
      </c>
      <c r="L111" s="447">
        <f>L77*Group_1_rates!N74</f>
        <v>102.44502217708143</v>
      </c>
      <c r="M111" s="447">
        <f>M77*Group_1_rates!O74</f>
        <v>102.01117310516403</v>
      </c>
      <c r="N111" s="447">
        <f>N77*Group_1_rates!P74</f>
        <v>100.44905361596359</v>
      </c>
      <c r="O111" s="320"/>
    </row>
    <row r="112" spans="1:16">
      <c r="B112" s="331" t="str">
        <f t="shared" si="48"/>
        <v>25-29</v>
      </c>
      <c r="C112" s="447">
        <f>C78*Group_1_rates!E75</f>
        <v>112.89786953773748</v>
      </c>
      <c r="D112" s="447">
        <f>D78*Group_1_rates!F75</f>
        <v>115.53788171967402</v>
      </c>
      <c r="E112" s="447">
        <f>E78*Group_1_rates!G75</f>
        <v>123.54765996203356</v>
      </c>
      <c r="F112" s="447">
        <f>F78*Group_1_rates!H75</f>
        <v>125.476943789196</v>
      </c>
      <c r="G112" s="447">
        <f>G78*Group_1_rates!I75</f>
        <v>129.42615374915579</v>
      </c>
      <c r="H112" s="447">
        <f>H78*Group_1_rates!J75</f>
        <v>133.36434381166143</v>
      </c>
      <c r="I112" s="447">
        <f>I78*Group_1_rates!K75</f>
        <v>137.2306953017987</v>
      </c>
      <c r="J112" s="447">
        <f>J78*Group_1_rates!L75</f>
        <v>140.53226018415222</v>
      </c>
      <c r="K112" s="447">
        <f>K78*Group_1_rates!M75</f>
        <v>142.40185788979221</v>
      </c>
      <c r="L112" s="447">
        <f>L78*Group_1_rates!N75</f>
        <v>143.51937304518538</v>
      </c>
      <c r="M112" s="447">
        <f>M78*Group_1_rates!O75</f>
        <v>143.783951646758</v>
      </c>
      <c r="N112" s="447">
        <f>N78*Group_1_rates!P75</f>
        <v>142.75044863687941</v>
      </c>
      <c r="O112" s="320"/>
    </row>
    <row r="113" spans="1:15">
      <c r="B113" s="331" t="str">
        <f t="shared" si="48"/>
        <v>30-34</v>
      </c>
      <c r="C113" s="447">
        <f>C79*Group_1_rates!E76</f>
        <v>97.744419140615506</v>
      </c>
      <c r="D113" s="447">
        <f>D79*Group_1_rates!F76</f>
        <v>96.805496796539131</v>
      </c>
      <c r="E113" s="447">
        <f>E79*Group_1_rates!G76</f>
        <v>101.50818279201108</v>
      </c>
      <c r="F113" s="447">
        <f>F79*Group_1_rates!H76</f>
        <v>100.78834480577378</v>
      </c>
      <c r="G113" s="447">
        <f>G79*Group_1_rates!I76</f>
        <v>102.22040890282665</v>
      </c>
      <c r="H113" s="447">
        <f>H79*Group_1_rates!J76</f>
        <v>103.97126841410032</v>
      </c>
      <c r="I113" s="447">
        <f>I79*Group_1_rates!K76</f>
        <v>105.99251389917258</v>
      </c>
      <c r="J113" s="447">
        <f>J79*Group_1_rates!L76</f>
        <v>108.0218549932126</v>
      </c>
      <c r="K113" s="447">
        <f>K79*Group_1_rates!M76</f>
        <v>109.59545328884056</v>
      </c>
      <c r="L113" s="447">
        <f>L79*Group_1_rates!N76</f>
        <v>110.84807290257865</v>
      </c>
      <c r="M113" s="447">
        <f>M79*Group_1_rates!O76</f>
        <v>111.66526769685744</v>
      </c>
      <c r="N113" s="447">
        <f>N79*Group_1_rates!P76</f>
        <v>111.79623053830343</v>
      </c>
      <c r="O113" s="320"/>
    </row>
    <row r="114" spans="1:15">
      <c r="B114" s="331" t="str">
        <f t="shared" si="48"/>
        <v>35-39</v>
      </c>
      <c r="C114" s="447">
        <f>C80*Group_1_rates!E77</f>
        <v>89.033009643307736</v>
      </c>
      <c r="D114" s="447">
        <f>D80*Group_1_rates!F77</f>
        <v>88.593874400278111</v>
      </c>
      <c r="E114" s="447">
        <f>E80*Group_1_rates!G77</f>
        <v>93.448797444704525</v>
      </c>
      <c r="F114" s="447">
        <f>F80*Group_1_rates!H77</f>
        <v>92.879503418844891</v>
      </c>
      <c r="G114" s="447">
        <f>G80*Group_1_rates!I77</f>
        <v>94.023093345358419</v>
      </c>
      <c r="H114" s="447">
        <f>H80*Group_1_rates!J77</f>
        <v>95.251145388316999</v>
      </c>
      <c r="I114" s="447">
        <f>I80*Group_1_rates!K77</f>
        <v>96.622416289805287</v>
      </c>
      <c r="J114" s="447">
        <f>J80*Group_1_rates!L77</f>
        <v>98.030615240585036</v>
      </c>
      <c r="K114" s="447">
        <f>K80*Group_1_rates!M77</f>
        <v>99.216170764285081</v>
      </c>
      <c r="L114" s="447">
        <f>L80*Group_1_rates!N77</f>
        <v>100.27878687621802</v>
      </c>
      <c r="M114" s="447">
        <f>M80*Group_1_rates!O77</f>
        <v>101.12528234185407</v>
      </c>
      <c r="N114" s="447">
        <f>N80*Group_1_rates!P77</f>
        <v>101.56832599463473</v>
      </c>
      <c r="O114" s="320"/>
    </row>
    <row r="115" spans="1:15">
      <c r="B115" s="331" t="str">
        <f t="shared" si="48"/>
        <v>40-44</v>
      </c>
      <c r="C115" s="447">
        <f>C81*Group_1_rates!E78</f>
        <v>71.944828857458418</v>
      </c>
      <c r="D115" s="447">
        <f>D81*Group_1_rates!F78</f>
        <v>71.940844339641927</v>
      </c>
      <c r="E115" s="447">
        <f>E81*Group_1_rates!G78</f>
        <v>76.319715017923826</v>
      </c>
      <c r="F115" s="447">
        <f>F81*Group_1_rates!H78</f>
        <v>76.27189335412605</v>
      </c>
      <c r="G115" s="447">
        <f>G81*Group_1_rates!I78</f>
        <v>77.537018626611754</v>
      </c>
      <c r="H115" s="447">
        <f>H81*Group_1_rates!J78</f>
        <v>78.758741142125814</v>
      </c>
      <c r="I115" s="447">
        <f>I81*Group_1_rates!K78</f>
        <v>79.981167752037024</v>
      </c>
      <c r="J115" s="447">
        <f>J81*Group_1_rates!L78</f>
        <v>81.142619735532804</v>
      </c>
      <c r="K115" s="447">
        <f>K81*Group_1_rates!M78</f>
        <v>82.080194087657816</v>
      </c>
      <c r="L115" s="447">
        <f>L81*Group_1_rates!N78</f>
        <v>82.90491421990005</v>
      </c>
      <c r="M115" s="447">
        <f>M81*Group_1_rates!O78</f>
        <v>83.574943042047238</v>
      </c>
      <c r="N115" s="447">
        <f>N81*Group_1_rates!P78</f>
        <v>83.971182533430081</v>
      </c>
      <c r="O115" s="320"/>
    </row>
    <row r="116" spans="1:15">
      <c r="B116" s="331" t="str">
        <f t="shared" si="48"/>
        <v>45-49</v>
      </c>
      <c r="C116" s="447">
        <f>C82*Group_1_rates!E79</f>
        <v>95.296359509981485</v>
      </c>
      <c r="D116" s="447">
        <f>D82*Group_1_rates!F79</f>
        <v>89.190776487443429</v>
      </c>
      <c r="E116" s="447">
        <f>E82*Group_1_rates!G79</f>
        <v>90.480620484067629</v>
      </c>
      <c r="F116" s="447">
        <f>F82*Group_1_rates!H79</f>
        <v>87.553903673637507</v>
      </c>
      <c r="G116" s="447">
        <f>G82*Group_1_rates!I79</f>
        <v>87.087567822443759</v>
      </c>
      <c r="H116" s="447">
        <f>H82*Group_1_rates!J79</f>
        <v>87.152419437032549</v>
      </c>
      <c r="I116" s="447">
        <f>I82*Group_1_rates!K79</f>
        <v>87.608640290179238</v>
      </c>
      <c r="J116" s="447">
        <f>J82*Group_1_rates!L79</f>
        <v>88.259708666522073</v>
      </c>
      <c r="K116" s="447">
        <f>K82*Group_1_rates!M79</f>
        <v>88.847321472622909</v>
      </c>
      <c r="L116" s="447">
        <f>L82*Group_1_rates!N79</f>
        <v>89.427726739922917</v>
      </c>
      <c r="M116" s="447">
        <f>M82*Group_1_rates!O79</f>
        <v>89.923894042522235</v>
      </c>
      <c r="N116" s="447">
        <f>N82*Group_1_rates!P79</f>
        <v>90.195751786804024</v>
      </c>
      <c r="O116" s="320"/>
    </row>
    <row r="117" spans="1:15">
      <c r="B117" s="331" t="str">
        <f t="shared" si="48"/>
        <v>50-54</v>
      </c>
      <c r="C117" s="447">
        <f>C83*Group_1_rates!E80</f>
        <v>87.240816600964394</v>
      </c>
      <c r="D117" s="447">
        <f>D83*Group_1_rates!F80</f>
        <v>80.872989792944466</v>
      </c>
      <c r="E117" s="447">
        <f>E83*Group_1_rates!G80</f>
        <v>80.614555958453934</v>
      </c>
      <c r="F117" s="447">
        <f>F83*Group_1_rates!H80</f>
        <v>76.299128423725193</v>
      </c>
      <c r="G117" s="447">
        <f>G83*Group_1_rates!I80</f>
        <v>74.231820555833636</v>
      </c>
      <c r="H117" s="447">
        <f>H83*Group_1_rates!J80</f>
        <v>72.793033713667256</v>
      </c>
      <c r="I117" s="447">
        <f>I83*Group_1_rates!K80</f>
        <v>71.903954195764584</v>
      </c>
      <c r="J117" s="447">
        <f>J83*Group_1_rates!L80</f>
        <v>71.401899536573112</v>
      </c>
      <c r="K117" s="447">
        <f>K83*Group_1_rates!M80</f>
        <v>71.058050081968773</v>
      </c>
      <c r="L117" s="447">
        <f>L83*Group_1_rates!N80</f>
        <v>70.882166799919077</v>
      </c>
      <c r="M117" s="447">
        <f>M83*Group_1_rates!O80</f>
        <v>70.780652398298045</v>
      </c>
      <c r="N117" s="447">
        <f>N83*Group_1_rates!P80</f>
        <v>70.616174424165308</v>
      </c>
      <c r="O117" s="320"/>
    </row>
    <row r="118" spans="1:15">
      <c r="B118" s="331" t="str">
        <f t="shared" si="48"/>
        <v>55-59</v>
      </c>
      <c r="C118" s="447">
        <f>C84*Group_1_rates!E81</f>
        <v>39.936392499404633</v>
      </c>
      <c r="D118" s="447">
        <f>D84*Group_1_rates!F81</f>
        <v>35.57144987180456</v>
      </c>
      <c r="E118" s="447">
        <f>E84*Group_1_rates!G81</f>
        <v>34.469978713460947</v>
      </c>
      <c r="F118" s="447">
        <f>F84*Group_1_rates!H81</f>
        <v>31.966658318101494</v>
      </c>
      <c r="G118" s="447">
        <f>G84*Group_1_rates!I81</f>
        <v>30.569321317060101</v>
      </c>
      <c r="H118" s="447">
        <f>H84*Group_1_rates!J81</f>
        <v>29.536497473326051</v>
      </c>
      <c r="I118" s="447">
        <f>I84*Group_1_rates!K81</f>
        <v>28.801840981401405</v>
      </c>
      <c r="J118" s="447">
        <f>J84*Group_1_rates!L81</f>
        <v>28.27750323653791</v>
      </c>
      <c r="K118" s="447">
        <f>K84*Group_1_rates!M81</f>
        <v>27.853922644723248</v>
      </c>
      <c r="L118" s="447">
        <f>L84*Group_1_rates!N81</f>
        <v>27.542155747523164</v>
      </c>
      <c r="M118" s="447">
        <f>M84*Group_1_rates!O81</f>
        <v>27.296929205488496</v>
      </c>
      <c r="N118" s="447">
        <f>N84*Group_1_rates!P81</f>
        <v>27.052402316830619</v>
      </c>
      <c r="O118" s="320"/>
    </row>
    <row r="119" spans="1:15">
      <c r="B119" s="331" t="str">
        <f t="shared" si="48"/>
        <v>60-64</v>
      </c>
      <c r="C119" s="447">
        <f>C85*Group_1_rates!E82</f>
        <v>15.365462913683809</v>
      </c>
      <c r="D119" s="447">
        <f>D85*Group_1_rates!F82</f>
        <v>14.870339813237079</v>
      </c>
      <c r="E119" s="447">
        <f>E85*Group_1_rates!G82</f>
        <v>14.823064624954052</v>
      </c>
      <c r="F119" s="447">
        <f>F85*Group_1_rates!H82</f>
        <v>13.859973549363572</v>
      </c>
      <c r="G119" s="447">
        <f>G85*Group_1_rates!I82</f>
        <v>13.24559580218453</v>
      </c>
      <c r="H119" s="447">
        <f>H85*Group_1_rates!J82</f>
        <v>12.748143181371592</v>
      </c>
      <c r="I119" s="447">
        <f>I85*Group_1_rates!K82</f>
        <v>12.369439802339651</v>
      </c>
      <c r="J119" s="447">
        <f>J85*Group_1_rates!L82</f>
        <v>12.077039008641025</v>
      </c>
      <c r="K119" s="447">
        <f>K85*Group_1_rates!M82</f>
        <v>11.818965064417792</v>
      </c>
      <c r="L119" s="447">
        <f>L85*Group_1_rates!N82</f>
        <v>11.613032249745345</v>
      </c>
      <c r="M119" s="447">
        <f>M85*Group_1_rates!O82</f>
        <v>11.438765215488809</v>
      </c>
      <c r="N119" s="447">
        <f>N85*Group_1_rates!P82</f>
        <v>11.262745618390996</v>
      </c>
      <c r="O119" s="320"/>
    </row>
    <row r="120" spans="1:15">
      <c r="B120" s="331" t="str">
        <f t="shared" si="48"/>
        <v>65 plus</v>
      </c>
      <c r="C120" s="447">
        <f>C86*Group_1_rates!E83</f>
        <v>8.8333999184261138</v>
      </c>
      <c r="D120" s="447">
        <f>D86*Group_1_rates!F83</f>
        <v>8.7080492384942048</v>
      </c>
      <c r="E120" s="447">
        <f>E86*Group_1_rates!G83</f>
        <v>9.0724687928841572</v>
      </c>
      <c r="F120" s="447">
        <f>F86*Group_1_rates!H83</f>
        <v>8.7812489813168852</v>
      </c>
      <c r="G120" s="447">
        <f>G86*Group_1_rates!I83</f>
        <v>8.5993544397126538</v>
      </c>
      <c r="H120" s="447">
        <f>H86*Group_1_rates!J83</f>
        <v>8.3934088159444098</v>
      </c>
      <c r="I120" s="447">
        <f>I86*Group_1_rates!K83</f>
        <v>8.198568916383433</v>
      </c>
      <c r="J120" s="447">
        <f>J86*Group_1_rates!L83</f>
        <v>8.0205019207410118</v>
      </c>
      <c r="K120" s="447">
        <f>K86*Group_1_rates!M83</f>
        <v>7.8418903370481452</v>
      </c>
      <c r="L120" s="447">
        <f>L86*Group_1_rates!N83</f>
        <v>7.6821004961648978</v>
      </c>
      <c r="M120" s="447">
        <f>M86*Group_1_rates!O83</f>
        <v>7.535588106092562</v>
      </c>
      <c r="N120" s="447">
        <f>N86*Group_1_rates!P83</f>
        <v>7.3847560499541736</v>
      </c>
      <c r="O120" s="320"/>
    </row>
    <row r="121" spans="1:15">
      <c r="B121" s="331" t="str">
        <f t="shared" si="48"/>
        <v>Total</v>
      </c>
      <c r="C121" s="447">
        <f>SUM(C111:C120)</f>
        <v>656.2168208511257</v>
      </c>
      <c r="D121" s="447">
        <f t="shared" ref="D121:N121" si="50">SUM(D111:D120)</f>
        <v>665.07637620054095</v>
      </c>
      <c r="E121" s="447">
        <f t="shared" si="50"/>
        <v>702.5222632789671</v>
      </c>
      <c r="F121" s="447">
        <f t="shared" si="50"/>
        <v>699.40749429054472</v>
      </c>
      <c r="G121" s="447">
        <f t="shared" si="50"/>
        <v>708.07518304915072</v>
      </c>
      <c r="H121" s="447">
        <f t="shared" si="50"/>
        <v>717.35724760494406</v>
      </c>
      <c r="I121" s="447">
        <f t="shared" si="50"/>
        <v>727.56919691807059</v>
      </c>
      <c r="J121" s="447">
        <f t="shared" si="50"/>
        <v>737.12034683219269</v>
      </c>
      <c r="K121" s="447">
        <f t="shared" si="50"/>
        <v>742.91520196664703</v>
      </c>
      <c r="L121" s="447">
        <f t="shared" si="50"/>
        <v>747.14335125423906</v>
      </c>
      <c r="M121" s="447">
        <f t="shared" si="50"/>
        <v>749.13644680057087</v>
      </c>
      <c r="N121" s="447">
        <f t="shared" si="50"/>
        <v>747.04707151535649</v>
      </c>
      <c r="O121" s="320"/>
    </row>
    <row r="122" spans="1:15">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5">
      <c r="B124" s="334" t="s">
        <v>47</v>
      </c>
      <c r="C124" s="322"/>
      <c r="D124" s="322"/>
      <c r="E124" s="322"/>
      <c r="F124" s="322"/>
      <c r="G124" s="322"/>
      <c r="H124" s="332"/>
      <c r="I124" s="322"/>
      <c r="J124" s="322"/>
      <c r="K124" s="322"/>
      <c r="L124" s="322"/>
    </row>
    <row r="125" spans="1:15">
      <c r="C125" s="322"/>
      <c r="D125" s="322"/>
      <c r="E125" s="322"/>
      <c r="F125" s="322"/>
      <c r="G125" s="322"/>
      <c r="H125" s="332"/>
      <c r="I125" s="322"/>
      <c r="J125" s="322"/>
      <c r="K125" s="322"/>
      <c r="L125" s="322"/>
    </row>
    <row r="126" spans="1:15">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5">
      <c r="B127" s="331" t="str">
        <f t="shared" si="52"/>
        <v>20-24</v>
      </c>
      <c r="C127" s="447">
        <f>C93*Group_1_rates!E89</f>
        <v>24.39358514710035</v>
      </c>
      <c r="D127" s="447">
        <f>D93*Group_1_rates!F89</f>
        <v>35.242741159947428</v>
      </c>
      <c r="E127" s="447">
        <f>E93*Group_1_rates!G89</f>
        <v>40.791251331685245</v>
      </c>
      <c r="F127" s="447">
        <f>F93*Group_1_rates!H89</f>
        <v>45.07541059688527</v>
      </c>
      <c r="G127" s="447">
        <f>G93*Group_1_rates!I89</f>
        <v>47.400929186498985</v>
      </c>
      <c r="H127" s="447">
        <f>H93*Group_1_rates!J89</f>
        <v>49.258913336766582</v>
      </c>
      <c r="I127" s="447">
        <f>I93*Group_1_rates!K89</f>
        <v>50.848794665760956</v>
      </c>
      <c r="J127" s="447">
        <f>J93*Group_1_rates!L89</f>
        <v>52.035192386351675</v>
      </c>
      <c r="K127" s="447">
        <f>K93*Group_1_rates!M89</f>
        <v>52.463731478683421</v>
      </c>
      <c r="L127" s="447">
        <f>L93*Group_1_rates!N89</f>
        <v>52.606846027568217</v>
      </c>
      <c r="M127" s="447">
        <f>M93*Group_1_rates!O89</f>
        <v>52.420555608008421</v>
      </c>
      <c r="N127" s="447">
        <f>N93*Group_1_rates!P89</f>
        <v>51.68342737617548</v>
      </c>
      <c r="O127" s="320"/>
    </row>
    <row r="128" spans="1:15">
      <c r="B128" s="331" t="str">
        <f t="shared" si="52"/>
        <v>25-29</v>
      </c>
      <c r="C128" s="447">
        <f>C94*Group_1_rates!E90</f>
        <v>62.514012694366819</v>
      </c>
      <c r="D128" s="447">
        <f>D94*Group_1_rates!F90</f>
        <v>66.496828553327845</v>
      </c>
      <c r="E128" s="447">
        <f>E94*Group_1_rates!G90</f>
        <v>69.188735357547841</v>
      </c>
      <c r="F128" s="447">
        <f>F94*Group_1_rates!H90</f>
        <v>72.184807502705681</v>
      </c>
      <c r="G128" s="447">
        <f>G94*Group_1_rates!I90</f>
        <v>73.910282069854077</v>
      </c>
      <c r="H128" s="447">
        <f>H94*Group_1_rates!J90</f>
        <v>75.72114408652476</v>
      </c>
      <c r="I128" s="447">
        <f>I94*Group_1_rates!K90</f>
        <v>77.579088287173889</v>
      </c>
      <c r="J128" s="447">
        <f>J94*Group_1_rates!L90</f>
        <v>79.209628649405133</v>
      </c>
      <c r="K128" s="447">
        <f>K94*Group_1_rates!M90</f>
        <v>80.135334127461078</v>
      </c>
      <c r="L128" s="447">
        <f>L94*Group_1_rates!N90</f>
        <v>80.694917450583674</v>
      </c>
      <c r="M128" s="447">
        <f>M94*Group_1_rates!O90</f>
        <v>80.820876557802819</v>
      </c>
      <c r="N128" s="447">
        <f>N94*Group_1_rates!P90</f>
        <v>80.265636033432656</v>
      </c>
      <c r="O128" s="320"/>
    </row>
    <row r="129" spans="1:15">
      <c r="B129" s="331" t="str">
        <f t="shared" si="52"/>
        <v>30-34</v>
      </c>
      <c r="C129" s="447">
        <f>C95*Group_1_rates!E91</f>
        <v>62.184551241712192</v>
      </c>
      <c r="D129" s="447">
        <f>D95*Group_1_rates!F91</f>
        <v>63.304793817002981</v>
      </c>
      <c r="E129" s="447">
        <f>E95*Group_1_rates!G91</f>
        <v>64.248585500597684</v>
      </c>
      <c r="F129" s="447">
        <f>F95*Group_1_rates!H91</f>
        <v>65.318104120596701</v>
      </c>
      <c r="G129" s="447">
        <f>G95*Group_1_rates!I91</f>
        <v>65.630016135199952</v>
      </c>
      <c r="H129" s="447">
        <f>H95*Group_1_rates!J91</f>
        <v>66.235637311242527</v>
      </c>
      <c r="I129" s="447">
        <f>I95*Group_1_rates!K91</f>
        <v>67.089889725299699</v>
      </c>
      <c r="J129" s="447">
        <f>J95*Group_1_rates!L91</f>
        <v>68.02220194307786</v>
      </c>
      <c r="K129" s="447">
        <f>K95*Group_1_rates!M91</f>
        <v>68.742047304055333</v>
      </c>
      <c r="L129" s="447">
        <f>L95*Group_1_rates!N91</f>
        <v>69.320875741084976</v>
      </c>
      <c r="M129" s="447">
        <f>M95*Group_1_rates!O91</f>
        <v>69.679668747008705</v>
      </c>
      <c r="N129" s="447">
        <f>N95*Group_1_rates!P91</f>
        <v>69.658037427402661</v>
      </c>
      <c r="O129" s="320"/>
    </row>
    <row r="130" spans="1:15">
      <c r="B130" s="331" t="str">
        <f t="shared" si="52"/>
        <v>35-39</v>
      </c>
      <c r="C130" s="447">
        <f>C96*Group_1_rates!E92</f>
        <v>52.276012186249886</v>
      </c>
      <c r="D130" s="447">
        <f>D96*Group_1_rates!F92</f>
        <v>54.377066689034287</v>
      </c>
      <c r="E130" s="447">
        <f>E96*Group_1_rates!G92</f>
        <v>56.023583813358464</v>
      </c>
      <c r="F130" s="447">
        <f>F96*Group_1_rates!H92</f>
        <v>57.310860534265316</v>
      </c>
      <c r="G130" s="447">
        <f>G96*Group_1_rates!I92</f>
        <v>57.648237653128035</v>
      </c>
      <c r="H130" s="447">
        <f>H96*Group_1_rates!J92</f>
        <v>58.029002377135235</v>
      </c>
      <c r="I130" s="447">
        <f>I96*Group_1_rates!K92</f>
        <v>58.505266711425548</v>
      </c>
      <c r="J130" s="447">
        <f>J96*Group_1_rates!L92</f>
        <v>59.026309960154684</v>
      </c>
      <c r="K130" s="447">
        <f>K96*Group_1_rates!M92</f>
        <v>59.448160781862974</v>
      </c>
      <c r="L130" s="447">
        <f>L96*Group_1_rates!N92</f>
        <v>59.831096081651765</v>
      </c>
      <c r="M130" s="447">
        <f>M96*Group_1_rates!O92</f>
        <v>60.12160413068387</v>
      </c>
      <c r="N130" s="447">
        <f>N96*Group_1_rates!P92</f>
        <v>60.210177159325198</v>
      </c>
      <c r="O130" s="320"/>
    </row>
    <row r="131" spans="1:15">
      <c r="B131" s="331" t="str">
        <f t="shared" si="52"/>
        <v>40-44</v>
      </c>
      <c r="C131" s="447">
        <f>C97*Group_1_rates!E93</f>
        <v>49.522504866054923</v>
      </c>
      <c r="D131" s="447">
        <f>D97*Group_1_rates!F93</f>
        <v>50.415759396899553</v>
      </c>
      <c r="E131" s="447">
        <f>E97*Group_1_rates!G93</f>
        <v>51.444092559941396</v>
      </c>
      <c r="F131" s="447">
        <f>F97*Group_1_rates!H93</f>
        <v>52.405424134982489</v>
      </c>
      <c r="G131" s="447">
        <f>G97*Group_1_rates!I93</f>
        <v>52.625569839053952</v>
      </c>
      <c r="H131" s="447">
        <f>H97*Group_1_rates!J93</f>
        <v>52.915018321031027</v>
      </c>
      <c r="I131" s="447">
        <f>I97*Group_1_rates!K93</f>
        <v>53.274991579517973</v>
      </c>
      <c r="J131" s="447">
        <f>J97*Group_1_rates!L93</f>
        <v>53.64905907383654</v>
      </c>
      <c r="K131" s="447">
        <f>K97*Group_1_rates!M93</f>
        <v>53.922377965089886</v>
      </c>
      <c r="L131" s="447">
        <f>L97*Group_1_rates!N93</f>
        <v>54.160988276450794</v>
      </c>
      <c r="M131" s="447">
        <f>M97*Group_1_rates!O93</f>
        <v>54.333962960032807</v>
      </c>
      <c r="N131" s="447">
        <f>N97*Group_1_rates!P93</f>
        <v>54.36197143874044</v>
      </c>
      <c r="O131" s="320"/>
    </row>
    <row r="132" spans="1:15">
      <c r="B132" s="331" t="str">
        <f t="shared" si="52"/>
        <v>45-49</v>
      </c>
      <c r="C132" s="447">
        <f>C98*Group_1_rates!E94</f>
        <v>45.417082370174263</v>
      </c>
      <c r="D132" s="447">
        <f>D98*Group_1_rates!F94</f>
        <v>47.062930270749284</v>
      </c>
      <c r="E132" s="447">
        <f>E98*Group_1_rates!G94</f>
        <v>48.45576925321199</v>
      </c>
      <c r="F132" s="447">
        <f>F98*Group_1_rates!H94</f>
        <v>49.575490898573882</v>
      </c>
      <c r="G132" s="447">
        <f>G98*Group_1_rates!I94</f>
        <v>49.895756803562747</v>
      </c>
      <c r="H132" s="447">
        <f>H98*Group_1_rates!J94</f>
        <v>50.231784662830407</v>
      </c>
      <c r="I132" s="447">
        <f>I98*Group_1_rates!K94</f>
        <v>50.603949977083403</v>
      </c>
      <c r="J132" s="447">
        <f>J98*Group_1_rates!L94</f>
        <v>50.967434532796133</v>
      </c>
      <c r="K132" s="447">
        <f>K98*Group_1_rates!M94</f>
        <v>51.220802162635948</v>
      </c>
      <c r="L132" s="447">
        <f>L98*Group_1_rates!N94</f>
        <v>51.425328820535825</v>
      </c>
      <c r="M132" s="447">
        <f>M98*Group_1_rates!O94</f>
        <v>51.557849148011059</v>
      </c>
      <c r="N132" s="447">
        <f>N98*Group_1_rates!P94</f>
        <v>51.553246209857228</v>
      </c>
      <c r="O132" s="320"/>
    </row>
    <row r="133" spans="1:15">
      <c r="B133" s="331" t="str">
        <f t="shared" si="52"/>
        <v>50-54</v>
      </c>
      <c r="C133" s="447">
        <f>C99*Group_1_rates!E95</f>
        <v>41.177965760491638</v>
      </c>
      <c r="D133" s="447">
        <f>D99*Group_1_rates!F95</f>
        <v>40.562304321247225</v>
      </c>
      <c r="E133" s="447">
        <f>E99*Group_1_rates!G95</f>
        <v>40.479004623374991</v>
      </c>
      <c r="F133" s="447">
        <f>F99*Group_1_rates!H95</f>
        <v>40.57372547011272</v>
      </c>
      <c r="G133" s="447">
        <f>G99*Group_1_rates!I95</f>
        <v>40.285129821788537</v>
      </c>
      <c r="H133" s="447">
        <f>H99*Group_1_rates!J95</f>
        <v>40.188225392880987</v>
      </c>
      <c r="I133" s="447">
        <f>I99*Group_1_rates!K95</f>
        <v>40.236827497416272</v>
      </c>
      <c r="J133" s="447">
        <f>J99*Group_1_rates!L95</f>
        <v>40.356587393698867</v>
      </c>
      <c r="K133" s="447">
        <f>K99*Group_1_rates!M95</f>
        <v>40.442988548326859</v>
      </c>
      <c r="L133" s="447">
        <f>L99*Group_1_rates!N95</f>
        <v>40.524701724674699</v>
      </c>
      <c r="M133" s="447">
        <f>M99*Group_1_rates!O95</f>
        <v>40.571374617142297</v>
      </c>
      <c r="N133" s="447">
        <f>N99*Group_1_rates!P95</f>
        <v>40.525203286672159</v>
      </c>
      <c r="O133" s="320"/>
    </row>
    <row r="134" spans="1:15">
      <c r="B134" s="331" t="str">
        <f t="shared" si="52"/>
        <v>55-59</v>
      </c>
      <c r="C134" s="447">
        <f>C100*Group_1_rates!E96</f>
        <v>14.161344839582915</v>
      </c>
      <c r="D134" s="447">
        <f>D100*Group_1_rates!F96</f>
        <v>14.979500770603247</v>
      </c>
      <c r="E134" s="447">
        <f>E100*Group_1_rates!G96</f>
        <v>15.389285768730204</v>
      </c>
      <c r="F134" s="447">
        <f>F100*Group_1_rates!H96</f>
        <v>15.60200493219612</v>
      </c>
      <c r="G134" s="447">
        <f>G100*Group_1_rates!I96</f>
        <v>15.529580259000632</v>
      </c>
      <c r="H134" s="447">
        <f>H100*Group_1_rates!J96</f>
        <v>15.473003991513052</v>
      </c>
      <c r="I134" s="447">
        <f>I100*Group_1_rates!K96</f>
        <v>15.452729583208768</v>
      </c>
      <c r="J134" s="447">
        <f>J100*Group_1_rates!L96</f>
        <v>15.454550564104384</v>
      </c>
      <c r="K134" s="447">
        <f>K100*Group_1_rates!M96</f>
        <v>15.440721128888192</v>
      </c>
      <c r="L134" s="447">
        <f>L100*Group_1_rates!N96</f>
        <v>15.431274722284202</v>
      </c>
      <c r="M134" s="447">
        <f>M100*Group_1_rates!O96</f>
        <v>15.413417929333018</v>
      </c>
      <c r="N134" s="447">
        <f>N100*Group_1_rates!P96</f>
        <v>15.361000524280755</v>
      </c>
      <c r="O134" s="320"/>
    </row>
    <row r="135" spans="1:15">
      <c r="B135" s="331" t="str">
        <f t="shared" si="52"/>
        <v>60-64</v>
      </c>
      <c r="C135" s="447">
        <f>C101*Group_1_rates!E97</f>
        <v>3.8197902110762807</v>
      </c>
      <c r="D135" s="447">
        <f>D101*Group_1_rates!F97</f>
        <v>4.5008880615971014</v>
      </c>
      <c r="E135" s="447">
        <f>E101*Group_1_rates!G97</f>
        <v>4.9232900039737872</v>
      </c>
      <c r="F135" s="447">
        <f>F101*Group_1_rates!H97</f>
        <v>5.1945043552056394</v>
      </c>
      <c r="G135" s="447">
        <f>G101*Group_1_rates!I97</f>
        <v>5.2900038573006638</v>
      </c>
      <c r="H135" s="447">
        <f>H101*Group_1_rates!J97</f>
        <v>5.3390078806541164</v>
      </c>
      <c r="I135" s="447">
        <f>I101*Group_1_rates!K97</f>
        <v>5.3684526366841139</v>
      </c>
      <c r="J135" s="447">
        <f>J101*Group_1_rates!L97</f>
        <v>5.3845830154803265</v>
      </c>
      <c r="K135" s="447">
        <f>K101*Group_1_rates!M97</f>
        <v>5.3789683059341487</v>
      </c>
      <c r="L135" s="447">
        <f>L101*Group_1_rates!N97</f>
        <v>5.3688306864101101</v>
      </c>
      <c r="M135" s="447">
        <f>M101*Group_1_rates!O97</f>
        <v>5.3519666054542245</v>
      </c>
      <c r="N135" s="447">
        <f>N101*Group_1_rates!P97</f>
        <v>5.3184887723770169</v>
      </c>
      <c r="O135" s="320"/>
    </row>
    <row r="136" spans="1:15">
      <c r="B136" s="331" t="str">
        <f t="shared" si="52"/>
        <v>65 plus</v>
      </c>
      <c r="C136" s="447">
        <f>C102*Group_1_rates!E98</f>
        <v>1.2093825659008355</v>
      </c>
      <c r="D136" s="447">
        <f>D102*Group_1_rates!F98</f>
        <v>1.6980686856316831</v>
      </c>
      <c r="E136" s="447">
        <f>E102*Group_1_rates!G98</f>
        <v>2.0984924649983845</v>
      </c>
      <c r="F136" s="447">
        <f>F102*Group_1_rates!H98</f>
        <v>2.4260524796090368</v>
      </c>
      <c r="G136" s="447">
        <f>G102*Group_1_rates!I98</f>
        <v>2.64528344371038</v>
      </c>
      <c r="H136" s="447">
        <f>H102*Group_1_rates!J98</f>
        <v>2.8061367649956206</v>
      </c>
      <c r="I136" s="447">
        <f>I102*Group_1_rates!K98</f>
        <v>2.9232925812252093</v>
      </c>
      <c r="J136" s="447">
        <f>J102*Group_1_rates!L98</f>
        <v>3.0052687194001306</v>
      </c>
      <c r="K136" s="447">
        <f>K102*Group_1_rates!M98</f>
        <v>3.0536876055317999</v>
      </c>
      <c r="L136" s="447">
        <f>L102*Group_1_rates!N98</f>
        <v>3.0814116433667968</v>
      </c>
      <c r="M136" s="447">
        <f>M102*Group_1_rates!O98</f>
        <v>3.0926176650106791</v>
      </c>
      <c r="N136" s="447">
        <f>N102*Group_1_rates!P98</f>
        <v>3.0861673461610377</v>
      </c>
      <c r="O136" s="320"/>
    </row>
    <row r="137" spans="1:15">
      <c r="B137" s="331" t="str">
        <f t="shared" si="52"/>
        <v>Total</v>
      </c>
      <c r="C137" s="447">
        <f>SUM(C127:C136)</f>
        <v>356.67623188271011</v>
      </c>
      <c r="D137" s="447">
        <f t="shared" ref="D137:N137" si="54">SUM(D127:D136)</f>
        <v>378.64088172604062</v>
      </c>
      <c r="E137" s="447">
        <f t="shared" si="54"/>
        <v>393.04209067741999</v>
      </c>
      <c r="F137" s="447">
        <f t="shared" si="54"/>
        <v>405.66638502513285</v>
      </c>
      <c r="G137" s="447">
        <f t="shared" si="54"/>
        <v>410.86078906909796</v>
      </c>
      <c r="H137" s="447">
        <f t="shared" si="54"/>
        <v>416.1978741255744</v>
      </c>
      <c r="I137" s="447">
        <f t="shared" si="54"/>
        <v>421.88328324479585</v>
      </c>
      <c r="J137" s="447">
        <f t="shared" si="54"/>
        <v>427.11081623830574</v>
      </c>
      <c r="K137" s="447">
        <f t="shared" si="54"/>
        <v>430.24881940846967</v>
      </c>
      <c r="L137" s="447">
        <f t="shared" si="54"/>
        <v>432.44627117461101</v>
      </c>
      <c r="M137" s="447">
        <f t="shared" si="54"/>
        <v>433.36389396848784</v>
      </c>
      <c r="N137" s="447">
        <f t="shared" si="54"/>
        <v>432.02335557442461</v>
      </c>
      <c r="O137" s="320"/>
    </row>
    <row r="138" spans="1:15">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5" ht="15.75">
      <c r="B140" s="333" t="s">
        <v>165</v>
      </c>
      <c r="H140" s="318"/>
    </row>
    <row r="141" spans="1:15">
      <c r="H141" s="318"/>
    </row>
    <row r="142" spans="1:15">
      <c r="B142" s="334" t="s">
        <v>46</v>
      </c>
      <c r="H142" s="318"/>
    </row>
    <row r="143" spans="1:15">
      <c r="H143" s="318"/>
    </row>
    <row r="144" spans="1:15">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4">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row>
    <row r="146" spans="1:14">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row>
    <row r="147" spans="1:14">
      <c r="B147" s="331" t="str">
        <f t="shared" si="56"/>
        <v>30-34</v>
      </c>
      <c r="C147" s="447">
        <f>C79*Calc_SEC_retirement_rates!$G126</f>
        <v>0.14267562421718985</v>
      </c>
      <c r="D147" s="447">
        <f>D79*Calc_SEC_retirement_rates!$G126</f>
        <v>0.14657513574235156</v>
      </c>
      <c r="E147" s="447">
        <f>E79*Calc_SEC_retirement_rates!$G126</f>
        <v>0.14813643484352351</v>
      </c>
      <c r="F147" s="447">
        <f>F79*Calc_SEC_retirement_rates!$G126</f>
        <v>0.1499007081875994</v>
      </c>
      <c r="G147" s="447">
        <f>G79*Calc_SEC_retirement_rates!$G126</f>
        <v>0.15203059158564447</v>
      </c>
      <c r="H147" s="447">
        <f>H79*Calc_SEC_retirement_rates!$G126</f>
        <v>0.15463461371918272</v>
      </c>
      <c r="I147" s="447">
        <f>I79*Calc_SEC_retirement_rates!$G126</f>
        <v>0.15764077609060764</v>
      </c>
      <c r="J147" s="447">
        <f>J79*Calc_SEC_retirement_rates!$G126</f>
        <v>0.16065897891690675</v>
      </c>
      <c r="K147" s="447">
        <f>K79*Calc_SEC_retirement_rates!$G126</f>
        <v>0.1629993636049577</v>
      </c>
      <c r="L147" s="447">
        <f>L79*Calc_SEC_retirement_rates!$G126</f>
        <v>0.16486236242243862</v>
      </c>
      <c r="M147" s="447">
        <f>M79*Calc_SEC_retirement_rates!$G126</f>
        <v>0.16607776166950111</v>
      </c>
      <c r="N147" s="447">
        <f>N79*Calc_SEC_retirement_rates!$G126</f>
        <v>0.16627254036853467</v>
      </c>
    </row>
    <row r="148" spans="1:14">
      <c r="B148" s="331" t="str">
        <f t="shared" si="56"/>
        <v>35-39</v>
      </c>
      <c r="C148" s="447">
        <f>C80*Calc_SEC_retirement_rates!$G127</f>
        <v>0.28931162281732642</v>
      </c>
      <c r="D148" s="447">
        <f>D80*Calc_SEC_retirement_rates!$G127</f>
        <v>0.29862144835301208</v>
      </c>
      <c r="E148" s="447">
        <f>E80*Calc_SEC_retirement_rates!$G127</f>
        <v>0.30359287024502313</v>
      </c>
      <c r="F148" s="447">
        <f>F80*Calc_SEC_retirement_rates!$G127</f>
        <v>0.30751780927010458</v>
      </c>
      <c r="G148" s="447">
        <f>G80*Calc_SEC_retirement_rates!$G127</f>
        <v>0.31130415885165763</v>
      </c>
      <c r="H148" s="447">
        <f>H80*Calc_SEC_retirement_rates!$G127</f>
        <v>0.31537015683850383</v>
      </c>
      <c r="I148" s="447">
        <f>I80*Calc_SEC_retirement_rates!$G127</f>
        <v>0.31991034286469183</v>
      </c>
      <c r="J148" s="447">
        <f>J80*Calc_SEC_retirement_rates!$G127</f>
        <v>0.32457279518646409</v>
      </c>
      <c r="K148" s="447">
        <f>K80*Calc_SEC_retirement_rates!$G127</f>
        <v>0.32849809004696973</v>
      </c>
      <c r="L148" s="447">
        <f>L80*Calc_SEC_retirement_rates!$G127</f>
        <v>0.3320163407568506</v>
      </c>
      <c r="M148" s="447">
        <f>M80*Calc_SEC_retirement_rates!$G127</f>
        <v>0.33481903049535605</v>
      </c>
      <c r="N148" s="447">
        <f>N80*Calc_SEC_retirement_rates!$G127</f>
        <v>0.33628591832850618</v>
      </c>
    </row>
    <row r="149" spans="1:14">
      <c r="B149" s="331" t="str">
        <f t="shared" si="56"/>
        <v>40-44</v>
      </c>
      <c r="C149" s="447">
        <f>C81*Calc_SEC_retirement_rates!$G128</f>
        <v>0.52526645733713273</v>
      </c>
      <c r="D149" s="447">
        <f>D81*Calc_SEC_retirement_rates!$G128</f>
        <v>0.54482633409465386</v>
      </c>
      <c r="E149" s="447">
        <f>E81*Calc_SEC_retirement_rates!$G128</f>
        <v>0.55708292687233851</v>
      </c>
      <c r="F149" s="447">
        <f>F81*Calc_SEC_retirement_rates!$G128</f>
        <v>0.56738803369916879</v>
      </c>
      <c r="G149" s="447">
        <f>G81*Calc_SEC_retirement_rates!$G128</f>
        <v>0.57679932413883317</v>
      </c>
      <c r="H149" s="447">
        <f>H81*Calc_SEC_retirement_rates!$G128</f>
        <v>0.58588774066187754</v>
      </c>
      <c r="I149" s="447">
        <f>I81*Calc_SEC_retirement_rates!$G128</f>
        <v>0.59498139495624214</v>
      </c>
      <c r="J149" s="447">
        <f>J81*Calc_SEC_retirement_rates!$G128</f>
        <v>0.60362145787026988</v>
      </c>
      <c r="K149" s="447">
        <f>K81*Calc_SEC_retirement_rates!$G128</f>
        <v>0.61059609091928946</v>
      </c>
      <c r="L149" s="447">
        <f>L81*Calc_SEC_retirement_rates!$G128</f>
        <v>0.61673119932694942</v>
      </c>
      <c r="M149" s="447">
        <f>M81*Calc_SEC_retirement_rates!$G128</f>
        <v>0.621715556200782</v>
      </c>
      <c r="N149" s="447">
        <f>N81*Calc_SEC_retirement_rates!$G128</f>
        <v>0.62466318914921082</v>
      </c>
    </row>
    <row r="150" spans="1:14">
      <c r="B150" s="331" t="str">
        <f t="shared" si="56"/>
        <v>45-49</v>
      </c>
      <c r="C150" s="447">
        <f>C82*Calc_SEC_retirement_rates!$G129</f>
        <v>1.2104978553590655</v>
      </c>
      <c r="D150" s="447">
        <f>D82*Calc_SEC_retirement_rates!$G129</f>
        <v>1.1751955407763353</v>
      </c>
      <c r="E150" s="447">
        <f>E82*Calc_SEC_retirement_rates!$G129</f>
        <v>1.1490695298370355</v>
      </c>
      <c r="F150" s="447">
        <f>F82*Calc_SEC_retirement_rates!$G129</f>
        <v>1.1331797077245207</v>
      </c>
      <c r="G150" s="447">
        <f>G82*Calc_SEC_retirement_rates!$G129</f>
        <v>1.1271440850808176</v>
      </c>
      <c r="H150" s="447">
        <f>H82*Calc_SEC_retirement_rates!$G129</f>
        <v>1.1279834369609933</v>
      </c>
      <c r="I150" s="447">
        <f>I82*Calc_SEC_retirement_rates!$G129</f>
        <v>1.1338881447048499</v>
      </c>
      <c r="J150" s="447">
        <f>J82*Calc_SEC_retirement_rates!$G129</f>
        <v>1.1423146961372448</v>
      </c>
      <c r="K150" s="447">
        <f>K82*Calc_SEC_retirement_rates!$G129</f>
        <v>1.1499199642056408</v>
      </c>
      <c r="L150" s="447">
        <f>L82*Calc_SEC_retirement_rates!$G129</f>
        <v>1.1574319476074593</v>
      </c>
      <c r="M150" s="447">
        <f>M82*Calc_SEC_retirement_rates!$G129</f>
        <v>1.1638536683457803</v>
      </c>
      <c r="N150" s="447">
        <f>N82*Calc_SEC_retirement_rates!$G129</f>
        <v>1.1673722285273596</v>
      </c>
    </row>
    <row r="151" spans="1:14">
      <c r="B151" s="331" t="str">
        <f t="shared" si="56"/>
        <v>50-54</v>
      </c>
      <c r="C151" s="447">
        <f>C83*Calc_SEC_retirement_rates!$G130</f>
        <v>24.153691606980328</v>
      </c>
      <c r="D151" s="447">
        <f>D83*Calc_SEC_retirement_rates!$G130</f>
        <v>23.225751204015882</v>
      </c>
      <c r="E151" s="447">
        <f>E83*Calc_SEC_retirement_rates!$G130</f>
        <v>22.314146763758927</v>
      </c>
      <c r="F151" s="447">
        <f>F83*Calc_SEC_retirement_rates!$G130</f>
        <v>21.523799222675457</v>
      </c>
      <c r="G151" s="447">
        <f>G83*Calc_SEC_retirement_rates!$G130</f>
        <v>20.940616683120801</v>
      </c>
      <c r="H151" s="447">
        <f>H83*Calc_SEC_retirement_rates!$G130</f>
        <v>20.534738401746001</v>
      </c>
      <c r="I151" s="447">
        <f>I83*Calc_SEC_retirement_rates!$G130</f>
        <v>20.283931224368342</v>
      </c>
      <c r="J151" s="447">
        <f>J83*Calc_SEC_retirement_rates!$G130</f>
        <v>20.142302821705151</v>
      </c>
      <c r="K151" s="447">
        <f>K83*Calc_SEC_retirement_rates!$G130</f>
        <v>20.045303723856623</v>
      </c>
      <c r="L151" s="447">
        <f>L83*Calc_SEC_retirement_rates!$G130</f>
        <v>19.995687476231364</v>
      </c>
      <c r="M151" s="447">
        <f>M83*Calc_SEC_retirement_rates!$G130</f>
        <v>19.9670505095472</v>
      </c>
      <c r="N151" s="447">
        <f>N83*Calc_SEC_retirement_rates!$G130</f>
        <v>19.920651671645341</v>
      </c>
    </row>
    <row r="152" spans="1:14">
      <c r="B152" s="331" t="str">
        <f t="shared" si="56"/>
        <v>55-59</v>
      </c>
      <c r="C152" s="447">
        <f>C84*Calc_SEC_retirement_rates!$G131</f>
        <v>106.1727286516159</v>
      </c>
      <c r="D152" s="447">
        <f>D84*Calc_SEC_retirement_rates!$G131</f>
        <v>98.095297780181156</v>
      </c>
      <c r="E152" s="447">
        <f>E84*Calc_SEC_retirement_rates!$G131</f>
        <v>91.61955673639865</v>
      </c>
      <c r="F152" s="447">
        <f>F84*Calc_SEC_retirement_rates!$G131</f>
        <v>86.591835655328225</v>
      </c>
      <c r="G152" s="447">
        <f>G84*Calc_SEC_retirement_rates!$G131</f>
        <v>82.806705075045798</v>
      </c>
      <c r="H152" s="447">
        <f>H84*Calc_SEC_retirement_rates!$G131</f>
        <v>80.008974025163738</v>
      </c>
      <c r="I152" s="447">
        <f>I84*Calc_SEC_retirement_rates!$G131</f>
        <v>78.018923842913807</v>
      </c>
      <c r="J152" s="447">
        <f>J84*Calc_SEC_retirement_rates!$G131</f>
        <v>76.598588711875266</v>
      </c>
      <c r="K152" s="447">
        <f>K84*Calc_SEC_retirement_rates!$G131</f>
        <v>75.451186295638593</v>
      </c>
      <c r="L152" s="447">
        <f>L84*Calc_SEC_retirement_rates!$G131</f>
        <v>74.606666744784121</v>
      </c>
      <c r="M152" s="447">
        <f>M84*Calc_SEC_retirement_rates!$G131</f>
        <v>73.942392856194218</v>
      </c>
      <c r="N152" s="447">
        <f>N84*Calc_SEC_retirement_rates!$G131</f>
        <v>73.280014200744276</v>
      </c>
    </row>
    <row r="153" spans="1:14">
      <c r="B153" s="331" t="str">
        <f t="shared" si="56"/>
        <v>60-64</v>
      </c>
      <c r="C153" s="447">
        <f>C85*Calc_SEC_retirement_rates!$G132</f>
        <v>59.5800359511151</v>
      </c>
      <c r="D153" s="447">
        <f>D85*Calc_SEC_retirement_rates!$G132</f>
        <v>59.810644330960045</v>
      </c>
      <c r="E153" s="447">
        <f>E85*Calc_SEC_retirement_rates!$G132</f>
        <v>57.464037702972576</v>
      </c>
      <c r="F153" s="447">
        <f>F85*Calc_SEC_retirement_rates!$G132</f>
        <v>54.758693041873478</v>
      </c>
      <c r="G153" s="447">
        <f>G85*Calc_SEC_retirement_rates!$G132</f>
        <v>52.331377986060858</v>
      </c>
      <c r="H153" s="447">
        <f>H85*Calc_SEC_retirement_rates!$G132</f>
        <v>50.36601670532292</v>
      </c>
      <c r="I153" s="447">
        <f>I85*Calc_SEC_retirement_rates!$G132</f>
        <v>48.869816008223999</v>
      </c>
      <c r="J153" s="447">
        <f>J85*Calc_SEC_retirement_rates!$G132</f>
        <v>47.714583983406868</v>
      </c>
      <c r="K153" s="447">
        <f>K85*Calc_SEC_retirement_rates!$G132</f>
        <v>46.694972232814848</v>
      </c>
      <c r="L153" s="447">
        <f>L85*Calc_SEC_retirement_rates!$G132</f>
        <v>45.881362326148377</v>
      </c>
      <c r="M153" s="447">
        <f>M85*Calc_SEC_retirement_rates!$G132</f>
        <v>45.192859205836903</v>
      </c>
      <c r="N153" s="447">
        <f>N85*Calc_SEC_retirement_rates!$G132</f>
        <v>44.49743197053197</v>
      </c>
    </row>
    <row r="154" spans="1:14">
      <c r="B154" s="331" t="str">
        <f t="shared" si="56"/>
        <v>65 plus</v>
      </c>
      <c r="C154" s="447">
        <f>C86*Calc_SEC_retirement_rates!$G133</f>
        <v>22.250696364034805</v>
      </c>
      <c r="D154" s="447">
        <f>D86*Calc_SEC_retirement_rates!$G133</f>
        <v>22.753020927992832</v>
      </c>
      <c r="E154" s="447">
        <f>E86*Calc_SEC_retirement_rates!$G133</f>
        <v>22.847791219850823</v>
      </c>
      <c r="F154" s="447">
        <f>F86*Calc_SEC_retirement_rates!$G133</f>
        <v>22.537594773891044</v>
      </c>
      <c r="G154" s="447">
        <f>G86*Calc_SEC_retirement_rates!$G133</f>
        <v>22.070751676857707</v>
      </c>
      <c r="H154" s="447">
        <f>H86*Calc_SEC_retirement_rates!$G133</f>
        <v>21.542180055233004</v>
      </c>
      <c r="I154" s="447">
        <f>I86*Calc_SEC_retirement_rates!$G133</f>
        <v>21.042111931503253</v>
      </c>
      <c r="J154" s="447">
        <f>J86*Calc_SEC_retirement_rates!$G133</f>
        <v>20.585092457515938</v>
      </c>
      <c r="K154" s="447">
        <f>K86*Calc_SEC_retirement_rates!$G133</f>
        <v>20.126675266093915</v>
      </c>
      <c r="L154" s="447">
        <f>L86*Calc_SEC_retirement_rates!$G133</f>
        <v>19.716565190582642</v>
      </c>
      <c r="M154" s="447">
        <f>M86*Calc_SEC_retirement_rates!$G133</f>
        <v>19.340532477715715</v>
      </c>
      <c r="N154" s="447">
        <f>N86*Calc_SEC_retirement_rates!$G133</f>
        <v>18.953413086454585</v>
      </c>
    </row>
    <row r="155" spans="1:14">
      <c r="B155" s="331" t="str">
        <f t="shared" si="56"/>
        <v>Total</v>
      </c>
      <c r="C155" s="447">
        <f>SUM(C145:C154)</f>
        <v>214.32490413347685</v>
      </c>
      <c r="D155" s="447">
        <f t="shared" ref="D155:N155" si="58">SUM(D145:D154)</f>
        <v>206.04993270211625</v>
      </c>
      <c r="E155" s="447">
        <f t="shared" si="58"/>
        <v>196.40341418477891</v>
      </c>
      <c r="F155" s="447">
        <f t="shared" si="58"/>
        <v>187.5699089526496</v>
      </c>
      <c r="G155" s="447">
        <f t="shared" si="58"/>
        <v>180.31672958074211</v>
      </c>
      <c r="H155" s="447">
        <f t="shared" si="58"/>
        <v>174.63578513564624</v>
      </c>
      <c r="I155" s="447">
        <f t="shared" si="58"/>
        <v>170.4212036656258</v>
      </c>
      <c r="J155" s="447">
        <f t="shared" si="58"/>
        <v>167.27173590261413</v>
      </c>
      <c r="K155" s="447">
        <f t="shared" si="58"/>
        <v>164.57015102718083</v>
      </c>
      <c r="L155" s="447">
        <f t="shared" si="58"/>
        <v>162.47132358786018</v>
      </c>
      <c r="M155" s="447">
        <f t="shared" si="58"/>
        <v>160.72930106600546</v>
      </c>
      <c r="N155" s="447">
        <f t="shared" si="58"/>
        <v>158.9461048057498</v>
      </c>
    </row>
    <row r="156" spans="1:14">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4">
      <c r="B158" s="334" t="s">
        <v>47</v>
      </c>
      <c r="C158" s="322"/>
      <c r="D158" s="322"/>
      <c r="E158" s="322"/>
      <c r="F158" s="322"/>
      <c r="G158" s="322"/>
      <c r="H158" s="332"/>
      <c r="I158" s="322"/>
      <c r="J158" s="322"/>
      <c r="K158" s="322"/>
      <c r="L158" s="322"/>
    </row>
    <row r="159" spans="1:14">
      <c r="C159" s="322"/>
      <c r="D159" s="322"/>
      <c r="E159" s="322"/>
      <c r="F159" s="322"/>
      <c r="G159" s="322"/>
      <c r="H159" s="332"/>
      <c r="I159" s="322"/>
      <c r="J159" s="322"/>
      <c r="K159" s="322"/>
      <c r="L159" s="322"/>
    </row>
    <row r="160" spans="1:14">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4">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row>
    <row r="162" spans="1:14">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row>
    <row r="163" spans="1:14">
      <c r="B163" s="331" t="str">
        <f t="shared" si="60"/>
        <v>30-34</v>
      </c>
      <c r="C163" s="447">
        <f>C95*Calc_SEC_retirement_rates!$G142</f>
        <v>5.5561037981844988E-2</v>
      </c>
      <c r="D163" s="447">
        <f>D95*Calc_SEC_retirement_rates!$G142</f>
        <v>5.628379750974738E-2</v>
      </c>
      <c r="E163" s="447">
        <f>E95*Calc_SEC_retirement_rates!$G142</f>
        <v>5.618758100496149E-2</v>
      </c>
      <c r="F163" s="447">
        <f>F95*Calc_SEC_retirement_rates!$G142</f>
        <v>5.6397891020139798E-2</v>
      </c>
      <c r="G163" s="447">
        <f>G95*Calc_SEC_retirement_rates!$G142</f>
        <v>5.6667206549797358E-2</v>
      </c>
      <c r="H163" s="447">
        <f>H95*Calc_SEC_retirement_rates!$G142</f>
        <v>5.7190120641469042E-2</v>
      </c>
      <c r="I163" s="447">
        <f>I95*Calc_SEC_retirement_rates!$G142</f>
        <v>5.7927711470234323E-2</v>
      </c>
      <c r="J163" s="447">
        <f>J95*Calc_SEC_retirement_rates!$G142</f>
        <v>5.8732701810399711E-2</v>
      </c>
      <c r="K163" s="447">
        <f>K95*Calc_SEC_retirement_rates!$G142</f>
        <v>5.9354240980379364E-2</v>
      </c>
      <c r="L163" s="447">
        <f>L95*Calc_SEC_retirement_rates!$G142</f>
        <v>5.985402130239674E-2</v>
      </c>
      <c r="M163" s="447">
        <f>M95*Calc_SEC_retirement_rates!$G142</f>
        <v>6.0163815487627746E-2</v>
      </c>
      <c r="N163" s="447">
        <f>N95*Calc_SEC_retirement_rates!$G142</f>
        <v>6.0145138264487419E-2</v>
      </c>
    </row>
    <row r="164" spans="1:14">
      <c r="B164" s="331" t="str">
        <f t="shared" si="60"/>
        <v>35-39</v>
      </c>
      <c r="C164" s="447">
        <f>C96*Calc_SEC_retirement_rates!$G143</f>
        <v>0.1883247232899867</v>
      </c>
      <c r="D164" s="447">
        <f>D96*Calc_SEC_retirement_rates!$G143</f>
        <v>0.19493041666476485</v>
      </c>
      <c r="E164" s="447">
        <f>E96*Calc_SEC_retirement_rates!$G143</f>
        <v>0.19754438648247979</v>
      </c>
      <c r="F164" s="447">
        <f>F96*Calc_SEC_retirement_rates!$G143</f>
        <v>0.19951854281586826</v>
      </c>
      <c r="G164" s="447">
        <f>G96*Calc_SEC_retirement_rates!$G143</f>
        <v>0.20069306698994971</v>
      </c>
      <c r="H164" s="447">
        <f>H96*Calc_SEC_retirement_rates!$G143</f>
        <v>0.20201863813268595</v>
      </c>
      <c r="I164" s="447">
        <f>I96*Calc_SEC_retirement_rates!$G143</f>
        <v>0.20367667580803997</v>
      </c>
      <c r="J164" s="447">
        <f>J96*Calc_SEC_retirement_rates!$G143</f>
        <v>0.20549060407157263</v>
      </c>
      <c r="K164" s="447">
        <f>K96*Calc_SEC_retirement_rates!$G143</f>
        <v>0.2069592098549842</v>
      </c>
      <c r="L164" s="447">
        <f>L96*Calc_SEC_retirement_rates!$G143</f>
        <v>0.20829233750817894</v>
      </c>
      <c r="M164" s="447">
        <f>M96*Calc_SEC_retirement_rates!$G143</f>
        <v>0.20930369455427517</v>
      </c>
      <c r="N164" s="447">
        <f>N96*Calc_SEC_retirement_rates!$G143</f>
        <v>0.20961204730700936</v>
      </c>
    </row>
    <row r="165" spans="1:14">
      <c r="B165" s="331" t="str">
        <f t="shared" si="60"/>
        <v>40-44</v>
      </c>
      <c r="C165" s="447">
        <f>C97*Calc_SEC_retirement_rates!$G144</f>
        <v>0.42115697481262476</v>
      </c>
      <c r="D165" s="447">
        <f>D97*Calc_SEC_retirement_rates!$G144</f>
        <v>0.4266449943963585</v>
      </c>
      <c r="E165" s="447">
        <f>E97*Calc_SEC_retirement_rates!$G144</f>
        <v>0.42821889220344622</v>
      </c>
      <c r="F165" s="447">
        <f>F97*Calc_SEC_retirement_rates!$G144</f>
        <v>0.43068434086456903</v>
      </c>
      <c r="G165" s="447">
        <f>G97*Calc_SEC_retirement_rates!$G144</f>
        <v>0.43249356784855392</v>
      </c>
      <c r="H165" s="447">
        <f>H97*Calc_SEC_retirement_rates!$G144</f>
        <v>0.43487234696793392</v>
      </c>
      <c r="I165" s="447">
        <f>I97*Calc_SEC_retirement_rates!$G144</f>
        <v>0.43783072099351172</v>
      </c>
      <c r="J165" s="447">
        <f>J97*Calc_SEC_retirement_rates!$G144</f>
        <v>0.44090492590433333</v>
      </c>
      <c r="K165" s="447">
        <f>K97*Calc_SEC_retirement_rates!$G144</f>
        <v>0.4431511469485917</v>
      </c>
      <c r="L165" s="447">
        <f>L97*Calc_SEC_retirement_rates!$G144</f>
        <v>0.44511212191193261</v>
      </c>
      <c r="M165" s="447">
        <f>M97*Calc_SEC_retirement_rates!$G144</f>
        <v>0.44653368253880382</v>
      </c>
      <c r="N165" s="447">
        <f>N97*Calc_SEC_retirement_rates!$G144</f>
        <v>0.44676386507028654</v>
      </c>
    </row>
    <row r="166" spans="1:14">
      <c r="B166" s="331" t="str">
        <f t="shared" si="60"/>
        <v>45-49</v>
      </c>
      <c r="C166" s="447">
        <f>C98*Calc_SEC_retirement_rates!$G145</f>
        <v>0.53826125500501898</v>
      </c>
      <c r="D166" s="447">
        <f>D98*Calc_SEC_retirement_rates!$G145</f>
        <v>0.55502404685604678</v>
      </c>
      <c r="E166" s="447">
        <f>E98*Calc_SEC_retirement_rates!$G145</f>
        <v>0.56209315858567144</v>
      </c>
      <c r="F166" s="447">
        <f>F98*Calc_SEC_retirement_rates!$G145</f>
        <v>0.56778296565791553</v>
      </c>
      <c r="G166" s="447">
        <f>G98*Calc_SEC_retirement_rates!$G145</f>
        <v>0.5714509379167424</v>
      </c>
      <c r="H166" s="447">
        <f>H98*Calc_SEC_retirement_rates!$G145</f>
        <v>0.57529943020639029</v>
      </c>
      <c r="I166" s="447">
        <f>I98*Calc_SEC_retirement_rates!$G145</f>
        <v>0.57956180102736499</v>
      </c>
      <c r="J166" s="447">
        <f>J98*Calc_SEC_retirement_rates!$G145</f>
        <v>0.58372475201933105</v>
      </c>
      <c r="K166" s="447">
        <f>K98*Calc_SEC_retirement_rates!$G145</f>
        <v>0.58662654525757629</v>
      </c>
      <c r="L166" s="447">
        <f>L98*Calc_SEC_retirement_rates!$G145</f>
        <v>0.58896896789976605</v>
      </c>
      <c r="M166" s="447">
        <f>M98*Calc_SEC_retirement_rates!$G145</f>
        <v>0.59048670949304216</v>
      </c>
      <c r="N166" s="447">
        <f>N98*Calc_SEC_retirement_rates!$G145</f>
        <v>0.59043399251882056</v>
      </c>
    </row>
    <row r="167" spans="1:14">
      <c r="B167" s="331" t="str">
        <f t="shared" si="60"/>
        <v>50-54</v>
      </c>
      <c r="C167" s="447">
        <f>C99*Calc_SEC_retirement_rates!$G146</f>
        <v>11.061408689222256</v>
      </c>
      <c r="D167" s="447">
        <f>D99*Calc_SEC_retirement_rates!$G146</f>
        <v>10.842442229273631</v>
      </c>
      <c r="E167" s="447">
        <f>E99*Calc_SEC_retirement_rates!$G146</f>
        <v>10.643005674367449</v>
      </c>
      <c r="F167" s="447">
        <f>F99*Calc_SEC_retirement_rates!$G146</f>
        <v>10.53251009666306</v>
      </c>
      <c r="G167" s="447">
        <f>G99*Calc_SEC_retirement_rates!$G146</f>
        <v>10.457593718031116</v>
      </c>
      <c r="H167" s="447">
        <f>H99*Calc_SEC_retirement_rates!$G146</f>
        <v>10.432438352975177</v>
      </c>
      <c r="I167" s="447">
        <f>I99*Calc_SEC_retirement_rates!$G146</f>
        <v>10.445054945383337</v>
      </c>
      <c r="J167" s="447">
        <f>J99*Calc_SEC_retirement_rates!$G146</f>
        <v>10.476143348091165</v>
      </c>
      <c r="K167" s="447">
        <f>K99*Calc_SEC_retirement_rates!$G146</f>
        <v>10.498572174208032</v>
      </c>
      <c r="L167" s="447">
        <f>L99*Calc_SEC_retirement_rates!$G146</f>
        <v>10.519784050735073</v>
      </c>
      <c r="M167" s="447">
        <f>M99*Calc_SEC_retirement_rates!$G146</f>
        <v>10.531899840090366</v>
      </c>
      <c r="N167" s="447">
        <f>N99*Calc_SEC_retirement_rates!$G146</f>
        <v>10.519914250925988</v>
      </c>
    </row>
    <row r="168" spans="1:14">
      <c r="B168" s="331" t="str">
        <f t="shared" si="60"/>
        <v>55-59</v>
      </c>
      <c r="C168" s="447">
        <f>C100*Calc_SEC_retirement_rates!$G147</f>
        <v>39.437523688680585</v>
      </c>
      <c r="D168" s="447">
        <f>D100*Calc_SEC_retirement_rates!$G147</f>
        <v>41.510830860042894</v>
      </c>
      <c r="E168" s="447">
        <f>E100*Calc_SEC_retirement_rates!$G147</f>
        <v>41.948121955730535</v>
      </c>
      <c r="F168" s="447">
        <f>F100*Calc_SEC_retirement_rates!$G147</f>
        <v>41.988174872661688</v>
      </c>
      <c r="G168" s="447">
        <f>G100*Calc_SEC_retirement_rates!$G147</f>
        <v>41.793265317354972</v>
      </c>
      <c r="H168" s="447">
        <f>H100*Calc_SEC_retirement_rates!$G147</f>
        <v>41.64100705162344</v>
      </c>
      <c r="I168" s="447">
        <f>I100*Calc_SEC_retirement_rates!$G147</f>
        <v>41.586444487067183</v>
      </c>
      <c r="J168" s="447">
        <f>J100*Calc_SEC_retirement_rates!$G147</f>
        <v>41.591345117762863</v>
      </c>
      <c r="K168" s="447">
        <f>K100*Calc_SEC_retirement_rates!$G147</f>
        <v>41.554127289235623</v>
      </c>
      <c r="L168" s="447">
        <f>L100*Calc_SEC_retirement_rates!$G147</f>
        <v>41.528705083940196</v>
      </c>
      <c r="M168" s="447">
        <f>M100*Calc_SEC_retirement_rates!$G147</f>
        <v>41.480648814995426</v>
      </c>
      <c r="N168" s="447">
        <f>N100*Calc_SEC_retirement_rates!$G147</f>
        <v>41.33958289562991</v>
      </c>
    </row>
    <row r="169" spans="1:14">
      <c r="B169" s="331" t="str">
        <f t="shared" si="60"/>
        <v>60-64</v>
      </c>
      <c r="C169" s="447">
        <f>C101*Calc_SEC_retirement_rates!$G148</f>
        <v>20.908301135491453</v>
      </c>
      <c r="D169" s="447">
        <f>D101*Calc_SEC_retirement_rates!$G148</f>
        <v>24.515253836368167</v>
      </c>
      <c r="E169" s="447">
        <f>E101*Calc_SEC_retirement_rates!$G148</f>
        <v>26.376889017119762</v>
      </c>
      <c r="F169" s="447">
        <f>F101*Calc_SEC_retirement_rates!$G148</f>
        <v>27.476714240336072</v>
      </c>
      <c r="G169" s="447">
        <f>G101*Calc_SEC_retirement_rates!$G148</f>
        <v>27.981865906352045</v>
      </c>
      <c r="H169" s="447">
        <f>H101*Calc_SEC_retirement_rates!$G148</f>
        <v>28.241076305311516</v>
      </c>
      <c r="I169" s="447">
        <f>I101*Calc_SEC_retirement_rates!$G148</f>
        <v>28.396826515916668</v>
      </c>
      <c r="J169" s="447">
        <f>J101*Calc_SEC_retirement_rates!$G148</f>
        <v>28.482149345288782</v>
      </c>
      <c r="K169" s="447">
        <f>K101*Calc_SEC_retirement_rates!$G148</f>
        <v>28.452449924671644</v>
      </c>
      <c r="L169" s="447">
        <f>L101*Calc_SEC_retirement_rates!$G148</f>
        <v>28.398826237849601</v>
      </c>
      <c r="M169" s="447">
        <f>M101*Calc_SEC_retirement_rates!$G148</f>
        <v>28.309622436742689</v>
      </c>
      <c r="N169" s="447">
        <f>N101*Calc_SEC_retirement_rates!$G148</f>
        <v>28.132538967378331</v>
      </c>
    </row>
    <row r="170" spans="1:14">
      <c r="B170" s="331" t="str">
        <f t="shared" si="60"/>
        <v>65 plus</v>
      </c>
      <c r="C170" s="447">
        <f>C102*Calc_SEC_retirement_rates!$G149</f>
        <v>5.0806181746647852</v>
      </c>
      <c r="D170" s="447">
        <f>D102*Calc_SEC_retirement_rates!$G149</f>
        <v>7.0985076427493663</v>
      </c>
      <c r="E170" s="447">
        <f>E102*Calc_SEC_retirement_rates!$G149</f>
        <v>8.6287758308216667</v>
      </c>
      <c r="F170" s="447">
        <f>F102*Calc_SEC_retirement_rates!$G149</f>
        <v>9.8490534028565673</v>
      </c>
      <c r="G170" s="447">
        <f>G102*Calc_SEC_retirement_rates!$G149</f>
        <v>10.739066084421404</v>
      </c>
      <c r="H170" s="447">
        <f>H102*Calc_SEC_retirement_rates!$G149</f>
        <v>11.392082853300405</v>
      </c>
      <c r="I170" s="447">
        <f>I102*Calc_SEC_retirement_rates!$G149</f>
        <v>11.867700714084034</v>
      </c>
      <c r="J170" s="447">
        <f>J102*Calc_SEC_retirement_rates!$G149</f>
        <v>12.200499517667565</v>
      </c>
      <c r="K170" s="447">
        <f>K102*Calc_SEC_retirement_rates!$G149</f>
        <v>12.397065832380795</v>
      </c>
      <c r="L170" s="447">
        <f>L102*Calc_SEC_retirement_rates!$G149</f>
        <v>12.509617201930601</v>
      </c>
      <c r="M170" s="447">
        <f>M102*Calc_SEC_retirement_rates!$G149</f>
        <v>12.555110325649816</v>
      </c>
      <c r="N170" s="447">
        <f>N102*Calc_SEC_retirement_rates!$G149</f>
        <v>12.528923944543251</v>
      </c>
    </row>
    <row r="171" spans="1:14">
      <c r="B171" s="331" t="str">
        <f t="shared" si="60"/>
        <v>Total</v>
      </c>
      <c r="C171" s="447">
        <f>SUM(C161:C170)</f>
        <v>77.691155679148551</v>
      </c>
      <c r="D171" s="447">
        <f t="shared" ref="D171:N171" si="62">SUM(D161:D170)</f>
        <v>85.199917823860986</v>
      </c>
      <c r="E171" s="447">
        <f t="shared" si="62"/>
        <v>88.840836496315973</v>
      </c>
      <c r="F171" s="447">
        <f t="shared" si="62"/>
        <v>91.100836352875874</v>
      </c>
      <c r="G171" s="447">
        <f t="shared" si="62"/>
        <v>92.233095805464586</v>
      </c>
      <c r="H171" s="447">
        <f t="shared" si="62"/>
        <v>92.975985099159018</v>
      </c>
      <c r="I171" s="447">
        <f t="shared" si="62"/>
        <v>93.575023571750378</v>
      </c>
      <c r="J171" s="447">
        <f t="shared" si="62"/>
        <v>94.038990312616022</v>
      </c>
      <c r="K171" s="447">
        <f t="shared" si="62"/>
        <v>94.198306363537625</v>
      </c>
      <c r="L171" s="447">
        <f t="shared" si="62"/>
        <v>94.25916002307774</v>
      </c>
      <c r="M171" s="447">
        <f t="shared" si="62"/>
        <v>94.183769319552056</v>
      </c>
      <c r="N171" s="447">
        <f t="shared" si="62"/>
        <v>93.827915101638084</v>
      </c>
    </row>
    <row r="172" spans="1:14">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4" ht="15.75">
      <c r="B174" s="333" t="s">
        <v>527</v>
      </c>
      <c r="H174" s="318"/>
    </row>
    <row r="175" spans="1:14">
      <c r="H175" s="318"/>
    </row>
    <row r="176" spans="1:14">
      <c r="B176" s="334" t="s">
        <v>46</v>
      </c>
      <c r="H176" s="318"/>
    </row>
    <row r="177" spans="1:16">
      <c r="H177" s="318"/>
    </row>
    <row r="178" spans="1:16">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6">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c r="O179" s="320"/>
      <c r="P179" s="320"/>
    </row>
    <row r="180" spans="1:16">
      <c r="B180" s="331" t="str">
        <f t="shared" si="64"/>
        <v>25-29</v>
      </c>
      <c r="C180" s="447">
        <f>C78*Calc_SEC_death_rates!$G125</f>
        <v>7.7311332776930239E-2</v>
      </c>
      <c r="D180" s="447">
        <f>D78*Calc_SEC_death_rates!$G125</f>
        <v>8.2069972954876891E-2</v>
      </c>
      <c r="E180" s="447">
        <f>E78*Calc_SEC_death_rates!$G125</f>
        <v>8.4585313226124587E-2</v>
      </c>
      <c r="F180" s="447">
        <f>F78*Calc_SEC_death_rates!$G125</f>
        <v>8.755015234421587E-2</v>
      </c>
      <c r="G180" s="447">
        <f>G78*Calc_SEC_death_rates!$G125</f>
        <v>9.0305669997041788E-2</v>
      </c>
      <c r="H180" s="447">
        <f>H78*Calc_SEC_death_rates!$G125</f>
        <v>9.3053498638071636E-2</v>
      </c>
      <c r="I180" s="447">
        <f>I78*Calc_SEC_death_rates!$G125</f>
        <v>9.5751202708283065E-2</v>
      </c>
      <c r="J180" s="447">
        <f>J78*Calc_SEC_death_rates!$G125</f>
        <v>9.8054833157793994E-2</v>
      </c>
      <c r="K180" s="447">
        <f>K78*Calc_SEC_death_rates!$G125</f>
        <v>9.9359324317749007E-2</v>
      </c>
      <c r="L180" s="447">
        <f>L78*Calc_SEC_death_rates!$G125</f>
        <v>0.10013905818077656</v>
      </c>
      <c r="M180" s="447">
        <f>M78*Calc_SEC_death_rates!$G125</f>
        <v>0.10032366497924639</v>
      </c>
      <c r="N180" s="447">
        <f>N78*Calc_SEC_death_rates!$G125</f>
        <v>9.9602549663311626E-2</v>
      </c>
      <c r="O180" s="320"/>
      <c r="P180" s="320"/>
    </row>
    <row r="181" spans="1:16">
      <c r="B181" s="331" t="str">
        <f t="shared" si="64"/>
        <v>30-34</v>
      </c>
      <c r="C181" s="447">
        <f>C79*Calc_SEC_death_rates!$G126</f>
        <v>0.28660812415778913</v>
      </c>
      <c r="D181" s="447">
        <f>D79*Calc_SEC_death_rates!$G126</f>
        <v>0.2944414992664689</v>
      </c>
      <c r="E181" s="447">
        <f>E79*Calc_SEC_death_rates!$G126</f>
        <v>0.29757785145761084</v>
      </c>
      <c r="F181" s="447">
        <f>F79*Calc_SEC_death_rates!$G126</f>
        <v>0.30112194020032024</v>
      </c>
      <c r="G181" s="447">
        <f>G79*Calc_SEC_death_rates!$G126</f>
        <v>0.30540046982819319</v>
      </c>
      <c r="H181" s="447">
        <f>H79*Calc_SEC_death_rates!$G126</f>
        <v>0.31063145376853779</v>
      </c>
      <c r="I181" s="447">
        <f>I79*Calc_SEC_death_rates!$G126</f>
        <v>0.31667026076808708</v>
      </c>
      <c r="J181" s="447">
        <f>J79*Calc_SEC_death_rates!$G126</f>
        <v>0.32273325474564635</v>
      </c>
      <c r="K181" s="447">
        <f>K79*Calc_SEC_death_rates!$G126</f>
        <v>0.32743464132748318</v>
      </c>
      <c r="L181" s="447">
        <f>L79*Calc_SEC_death_rates!$G126</f>
        <v>0.33117705072163151</v>
      </c>
      <c r="M181" s="447">
        <f>M79*Calc_SEC_death_rates!$G126</f>
        <v>0.33361855606085533</v>
      </c>
      <c r="N181" s="447">
        <f>N79*Calc_SEC_death_rates!$G126</f>
        <v>0.33400982932748513</v>
      </c>
      <c r="O181" s="320"/>
      <c r="P181" s="320"/>
    </row>
    <row r="182" spans="1:16">
      <c r="B182" s="331" t="str">
        <f t="shared" si="64"/>
        <v>35-39</v>
      </c>
      <c r="C182" s="447">
        <f>C80*Calc_SEC_death_rates!$G127</f>
        <v>0.53109987889329391</v>
      </c>
      <c r="D182" s="447">
        <f>D80*Calc_SEC_death_rates!$G127</f>
        <v>0.5481902645693727</v>
      </c>
      <c r="E182" s="447">
        <f>E80*Calc_SEC_death_rates!$G127</f>
        <v>0.55731648472970718</v>
      </c>
      <c r="F182" s="447">
        <f>F80*Calc_SEC_death_rates!$G127</f>
        <v>0.56452163819220913</v>
      </c>
      <c r="G182" s="447">
        <f>G80*Calc_SEC_death_rates!$G127</f>
        <v>0.57147237796763883</v>
      </c>
      <c r="H182" s="447">
        <f>H80*Calc_SEC_death_rates!$G127</f>
        <v>0.57893647850174657</v>
      </c>
      <c r="I182" s="447">
        <f>I80*Calc_SEC_death_rates!$G127</f>
        <v>0.58727106328330569</v>
      </c>
      <c r="J182" s="447">
        <f>J80*Calc_SEC_death_rates!$G127</f>
        <v>0.59583009675498377</v>
      </c>
      <c r="K182" s="447">
        <f>K80*Calc_SEC_death_rates!$G127</f>
        <v>0.60303590343752878</v>
      </c>
      <c r="L182" s="447">
        <f>L80*Calc_SEC_death_rates!$G127</f>
        <v>0.60949448435362907</v>
      </c>
      <c r="M182" s="447">
        <f>M80*Calc_SEC_death_rates!$G127</f>
        <v>0.61463948394334667</v>
      </c>
      <c r="N182" s="447">
        <f>N80*Calc_SEC_death_rates!$G127</f>
        <v>0.61733230334323652</v>
      </c>
      <c r="O182" s="320"/>
      <c r="P182" s="320"/>
    </row>
    <row r="183" spans="1:16">
      <c r="B183" s="331" t="str">
        <f t="shared" si="64"/>
        <v>40-44</v>
      </c>
      <c r="C183" s="447">
        <f>C81*Calc_SEC_death_rates!$G128</f>
        <v>0.72235594097352918</v>
      </c>
      <c r="D183" s="447">
        <f>D81*Calc_SEC_death_rates!$G128</f>
        <v>0.74925503758086665</v>
      </c>
      <c r="E183" s="447">
        <f>E81*Calc_SEC_death_rates!$G128</f>
        <v>0.76611052584855033</v>
      </c>
      <c r="F183" s="447">
        <f>F81*Calc_SEC_death_rates!$G128</f>
        <v>0.78028229530907367</v>
      </c>
      <c r="G183" s="447">
        <f>G81*Calc_SEC_death_rates!$G128</f>
        <v>0.79322487229330241</v>
      </c>
      <c r="H183" s="447">
        <f>H81*Calc_SEC_death_rates!$G128</f>
        <v>0.80572342722244272</v>
      </c>
      <c r="I183" s="447">
        <f>I81*Calc_SEC_death_rates!$G128</f>
        <v>0.81822918522952148</v>
      </c>
      <c r="J183" s="447">
        <f>J81*Calc_SEC_death_rates!$G128</f>
        <v>0.83011115615904385</v>
      </c>
      <c r="K183" s="447">
        <f>K81*Calc_SEC_death_rates!$G128</f>
        <v>0.83970279778910506</v>
      </c>
      <c r="L183" s="447">
        <f>L81*Calc_SEC_death_rates!$G128</f>
        <v>0.84813990993454202</v>
      </c>
      <c r="M183" s="447">
        <f>M81*Calc_SEC_death_rates!$G128</f>
        <v>0.85499448773872555</v>
      </c>
      <c r="N183" s="447">
        <f>N81*Calc_SEC_death_rates!$G128</f>
        <v>0.85904812593009461</v>
      </c>
      <c r="O183" s="320"/>
      <c r="P183" s="320"/>
    </row>
    <row r="184" spans="1:16">
      <c r="B184" s="331" t="str">
        <f t="shared" si="64"/>
        <v>45-49</v>
      </c>
      <c r="C184" s="447">
        <f>C82*Calc_SEC_death_rates!$G129</f>
        <v>1.1606414714210127</v>
      </c>
      <c r="D184" s="447">
        <f>D82*Calc_SEC_death_rates!$G129</f>
        <v>1.12679314185936</v>
      </c>
      <c r="E184" s="447">
        <f>E82*Calc_SEC_death_rates!$G129</f>
        <v>1.1017431744887398</v>
      </c>
      <c r="F184" s="447">
        <f>F82*Calc_SEC_death_rates!$G129</f>
        <v>1.0865078013440126</v>
      </c>
      <c r="G184" s="447">
        <f>G82*Calc_SEC_death_rates!$G129</f>
        <v>1.0807207659394338</v>
      </c>
      <c r="H184" s="447">
        <f>H82*Calc_SEC_death_rates!$G129</f>
        <v>1.0815255477049976</v>
      </c>
      <c r="I184" s="447">
        <f>I82*Calc_SEC_death_rates!$G129</f>
        <v>1.0871870601593985</v>
      </c>
      <c r="J184" s="447">
        <f>J82*Calc_SEC_death_rates!$G129</f>
        <v>1.0952665499413929</v>
      </c>
      <c r="K184" s="447">
        <f>K82*Calc_SEC_death_rates!$G129</f>
        <v>1.1025585822918642</v>
      </c>
      <c r="L184" s="447">
        <f>L82*Calc_SEC_death_rates!$G129</f>
        <v>1.1097611720611709</v>
      </c>
      <c r="M184" s="447">
        <f>M82*Calc_SEC_death_rates!$G129</f>
        <v>1.1159184034629306</v>
      </c>
      <c r="N184" s="447">
        <f>N82*Calc_SEC_death_rates!$G129</f>
        <v>1.1192920458435032</v>
      </c>
      <c r="O184" s="320"/>
      <c r="P184" s="320"/>
    </row>
    <row r="185" spans="1:16">
      <c r="B185" s="331" t="str">
        <f t="shared" si="64"/>
        <v>50-54</v>
      </c>
      <c r="C185" s="447">
        <f>C83*Calc_SEC_death_rates!$G130</f>
        <v>1.2005494947586102</v>
      </c>
      <c r="D185" s="447">
        <f>D83*Calc_SEC_death_rates!$G130</f>
        <v>1.1544265914744136</v>
      </c>
      <c r="E185" s="447">
        <f>E83*Calc_SEC_death_rates!$G130</f>
        <v>1.1091156606246586</v>
      </c>
      <c r="F185" s="447">
        <f>F83*Calc_SEC_death_rates!$G130</f>
        <v>1.0698317550183929</v>
      </c>
      <c r="G185" s="447">
        <f>G83*Calc_SEC_death_rates!$G130</f>
        <v>1.0408449022173059</v>
      </c>
      <c r="H185" s="447">
        <f>H83*Calc_SEC_death_rates!$G130</f>
        <v>1.0206708860227303</v>
      </c>
      <c r="I185" s="447">
        <f>I83*Calc_SEC_death_rates!$G130</f>
        <v>1.0082046164775993</v>
      </c>
      <c r="J185" s="447">
        <f>J83*Calc_SEC_death_rates!$G130</f>
        <v>1.0011650338735214</v>
      </c>
      <c r="K185" s="447">
        <f>K83*Calc_SEC_death_rates!$G130</f>
        <v>0.99634373285631217</v>
      </c>
      <c r="L185" s="447">
        <f>L83*Calc_SEC_death_rates!$G130</f>
        <v>0.99387757728938808</v>
      </c>
      <c r="M185" s="447">
        <f>M83*Calc_SEC_death_rates!$G130</f>
        <v>0.99245418841602195</v>
      </c>
      <c r="N185" s="447">
        <f>N83*Calc_SEC_death_rates!$G130</f>
        <v>0.99014795290110125</v>
      </c>
      <c r="O185" s="320"/>
      <c r="P185" s="320"/>
    </row>
    <row r="186" spans="1:16">
      <c r="B186" s="331" t="str">
        <f t="shared" si="64"/>
        <v>55-59</v>
      </c>
      <c r="C186" s="447">
        <f>C84*Calc_SEC_death_rates!$G131</f>
        <v>1.0774329197088715</v>
      </c>
      <c r="D186" s="447">
        <f>D84*Calc_SEC_death_rates!$G131</f>
        <v>0.99546375457501435</v>
      </c>
      <c r="E186" s="447">
        <f>E84*Calc_SEC_death_rates!$G131</f>
        <v>0.92974841817280751</v>
      </c>
      <c r="F186" s="447">
        <f>F84*Calc_SEC_death_rates!$G131</f>
        <v>0.87872748019131852</v>
      </c>
      <c r="G186" s="447">
        <f>G84*Calc_SEC_death_rates!$G131</f>
        <v>0.84031625779564212</v>
      </c>
      <c r="H186" s="447">
        <f>H84*Calc_SEC_death_rates!$G131</f>
        <v>0.811925092079956</v>
      </c>
      <c r="I186" s="447">
        <f>I84*Calc_SEC_death_rates!$G131</f>
        <v>0.79173021147870215</v>
      </c>
      <c r="J186" s="447">
        <f>J84*Calc_SEC_death_rates!$G131</f>
        <v>0.77731675666186906</v>
      </c>
      <c r="K186" s="447">
        <f>K84*Calc_SEC_death_rates!$G131</f>
        <v>0.76567300264794147</v>
      </c>
      <c r="L186" s="447">
        <f>L84*Calc_SEC_death_rates!$G131</f>
        <v>0.75710288132786085</v>
      </c>
      <c r="M186" s="447">
        <f>M84*Calc_SEC_death_rates!$G131</f>
        <v>0.75036187952486244</v>
      </c>
      <c r="N186" s="447">
        <f>N84*Calc_SEC_death_rates!$G131</f>
        <v>0.74364011040620281</v>
      </c>
      <c r="O186" s="320"/>
      <c r="P186" s="320"/>
    </row>
    <row r="187" spans="1:16">
      <c r="B187" s="331" t="str">
        <f t="shared" si="64"/>
        <v>60-64</v>
      </c>
      <c r="C187" s="447">
        <f>C85*Calc_SEC_death_rates!$G132</f>
        <v>0.64186706590400178</v>
      </c>
      <c r="D187" s="447">
        <f>D85*Calc_SEC_death_rates!$G132</f>
        <v>0.64435145386686576</v>
      </c>
      <c r="E187" s="447">
        <f>E85*Calc_SEC_death_rates!$G132</f>
        <v>0.61907101408376408</v>
      </c>
      <c r="F187" s="447">
        <f>F85*Calc_SEC_death_rates!$G132</f>
        <v>0.5899258211989612</v>
      </c>
      <c r="G187" s="447">
        <f>G85*Calc_SEC_death_rates!$G132</f>
        <v>0.56377589416337848</v>
      </c>
      <c r="H187" s="447">
        <f>H85*Calc_SEC_death_rates!$G132</f>
        <v>0.5426026830605245</v>
      </c>
      <c r="I187" s="447">
        <f>I85*Calc_SEC_death_rates!$G132</f>
        <v>0.52648382821058159</v>
      </c>
      <c r="J187" s="447">
        <f>J85*Calc_SEC_death_rates!$G132</f>
        <v>0.51403829375645482</v>
      </c>
      <c r="K187" s="447">
        <f>K85*Calc_SEC_death_rates!$G132</f>
        <v>0.50305382232628126</v>
      </c>
      <c r="L187" s="447">
        <f>L85*Calc_SEC_death_rates!$G132</f>
        <v>0.49428864796467253</v>
      </c>
      <c r="M187" s="447">
        <f>M85*Calc_SEC_death_rates!$G132</f>
        <v>0.48687127282138337</v>
      </c>
      <c r="N187" s="447">
        <f>N85*Calc_SEC_death_rates!$G132</f>
        <v>0.47937930286954994</v>
      </c>
      <c r="O187" s="320"/>
      <c r="P187" s="320"/>
    </row>
    <row r="188" spans="1:16">
      <c r="B188" s="331" t="str">
        <f t="shared" si="64"/>
        <v>65 plus</v>
      </c>
      <c r="C188" s="447">
        <f>C86*Calc_SEC_death_rates!$G133</f>
        <v>0.24889306856067653</v>
      </c>
      <c r="D188" s="447">
        <f>D86*Calc_SEC_death_rates!$G133</f>
        <v>0.25451199841758665</v>
      </c>
      <c r="E188" s="447">
        <f>E86*Calc_SEC_death_rates!$G133</f>
        <v>0.25557208518354751</v>
      </c>
      <c r="F188" s="447">
        <f>F86*Calc_SEC_death_rates!$G133</f>
        <v>0.25210227264247403</v>
      </c>
      <c r="G188" s="447">
        <f>G86*Calc_SEC_death_rates!$G133</f>
        <v>0.24688023333835551</v>
      </c>
      <c r="H188" s="447">
        <f>H86*Calc_SEC_death_rates!$G133</f>
        <v>0.24096770769385883</v>
      </c>
      <c r="I188" s="447">
        <f>I86*Calc_SEC_death_rates!$G133</f>
        <v>0.23537401805070429</v>
      </c>
      <c r="J188" s="447">
        <f>J86*Calc_SEC_death_rates!$G133</f>
        <v>0.23026186437193005</v>
      </c>
      <c r="K188" s="447">
        <f>K86*Calc_SEC_death_rates!$G133</f>
        <v>0.22513407602826205</v>
      </c>
      <c r="L188" s="447">
        <f>L86*Calc_SEC_death_rates!$G133</f>
        <v>0.22054664409032776</v>
      </c>
      <c r="M188" s="447">
        <f>M86*Calc_SEC_death_rates!$G133</f>
        <v>0.21634039659796053</v>
      </c>
      <c r="N188" s="447">
        <f>N86*Calc_SEC_death_rates!$G133</f>
        <v>0.21201013512596176</v>
      </c>
      <c r="O188" s="320"/>
      <c r="P188" s="320"/>
    </row>
    <row r="189" spans="1:16">
      <c r="B189" s="331" t="str">
        <f t="shared" si="64"/>
        <v>Total</v>
      </c>
      <c r="C189" s="447">
        <f>SUM(C179:C188)</f>
        <v>5.9467592971547152</v>
      </c>
      <c r="D189" s="447">
        <f t="shared" ref="D189:N189" si="66">SUM(D179:D188)</f>
        <v>5.8495037145648245</v>
      </c>
      <c r="E189" s="447">
        <f t="shared" si="66"/>
        <v>5.7208405278155103</v>
      </c>
      <c r="F189" s="447">
        <f t="shared" si="66"/>
        <v>5.6105711564409777</v>
      </c>
      <c r="G189" s="447">
        <f t="shared" si="66"/>
        <v>5.5329414435402926</v>
      </c>
      <c r="H189" s="447">
        <f t="shared" si="66"/>
        <v>5.4860367746928658</v>
      </c>
      <c r="I189" s="447">
        <f t="shared" si="66"/>
        <v>5.4669014463661831</v>
      </c>
      <c r="J189" s="447">
        <f t="shared" si="66"/>
        <v>5.4647778394226361</v>
      </c>
      <c r="K189" s="447">
        <f t="shared" si="66"/>
        <v>5.4622958830225272</v>
      </c>
      <c r="L189" s="447">
        <f t="shared" si="66"/>
        <v>5.4645274259239986</v>
      </c>
      <c r="M189" s="447">
        <f t="shared" si="66"/>
        <v>5.4655223335453327</v>
      </c>
      <c r="N189" s="447">
        <f t="shared" si="66"/>
        <v>5.4544623554104454</v>
      </c>
      <c r="O189" s="320"/>
      <c r="P189" s="320"/>
    </row>
    <row r="190" spans="1:16">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6">
      <c r="B192" s="334" t="s">
        <v>47</v>
      </c>
      <c r="C192" s="322"/>
      <c r="D192" s="322"/>
      <c r="E192" s="322"/>
      <c r="F192" s="322"/>
      <c r="G192" s="322"/>
      <c r="H192" s="332"/>
      <c r="I192" s="322"/>
      <c r="J192" s="322"/>
      <c r="K192" s="322"/>
      <c r="L192" s="322"/>
    </row>
    <row r="193" spans="1:15">
      <c r="C193" s="322"/>
      <c r="D193" s="322"/>
      <c r="E193" s="322"/>
      <c r="F193" s="322"/>
      <c r="G193" s="322"/>
      <c r="H193" s="332"/>
      <c r="I193" s="322"/>
      <c r="J193" s="322"/>
      <c r="K193" s="322"/>
      <c r="L193" s="322"/>
    </row>
    <row r="194" spans="1:15">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5">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row>
    <row r="196" spans="1:15">
      <c r="B196" s="331" t="str">
        <f t="shared" si="68"/>
        <v>25-29</v>
      </c>
      <c r="C196" s="447">
        <f>C94*Calc_SEC_death_rates!$G141</f>
        <v>6.3081750050897403E-2</v>
      </c>
      <c r="D196" s="447">
        <f>D94*Calc_SEC_death_rates!$G141</f>
        <v>6.6770747296366201E-2</v>
      </c>
      <c r="E196" s="447">
        <f>E94*Calc_SEC_death_rates!$G141</f>
        <v>6.8336175240740496E-2</v>
      </c>
      <c r="F196" s="447">
        <f>F94*Calc_SEC_death_rates!$G141</f>
        <v>7.039042812140163E-2</v>
      </c>
      <c r="G196" s="447">
        <f>G94*Calc_SEC_death_rates!$G141</f>
        <v>7.207301061619617E-2</v>
      </c>
      <c r="H196" s="447">
        <f>H94*Calc_SEC_death_rates!$G141</f>
        <v>7.3838857988130432E-2</v>
      </c>
      <c r="I196" s="447">
        <f>I94*Calc_SEC_death_rates!$G141</f>
        <v>7.5650617168958975E-2</v>
      </c>
      <c r="J196" s="447">
        <f>J94*Calc_SEC_death_rates!$G141</f>
        <v>7.7240625345712521E-2</v>
      </c>
      <c r="K196" s="447">
        <f>K94*Calc_SEC_death_rates!$G141</f>
        <v>7.8143319515981552E-2</v>
      </c>
      <c r="L196" s="447">
        <f>L94*Calc_SEC_death_rates!$G141</f>
        <v>7.8688992643706102E-2</v>
      </c>
      <c r="M196" s="447">
        <f>M94*Calc_SEC_death_rates!$G141</f>
        <v>7.8811820642971916E-2</v>
      </c>
      <c r="N196" s="447">
        <f>N94*Calc_SEC_death_rates!$G141</f>
        <v>7.8270382360140694E-2</v>
      </c>
      <c r="O196" s="320"/>
    </row>
    <row r="197" spans="1:15">
      <c r="B197" s="331" t="str">
        <f t="shared" si="68"/>
        <v>30-34</v>
      </c>
      <c r="C197" s="447">
        <f>C95*Calc_SEC_death_rates!$G142</f>
        <v>6.074063267509245E-2</v>
      </c>
      <c r="D197" s="447">
        <f>D95*Calc_SEC_death_rates!$G142</f>
        <v>6.1530770379342813E-2</v>
      </c>
      <c r="E197" s="447">
        <f>E95*Calc_SEC_death_rates!$G142</f>
        <v>6.1425584234757281E-2</v>
      </c>
      <c r="F197" s="447">
        <f>F95*Calc_SEC_death_rates!$G142</f>
        <v>6.1655500086653582E-2</v>
      </c>
      <c r="G197" s="447">
        <f>G95*Calc_SEC_death_rates!$G142</f>
        <v>6.1949922153893812E-2</v>
      </c>
      <c r="H197" s="447">
        <f>H95*Calc_SEC_death_rates!$G142</f>
        <v>6.2521584129921648E-2</v>
      </c>
      <c r="I197" s="447">
        <f>I95*Calc_SEC_death_rates!$G142</f>
        <v>6.3327935760882692E-2</v>
      </c>
      <c r="J197" s="447">
        <f>J95*Calc_SEC_death_rates!$G142</f>
        <v>6.4207970121921101E-2</v>
      </c>
      <c r="K197" s="447">
        <f>K95*Calc_SEC_death_rates!$G142</f>
        <v>6.4887451351721956E-2</v>
      </c>
      <c r="L197" s="447">
        <f>L95*Calc_SEC_death_rates!$G142</f>
        <v>6.5433822947008127E-2</v>
      </c>
      <c r="M197" s="447">
        <f>M95*Calc_SEC_death_rates!$G142</f>
        <v>6.5772497231965599E-2</v>
      </c>
      <c r="N197" s="447">
        <f>N95*Calc_SEC_death_rates!$G142</f>
        <v>6.575207885262345E-2</v>
      </c>
      <c r="O197" s="320"/>
    </row>
    <row r="198" spans="1:15">
      <c r="B198" s="331" t="str">
        <f t="shared" si="68"/>
        <v>35-39</v>
      </c>
      <c r="C198" s="447">
        <f>C96*Calc_SEC_death_rates!$G143</f>
        <v>0.27058967659389915</v>
      </c>
      <c r="D198" s="447">
        <f>D96*Calc_SEC_death_rates!$G143</f>
        <v>0.280080902189422</v>
      </c>
      <c r="E198" s="447">
        <f>E96*Calc_SEC_death_rates!$G143</f>
        <v>0.28383671945677336</v>
      </c>
      <c r="F198" s="447">
        <f>F96*Calc_SEC_death_rates!$G143</f>
        <v>0.28667323669394368</v>
      </c>
      <c r="G198" s="447">
        <f>G96*Calc_SEC_death_rates!$G143</f>
        <v>0.28836082242811756</v>
      </c>
      <c r="H198" s="447">
        <f>H96*Calc_SEC_death_rates!$G143</f>
        <v>0.29026543622788342</v>
      </c>
      <c r="I198" s="447">
        <f>I96*Calc_SEC_death_rates!$G143</f>
        <v>0.29264774626406342</v>
      </c>
      <c r="J198" s="447">
        <f>J96*Calc_SEC_death_rates!$G143</f>
        <v>0.29525404379961345</v>
      </c>
      <c r="K198" s="447">
        <f>K96*Calc_SEC_death_rates!$G143</f>
        <v>0.29736417335156479</v>
      </c>
      <c r="L198" s="447">
        <f>L96*Calc_SEC_death_rates!$G143</f>
        <v>0.29927964453471312</v>
      </c>
      <c r="M198" s="447">
        <f>M96*Calc_SEC_death_rates!$G143</f>
        <v>0.30073278765497535</v>
      </c>
      <c r="N198" s="447">
        <f>N96*Calc_SEC_death_rates!$G143</f>
        <v>0.30117583660883313</v>
      </c>
      <c r="O198" s="320"/>
    </row>
    <row r="199" spans="1:15">
      <c r="B199" s="331" t="str">
        <f t="shared" si="68"/>
        <v>40-44</v>
      </c>
      <c r="C199" s="447">
        <f>C97*Calc_SEC_death_rates!$G144</f>
        <v>0.22710050441744276</v>
      </c>
      <c r="D199" s="447">
        <f>D97*Calc_SEC_death_rates!$G144</f>
        <v>0.2300598095940298</v>
      </c>
      <c r="E199" s="447">
        <f>E97*Calc_SEC_death_rates!$G144</f>
        <v>0.23090850261650711</v>
      </c>
      <c r="F199" s="447">
        <f>F97*Calc_SEC_death_rates!$G144</f>
        <v>0.23223794666716163</v>
      </c>
      <c r="G199" s="447">
        <f>G97*Calc_SEC_death_rates!$G144</f>
        <v>0.23321353625783958</v>
      </c>
      <c r="H199" s="447">
        <f>H97*Calc_SEC_death_rates!$G144</f>
        <v>0.23449624548555503</v>
      </c>
      <c r="I199" s="447">
        <f>I97*Calc_SEC_death_rates!$G144</f>
        <v>0.2360914897142968</v>
      </c>
      <c r="J199" s="447">
        <f>J97*Calc_SEC_death_rates!$G144</f>
        <v>0.23774919343923401</v>
      </c>
      <c r="K199" s="447">
        <f>K97*Calc_SEC_death_rates!$G144</f>
        <v>0.23896042336700882</v>
      </c>
      <c r="L199" s="447">
        <f>L97*Calc_SEC_death_rates!$G144</f>
        <v>0.24001784003100404</v>
      </c>
      <c r="M199" s="447">
        <f>M97*Calc_SEC_death_rates!$G144</f>
        <v>0.24078438826534365</v>
      </c>
      <c r="N199" s="447">
        <f>N97*Calc_SEC_death_rates!$G144</f>
        <v>0.24090850960758445</v>
      </c>
      <c r="O199" s="320"/>
    </row>
    <row r="200" spans="1:15">
      <c r="B200" s="331" t="str">
        <f t="shared" si="68"/>
        <v>45-49</v>
      </c>
      <c r="C200" s="447">
        <f>C98*Calc_SEC_death_rates!$G145</f>
        <v>0.37045151877870963</v>
      </c>
      <c r="D200" s="447">
        <f>D98*Calc_SEC_death_rates!$G145</f>
        <v>0.3819882988133913</v>
      </c>
      <c r="E200" s="447">
        <f>E98*Calc_SEC_death_rates!$G145</f>
        <v>0.38685352578692006</v>
      </c>
      <c r="F200" s="447">
        <f>F98*Calc_SEC_death_rates!$G145</f>
        <v>0.39076946372945504</v>
      </c>
      <c r="G200" s="447">
        <f>G98*Calc_SEC_death_rates!$G145</f>
        <v>0.39329389936639852</v>
      </c>
      <c r="H200" s="447">
        <f>H98*Calc_SEC_death_rates!$G145</f>
        <v>0.39594257563735719</v>
      </c>
      <c r="I200" s="447">
        <f>I98*Calc_SEC_death_rates!$G145</f>
        <v>0.39887609858656781</v>
      </c>
      <c r="J200" s="447">
        <f>J98*Calc_SEC_death_rates!$G145</f>
        <v>0.40174119709260975</v>
      </c>
      <c r="K200" s="447">
        <f>K98*Calc_SEC_death_rates!$G145</f>
        <v>0.40373831968371976</v>
      </c>
      <c r="L200" s="447">
        <f>L98*Calc_SEC_death_rates!$G145</f>
        <v>0.40535046251836004</v>
      </c>
      <c r="M200" s="447">
        <f>M98*Calc_SEC_death_rates!$G145</f>
        <v>0.40639502902415009</v>
      </c>
      <c r="N200" s="447">
        <f>N98*Calc_SEC_death_rates!$G145</f>
        <v>0.40635874723164839</v>
      </c>
      <c r="O200" s="320"/>
    </row>
    <row r="201" spans="1:15">
      <c r="B201" s="331" t="str">
        <f t="shared" si="68"/>
        <v>50-54</v>
      </c>
      <c r="C201" s="447">
        <f>C99*Calc_SEC_death_rates!$G146</f>
        <v>0.55150460733158269</v>
      </c>
      <c r="D201" s="447">
        <f>D99*Calc_SEC_death_rates!$G146</f>
        <v>0.540587280713824</v>
      </c>
      <c r="E201" s="447">
        <f>E99*Calc_SEC_death_rates!$G146</f>
        <v>0.53064368474053114</v>
      </c>
      <c r="F201" s="447">
        <f>F99*Calc_SEC_death_rates!$G146</f>
        <v>0.52513454735072362</v>
      </c>
      <c r="G201" s="447">
        <f>G99*Calc_SEC_death_rates!$G146</f>
        <v>0.52139933340637579</v>
      </c>
      <c r="H201" s="447">
        <f>H99*Calc_SEC_death_rates!$G146</f>
        <v>0.52014512608819063</v>
      </c>
      <c r="I201" s="447">
        <f>I99*Calc_SEC_death_rates!$G146</f>
        <v>0.52077416973330115</v>
      </c>
      <c r="J201" s="447">
        <f>J99*Calc_SEC_death_rates!$G146</f>
        <v>0.52232418906715439</v>
      </c>
      <c r="K201" s="447">
        <f>K99*Calc_SEC_death_rates!$G146</f>
        <v>0.52344245540085776</v>
      </c>
      <c r="L201" s="447">
        <f>L99*Calc_SEC_death_rates!$G146</f>
        <v>0.52450004652360593</v>
      </c>
      <c r="M201" s="447">
        <f>M99*Calc_SEC_death_rates!$G146</f>
        <v>0.52510412090858138</v>
      </c>
      <c r="N201" s="447">
        <f>N99*Calc_SEC_death_rates!$G146</f>
        <v>0.5245065381023174</v>
      </c>
      <c r="O201" s="320"/>
    </row>
    <row r="202" spans="1:15">
      <c r="B202" s="331" t="str">
        <f t="shared" si="68"/>
        <v>55-59</v>
      </c>
      <c r="C202" s="447">
        <f>C100*Calc_SEC_death_rates!$G147</f>
        <v>0.39866568762750337</v>
      </c>
      <c r="D202" s="447">
        <f>D100*Calc_SEC_death_rates!$G147</f>
        <v>0.41962431666463612</v>
      </c>
      <c r="E202" s="447">
        <f>E100*Calc_SEC_death_rates!$G147</f>
        <v>0.42404480099148883</v>
      </c>
      <c r="F202" s="447">
        <f>F100*Calc_SEC_death_rates!$G147</f>
        <v>0.42444968756083573</v>
      </c>
      <c r="G202" s="447">
        <f>G100*Calc_SEC_death_rates!$G147</f>
        <v>0.42247938758701098</v>
      </c>
      <c r="H202" s="447">
        <f>H100*Calc_SEC_death_rates!$G147</f>
        <v>0.42094024058873591</v>
      </c>
      <c r="I202" s="447">
        <f>I100*Calc_SEC_death_rates!$G147</f>
        <v>0.42038867902292232</v>
      </c>
      <c r="J202" s="447">
        <f>J100*Calc_SEC_death_rates!$G147</f>
        <v>0.42043821847477847</v>
      </c>
      <c r="K202" s="447">
        <f>K100*Calc_SEC_death_rates!$G147</f>
        <v>0.42006199122179622</v>
      </c>
      <c r="L202" s="447">
        <f>L100*Calc_SEC_death_rates!$G147</f>
        <v>0.41980500345970662</v>
      </c>
      <c r="M202" s="447">
        <f>M100*Calc_SEC_death_rates!$G147</f>
        <v>0.41931921267692535</v>
      </c>
      <c r="N202" s="447">
        <f>N100*Calc_SEC_death_rates!$G147</f>
        <v>0.41789320676974412</v>
      </c>
      <c r="O202" s="320"/>
    </row>
    <row r="203" spans="1:15">
      <c r="B203" s="331" t="str">
        <f t="shared" si="68"/>
        <v>60-64</v>
      </c>
      <c r="C203" s="447">
        <f>C101*Calc_SEC_death_rates!$G148</f>
        <v>0.12137650652249858</v>
      </c>
      <c r="D203" s="447">
        <f>D101*Calc_SEC_death_rates!$G148</f>
        <v>0.14231552567987765</v>
      </c>
      <c r="E203" s="447">
        <f>E101*Calc_SEC_death_rates!$G148</f>
        <v>0.1531226578899379</v>
      </c>
      <c r="F203" s="447">
        <f>F101*Calc_SEC_death_rates!$G148</f>
        <v>0.15950734416905032</v>
      </c>
      <c r="G203" s="447">
        <f>G101*Calc_SEC_death_rates!$G148</f>
        <v>0.16243984184486387</v>
      </c>
      <c r="H203" s="447">
        <f>H101*Calc_SEC_death_rates!$G148</f>
        <v>0.1639446055497733</v>
      </c>
      <c r="I203" s="447">
        <f>I101*Calc_SEC_death_rates!$G148</f>
        <v>0.1648487639666093</v>
      </c>
      <c r="J203" s="447">
        <f>J101*Calc_SEC_death_rates!$G148</f>
        <v>0.1653440785734103</v>
      </c>
      <c r="K203" s="447">
        <f>K101*Calc_SEC_death_rates!$G148</f>
        <v>0.16517166801279659</v>
      </c>
      <c r="L203" s="447">
        <f>L101*Calc_SEC_death_rates!$G148</f>
        <v>0.16486037271763423</v>
      </c>
      <c r="M203" s="447">
        <f>M101*Calc_SEC_death_rates!$G148</f>
        <v>0.16434252836114055</v>
      </c>
      <c r="N203" s="447">
        <f>N101*Calc_SEC_death_rates!$G148</f>
        <v>0.1633145264811674</v>
      </c>
      <c r="O203" s="320"/>
    </row>
    <row r="204" spans="1:15">
      <c r="B204" s="331" t="str">
        <f t="shared" si="68"/>
        <v>65 plus</v>
      </c>
      <c r="C204" s="447">
        <f>C102*Calc_SEC_death_rates!$G149</f>
        <v>0.12484092219145956</v>
      </c>
      <c r="D204" s="447">
        <f>D102*Calc_SEC_death_rates!$G149</f>
        <v>0.17442449124065978</v>
      </c>
      <c r="E204" s="447">
        <f>E102*Calc_SEC_death_rates!$G149</f>
        <v>0.21202623284601169</v>
      </c>
      <c r="F204" s="447">
        <f>F102*Calc_SEC_death_rates!$G149</f>
        <v>0.24201088671786922</v>
      </c>
      <c r="G204" s="447">
        <f>G102*Calc_SEC_death_rates!$G149</f>
        <v>0.26388027349499682</v>
      </c>
      <c r="H204" s="447">
        <f>H102*Calc_SEC_death_rates!$G149</f>
        <v>0.27992619799289914</v>
      </c>
      <c r="I204" s="447">
        <f>I102*Calc_SEC_death_rates!$G149</f>
        <v>0.29161307748466003</v>
      </c>
      <c r="J204" s="447">
        <f>J102*Calc_SEC_death_rates!$G149</f>
        <v>0.29979060787865064</v>
      </c>
      <c r="K204" s="447">
        <f>K102*Calc_SEC_death_rates!$G149</f>
        <v>0.30462063429609454</v>
      </c>
      <c r="L204" s="447">
        <f>L102*Calc_SEC_death_rates!$G149</f>
        <v>0.30738624593732683</v>
      </c>
      <c r="M204" s="447">
        <f>M102*Calc_SEC_death_rates!$G149</f>
        <v>0.30850410272625034</v>
      </c>
      <c r="N204" s="447">
        <f>N102*Calc_SEC_death_rates!$G149</f>
        <v>0.30786065111193645</v>
      </c>
      <c r="O204" s="320"/>
    </row>
    <row r="205" spans="1:15">
      <c r="B205" s="331" t="str">
        <f t="shared" si="68"/>
        <v>Total</v>
      </c>
      <c r="C205" s="447">
        <f>SUM(C195:C204)</f>
        <v>2.1883518061890856</v>
      </c>
      <c r="D205" s="447">
        <f t="shared" ref="D205:N205" si="70">SUM(D195:D204)</f>
        <v>2.2973821425715499</v>
      </c>
      <c r="E205" s="447">
        <f t="shared" si="70"/>
        <v>2.351197883803668</v>
      </c>
      <c r="F205" s="447">
        <f t="shared" si="70"/>
        <v>2.3928290410970945</v>
      </c>
      <c r="G205" s="447">
        <f t="shared" si="70"/>
        <v>2.419090027155693</v>
      </c>
      <c r="H205" s="447">
        <f t="shared" si="70"/>
        <v>2.4420208696884469</v>
      </c>
      <c r="I205" s="447">
        <f t="shared" si="70"/>
        <v>2.4642185777022623</v>
      </c>
      <c r="J205" s="447">
        <f t="shared" si="70"/>
        <v>2.4840901237930844</v>
      </c>
      <c r="K205" s="447">
        <f t="shared" si="70"/>
        <v>2.4963904362015419</v>
      </c>
      <c r="L205" s="447">
        <f t="shared" si="70"/>
        <v>2.5053224313130649</v>
      </c>
      <c r="M205" s="447">
        <f t="shared" si="70"/>
        <v>2.5097664874923042</v>
      </c>
      <c r="N205" s="447">
        <f t="shared" si="70"/>
        <v>2.5060404771259956</v>
      </c>
      <c r="O205" s="320"/>
    </row>
    <row r="206" spans="1:15">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5" ht="15.75">
      <c r="B208" s="333" t="s">
        <v>166</v>
      </c>
      <c r="C208" s="322"/>
      <c r="D208" s="322"/>
      <c r="E208" s="322"/>
      <c r="F208" s="322"/>
      <c r="G208" s="322"/>
      <c r="H208" s="332"/>
      <c r="I208" s="322"/>
      <c r="J208" s="322"/>
      <c r="K208" s="322"/>
      <c r="L208" s="322"/>
    </row>
    <row r="209" spans="1:14">
      <c r="C209" s="322"/>
      <c r="D209" s="322"/>
      <c r="E209" s="322"/>
      <c r="F209" s="322"/>
      <c r="G209" s="322"/>
      <c r="H209" s="332"/>
      <c r="I209" s="322"/>
      <c r="J209" s="322"/>
      <c r="K209" s="322"/>
      <c r="L209" s="322"/>
    </row>
    <row r="210" spans="1:14">
      <c r="B210" s="334" t="s">
        <v>46</v>
      </c>
      <c r="C210" s="322"/>
      <c r="D210" s="322"/>
      <c r="E210" s="322"/>
      <c r="F210" s="322"/>
      <c r="G210" s="322"/>
      <c r="H210" s="332"/>
      <c r="I210" s="322"/>
      <c r="J210" s="322"/>
      <c r="K210" s="322"/>
      <c r="L210" s="322"/>
    </row>
    <row r="211" spans="1:14">
      <c r="C211" s="322"/>
      <c r="D211" s="322"/>
      <c r="E211" s="322"/>
      <c r="F211" s="322"/>
      <c r="G211" s="322"/>
      <c r="H211" s="332"/>
      <c r="I211" s="322"/>
      <c r="J211" s="322"/>
      <c r="K211" s="322"/>
      <c r="L211" s="322"/>
    </row>
    <row r="212" spans="1:14">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4">
      <c r="B213" s="331" t="str">
        <f t="shared" si="72"/>
        <v>20-24</v>
      </c>
      <c r="C213" s="447">
        <f t="shared" ref="C213:C222" si="74">C111+C145+C179</f>
        <v>37.924262229546066</v>
      </c>
      <c r="D213" s="447">
        <f t="shared" ref="D213:N213" si="75">D111+D145+D179</f>
        <v>62.98467374048397</v>
      </c>
      <c r="E213" s="447">
        <f t="shared" si="75"/>
        <v>78.237219488473457</v>
      </c>
      <c r="F213" s="447">
        <f t="shared" si="75"/>
        <v>85.529895976459372</v>
      </c>
      <c r="G213" s="447">
        <f t="shared" si="75"/>
        <v>91.134848487963339</v>
      </c>
      <c r="H213" s="447">
        <f t="shared" si="75"/>
        <v>95.388246227397616</v>
      </c>
      <c r="I213" s="447">
        <f t="shared" si="75"/>
        <v>98.859959489188711</v>
      </c>
      <c r="J213" s="447">
        <f t="shared" si="75"/>
        <v>101.35634430969502</v>
      </c>
      <c r="K213" s="447">
        <f t="shared" si="75"/>
        <v>102.20137633529043</v>
      </c>
      <c r="L213" s="447">
        <f t="shared" si="75"/>
        <v>102.44502217708143</v>
      </c>
      <c r="M213" s="447">
        <f t="shared" si="75"/>
        <v>102.01117310516403</v>
      </c>
      <c r="N213" s="447">
        <f t="shared" si="75"/>
        <v>100.44905361596359</v>
      </c>
    </row>
    <row r="214" spans="1:14">
      <c r="B214" s="331" t="str">
        <f t="shared" si="72"/>
        <v>25-29</v>
      </c>
      <c r="C214" s="447">
        <f t="shared" si="74"/>
        <v>112.97518087051441</v>
      </c>
      <c r="D214" s="447">
        <f t="shared" ref="D214:N214" si="76">D112+D146+D180</f>
        <v>115.6199516926289</v>
      </c>
      <c r="E214" s="447">
        <f t="shared" si="76"/>
        <v>123.63224527525969</v>
      </c>
      <c r="F214" s="447">
        <f t="shared" si="76"/>
        <v>125.56449394154022</v>
      </c>
      <c r="G214" s="447">
        <f t="shared" si="76"/>
        <v>129.51645941915282</v>
      </c>
      <c r="H214" s="447">
        <f t="shared" si="76"/>
        <v>133.45739731029951</v>
      </c>
      <c r="I214" s="447">
        <f t="shared" si="76"/>
        <v>137.32644650450698</v>
      </c>
      <c r="J214" s="447">
        <f t="shared" si="76"/>
        <v>140.63031501731001</v>
      </c>
      <c r="K214" s="447">
        <f t="shared" si="76"/>
        <v>142.50121721410997</v>
      </c>
      <c r="L214" s="447">
        <f t="shared" si="76"/>
        <v>143.61951210336616</v>
      </c>
      <c r="M214" s="447">
        <f t="shared" si="76"/>
        <v>143.88427531173724</v>
      </c>
      <c r="N214" s="447">
        <f t="shared" si="76"/>
        <v>142.85005118654271</v>
      </c>
    </row>
    <row r="215" spans="1:14">
      <c r="B215" s="331" t="str">
        <f t="shared" si="72"/>
        <v>30-34</v>
      </c>
      <c r="C215" s="447">
        <f t="shared" si="74"/>
        <v>98.173702888990491</v>
      </c>
      <c r="D215" s="447">
        <f t="shared" ref="D215:N215" si="77">D113+D147+D181</f>
        <v>97.246513431547953</v>
      </c>
      <c r="E215" s="447">
        <f t="shared" si="77"/>
        <v>101.95389707831222</v>
      </c>
      <c r="F215" s="447">
        <f t="shared" si="77"/>
        <v>101.23936745416169</v>
      </c>
      <c r="G215" s="447">
        <f t="shared" si="77"/>
        <v>102.67783996424049</v>
      </c>
      <c r="H215" s="447">
        <f t="shared" si="77"/>
        <v>104.43653448158804</v>
      </c>
      <c r="I215" s="447">
        <f t="shared" si="77"/>
        <v>106.46682493603127</v>
      </c>
      <c r="J215" s="447">
        <f t="shared" si="77"/>
        <v>108.50524722687516</v>
      </c>
      <c r="K215" s="447">
        <f t="shared" si="77"/>
        <v>110.085887293773</v>
      </c>
      <c r="L215" s="447">
        <f t="shared" si="77"/>
        <v>111.34411231572273</v>
      </c>
      <c r="M215" s="447">
        <f t="shared" si="77"/>
        <v>112.1649640145878</v>
      </c>
      <c r="N215" s="447">
        <f t="shared" si="77"/>
        <v>112.29651290799946</v>
      </c>
    </row>
    <row r="216" spans="1:14">
      <c r="B216" s="331" t="str">
        <f t="shared" si="72"/>
        <v>35-39</v>
      </c>
      <c r="C216" s="447">
        <f t="shared" si="74"/>
        <v>89.853421145018359</v>
      </c>
      <c r="D216" s="447">
        <f t="shared" ref="D216:N216" si="78">D114+D148+D182</f>
        <v>89.440686113200499</v>
      </c>
      <c r="E216" s="447">
        <f t="shared" si="78"/>
        <v>94.309706799679262</v>
      </c>
      <c r="F216" s="447">
        <f t="shared" si="78"/>
        <v>93.751542866307204</v>
      </c>
      <c r="G216" s="447">
        <f t="shared" si="78"/>
        <v>94.905869882177711</v>
      </c>
      <c r="H216" s="447">
        <f t="shared" si="78"/>
        <v>96.145452023657242</v>
      </c>
      <c r="I216" s="447">
        <f t="shared" si="78"/>
        <v>97.529597695953285</v>
      </c>
      <c r="J216" s="447">
        <f t="shared" si="78"/>
        <v>98.951018132526485</v>
      </c>
      <c r="K216" s="447">
        <f t="shared" si="78"/>
        <v>100.14770475776957</v>
      </c>
      <c r="L216" s="447">
        <f t="shared" si="78"/>
        <v>101.22029770132851</v>
      </c>
      <c r="M216" s="447">
        <f t="shared" si="78"/>
        <v>102.07474085629278</v>
      </c>
      <c r="N216" s="447">
        <f t="shared" si="78"/>
        <v>102.52194421630647</v>
      </c>
    </row>
    <row r="217" spans="1:14">
      <c r="B217" s="331" t="str">
        <f t="shared" si="72"/>
        <v>40-44</v>
      </c>
      <c r="C217" s="447">
        <f t="shared" si="74"/>
        <v>73.192451255769086</v>
      </c>
      <c r="D217" s="447">
        <f t="shared" ref="D217:N217" si="79">D115+D149+D183</f>
        <v>73.234925711317445</v>
      </c>
      <c r="E217" s="447">
        <f t="shared" si="79"/>
        <v>77.642908470644713</v>
      </c>
      <c r="F217" s="447">
        <f t="shared" si="79"/>
        <v>77.619563683134302</v>
      </c>
      <c r="G217" s="447">
        <f t="shared" si="79"/>
        <v>78.907042823043895</v>
      </c>
      <c r="H217" s="447">
        <f t="shared" si="79"/>
        <v>80.150352310010135</v>
      </c>
      <c r="I217" s="447">
        <f t="shared" si="79"/>
        <v>81.394378332222786</v>
      </c>
      <c r="J217" s="447">
        <f t="shared" si="79"/>
        <v>82.576352349562129</v>
      </c>
      <c r="K217" s="447">
        <f t="shared" si="79"/>
        <v>83.530492976366205</v>
      </c>
      <c r="L217" s="447">
        <f t="shared" si="79"/>
        <v>84.369785329161544</v>
      </c>
      <c r="M217" s="447">
        <f t="shared" si="79"/>
        <v>85.051653085986743</v>
      </c>
      <c r="N217" s="447">
        <f t="shared" si="79"/>
        <v>85.4548938485094</v>
      </c>
    </row>
    <row r="218" spans="1:14">
      <c r="B218" s="331" t="str">
        <f t="shared" si="72"/>
        <v>45-49</v>
      </c>
      <c r="C218" s="447">
        <f t="shared" si="74"/>
        <v>97.667498836761567</v>
      </c>
      <c r="D218" s="447">
        <f t="shared" ref="D218:N218" si="80">D116+D150+D184</f>
        <v>91.492765170079124</v>
      </c>
      <c r="E218" s="447">
        <f t="shared" si="80"/>
        <v>92.73143318839341</v>
      </c>
      <c r="F218" s="447">
        <f t="shared" si="80"/>
        <v>89.773591182706042</v>
      </c>
      <c r="G218" s="447">
        <f t="shared" si="80"/>
        <v>89.295432673464006</v>
      </c>
      <c r="H218" s="447">
        <f t="shared" si="80"/>
        <v>89.361928421698536</v>
      </c>
      <c r="I218" s="447">
        <f t="shared" si="80"/>
        <v>89.829715495043487</v>
      </c>
      <c r="J218" s="447">
        <f t="shared" si="80"/>
        <v>90.497289912600721</v>
      </c>
      <c r="K218" s="447">
        <f t="shared" si="80"/>
        <v>91.099800019120408</v>
      </c>
      <c r="L218" s="447">
        <f t="shared" si="80"/>
        <v>91.69491985959155</v>
      </c>
      <c r="M218" s="447">
        <f t="shared" si="80"/>
        <v>92.203666114330943</v>
      </c>
      <c r="N218" s="447">
        <f t="shared" si="80"/>
        <v>92.482416061174888</v>
      </c>
    </row>
    <row r="219" spans="1:14">
      <c r="B219" s="331" t="str">
        <f t="shared" si="72"/>
        <v>50-54</v>
      </c>
      <c r="C219" s="447">
        <f t="shared" si="74"/>
        <v>112.59505770270333</v>
      </c>
      <c r="D219" s="447">
        <f t="shared" ref="D219:N219" si="81">D117+D151+D185</f>
        <v>105.25316758843476</v>
      </c>
      <c r="E219" s="447">
        <f t="shared" si="81"/>
        <v>104.03781838283751</v>
      </c>
      <c r="F219" s="447">
        <f t="shared" si="81"/>
        <v>98.892759401419042</v>
      </c>
      <c r="G219" s="447">
        <f t="shared" si="81"/>
        <v>96.213282141171746</v>
      </c>
      <c r="H219" s="447">
        <f t="shared" si="81"/>
        <v>94.348443001435982</v>
      </c>
      <c r="I219" s="447">
        <f t="shared" si="81"/>
        <v>93.196090036610528</v>
      </c>
      <c r="J219" s="447">
        <f t="shared" si="81"/>
        <v>92.545367392151775</v>
      </c>
      <c r="K219" s="447">
        <f t="shared" si="81"/>
        <v>92.09969753868171</v>
      </c>
      <c r="L219" s="447">
        <f t="shared" si="81"/>
        <v>91.871731853439826</v>
      </c>
      <c r="M219" s="447">
        <f t="shared" si="81"/>
        <v>91.740157096261271</v>
      </c>
      <c r="N219" s="447">
        <f t="shared" si="81"/>
        <v>91.52697404871175</v>
      </c>
    </row>
    <row r="220" spans="1:14">
      <c r="B220" s="331" t="str">
        <f t="shared" si="72"/>
        <v>55-59</v>
      </c>
      <c r="C220" s="447">
        <f t="shared" si="74"/>
        <v>147.18655407072941</v>
      </c>
      <c r="D220" s="447">
        <f t="shared" ref="D220:N220" si="82">D118+D152+D186</f>
        <v>134.66221140656071</v>
      </c>
      <c r="E220" s="447">
        <f t="shared" si="82"/>
        <v>127.0192838680324</v>
      </c>
      <c r="F220" s="447">
        <f t="shared" si="82"/>
        <v>119.43722145362104</v>
      </c>
      <c r="G220" s="447">
        <f t="shared" si="82"/>
        <v>114.21634264990153</v>
      </c>
      <c r="H220" s="447">
        <f t="shared" si="82"/>
        <v>110.35739659056975</v>
      </c>
      <c r="I220" s="447">
        <f t="shared" si="82"/>
        <v>107.61249503579391</v>
      </c>
      <c r="J220" s="447">
        <f t="shared" si="82"/>
        <v>105.65340870507505</v>
      </c>
      <c r="K220" s="447">
        <f t="shared" si="82"/>
        <v>104.07078194300978</v>
      </c>
      <c r="L220" s="447">
        <f t="shared" si="82"/>
        <v>102.90592537363516</v>
      </c>
      <c r="M220" s="447">
        <f t="shared" si="82"/>
        <v>101.98968394120757</v>
      </c>
      <c r="N220" s="447">
        <f t="shared" si="82"/>
        <v>101.0760566279811</v>
      </c>
    </row>
    <row r="221" spans="1:14">
      <c r="B221" s="331" t="str">
        <f t="shared" si="72"/>
        <v>60-64</v>
      </c>
      <c r="C221" s="447">
        <f t="shared" si="74"/>
        <v>75.587365930702902</v>
      </c>
      <c r="D221" s="447">
        <f t="shared" ref="D221:N221" si="83">D119+D153+D187</f>
        <v>75.325335598063987</v>
      </c>
      <c r="E221" s="447">
        <f t="shared" si="83"/>
        <v>72.906173342010391</v>
      </c>
      <c r="F221" s="447">
        <f t="shared" si="83"/>
        <v>69.208592412436005</v>
      </c>
      <c r="G221" s="447">
        <f t="shared" si="83"/>
        <v>66.140749682408767</v>
      </c>
      <c r="H221" s="447">
        <f t="shared" si="83"/>
        <v>63.656762569755031</v>
      </c>
      <c r="I221" s="447">
        <f t="shared" si="83"/>
        <v>61.765739638774228</v>
      </c>
      <c r="J221" s="447">
        <f t="shared" si="83"/>
        <v>60.305661285804348</v>
      </c>
      <c r="K221" s="447">
        <f t="shared" si="83"/>
        <v>59.016991119558924</v>
      </c>
      <c r="L221" s="447">
        <f t="shared" si="83"/>
        <v>57.988683223858395</v>
      </c>
      <c r="M221" s="447">
        <f t="shared" si="83"/>
        <v>57.118495694147093</v>
      </c>
      <c r="N221" s="447">
        <f t="shared" si="83"/>
        <v>56.239556891792517</v>
      </c>
    </row>
    <row r="222" spans="1:14">
      <c r="B222" s="331" t="str">
        <f t="shared" si="72"/>
        <v>65 plus</v>
      </c>
      <c r="C222" s="447">
        <f t="shared" si="74"/>
        <v>31.332989351021595</v>
      </c>
      <c r="D222" s="447">
        <f t="shared" ref="D222:N222" si="84">D120+D154+D188</f>
        <v>31.715582164904625</v>
      </c>
      <c r="E222" s="447">
        <f t="shared" si="84"/>
        <v>32.175832097918523</v>
      </c>
      <c r="F222" s="447">
        <f t="shared" si="84"/>
        <v>31.570946027850404</v>
      </c>
      <c r="G222" s="447">
        <f t="shared" si="84"/>
        <v>30.916986349908715</v>
      </c>
      <c r="H222" s="447">
        <f t="shared" si="84"/>
        <v>30.176556578871274</v>
      </c>
      <c r="I222" s="447">
        <f t="shared" si="84"/>
        <v>29.476054865937392</v>
      </c>
      <c r="J222" s="447">
        <f t="shared" si="84"/>
        <v>28.835856242628878</v>
      </c>
      <c r="K222" s="447">
        <f t="shared" si="84"/>
        <v>28.193699679170322</v>
      </c>
      <c r="L222" s="447">
        <f t="shared" si="84"/>
        <v>27.619212330837868</v>
      </c>
      <c r="M222" s="447">
        <f t="shared" si="84"/>
        <v>27.092460980406237</v>
      </c>
      <c r="N222" s="447">
        <f t="shared" si="84"/>
        <v>26.55017927153472</v>
      </c>
    </row>
    <row r="223" spans="1:14">
      <c r="B223" s="331" t="str">
        <f t="shared" si="72"/>
        <v>Total</v>
      </c>
      <c r="C223" s="447">
        <f>SUM(C213:C222)</f>
        <v>876.48848428175722</v>
      </c>
      <c r="D223" s="447">
        <f t="shared" ref="D223:N223" si="85">SUM(D213:D222)</f>
        <v>876.97581261722189</v>
      </c>
      <c r="E223" s="447">
        <f t="shared" si="85"/>
        <v>904.64651799156161</v>
      </c>
      <c r="F223" s="447">
        <f t="shared" si="85"/>
        <v>892.58797439963541</v>
      </c>
      <c r="G223" s="447">
        <f t="shared" si="85"/>
        <v>893.92485407343304</v>
      </c>
      <c r="H223" s="447">
        <f t="shared" si="85"/>
        <v>897.47906951528319</v>
      </c>
      <c r="I223" s="447">
        <f t="shared" si="85"/>
        <v>903.45730203006258</v>
      </c>
      <c r="J223" s="447">
        <f t="shared" si="85"/>
        <v>909.8568605742297</v>
      </c>
      <c r="K223" s="447">
        <f t="shared" si="85"/>
        <v>912.94764887685039</v>
      </c>
      <c r="L223" s="447">
        <f t="shared" si="85"/>
        <v>915.07920226802321</v>
      </c>
      <c r="M223" s="447">
        <f t="shared" si="85"/>
        <v>915.33127020012171</v>
      </c>
      <c r="N223" s="447">
        <f t="shared" si="85"/>
        <v>911.44763867651648</v>
      </c>
    </row>
    <row r="224" spans="1:14">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4">
      <c r="B226" s="334" t="s">
        <v>47</v>
      </c>
      <c r="C226" s="322"/>
      <c r="D226" s="322"/>
      <c r="E226" s="322"/>
      <c r="F226" s="322"/>
      <c r="G226" s="322"/>
      <c r="H226" s="332"/>
      <c r="I226" s="322"/>
      <c r="J226" s="322"/>
      <c r="K226" s="322"/>
      <c r="L226" s="322"/>
    </row>
    <row r="227" spans="1:14">
      <c r="C227" s="322"/>
      <c r="D227" s="322"/>
      <c r="E227" s="322"/>
      <c r="F227" s="322"/>
      <c r="G227" s="322"/>
      <c r="H227" s="332"/>
      <c r="I227" s="322"/>
      <c r="J227" s="322"/>
      <c r="K227" s="322"/>
      <c r="L227" s="322"/>
    </row>
    <row r="228" spans="1:14">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4">
      <c r="B229" s="331" t="str">
        <f t="shared" si="87"/>
        <v>20-24</v>
      </c>
      <c r="C229" s="447">
        <f t="shared" ref="C229:C238" si="89">C195+C161+C127</f>
        <v>24.39358514710035</v>
      </c>
      <c r="D229" s="447">
        <f t="shared" ref="D229:N229" si="90">D195+D161+D127</f>
        <v>35.242741159947428</v>
      </c>
      <c r="E229" s="447">
        <f t="shared" si="90"/>
        <v>40.791251331685245</v>
      </c>
      <c r="F229" s="447">
        <f t="shared" si="90"/>
        <v>45.07541059688527</v>
      </c>
      <c r="G229" s="447">
        <f t="shared" si="90"/>
        <v>47.400929186498985</v>
      </c>
      <c r="H229" s="447">
        <f t="shared" si="90"/>
        <v>49.258913336766582</v>
      </c>
      <c r="I229" s="447">
        <f t="shared" si="90"/>
        <v>50.848794665760956</v>
      </c>
      <c r="J229" s="447">
        <f t="shared" si="90"/>
        <v>52.035192386351675</v>
      </c>
      <c r="K229" s="447">
        <f t="shared" si="90"/>
        <v>52.463731478683421</v>
      </c>
      <c r="L229" s="447">
        <f t="shared" si="90"/>
        <v>52.606846027568217</v>
      </c>
      <c r="M229" s="447">
        <f t="shared" si="90"/>
        <v>52.420555608008421</v>
      </c>
      <c r="N229" s="447">
        <f t="shared" si="90"/>
        <v>51.68342737617548</v>
      </c>
    </row>
    <row r="230" spans="1:14">
      <c r="B230" s="331" t="str">
        <f t="shared" si="87"/>
        <v>25-29</v>
      </c>
      <c r="C230" s="447">
        <f t="shared" si="89"/>
        <v>62.577094444417718</v>
      </c>
      <c r="D230" s="447">
        <f t="shared" ref="D230:N230" si="91">D196+D162+D128</f>
        <v>66.563599300624205</v>
      </c>
      <c r="E230" s="447">
        <f t="shared" si="91"/>
        <v>69.257071532788586</v>
      </c>
      <c r="F230" s="447">
        <f t="shared" si="91"/>
        <v>72.25519793082708</v>
      </c>
      <c r="G230" s="447">
        <f t="shared" si="91"/>
        <v>73.982355080470271</v>
      </c>
      <c r="H230" s="447">
        <f t="shared" si="91"/>
        <v>75.794982944512896</v>
      </c>
      <c r="I230" s="447">
        <f t="shared" si="91"/>
        <v>77.65473890434285</v>
      </c>
      <c r="J230" s="447">
        <f t="shared" si="91"/>
        <v>79.286869274750842</v>
      </c>
      <c r="K230" s="447">
        <f t="shared" si="91"/>
        <v>80.213477446977066</v>
      </c>
      <c r="L230" s="447">
        <f t="shared" si="91"/>
        <v>80.773606443227379</v>
      </c>
      <c r="M230" s="447">
        <f t="shared" si="91"/>
        <v>80.899688378445788</v>
      </c>
      <c r="N230" s="447">
        <f t="shared" si="91"/>
        <v>80.343906415792802</v>
      </c>
    </row>
    <row r="231" spans="1:14">
      <c r="B231" s="331" t="str">
        <f t="shared" si="87"/>
        <v>30-34</v>
      </c>
      <c r="C231" s="447">
        <f t="shared" si="89"/>
        <v>62.30085291236913</v>
      </c>
      <c r="D231" s="447">
        <f t="shared" ref="D231:N231" si="92">D197+D163+D129</f>
        <v>63.422608384892072</v>
      </c>
      <c r="E231" s="447">
        <f t="shared" si="92"/>
        <v>64.366198665837402</v>
      </c>
      <c r="F231" s="447">
        <f t="shared" si="92"/>
        <v>65.436157511703499</v>
      </c>
      <c r="G231" s="447">
        <f t="shared" si="92"/>
        <v>65.748633263903642</v>
      </c>
      <c r="H231" s="447">
        <f t="shared" si="92"/>
        <v>66.355349016013918</v>
      </c>
      <c r="I231" s="447">
        <f t="shared" si="92"/>
        <v>67.211145372530822</v>
      </c>
      <c r="J231" s="447">
        <f t="shared" si="92"/>
        <v>68.145142615010187</v>
      </c>
      <c r="K231" s="447">
        <f t="shared" si="92"/>
        <v>68.866288996387439</v>
      </c>
      <c r="L231" s="447">
        <f t="shared" si="92"/>
        <v>69.446163585334375</v>
      </c>
      <c r="M231" s="447">
        <f t="shared" si="92"/>
        <v>69.805605059728293</v>
      </c>
      <c r="N231" s="447">
        <f t="shared" si="92"/>
        <v>69.783934644519775</v>
      </c>
    </row>
    <row r="232" spans="1:14">
      <c r="B232" s="331" t="str">
        <f t="shared" si="87"/>
        <v>35-39</v>
      </c>
      <c r="C232" s="447">
        <f t="shared" si="89"/>
        <v>52.734926586133774</v>
      </c>
      <c r="D232" s="447">
        <f t="shared" ref="D232:N232" si="93">D198+D164+D130</f>
        <v>54.852078007888473</v>
      </c>
      <c r="E232" s="447">
        <f t="shared" si="93"/>
        <v>56.50496491929772</v>
      </c>
      <c r="F232" s="447">
        <f t="shared" si="93"/>
        <v>57.797052313775126</v>
      </c>
      <c r="G232" s="447">
        <f t="shared" si="93"/>
        <v>58.137291542546102</v>
      </c>
      <c r="H232" s="447">
        <f t="shared" si="93"/>
        <v>58.521286451495804</v>
      </c>
      <c r="I232" s="447">
        <f t="shared" si="93"/>
        <v>59.001591133497655</v>
      </c>
      <c r="J232" s="447">
        <f t="shared" si="93"/>
        <v>59.527054608025871</v>
      </c>
      <c r="K232" s="447">
        <f t="shared" si="93"/>
        <v>59.952484165069521</v>
      </c>
      <c r="L232" s="447">
        <f t="shared" si="93"/>
        <v>60.338668063694655</v>
      </c>
      <c r="M232" s="447">
        <f t="shared" si="93"/>
        <v>60.631640612893122</v>
      </c>
      <c r="N232" s="447">
        <f t="shared" si="93"/>
        <v>60.720965043241044</v>
      </c>
    </row>
    <row r="233" spans="1:14">
      <c r="B233" s="331" t="str">
        <f t="shared" si="87"/>
        <v>40-44</v>
      </c>
      <c r="C233" s="447">
        <f t="shared" si="89"/>
        <v>50.170762345284992</v>
      </c>
      <c r="D233" s="447">
        <f t="shared" ref="D233:N233" si="94">D199+D165+D131</f>
        <v>51.072464200889939</v>
      </c>
      <c r="E233" s="447">
        <f t="shared" si="94"/>
        <v>52.10321995476135</v>
      </c>
      <c r="F233" s="447">
        <f t="shared" si="94"/>
        <v>53.068346422514217</v>
      </c>
      <c r="G233" s="447">
        <f t="shared" si="94"/>
        <v>53.291276943160348</v>
      </c>
      <c r="H233" s="447">
        <f t="shared" si="94"/>
        <v>53.584386913484515</v>
      </c>
      <c r="I233" s="447">
        <f t="shared" si="94"/>
        <v>53.948913790225781</v>
      </c>
      <c r="J233" s="447">
        <f t="shared" si="94"/>
        <v>54.327713193180109</v>
      </c>
      <c r="K233" s="447">
        <f t="shared" si="94"/>
        <v>54.604489535405484</v>
      </c>
      <c r="L233" s="447">
        <f t="shared" si="94"/>
        <v>54.846118238393728</v>
      </c>
      <c r="M233" s="447">
        <f t="shared" si="94"/>
        <v>55.021281030836953</v>
      </c>
      <c r="N233" s="447">
        <f t="shared" si="94"/>
        <v>55.049643813418314</v>
      </c>
    </row>
    <row r="234" spans="1:14">
      <c r="B234" s="331" t="str">
        <f t="shared" si="87"/>
        <v>45-49</v>
      </c>
      <c r="C234" s="447">
        <f t="shared" si="89"/>
        <v>46.32579514395799</v>
      </c>
      <c r="D234" s="447">
        <f t="shared" ref="D234:N234" si="95">D200+D166+D132</f>
        <v>47.999942616418721</v>
      </c>
      <c r="E234" s="447">
        <f t="shared" si="95"/>
        <v>49.404715937584584</v>
      </c>
      <c r="F234" s="447">
        <f t="shared" si="95"/>
        <v>50.53404332796125</v>
      </c>
      <c r="G234" s="447">
        <f t="shared" si="95"/>
        <v>50.860501640845889</v>
      </c>
      <c r="H234" s="447">
        <f t="shared" si="95"/>
        <v>51.203026668674156</v>
      </c>
      <c r="I234" s="447">
        <f t="shared" si="95"/>
        <v>51.582387876697332</v>
      </c>
      <c r="J234" s="447">
        <f t="shared" si="95"/>
        <v>51.952900481908074</v>
      </c>
      <c r="K234" s="447">
        <f t="shared" si="95"/>
        <v>52.211167027577247</v>
      </c>
      <c r="L234" s="447">
        <f t="shared" si="95"/>
        <v>52.419648250953948</v>
      </c>
      <c r="M234" s="447">
        <f t="shared" si="95"/>
        <v>52.554730886528247</v>
      </c>
      <c r="N234" s="447">
        <f t="shared" si="95"/>
        <v>52.550038949607696</v>
      </c>
    </row>
    <row r="235" spans="1:14">
      <c r="B235" s="331" t="str">
        <f t="shared" si="87"/>
        <v>50-54</v>
      </c>
      <c r="C235" s="447">
        <f t="shared" si="89"/>
        <v>52.790879057045473</v>
      </c>
      <c r="D235" s="447">
        <f t="shared" ref="D235:N235" si="96">D201+D167+D133</f>
        <v>51.945333831234677</v>
      </c>
      <c r="E235" s="447">
        <f t="shared" si="96"/>
        <v>51.652653982482974</v>
      </c>
      <c r="F235" s="447">
        <f t="shared" si="96"/>
        <v>51.631370114126504</v>
      </c>
      <c r="G235" s="447">
        <f t="shared" si="96"/>
        <v>51.264122873226029</v>
      </c>
      <c r="H235" s="447">
        <f t="shared" si="96"/>
        <v>51.140808871944358</v>
      </c>
      <c r="I235" s="447">
        <f t="shared" si="96"/>
        <v>51.202656612532905</v>
      </c>
      <c r="J235" s="447">
        <f t="shared" si="96"/>
        <v>51.355054930857186</v>
      </c>
      <c r="K235" s="447">
        <f t="shared" si="96"/>
        <v>51.465003177935749</v>
      </c>
      <c r="L235" s="447">
        <f t="shared" si="96"/>
        <v>51.568985821933381</v>
      </c>
      <c r="M235" s="447">
        <f t="shared" si="96"/>
        <v>51.628378578141245</v>
      </c>
      <c r="N235" s="447">
        <f t="shared" si="96"/>
        <v>51.56962407570046</v>
      </c>
    </row>
    <row r="236" spans="1:14">
      <c r="B236" s="331" t="str">
        <f t="shared" si="87"/>
        <v>55-59</v>
      </c>
      <c r="C236" s="447">
        <f t="shared" si="89"/>
        <v>53.997534215891008</v>
      </c>
      <c r="D236" s="447">
        <f t="shared" ref="D236:N236" si="97">D202+D168+D134</f>
        <v>56.909955947310777</v>
      </c>
      <c r="E236" s="447">
        <f t="shared" si="97"/>
        <v>57.761452525452228</v>
      </c>
      <c r="F236" s="447">
        <f t="shared" si="97"/>
        <v>58.014629492418649</v>
      </c>
      <c r="G236" s="447">
        <f t="shared" si="97"/>
        <v>57.745324963942615</v>
      </c>
      <c r="H236" s="447">
        <f t="shared" si="97"/>
        <v>57.534951283725228</v>
      </c>
      <c r="I236" s="447">
        <f t="shared" si="97"/>
        <v>57.459562749298868</v>
      </c>
      <c r="J236" s="447">
        <f t="shared" si="97"/>
        <v>57.466333900342022</v>
      </c>
      <c r="K236" s="447">
        <f t="shared" si="97"/>
        <v>57.414910409345609</v>
      </c>
      <c r="L236" s="447">
        <f t="shared" si="97"/>
        <v>57.379784809684104</v>
      </c>
      <c r="M236" s="447">
        <f t="shared" si="97"/>
        <v>57.313385957005366</v>
      </c>
      <c r="N236" s="447">
        <f t="shared" si="97"/>
        <v>57.118476626680412</v>
      </c>
    </row>
    <row r="237" spans="1:14">
      <c r="B237" s="331" t="str">
        <f t="shared" si="87"/>
        <v>60-64</v>
      </c>
      <c r="C237" s="447">
        <f t="shared" si="89"/>
        <v>24.849467853090232</v>
      </c>
      <c r="D237" s="447">
        <f t="shared" ref="D237:N237" si="98">D203+D169+D135</f>
        <v>29.158457423645146</v>
      </c>
      <c r="E237" s="447">
        <f t="shared" si="98"/>
        <v>31.453301678983486</v>
      </c>
      <c r="F237" s="447">
        <f t="shared" si="98"/>
        <v>32.83072593971076</v>
      </c>
      <c r="G237" s="447">
        <f t="shared" si="98"/>
        <v>33.434309605497575</v>
      </c>
      <c r="H237" s="447">
        <f t="shared" si="98"/>
        <v>33.744028791515404</v>
      </c>
      <c r="I237" s="447">
        <f t="shared" si="98"/>
        <v>33.930127916567393</v>
      </c>
      <c r="J237" s="447">
        <f t="shared" si="98"/>
        <v>34.032076439342518</v>
      </c>
      <c r="K237" s="447">
        <f t="shared" si="98"/>
        <v>33.996589898618588</v>
      </c>
      <c r="L237" s="447">
        <f t="shared" si="98"/>
        <v>33.932517296977345</v>
      </c>
      <c r="M237" s="447">
        <f t="shared" si="98"/>
        <v>33.825931570558055</v>
      </c>
      <c r="N237" s="447">
        <f t="shared" si="98"/>
        <v>33.614342266236513</v>
      </c>
    </row>
    <row r="238" spans="1:14">
      <c r="B238" s="331" t="str">
        <f t="shared" si="87"/>
        <v>65 plus</v>
      </c>
      <c r="C238" s="447">
        <f t="shared" si="89"/>
        <v>6.4148416627570803</v>
      </c>
      <c r="D238" s="447">
        <f t="shared" ref="D238:N238" si="99">D204+D170+D136</f>
        <v>8.9710008196217093</v>
      </c>
      <c r="E238" s="447">
        <f t="shared" si="99"/>
        <v>10.939294528666064</v>
      </c>
      <c r="F238" s="447">
        <f t="shared" si="99"/>
        <v>12.517116769183474</v>
      </c>
      <c r="G238" s="447">
        <f t="shared" si="99"/>
        <v>13.648229801626782</v>
      </c>
      <c r="H238" s="447">
        <f t="shared" si="99"/>
        <v>14.478145816288926</v>
      </c>
      <c r="I238" s="447">
        <f t="shared" si="99"/>
        <v>15.082606372793904</v>
      </c>
      <c r="J238" s="447">
        <f t="shared" si="99"/>
        <v>15.505558844946346</v>
      </c>
      <c r="K238" s="447">
        <f t="shared" si="99"/>
        <v>15.755374072208689</v>
      </c>
      <c r="L238" s="447">
        <f t="shared" si="99"/>
        <v>15.898415091234725</v>
      </c>
      <c r="M238" s="447">
        <f t="shared" si="99"/>
        <v>15.956232093386745</v>
      </c>
      <c r="N238" s="447">
        <f t="shared" si="99"/>
        <v>15.922951941816224</v>
      </c>
    </row>
    <row r="239" spans="1:14">
      <c r="B239" s="331" t="str">
        <f t="shared" si="87"/>
        <v>Total</v>
      </c>
      <c r="C239" s="447">
        <f>SUM(C229:C238)</f>
        <v>436.55573936804768</v>
      </c>
      <c r="D239" s="447">
        <f t="shared" ref="D239:N239" si="100">SUM(D229:D238)</f>
        <v>466.13818169247315</v>
      </c>
      <c r="E239" s="447">
        <f t="shared" si="100"/>
        <v>484.23412505753964</v>
      </c>
      <c r="F239" s="447">
        <f t="shared" si="100"/>
        <v>499.1600504191058</v>
      </c>
      <c r="G239" s="447">
        <f t="shared" si="100"/>
        <v>505.51297490171822</v>
      </c>
      <c r="H239" s="447">
        <f t="shared" si="100"/>
        <v>511.61588009442175</v>
      </c>
      <c r="I239" s="447">
        <f t="shared" si="100"/>
        <v>517.92252539424851</v>
      </c>
      <c r="J239" s="447">
        <f t="shared" si="100"/>
        <v>523.63389667471483</v>
      </c>
      <c r="K239" s="447">
        <f t="shared" si="100"/>
        <v>526.94351620820885</v>
      </c>
      <c r="L239" s="447">
        <f t="shared" si="100"/>
        <v>529.21075362900183</v>
      </c>
      <c r="M239" s="447">
        <f t="shared" si="100"/>
        <v>530.05742977553223</v>
      </c>
      <c r="N239" s="447">
        <f t="shared" si="100"/>
        <v>528.35731115318868</v>
      </c>
    </row>
    <row r="240" spans="1:14">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167.80275392258599</v>
      </c>
      <c r="D247" s="447">
        <f t="shared" ref="D247:N247" si="105">D77-D213</f>
        <v>291.42987888068825</v>
      </c>
      <c r="E247" s="447">
        <f t="shared" si="105"/>
        <v>346.07996225648782</v>
      </c>
      <c r="F247" s="447">
        <f t="shared" si="105"/>
        <v>387.21591636139709</v>
      </c>
      <c r="G247" s="447">
        <f t="shared" si="105"/>
        <v>412.59098315092609</v>
      </c>
      <c r="H247" s="447">
        <f t="shared" si="105"/>
        <v>431.84721261924949</v>
      </c>
      <c r="I247" s="447">
        <f t="shared" si="105"/>
        <v>447.5645546861503</v>
      </c>
      <c r="J247" s="447">
        <f t="shared" si="105"/>
        <v>458.86633314416554</v>
      </c>
      <c r="K247" s="447">
        <f t="shared" si="105"/>
        <v>462.69201124665869</v>
      </c>
      <c r="L247" s="447">
        <f t="shared" si="105"/>
        <v>463.79505886316349</v>
      </c>
      <c r="M247" s="447">
        <f t="shared" si="105"/>
        <v>461.8309121279533</v>
      </c>
      <c r="N247" s="447">
        <f t="shared" si="105"/>
        <v>454.7587939805955</v>
      </c>
    </row>
    <row r="248" spans="2:14">
      <c r="B248" s="331" t="str">
        <f t="shared" si="102"/>
        <v>25-29</v>
      </c>
      <c r="C248" s="447">
        <f t="shared" si="104"/>
        <v>739.51912435696272</v>
      </c>
      <c r="D248" s="447">
        <f t="shared" ref="D248:N248" si="106">D78-D214</f>
        <v>789.34678553949607</v>
      </c>
      <c r="E248" s="447">
        <f t="shared" si="106"/>
        <v>809.0705712602072</v>
      </c>
      <c r="F248" s="447">
        <f t="shared" si="106"/>
        <v>839.8309224147215</v>
      </c>
      <c r="G248" s="447">
        <f t="shared" si="106"/>
        <v>866.26341704938932</v>
      </c>
      <c r="H248" s="447">
        <f t="shared" si="106"/>
        <v>892.62215430390143</v>
      </c>
      <c r="I248" s="447">
        <f t="shared" si="106"/>
        <v>918.50006812842594</v>
      </c>
      <c r="J248" s="447">
        <f t="shared" si="106"/>
        <v>940.59780335233518</v>
      </c>
      <c r="K248" s="447">
        <f t="shared" si="106"/>
        <v>953.1112254859662</v>
      </c>
      <c r="L248" s="447">
        <f t="shared" si="106"/>
        <v>960.59087677029311</v>
      </c>
      <c r="M248" s="447">
        <f t="shared" si="106"/>
        <v>962.36173031756482</v>
      </c>
      <c r="N248" s="447">
        <f t="shared" si="106"/>
        <v>955.4443815210966</v>
      </c>
    </row>
    <row r="249" spans="2:14">
      <c r="B249" s="331" t="str">
        <f t="shared" si="102"/>
        <v>30-34</v>
      </c>
      <c r="C249" s="447">
        <f t="shared" si="104"/>
        <v>945.1203186285378</v>
      </c>
      <c r="D249" s="447">
        <f t="shared" ref="D249:N249" si="107">D79-D215</f>
        <v>974.562099021618</v>
      </c>
      <c r="E249" s="447">
        <f t="shared" si="107"/>
        <v>981.27147999032707</v>
      </c>
      <c r="F249" s="447">
        <f t="shared" si="107"/>
        <v>994.88699282233904</v>
      </c>
      <c r="G249" s="447">
        <f t="shared" si="107"/>
        <v>1009.0229719952417</v>
      </c>
      <c r="H249" s="447">
        <f t="shared" si="107"/>
        <v>1026.3057972800725</v>
      </c>
      <c r="I249" s="447">
        <f t="shared" si="107"/>
        <v>1046.2576165730118</v>
      </c>
      <c r="J249" s="447">
        <f t="shared" si="107"/>
        <v>1066.2893480430639</v>
      </c>
      <c r="K249" s="447">
        <f t="shared" si="107"/>
        <v>1081.8224186502316</v>
      </c>
      <c r="L249" s="447">
        <f t="shared" si="107"/>
        <v>1094.1870919967751</v>
      </c>
      <c r="M249" s="447">
        <f t="shared" si="107"/>
        <v>1102.2536643072622</v>
      </c>
      <c r="N249" s="447">
        <f t="shared" si="107"/>
        <v>1103.5464053255691</v>
      </c>
    </row>
    <row r="250" spans="2:14">
      <c r="B250" s="331" t="str">
        <f t="shared" si="102"/>
        <v>35-39</v>
      </c>
      <c r="C250" s="447">
        <f t="shared" si="104"/>
        <v>893.18867018713331</v>
      </c>
      <c r="D250" s="447">
        <f t="shared" ref="D250:N250" si="108">D80-D216</f>
        <v>925.23494373847518</v>
      </c>
      <c r="E250" s="447">
        <f t="shared" si="108"/>
        <v>937.25814786490275</v>
      </c>
      <c r="F250" s="447">
        <f t="shared" si="108"/>
        <v>951.15272818553979</v>
      </c>
      <c r="G250" s="447">
        <f t="shared" si="108"/>
        <v>962.86390921569318</v>
      </c>
      <c r="H250" s="447">
        <f t="shared" si="108"/>
        <v>975.44004289447071</v>
      </c>
      <c r="I250" s="447">
        <f t="shared" si="108"/>
        <v>989.482840401153</v>
      </c>
      <c r="J250" s="447">
        <f t="shared" si="108"/>
        <v>1003.9038076173752</v>
      </c>
      <c r="K250" s="447">
        <f t="shared" si="108"/>
        <v>1016.0447464604433</v>
      </c>
      <c r="L250" s="447">
        <f t="shared" si="108"/>
        <v>1026.9266975548746</v>
      </c>
      <c r="M250" s="447">
        <f t="shared" si="108"/>
        <v>1035.5954182295059</v>
      </c>
      <c r="N250" s="447">
        <f t="shared" si="108"/>
        <v>1040.1325029848717</v>
      </c>
    </row>
    <row r="251" spans="2:14">
      <c r="B251" s="331" t="str">
        <f t="shared" si="102"/>
        <v>40-44</v>
      </c>
      <c r="C251" s="447">
        <f t="shared" si="104"/>
        <v>821.97516046912267</v>
      </c>
      <c r="D251" s="447">
        <f t="shared" ref="D251:N251" si="109">D81-D217</f>
        <v>855.26694507025979</v>
      </c>
      <c r="E251" s="447">
        <f t="shared" si="109"/>
        <v>871.74684641513795</v>
      </c>
      <c r="F251" s="447">
        <f t="shared" si="109"/>
        <v>889.33232131373347</v>
      </c>
      <c r="G251" s="447">
        <f t="shared" si="109"/>
        <v>904.0837159081816</v>
      </c>
      <c r="H251" s="447">
        <f t="shared" si="109"/>
        <v>918.32903319273782</v>
      </c>
      <c r="I251" s="447">
        <f t="shared" si="109"/>
        <v>932.58256023684146</v>
      </c>
      <c r="J251" s="447">
        <f t="shared" si="109"/>
        <v>946.125121502247</v>
      </c>
      <c r="K251" s="447">
        <f t="shared" si="109"/>
        <v>957.05726358384197</v>
      </c>
      <c r="L251" s="447">
        <f t="shared" si="109"/>
        <v>966.6735224360483</v>
      </c>
      <c r="M251" s="447">
        <f t="shared" si="109"/>
        <v>974.48607646536334</v>
      </c>
      <c r="N251" s="447">
        <f t="shared" si="109"/>
        <v>979.10623955783524</v>
      </c>
    </row>
    <row r="252" spans="2:14">
      <c r="B252" s="331" t="str">
        <f t="shared" si="102"/>
        <v>45-49</v>
      </c>
      <c r="C252" s="447">
        <f t="shared" si="104"/>
        <v>849.16435128915555</v>
      </c>
      <c r="D252" s="447">
        <f t="shared" ref="D252:N252" si="110">D82-D218</f>
        <v>827.7261852864051</v>
      </c>
      <c r="E252" s="447">
        <f t="shared" si="110"/>
        <v>806.05217393844111</v>
      </c>
      <c r="F252" s="447">
        <f t="shared" si="110"/>
        <v>796.58125400757683</v>
      </c>
      <c r="G252" s="447">
        <f t="shared" si="110"/>
        <v>792.33844607388028</v>
      </c>
      <c r="H252" s="447">
        <f t="shared" si="110"/>
        <v>792.92847779498004</v>
      </c>
      <c r="I252" s="447">
        <f t="shared" si="110"/>
        <v>797.0792576466547</v>
      </c>
      <c r="J252" s="447">
        <f t="shared" si="110"/>
        <v>803.00279551202584</v>
      </c>
      <c r="K252" s="447">
        <f t="shared" si="110"/>
        <v>808.34900312030709</v>
      </c>
      <c r="L252" s="447">
        <f t="shared" si="110"/>
        <v>813.62963523674398</v>
      </c>
      <c r="M252" s="447">
        <f t="shared" si="110"/>
        <v>818.14385511179819</v>
      </c>
      <c r="N252" s="447">
        <f t="shared" si="110"/>
        <v>820.61726604797855</v>
      </c>
    </row>
    <row r="253" spans="2:14">
      <c r="B253" s="331" t="str">
        <f t="shared" si="102"/>
        <v>50-54</v>
      </c>
      <c r="C253" s="447">
        <f t="shared" si="104"/>
        <v>734.40359776821674</v>
      </c>
      <c r="D253" s="447">
        <f t="shared" ref="D253:N253" si="111">D83-D219</f>
        <v>709.20535751827686</v>
      </c>
      <c r="E253" s="447">
        <f t="shared" si="111"/>
        <v>678.45343034299083</v>
      </c>
      <c r="F253" s="447">
        <f t="shared" si="111"/>
        <v>655.88333440958093</v>
      </c>
      <c r="G253" s="447">
        <f t="shared" si="111"/>
        <v>638.11232174330462</v>
      </c>
      <c r="H253" s="447">
        <f t="shared" si="111"/>
        <v>625.74420783374535</v>
      </c>
      <c r="I253" s="447">
        <f t="shared" si="111"/>
        <v>618.10149354848045</v>
      </c>
      <c r="J253" s="447">
        <f t="shared" si="111"/>
        <v>613.78572624249409</v>
      </c>
      <c r="K253" s="447">
        <f t="shared" si="111"/>
        <v>610.82992410582528</v>
      </c>
      <c r="L253" s="447">
        <f t="shared" si="111"/>
        <v>609.31799446939476</v>
      </c>
      <c r="M253" s="447">
        <f t="shared" si="111"/>
        <v>608.44535535016348</v>
      </c>
      <c r="N253" s="447">
        <f t="shared" si="111"/>
        <v>607.03146813624915</v>
      </c>
    </row>
    <row r="254" spans="2:14">
      <c r="B254" s="331" t="str">
        <f t="shared" si="102"/>
        <v>55-59</v>
      </c>
      <c r="C254" s="447">
        <f t="shared" si="104"/>
        <v>397.33010380960985</v>
      </c>
      <c r="D254" s="447">
        <f t="shared" ref="D254:N254" si="112">D84-D220</f>
        <v>368.42859523842765</v>
      </c>
      <c r="E254" s="447">
        <f t="shared" si="112"/>
        <v>342.86008594905519</v>
      </c>
      <c r="F254" s="447">
        <f t="shared" si="112"/>
        <v>324.6570158290836</v>
      </c>
      <c r="G254" s="447">
        <f t="shared" si="112"/>
        <v>310.46550239807937</v>
      </c>
      <c r="H254" s="447">
        <f t="shared" si="112"/>
        <v>299.97602603032448</v>
      </c>
      <c r="I254" s="447">
        <f t="shared" si="112"/>
        <v>292.51477118303069</v>
      </c>
      <c r="J254" s="447">
        <f t="shared" si="112"/>
        <v>287.18953743979836</v>
      </c>
      <c r="K254" s="447">
        <f t="shared" si="112"/>
        <v>282.88760479694236</v>
      </c>
      <c r="L254" s="447">
        <f t="shared" si="112"/>
        <v>279.72126474750536</v>
      </c>
      <c r="M254" s="447">
        <f t="shared" si="112"/>
        <v>277.23071610939587</v>
      </c>
      <c r="N254" s="447">
        <f t="shared" si="112"/>
        <v>274.74727323051718</v>
      </c>
    </row>
    <row r="255" spans="2:14">
      <c r="B255" s="331" t="str">
        <f t="shared" si="102"/>
        <v>60-64</v>
      </c>
      <c r="C255" s="447">
        <f t="shared" si="104"/>
        <v>120.74187068258266</v>
      </c>
      <c r="D255" s="447">
        <f t="shared" ref="D255:N255" si="113">D85-D221</f>
        <v>121.76380601441849</v>
      </c>
      <c r="E255" s="447">
        <f t="shared" si="113"/>
        <v>116.45038670099365</v>
      </c>
      <c r="F255" s="447">
        <f t="shared" si="113"/>
        <v>111.23326585822925</v>
      </c>
      <c r="G255" s="447">
        <f t="shared" si="113"/>
        <v>106.30257511441579</v>
      </c>
      <c r="H255" s="447">
        <f t="shared" si="113"/>
        <v>102.31026737835238</v>
      </c>
      <c r="I255" s="447">
        <f t="shared" si="113"/>
        <v>99.270982094636679</v>
      </c>
      <c r="J255" s="447">
        <f t="shared" si="113"/>
        <v>96.924318509255585</v>
      </c>
      <c r="K255" s="447">
        <f t="shared" si="113"/>
        <v>94.853145173561671</v>
      </c>
      <c r="L255" s="447">
        <f t="shared" si="113"/>
        <v>93.200430654171726</v>
      </c>
      <c r="M255" s="447">
        <f t="shared" si="113"/>
        <v>91.801849965489794</v>
      </c>
      <c r="N255" s="447">
        <f t="shared" si="113"/>
        <v>90.389204077638254</v>
      </c>
    </row>
    <row r="256" spans="2:14">
      <c r="B256" s="331" t="str">
        <f t="shared" si="102"/>
        <v>65 plus</v>
      </c>
      <c r="C256" s="447">
        <f t="shared" si="104"/>
        <v>41.957505664679459</v>
      </c>
      <c r="D256" s="447">
        <f t="shared" ref="D256:N256" si="114">D86-D222</f>
        <v>43.229495491658732</v>
      </c>
      <c r="E256" s="447">
        <f t="shared" si="114"/>
        <v>43.081404849725793</v>
      </c>
      <c r="F256" s="447">
        <f t="shared" si="114"/>
        <v>42.664549815400854</v>
      </c>
      <c r="G256" s="447">
        <f t="shared" si="114"/>
        <v>41.78079754417675</v>
      </c>
      <c r="H256" s="447">
        <f t="shared" si="114"/>
        <v>40.780190757691301</v>
      </c>
      <c r="I256" s="447">
        <f t="shared" si="114"/>
        <v>39.833542209343186</v>
      </c>
      <c r="J256" s="447">
        <f t="shared" si="114"/>
        <v>38.968386441384823</v>
      </c>
      <c r="K256" s="447">
        <f t="shared" si="114"/>
        <v>38.100584739567097</v>
      </c>
      <c r="L256" s="447">
        <f t="shared" si="114"/>
        <v>37.324230300595715</v>
      </c>
      <c r="M256" s="447">
        <f t="shared" si="114"/>
        <v>36.612385644087958</v>
      </c>
      <c r="N256" s="447">
        <f t="shared" si="114"/>
        <v>35.879553471060277</v>
      </c>
    </row>
    <row r="257" spans="1:14">
      <c r="B257" s="331" t="str">
        <f t="shared" si="102"/>
        <v>Total</v>
      </c>
      <c r="C257" s="447">
        <f>SUM(C247:C256)</f>
        <v>5711.2034567785868</v>
      </c>
      <c r="D257" s="447">
        <f t="shared" ref="D257:N257" si="115">SUM(D247:D256)</f>
        <v>5906.1940917997244</v>
      </c>
      <c r="E257" s="447">
        <f t="shared" si="115"/>
        <v>5932.3244895682692</v>
      </c>
      <c r="F257" s="447">
        <f t="shared" si="115"/>
        <v>5993.4383010176025</v>
      </c>
      <c r="G257" s="447">
        <f t="shared" si="115"/>
        <v>6043.8246401932893</v>
      </c>
      <c r="H257" s="447">
        <f t="shared" si="115"/>
        <v>6106.2834100855252</v>
      </c>
      <c r="I257" s="447">
        <f t="shared" si="115"/>
        <v>6181.1876867077272</v>
      </c>
      <c r="J257" s="447">
        <f t="shared" si="115"/>
        <v>6255.6531778041453</v>
      </c>
      <c r="K257" s="447">
        <f t="shared" si="115"/>
        <v>6305.7479273633462</v>
      </c>
      <c r="L257" s="447">
        <f t="shared" si="115"/>
        <v>6345.3668030295667</v>
      </c>
      <c r="M257" s="447">
        <f t="shared" si="115"/>
        <v>6368.7619636285854</v>
      </c>
      <c r="N257" s="447">
        <f t="shared" si="115"/>
        <v>6361.6530883334117</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143.40801636906741</v>
      </c>
      <c r="D263" s="447">
        <f t="shared" ref="D263:N263" si="120">D93-D229</f>
        <v>205.99713415550573</v>
      </c>
      <c r="E263" s="447">
        <f t="shared" si="120"/>
        <v>233.85673202223188</v>
      </c>
      <c r="F263" s="447">
        <f t="shared" si="120"/>
        <v>254.56584383485097</v>
      </c>
      <c r="G263" s="447">
        <f t="shared" si="120"/>
        <v>267.69933711376859</v>
      </c>
      <c r="H263" s="447">
        <f t="shared" si="120"/>
        <v>278.19240410487294</v>
      </c>
      <c r="I263" s="447">
        <f t="shared" si="120"/>
        <v>287.17134576626501</v>
      </c>
      <c r="J263" s="447">
        <f t="shared" si="120"/>
        <v>293.87159170671549</v>
      </c>
      <c r="K263" s="447">
        <f t="shared" si="120"/>
        <v>296.29178964193278</v>
      </c>
      <c r="L263" s="447">
        <f t="shared" si="120"/>
        <v>297.1000368751686</v>
      </c>
      <c r="M263" s="447">
        <f t="shared" si="120"/>
        <v>296.04795155357942</v>
      </c>
      <c r="N263" s="447">
        <f t="shared" si="120"/>
        <v>291.88497959467264</v>
      </c>
    </row>
    <row r="264" spans="1:14">
      <c r="B264" s="331" t="str">
        <f t="shared" si="117"/>
        <v>25-29</v>
      </c>
      <c r="C264" s="447">
        <f t="shared" si="119"/>
        <v>476.69503687490698</v>
      </c>
      <c r="D264" s="447">
        <f t="shared" ref="D264:N264" si="121">D94-D230</f>
        <v>504.24496538318317</v>
      </c>
      <c r="E264" s="447">
        <f t="shared" si="121"/>
        <v>514.93399543271539</v>
      </c>
      <c r="F264" s="447">
        <f t="shared" si="121"/>
        <v>529.49722914800873</v>
      </c>
      <c r="G264" s="447">
        <f t="shared" si="121"/>
        <v>542.15410299554503</v>
      </c>
      <c r="H264" s="447">
        <f t="shared" si="121"/>
        <v>555.43731941418764</v>
      </c>
      <c r="I264" s="447">
        <f t="shared" si="121"/>
        <v>569.06589778392913</v>
      </c>
      <c r="J264" s="447">
        <f t="shared" si="121"/>
        <v>581.02640074409942</v>
      </c>
      <c r="K264" s="447">
        <f t="shared" si="121"/>
        <v>587.81672827416014</v>
      </c>
      <c r="L264" s="447">
        <f t="shared" si="121"/>
        <v>591.92143990700265</v>
      </c>
      <c r="M264" s="447">
        <f t="shared" si="121"/>
        <v>592.84538776481179</v>
      </c>
      <c r="N264" s="447">
        <f t="shared" si="121"/>
        <v>588.77253186430016</v>
      </c>
    </row>
    <row r="265" spans="1:14">
      <c r="B265" s="331" t="str">
        <f t="shared" si="117"/>
        <v>30-34</v>
      </c>
      <c r="C265" s="447">
        <f t="shared" si="119"/>
        <v>603.97788674464118</v>
      </c>
      <c r="D265" s="447">
        <f t="shared" ref="D265:N265" si="122">D95-D231</f>
        <v>611.52334349164607</v>
      </c>
      <c r="E265" s="447">
        <f t="shared" si="122"/>
        <v>609.42594086536826</v>
      </c>
      <c r="F265" s="447">
        <f t="shared" si="122"/>
        <v>610.87798479230912</v>
      </c>
      <c r="G265" s="447">
        <f t="shared" si="122"/>
        <v>613.79509614265612</v>
      </c>
      <c r="H265" s="447">
        <f t="shared" si="122"/>
        <v>619.45907933000308</v>
      </c>
      <c r="I265" s="447">
        <f t="shared" si="122"/>
        <v>627.44834968971429</v>
      </c>
      <c r="J265" s="447">
        <f t="shared" si="122"/>
        <v>636.1676629101662</v>
      </c>
      <c r="K265" s="447">
        <f t="shared" si="122"/>
        <v>642.89991102722911</v>
      </c>
      <c r="L265" s="447">
        <f t="shared" si="122"/>
        <v>648.31331905420302</v>
      </c>
      <c r="M265" s="447">
        <f t="shared" si="122"/>
        <v>651.66887799712003</v>
      </c>
      <c r="N265" s="447">
        <f t="shared" si="122"/>
        <v>651.46657425442504</v>
      </c>
    </row>
    <row r="266" spans="1:14">
      <c r="B266" s="331" t="str">
        <f t="shared" si="117"/>
        <v>35-39</v>
      </c>
      <c r="C266" s="447">
        <f t="shared" si="119"/>
        <v>553.22754885056838</v>
      </c>
      <c r="D266" s="447">
        <f t="shared" ref="D266:N266" si="123">D96-D232</f>
        <v>572.36518670676082</v>
      </c>
      <c r="E266" s="447">
        <f t="shared" si="123"/>
        <v>579.12313186130586</v>
      </c>
      <c r="F266" s="447">
        <f t="shared" si="123"/>
        <v>584.1831826130084</v>
      </c>
      <c r="G266" s="447">
        <f t="shared" si="123"/>
        <v>587.62214753520129</v>
      </c>
      <c r="H266" s="447">
        <f t="shared" si="123"/>
        <v>591.50337259836886</v>
      </c>
      <c r="I266" s="447">
        <f t="shared" si="123"/>
        <v>596.35804782008245</v>
      </c>
      <c r="J266" s="447">
        <f t="shared" si="123"/>
        <v>601.66916512811201</v>
      </c>
      <c r="K266" s="447">
        <f t="shared" si="123"/>
        <v>605.9691905214861</v>
      </c>
      <c r="L266" s="447">
        <f t="shared" si="123"/>
        <v>609.87254077796558</v>
      </c>
      <c r="M266" s="447">
        <f t="shared" si="123"/>
        <v>612.83375816462137</v>
      </c>
      <c r="N266" s="447">
        <f t="shared" si="123"/>
        <v>613.73660403507256</v>
      </c>
    </row>
    <row r="267" spans="1:14">
      <c r="B267" s="331" t="str">
        <f t="shared" si="117"/>
        <v>40-44</v>
      </c>
      <c r="C267" s="447">
        <f t="shared" si="119"/>
        <v>529.72801140690683</v>
      </c>
      <c r="D267" s="447">
        <f t="shared" ref="D267:N267" si="124">D97-D233</f>
        <v>536.38286451124554</v>
      </c>
      <c r="E267" s="447">
        <f t="shared" si="124"/>
        <v>537.51923755477208</v>
      </c>
      <c r="F267" s="447">
        <f t="shared" si="124"/>
        <v>539.94883262990754</v>
      </c>
      <c r="G267" s="447">
        <f t="shared" si="124"/>
        <v>542.21705997247614</v>
      </c>
      <c r="H267" s="447">
        <f t="shared" si="124"/>
        <v>545.19933466120813</v>
      </c>
      <c r="I267" s="447">
        <f t="shared" si="124"/>
        <v>548.90824731493217</v>
      </c>
      <c r="J267" s="447">
        <f t="shared" si="124"/>
        <v>552.76237711573037</v>
      </c>
      <c r="K267" s="447">
        <f t="shared" si="124"/>
        <v>555.57846378431304</v>
      </c>
      <c r="L267" s="447">
        <f t="shared" si="124"/>
        <v>558.03693752437721</v>
      </c>
      <c r="M267" s="447">
        <f t="shared" si="124"/>
        <v>559.81914766800799</v>
      </c>
      <c r="N267" s="447">
        <f t="shared" si="124"/>
        <v>560.10772744064695</v>
      </c>
    </row>
    <row r="268" spans="1:14">
      <c r="B268" s="331" t="str">
        <f t="shared" si="117"/>
        <v>45-49</v>
      </c>
      <c r="C268" s="447">
        <f t="shared" si="119"/>
        <v>439.36490344987408</v>
      </c>
      <c r="D268" s="447">
        <f t="shared" ref="D268:N268" si="125">D98-D234</f>
        <v>452.8163701820485</v>
      </c>
      <c r="E268" s="447">
        <f t="shared" si="125"/>
        <v>457.79028710186469</v>
      </c>
      <c r="F268" s="447">
        <f t="shared" si="125"/>
        <v>461.7950583412632</v>
      </c>
      <c r="G268" s="447">
        <f t="shared" si="125"/>
        <v>464.77833111574023</v>
      </c>
      <c r="H268" s="447">
        <f t="shared" si="125"/>
        <v>467.90842629104111</v>
      </c>
      <c r="I268" s="447">
        <f t="shared" si="125"/>
        <v>471.37514139346285</v>
      </c>
      <c r="J268" s="447">
        <f t="shared" si="125"/>
        <v>474.76099534203843</v>
      </c>
      <c r="K268" s="447">
        <f t="shared" si="125"/>
        <v>477.12111154629434</v>
      </c>
      <c r="L268" s="447">
        <f t="shared" si="125"/>
        <v>479.02627472683548</v>
      </c>
      <c r="M268" s="447">
        <f t="shared" si="125"/>
        <v>480.26069986814235</v>
      </c>
      <c r="N268" s="447">
        <f t="shared" si="125"/>
        <v>480.21782355860387</v>
      </c>
    </row>
    <row r="269" spans="1:14">
      <c r="B269" s="331" t="str">
        <f t="shared" si="117"/>
        <v>50-54</v>
      </c>
      <c r="C269" s="447">
        <f t="shared" si="119"/>
        <v>382.55994033459922</v>
      </c>
      <c r="D269" s="447">
        <f t="shared" ref="D269:N269" si="126">D99-D235</f>
        <v>374.78748486662818</v>
      </c>
      <c r="E269" s="447">
        <f t="shared" si="126"/>
        <v>367.23081477863525</v>
      </c>
      <c r="F269" s="447">
        <f t="shared" si="126"/>
        <v>362.90325469372294</v>
      </c>
      <c r="G269" s="447">
        <f t="shared" si="126"/>
        <v>360.3219708985132</v>
      </c>
      <c r="H269" s="447">
        <f t="shared" si="126"/>
        <v>359.45522937460032</v>
      </c>
      <c r="I269" s="447">
        <f t="shared" si="126"/>
        <v>359.88994079723795</v>
      </c>
      <c r="J269" s="447">
        <f t="shared" si="126"/>
        <v>360.9611082988456</v>
      </c>
      <c r="K269" s="447">
        <f t="shared" si="126"/>
        <v>361.73390546894751</v>
      </c>
      <c r="L269" s="447">
        <f t="shared" si="126"/>
        <v>362.46477199166395</v>
      </c>
      <c r="M269" s="447">
        <f t="shared" si="126"/>
        <v>362.88222797792628</v>
      </c>
      <c r="N269" s="447">
        <f t="shared" si="126"/>
        <v>362.46925810870647</v>
      </c>
    </row>
    <row r="270" spans="1:14">
      <c r="B270" s="331" t="str">
        <f t="shared" si="117"/>
        <v>55-59</v>
      </c>
      <c r="C270" s="447">
        <f t="shared" si="119"/>
        <v>165.14002174735271</v>
      </c>
      <c r="D270" s="447">
        <f t="shared" ref="D270:N270" si="127">D100-D236</f>
        <v>173.74808669455794</v>
      </c>
      <c r="E270" s="447">
        <f t="shared" si="127"/>
        <v>175.32643086174153</v>
      </c>
      <c r="F270" s="447">
        <f t="shared" si="127"/>
        <v>175.29581092940992</v>
      </c>
      <c r="G270" s="447">
        <f t="shared" si="127"/>
        <v>174.48208590661483</v>
      </c>
      <c r="H270" s="447">
        <f t="shared" si="127"/>
        <v>173.84642512252361</v>
      </c>
      <c r="I270" s="447">
        <f t="shared" si="127"/>
        <v>173.61863267788215</v>
      </c>
      <c r="J270" s="447">
        <f t="shared" si="127"/>
        <v>173.63909224857008</v>
      </c>
      <c r="K270" s="447">
        <f t="shared" si="127"/>
        <v>173.48371208611957</v>
      </c>
      <c r="L270" s="447">
        <f t="shared" si="127"/>
        <v>173.37757729682733</v>
      </c>
      <c r="M270" s="447">
        <f t="shared" si="127"/>
        <v>173.17694788960819</v>
      </c>
      <c r="N270" s="447">
        <f t="shared" si="127"/>
        <v>172.58801386700125</v>
      </c>
    </row>
    <row r="271" spans="1:14">
      <c r="B271" s="331" t="str">
        <f t="shared" si="117"/>
        <v>60-64</v>
      </c>
      <c r="C271" s="447">
        <f t="shared" si="119"/>
        <v>42.885853392425787</v>
      </c>
      <c r="D271" s="447">
        <f t="shared" ref="D271:N271" si="128">D101-D237</f>
        <v>50.262083884850568</v>
      </c>
      <c r="E271" s="447">
        <f t="shared" si="128"/>
        <v>53.998263202064173</v>
      </c>
      <c r="F271" s="447">
        <f t="shared" si="128"/>
        <v>56.18387423175659</v>
      </c>
      <c r="G271" s="447">
        <f t="shared" si="128"/>
        <v>57.216798962972788</v>
      </c>
      <c r="H271" s="447">
        <f t="shared" si="128"/>
        <v>57.746827565640402</v>
      </c>
      <c r="I271" s="447">
        <f t="shared" si="128"/>
        <v>58.065302699445276</v>
      </c>
      <c r="J271" s="447">
        <f t="shared" si="128"/>
        <v>58.239769234002864</v>
      </c>
      <c r="K271" s="447">
        <f t="shared" si="128"/>
        <v>58.179040411112545</v>
      </c>
      <c r="L271" s="447">
        <f t="shared" si="128"/>
        <v>58.069391693660371</v>
      </c>
      <c r="M271" s="447">
        <f t="shared" si="128"/>
        <v>57.886989420282717</v>
      </c>
      <c r="N271" s="447">
        <f t="shared" si="128"/>
        <v>57.524892435750097</v>
      </c>
    </row>
    <row r="272" spans="1:14">
      <c r="B272" s="331" t="str">
        <f t="shared" si="117"/>
        <v>65 plus</v>
      </c>
      <c r="C272" s="447">
        <f t="shared" si="119"/>
        <v>11.817544087343023</v>
      </c>
      <c r="D272" s="447">
        <f t="shared" ref="D272:N272" si="129">D102-D238</f>
        <v>16.502814598750966</v>
      </c>
      <c r="E272" s="447">
        <f t="shared" si="129"/>
        <v>20.026065214995679</v>
      </c>
      <c r="F272" s="447">
        <f t="shared" si="129"/>
        <v>22.827350132438198</v>
      </c>
      <c r="G272" s="447">
        <f t="shared" si="129"/>
        <v>24.890150512675575</v>
      </c>
      <c r="H272" s="447">
        <f t="shared" si="129"/>
        <v>26.403660676122445</v>
      </c>
      <c r="I272" s="447">
        <f t="shared" si="129"/>
        <v>27.506009804841781</v>
      </c>
      <c r="J272" s="447">
        <f t="shared" si="129"/>
        <v>28.277344318151908</v>
      </c>
      <c r="K272" s="447">
        <f t="shared" si="129"/>
        <v>28.732930038592876</v>
      </c>
      <c r="L272" s="447">
        <f t="shared" si="129"/>
        <v>28.993792622590405</v>
      </c>
      <c r="M272" s="447">
        <f t="shared" si="129"/>
        <v>29.099232954902511</v>
      </c>
      <c r="N272" s="447">
        <f t="shared" si="129"/>
        <v>29.038540250155108</v>
      </c>
    </row>
    <row r="273" spans="1:15">
      <c r="B273" s="331" t="str">
        <f t="shared" si="117"/>
        <v>Total</v>
      </c>
      <c r="C273" s="447">
        <f>SUM(C263:C272)</f>
        <v>3348.8047632576854</v>
      </c>
      <c r="D273" s="447">
        <f t="shared" ref="D273:N273" si="130">SUM(D263:D272)</f>
        <v>3498.6303344751777</v>
      </c>
      <c r="E273" s="447">
        <f t="shared" si="130"/>
        <v>3549.2308988956943</v>
      </c>
      <c r="F273" s="447">
        <f t="shared" si="130"/>
        <v>3598.078421346675</v>
      </c>
      <c r="G273" s="447">
        <f t="shared" si="130"/>
        <v>3635.1770811561637</v>
      </c>
      <c r="H273" s="447">
        <f t="shared" si="130"/>
        <v>3675.1520791385688</v>
      </c>
      <c r="I273" s="447">
        <f t="shared" si="130"/>
        <v>3719.4069157477929</v>
      </c>
      <c r="J273" s="447">
        <f t="shared" si="130"/>
        <v>3761.3755070464322</v>
      </c>
      <c r="K273" s="447">
        <f t="shared" si="130"/>
        <v>3787.8067828001876</v>
      </c>
      <c r="L273" s="447">
        <f t="shared" si="130"/>
        <v>3807.1760824702947</v>
      </c>
      <c r="M273" s="447">
        <f t="shared" si="130"/>
        <v>3816.5212212590027</v>
      </c>
      <c r="N273" s="447">
        <f t="shared" si="130"/>
        <v>3807.8069454093347</v>
      </c>
    </row>
    <row r="274" spans="1:15">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5" ht="15.75">
      <c r="B275" s="333"/>
      <c r="H275" s="320"/>
    </row>
    <row r="276" spans="1:15" ht="15.75">
      <c r="B276" s="333" t="s">
        <v>528</v>
      </c>
      <c r="H276" s="320"/>
    </row>
    <row r="277" spans="1:15" ht="15.75">
      <c r="B277" s="333"/>
      <c r="H277" s="320"/>
    </row>
    <row r="278" spans="1:15"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5">
      <c r="B279" s="319" t="s">
        <v>228</v>
      </c>
      <c r="C279" s="447">
        <f>C223+C239</f>
        <v>1313.044223649805</v>
      </c>
      <c r="D279" s="447">
        <f t="shared" ref="D279:N279" si="133">D223+D239</f>
        <v>1343.113994309695</v>
      </c>
      <c r="E279" s="447">
        <f t="shared" si="133"/>
        <v>1388.8806430491013</v>
      </c>
      <c r="F279" s="447">
        <f t="shared" si="133"/>
        <v>1391.7480248187412</v>
      </c>
      <c r="G279" s="447">
        <f t="shared" si="133"/>
        <v>1399.4378289751512</v>
      </c>
      <c r="H279" s="447">
        <f t="shared" si="133"/>
        <v>1409.0949496097051</v>
      </c>
      <c r="I279" s="447">
        <f t="shared" si="133"/>
        <v>1421.3798274243111</v>
      </c>
      <c r="J279" s="447">
        <f t="shared" si="133"/>
        <v>1433.4907572489446</v>
      </c>
      <c r="K279" s="447">
        <f t="shared" si="133"/>
        <v>1439.8911650850591</v>
      </c>
      <c r="L279" s="447">
        <f t="shared" si="133"/>
        <v>1444.289955897025</v>
      </c>
      <c r="M279" s="447">
        <f t="shared" si="133"/>
        <v>1445.3886999756539</v>
      </c>
      <c r="N279" s="447">
        <f t="shared" si="133"/>
        <v>1439.804949829705</v>
      </c>
      <c r="O279" s="320"/>
    </row>
    <row r="280" spans="1:15">
      <c r="B280" s="319" t="s">
        <v>229</v>
      </c>
      <c r="C280" s="447">
        <f>C155+C171</f>
        <v>292.01605981262537</v>
      </c>
      <c r="D280" s="447">
        <f t="shared" ref="D280:N280" si="134">D155+D171</f>
        <v>291.24985052597725</v>
      </c>
      <c r="E280" s="447">
        <f t="shared" si="134"/>
        <v>285.24425068109485</v>
      </c>
      <c r="F280" s="447">
        <f t="shared" si="134"/>
        <v>278.67074530552549</v>
      </c>
      <c r="G280" s="447">
        <f t="shared" si="134"/>
        <v>272.54982538620669</v>
      </c>
      <c r="H280" s="447">
        <f t="shared" si="134"/>
        <v>267.61177023480525</v>
      </c>
      <c r="I280" s="447">
        <f t="shared" si="134"/>
        <v>263.99622723737616</v>
      </c>
      <c r="J280" s="447">
        <f t="shared" si="134"/>
        <v>261.31072621523015</v>
      </c>
      <c r="K280" s="447">
        <f t="shared" si="134"/>
        <v>258.76845739071848</v>
      </c>
      <c r="L280" s="447">
        <f t="shared" si="134"/>
        <v>256.73048361093794</v>
      </c>
      <c r="M280" s="447">
        <f t="shared" si="134"/>
        <v>254.91307038555752</v>
      </c>
      <c r="N280" s="447">
        <f t="shared" si="134"/>
        <v>252.77401990738787</v>
      </c>
      <c r="O280" s="320"/>
    </row>
    <row r="281" spans="1:15">
      <c r="B281" s="319" t="s">
        <v>553</v>
      </c>
      <c r="C281" s="447">
        <f>C189+C205</f>
        <v>8.1351111033438013</v>
      </c>
      <c r="D281" s="447">
        <f t="shared" ref="D281:N281" si="135">D189+D205</f>
        <v>8.1468858571363754</v>
      </c>
      <c r="E281" s="447">
        <f t="shared" si="135"/>
        <v>8.0720384116191788</v>
      </c>
      <c r="F281" s="447">
        <f t="shared" si="135"/>
        <v>8.0034001975380722</v>
      </c>
      <c r="G281" s="447">
        <f t="shared" si="135"/>
        <v>7.9520314706959851</v>
      </c>
      <c r="H281" s="447">
        <f t="shared" si="135"/>
        <v>7.9280576443813127</v>
      </c>
      <c r="I281" s="447">
        <f t="shared" si="135"/>
        <v>7.931120024068445</v>
      </c>
      <c r="J281" s="447">
        <f t="shared" si="135"/>
        <v>7.9488679632157204</v>
      </c>
      <c r="K281" s="447">
        <f t="shared" si="135"/>
        <v>7.9586863192240695</v>
      </c>
      <c r="L281" s="447">
        <f t="shared" si="135"/>
        <v>7.9698498572370635</v>
      </c>
      <c r="M281" s="447">
        <f t="shared" si="135"/>
        <v>7.9752888210376369</v>
      </c>
      <c r="N281" s="447">
        <f t="shared" si="135"/>
        <v>7.9605028325364415</v>
      </c>
      <c r="O281" s="320"/>
    </row>
    <row r="282" spans="1:15">
      <c r="B282" s="319" t="s">
        <v>230</v>
      </c>
      <c r="C282" s="447">
        <f>C121+C137</f>
        <v>1012.8930527338358</v>
      </c>
      <c r="D282" s="447">
        <f t="shared" ref="D282:N282" si="136">D121+D137</f>
        <v>1043.7172579265816</v>
      </c>
      <c r="E282" s="447">
        <f t="shared" si="136"/>
        <v>1095.5643539563871</v>
      </c>
      <c r="F282" s="447">
        <f t="shared" si="136"/>
        <v>1105.0738793156775</v>
      </c>
      <c r="G282" s="447">
        <f t="shared" si="136"/>
        <v>1118.9359721182486</v>
      </c>
      <c r="H282" s="447">
        <f t="shared" si="136"/>
        <v>1133.5551217305185</v>
      </c>
      <c r="I282" s="447">
        <f t="shared" si="136"/>
        <v>1149.4524801628663</v>
      </c>
      <c r="J282" s="447">
        <f t="shared" si="136"/>
        <v>1164.2311630704985</v>
      </c>
      <c r="K282" s="447">
        <f t="shared" si="136"/>
        <v>1173.1640213751166</v>
      </c>
      <c r="L282" s="447">
        <f t="shared" si="136"/>
        <v>1179.5896224288501</v>
      </c>
      <c r="M282" s="447">
        <f t="shared" si="136"/>
        <v>1182.5003407690588</v>
      </c>
      <c r="N282" s="447">
        <f t="shared" si="136"/>
        <v>1179.0704270897811</v>
      </c>
      <c r="O282" s="320"/>
    </row>
    <row r="283" spans="1:15"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5" ht="15.75">
      <c r="B284" s="333"/>
      <c r="H284" s="320"/>
    </row>
    <row r="285" spans="1:15" ht="15.75">
      <c r="B285" s="333" t="s">
        <v>266</v>
      </c>
      <c r="F285" s="357"/>
      <c r="G285" s="357" t="s">
        <v>267</v>
      </c>
      <c r="H285" s="320"/>
    </row>
    <row r="286" spans="1:15" ht="15.75">
      <c r="B286" s="333"/>
      <c r="H286" s="320"/>
    </row>
    <row r="287" spans="1:15" ht="15.75">
      <c r="B287" s="333" t="s">
        <v>212</v>
      </c>
      <c r="H287" s="320"/>
    </row>
    <row r="288" spans="1:15" ht="15.75">
      <c r="B288" s="333"/>
      <c r="H288" s="320"/>
    </row>
    <row r="289" spans="2:14"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4"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4" ht="15.75">
      <c r="B291" s="333"/>
      <c r="H291" s="320"/>
    </row>
    <row r="292" spans="2:14" ht="15.75">
      <c r="B292" s="333" t="s">
        <v>264</v>
      </c>
      <c r="H292" s="320"/>
    </row>
    <row r="293" spans="2:14"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4">
      <c r="B294" s="356" t="s">
        <v>268</v>
      </c>
      <c r="C294" s="447">
        <f>C36-C15+C279-C290</f>
        <v>1687.9302005483253</v>
      </c>
      <c r="D294" s="447">
        <f>D36-D15+D279-D290</f>
        <v>1465.611605238164</v>
      </c>
      <c r="E294" s="447">
        <f>E36-E15+E279-E290</f>
        <v>1501.7093587190548</v>
      </c>
      <c r="F294" s="447">
        <f t="shared" ref="F294:N294" si="141">F36-F15+F279-F290</f>
        <v>1486.9228279603258</v>
      </c>
      <c r="G294" s="447">
        <f t="shared" si="141"/>
        <v>1511.528717484347</v>
      </c>
      <c r="H294" s="447">
        <f t="shared" si="141"/>
        <v>1540.5389406557383</v>
      </c>
      <c r="I294" s="447">
        <f t="shared" si="141"/>
        <v>1549.9248396440018</v>
      </c>
      <c r="J294" s="447">
        <f t="shared" si="141"/>
        <v>1516.417190398015</v>
      </c>
      <c r="K294" s="447">
        <f t="shared" si="141"/>
        <v>1503.2781312333523</v>
      </c>
      <c r="L294" s="447">
        <f t="shared" si="141"/>
        <v>1478.1289993633811</v>
      </c>
      <c r="M294" s="447">
        <f t="shared" si="141"/>
        <v>1423.9817986848645</v>
      </c>
      <c r="N294" s="447">
        <f t="shared" si="141"/>
        <v>1372.3227559915913</v>
      </c>
    </row>
    <row r="295" spans="2:14" ht="12.75" customHeight="1">
      <c r="B295" s="1327" t="s">
        <v>265</v>
      </c>
      <c r="C295" s="1327"/>
      <c r="D295" s="1327"/>
      <c r="E295" s="1327"/>
      <c r="F295" s="1327"/>
      <c r="G295" s="1327"/>
      <c r="H295" s="1327"/>
      <c r="I295" s="1327"/>
      <c r="J295" s="1327"/>
      <c r="K295" s="1327"/>
      <c r="L295" s="1327"/>
      <c r="M295" s="1327"/>
      <c r="N295" s="1327"/>
    </row>
    <row r="296" spans="2:14">
      <c r="B296" s="319" t="s">
        <v>2</v>
      </c>
      <c r="C296" s="276">
        <f>IF(C294&lt;0,0,C294)</f>
        <v>1687.9302005483253</v>
      </c>
      <c r="D296" s="276">
        <f t="shared" ref="D296:N296" si="142">IF(D294&lt;0,0,D294)</f>
        <v>1465.611605238164</v>
      </c>
      <c r="E296" s="276">
        <f t="shared" si="142"/>
        <v>1501.7093587190548</v>
      </c>
      <c r="F296" s="276">
        <f t="shared" si="142"/>
        <v>1486.9228279603258</v>
      </c>
      <c r="G296" s="276">
        <f t="shared" si="142"/>
        <v>1511.528717484347</v>
      </c>
      <c r="H296" s="276">
        <f t="shared" si="142"/>
        <v>1540.5389406557383</v>
      </c>
      <c r="I296" s="276">
        <f t="shared" si="142"/>
        <v>1549.9248396440018</v>
      </c>
      <c r="J296" s="276">
        <f t="shared" si="142"/>
        <v>1516.417190398015</v>
      </c>
      <c r="K296" s="276">
        <f t="shared" si="142"/>
        <v>1503.2781312333523</v>
      </c>
      <c r="L296" s="276">
        <f t="shared" si="142"/>
        <v>1478.1289993633811</v>
      </c>
      <c r="M296" s="276">
        <f t="shared" si="142"/>
        <v>1423.9817986848645</v>
      </c>
      <c r="N296" s="276">
        <f t="shared" si="142"/>
        <v>1372.3227559915913</v>
      </c>
    </row>
    <row r="297" spans="2:14" ht="15.75">
      <c r="B297" s="333"/>
      <c r="H297" s="320"/>
    </row>
    <row r="298" spans="2:14" ht="15.75">
      <c r="B298" s="333" t="s">
        <v>175</v>
      </c>
      <c r="H298" s="320"/>
    </row>
    <row r="299" spans="2:14" ht="15.75">
      <c r="B299" s="333"/>
      <c r="H299" s="320"/>
    </row>
    <row r="300" spans="2:14">
      <c r="B300" s="334" t="s">
        <v>46</v>
      </c>
      <c r="H300" s="318"/>
    </row>
    <row r="301" spans="2:14">
      <c r="H301" s="318"/>
    </row>
    <row r="302" spans="2:14">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4">
      <c r="B303" s="331" t="str">
        <f t="shared" si="143"/>
        <v>20-24</v>
      </c>
      <c r="C303" s="447">
        <f>C$296*Entrant_age_breakdowns!$K76*$G$31</f>
        <v>275.21543685387928</v>
      </c>
      <c r="D303" s="447">
        <f>D$296*Entrant_age_breakdowns!$K76*$G$31</f>
        <v>238.96659830051334</v>
      </c>
      <c r="E303" s="447">
        <f>E$296*Entrant_age_breakdowns!$K76*$G$31</f>
        <v>244.85230316583284</v>
      </c>
      <c r="F303" s="447">
        <f>F$296*Entrant_age_breakdowns!$K76*$G$31</f>
        <v>242.44137318721465</v>
      </c>
      <c r="G303" s="447">
        <f>G$296*Entrant_age_breakdowns!$K76*$G$31</f>
        <v>246.45334040738285</v>
      </c>
      <c r="H303" s="447">
        <f>H$296*Entrant_age_breakdowns!$K76*$G$31</f>
        <v>251.18343009992424</v>
      </c>
      <c r="I303" s="447">
        <f>I$296*Entrant_age_breakdowns!$K76*$G$31</f>
        <v>252.71379213117541</v>
      </c>
      <c r="J303" s="447">
        <f>J$296*Entrant_age_breakdowns!$K76*$G$31</f>
        <v>247.25040133327093</v>
      </c>
      <c r="K303" s="447">
        <f>K$296*Entrant_age_breakdowns!$K76*$G$31</f>
        <v>245.10809005364754</v>
      </c>
      <c r="L303" s="447">
        <f>L$296*Entrant_age_breakdowns!$K76*$G$31</f>
        <v>241.00754767823327</v>
      </c>
      <c r="M303" s="447">
        <f>M$296*Entrant_age_breakdowns!$K76*$G$31</f>
        <v>232.17889736774552</v>
      </c>
      <c r="N303" s="447">
        <f>N$296*Entrant_age_breakdowns!$K76*$G$31</f>
        <v>223.75593888423487</v>
      </c>
    </row>
    <row r="304" spans="2:14">
      <c r="B304" s="331" t="str">
        <f t="shared" si="143"/>
        <v>25-29</v>
      </c>
      <c r="C304" s="447">
        <f>C$296*Entrant_age_breakdowns!$K77*$G$31</f>
        <v>280.93474948907721</v>
      </c>
      <c r="D304" s="447">
        <f>D$296*Entrant_age_breakdowns!$K77*$G$31</f>
        <v>243.93261583453722</v>
      </c>
      <c r="E304" s="447">
        <f>E$296*Entrant_age_breakdowns!$K77*$G$31</f>
        <v>249.94063282953982</v>
      </c>
      <c r="F304" s="447">
        <f>F$296*Entrant_age_breakdowns!$K77*$G$31</f>
        <v>247.47960078380319</v>
      </c>
      <c r="G304" s="447">
        <f>G$296*Entrant_age_breakdowns!$K77*$G$31</f>
        <v>251.57494157878469</v>
      </c>
      <c r="H304" s="447">
        <f>H$296*Entrant_age_breakdowns!$K77*$G$31</f>
        <v>256.40332830747138</v>
      </c>
      <c r="I304" s="447">
        <f>I$296*Entrant_age_breakdowns!$K77*$G$31</f>
        <v>257.96549312929938</v>
      </c>
      <c r="J304" s="447">
        <f>J$296*Entrant_age_breakdowns!$K77*$G$31</f>
        <v>252.38856640340083</v>
      </c>
      <c r="K304" s="447">
        <f>K$296*Entrant_age_breakdowns!$K77*$G$31</f>
        <v>250.2017352810312</v>
      </c>
      <c r="L304" s="447">
        <f>L$296*Entrant_age_breakdowns!$K77*$G$31</f>
        <v>246.01597863098553</v>
      </c>
      <c r="M304" s="447">
        <f>M$296*Entrant_age_breakdowns!$K77*$G$31</f>
        <v>237.00385819305967</v>
      </c>
      <c r="N304" s="447">
        <f>N$296*Entrant_age_breakdowns!$K77*$G$31</f>
        <v>228.40586035335886</v>
      </c>
    </row>
    <row r="305" spans="1:14">
      <c r="B305" s="331" t="str">
        <f t="shared" si="143"/>
        <v>30-34</v>
      </c>
      <c r="C305" s="447">
        <f>C$296*Entrant_age_breakdowns!$K78*$G$31</f>
        <v>139.52697847640985</v>
      </c>
      <c r="D305" s="447">
        <f>D$296*Entrant_age_breakdowns!$K78*$G$31</f>
        <v>121.1497719706729</v>
      </c>
      <c r="E305" s="447">
        <f>E$296*Entrant_age_breakdowns!$K78*$G$31</f>
        <v>124.13366933286173</v>
      </c>
      <c r="F305" s="447">
        <f>F$296*Entrant_age_breakdowns!$K78*$G$31</f>
        <v>122.91139132738274</v>
      </c>
      <c r="G305" s="447">
        <f>G$296*Entrant_age_breakdowns!$K78*$G$31</f>
        <v>124.94535304979031</v>
      </c>
      <c r="H305" s="447">
        <f>H$296*Entrant_age_breakdowns!$K78*$G$31</f>
        <v>127.3433839533879</v>
      </c>
      <c r="I305" s="447">
        <f>I$296*Entrant_age_breakdowns!$K78*$G$31</f>
        <v>128.11923719998057</v>
      </c>
      <c r="J305" s="447">
        <f>J$296*Entrant_age_breakdowns!$K78*$G$31</f>
        <v>125.34944194800798</v>
      </c>
      <c r="K305" s="447">
        <f>K$296*Entrant_age_breakdowns!$K78*$G$31</f>
        <v>124.26334654864095</v>
      </c>
      <c r="L305" s="447">
        <f>L$296*Entrant_age_breakdowns!$K78*$G$31</f>
        <v>122.18447955521791</v>
      </c>
      <c r="M305" s="447">
        <f>M$296*Entrant_age_breakdowns!$K78*$G$31</f>
        <v>117.70858635704242</v>
      </c>
      <c r="N305" s="447">
        <f>N$296*Entrant_age_breakdowns!$K78*$G$31</f>
        <v>113.43836823094053</v>
      </c>
    </row>
    <row r="306" spans="1:14">
      <c r="B306" s="331" t="str">
        <f t="shared" si="143"/>
        <v>35-39</v>
      </c>
      <c r="C306" s="447">
        <f>C$296*Entrant_age_breakdowns!$K79*$G$31</f>
        <v>103.99404285122446</v>
      </c>
      <c r="D306" s="447">
        <f>D$296*Entrant_age_breakdowns!$K79*$G$31</f>
        <v>90.296906844179588</v>
      </c>
      <c r="E306" s="447">
        <f>E$296*Entrant_age_breakdowns!$K79*$G$31</f>
        <v>92.520903619108566</v>
      </c>
      <c r="F306" s="447">
        <f>F$296*Entrant_age_breakdowns!$K79*$G$31</f>
        <v>91.609899649368174</v>
      </c>
      <c r="G306" s="447">
        <f>G$296*Entrant_age_breakdowns!$K79*$G$31</f>
        <v>93.125878170708887</v>
      </c>
      <c r="H306" s="447">
        <f>H$296*Entrant_age_breakdowns!$K79*$G$31</f>
        <v>94.913209418546742</v>
      </c>
      <c r="I306" s="447">
        <f>I$296*Entrant_age_breakdowns!$K79*$G$31</f>
        <v>95.491478342976009</v>
      </c>
      <c r="J306" s="447">
        <f>J$296*Entrant_age_breakdowns!$K79*$G$31</f>
        <v>93.427058907623191</v>
      </c>
      <c r="K306" s="447">
        <f>K$296*Entrant_age_breakdowns!$K79*$G$31</f>
        <v>92.617556310092297</v>
      </c>
      <c r="L306" s="447">
        <f>L$296*Entrant_age_breakdowns!$K79*$G$31</f>
        <v>91.068108414375232</v>
      </c>
      <c r="M306" s="447">
        <f>M$296*Entrant_age_breakdowns!$K79*$G$31</f>
        <v>87.73207810589075</v>
      </c>
      <c r="N306" s="447">
        <f>N$296*Entrant_age_breakdowns!$K79*$G$31</f>
        <v>84.549344188485676</v>
      </c>
    </row>
    <row r="307" spans="1:14">
      <c r="B307" s="331" t="str">
        <f t="shared" si="143"/>
        <v>40-44</v>
      </c>
      <c r="C307" s="447">
        <f>C$296*Entrant_age_breakdowns!$K80*$G$31</f>
        <v>89.356499748259523</v>
      </c>
      <c r="D307" s="447">
        <f>D$296*Entrant_age_breakdowns!$K80*$G$31</f>
        <v>77.587285891304731</v>
      </c>
      <c r="E307" s="447">
        <f>E$296*Entrant_age_breakdowns!$K80*$G$31</f>
        <v>79.498246959943785</v>
      </c>
      <c r="F307" s="447">
        <f>F$296*Entrant_age_breakdowns!$K80*$G$31</f>
        <v>78.715470141571316</v>
      </c>
      <c r="G307" s="447">
        <f>G$296*Entrant_age_breakdowns!$K80*$G$31</f>
        <v>80.01806912365285</v>
      </c>
      <c r="H307" s="447">
        <f>H$296*Entrant_age_breakdowns!$K80*$G$31</f>
        <v>81.553826940338197</v>
      </c>
      <c r="I307" s="447">
        <f>I$296*Entrant_age_breakdowns!$K80*$G$31</f>
        <v>82.050702391887981</v>
      </c>
      <c r="J307" s="447">
        <f>J$296*Entrant_age_breakdowns!$K80*$G$31</f>
        <v>80.27685756676361</v>
      </c>
      <c r="K307" s="447">
        <f>K$296*Entrant_age_breakdowns!$K80*$G$31</f>
        <v>79.581295430036548</v>
      </c>
      <c r="L307" s="447">
        <f>L$296*Entrant_age_breakdowns!$K80*$G$31</f>
        <v>78.249938010826909</v>
      </c>
      <c r="M307" s="447">
        <f>M$296*Entrant_age_breakdowns!$K80*$G$31</f>
        <v>75.383466208718588</v>
      </c>
      <c r="N307" s="447">
        <f>N$296*Entrant_age_breakdowns!$K80*$G$31</f>
        <v>72.648713768174972</v>
      </c>
    </row>
    <row r="308" spans="1:14">
      <c r="B308" s="331" t="str">
        <f t="shared" si="143"/>
        <v>45-49</v>
      </c>
      <c r="C308" s="447">
        <f>C$296*Entrant_age_breakdowns!$K81*$G$31</f>
        <v>72.026421727104349</v>
      </c>
      <c r="D308" s="447">
        <f>D$296*Entrant_age_breakdowns!$K81*$G$31</f>
        <v>62.539765881746902</v>
      </c>
      <c r="E308" s="447">
        <f>E$296*Entrant_age_breakdowns!$K81*$G$31</f>
        <v>64.080109205642103</v>
      </c>
      <c r="F308" s="447">
        <f>F$296*Entrant_age_breakdowns!$K81*$G$31</f>
        <v>63.449146562777457</v>
      </c>
      <c r="G308" s="447">
        <f>G$296*Entrant_age_breakdowns!$K81*$G$31</f>
        <v>64.499115439009401</v>
      </c>
      <c r="H308" s="447">
        <f>H$296*Entrant_age_breakdowns!$K81*$G$31</f>
        <v>65.737023598873648</v>
      </c>
      <c r="I308" s="447">
        <f>I$296*Entrant_age_breakdowns!$K81*$G$31</f>
        <v>66.137533476946246</v>
      </c>
      <c r="J308" s="447">
        <f>J$296*Entrant_age_breakdowns!$K81*$G$31</f>
        <v>64.707713645005725</v>
      </c>
      <c r="K308" s="447">
        <f>K$296*Entrant_age_breakdowns!$K81*$G$31</f>
        <v>64.14705099664269</v>
      </c>
      <c r="L308" s="447">
        <f>L$296*Entrant_age_breakdowns!$K81*$G$31</f>
        <v>63.073901184198618</v>
      </c>
      <c r="M308" s="447">
        <f>M$296*Entrant_age_breakdowns!$K81*$G$31</f>
        <v>60.763361856123289</v>
      </c>
      <c r="N308" s="447">
        <f>N$296*Entrant_age_breakdowns!$K81*$G$31</f>
        <v>58.558995826156256</v>
      </c>
    </row>
    <row r="309" spans="1:14">
      <c r="B309" s="331" t="str">
        <f t="shared" si="143"/>
        <v>50-54</v>
      </c>
      <c r="C309" s="447">
        <f>C$296*Entrant_age_breakdowns!$K82*$G$31</f>
        <v>53.371865361107687</v>
      </c>
      <c r="D309" s="447">
        <f>D$296*Entrant_age_breakdowns!$K82*$G$31</f>
        <v>46.342215596970533</v>
      </c>
      <c r="E309" s="447">
        <f>E$296*Entrant_age_breakdowns!$K82*$G$31</f>
        <v>47.48361613473844</v>
      </c>
      <c r="F309" s="447">
        <f>F$296*Entrant_age_breakdowns!$K82*$G$31</f>
        <v>47.016070303425991</v>
      </c>
      <c r="G309" s="447">
        <f>G$296*Entrant_age_breakdowns!$K82*$G$31</f>
        <v>47.7941014224496</v>
      </c>
      <c r="H309" s="447">
        <f>H$296*Entrant_age_breakdowns!$K82*$G$31</f>
        <v>48.711396299154927</v>
      </c>
      <c r="I309" s="447">
        <f>I$296*Entrant_age_breakdowns!$K82*$G$31</f>
        <v>49.008175713926832</v>
      </c>
      <c r="J309" s="447">
        <f>J$296*Entrant_age_breakdowns!$K82*$G$31</f>
        <v>47.948673523881844</v>
      </c>
      <c r="K309" s="447">
        <f>K$296*Entrant_age_breakdowns!$K82*$G$31</f>
        <v>47.53322026848052</v>
      </c>
      <c r="L309" s="447">
        <f>L$296*Entrant_age_breakdowns!$K82*$G$31</f>
        <v>46.738011983400483</v>
      </c>
      <c r="M309" s="447">
        <f>M$296*Entrant_age_breakdowns!$K82*$G$31</f>
        <v>45.025893139057352</v>
      </c>
      <c r="N309" s="447">
        <f>N$296*Entrant_age_breakdowns!$K82*$G$31</f>
        <v>43.392449131471359</v>
      </c>
    </row>
    <row r="310" spans="1:14">
      <c r="B310" s="331" t="str">
        <f t="shared" si="143"/>
        <v>55-59</v>
      </c>
      <c r="C310" s="447">
        <f>C$296*Entrant_age_breakdowns!$K83*$G$31</f>
        <v>34.589538714294541</v>
      </c>
      <c r="D310" s="447">
        <f>D$296*Entrant_age_breakdowns!$K83*$G$31</f>
        <v>30.033723754120043</v>
      </c>
      <c r="E310" s="447">
        <f>E$296*Entrant_age_breakdowns!$K83*$G$31</f>
        <v>30.773449034893339</v>
      </c>
      <c r="F310" s="447">
        <f>F$296*Entrant_age_breakdowns!$K83*$G$31</f>
        <v>30.470439302640774</v>
      </c>
      <c r="G310" s="447">
        <f>G$296*Entrant_age_breakdowns!$K83*$G$31</f>
        <v>30.974670086599911</v>
      </c>
      <c r="H310" s="447">
        <f>H$296*Entrant_age_breakdowns!$K83*$G$31</f>
        <v>31.569155709981256</v>
      </c>
      <c r="I310" s="447">
        <f>I$296*Entrant_age_breakdowns!$K83*$G$31</f>
        <v>31.761494182459284</v>
      </c>
      <c r="J310" s="447">
        <f>J$296*Entrant_age_breakdowns!$K83*$G$31</f>
        <v>31.074846043547758</v>
      </c>
      <c r="K310" s="447">
        <f>K$296*Entrant_age_breakdowns!$K83*$G$31</f>
        <v>30.80559676090688</v>
      </c>
      <c r="L310" s="447">
        <f>L$296*Entrant_age_breakdowns!$K83*$G$31</f>
        <v>30.290233702550154</v>
      </c>
      <c r="M310" s="447">
        <f>M$296*Entrant_age_breakdowns!$K83*$G$31</f>
        <v>29.180634091421801</v>
      </c>
      <c r="N310" s="447">
        <f>N$296*Entrant_age_breakdowns!$K83*$G$31</f>
        <v>28.122022511036604</v>
      </c>
    </row>
    <row r="311" spans="1:14">
      <c r="B311" s="331" t="str">
        <f t="shared" si="143"/>
        <v>60-64</v>
      </c>
      <c r="C311" s="447">
        <f>C$296*Entrant_age_breakdowns!$K84*$G$31</f>
        <v>17.639645702044369</v>
      </c>
      <c r="D311" s="447">
        <f>D$296*Entrant_age_breakdowns!$K84*$G$31</f>
        <v>15.316314291199603</v>
      </c>
      <c r="E311" s="447">
        <f>E$296*Entrant_age_breakdowns!$K84*$G$31</f>
        <v>15.693552391350785</v>
      </c>
      <c r="F311" s="447">
        <f>F$296*Entrant_age_breakdowns!$K84*$G$31</f>
        <v>15.539026354870348</v>
      </c>
      <c r="G311" s="447">
        <f>G$296*Entrant_age_breakdowns!$K84*$G$31</f>
        <v>15.796169199548631</v>
      </c>
      <c r="H311" s="447">
        <f>H$296*Entrant_age_breakdowns!$K84*$G$31</f>
        <v>16.099339353334816</v>
      </c>
      <c r="I311" s="447">
        <f>I$296*Entrant_age_breakdowns!$K84*$G$31</f>
        <v>16.197426307815729</v>
      </c>
      <c r="J311" s="447">
        <f>J$296*Entrant_age_breakdowns!$K84*$G$31</f>
        <v>15.84725598630861</v>
      </c>
      <c r="K311" s="447">
        <f>K$296*Entrant_age_breakdowns!$K84*$G$31</f>
        <v>15.709946784513679</v>
      </c>
      <c r="L311" s="447">
        <f>L$296*Entrant_age_breakdowns!$K84*$G$31</f>
        <v>15.447126807860515</v>
      </c>
      <c r="M311" s="447">
        <f>M$296*Entrant_age_breakdowns!$K84*$G$31</f>
        <v>14.881263696094249</v>
      </c>
      <c r="N311" s="447">
        <f>N$296*Entrant_age_breakdowns!$K84*$G$31</f>
        <v>14.341402977848848</v>
      </c>
    </row>
    <row r="312" spans="1:14">
      <c r="B312" s="331" t="str">
        <f t="shared" si="143"/>
        <v>65 plus</v>
      </c>
      <c r="C312" s="447">
        <f>C$296*Entrant_age_breakdowns!$K85*$G$31</f>
        <v>5.3112687149584872</v>
      </c>
      <c r="D312" s="447">
        <f>D$296*Entrant_age_breakdowns!$K85*$G$31</f>
        <v>4.6117173948619605</v>
      </c>
      <c r="E312" s="447">
        <f>E$296*Entrant_age_breakdowns!$K85*$G$31</f>
        <v>4.7253031750565784</v>
      </c>
      <c r="F312" s="447">
        <f>F$296*Entrant_age_breakdowns!$K85*$G$31</f>
        <v>4.6787756360646835</v>
      </c>
      <c r="G312" s="447">
        <f>G$296*Entrant_age_breakdowns!$K85*$G$31</f>
        <v>4.7562009295929375</v>
      </c>
      <c r="H312" s="447">
        <f>H$296*Entrant_age_breakdowns!$K85*$G$31</f>
        <v>4.8474849712518404</v>
      </c>
      <c r="I312" s="447">
        <f>I$296*Entrant_age_breakdowns!$K85*$G$31</f>
        <v>4.8770187941800227</v>
      </c>
      <c r="J312" s="447">
        <f>J$296*Entrant_age_breakdowns!$K85*$G$31</f>
        <v>4.7715830782397548</v>
      </c>
      <c r="K312" s="447">
        <f>K$296*Entrant_age_breakdowns!$K85*$G$31</f>
        <v>4.7302395002514048</v>
      </c>
      <c r="L312" s="447">
        <f>L$296*Entrant_age_breakdowns!$K85*$G$31</f>
        <v>4.6511048314920256</v>
      </c>
      <c r="M312" s="447">
        <f>M$296*Entrant_age_breakdowns!$K85*$G$31</f>
        <v>4.4807243661902261</v>
      </c>
      <c r="N312" s="447">
        <f>N$296*Entrant_age_breakdowns!$K85*$G$31</f>
        <v>4.3181731794098983</v>
      </c>
    </row>
    <row r="313" spans="1:14">
      <c r="B313" s="331" t="str">
        <f t="shared" si="143"/>
        <v>Total</v>
      </c>
      <c r="C313" s="447">
        <f>C$296*Entrant_age_breakdowns!$K86*$G$31</f>
        <v>1071.9664476383598</v>
      </c>
      <c r="D313" s="447">
        <f>D$296*Entrant_age_breakdowns!$K86*$G$31</f>
        <v>930.77691576010682</v>
      </c>
      <c r="E313" s="447">
        <f>E$296*Entrant_age_breakdowns!$K86*$G$31</f>
        <v>953.70178584896803</v>
      </c>
      <c r="F313" s="447">
        <f>F$296*Entrant_age_breakdowns!$K86*$G$31</f>
        <v>944.31119324911947</v>
      </c>
      <c r="G313" s="447">
        <f>G$296*Entrant_age_breakdowns!$K86*$G$31</f>
        <v>959.93783940752007</v>
      </c>
      <c r="H313" s="447">
        <f>H$296*Entrant_age_breakdowns!$K86*$G$31</f>
        <v>978.36157865226505</v>
      </c>
      <c r="I313" s="447">
        <f>I$296*Entrant_age_breakdowns!$K86*$G$31</f>
        <v>984.32235167064755</v>
      </c>
      <c r="J313" s="447">
        <f>J$296*Entrant_age_breakdowns!$K86*$G$31</f>
        <v>963.04239843605023</v>
      </c>
      <c r="K313" s="447">
        <f>K$296*Entrant_age_breakdowns!$K86*$G$31</f>
        <v>954.69807793424377</v>
      </c>
      <c r="L313" s="447">
        <f>L$296*Entrant_age_breakdowns!$K86*$G$31</f>
        <v>938.72643079914064</v>
      </c>
      <c r="M313" s="447">
        <f>M$296*Entrant_age_breakdowns!$K86*$G$31</f>
        <v>904.33876338134394</v>
      </c>
      <c r="N313" s="447">
        <f>N$296*Entrant_age_breakdowns!$K86*$G$31</f>
        <v>871.53126905111787</v>
      </c>
    </row>
    <row r="314" spans="1:14">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4">
      <c r="B316" s="334" t="s">
        <v>47</v>
      </c>
      <c r="H316" s="318"/>
    </row>
    <row r="317" spans="1:14">
      <c r="H317" s="318"/>
    </row>
    <row r="318" spans="1:14">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4">
      <c r="B319" s="331" t="str">
        <f t="shared" si="146"/>
        <v>20-24</v>
      </c>
      <c r="C319" s="447">
        <f>C$296*Entrant_age_breakdowns!$K76*$H$31</f>
        <v>158.14182777524906</v>
      </c>
      <c r="D319" s="447">
        <f>D$296*Entrant_age_breakdowns!$K76*$H$31</f>
        <v>137.31284503689071</v>
      </c>
      <c r="E319" s="447">
        <f>E$296*Entrant_age_breakdowns!$K76*$H$31</f>
        <v>140.69483601743838</v>
      </c>
      <c r="F319" s="447">
        <f>F$296*Entrant_age_breakdowns!$K76*$H$31</f>
        <v>139.30948904048356</v>
      </c>
      <c r="G319" s="447">
        <f>G$296*Entrant_age_breakdowns!$K76*$H$31</f>
        <v>141.61480968828079</v>
      </c>
      <c r="H319" s="447">
        <f>H$296*Entrant_age_breakdowns!$K76*$H$31</f>
        <v>144.33277143515951</v>
      </c>
      <c r="I319" s="447">
        <f>I$296*Entrant_age_breakdowns!$K76*$H$31</f>
        <v>145.21213435006896</v>
      </c>
      <c r="J319" s="447">
        <f>J$296*Entrant_age_breakdowns!$K76*$H$31</f>
        <v>142.0728096940548</v>
      </c>
      <c r="K319" s="447">
        <f>K$296*Entrant_age_breakdowns!$K76*$H$31</f>
        <v>140.84181398648826</v>
      </c>
      <c r="L319" s="447">
        <f>L$296*Entrant_age_breakdowns!$K76*$H$31</f>
        <v>138.48559707681628</v>
      </c>
      <c r="M319" s="447">
        <f>M$296*Entrant_age_breakdowns!$K76*$H$31</f>
        <v>133.41255715998074</v>
      </c>
      <c r="N319" s="447">
        <f>N$296*Entrant_age_breakdowns!$K76*$H$31</f>
        <v>128.57263224485098</v>
      </c>
    </row>
    <row r="320" spans="1:14">
      <c r="B320" s="331" t="str">
        <f t="shared" si="146"/>
        <v>25-29</v>
      </c>
      <c r="C320" s="447">
        <f>C$296*Entrant_age_breakdowns!$K77*$H$31</f>
        <v>161.42820794377315</v>
      </c>
      <c r="D320" s="447">
        <f>D$296*Entrant_age_breakdowns!$K77*$H$31</f>
        <v>140.16637352559766</v>
      </c>
      <c r="E320" s="447">
        <f>E$296*Entrant_age_breakdowns!$K77*$H$31</f>
        <v>143.61864640591185</v>
      </c>
      <c r="F320" s="447">
        <f>F$296*Entrant_age_breakdowns!$K77*$H$31</f>
        <v>142.20451022817673</v>
      </c>
      <c r="G320" s="447">
        <f>G$296*Entrant_age_breakdowns!$K77*$H$31</f>
        <v>144.5577382523183</v>
      </c>
      <c r="H320" s="447">
        <f>H$296*Entrant_age_breakdowns!$K77*$H$31</f>
        <v>147.33218256114415</v>
      </c>
      <c r="I320" s="447">
        <f>I$296*Entrant_age_breakdowns!$K77*$H$31</f>
        <v>148.22981971055026</v>
      </c>
      <c r="J320" s="447">
        <f>J$296*Entrant_age_breakdowns!$K77*$H$31</f>
        <v>145.02525605712961</v>
      </c>
      <c r="K320" s="447">
        <f>K$296*Entrant_age_breakdowns!$K77*$H$31</f>
        <v>143.76867875652221</v>
      </c>
      <c r="L320" s="447">
        <f>L$296*Entrant_age_breakdowns!$K77*$H$31</f>
        <v>141.36349678407322</v>
      </c>
      <c r="M320" s="447">
        <f>M$296*Entrant_age_breakdowns!$K77*$H$31</f>
        <v>136.1850329069145</v>
      </c>
      <c r="N320" s="447">
        <f>N$296*Entrant_age_breakdowns!$K77*$H$31</f>
        <v>131.2445284456773</v>
      </c>
    </row>
    <row r="321" spans="1:14">
      <c r="B321" s="331" t="str">
        <f t="shared" si="146"/>
        <v>30-34</v>
      </c>
      <c r="C321" s="447">
        <f>C$296*Entrant_age_breakdowns!$K78*$H$31</f>
        <v>80.173741896361491</v>
      </c>
      <c r="D321" s="447">
        <f>D$296*Entrant_age_breakdowns!$K78*$H$31</f>
        <v>69.613996195165825</v>
      </c>
      <c r="E321" s="447">
        <f>E$296*Entrant_age_breakdowns!$K78*$H$31</f>
        <v>71.328576554990704</v>
      </c>
      <c r="F321" s="447">
        <f>F$296*Entrant_age_breakdowns!$K78*$H$31</f>
        <v>70.626242121844214</v>
      </c>
      <c r="G321" s="447">
        <f>G$296*Entrant_age_breakdowns!$K78*$H$31</f>
        <v>71.794978977899291</v>
      </c>
      <c r="H321" s="447">
        <f>H$296*Entrant_age_breakdowns!$K78*$H$31</f>
        <v>73.172914003970519</v>
      </c>
      <c r="I321" s="447">
        <f>I$296*Entrant_age_breakdowns!$K78*$H$31</f>
        <v>73.618727843136327</v>
      </c>
      <c r="J321" s="447">
        <f>J$296*Entrant_age_breakdowns!$K78*$H$31</f>
        <v>72.027172919047132</v>
      </c>
      <c r="K321" s="447">
        <f>K$296*Entrant_age_breakdowns!$K78*$H$31</f>
        <v>71.403090514522049</v>
      </c>
      <c r="L321" s="447">
        <f>L$296*Entrant_age_breakdowns!$K78*$H$31</f>
        <v>70.208550594088351</v>
      </c>
      <c r="M321" s="447">
        <f>M$296*Entrant_age_breakdowns!$K78*$H$31</f>
        <v>67.636652958629469</v>
      </c>
      <c r="N321" s="447">
        <f>N$296*Entrant_age_breakdowns!$K78*$H$31</f>
        <v>65.18293848977396</v>
      </c>
    </row>
    <row r="322" spans="1:14">
      <c r="B322" s="331" t="str">
        <f t="shared" si="146"/>
        <v>35-39</v>
      </c>
      <c r="C322" s="447">
        <f>C$296*Entrant_age_breakdowns!$K79*$H$31</f>
        <v>59.756124882492763</v>
      </c>
      <c r="D322" s="447">
        <f>D$296*Entrant_age_breakdowns!$K79*$H$31</f>
        <v>51.885599347290679</v>
      </c>
      <c r="E322" s="447">
        <f>E$296*Entrant_age_breakdowns!$K79*$H$31</f>
        <v>53.163532442083827</v>
      </c>
      <c r="F322" s="447">
        <f>F$296*Entrant_age_breakdowns!$K79*$H$31</f>
        <v>52.640059505637531</v>
      </c>
      <c r="G322" s="447">
        <f>G$296*Entrant_age_breakdowns!$K79*$H$31</f>
        <v>53.51115749699084</v>
      </c>
      <c r="H322" s="447">
        <f>H$296*Entrant_age_breakdowns!$K79*$H$31</f>
        <v>54.538177760112802</v>
      </c>
      <c r="I322" s="447">
        <f>I$296*Entrant_age_breakdowns!$K79*$H$31</f>
        <v>54.870457466877305</v>
      </c>
      <c r="J322" s="447">
        <f>J$296*Entrant_age_breakdowns!$K79*$H$31</f>
        <v>53.684219272779281</v>
      </c>
      <c r="K322" s="447">
        <f>K$296*Entrant_age_breakdowns!$K79*$H$31</f>
        <v>53.219070145151257</v>
      </c>
      <c r="L322" s="447">
        <f>L$296*Entrant_age_breakdowns!$K79*$H$31</f>
        <v>52.328740281854728</v>
      </c>
      <c r="M322" s="447">
        <f>M$296*Entrant_age_breakdowns!$K79*$H$31</f>
        <v>50.411820444333166</v>
      </c>
      <c r="N322" s="447">
        <f>N$296*Entrant_age_breakdowns!$K79*$H$31</f>
        <v>48.582986405172974</v>
      </c>
    </row>
    <row r="323" spans="1:14">
      <c r="B323" s="331" t="str">
        <f t="shared" si="146"/>
        <v>40-44</v>
      </c>
      <c r="C323" s="447">
        <f>C$296*Entrant_age_breakdowns!$K80*$H$31</f>
        <v>51.345231049997196</v>
      </c>
      <c r="D323" s="447">
        <f>D$296*Entrant_age_breakdowns!$K80*$H$31</f>
        <v>44.582510862158337</v>
      </c>
      <c r="E323" s="447">
        <f>E$296*Entrant_age_breakdowns!$K80*$H$31</f>
        <v>45.680570184907637</v>
      </c>
      <c r="F323" s="447">
        <f>F$296*Entrant_age_breakdowns!$K80*$H$31</f>
        <v>45.230777984976498</v>
      </c>
      <c r="G323" s="447">
        <f>G$296*Entrant_age_breakdowns!$K80*$H$31</f>
        <v>45.979265737841615</v>
      </c>
      <c r="H323" s="447">
        <f>H$296*Entrant_age_breakdowns!$K80*$H$31</f>
        <v>46.861729130618869</v>
      </c>
      <c r="I323" s="447">
        <f>I$296*Entrant_age_breakdowns!$K80*$H$31</f>
        <v>47.147239249466061</v>
      </c>
      <c r="J323" s="447">
        <f>J$296*Entrant_age_breakdowns!$K80*$H$31</f>
        <v>46.127968433695031</v>
      </c>
      <c r="K323" s="447">
        <f>K$296*Entrant_age_breakdowns!$K80*$H$31</f>
        <v>45.728290752491134</v>
      </c>
      <c r="L323" s="447">
        <f>L$296*Entrant_age_breakdowns!$K80*$H$31</f>
        <v>44.963278084223781</v>
      </c>
      <c r="M323" s="447">
        <f>M$296*Entrant_age_breakdowns!$K80*$H$31</f>
        <v>43.316171747335062</v>
      </c>
      <c r="N323" s="447">
        <f>N$296*Entrant_age_breakdowns!$K80*$H$31</f>
        <v>41.74475280948672</v>
      </c>
    </row>
    <row r="324" spans="1:14">
      <c r="B324" s="331" t="str">
        <f t="shared" si="146"/>
        <v>45-49</v>
      </c>
      <c r="C324" s="447">
        <f>C$296*Entrant_age_breakdowns!$K81*$H$31</f>
        <v>41.387176933983966</v>
      </c>
      <c r="D324" s="447">
        <f>D$296*Entrant_age_breakdowns!$K81*$H$31</f>
        <v>35.936039773912164</v>
      </c>
      <c r="E324" s="447">
        <f>E$296*Entrant_age_breakdowns!$K81*$H$31</f>
        <v>36.821138049745869</v>
      </c>
      <c r="F324" s="447">
        <f>F$296*Entrant_age_breakdowns!$K81*$H$31</f>
        <v>36.458579950748344</v>
      </c>
      <c r="G324" s="447">
        <f>G$296*Entrant_age_breakdowns!$K81*$H$31</f>
        <v>37.061903656324503</v>
      </c>
      <c r="H324" s="447">
        <f>H$296*Entrant_age_breakdowns!$K81*$H$31</f>
        <v>37.773219348702483</v>
      </c>
      <c r="I324" s="447">
        <f>I$296*Entrant_age_breakdowns!$K81*$H$31</f>
        <v>38.003356745370645</v>
      </c>
      <c r="J324" s="447">
        <f>J$296*Entrant_age_breakdowns!$K81*$H$31</f>
        <v>37.181766487944699</v>
      </c>
      <c r="K324" s="447">
        <f>K$296*Entrant_age_breakdowns!$K81*$H$31</f>
        <v>36.859603541741514</v>
      </c>
      <c r="L324" s="447">
        <f>L$296*Entrant_age_breakdowns!$K81*$H$31</f>
        <v>36.24295981435251</v>
      </c>
      <c r="M324" s="447">
        <f>M$296*Entrant_age_breakdowns!$K81*$H$31</f>
        <v>34.91529841328645</v>
      </c>
      <c r="N324" s="447">
        <f>N$296*Entrant_age_breakdowns!$K81*$H$31</f>
        <v>33.648645361227672</v>
      </c>
    </row>
    <row r="325" spans="1:14">
      <c r="B325" s="331" t="str">
        <f t="shared" si="146"/>
        <v>50-54</v>
      </c>
      <c r="C325" s="447">
        <f>C$296*Entrant_age_breakdowns!$K82*$H$31</f>
        <v>30.66806294176483</v>
      </c>
      <c r="D325" s="447">
        <f>D$296*Entrant_age_breakdowns!$K82*$H$31</f>
        <v>26.628748595779484</v>
      </c>
      <c r="E325" s="447">
        <f>E$296*Entrant_age_breakdowns!$K82*$H$31</f>
        <v>27.284609943273974</v>
      </c>
      <c r="F325" s="447">
        <f>F$296*Entrant_age_breakdowns!$K82*$H$31</f>
        <v>27.015952947948144</v>
      </c>
      <c r="G325" s="447">
        <f>G$296*Entrant_age_breakdowns!$K82*$H$31</f>
        <v>27.463018216651587</v>
      </c>
      <c r="H325" s="447">
        <f>H$296*Entrant_age_breakdowns!$K82*$H$31</f>
        <v>27.990105977677398</v>
      </c>
      <c r="I325" s="447">
        <f>I$296*Entrant_age_breakdowns!$K82*$H$31</f>
        <v>28.16063870518213</v>
      </c>
      <c r="J325" s="447">
        <f>J$296*Entrant_age_breakdowns!$K82*$H$31</f>
        <v>27.55183705226267</v>
      </c>
      <c r="K325" s="447">
        <f>K$296*Entrant_age_breakdowns!$K82*$H$31</f>
        <v>27.313113026040167</v>
      </c>
      <c r="L325" s="447">
        <f>L$296*Entrant_age_breakdowns!$K82*$H$31</f>
        <v>26.856177568123442</v>
      </c>
      <c r="M325" s="447">
        <f>M$296*Entrant_age_breakdowns!$K82*$H$31</f>
        <v>25.872375182225216</v>
      </c>
      <c r="N325" s="447">
        <f>N$296*Entrant_age_breakdowns!$K82*$H$31</f>
        <v>24.933780225920763</v>
      </c>
    </row>
    <row r="326" spans="1:14">
      <c r="B326" s="331" t="str">
        <f t="shared" si="146"/>
        <v>55-59</v>
      </c>
      <c r="C326" s="447">
        <f>C$296*Entrant_age_breakdowns!$K83*$H$31</f>
        <v>19.875530735892205</v>
      </c>
      <c r="D326" s="447">
        <f>D$296*Entrant_age_breakdowns!$K83*$H$31</f>
        <v>17.257709173832311</v>
      </c>
      <c r="E326" s="447">
        <f>E$296*Entrant_age_breakdowns!$K83*$H$31</f>
        <v>17.682763485066882</v>
      </c>
      <c r="F326" s="447">
        <f>F$296*Entrant_age_breakdowns!$K83*$H$31</f>
        <v>17.508650748369085</v>
      </c>
      <c r="G326" s="447">
        <f>G$296*Entrant_age_breakdowns!$K83*$H$31</f>
        <v>17.798387322405013</v>
      </c>
      <c r="H326" s="447">
        <f>H$296*Entrant_age_breakdowns!$K83*$H$31</f>
        <v>18.13998532338324</v>
      </c>
      <c r="I326" s="447">
        <f>I$296*Entrant_age_breakdowns!$K83*$H$31</f>
        <v>18.250505132652965</v>
      </c>
      <c r="J326" s="447">
        <f>J$296*Entrant_age_breakdowns!$K83*$H$31</f>
        <v>17.855949532984351</v>
      </c>
      <c r="K326" s="447">
        <f>K$296*Entrant_age_breakdowns!$K83*$H$31</f>
        <v>17.701235923272808</v>
      </c>
      <c r="L326" s="447">
        <f>L$296*Entrant_age_breakdowns!$K83*$H$31</f>
        <v>17.40510262149277</v>
      </c>
      <c r="M326" s="447">
        <f>M$296*Entrant_age_breakdowns!$K83*$H$31</f>
        <v>16.767514437456025</v>
      </c>
      <c r="N326" s="447">
        <f>N$296*Entrant_age_breakdowns!$K83*$H$31</f>
        <v>16.159224538677407</v>
      </c>
    </row>
    <row r="327" spans="1:14">
      <c r="B327" s="331" t="str">
        <f t="shared" si="146"/>
        <v>60-64</v>
      </c>
      <c r="C327" s="447">
        <f>C$296*Entrant_age_breakdowns!$K84*$H$31</f>
        <v>10.135935122382628</v>
      </c>
      <c r="D327" s="447">
        <f>D$296*Entrant_age_breakdowns!$K84*$H$31</f>
        <v>8.800923249361448</v>
      </c>
      <c r="E327" s="447">
        <f>E$296*Entrant_age_breakdowns!$K84*$H$31</f>
        <v>9.0176884255679131</v>
      </c>
      <c r="F327" s="447">
        <f>F$296*Entrant_age_breakdowns!$K84*$H$31</f>
        <v>8.9288960593865951</v>
      </c>
      <c r="G327" s="447">
        <f>G$296*Entrant_age_breakdowns!$K84*$H$31</f>
        <v>9.076653176217004</v>
      </c>
      <c r="H327" s="447">
        <f>H$296*Entrant_age_breakdowns!$K84*$H$31</f>
        <v>9.2508580928987136</v>
      </c>
      <c r="I327" s="447">
        <f>I$296*Entrant_age_breakdowns!$K84*$H$31</f>
        <v>9.3072199396026658</v>
      </c>
      <c r="J327" s="447">
        <f>J$296*Entrant_age_breakdowns!$K84*$H$31</f>
        <v>9.1060082077724349</v>
      </c>
      <c r="K327" s="447">
        <f>K$296*Entrant_age_breakdowns!$K84*$H$31</f>
        <v>9.0271088248365157</v>
      </c>
      <c r="L327" s="447">
        <f>L$296*Entrant_age_breakdowns!$K84*$H$31</f>
        <v>8.8760895653105791</v>
      </c>
      <c r="M327" s="447">
        <f>M$296*Entrant_age_breakdowns!$K84*$H$31</f>
        <v>8.5509383754344874</v>
      </c>
      <c r="N327" s="447">
        <f>N$296*Entrant_age_breakdowns!$K84*$H$31</f>
        <v>8.2407284478833862</v>
      </c>
    </row>
    <row r="328" spans="1:14">
      <c r="B328" s="331" t="str">
        <f t="shared" si="146"/>
        <v>65 plus</v>
      </c>
      <c r="C328" s="447">
        <f>C$296*Entrant_age_breakdowns!$K85*$H$31</f>
        <v>3.0519136280679682</v>
      </c>
      <c r="D328" s="447">
        <f>D$296*Entrant_age_breakdowns!$K85*$H$31</f>
        <v>2.6499437180683731</v>
      </c>
      <c r="E328" s="447">
        <f>E$296*Entrant_age_breakdowns!$K85*$H$31</f>
        <v>2.7152113610995725</v>
      </c>
      <c r="F328" s="447">
        <f>F$296*Entrant_age_breakdowns!$K85*$H$31</f>
        <v>2.6884761236355161</v>
      </c>
      <c r="G328" s="447">
        <f>G$296*Entrant_age_breakdowns!$K85*$H$31</f>
        <v>2.7329655518978346</v>
      </c>
      <c r="H328" s="447">
        <f>H$296*Entrant_age_breakdowns!$K85*$H$31</f>
        <v>2.785418369805412</v>
      </c>
      <c r="I328" s="447">
        <f>I$296*Entrant_age_breakdowns!$K85*$H$31</f>
        <v>2.8023888304468803</v>
      </c>
      <c r="J328" s="447">
        <f>J$296*Entrant_age_breakdowns!$K85*$H$31</f>
        <v>2.7418043042945972</v>
      </c>
      <c r="K328" s="447">
        <f>K$296*Entrant_age_breakdowns!$K85*$H$31</f>
        <v>2.7180478280424398</v>
      </c>
      <c r="L328" s="447">
        <f>L$296*Entrant_age_breakdowns!$K85*$H$31</f>
        <v>2.6725761739046621</v>
      </c>
      <c r="M328" s="447">
        <f>M$296*Entrant_age_breakdowns!$K85*$H$31</f>
        <v>2.5746736779253774</v>
      </c>
      <c r="N328" s="447">
        <f>N$296*Entrant_age_breakdowns!$K85*$H$31</f>
        <v>2.4812699718021443</v>
      </c>
    </row>
    <row r="329" spans="1:14">
      <c r="B329" s="331" t="str">
        <f t="shared" si="146"/>
        <v>Total</v>
      </c>
      <c r="C329" s="447">
        <f>C$296*Entrant_age_breakdowns!$K86*$H$31</f>
        <v>615.96375290996536</v>
      </c>
      <c r="D329" s="447">
        <f>D$296*Entrant_age_breakdowns!$K86*$H$31</f>
        <v>534.83468947805704</v>
      </c>
      <c r="E329" s="447">
        <f>E$296*Entrant_age_breakdowns!$K86*$H$31</f>
        <v>548.00757287008662</v>
      </c>
      <c r="F329" s="447">
        <f>F$296*Entrant_age_breakdowns!$K86*$H$31</f>
        <v>542.61163471120619</v>
      </c>
      <c r="G329" s="447">
        <f>G$296*Entrant_age_breakdowns!$K86*$H$31</f>
        <v>551.59087807682681</v>
      </c>
      <c r="H329" s="447">
        <f>H$296*Entrant_age_breakdowns!$K86*$H$31</f>
        <v>562.17736200347315</v>
      </c>
      <c r="I329" s="447">
        <f>I$296*Entrant_age_breakdowns!$K86*$H$31</f>
        <v>565.6024879733543</v>
      </c>
      <c r="J329" s="447">
        <f>J$296*Entrant_age_breakdowns!$K86*$H$31</f>
        <v>553.37479196196466</v>
      </c>
      <c r="K329" s="447">
        <f>K$296*Entrant_age_breakdowns!$K86*$H$31</f>
        <v>548.58005329910839</v>
      </c>
      <c r="L329" s="447">
        <f>L$296*Entrant_age_breakdowns!$K86*$H$31</f>
        <v>539.40256856424037</v>
      </c>
      <c r="M329" s="447">
        <f>M$296*Entrant_age_breakdowns!$K86*$H$31</f>
        <v>519.64303530352049</v>
      </c>
      <c r="N329" s="447">
        <f>N$296*Entrant_age_breakdowns!$K86*$H$31</f>
        <v>500.79148694047331</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1687.9302005483253</v>
      </c>
      <c r="D331" s="322">
        <f t="shared" ref="D331:N331" si="149">D296</f>
        <v>1465.611605238164</v>
      </c>
      <c r="E331" s="322">
        <f t="shared" si="149"/>
        <v>1501.7093587190548</v>
      </c>
      <c r="F331" s="322">
        <f t="shared" si="149"/>
        <v>1486.9228279603258</v>
      </c>
      <c r="G331" s="322">
        <f t="shared" si="149"/>
        <v>1511.528717484347</v>
      </c>
      <c r="H331" s="322">
        <f t="shared" si="149"/>
        <v>1540.5389406557383</v>
      </c>
      <c r="I331" s="322">
        <f t="shared" si="149"/>
        <v>1549.9248396440018</v>
      </c>
      <c r="J331" s="322">
        <f t="shared" si="149"/>
        <v>1516.417190398015</v>
      </c>
      <c r="K331" s="322">
        <f t="shared" si="149"/>
        <v>1503.2781312333523</v>
      </c>
      <c r="L331" s="322">
        <f t="shared" si="149"/>
        <v>1478.1289993633811</v>
      </c>
      <c r="M331" s="322">
        <f t="shared" si="149"/>
        <v>1423.9817986848645</v>
      </c>
      <c r="N331" s="322">
        <f t="shared" si="149"/>
        <v>1372.3227559915913</v>
      </c>
    </row>
    <row r="332" spans="1:14">
      <c r="C332" s="322">
        <f>C313+C329</f>
        <v>1687.930200548325</v>
      </c>
      <c r="D332" s="322">
        <f t="shared" ref="D332:N332" si="150">D313+D329</f>
        <v>1465.611605238164</v>
      </c>
      <c r="E332" s="322">
        <f t="shared" si="150"/>
        <v>1501.7093587190548</v>
      </c>
      <c r="F332" s="322">
        <f t="shared" si="150"/>
        <v>1486.9228279603258</v>
      </c>
      <c r="G332" s="322">
        <f t="shared" si="150"/>
        <v>1511.528717484347</v>
      </c>
      <c r="H332" s="322">
        <f t="shared" si="150"/>
        <v>1540.5389406557383</v>
      </c>
      <c r="I332" s="322">
        <f t="shared" si="150"/>
        <v>1549.9248396440018</v>
      </c>
      <c r="J332" s="322">
        <f t="shared" si="150"/>
        <v>1516.417190398015</v>
      </c>
      <c r="K332" s="322">
        <f t="shared" si="150"/>
        <v>1503.2781312333523</v>
      </c>
      <c r="L332" s="322">
        <f t="shared" si="150"/>
        <v>1478.1289993633809</v>
      </c>
      <c r="M332" s="322">
        <f t="shared" si="150"/>
        <v>1423.9817986848643</v>
      </c>
      <c r="N332" s="322">
        <f t="shared" si="150"/>
        <v>1372.3227559915913</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4">
      <c r="B337" s="334" t="s">
        <v>46</v>
      </c>
      <c r="C337" s="322"/>
      <c r="D337" s="322"/>
      <c r="E337" s="322"/>
      <c r="F337" s="322"/>
      <c r="G337" s="322"/>
      <c r="H337" s="332"/>
      <c r="I337" s="322"/>
      <c r="J337" s="322"/>
      <c r="K337" s="322"/>
      <c r="L337" s="322"/>
    </row>
    <row r="338" spans="1:14">
      <c r="C338" s="322"/>
      <c r="D338" s="322"/>
      <c r="E338" s="322"/>
      <c r="F338" s="322"/>
      <c r="G338" s="322"/>
      <c r="H338" s="332"/>
      <c r="I338" s="322"/>
      <c r="J338" s="322"/>
      <c r="K338" s="322"/>
      <c r="L338" s="322"/>
    </row>
    <row r="339" spans="1:14">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4">
      <c r="B340" s="331" t="str">
        <f t="shared" ref="B340:B350" si="153">B319</f>
        <v>20-24</v>
      </c>
      <c r="C340" s="447">
        <f t="shared" ref="C340:N340" si="154">C303+C247</f>
        <v>443.0181907764653</v>
      </c>
      <c r="D340" s="447">
        <f t="shared" si="154"/>
        <v>530.39647718120159</v>
      </c>
      <c r="E340" s="447">
        <f t="shared" si="154"/>
        <v>590.9322654223206</v>
      </c>
      <c r="F340" s="447">
        <f t="shared" si="154"/>
        <v>629.65728954861174</v>
      </c>
      <c r="G340" s="447">
        <f t="shared" si="154"/>
        <v>659.04432355830897</v>
      </c>
      <c r="H340" s="447">
        <f t="shared" si="154"/>
        <v>683.03064271917378</v>
      </c>
      <c r="I340" s="447">
        <f t="shared" si="154"/>
        <v>700.27834681732566</v>
      </c>
      <c r="J340" s="447">
        <f t="shared" si="154"/>
        <v>706.11673447743647</v>
      </c>
      <c r="K340" s="447">
        <f t="shared" si="154"/>
        <v>707.80010130030621</v>
      </c>
      <c r="L340" s="447">
        <f t="shared" si="154"/>
        <v>704.8026065413967</v>
      </c>
      <c r="M340" s="447">
        <f t="shared" si="154"/>
        <v>694.00980949569885</v>
      </c>
      <c r="N340" s="447">
        <f t="shared" si="154"/>
        <v>678.51473286483042</v>
      </c>
    </row>
    <row r="341" spans="1:14">
      <c r="B341" s="331" t="str">
        <f t="shared" si="153"/>
        <v>25-29</v>
      </c>
      <c r="C341" s="447">
        <f t="shared" ref="C341:N341" si="155">C304+C248</f>
        <v>1020.4538738460399</v>
      </c>
      <c r="D341" s="447">
        <f t="shared" si="155"/>
        <v>1033.2794013740333</v>
      </c>
      <c r="E341" s="447">
        <f t="shared" si="155"/>
        <v>1059.011204089747</v>
      </c>
      <c r="F341" s="447">
        <f t="shared" si="155"/>
        <v>1087.3105231985246</v>
      </c>
      <c r="G341" s="447">
        <f t="shared" si="155"/>
        <v>1117.8383586281741</v>
      </c>
      <c r="H341" s="447">
        <f t="shared" si="155"/>
        <v>1149.0254826113728</v>
      </c>
      <c r="I341" s="447">
        <f t="shared" si="155"/>
        <v>1176.4655612577253</v>
      </c>
      <c r="J341" s="447">
        <f t="shared" si="155"/>
        <v>1192.986369755736</v>
      </c>
      <c r="K341" s="447">
        <f t="shared" si="155"/>
        <v>1203.3129607669973</v>
      </c>
      <c r="L341" s="447">
        <f t="shared" si="155"/>
        <v>1206.6068554012786</v>
      </c>
      <c r="M341" s="447">
        <f t="shared" si="155"/>
        <v>1199.3655885106245</v>
      </c>
      <c r="N341" s="447">
        <f t="shared" si="155"/>
        <v>1183.8502418744554</v>
      </c>
    </row>
    <row r="342" spans="1:14">
      <c r="B342" s="331" t="str">
        <f t="shared" si="153"/>
        <v>30-34</v>
      </c>
      <c r="C342" s="447">
        <f t="shared" ref="C342:N342" si="156">C305+C249</f>
        <v>1084.6472971049477</v>
      </c>
      <c r="D342" s="447">
        <f t="shared" si="156"/>
        <v>1095.7118709922909</v>
      </c>
      <c r="E342" s="447">
        <f t="shared" si="156"/>
        <v>1105.4051493231889</v>
      </c>
      <c r="F342" s="447">
        <f t="shared" si="156"/>
        <v>1117.7983841497219</v>
      </c>
      <c r="G342" s="447">
        <f t="shared" si="156"/>
        <v>1133.9683250450321</v>
      </c>
      <c r="H342" s="447">
        <f t="shared" si="156"/>
        <v>1153.6491812334605</v>
      </c>
      <c r="I342" s="447">
        <f t="shared" si="156"/>
        <v>1174.3768537729923</v>
      </c>
      <c r="J342" s="447">
        <f t="shared" si="156"/>
        <v>1191.6387899910719</v>
      </c>
      <c r="K342" s="447">
        <f t="shared" si="156"/>
        <v>1206.0857651988727</v>
      </c>
      <c r="L342" s="447">
        <f t="shared" si="156"/>
        <v>1216.3715715519929</v>
      </c>
      <c r="M342" s="447">
        <f t="shared" si="156"/>
        <v>1219.9622506643045</v>
      </c>
      <c r="N342" s="447">
        <f t="shared" si="156"/>
        <v>1216.9847735565097</v>
      </c>
    </row>
    <row r="343" spans="1:14">
      <c r="B343" s="331" t="str">
        <f t="shared" si="153"/>
        <v>35-39</v>
      </c>
      <c r="C343" s="447">
        <f t="shared" ref="C343:N343" si="157">C306+C250</f>
        <v>997.18271303835775</v>
      </c>
      <c r="D343" s="447">
        <f t="shared" si="157"/>
        <v>1015.5318505826548</v>
      </c>
      <c r="E343" s="447">
        <f t="shared" si="157"/>
        <v>1029.7790514840112</v>
      </c>
      <c r="F343" s="447">
        <f t="shared" si="157"/>
        <v>1042.762627834908</v>
      </c>
      <c r="G343" s="447">
        <f t="shared" si="157"/>
        <v>1055.989787386402</v>
      </c>
      <c r="H343" s="447">
        <f t="shared" si="157"/>
        <v>1070.3532523130175</v>
      </c>
      <c r="I343" s="447">
        <f t="shared" si="157"/>
        <v>1084.9743187441291</v>
      </c>
      <c r="J343" s="447">
        <f t="shared" si="157"/>
        <v>1097.3308665249983</v>
      </c>
      <c r="K343" s="447">
        <f t="shared" si="157"/>
        <v>1108.6623027705357</v>
      </c>
      <c r="L343" s="447">
        <f t="shared" si="157"/>
        <v>1117.9948059692499</v>
      </c>
      <c r="M343" s="447">
        <f t="shared" si="157"/>
        <v>1123.3274963353965</v>
      </c>
      <c r="N343" s="447">
        <f t="shared" si="157"/>
        <v>1124.6818471733575</v>
      </c>
    </row>
    <row r="344" spans="1:14">
      <c r="B344" s="331" t="str">
        <f t="shared" si="153"/>
        <v>40-44</v>
      </c>
      <c r="C344" s="447">
        <f t="shared" ref="C344:N344" si="158">C307+C251</f>
        <v>911.33166021738225</v>
      </c>
      <c r="D344" s="447">
        <f t="shared" si="158"/>
        <v>932.85423096156455</v>
      </c>
      <c r="E344" s="447">
        <f t="shared" si="158"/>
        <v>951.24509337508175</v>
      </c>
      <c r="F344" s="447">
        <f t="shared" si="158"/>
        <v>968.04779145530483</v>
      </c>
      <c r="G344" s="447">
        <f t="shared" si="158"/>
        <v>984.10178503183442</v>
      </c>
      <c r="H344" s="447">
        <f t="shared" si="158"/>
        <v>999.88286013307606</v>
      </c>
      <c r="I344" s="447">
        <f t="shared" si="158"/>
        <v>1014.6332626287294</v>
      </c>
      <c r="J344" s="447">
        <f t="shared" si="158"/>
        <v>1026.4019790690106</v>
      </c>
      <c r="K344" s="447">
        <f t="shared" si="158"/>
        <v>1036.6385590138784</v>
      </c>
      <c r="L344" s="447">
        <f t="shared" si="158"/>
        <v>1044.9234604468752</v>
      </c>
      <c r="M344" s="447">
        <f t="shared" si="158"/>
        <v>1049.8695426740819</v>
      </c>
      <c r="N344" s="447">
        <f t="shared" si="158"/>
        <v>1051.7549533260103</v>
      </c>
    </row>
    <row r="345" spans="1:14">
      <c r="B345" s="331" t="str">
        <f t="shared" si="153"/>
        <v>45-49</v>
      </c>
      <c r="C345" s="447">
        <f t="shared" ref="C345:N345" si="159">C308+C252</f>
        <v>921.19077301625987</v>
      </c>
      <c r="D345" s="447">
        <f t="shared" si="159"/>
        <v>890.26595116815201</v>
      </c>
      <c r="E345" s="447">
        <f t="shared" si="159"/>
        <v>870.1322831440832</v>
      </c>
      <c r="F345" s="447">
        <f t="shared" si="159"/>
        <v>860.03040057035423</v>
      </c>
      <c r="G345" s="447">
        <f t="shared" si="159"/>
        <v>856.83756151288969</v>
      </c>
      <c r="H345" s="447">
        <f t="shared" si="159"/>
        <v>858.66550139385367</v>
      </c>
      <c r="I345" s="447">
        <f t="shared" si="159"/>
        <v>863.21679112360096</v>
      </c>
      <c r="J345" s="447">
        <f t="shared" si="159"/>
        <v>867.71050915703154</v>
      </c>
      <c r="K345" s="447">
        <f t="shared" si="159"/>
        <v>872.49605411694984</v>
      </c>
      <c r="L345" s="447">
        <f t="shared" si="159"/>
        <v>876.70353642094256</v>
      </c>
      <c r="M345" s="447">
        <f t="shared" si="159"/>
        <v>878.9072169679215</v>
      </c>
      <c r="N345" s="447">
        <f t="shared" si="159"/>
        <v>879.17626187413475</v>
      </c>
    </row>
    <row r="346" spans="1:14">
      <c r="B346" s="331" t="str">
        <f t="shared" si="153"/>
        <v>50-54</v>
      </c>
      <c r="C346" s="447">
        <f t="shared" ref="C346:N346" si="160">C309+C253</f>
        <v>787.77546312932441</v>
      </c>
      <c r="D346" s="447">
        <f t="shared" si="160"/>
        <v>755.54757311524736</v>
      </c>
      <c r="E346" s="447">
        <f t="shared" si="160"/>
        <v>725.93704647772927</v>
      </c>
      <c r="F346" s="447">
        <f t="shared" si="160"/>
        <v>702.8994047130069</v>
      </c>
      <c r="G346" s="447">
        <f t="shared" si="160"/>
        <v>685.90642316575418</v>
      </c>
      <c r="H346" s="447">
        <f t="shared" si="160"/>
        <v>674.45560413290025</v>
      </c>
      <c r="I346" s="447">
        <f t="shared" si="160"/>
        <v>667.10966926240724</v>
      </c>
      <c r="J346" s="447">
        <f t="shared" si="160"/>
        <v>661.73439976637599</v>
      </c>
      <c r="K346" s="447">
        <f t="shared" si="160"/>
        <v>658.36314437430576</v>
      </c>
      <c r="L346" s="447">
        <f t="shared" si="160"/>
        <v>656.05600645279526</v>
      </c>
      <c r="M346" s="447">
        <f t="shared" si="160"/>
        <v>653.47124848922078</v>
      </c>
      <c r="N346" s="447">
        <f t="shared" si="160"/>
        <v>650.42391726772053</v>
      </c>
    </row>
    <row r="347" spans="1:14">
      <c r="B347" s="331" t="str">
        <f t="shared" si="153"/>
        <v>55-59</v>
      </c>
      <c r="C347" s="447">
        <f t="shared" ref="C347:N347" si="161">C310+C254</f>
        <v>431.91964252390437</v>
      </c>
      <c r="D347" s="447">
        <f t="shared" si="161"/>
        <v>398.46231899254769</v>
      </c>
      <c r="E347" s="447">
        <f t="shared" si="161"/>
        <v>373.63353498394855</v>
      </c>
      <c r="F347" s="447">
        <f t="shared" si="161"/>
        <v>355.12745513172439</v>
      </c>
      <c r="G347" s="447">
        <f t="shared" si="161"/>
        <v>341.44017248467929</v>
      </c>
      <c r="H347" s="447">
        <f t="shared" si="161"/>
        <v>331.54518174030574</v>
      </c>
      <c r="I347" s="447">
        <f t="shared" si="161"/>
        <v>324.27626536548996</v>
      </c>
      <c r="J347" s="447">
        <f t="shared" si="161"/>
        <v>318.26438348334614</v>
      </c>
      <c r="K347" s="447">
        <f t="shared" si="161"/>
        <v>313.69320155784925</v>
      </c>
      <c r="L347" s="447">
        <f t="shared" si="161"/>
        <v>310.01149845005551</v>
      </c>
      <c r="M347" s="447">
        <f t="shared" si="161"/>
        <v>306.41135020081765</v>
      </c>
      <c r="N347" s="447">
        <f t="shared" si="161"/>
        <v>302.8692957415538</v>
      </c>
    </row>
    <row r="348" spans="1:14">
      <c r="B348" s="331" t="str">
        <f t="shared" si="153"/>
        <v>60-64</v>
      </c>
      <c r="C348" s="447">
        <f t="shared" ref="C348:N348" si="162">C311+C255</f>
        <v>138.38151638462702</v>
      </c>
      <c r="D348" s="447">
        <f t="shared" si="162"/>
        <v>137.0801203056181</v>
      </c>
      <c r="E348" s="447">
        <f t="shared" si="162"/>
        <v>132.14393909234443</v>
      </c>
      <c r="F348" s="447">
        <f t="shared" si="162"/>
        <v>126.77229221309959</v>
      </c>
      <c r="G348" s="447">
        <f t="shared" si="162"/>
        <v>122.09874431396442</v>
      </c>
      <c r="H348" s="447">
        <f t="shared" si="162"/>
        <v>118.40960673168719</v>
      </c>
      <c r="I348" s="447">
        <f t="shared" si="162"/>
        <v>115.46840840245241</v>
      </c>
      <c r="J348" s="447">
        <f t="shared" si="162"/>
        <v>112.7715744955642</v>
      </c>
      <c r="K348" s="447">
        <f t="shared" si="162"/>
        <v>110.56309195807535</v>
      </c>
      <c r="L348" s="447">
        <f t="shared" si="162"/>
        <v>108.64755746203224</v>
      </c>
      <c r="M348" s="447">
        <f t="shared" si="162"/>
        <v>106.68311366158404</v>
      </c>
      <c r="N348" s="447">
        <f t="shared" si="162"/>
        <v>104.7306070554871</v>
      </c>
    </row>
    <row r="349" spans="1:14">
      <c r="B349" s="331" t="str">
        <f t="shared" si="153"/>
        <v>65 plus</v>
      </c>
      <c r="C349" s="447">
        <f t="shared" ref="C349:N349" si="163">C312+C256</f>
        <v>47.268774379637946</v>
      </c>
      <c r="D349" s="447">
        <f t="shared" si="163"/>
        <v>47.841212886520694</v>
      </c>
      <c r="E349" s="447">
        <f t="shared" si="163"/>
        <v>47.806708024782374</v>
      </c>
      <c r="F349" s="447">
        <f t="shared" si="163"/>
        <v>47.343325451465539</v>
      </c>
      <c r="G349" s="447">
        <f t="shared" si="163"/>
        <v>46.536998473769685</v>
      </c>
      <c r="H349" s="447">
        <f t="shared" si="163"/>
        <v>45.627675728943139</v>
      </c>
      <c r="I349" s="447">
        <f t="shared" si="163"/>
        <v>44.71056100352321</v>
      </c>
      <c r="J349" s="447">
        <f t="shared" si="163"/>
        <v>43.73996951962458</v>
      </c>
      <c r="K349" s="447">
        <f t="shared" si="163"/>
        <v>42.830824239818504</v>
      </c>
      <c r="L349" s="447">
        <f t="shared" si="163"/>
        <v>41.975335132087743</v>
      </c>
      <c r="M349" s="447">
        <f t="shared" si="163"/>
        <v>41.093110010278181</v>
      </c>
      <c r="N349" s="447">
        <f t="shared" si="163"/>
        <v>40.197726650470173</v>
      </c>
    </row>
    <row r="350" spans="1:14">
      <c r="B350" s="331" t="str">
        <f t="shared" si="153"/>
        <v>Total</v>
      </c>
      <c r="C350" s="447">
        <f t="shared" ref="C350:N350" si="164">SUM(C340:C349)</f>
        <v>6783.1699044169463</v>
      </c>
      <c r="D350" s="447">
        <f t="shared" si="164"/>
        <v>6836.9710075598314</v>
      </c>
      <c r="E350" s="447">
        <f t="shared" si="164"/>
        <v>6886.0262754172363</v>
      </c>
      <c r="F350" s="447">
        <f t="shared" si="164"/>
        <v>6937.7494942667226</v>
      </c>
      <c r="G350" s="447">
        <f t="shared" si="164"/>
        <v>7003.7624796008095</v>
      </c>
      <c r="H350" s="447">
        <f t="shared" si="164"/>
        <v>7084.6449887377903</v>
      </c>
      <c r="I350" s="447">
        <f t="shared" si="164"/>
        <v>7165.5100383783747</v>
      </c>
      <c r="J350" s="447">
        <f t="shared" si="164"/>
        <v>7218.6955762401958</v>
      </c>
      <c r="K350" s="447">
        <f t="shared" si="164"/>
        <v>7260.4460052975892</v>
      </c>
      <c r="L350" s="447">
        <f t="shared" si="164"/>
        <v>7284.0932338287066</v>
      </c>
      <c r="M350" s="447">
        <f t="shared" si="164"/>
        <v>7273.1007270099281</v>
      </c>
      <c r="N350" s="447">
        <f t="shared" si="164"/>
        <v>7233.1843573845308</v>
      </c>
    </row>
    <row r="351" spans="1:14">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4">
      <c r="B353" s="334" t="s">
        <v>47</v>
      </c>
      <c r="C353" s="322"/>
      <c r="D353" s="322"/>
      <c r="E353" s="322"/>
      <c r="F353" s="322"/>
      <c r="G353" s="322"/>
      <c r="H353" s="332"/>
      <c r="I353" s="322"/>
      <c r="J353" s="322"/>
      <c r="K353" s="322"/>
      <c r="L353" s="322"/>
    </row>
    <row r="354" spans="1:14">
      <c r="C354" s="322"/>
      <c r="D354" s="322"/>
      <c r="E354" s="322"/>
      <c r="F354" s="322"/>
      <c r="G354" s="322"/>
      <c r="H354" s="332"/>
      <c r="I354" s="322"/>
      <c r="J354" s="322"/>
      <c r="K354" s="322"/>
      <c r="L354" s="322"/>
    </row>
    <row r="355" spans="1:14">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4">
      <c r="B356" s="331" t="str">
        <f t="shared" si="166"/>
        <v>20-24</v>
      </c>
      <c r="C356" s="447">
        <f t="shared" ref="C356:N356" si="168">C319+C263</f>
        <v>301.54984414431647</v>
      </c>
      <c r="D356" s="447">
        <f t="shared" si="168"/>
        <v>343.30997919239644</v>
      </c>
      <c r="E356" s="447">
        <f t="shared" si="168"/>
        <v>374.55156803967026</v>
      </c>
      <c r="F356" s="447">
        <f t="shared" si="168"/>
        <v>393.87533287533449</v>
      </c>
      <c r="G356" s="447">
        <f t="shared" si="168"/>
        <v>409.31414680204938</v>
      </c>
      <c r="H356" s="447">
        <f t="shared" si="168"/>
        <v>422.52517554003248</v>
      </c>
      <c r="I356" s="447">
        <f t="shared" si="168"/>
        <v>432.383480116334</v>
      </c>
      <c r="J356" s="447">
        <f t="shared" si="168"/>
        <v>435.94440140077029</v>
      </c>
      <c r="K356" s="447">
        <f t="shared" si="168"/>
        <v>437.13360362842104</v>
      </c>
      <c r="L356" s="447">
        <f t="shared" si="168"/>
        <v>435.58563395198485</v>
      </c>
      <c r="M356" s="447">
        <f t="shared" si="168"/>
        <v>429.46050871356016</v>
      </c>
      <c r="N356" s="447">
        <f t="shared" si="168"/>
        <v>420.45761183952362</v>
      </c>
    </row>
    <row r="357" spans="1:14">
      <c r="B357" s="331" t="str">
        <f t="shared" si="166"/>
        <v>25-29</v>
      </c>
      <c r="C357" s="447">
        <f t="shared" ref="C357:N357" si="169">C320+C264</f>
        <v>638.12324481868018</v>
      </c>
      <c r="D357" s="447">
        <f t="shared" si="169"/>
        <v>644.41133890878086</v>
      </c>
      <c r="E357" s="447">
        <f t="shared" si="169"/>
        <v>658.55264183862721</v>
      </c>
      <c r="F357" s="447">
        <f t="shared" si="169"/>
        <v>671.70173937618551</v>
      </c>
      <c r="G357" s="447">
        <f t="shared" si="169"/>
        <v>686.71184124786328</v>
      </c>
      <c r="H357" s="447">
        <f t="shared" si="169"/>
        <v>702.76950197533176</v>
      </c>
      <c r="I357" s="447">
        <f t="shared" si="169"/>
        <v>717.29571749447939</v>
      </c>
      <c r="J357" s="447">
        <f t="shared" si="169"/>
        <v>726.051656801229</v>
      </c>
      <c r="K357" s="447">
        <f t="shared" si="169"/>
        <v>731.58540703068229</v>
      </c>
      <c r="L357" s="447">
        <f t="shared" si="169"/>
        <v>733.28493669107593</v>
      </c>
      <c r="M357" s="447">
        <f t="shared" si="169"/>
        <v>729.03042067172623</v>
      </c>
      <c r="N357" s="447">
        <f t="shared" si="169"/>
        <v>720.01706030997752</v>
      </c>
    </row>
    <row r="358" spans="1:14">
      <c r="B358" s="331" t="str">
        <f t="shared" si="166"/>
        <v>30-34</v>
      </c>
      <c r="C358" s="447">
        <f t="shared" ref="C358:N358" si="170">C321+C265</f>
        <v>684.15162864100262</v>
      </c>
      <c r="D358" s="447">
        <f t="shared" si="170"/>
        <v>681.13733968681186</v>
      </c>
      <c r="E358" s="447">
        <f t="shared" si="170"/>
        <v>680.75451742035898</v>
      </c>
      <c r="F358" s="447">
        <f t="shared" si="170"/>
        <v>681.50422691415338</v>
      </c>
      <c r="G358" s="447">
        <f t="shared" si="170"/>
        <v>685.59007512055541</v>
      </c>
      <c r="H358" s="447">
        <f t="shared" si="170"/>
        <v>692.63199333397358</v>
      </c>
      <c r="I358" s="447">
        <f t="shared" si="170"/>
        <v>701.06707753285059</v>
      </c>
      <c r="J358" s="447">
        <f t="shared" si="170"/>
        <v>708.19483582921339</v>
      </c>
      <c r="K358" s="447">
        <f t="shared" si="170"/>
        <v>714.3030015417512</v>
      </c>
      <c r="L358" s="447">
        <f t="shared" si="170"/>
        <v>718.52186964829139</v>
      </c>
      <c r="M358" s="447">
        <f t="shared" si="170"/>
        <v>719.30553095574953</v>
      </c>
      <c r="N358" s="447">
        <f t="shared" si="170"/>
        <v>716.649512744199</v>
      </c>
    </row>
    <row r="359" spans="1:14">
      <c r="B359" s="331" t="str">
        <f t="shared" si="166"/>
        <v>35-39</v>
      </c>
      <c r="C359" s="447">
        <f t="shared" ref="C359:N359" si="171">C322+C266</f>
        <v>612.9836737330611</v>
      </c>
      <c r="D359" s="447">
        <f t="shared" si="171"/>
        <v>624.25078605405156</v>
      </c>
      <c r="E359" s="447">
        <f t="shared" si="171"/>
        <v>632.28666430338967</v>
      </c>
      <c r="F359" s="447">
        <f t="shared" si="171"/>
        <v>636.82324211864591</v>
      </c>
      <c r="G359" s="447">
        <f t="shared" si="171"/>
        <v>641.13330503219208</v>
      </c>
      <c r="H359" s="447">
        <f t="shared" si="171"/>
        <v>646.04155035848169</v>
      </c>
      <c r="I359" s="447">
        <f t="shared" si="171"/>
        <v>651.22850528695972</v>
      </c>
      <c r="J359" s="447">
        <f t="shared" si="171"/>
        <v>655.35338440089129</v>
      </c>
      <c r="K359" s="447">
        <f t="shared" si="171"/>
        <v>659.18826066663735</v>
      </c>
      <c r="L359" s="447">
        <f t="shared" si="171"/>
        <v>662.2012810598203</v>
      </c>
      <c r="M359" s="447">
        <f t="shared" si="171"/>
        <v>663.24557860895459</v>
      </c>
      <c r="N359" s="447">
        <f t="shared" si="171"/>
        <v>662.31959044024552</v>
      </c>
    </row>
    <row r="360" spans="1:14">
      <c r="B360" s="331" t="str">
        <f t="shared" si="166"/>
        <v>40-44</v>
      </c>
      <c r="C360" s="447">
        <f t="shared" ref="C360:N360" si="172">C323+C267</f>
        <v>581.07324245690404</v>
      </c>
      <c r="D360" s="447">
        <f t="shared" si="172"/>
        <v>580.96537537340384</v>
      </c>
      <c r="E360" s="447">
        <f t="shared" si="172"/>
        <v>583.19980773967973</v>
      </c>
      <c r="F360" s="447">
        <f t="shared" si="172"/>
        <v>585.17961061488404</v>
      </c>
      <c r="G360" s="447">
        <f t="shared" si="172"/>
        <v>588.19632571031775</v>
      </c>
      <c r="H360" s="447">
        <f t="shared" si="172"/>
        <v>592.061063791827</v>
      </c>
      <c r="I360" s="447">
        <f t="shared" si="172"/>
        <v>596.05548656439828</v>
      </c>
      <c r="J360" s="447">
        <f t="shared" si="172"/>
        <v>598.89034554942543</v>
      </c>
      <c r="K360" s="447">
        <f t="shared" si="172"/>
        <v>601.30675453680419</v>
      </c>
      <c r="L360" s="447">
        <f t="shared" si="172"/>
        <v>603.00021560860102</v>
      </c>
      <c r="M360" s="447">
        <f t="shared" si="172"/>
        <v>603.13531941534302</v>
      </c>
      <c r="N360" s="447">
        <f t="shared" si="172"/>
        <v>601.85248025013368</v>
      </c>
    </row>
    <row r="361" spans="1:14">
      <c r="B361" s="331" t="str">
        <f t="shared" si="166"/>
        <v>45-49</v>
      </c>
      <c r="C361" s="447">
        <f t="shared" ref="C361:N361" si="173">C324+C268</f>
        <v>480.75208038385802</v>
      </c>
      <c r="D361" s="447">
        <f t="shared" si="173"/>
        <v>488.75240995596067</v>
      </c>
      <c r="E361" s="447">
        <f t="shared" si="173"/>
        <v>494.61142515161055</v>
      </c>
      <c r="F361" s="447">
        <f t="shared" si="173"/>
        <v>498.25363829201154</v>
      </c>
      <c r="G361" s="447">
        <f t="shared" si="173"/>
        <v>501.84023477206472</v>
      </c>
      <c r="H361" s="447">
        <f t="shared" si="173"/>
        <v>505.68164563974358</v>
      </c>
      <c r="I361" s="447">
        <f t="shared" si="173"/>
        <v>509.37849813883349</v>
      </c>
      <c r="J361" s="447">
        <f t="shared" si="173"/>
        <v>511.94276182998311</v>
      </c>
      <c r="K361" s="447">
        <f t="shared" si="173"/>
        <v>513.98071508803582</v>
      </c>
      <c r="L361" s="447">
        <f t="shared" si="173"/>
        <v>515.26923454118798</v>
      </c>
      <c r="M361" s="447">
        <f t="shared" si="173"/>
        <v>515.17599828142875</v>
      </c>
      <c r="N361" s="447">
        <f t="shared" si="173"/>
        <v>513.8664689198315</v>
      </c>
    </row>
    <row r="362" spans="1:14">
      <c r="B362" s="331" t="str">
        <f t="shared" si="166"/>
        <v>50-54</v>
      </c>
      <c r="C362" s="447">
        <f t="shared" ref="C362:N362" si="174">C325+C269</f>
        <v>413.22800327636406</v>
      </c>
      <c r="D362" s="447">
        <f t="shared" si="174"/>
        <v>401.41623346240766</v>
      </c>
      <c r="E362" s="447">
        <f t="shared" si="174"/>
        <v>394.5154247219092</v>
      </c>
      <c r="F362" s="447">
        <f t="shared" si="174"/>
        <v>389.91920764167111</v>
      </c>
      <c r="G362" s="447">
        <f t="shared" si="174"/>
        <v>387.78498911516476</v>
      </c>
      <c r="H362" s="447">
        <f t="shared" si="174"/>
        <v>387.44533535227771</v>
      </c>
      <c r="I362" s="447">
        <f t="shared" si="174"/>
        <v>388.05057950242008</v>
      </c>
      <c r="J362" s="447">
        <f t="shared" si="174"/>
        <v>388.51294535110827</v>
      </c>
      <c r="K362" s="447">
        <f t="shared" si="174"/>
        <v>389.0470184949877</v>
      </c>
      <c r="L362" s="447">
        <f t="shared" si="174"/>
        <v>389.32094955978738</v>
      </c>
      <c r="M362" s="447">
        <f t="shared" si="174"/>
        <v>388.75460316015148</v>
      </c>
      <c r="N362" s="447">
        <f t="shared" si="174"/>
        <v>387.40303833462724</v>
      </c>
    </row>
    <row r="363" spans="1:14">
      <c r="B363" s="331" t="str">
        <f t="shared" si="166"/>
        <v>55-59</v>
      </c>
      <c r="C363" s="447">
        <f t="shared" ref="C363:N363" si="175">C326+C270</f>
        <v>185.0155524832449</v>
      </c>
      <c r="D363" s="447">
        <f t="shared" si="175"/>
        <v>191.00579586839024</v>
      </c>
      <c r="E363" s="447">
        <f t="shared" si="175"/>
        <v>193.00919434680841</v>
      </c>
      <c r="F363" s="447">
        <f t="shared" si="175"/>
        <v>192.80446167777902</v>
      </c>
      <c r="G363" s="447">
        <f t="shared" si="175"/>
        <v>192.28047322901983</v>
      </c>
      <c r="H363" s="447">
        <f t="shared" si="175"/>
        <v>191.98641044590684</v>
      </c>
      <c r="I363" s="447">
        <f t="shared" si="175"/>
        <v>191.86913781053511</v>
      </c>
      <c r="J363" s="447">
        <f t="shared" si="175"/>
        <v>191.49504178155442</v>
      </c>
      <c r="K363" s="447">
        <f t="shared" si="175"/>
        <v>191.18494800939237</v>
      </c>
      <c r="L363" s="447">
        <f t="shared" si="175"/>
        <v>190.7826799183201</v>
      </c>
      <c r="M363" s="447">
        <f t="shared" si="175"/>
        <v>189.9444623270642</v>
      </c>
      <c r="N363" s="447">
        <f t="shared" si="175"/>
        <v>188.74723840567867</v>
      </c>
    </row>
    <row r="364" spans="1:14">
      <c r="B364" s="331" t="str">
        <f t="shared" si="166"/>
        <v>60-64</v>
      </c>
      <c r="C364" s="447">
        <f t="shared" ref="C364:N364" si="176">C327+C271</f>
        <v>53.021788514808414</v>
      </c>
      <c r="D364" s="447">
        <f t="shared" si="176"/>
        <v>59.063007134212015</v>
      </c>
      <c r="E364" s="447">
        <f t="shared" si="176"/>
        <v>63.015951627632084</v>
      </c>
      <c r="F364" s="447">
        <f t="shared" si="176"/>
        <v>65.112770291143192</v>
      </c>
      <c r="G364" s="447">
        <f t="shared" si="176"/>
        <v>66.293452139189796</v>
      </c>
      <c r="H364" s="447">
        <f t="shared" si="176"/>
        <v>66.997685658539112</v>
      </c>
      <c r="I364" s="447">
        <f t="shared" si="176"/>
        <v>67.372522639047943</v>
      </c>
      <c r="J364" s="447">
        <f t="shared" si="176"/>
        <v>67.345777441775297</v>
      </c>
      <c r="K364" s="447">
        <f t="shared" si="176"/>
        <v>67.206149235949056</v>
      </c>
      <c r="L364" s="447">
        <f t="shared" si="176"/>
        <v>66.945481258970943</v>
      </c>
      <c r="M364" s="447">
        <f t="shared" si="176"/>
        <v>66.437927795717201</v>
      </c>
      <c r="N364" s="447">
        <f t="shared" si="176"/>
        <v>65.765620883633488</v>
      </c>
    </row>
    <row r="365" spans="1:14">
      <c r="B365" s="331" t="str">
        <f t="shared" si="166"/>
        <v>65 plus</v>
      </c>
      <c r="C365" s="447">
        <f t="shared" ref="C365:N365" si="177">C328+C272</f>
        <v>14.869457715410991</v>
      </c>
      <c r="D365" s="447">
        <f t="shared" si="177"/>
        <v>19.152758316819337</v>
      </c>
      <c r="E365" s="447">
        <f t="shared" si="177"/>
        <v>22.741276576095252</v>
      </c>
      <c r="F365" s="447">
        <f t="shared" si="177"/>
        <v>25.515826256073716</v>
      </c>
      <c r="G365" s="447">
        <f t="shared" si="177"/>
        <v>27.623116064573409</v>
      </c>
      <c r="H365" s="447">
        <f t="shared" si="177"/>
        <v>29.189079045927858</v>
      </c>
      <c r="I365" s="447">
        <f t="shared" si="177"/>
        <v>30.308398635288661</v>
      </c>
      <c r="J365" s="447">
        <f t="shared" si="177"/>
        <v>31.019148622446505</v>
      </c>
      <c r="K365" s="447">
        <f t="shared" si="177"/>
        <v>31.450977866635316</v>
      </c>
      <c r="L365" s="447">
        <f t="shared" si="177"/>
        <v>31.666368796495068</v>
      </c>
      <c r="M365" s="447">
        <f t="shared" si="177"/>
        <v>31.67390663282789</v>
      </c>
      <c r="N365" s="447">
        <f t="shared" si="177"/>
        <v>31.519810221957254</v>
      </c>
    </row>
    <row r="366" spans="1:14">
      <c r="B366" s="331" t="str">
        <f t="shared" si="166"/>
        <v>Total</v>
      </c>
      <c r="C366" s="447">
        <f t="shared" ref="C366:N366" si="178">SUM(C356:C365)</f>
        <v>3964.7685161676509</v>
      </c>
      <c r="D366" s="447">
        <f t="shared" si="178"/>
        <v>4033.4650239532339</v>
      </c>
      <c r="E366" s="447">
        <f t="shared" si="178"/>
        <v>4097.2384717657815</v>
      </c>
      <c r="F366" s="447">
        <f t="shared" si="178"/>
        <v>4140.6900560578815</v>
      </c>
      <c r="G366" s="447">
        <f t="shared" si="178"/>
        <v>4186.7679592329896</v>
      </c>
      <c r="H366" s="447">
        <f t="shared" si="178"/>
        <v>4237.3294411420411</v>
      </c>
      <c r="I366" s="447">
        <f t="shared" si="178"/>
        <v>4285.0094037211466</v>
      </c>
      <c r="J366" s="447">
        <f t="shared" si="178"/>
        <v>4314.7502990083976</v>
      </c>
      <c r="K366" s="447">
        <f t="shared" si="178"/>
        <v>4336.3868360992956</v>
      </c>
      <c r="L366" s="447">
        <f t="shared" si="178"/>
        <v>4346.5786510345351</v>
      </c>
      <c r="M366" s="447">
        <f t="shared" si="178"/>
        <v>4336.1642565625225</v>
      </c>
      <c r="N366" s="447">
        <f t="shared" si="178"/>
        <v>4308.5984323498069</v>
      </c>
    </row>
    <row r="367" spans="1:14">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4">
      <c r="C368" s="322">
        <f>C350+C366</f>
        <v>10747.938420584596</v>
      </c>
      <c r="D368" s="322">
        <f t="shared" ref="D368:N368" si="180">D350+D366</f>
        <v>10870.436031513065</v>
      </c>
      <c r="E368" s="322">
        <f t="shared" si="180"/>
        <v>10983.264747183017</v>
      </c>
      <c r="F368" s="322">
        <f t="shared" si="180"/>
        <v>11078.439550324605</v>
      </c>
      <c r="G368" s="322">
        <f t="shared" si="180"/>
        <v>11190.530438833799</v>
      </c>
      <c r="H368" s="322">
        <f t="shared" si="180"/>
        <v>11321.974429879832</v>
      </c>
      <c r="I368" s="322">
        <f t="shared" si="180"/>
        <v>11450.519442099521</v>
      </c>
      <c r="J368" s="322">
        <f t="shared" si="180"/>
        <v>11533.445875248593</v>
      </c>
      <c r="K368" s="322">
        <f t="shared" si="180"/>
        <v>11596.832841396885</v>
      </c>
      <c r="L368" s="322">
        <f t="shared" si="180"/>
        <v>11630.671884863241</v>
      </c>
      <c r="M368" s="322">
        <f t="shared" si="180"/>
        <v>11609.264983572451</v>
      </c>
      <c r="N368" s="322">
        <f t="shared" si="180"/>
        <v>11541.782789734338</v>
      </c>
    </row>
    <row r="369" spans="1:14">
      <c r="C369" s="322">
        <f t="shared" ref="C369:N369" si="181">C36</f>
        <v>10747.938420584598</v>
      </c>
      <c r="D369" s="322">
        <f t="shared" si="181"/>
        <v>10870.436031513067</v>
      </c>
      <c r="E369" s="322">
        <f t="shared" si="181"/>
        <v>10983.264747183021</v>
      </c>
      <c r="F369" s="322">
        <f t="shared" si="181"/>
        <v>11078.439550324605</v>
      </c>
      <c r="G369" s="322">
        <f t="shared" si="181"/>
        <v>11190.530438833801</v>
      </c>
      <c r="H369" s="322">
        <f t="shared" si="181"/>
        <v>11321.974429879834</v>
      </c>
      <c r="I369" s="322">
        <f t="shared" si="181"/>
        <v>11450.519442099525</v>
      </c>
      <c r="J369" s="322">
        <f t="shared" si="181"/>
        <v>11533.445875248595</v>
      </c>
      <c r="K369" s="322">
        <f t="shared" si="181"/>
        <v>11596.832841396888</v>
      </c>
      <c r="L369" s="322">
        <f t="shared" si="181"/>
        <v>11630.671884863244</v>
      </c>
      <c r="M369" s="322">
        <f t="shared" si="181"/>
        <v>11609.264983572455</v>
      </c>
      <c r="N369" s="322">
        <f t="shared" si="181"/>
        <v>11541.782789734341</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Q371"/>
  <sheetViews>
    <sheetView showGridLines="0" workbookViewId="0"/>
  </sheetViews>
  <sheetFormatPr defaultColWidth="9.140625" defaultRowHeight="12.75"/>
  <cols>
    <col min="1" max="1" width="9.140625" style="302"/>
    <col min="2" max="2" width="28.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row>
    <row r="5" spans="1:17" s="343" customFormat="1">
      <c r="A5" s="682" t="s">
        <v>611</v>
      </c>
      <c r="B5" s="682"/>
      <c r="C5" s="682"/>
      <c r="D5" s="682"/>
      <c r="E5" s="682"/>
      <c r="F5" s="682"/>
      <c r="G5" s="682"/>
      <c r="H5" s="682"/>
      <c r="I5" s="682"/>
      <c r="J5" s="682"/>
      <c r="K5" s="682"/>
      <c r="L5" s="682"/>
      <c r="M5" s="682"/>
      <c r="N5" s="682"/>
      <c r="O5" s="342"/>
      <c r="P5" s="342"/>
      <c r="Q5" s="342"/>
    </row>
    <row r="6" spans="1:17" s="347" customFormat="1">
      <c r="A6" s="344" t="s">
        <v>1392</v>
      </c>
      <c r="B6" s="345"/>
      <c r="C6" s="345"/>
      <c r="D6" s="345"/>
      <c r="E6" s="340"/>
      <c r="F6" s="345"/>
      <c r="G6" s="345"/>
      <c r="H6" s="345"/>
      <c r="I6" s="345"/>
      <c r="J6" s="345"/>
      <c r="K6" s="345"/>
      <c r="L6" s="346"/>
      <c r="M6" s="346"/>
      <c r="N6" s="346"/>
      <c r="O6" s="346"/>
      <c r="P6" s="346"/>
      <c r="Q6" s="346"/>
    </row>
    <row r="7" spans="1:17" s="347" customFormat="1">
      <c r="A7" s="348" t="s">
        <v>1475</v>
      </c>
      <c r="B7" s="344"/>
      <c r="C7" s="345"/>
      <c r="D7" s="345"/>
      <c r="E7" s="340"/>
      <c r="F7" s="345"/>
      <c r="G7" s="345"/>
      <c r="H7" s="345"/>
      <c r="I7" s="345"/>
      <c r="J7" s="345"/>
      <c r="K7" s="345"/>
      <c r="L7" s="346"/>
      <c r="M7" s="346"/>
      <c r="N7" s="346"/>
      <c r="O7" s="346"/>
      <c r="P7" s="346"/>
      <c r="Q7" s="346"/>
    </row>
    <row r="8" spans="1:17" s="347" customFormat="1">
      <c r="A8" s="344" t="s">
        <v>24</v>
      </c>
      <c r="B8" s="345"/>
      <c r="C8" s="345"/>
      <c r="D8" s="345"/>
      <c r="E8" s="340"/>
      <c r="F8" s="345"/>
      <c r="G8" s="345"/>
      <c r="H8" s="345"/>
      <c r="I8" s="345"/>
      <c r="J8" s="345"/>
      <c r="K8" s="345"/>
      <c r="L8" s="346"/>
      <c r="M8" s="346"/>
      <c r="N8" s="346"/>
      <c r="O8" s="346"/>
      <c r="P8" s="346"/>
      <c r="Q8" s="346"/>
    </row>
    <row r="9" spans="1:17" s="347" customFormat="1">
      <c r="A9" s="348" t="s">
        <v>352</v>
      </c>
      <c r="B9" s="345"/>
      <c r="C9" s="345"/>
      <c r="D9" s="345"/>
      <c r="E9" s="340"/>
      <c r="F9" s="345"/>
      <c r="G9" s="345"/>
      <c r="H9" s="345"/>
      <c r="I9" s="345"/>
      <c r="J9" s="345"/>
      <c r="K9" s="345"/>
      <c r="L9" s="346"/>
      <c r="M9" s="346"/>
      <c r="N9" s="346"/>
      <c r="O9" s="346"/>
      <c r="P9" s="346"/>
      <c r="Q9" s="346"/>
    </row>
    <row r="10" spans="1:17" s="355" customFormat="1" ht="13.5" customHeight="1">
      <c r="A10" s="349">
        <f>SUM(A13:A2249)</f>
        <v>0</v>
      </c>
      <c r="B10" s="350"/>
      <c r="C10" s="351"/>
      <c r="D10" s="352"/>
      <c r="E10" s="352"/>
      <c r="F10" s="352"/>
      <c r="G10" s="353"/>
      <c r="H10" s="352"/>
      <c r="I10" s="352"/>
      <c r="J10" s="353"/>
      <c r="K10" s="354"/>
      <c r="L10" s="354"/>
      <c r="M10" s="354"/>
      <c r="N10" s="354"/>
      <c r="O10" s="354"/>
      <c r="P10" s="354"/>
      <c r="Q10" s="354"/>
    </row>
    <row r="12" spans="1:17" ht="15.75">
      <c r="B12" s="333" t="s">
        <v>190</v>
      </c>
    </row>
    <row r="14" spans="1:17">
      <c r="B14" s="319" t="str">
        <f>Forecast_stock_figures!B14</f>
        <v>Phase/subject</v>
      </c>
      <c r="C14" s="319" t="str">
        <f>Forecast_stock_figures!C38</f>
        <v>2017/18</v>
      </c>
      <c r="D14" s="319" t="str">
        <f>Forecast_stock_figures!D38</f>
        <v>2018/19</v>
      </c>
      <c r="E14" s="319" t="str">
        <f>Forecast_stock_figures!E38</f>
        <v>2019/20</v>
      </c>
      <c r="F14" s="319" t="str">
        <f>Forecast_stock_figures!F38</f>
        <v>2020/21</v>
      </c>
      <c r="G14" s="319" t="str">
        <f>Forecast_stock_figures!G38</f>
        <v>2021/22</v>
      </c>
      <c r="H14" s="319" t="str">
        <f>Forecast_stock_figures!H38</f>
        <v>2022/23</v>
      </c>
      <c r="I14" s="319" t="str">
        <f>Forecast_stock_figures!I38</f>
        <v>2023/24</v>
      </c>
      <c r="J14" s="319" t="str">
        <f>Forecast_stock_figures!J38</f>
        <v>2024/25</v>
      </c>
      <c r="K14" s="319" t="str">
        <f>Forecast_stock_figures!K38</f>
        <v>2025/26</v>
      </c>
      <c r="L14" s="319" t="str">
        <f>Forecast_stock_figures!L38</f>
        <v>2026/27</v>
      </c>
      <c r="M14" s="319" t="str">
        <f>Forecast_stock_figures!M38</f>
        <v>2027/28</v>
      </c>
      <c r="N14" s="319" t="str">
        <f>Forecast_stock_figures!N38</f>
        <v>2028/29</v>
      </c>
    </row>
    <row r="15" spans="1:17">
      <c r="B15" s="315" t="str">
        <f>Forecast_stock_figures!B34</f>
        <v>Religious Education</v>
      </c>
      <c r="C15" s="300">
        <f>Forecast_stock_figures!C58</f>
        <v>7314.6427209521516</v>
      </c>
      <c r="D15" s="300">
        <f>Forecast_stock_figures!D58</f>
        <v>7253.8944869877287</v>
      </c>
      <c r="E15" s="300">
        <f>Forecast_stock_figures!E58</f>
        <v>7249.5624630229613</v>
      </c>
      <c r="F15" s="300">
        <f>Forecast_stock_figures!F58</f>
        <v>7287.7369741211323</v>
      </c>
      <c r="G15" s="300">
        <f>Forecast_stock_figures!G58</f>
        <v>7301.1702138647452</v>
      </c>
      <c r="H15" s="300">
        <f>Forecast_stock_figures!H58</f>
        <v>7296.432424840199</v>
      </c>
      <c r="I15" s="300">
        <f>Forecast_stock_figures!I58</f>
        <v>7272.0769251326656</v>
      </c>
      <c r="J15" s="300">
        <f>Forecast_stock_figures!J58</f>
        <v>7288.0563023744571</v>
      </c>
      <c r="K15" s="300">
        <f>Forecast_stock_figures!K58</f>
        <v>7328.5650940326677</v>
      </c>
      <c r="L15" s="300">
        <f>Forecast_stock_figures!L58</f>
        <v>7335.0529973574376</v>
      </c>
      <c r="M15" s="300">
        <f>Forecast_stock_figures!M58</f>
        <v>7319.1753367670381</v>
      </c>
      <c r="N15" s="300">
        <f>Forecast_stock_figures!N58</f>
        <v>7308.7509548267399</v>
      </c>
    </row>
    <row r="17" spans="1:9" ht="15.75">
      <c r="B17" s="333" t="s">
        <v>162</v>
      </c>
    </row>
    <row r="19" spans="1:9">
      <c r="B19" s="1327" t="str">
        <f>Stock_ages_breakdowns!B73</f>
        <v>Age group</v>
      </c>
      <c r="C19" s="1325" t="str">
        <f>Stock_ages_breakdowns!AM73</f>
        <v>Religious Education</v>
      </c>
      <c r="D19" s="1332"/>
      <c r="H19" s="318" t="s">
        <v>133</v>
      </c>
    </row>
    <row r="20" spans="1:9">
      <c r="B20" s="1327"/>
      <c r="C20" s="356" t="str">
        <f>Stock_ages_breakdowns!AM74</f>
        <v>Male</v>
      </c>
      <c r="D20" s="356" t="str">
        <f>Stock_ages_breakdowns!AN74</f>
        <v>Female</v>
      </c>
    </row>
    <row r="21" spans="1:9">
      <c r="B21" s="356" t="str">
        <f>Stock_ages_breakdowns!B75</f>
        <v>20-24</v>
      </c>
      <c r="C21" s="324">
        <f>Stock_ages_breakdowns!AM20</f>
        <v>84.13304740290053</v>
      </c>
      <c r="D21" s="324">
        <f>Stock_ages_breakdowns!AN20</f>
        <v>296.41350982058594</v>
      </c>
    </row>
    <row r="22" spans="1:9">
      <c r="B22" s="356" t="str">
        <f>Stock_ages_breakdowns!B76</f>
        <v>25-29</v>
      </c>
      <c r="C22" s="324">
        <f>Stock_ages_breakdowns!AM21</f>
        <v>293.362404717625</v>
      </c>
      <c r="D22" s="324">
        <f>Stock_ages_breakdowns!AN21</f>
        <v>927.01859435089614</v>
      </c>
    </row>
    <row r="23" spans="1:9">
      <c r="B23" s="356" t="str">
        <f>Stock_ages_breakdowns!B77</f>
        <v>30-34</v>
      </c>
      <c r="C23" s="324">
        <f>Stock_ages_breakdowns!AM22</f>
        <v>387.42630388890353</v>
      </c>
      <c r="D23" s="324">
        <f>Stock_ages_breakdowns!AN22</f>
        <v>928.21842216934488</v>
      </c>
    </row>
    <row r="24" spans="1:9">
      <c r="B24" s="356" t="str">
        <f>Stock_ages_breakdowns!B78</f>
        <v>35-39</v>
      </c>
      <c r="C24" s="324">
        <f>Stock_ages_breakdowns!AM23</f>
        <v>375.4940712724042</v>
      </c>
      <c r="D24" s="324">
        <f>Stock_ages_breakdowns!AN23</f>
        <v>829.55334842823527</v>
      </c>
    </row>
    <row r="25" spans="1:9">
      <c r="B25" s="356" t="str">
        <f>Stock_ages_breakdowns!B79</f>
        <v>40-44</v>
      </c>
      <c r="C25" s="324">
        <f>Stock_ages_breakdowns!AM24</f>
        <v>364.24931297723447</v>
      </c>
      <c r="D25" s="324">
        <f>Stock_ages_breakdowns!AN24</f>
        <v>755.63034542202581</v>
      </c>
    </row>
    <row r="26" spans="1:9">
      <c r="B26" s="356" t="str">
        <f>Stock_ages_breakdowns!B80</f>
        <v>45-49</v>
      </c>
      <c r="C26" s="324">
        <f>Stock_ages_breakdowns!AM25</f>
        <v>280.56757695558531</v>
      </c>
      <c r="D26" s="324">
        <f>Stock_ages_breakdowns!AN25</f>
        <v>465.90244832458916</v>
      </c>
    </row>
    <row r="27" spans="1:9">
      <c r="B27" s="356" t="str">
        <f>Stock_ages_breakdowns!B81</f>
        <v>50-54</v>
      </c>
      <c r="C27" s="324">
        <f>Stock_ages_breakdowns!AM26</f>
        <v>244.95800821538646</v>
      </c>
      <c r="D27" s="324">
        <f>Stock_ages_breakdowns!AN26</f>
        <v>426.20305782125439</v>
      </c>
    </row>
    <row r="28" spans="1:9">
      <c r="B28" s="356" t="str">
        <f>Stock_ages_breakdowns!B82</f>
        <v>55-59</v>
      </c>
      <c r="C28" s="324">
        <f>Stock_ages_breakdowns!AM27</f>
        <v>160.65684482124374</v>
      </c>
      <c r="D28" s="324">
        <f>Stock_ages_breakdowns!AN27</f>
        <v>328.66976494975745</v>
      </c>
    </row>
    <row r="29" spans="1:9">
      <c r="B29" s="356" t="str">
        <f>Stock_ages_breakdowns!B83</f>
        <v>60-64</v>
      </c>
      <c r="C29" s="324">
        <f>Stock_ages_breakdowns!AM28</f>
        <v>54.63469508244021</v>
      </c>
      <c r="D29" s="324">
        <f>Stock_ages_breakdowns!AN28</f>
        <v>79.642949470140309</v>
      </c>
      <c r="F29" s="318"/>
    </row>
    <row r="30" spans="1:9">
      <c r="B30" s="356" t="str">
        <f>Stock_ages_breakdowns!B84</f>
        <v>65 plus</v>
      </c>
      <c r="C30" s="324">
        <f>Stock_ages_breakdowns!AM29</f>
        <v>18.039446274541636</v>
      </c>
      <c r="D30" s="324">
        <f>Stock_ages_breakdowns!AN29</f>
        <v>13.868568587056776</v>
      </c>
      <c r="G30" s="319" t="s">
        <v>46</v>
      </c>
      <c r="H30" s="319" t="s">
        <v>47</v>
      </c>
    </row>
    <row r="31" spans="1:9">
      <c r="A31" s="302">
        <f>I31</f>
        <v>0</v>
      </c>
      <c r="B31" s="356" t="str">
        <f>Stock_ages_breakdowns!B85</f>
        <v>Total</v>
      </c>
      <c r="C31" s="324">
        <f>Stock_ages_breakdowns!AM30</f>
        <v>2263.5217116082654</v>
      </c>
      <c r="D31" s="324">
        <f>Stock_ages_breakdowns!AN30</f>
        <v>5051.1210093438867</v>
      </c>
      <c r="E31" s="320">
        <f>SUM(C31:D31)</f>
        <v>7314.6427209521516</v>
      </c>
      <c r="G31" s="359">
        <f>C31/$E$31</f>
        <v>0.30945075487072066</v>
      </c>
      <c r="H31" s="359">
        <f>D31/$E$31</f>
        <v>0.6905492451292794</v>
      </c>
      <c r="I31" s="302">
        <f>(G31+H31)-1</f>
        <v>0</v>
      </c>
    </row>
    <row r="33" spans="2:14" ht="15.75">
      <c r="B33" s="333" t="s">
        <v>263</v>
      </c>
      <c r="H33" s="318"/>
    </row>
    <row r="34" spans="2:14">
      <c r="H34" s="318"/>
    </row>
    <row r="35" spans="2:14">
      <c r="B35" s="319" t="str">
        <f>B14</f>
        <v>Phase/subject</v>
      </c>
      <c r="C35" s="319" t="str">
        <f>C14</f>
        <v>2017/18</v>
      </c>
      <c r="D35" s="319" t="str">
        <f t="shared" ref="D35:N35" si="0">D14</f>
        <v>2018/19</v>
      </c>
      <c r="E35" s="319" t="str">
        <f t="shared" si="0"/>
        <v>2019/20</v>
      </c>
      <c r="F35" s="319" t="str">
        <f t="shared" si="0"/>
        <v>2020/21</v>
      </c>
      <c r="G35" s="319" t="str">
        <f t="shared" si="0"/>
        <v>2021/22</v>
      </c>
      <c r="H35" s="319" t="str">
        <f t="shared" si="0"/>
        <v>2022/23</v>
      </c>
      <c r="I35" s="319" t="str">
        <f t="shared" si="0"/>
        <v>2023/24</v>
      </c>
      <c r="J35" s="319" t="str">
        <f t="shared" si="0"/>
        <v>2024/25</v>
      </c>
      <c r="K35" s="319" t="str">
        <f t="shared" si="0"/>
        <v>2025/26</v>
      </c>
      <c r="L35" s="319" t="str">
        <f t="shared" si="0"/>
        <v>2026/27</v>
      </c>
      <c r="M35" s="319" t="str">
        <f t="shared" si="0"/>
        <v>2027/28</v>
      </c>
      <c r="N35" s="319" t="str">
        <f t="shared" si="0"/>
        <v>2028/29</v>
      </c>
    </row>
    <row r="36" spans="2:14">
      <c r="B36" s="315" t="str">
        <f>B15</f>
        <v>Religious Education</v>
      </c>
      <c r="C36" s="300">
        <f>Teacher_need_by_subject!C641</f>
        <v>7253.8944869877287</v>
      </c>
      <c r="D36" s="300">
        <f>Teacher_need_by_subject!D641</f>
        <v>7249.5624630229613</v>
      </c>
      <c r="E36" s="300">
        <f>Teacher_need_by_subject!E641</f>
        <v>7287.7369741211323</v>
      </c>
      <c r="F36" s="300">
        <f>Teacher_need_by_subject!F641</f>
        <v>7301.1702138647452</v>
      </c>
      <c r="G36" s="300">
        <f>Teacher_need_by_subject!G641</f>
        <v>7296.432424840199</v>
      </c>
      <c r="H36" s="300">
        <f>Teacher_need_by_subject!H641</f>
        <v>7272.0769251326656</v>
      </c>
      <c r="I36" s="300">
        <f>Teacher_need_by_subject!I641</f>
        <v>7288.0563023744571</v>
      </c>
      <c r="J36" s="300">
        <f>Teacher_need_by_subject!J641</f>
        <v>7328.5650940326677</v>
      </c>
      <c r="K36" s="300">
        <f>Teacher_need_by_subject!K641</f>
        <v>7335.0529973574376</v>
      </c>
      <c r="L36" s="300">
        <f>Teacher_need_by_subject!L641</f>
        <v>7319.1753367670381</v>
      </c>
      <c r="M36" s="300">
        <f>Teacher_need_by_subject!M641</f>
        <v>7308.7509548267399</v>
      </c>
      <c r="N36" s="300">
        <f>Teacher_need_by_subject!N641</f>
        <v>7294.859870680898</v>
      </c>
    </row>
    <row r="37" spans="2:14">
      <c r="H37" s="318"/>
    </row>
    <row r="38" spans="2:14" ht="15.75">
      <c r="B38" s="333" t="s">
        <v>170</v>
      </c>
      <c r="H38" s="318"/>
    </row>
    <row r="39" spans="2:14">
      <c r="H39" s="318"/>
    </row>
    <row r="40" spans="2:14">
      <c r="B40" s="334" t="s">
        <v>46</v>
      </c>
      <c r="H40" s="318"/>
    </row>
    <row r="41" spans="2:14">
      <c r="H41" s="318"/>
    </row>
    <row r="42" spans="2:14">
      <c r="B42" s="331" t="str">
        <f>B19</f>
        <v>Age group</v>
      </c>
      <c r="C42" s="319" t="str">
        <f>C35</f>
        <v>2017/18</v>
      </c>
      <c r="D42" s="319" t="str">
        <f t="shared" ref="D42:N42" si="1">D35</f>
        <v>2018/19</v>
      </c>
      <c r="E42" s="319" t="str">
        <f t="shared" si="1"/>
        <v>2019/20</v>
      </c>
      <c r="F42" s="319" t="str">
        <f t="shared" si="1"/>
        <v>2020/21</v>
      </c>
      <c r="G42" s="319" t="str">
        <f t="shared" si="1"/>
        <v>2021/22</v>
      </c>
      <c r="H42" s="319" t="str">
        <f t="shared" si="1"/>
        <v>2022/23</v>
      </c>
      <c r="I42" s="319" t="str">
        <f t="shared" si="1"/>
        <v>2023/24</v>
      </c>
      <c r="J42" s="319" t="str">
        <f t="shared" si="1"/>
        <v>2024/25</v>
      </c>
      <c r="K42" s="319" t="str">
        <f t="shared" si="1"/>
        <v>2025/26</v>
      </c>
      <c r="L42" s="319" t="str">
        <f t="shared" si="1"/>
        <v>2026/27</v>
      </c>
      <c r="M42" s="319" t="str">
        <f t="shared" si="1"/>
        <v>2027/28</v>
      </c>
      <c r="N42" s="319" t="str">
        <f t="shared" si="1"/>
        <v>2028/29</v>
      </c>
    </row>
    <row r="43" spans="2:14">
      <c r="B43" s="356" t="str">
        <f>B21</f>
        <v>20-24</v>
      </c>
      <c r="C43" s="300">
        <f>C21</f>
        <v>84.13304740290053</v>
      </c>
      <c r="D43" s="300">
        <f>C340</f>
        <v>117.44650818540168</v>
      </c>
      <c r="E43" s="300">
        <f t="shared" ref="E43:L43" si="2">D340</f>
        <v>144.47563739632679</v>
      </c>
      <c r="F43" s="300">
        <f t="shared" si="2"/>
        <v>167.04646580864767</v>
      </c>
      <c r="G43" s="300">
        <f t="shared" si="2"/>
        <v>181.40893112087753</v>
      </c>
      <c r="H43" s="300">
        <f t="shared" si="2"/>
        <v>189.9437125331113</v>
      </c>
      <c r="I43" s="300">
        <f t="shared" si="2"/>
        <v>194.18309495204375</v>
      </c>
      <c r="J43" s="300">
        <f t="shared" si="2"/>
        <v>200.0602141240293</v>
      </c>
      <c r="K43" s="300">
        <f t="shared" si="2"/>
        <v>206.23575661663085</v>
      </c>
      <c r="L43" s="300">
        <f t="shared" si="2"/>
        <v>208.21027002209178</v>
      </c>
      <c r="M43" s="300">
        <f>L340</f>
        <v>207.87251008488039</v>
      </c>
      <c r="N43" s="300">
        <f>M340</f>
        <v>207.93487370835538</v>
      </c>
    </row>
    <row r="44" spans="2:14">
      <c r="B44" s="356" t="str">
        <f t="shared" ref="B44:C53" si="3">B22</f>
        <v>25-29</v>
      </c>
      <c r="C44" s="300">
        <f t="shared" si="3"/>
        <v>293.362404717625</v>
      </c>
      <c r="D44" s="300">
        <f t="shared" ref="D44:K53" si="4">C341</f>
        <v>286.89528811896025</v>
      </c>
      <c r="E44" s="300">
        <f t="shared" si="4"/>
        <v>292.41064233444627</v>
      </c>
      <c r="F44" s="300">
        <f t="shared" si="4"/>
        <v>304.49792373721323</v>
      </c>
      <c r="G44" s="300">
        <f t="shared" si="4"/>
        <v>315.98896197276156</v>
      </c>
      <c r="H44" s="300">
        <f t="shared" si="4"/>
        <v>325.3069428671875</v>
      </c>
      <c r="I44" s="300">
        <f t="shared" si="4"/>
        <v>331.79786636533555</v>
      </c>
      <c r="J44" s="300">
        <f t="shared" si="4"/>
        <v>340.22095725598103</v>
      </c>
      <c r="K44" s="300">
        <f t="shared" si="4"/>
        <v>349.46823327714014</v>
      </c>
      <c r="L44" s="300">
        <f t="shared" ref="L44:L53" si="5">K341</f>
        <v>354.86385141476956</v>
      </c>
      <c r="M44" s="300">
        <f t="shared" ref="M44:M53" si="6">L341</f>
        <v>357.36659859081652</v>
      </c>
      <c r="N44" s="300">
        <f t="shared" ref="N44:N53" si="7">M341</f>
        <v>359.42477790574003</v>
      </c>
    </row>
    <row r="45" spans="2:14">
      <c r="B45" s="356" t="str">
        <f t="shared" si="3"/>
        <v>30-34</v>
      </c>
      <c r="C45" s="300">
        <f t="shared" si="3"/>
        <v>387.42630388890353</v>
      </c>
      <c r="D45" s="300">
        <f t="shared" si="4"/>
        <v>371.87819533565914</v>
      </c>
      <c r="E45" s="300">
        <f t="shared" si="4"/>
        <v>361.66985660210423</v>
      </c>
      <c r="F45" s="300">
        <f t="shared" si="4"/>
        <v>356.23289249394043</v>
      </c>
      <c r="G45" s="300">
        <f t="shared" si="4"/>
        <v>353.99261170278999</v>
      </c>
      <c r="H45" s="300">
        <f t="shared" si="4"/>
        <v>353.66485604892688</v>
      </c>
      <c r="I45" s="300">
        <f t="shared" si="4"/>
        <v>354.2576236955818</v>
      </c>
      <c r="J45" s="300">
        <f t="shared" si="4"/>
        <v>357.37248722469218</v>
      </c>
      <c r="K45" s="300">
        <f t="shared" si="4"/>
        <v>362.28976211361947</v>
      </c>
      <c r="L45" s="300">
        <f t="shared" si="5"/>
        <v>366.46483628798609</v>
      </c>
      <c r="M45" s="300">
        <f t="shared" si="6"/>
        <v>369.69832028757151</v>
      </c>
      <c r="N45" s="300">
        <f t="shared" si="7"/>
        <v>372.72132028222126</v>
      </c>
    </row>
    <row r="46" spans="2:14">
      <c r="B46" s="356" t="str">
        <f t="shared" si="3"/>
        <v>35-39</v>
      </c>
      <c r="C46" s="300">
        <f t="shared" si="3"/>
        <v>375.4940712724042</v>
      </c>
      <c r="D46" s="300">
        <f t="shared" si="4"/>
        <v>372.84476293652068</v>
      </c>
      <c r="E46" s="300">
        <f t="shared" si="4"/>
        <v>370.15980965025926</v>
      </c>
      <c r="F46" s="300">
        <f t="shared" si="4"/>
        <v>366.83107837961199</v>
      </c>
      <c r="G46" s="300">
        <f t="shared" si="4"/>
        <v>363.15864477938646</v>
      </c>
      <c r="H46" s="300">
        <f t="shared" si="4"/>
        <v>359.41601025166131</v>
      </c>
      <c r="I46" s="300">
        <f t="shared" si="4"/>
        <v>355.90364944450641</v>
      </c>
      <c r="J46" s="300">
        <f t="shared" si="4"/>
        <v>354.49496719398894</v>
      </c>
      <c r="K46" s="300">
        <f t="shared" si="4"/>
        <v>354.79685838557805</v>
      </c>
      <c r="L46" s="300">
        <f t="shared" si="5"/>
        <v>355.03920274858069</v>
      </c>
      <c r="M46" s="300">
        <f t="shared" si="6"/>
        <v>355.3428855828675</v>
      </c>
      <c r="N46" s="300">
        <f t="shared" si="7"/>
        <v>356.28330582375287</v>
      </c>
    </row>
    <row r="47" spans="2:14">
      <c r="B47" s="356" t="str">
        <f t="shared" si="3"/>
        <v>40-44</v>
      </c>
      <c r="C47" s="300">
        <f t="shared" si="3"/>
        <v>364.24931297723447</v>
      </c>
      <c r="D47" s="300">
        <f t="shared" si="4"/>
        <v>356.23106933194367</v>
      </c>
      <c r="E47" s="300">
        <f t="shared" si="4"/>
        <v>351.90101095544554</v>
      </c>
      <c r="F47" s="300">
        <f t="shared" si="4"/>
        <v>348.50252957417428</v>
      </c>
      <c r="G47" s="300">
        <f t="shared" si="4"/>
        <v>345.32481329020328</v>
      </c>
      <c r="H47" s="300">
        <f t="shared" si="4"/>
        <v>341.79342336301028</v>
      </c>
      <c r="I47" s="300">
        <f t="shared" si="4"/>
        <v>337.92549120226238</v>
      </c>
      <c r="J47" s="300">
        <f t="shared" si="4"/>
        <v>335.36522444811141</v>
      </c>
      <c r="K47" s="300">
        <f t="shared" si="4"/>
        <v>333.87961645082595</v>
      </c>
      <c r="L47" s="300">
        <f t="shared" si="5"/>
        <v>332.06958815790244</v>
      </c>
      <c r="M47" s="300">
        <f t="shared" si="6"/>
        <v>330.21868759380396</v>
      </c>
      <c r="N47" s="300">
        <f t="shared" si="7"/>
        <v>329.00729624890437</v>
      </c>
    </row>
    <row r="48" spans="2:14">
      <c r="B48" s="356" t="str">
        <f t="shared" si="3"/>
        <v>45-49</v>
      </c>
      <c r="C48" s="300">
        <f t="shared" si="3"/>
        <v>280.56757695558531</v>
      </c>
      <c r="D48" s="300">
        <f t="shared" si="4"/>
        <v>286.68749372033125</v>
      </c>
      <c r="E48" s="300">
        <f t="shared" si="4"/>
        <v>291.45202319754026</v>
      </c>
      <c r="F48" s="300">
        <f t="shared" si="4"/>
        <v>294.27093579833553</v>
      </c>
      <c r="G48" s="300">
        <f t="shared" si="4"/>
        <v>295.72537194735253</v>
      </c>
      <c r="H48" s="300">
        <f t="shared" si="4"/>
        <v>295.79614084039599</v>
      </c>
      <c r="I48" s="300">
        <f t="shared" si="4"/>
        <v>294.73933834792149</v>
      </c>
      <c r="J48" s="300">
        <f t="shared" si="4"/>
        <v>294.0159457504401</v>
      </c>
      <c r="K48" s="300">
        <f t="shared" si="4"/>
        <v>293.55204489823495</v>
      </c>
      <c r="L48" s="300">
        <f t="shared" si="5"/>
        <v>292.32011000043065</v>
      </c>
      <c r="M48" s="300">
        <f t="shared" si="6"/>
        <v>290.63569293296524</v>
      </c>
      <c r="N48" s="300">
        <f t="shared" si="7"/>
        <v>289.14343502426323</v>
      </c>
    </row>
    <row r="49" spans="1:14">
      <c r="B49" s="356" t="str">
        <f t="shared" si="3"/>
        <v>50-54</v>
      </c>
      <c r="C49" s="300">
        <f t="shared" si="3"/>
        <v>244.95800821538646</v>
      </c>
      <c r="D49" s="300">
        <f t="shared" si="4"/>
        <v>234.37885019106011</v>
      </c>
      <c r="E49" s="300">
        <f t="shared" si="4"/>
        <v>229.34894046443327</v>
      </c>
      <c r="F49" s="300">
        <f t="shared" si="4"/>
        <v>226.65485278012869</v>
      </c>
      <c r="G49" s="300">
        <f t="shared" si="4"/>
        <v>225.28376965613234</v>
      </c>
      <c r="H49" s="300">
        <f t="shared" si="4"/>
        <v>224.26396036011505</v>
      </c>
      <c r="I49" s="300">
        <f t="shared" si="4"/>
        <v>223.21043388608118</v>
      </c>
      <c r="J49" s="300">
        <f t="shared" si="4"/>
        <v>222.83701511893887</v>
      </c>
      <c r="K49" s="300">
        <f t="shared" si="4"/>
        <v>222.83933183648895</v>
      </c>
      <c r="L49" s="300">
        <f t="shared" si="5"/>
        <v>222.29867955949473</v>
      </c>
      <c r="M49" s="300">
        <f t="shared" si="6"/>
        <v>221.36183945987784</v>
      </c>
      <c r="N49" s="300">
        <f t="shared" si="7"/>
        <v>220.45703975494143</v>
      </c>
    </row>
    <row r="50" spans="1:14">
      <c r="B50" s="356" t="str">
        <f t="shared" si="3"/>
        <v>55-59</v>
      </c>
      <c r="C50" s="300">
        <f t="shared" si="3"/>
        <v>160.65684482124374</v>
      </c>
      <c r="D50" s="300">
        <f t="shared" si="4"/>
        <v>140.88222246990688</v>
      </c>
      <c r="E50" s="300">
        <f t="shared" si="4"/>
        <v>128.08625437602214</v>
      </c>
      <c r="F50" s="300">
        <f t="shared" si="4"/>
        <v>119.83977203138019</v>
      </c>
      <c r="G50" s="300">
        <f t="shared" si="4"/>
        <v>114.38105316551201</v>
      </c>
      <c r="H50" s="300">
        <f t="shared" si="4"/>
        <v>110.68725319398104</v>
      </c>
      <c r="I50" s="300">
        <f t="shared" si="4"/>
        <v>108.08557645297071</v>
      </c>
      <c r="J50" s="300">
        <f t="shared" si="4"/>
        <v>106.72274143839084</v>
      </c>
      <c r="K50" s="300">
        <f t="shared" si="4"/>
        <v>106.10149933887189</v>
      </c>
      <c r="L50" s="300">
        <f t="shared" si="5"/>
        <v>105.42934341053537</v>
      </c>
      <c r="M50" s="300">
        <f t="shared" si="6"/>
        <v>104.72573956707734</v>
      </c>
      <c r="N50" s="300">
        <f t="shared" si="7"/>
        <v>104.19834188490937</v>
      </c>
    </row>
    <row r="51" spans="1:14">
      <c r="B51" s="356" t="str">
        <f t="shared" si="3"/>
        <v>60-64</v>
      </c>
      <c r="C51" s="300">
        <f t="shared" si="3"/>
        <v>54.63469508244021</v>
      </c>
      <c r="D51" s="300">
        <f t="shared" si="4"/>
        <v>52.222013912091491</v>
      </c>
      <c r="E51" s="300">
        <f t="shared" si="4"/>
        <v>48.802701332846752</v>
      </c>
      <c r="F51" s="300">
        <f t="shared" si="4"/>
        <v>45.538597799325515</v>
      </c>
      <c r="G51" s="300">
        <f t="shared" si="4"/>
        <v>42.761595674493726</v>
      </c>
      <c r="H51" s="300">
        <f t="shared" si="4"/>
        <v>40.539298148380254</v>
      </c>
      <c r="I51" s="300">
        <f t="shared" si="4"/>
        <v>38.814720946524346</v>
      </c>
      <c r="J51" s="300">
        <f t="shared" si="4"/>
        <v>37.783675487234952</v>
      </c>
      <c r="K51" s="300">
        <f t="shared" si="4"/>
        <v>37.211735062794006</v>
      </c>
      <c r="L51" s="300">
        <f t="shared" si="5"/>
        <v>36.687186897161212</v>
      </c>
      <c r="M51" s="300">
        <f t="shared" si="6"/>
        <v>36.22171588072618</v>
      </c>
      <c r="N51" s="300">
        <f t="shared" si="7"/>
        <v>35.912438667202281</v>
      </c>
    </row>
    <row r="52" spans="1:14">
      <c r="B52" s="356" t="str">
        <f t="shared" si="3"/>
        <v>65 plus</v>
      </c>
      <c r="C52" s="300">
        <f t="shared" si="3"/>
        <v>18.039446274541636</v>
      </c>
      <c r="D52" s="300">
        <f t="shared" si="4"/>
        <v>18.521534675315557</v>
      </c>
      <c r="E52" s="300">
        <f t="shared" si="4"/>
        <v>18.67987820262465</v>
      </c>
      <c r="F52" s="300">
        <f t="shared" si="4"/>
        <v>18.34480292267499</v>
      </c>
      <c r="G52" s="300">
        <f t="shared" si="4"/>
        <v>17.764710560199077</v>
      </c>
      <c r="H52" s="300">
        <f t="shared" si="4"/>
        <v>17.050489475734054</v>
      </c>
      <c r="I52" s="300">
        <f t="shared" si="4"/>
        <v>16.318570471153713</v>
      </c>
      <c r="J52" s="300">
        <f t="shared" si="4"/>
        <v>15.725895715906514</v>
      </c>
      <c r="K52" s="300">
        <f t="shared" si="4"/>
        <v>15.284125305453733</v>
      </c>
      <c r="L52" s="300">
        <f t="shared" si="5"/>
        <v>14.903405151776578</v>
      </c>
      <c r="M52" s="300">
        <f t="shared" si="6"/>
        <v>14.577601978214057</v>
      </c>
      <c r="N52" s="300">
        <f t="shared" si="7"/>
        <v>14.331118579948965</v>
      </c>
    </row>
    <row r="53" spans="1:14">
      <c r="B53" s="356" t="str">
        <f t="shared" si="3"/>
        <v>Total</v>
      </c>
      <c r="C53" s="300">
        <f t="shared" si="3"/>
        <v>2263.5217116082654</v>
      </c>
      <c r="D53" s="300">
        <f t="shared" si="4"/>
        <v>2237.987938877191</v>
      </c>
      <c r="E53" s="300">
        <f t="shared" si="4"/>
        <v>2236.9867545120496</v>
      </c>
      <c r="F53" s="300">
        <f t="shared" si="4"/>
        <v>2247.7598513254325</v>
      </c>
      <c r="G53" s="300">
        <f t="shared" si="4"/>
        <v>2255.7904638697091</v>
      </c>
      <c r="H53" s="300">
        <f t="shared" si="4"/>
        <v>2258.4620870825038</v>
      </c>
      <c r="I53" s="300">
        <f t="shared" si="4"/>
        <v>2255.2363657643814</v>
      </c>
      <c r="J53" s="300">
        <f t="shared" si="4"/>
        <v>2264.5991237577146</v>
      </c>
      <c r="K53" s="300">
        <f t="shared" si="4"/>
        <v>2281.658963285638</v>
      </c>
      <c r="L53" s="300">
        <f t="shared" si="5"/>
        <v>2288.286473650729</v>
      </c>
      <c r="M53" s="300">
        <f t="shared" si="6"/>
        <v>2288.0215919588004</v>
      </c>
      <c r="N53" s="300">
        <f t="shared" si="7"/>
        <v>2289.4139478802394</v>
      </c>
    </row>
    <row r="54" spans="1:14">
      <c r="A54" s="302">
        <f>SUM(C54:N54)</f>
        <v>0</v>
      </c>
      <c r="C54" s="302">
        <f>SUM(C43:C52)-C53</f>
        <v>0</v>
      </c>
      <c r="D54" s="302">
        <f t="shared" ref="D54:N54" si="8">SUM(D43:D52)-D53</f>
        <v>0</v>
      </c>
      <c r="E54" s="302">
        <f t="shared" si="8"/>
        <v>0</v>
      </c>
      <c r="F54" s="302">
        <f t="shared" si="8"/>
        <v>0</v>
      </c>
      <c r="G54" s="302">
        <f t="shared" si="8"/>
        <v>0</v>
      </c>
      <c r="H54" s="302">
        <f t="shared" si="8"/>
        <v>0</v>
      </c>
      <c r="I54" s="302">
        <f t="shared" si="8"/>
        <v>0</v>
      </c>
      <c r="J54" s="302">
        <f t="shared" si="8"/>
        <v>0</v>
      </c>
      <c r="K54" s="302">
        <f t="shared" si="8"/>
        <v>0</v>
      </c>
      <c r="L54" s="302">
        <f t="shared" si="8"/>
        <v>0</v>
      </c>
      <c r="M54" s="302">
        <f t="shared" si="8"/>
        <v>0</v>
      </c>
      <c r="N54" s="302">
        <f t="shared" si="8"/>
        <v>0</v>
      </c>
    </row>
    <row r="56" spans="1:14">
      <c r="B56" s="334" t="s">
        <v>47</v>
      </c>
      <c r="H56" s="318"/>
    </row>
    <row r="57" spans="1:14">
      <c r="H57" s="318"/>
    </row>
    <row r="58" spans="1:14">
      <c r="B58" s="331" t="str">
        <f t="shared" ref="B58:B69" si="9">B42</f>
        <v>Age group</v>
      </c>
      <c r="C58" s="331" t="str">
        <f t="shared" ref="C58:N58" si="10">C42</f>
        <v>2017/18</v>
      </c>
      <c r="D58" s="331" t="str">
        <f t="shared" si="10"/>
        <v>2018/19</v>
      </c>
      <c r="E58" s="331" t="str">
        <f t="shared" si="10"/>
        <v>2019/20</v>
      </c>
      <c r="F58" s="331" t="str">
        <f t="shared" si="10"/>
        <v>2020/21</v>
      </c>
      <c r="G58" s="331" t="str">
        <f t="shared" si="10"/>
        <v>2021/22</v>
      </c>
      <c r="H58" s="331" t="str">
        <f t="shared" si="10"/>
        <v>2022/23</v>
      </c>
      <c r="I58" s="331" t="str">
        <f t="shared" si="10"/>
        <v>2023/24</v>
      </c>
      <c r="J58" s="331" t="str">
        <f t="shared" si="10"/>
        <v>2024/25</v>
      </c>
      <c r="K58" s="331" t="str">
        <f t="shared" si="10"/>
        <v>2025/26</v>
      </c>
      <c r="L58" s="331" t="str">
        <f t="shared" si="10"/>
        <v>2026/27</v>
      </c>
      <c r="M58" s="331" t="str">
        <f t="shared" si="10"/>
        <v>2027/28</v>
      </c>
      <c r="N58" s="331" t="str">
        <f t="shared" si="10"/>
        <v>2028/29</v>
      </c>
    </row>
    <row r="59" spans="1:14">
      <c r="B59" s="331" t="str">
        <f t="shared" si="9"/>
        <v>20-24</v>
      </c>
      <c r="C59" s="300">
        <f t="shared" ref="C59:C69" si="11">D21</f>
        <v>296.41350982058594</v>
      </c>
      <c r="D59" s="300">
        <f>C356</f>
        <v>339.73447429686053</v>
      </c>
      <c r="E59" s="300">
        <f t="shared" ref="E59:L59" si="12">D356</f>
        <v>377.39251260175229</v>
      </c>
      <c r="F59" s="300">
        <f t="shared" si="12"/>
        <v>412.34838210943036</v>
      </c>
      <c r="G59" s="300">
        <f t="shared" si="12"/>
        <v>432.47800495837703</v>
      </c>
      <c r="H59" s="300">
        <f t="shared" si="12"/>
        <v>443.12323231500142</v>
      </c>
      <c r="I59" s="300">
        <f t="shared" si="12"/>
        <v>446.66556435763266</v>
      </c>
      <c r="J59" s="300">
        <f t="shared" si="12"/>
        <v>455.6133178641677</v>
      </c>
      <c r="K59" s="300">
        <f t="shared" si="12"/>
        <v>466.45669810470736</v>
      </c>
      <c r="L59" s="300">
        <f t="shared" si="12"/>
        <v>468.78996848559552</v>
      </c>
      <c r="M59" s="300">
        <f>L356</f>
        <v>466.57604286637411</v>
      </c>
      <c r="N59" s="300">
        <f>M356</f>
        <v>465.68848794330074</v>
      </c>
    </row>
    <row r="60" spans="1:14">
      <c r="B60" s="331" t="str">
        <f t="shared" si="9"/>
        <v>25-29</v>
      </c>
      <c r="C60" s="300">
        <f t="shared" si="11"/>
        <v>927.01859435089614</v>
      </c>
      <c r="D60" s="300">
        <f t="shared" ref="D60:L69" si="13">C357</f>
        <v>859.24547357876247</v>
      </c>
      <c r="E60" s="300">
        <f t="shared" si="13"/>
        <v>824.94135099923096</v>
      </c>
      <c r="F60" s="300">
        <f t="shared" si="13"/>
        <v>814.88752981832044</v>
      </c>
      <c r="G60" s="300">
        <f t="shared" si="13"/>
        <v>808.95994008146738</v>
      </c>
      <c r="H60" s="300">
        <f t="shared" si="13"/>
        <v>804.72615646684858</v>
      </c>
      <c r="I60" s="300">
        <f t="shared" si="13"/>
        <v>799.56211767793616</v>
      </c>
      <c r="J60" s="300">
        <f t="shared" si="13"/>
        <v>803.05970742149191</v>
      </c>
      <c r="K60" s="300">
        <f t="shared" si="13"/>
        <v>811.84913616245024</v>
      </c>
      <c r="L60" s="300">
        <f t="shared" ref="L60:L68" si="14">K357</f>
        <v>814.7583333482894</v>
      </c>
      <c r="M60" s="300">
        <f t="shared" ref="M60:N69" si="15">L357</f>
        <v>813.34768324525533</v>
      </c>
      <c r="N60" s="300">
        <f t="shared" ref="N60:N67" si="16">M357</f>
        <v>812.61150915690996</v>
      </c>
    </row>
    <row r="61" spans="1:14">
      <c r="B61" s="331" t="str">
        <f t="shared" si="9"/>
        <v>30-34</v>
      </c>
      <c r="C61" s="300">
        <f t="shared" si="11"/>
        <v>928.21842216934488</v>
      </c>
      <c r="D61" s="300">
        <f t="shared" si="13"/>
        <v>919.48766135910091</v>
      </c>
      <c r="E61" s="300">
        <f t="shared" si="13"/>
        <v>903.89031692584786</v>
      </c>
      <c r="F61" s="300">
        <f t="shared" si="13"/>
        <v>889.46036866465192</v>
      </c>
      <c r="G61" s="300">
        <f t="shared" si="13"/>
        <v>874.07193091826264</v>
      </c>
      <c r="H61" s="300">
        <f t="shared" si="13"/>
        <v>859.91603508024195</v>
      </c>
      <c r="I61" s="300">
        <f t="shared" si="13"/>
        <v>846.7559660447223</v>
      </c>
      <c r="J61" s="300">
        <f t="shared" si="13"/>
        <v>839.42904539261178</v>
      </c>
      <c r="K61" s="300">
        <f t="shared" si="13"/>
        <v>837.00261064162112</v>
      </c>
      <c r="L61" s="300">
        <f t="shared" si="14"/>
        <v>834.15075438737733</v>
      </c>
      <c r="M61" s="300">
        <f t="shared" si="15"/>
        <v>830.63792879193738</v>
      </c>
      <c r="N61" s="300">
        <f t="shared" si="16"/>
        <v>828.14207127856218</v>
      </c>
    </row>
    <row r="62" spans="1:14">
      <c r="B62" s="331" t="str">
        <f t="shared" si="9"/>
        <v>35-39</v>
      </c>
      <c r="C62" s="300">
        <f t="shared" si="11"/>
        <v>829.55334842823527</v>
      </c>
      <c r="D62" s="300">
        <f t="shared" si="13"/>
        <v>831.68449287761553</v>
      </c>
      <c r="E62" s="300">
        <f t="shared" si="13"/>
        <v>834.04103762730938</v>
      </c>
      <c r="F62" s="300">
        <f t="shared" si="13"/>
        <v>835.18154255103093</v>
      </c>
      <c r="G62" s="300">
        <f t="shared" si="13"/>
        <v>830.99102360362315</v>
      </c>
      <c r="H62" s="300">
        <f t="shared" si="13"/>
        <v>823.75664591987879</v>
      </c>
      <c r="I62" s="300">
        <f t="shared" si="13"/>
        <v>814.34871854989944</v>
      </c>
      <c r="J62" s="300">
        <f t="shared" si="13"/>
        <v>807.45680257849892</v>
      </c>
      <c r="K62" s="300">
        <f t="shared" si="13"/>
        <v>802.76512747736797</v>
      </c>
      <c r="L62" s="300">
        <f t="shared" si="14"/>
        <v>796.87118601479926</v>
      </c>
      <c r="M62" s="300">
        <f t="shared" si="15"/>
        <v>790.55919900880656</v>
      </c>
      <c r="N62" s="300">
        <f t="shared" si="16"/>
        <v>785.52832817264596</v>
      </c>
    </row>
    <row r="63" spans="1:14">
      <c r="B63" s="331" t="str">
        <f t="shared" si="9"/>
        <v>40-44</v>
      </c>
      <c r="C63" s="300">
        <f t="shared" si="11"/>
        <v>755.63034542202581</v>
      </c>
      <c r="D63" s="300">
        <f t="shared" si="13"/>
        <v>751.26554301323847</v>
      </c>
      <c r="E63" s="300">
        <f t="shared" si="13"/>
        <v>750.48474867856294</v>
      </c>
      <c r="F63" s="300">
        <f t="shared" si="13"/>
        <v>752.24097047673104</v>
      </c>
      <c r="G63" s="300">
        <f t="shared" si="13"/>
        <v>751.64978457596658</v>
      </c>
      <c r="H63" s="300">
        <f t="shared" si="13"/>
        <v>749.30607438221864</v>
      </c>
      <c r="I63" s="300">
        <f t="shared" si="13"/>
        <v>744.97729277904159</v>
      </c>
      <c r="J63" s="300">
        <f t="shared" si="13"/>
        <v>742.16975815009994</v>
      </c>
      <c r="K63" s="300">
        <f t="shared" si="13"/>
        <v>740.32152206218211</v>
      </c>
      <c r="L63" s="300">
        <f t="shared" si="14"/>
        <v>736.3851982831311</v>
      </c>
      <c r="M63" s="300">
        <f t="shared" si="15"/>
        <v>731.16271052144555</v>
      </c>
      <c r="N63" s="300">
        <f t="shared" si="16"/>
        <v>726.38857013520442</v>
      </c>
    </row>
    <row r="64" spans="1:14">
      <c r="B64" s="331" t="str">
        <f t="shared" si="9"/>
        <v>45-49</v>
      </c>
      <c r="C64" s="300">
        <f t="shared" si="11"/>
        <v>465.90244832458916</v>
      </c>
      <c r="D64" s="300">
        <f t="shared" si="13"/>
        <v>510.86465644227178</v>
      </c>
      <c r="E64" s="300">
        <f t="shared" si="13"/>
        <v>544.44921653301571</v>
      </c>
      <c r="F64" s="300">
        <f t="shared" si="13"/>
        <v>570.22922186290407</v>
      </c>
      <c r="G64" s="300">
        <f t="shared" si="13"/>
        <v>587.53273266615236</v>
      </c>
      <c r="H64" s="300">
        <f t="shared" si="13"/>
        <v>599.06227638686642</v>
      </c>
      <c r="I64" s="300">
        <f t="shared" si="13"/>
        <v>605.97100903744877</v>
      </c>
      <c r="J64" s="300">
        <f t="shared" si="13"/>
        <v>611.88868419701669</v>
      </c>
      <c r="K64" s="300">
        <f t="shared" si="13"/>
        <v>616.86422775725441</v>
      </c>
      <c r="L64" s="300">
        <f t="shared" si="14"/>
        <v>618.75401324491838</v>
      </c>
      <c r="M64" s="300">
        <f t="shared" si="15"/>
        <v>618.40232140395904</v>
      </c>
      <c r="N64" s="300">
        <f t="shared" si="16"/>
        <v>617.3749498971207</v>
      </c>
    </row>
    <row r="65" spans="1:14">
      <c r="B65" s="331" t="str">
        <f t="shared" si="9"/>
        <v>50-54</v>
      </c>
      <c r="C65" s="300">
        <f t="shared" si="11"/>
        <v>426.20305782125439</v>
      </c>
      <c r="D65" s="300">
        <f t="shared" si="13"/>
        <v>410.0925162568775</v>
      </c>
      <c r="E65" s="300">
        <f t="shared" si="13"/>
        <v>407.85105332772554</v>
      </c>
      <c r="F65" s="300">
        <f t="shared" si="13"/>
        <v>413.31670912056325</v>
      </c>
      <c r="G65" s="300">
        <f t="shared" si="13"/>
        <v>420.46251693201793</v>
      </c>
      <c r="H65" s="300">
        <f t="shared" si="13"/>
        <v>427.88823545084949</v>
      </c>
      <c r="I65" s="300">
        <f t="shared" si="13"/>
        <v>434.40792490123039</v>
      </c>
      <c r="J65" s="300">
        <f t="shared" si="13"/>
        <v>441.48806609874589</v>
      </c>
      <c r="K65" s="300">
        <f t="shared" si="13"/>
        <v>448.4194677383224</v>
      </c>
      <c r="L65" s="300">
        <f t="shared" si="14"/>
        <v>453.17038143799533</v>
      </c>
      <c r="M65" s="300">
        <f t="shared" si="15"/>
        <v>456.11415177173973</v>
      </c>
      <c r="N65" s="300">
        <f t="shared" si="16"/>
        <v>458.26226980474917</v>
      </c>
    </row>
    <row r="66" spans="1:14">
      <c r="B66" s="331" t="str">
        <f t="shared" si="9"/>
        <v>55-59</v>
      </c>
      <c r="C66" s="300">
        <f t="shared" si="11"/>
        <v>328.66976494975745</v>
      </c>
      <c r="D66" s="300">
        <f t="shared" si="13"/>
        <v>280.78510923828776</v>
      </c>
      <c r="E66" s="300">
        <f t="shared" si="13"/>
        <v>250.06273047704843</v>
      </c>
      <c r="F66" s="300">
        <f t="shared" si="13"/>
        <v>231.9127766037742</v>
      </c>
      <c r="G66" s="300">
        <f t="shared" si="13"/>
        <v>221.0240882542725</v>
      </c>
      <c r="H66" s="300">
        <f t="shared" si="13"/>
        <v>215.06746075175062</v>
      </c>
      <c r="I66" s="300">
        <f t="shared" si="13"/>
        <v>212.08729933727966</v>
      </c>
      <c r="J66" s="300">
        <f t="shared" si="13"/>
        <v>212.08060946379015</v>
      </c>
      <c r="K66" s="300">
        <f t="shared" si="13"/>
        <v>213.72082395398866</v>
      </c>
      <c r="L66" s="300">
        <f t="shared" si="14"/>
        <v>215.09921990016338</v>
      </c>
      <c r="M66" s="300">
        <f t="shared" si="15"/>
        <v>216.16951082751348</v>
      </c>
      <c r="N66" s="300">
        <f t="shared" si="16"/>
        <v>217.34807108733031</v>
      </c>
    </row>
    <row r="67" spans="1:14">
      <c r="B67" s="331" t="str">
        <f t="shared" si="9"/>
        <v>60-64</v>
      </c>
      <c r="C67" s="300">
        <f t="shared" si="11"/>
        <v>79.642949470140309</v>
      </c>
      <c r="D67" s="300">
        <f t="shared" si="13"/>
        <v>91.219565777353552</v>
      </c>
      <c r="E67" s="300">
        <f t="shared" si="13"/>
        <v>91.447649069262525</v>
      </c>
      <c r="F67" s="300">
        <f t="shared" si="13"/>
        <v>88.104454967809701</v>
      </c>
      <c r="G67" s="300">
        <f t="shared" si="13"/>
        <v>83.743367559407218</v>
      </c>
      <c r="H67" s="300">
        <f t="shared" si="13"/>
        <v>79.900277852399782</v>
      </c>
      <c r="I67" s="300">
        <f t="shared" si="13"/>
        <v>76.923875703818396</v>
      </c>
      <c r="J67" s="300">
        <f t="shared" si="13"/>
        <v>75.436890026344358</v>
      </c>
      <c r="K67" s="300">
        <f t="shared" si="13"/>
        <v>74.968140024802437</v>
      </c>
      <c r="L67" s="300">
        <f t="shared" si="14"/>
        <v>74.598858296028538</v>
      </c>
      <c r="M67" s="300">
        <f t="shared" si="15"/>
        <v>74.339161544750766</v>
      </c>
      <c r="N67" s="300">
        <f t="shared" si="16"/>
        <v>74.38610743133529</v>
      </c>
    </row>
    <row r="68" spans="1:14">
      <c r="B68" s="331" t="str">
        <f t="shared" si="9"/>
        <v>65 plus</v>
      </c>
      <c r="C68" s="300">
        <f t="shared" si="11"/>
        <v>13.868568587056776</v>
      </c>
      <c r="D68" s="300">
        <f t="shared" si="13"/>
        <v>21.527055270169036</v>
      </c>
      <c r="E68" s="300">
        <f t="shared" si="13"/>
        <v>28.015092271156085</v>
      </c>
      <c r="F68" s="300">
        <f t="shared" si="13"/>
        <v>32.295166620483421</v>
      </c>
      <c r="G68" s="300">
        <f t="shared" si="13"/>
        <v>34.466360445489464</v>
      </c>
      <c r="H68" s="300">
        <f t="shared" si="13"/>
        <v>35.223943151639148</v>
      </c>
      <c r="I68" s="300">
        <f t="shared" si="13"/>
        <v>35.140790979274236</v>
      </c>
      <c r="J68" s="300">
        <f t="shared" si="13"/>
        <v>34.83429742397503</v>
      </c>
      <c r="K68" s="300">
        <f t="shared" si="13"/>
        <v>34.538376824332197</v>
      </c>
      <c r="L68" s="300">
        <f t="shared" si="14"/>
        <v>34.188610308409316</v>
      </c>
      <c r="M68" s="300">
        <f t="shared" si="15"/>
        <v>33.845034826454622</v>
      </c>
      <c r="N68" s="300">
        <f t="shared" si="15"/>
        <v>33.606642039341025</v>
      </c>
    </row>
    <row r="69" spans="1:14">
      <c r="B69" s="331" t="str">
        <f t="shared" si="9"/>
        <v>Total</v>
      </c>
      <c r="C69" s="300">
        <f t="shared" si="11"/>
        <v>5051.1210093438867</v>
      </c>
      <c r="D69" s="300">
        <f t="shared" si="13"/>
        <v>5015.9065481105372</v>
      </c>
      <c r="E69" s="300">
        <f t="shared" si="13"/>
        <v>5012.5757085109126</v>
      </c>
      <c r="F69" s="300">
        <f t="shared" si="13"/>
        <v>5039.9771227956999</v>
      </c>
      <c r="G69" s="300">
        <f t="shared" si="13"/>
        <v>5045.379749995036</v>
      </c>
      <c r="H69" s="300">
        <f t="shared" si="13"/>
        <v>5037.9703377576943</v>
      </c>
      <c r="I69" s="300">
        <f t="shared" si="13"/>
        <v>5016.8405593682837</v>
      </c>
      <c r="J69" s="300">
        <f t="shared" si="13"/>
        <v>5023.4571786167417</v>
      </c>
      <c r="K69" s="300">
        <f t="shared" si="13"/>
        <v>5046.9061307470283</v>
      </c>
      <c r="L69" s="300">
        <f t="shared" si="13"/>
        <v>5046.7665237067067</v>
      </c>
      <c r="M69" s="300">
        <f t="shared" si="15"/>
        <v>5031.1537448082354</v>
      </c>
      <c r="N69" s="300">
        <f t="shared" si="15"/>
        <v>5019.3370069464991</v>
      </c>
    </row>
    <row r="70" spans="1:14">
      <c r="A70" s="302">
        <f>SUM(C70:N70)</f>
        <v>0</v>
      </c>
      <c r="C70" s="302">
        <f>SUM(C59:C68)-C69</f>
        <v>0</v>
      </c>
      <c r="D70" s="302">
        <f t="shared" ref="D70:N70" si="17">SUM(D59:D68)-D69</f>
        <v>0</v>
      </c>
      <c r="E70" s="302">
        <f t="shared" si="17"/>
        <v>0</v>
      </c>
      <c r="F70" s="302">
        <f t="shared" si="17"/>
        <v>0</v>
      </c>
      <c r="G70" s="302">
        <f t="shared" si="17"/>
        <v>0</v>
      </c>
      <c r="H70" s="302">
        <f t="shared" si="17"/>
        <v>0</v>
      </c>
      <c r="I70" s="302">
        <f t="shared" si="17"/>
        <v>0</v>
      </c>
      <c r="J70" s="302">
        <f t="shared" si="17"/>
        <v>0</v>
      </c>
      <c r="K70" s="302">
        <f t="shared" si="17"/>
        <v>0</v>
      </c>
      <c r="L70" s="302">
        <f t="shared" si="17"/>
        <v>0</v>
      </c>
      <c r="M70" s="302">
        <f t="shared" si="17"/>
        <v>0</v>
      </c>
      <c r="N70" s="302">
        <f t="shared" si="17"/>
        <v>0</v>
      </c>
    </row>
    <row r="72" spans="1:14" ht="15.75">
      <c r="B72" s="333" t="s">
        <v>163</v>
      </c>
      <c r="H72" s="318"/>
    </row>
    <row r="73" spans="1:14">
      <c r="H73" s="318"/>
    </row>
    <row r="74" spans="1:14">
      <c r="B74" s="334" t="s">
        <v>46</v>
      </c>
      <c r="C74" s="256" t="s">
        <v>456</v>
      </c>
      <c r="H74" s="318"/>
    </row>
    <row r="75" spans="1:14">
      <c r="H75" s="318"/>
    </row>
    <row r="76" spans="1:14">
      <c r="B76" s="331" t="str">
        <f t="shared" ref="B76:B87" si="18">B42</f>
        <v>Age group</v>
      </c>
      <c r="C76" s="331" t="str">
        <f t="shared" ref="C76:N76" si="19">C42</f>
        <v>2017/18</v>
      </c>
      <c r="D76" s="331" t="str">
        <f t="shared" si="19"/>
        <v>2018/19</v>
      </c>
      <c r="E76" s="331" t="str">
        <f t="shared" si="19"/>
        <v>2019/20</v>
      </c>
      <c r="F76" s="331" t="str">
        <f t="shared" si="19"/>
        <v>2020/21</v>
      </c>
      <c r="G76" s="331" t="str">
        <f t="shared" si="19"/>
        <v>2021/22</v>
      </c>
      <c r="H76" s="331" t="str">
        <f t="shared" si="19"/>
        <v>2022/23</v>
      </c>
      <c r="I76" s="331" t="str">
        <f t="shared" si="19"/>
        <v>2023/24</v>
      </c>
      <c r="J76" s="331" t="str">
        <f t="shared" si="19"/>
        <v>2024/25</v>
      </c>
      <c r="K76" s="331" t="str">
        <f t="shared" si="19"/>
        <v>2025/26</v>
      </c>
      <c r="L76" s="331" t="str">
        <f t="shared" si="19"/>
        <v>2026/27</v>
      </c>
      <c r="M76" s="331" t="str">
        <f t="shared" si="19"/>
        <v>2027/28</v>
      </c>
      <c r="N76" s="331" t="str">
        <f t="shared" si="19"/>
        <v>2028/29</v>
      </c>
    </row>
    <row r="77" spans="1:14">
      <c r="B77" s="331" t="str">
        <f t="shared" si="18"/>
        <v>20-24</v>
      </c>
      <c r="C77" s="447">
        <f>C43-(0.2*C43)</f>
        <v>67.306437922320427</v>
      </c>
      <c r="D77" s="447">
        <f>D43-(0.2*D43)</f>
        <v>93.957206548321352</v>
      </c>
      <c r="E77" s="447">
        <f t="shared" ref="E77:N77" si="20">E43-(0.2*E43)</f>
        <v>115.58050991706143</v>
      </c>
      <c r="F77" s="447">
        <f t="shared" si="20"/>
        <v>133.63717264691815</v>
      </c>
      <c r="G77" s="447">
        <f t="shared" si="20"/>
        <v>145.12714489670202</v>
      </c>
      <c r="H77" s="447">
        <f t="shared" si="20"/>
        <v>151.95497002648904</v>
      </c>
      <c r="I77" s="447">
        <f t="shared" si="20"/>
        <v>155.34647596163501</v>
      </c>
      <c r="J77" s="447">
        <f t="shared" si="20"/>
        <v>160.04817129922344</v>
      </c>
      <c r="K77" s="447">
        <f t="shared" si="20"/>
        <v>164.98860529330469</v>
      </c>
      <c r="L77" s="447">
        <f t="shared" si="20"/>
        <v>166.56821601767342</v>
      </c>
      <c r="M77" s="447">
        <f t="shared" si="20"/>
        <v>166.29800806790431</v>
      </c>
      <c r="N77" s="447">
        <f t="shared" si="20"/>
        <v>166.34789896668431</v>
      </c>
    </row>
    <row r="78" spans="1:14">
      <c r="B78" s="331" t="str">
        <f t="shared" si="18"/>
        <v>25-29</v>
      </c>
      <c r="C78" s="447">
        <f t="shared" ref="C78:C85" si="21">C44+(0.2*C43)-(0.2*C44)</f>
        <v>251.5165332546801</v>
      </c>
      <c r="D78" s="447">
        <f t="shared" ref="D78:N78" si="22">D44+(0.2*D43)-(0.2*D44)</f>
        <v>253.00553213224856</v>
      </c>
      <c r="E78" s="447">
        <f t="shared" si="22"/>
        <v>262.82364134682234</v>
      </c>
      <c r="F78" s="447">
        <f t="shared" si="22"/>
        <v>277.0076321515001</v>
      </c>
      <c r="G78" s="447">
        <f t="shared" si="22"/>
        <v>289.07295580238474</v>
      </c>
      <c r="H78" s="447">
        <f t="shared" si="22"/>
        <v>298.23429680037225</v>
      </c>
      <c r="I78" s="447">
        <f t="shared" si="22"/>
        <v>304.27491208267719</v>
      </c>
      <c r="J78" s="447">
        <f t="shared" si="22"/>
        <v>312.18880862959065</v>
      </c>
      <c r="K78" s="447">
        <f t="shared" si="22"/>
        <v>320.82173794503831</v>
      </c>
      <c r="L78" s="447">
        <f t="shared" si="22"/>
        <v>325.53313513623402</v>
      </c>
      <c r="M78" s="447">
        <f t="shared" si="22"/>
        <v>327.46778088962924</v>
      </c>
      <c r="N78" s="447">
        <f t="shared" si="22"/>
        <v>329.12679706626312</v>
      </c>
    </row>
    <row r="79" spans="1:14">
      <c r="B79" s="331" t="str">
        <f t="shared" si="18"/>
        <v>30-34</v>
      </c>
      <c r="C79" s="447">
        <f t="shared" si="21"/>
        <v>368.61352405464783</v>
      </c>
      <c r="D79" s="447">
        <f t="shared" ref="D79:N79" si="23">D45+(0.2*D44)-(0.2*D45)</f>
        <v>354.88161389231936</v>
      </c>
      <c r="E79" s="447">
        <f t="shared" si="23"/>
        <v>347.81801374857264</v>
      </c>
      <c r="F79" s="447">
        <f t="shared" si="23"/>
        <v>345.88589874259497</v>
      </c>
      <c r="G79" s="447">
        <f t="shared" si="23"/>
        <v>346.3918817567843</v>
      </c>
      <c r="H79" s="447">
        <f t="shared" si="23"/>
        <v>347.99327341257901</v>
      </c>
      <c r="I79" s="447">
        <f t="shared" si="23"/>
        <v>349.76567222953253</v>
      </c>
      <c r="J79" s="447">
        <f t="shared" si="23"/>
        <v>353.94218123094998</v>
      </c>
      <c r="K79" s="447">
        <f t="shared" si="23"/>
        <v>359.7254563463236</v>
      </c>
      <c r="L79" s="447">
        <f t="shared" si="23"/>
        <v>364.14463931334279</v>
      </c>
      <c r="M79" s="447">
        <f t="shared" si="23"/>
        <v>367.23197594822057</v>
      </c>
      <c r="N79" s="447">
        <f t="shared" si="23"/>
        <v>370.062011806925</v>
      </c>
    </row>
    <row r="80" spans="1:14">
      <c r="B80" s="331" t="str">
        <f t="shared" si="18"/>
        <v>35-39</v>
      </c>
      <c r="C80" s="447">
        <f t="shared" si="21"/>
        <v>377.88051779570407</v>
      </c>
      <c r="D80" s="447">
        <f t="shared" ref="D80:N80" si="24">D46+(0.2*D45)-(0.2*D46)</f>
        <v>372.65144941634838</v>
      </c>
      <c r="E80" s="447">
        <f t="shared" si="24"/>
        <v>368.46181904062826</v>
      </c>
      <c r="F80" s="447">
        <f t="shared" si="24"/>
        <v>364.71144120247766</v>
      </c>
      <c r="G80" s="447">
        <f t="shared" si="24"/>
        <v>361.32543816406718</v>
      </c>
      <c r="H80" s="447">
        <f t="shared" si="24"/>
        <v>358.26577941111441</v>
      </c>
      <c r="I80" s="447">
        <f t="shared" si="24"/>
        <v>355.5744442947215</v>
      </c>
      <c r="J80" s="447">
        <f t="shared" si="24"/>
        <v>355.07047120012959</v>
      </c>
      <c r="K80" s="447">
        <f t="shared" si="24"/>
        <v>356.29543913118636</v>
      </c>
      <c r="L80" s="447">
        <f t="shared" si="24"/>
        <v>357.32432945646178</v>
      </c>
      <c r="M80" s="447">
        <f t="shared" si="24"/>
        <v>358.21397252380831</v>
      </c>
      <c r="N80" s="447">
        <f t="shared" si="24"/>
        <v>359.57090871544654</v>
      </c>
    </row>
    <row r="81" spans="1:14">
      <c r="B81" s="331" t="str">
        <f t="shared" si="18"/>
        <v>40-44</v>
      </c>
      <c r="C81" s="447">
        <f t="shared" si="21"/>
        <v>366.4982646362684</v>
      </c>
      <c r="D81" s="447">
        <f t="shared" ref="D81:N81" si="25">D47+(0.2*D46)-(0.2*D47)</f>
        <v>359.55380805285904</v>
      </c>
      <c r="E81" s="447">
        <f t="shared" si="25"/>
        <v>355.55277069440831</v>
      </c>
      <c r="F81" s="447">
        <f t="shared" si="25"/>
        <v>352.16823933526183</v>
      </c>
      <c r="G81" s="447">
        <f t="shared" si="25"/>
        <v>348.89157958803992</v>
      </c>
      <c r="H81" s="447">
        <f t="shared" si="25"/>
        <v>345.31794074074048</v>
      </c>
      <c r="I81" s="447">
        <f t="shared" si="25"/>
        <v>341.52112285071121</v>
      </c>
      <c r="J81" s="447">
        <f t="shared" si="25"/>
        <v>339.19117299728691</v>
      </c>
      <c r="K81" s="447">
        <f t="shared" si="25"/>
        <v>338.06306483777632</v>
      </c>
      <c r="L81" s="447">
        <f t="shared" si="25"/>
        <v>336.66351107603811</v>
      </c>
      <c r="M81" s="447">
        <f t="shared" si="25"/>
        <v>335.24352719161669</v>
      </c>
      <c r="N81" s="447">
        <f t="shared" si="25"/>
        <v>334.4624981638741</v>
      </c>
    </row>
    <row r="82" spans="1:14">
      <c r="B82" s="331" t="str">
        <f t="shared" si="18"/>
        <v>45-49</v>
      </c>
      <c r="C82" s="447">
        <f t="shared" si="21"/>
        <v>297.30392415991514</v>
      </c>
      <c r="D82" s="447">
        <f t="shared" ref="D82:N82" si="26">D48+(0.2*D47)-(0.2*D48)</f>
        <v>300.59620884265377</v>
      </c>
      <c r="E82" s="447">
        <f t="shared" si="26"/>
        <v>303.54182074912131</v>
      </c>
      <c r="F82" s="447">
        <f t="shared" si="26"/>
        <v>305.1172545535033</v>
      </c>
      <c r="G82" s="447">
        <f t="shared" si="26"/>
        <v>305.64526021592269</v>
      </c>
      <c r="H82" s="447">
        <f t="shared" si="26"/>
        <v>304.99559734491885</v>
      </c>
      <c r="I82" s="447">
        <f t="shared" si="26"/>
        <v>303.37656891878964</v>
      </c>
      <c r="J82" s="447">
        <f t="shared" si="26"/>
        <v>302.28580148997435</v>
      </c>
      <c r="K82" s="447">
        <f t="shared" si="26"/>
        <v>301.61755920875316</v>
      </c>
      <c r="L82" s="447">
        <f t="shared" si="26"/>
        <v>300.27000563192502</v>
      </c>
      <c r="M82" s="447">
        <f t="shared" si="26"/>
        <v>298.55229186513299</v>
      </c>
      <c r="N82" s="447">
        <f t="shared" si="26"/>
        <v>297.11620726919142</v>
      </c>
    </row>
    <row r="83" spans="1:14">
      <c r="B83" s="331" t="str">
        <f t="shared" si="18"/>
        <v>50-54</v>
      </c>
      <c r="C83" s="447">
        <f t="shared" si="21"/>
        <v>252.07992196342624</v>
      </c>
      <c r="D83" s="447">
        <f t="shared" ref="D83:N83" si="27">D49+(0.2*D48)-(0.2*D49)</f>
        <v>244.84057889691434</v>
      </c>
      <c r="E83" s="447">
        <f t="shared" si="27"/>
        <v>241.76955701105464</v>
      </c>
      <c r="F83" s="447">
        <f t="shared" si="27"/>
        <v>240.17806938377007</v>
      </c>
      <c r="G83" s="447">
        <f t="shared" si="27"/>
        <v>239.37209011437636</v>
      </c>
      <c r="H83" s="447">
        <f t="shared" si="27"/>
        <v>238.57039645617124</v>
      </c>
      <c r="I83" s="447">
        <f t="shared" si="27"/>
        <v>237.51621477844927</v>
      </c>
      <c r="J83" s="447">
        <f t="shared" si="27"/>
        <v>237.07280124523908</v>
      </c>
      <c r="K83" s="447">
        <f t="shared" si="27"/>
        <v>236.98187444883817</v>
      </c>
      <c r="L83" s="447">
        <f t="shared" si="27"/>
        <v>236.30296564768193</v>
      </c>
      <c r="M83" s="447">
        <f t="shared" si="27"/>
        <v>235.21661015449533</v>
      </c>
      <c r="N83" s="447">
        <f t="shared" si="27"/>
        <v>234.1943188088058</v>
      </c>
    </row>
    <row r="84" spans="1:14">
      <c r="B84" s="331" t="str">
        <f t="shared" si="18"/>
        <v>55-59</v>
      </c>
      <c r="C84" s="447">
        <f t="shared" si="21"/>
        <v>177.51707750007228</v>
      </c>
      <c r="D84" s="447">
        <f t="shared" ref="D84:N84" si="28">D50+(0.2*D49)-(0.2*D50)</f>
        <v>159.58154801413752</v>
      </c>
      <c r="E84" s="447">
        <f t="shared" si="28"/>
        <v>148.33879159370437</v>
      </c>
      <c r="F84" s="447">
        <f t="shared" si="28"/>
        <v>141.20278818112988</v>
      </c>
      <c r="G84" s="447">
        <f t="shared" si="28"/>
        <v>136.56159646363608</v>
      </c>
      <c r="H84" s="447">
        <f t="shared" si="28"/>
        <v>133.40259462720786</v>
      </c>
      <c r="I84" s="447">
        <f t="shared" si="28"/>
        <v>131.11054793959281</v>
      </c>
      <c r="J84" s="447">
        <f t="shared" si="28"/>
        <v>129.94559617450042</v>
      </c>
      <c r="K84" s="447">
        <f t="shared" si="28"/>
        <v>129.44906583839531</v>
      </c>
      <c r="L84" s="447">
        <f t="shared" si="28"/>
        <v>128.80321064032725</v>
      </c>
      <c r="M84" s="447">
        <f t="shared" si="28"/>
        <v>128.05295954563744</v>
      </c>
      <c r="N84" s="447">
        <f t="shared" si="28"/>
        <v>127.45008145891578</v>
      </c>
    </row>
    <row r="85" spans="1:14">
      <c r="B85" s="331" t="str">
        <f t="shared" si="18"/>
        <v>60-64</v>
      </c>
      <c r="C85" s="447">
        <f t="shared" si="21"/>
        <v>75.839125030200933</v>
      </c>
      <c r="D85" s="447">
        <f t="shared" ref="D85:N85" si="29">D51+(0.2*D50)-(0.2*D51)</f>
        <v>69.954055623654583</v>
      </c>
      <c r="E85" s="447">
        <f t="shared" si="29"/>
        <v>64.659411941481835</v>
      </c>
      <c r="F85" s="447">
        <f t="shared" si="29"/>
        <v>60.398832645736448</v>
      </c>
      <c r="G85" s="447">
        <f t="shared" si="29"/>
        <v>57.085487172697377</v>
      </c>
      <c r="H85" s="447">
        <f t="shared" si="29"/>
        <v>54.568889157500415</v>
      </c>
      <c r="I85" s="447">
        <f t="shared" si="29"/>
        <v>52.668892047813621</v>
      </c>
      <c r="J85" s="447">
        <f t="shared" si="29"/>
        <v>51.571488677466135</v>
      </c>
      <c r="K85" s="447">
        <f t="shared" si="29"/>
        <v>50.989687918009579</v>
      </c>
      <c r="L85" s="447">
        <f t="shared" si="29"/>
        <v>50.435618199836043</v>
      </c>
      <c r="M85" s="447">
        <f t="shared" si="29"/>
        <v>49.922520617996412</v>
      </c>
      <c r="N85" s="447">
        <f t="shared" si="29"/>
        <v>49.569619310743704</v>
      </c>
    </row>
    <row r="86" spans="1:14">
      <c r="B86" s="331" t="str">
        <f t="shared" si="18"/>
        <v>65 plus</v>
      </c>
      <c r="C86" s="447">
        <f>C52+(0.2*C51)</f>
        <v>28.966385291029678</v>
      </c>
      <c r="D86" s="447">
        <f t="shared" ref="D86:N86" si="30">D52+(0.2*D51)</f>
        <v>28.965937457733858</v>
      </c>
      <c r="E86" s="447">
        <f t="shared" si="30"/>
        <v>28.440418469194</v>
      </c>
      <c r="F86" s="447">
        <f t="shared" si="30"/>
        <v>27.452522482540093</v>
      </c>
      <c r="G86" s="447">
        <f t="shared" si="30"/>
        <v>26.317029695097823</v>
      </c>
      <c r="H86" s="447">
        <f t="shared" si="30"/>
        <v>25.158349105410103</v>
      </c>
      <c r="I86" s="447">
        <f t="shared" si="30"/>
        <v>24.081514660458581</v>
      </c>
      <c r="J86" s="447">
        <f t="shared" si="30"/>
        <v>23.282630813353506</v>
      </c>
      <c r="K86" s="447">
        <f t="shared" si="30"/>
        <v>22.726472318012533</v>
      </c>
      <c r="L86" s="447">
        <f t="shared" si="30"/>
        <v>22.24084253120882</v>
      </c>
      <c r="M86" s="447">
        <f t="shared" si="30"/>
        <v>21.821945154359291</v>
      </c>
      <c r="N86" s="447">
        <f t="shared" si="30"/>
        <v>21.513606313389424</v>
      </c>
    </row>
    <row r="87" spans="1:14">
      <c r="B87" s="331" t="str">
        <f t="shared" si="18"/>
        <v>Total</v>
      </c>
      <c r="C87" s="447">
        <f>SUM(C77:C86)</f>
        <v>2263.5217116082654</v>
      </c>
      <c r="D87" s="447">
        <f t="shared" ref="D87:N87" si="31">SUM(D77:D86)</f>
        <v>2237.987938877191</v>
      </c>
      <c r="E87" s="447">
        <f t="shared" si="31"/>
        <v>2236.9867545120487</v>
      </c>
      <c r="F87" s="447">
        <f t="shared" si="31"/>
        <v>2247.7598513254325</v>
      </c>
      <c r="G87" s="447">
        <f t="shared" si="31"/>
        <v>2255.7904638697082</v>
      </c>
      <c r="H87" s="447">
        <f t="shared" si="31"/>
        <v>2258.4620870825042</v>
      </c>
      <c r="I87" s="447">
        <f t="shared" si="31"/>
        <v>2255.2363657643814</v>
      </c>
      <c r="J87" s="447">
        <f t="shared" si="31"/>
        <v>2264.5991237577141</v>
      </c>
      <c r="K87" s="447">
        <f t="shared" si="31"/>
        <v>2281.658963285638</v>
      </c>
      <c r="L87" s="447">
        <f t="shared" si="31"/>
        <v>2288.2864736507286</v>
      </c>
      <c r="M87" s="447">
        <f t="shared" si="31"/>
        <v>2288.0215919587999</v>
      </c>
      <c r="N87" s="447">
        <f t="shared" si="31"/>
        <v>2289.4139478802394</v>
      </c>
    </row>
    <row r="88" spans="1:14">
      <c r="A88" s="302">
        <f>SUM(C88:N88)</f>
        <v>0</v>
      </c>
      <c r="C88" s="302">
        <f>SUM(C77:C86)-C87</f>
        <v>0</v>
      </c>
      <c r="D88" s="302">
        <f t="shared" ref="D88:N88" si="32">SUM(D77:D86)-D87</f>
        <v>0</v>
      </c>
      <c r="E88" s="302">
        <f t="shared" si="32"/>
        <v>0</v>
      </c>
      <c r="F88" s="302">
        <f t="shared" si="32"/>
        <v>0</v>
      </c>
      <c r="G88" s="302">
        <f t="shared" si="32"/>
        <v>0</v>
      </c>
      <c r="H88" s="302">
        <f t="shared" si="32"/>
        <v>0</v>
      </c>
      <c r="I88" s="302">
        <f t="shared" si="32"/>
        <v>0</v>
      </c>
      <c r="J88" s="302">
        <f t="shared" si="32"/>
        <v>0</v>
      </c>
      <c r="K88" s="302">
        <f t="shared" si="32"/>
        <v>0</v>
      </c>
      <c r="L88" s="302">
        <f t="shared" si="32"/>
        <v>0</v>
      </c>
      <c r="M88" s="302">
        <f t="shared" si="32"/>
        <v>0</v>
      </c>
      <c r="N88" s="302">
        <f t="shared" si="32"/>
        <v>0</v>
      </c>
    </row>
    <row r="90" spans="1:14">
      <c r="B90" s="334" t="s">
        <v>47</v>
      </c>
      <c r="H90" s="318"/>
    </row>
    <row r="91" spans="1:14">
      <c r="H91" s="318"/>
    </row>
    <row r="92" spans="1:14">
      <c r="B92" s="331" t="str">
        <f t="shared" ref="B92:B103" si="33">B76</f>
        <v>Age group</v>
      </c>
      <c r="C92" s="331" t="str">
        <f t="shared" ref="C92:N92" si="34">C76</f>
        <v>2017/18</v>
      </c>
      <c r="D92" s="331" t="str">
        <f t="shared" si="34"/>
        <v>2018/19</v>
      </c>
      <c r="E92" s="331" t="str">
        <f t="shared" si="34"/>
        <v>2019/20</v>
      </c>
      <c r="F92" s="331" t="str">
        <f t="shared" si="34"/>
        <v>2020/21</v>
      </c>
      <c r="G92" s="331" t="str">
        <f t="shared" si="34"/>
        <v>2021/22</v>
      </c>
      <c r="H92" s="331" t="str">
        <f t="shared" si="34"/>
        <v>2022/23</v>
      </c>
      <c r="I92" s="331" t="str">
        <f t="shared" si="34"/>
        <v>2023/24</v>
      </c>
      <c r="J92" s="331" t="str">
        <f t="shared" si="34"/>
        <v>2024/25</v>
      </c>
      <c r="K92" s="331" t="str">
        <f t="shared" si="34"/>
        <v>2025/26</v>
      </c>
      <c r="L92" s="331" t="str">
        <f t="shared" si="34"/>
        <v>2026/27</v>
      </c>
      <c r="M92" s="331" t="str">
        <f t="shared" si="34"/>
        <v>2027/28</v>
      </c>
      <c r="N92" s="331" t="str">
        <f t="shared" si="34"/>
        <v>2028/29</v>
      </c>
    </row>
    <row r="93" spans="1:14">
      <c r="B93" s="331" t="str">
        <f t="shared" si="33"/>
        <v>20-24</v>
      </c>
      <c r="C93" s="447">
        <f>C59-(0.2*C59)</f>
        <v>237.13080785646875</v>
      </c>
      <c r="D93" s="447">
        <f t="shared" ref="D93:N93" si="35">D59-(0.2*D59)</f>
        <v>271.78757943748843</v>
      </c>
      <c r="E93" s="447">
        <f t="shared" si="35"/>
        <v>301.91401008140184</v>
      </c>
      <c r="F93" s="447">
        <f t="shared" si="35"/>
        <v>329.87870568754431</v>
      </c>
      <c r="G93" s="447">
        <f t="shared" si="35"/>
        <v>345.98240396670161</v>
      </c>
      <c r="H93" s="447">
        <f t="shared" si="35"/>
        <v>354.49858585200116</v>
      </c>
      <c r="I93" s="447">
        <f t="shared" si="35"/>
        <v>357.33245148610615</v>
      </c>
      <c r="J93" s="447">
        <f t="shared" si="35"/>
        <v>364.49065429133418</v>
      </c>
      <c r="K93" s="447">
        <f t="shared" si="35"/>
        <v>373.16535848376589</v>
      </c>
      <c r="L93" s="447">
        <f t="shared" si="35"/>
        <v>375.03197478847642</v>
      </c>
      <c r="M93" s="447">
        <f t="shared" si="35"/>
        <v>373.26083429309926</v>
      </c>
      <c r="N93" s="447">
        <f t="shared" si="35"/>
        <v>372.55079035464058</v>
      </c>
    </row>
    <row r="94" spans="1:14">
      <c r="B94" s="331" t="str">
        <f t="shared" si="33"/>
        <v>25-29</v>
      </c>
      <c r="C94" s="447">
        <f t="shared" ref="C94:C101" si="36">C60+(0.2*C59)-(0.2*C60)</f>
        <v>800.89757744483416</v>
      </c>
      <c r="D94" s="447">
        <f t="shared" ref="D94:N94" si="37">D60+(0.2*D59)-(0.2*D60)</f>
        <v>755.34327372238215</v>
      </c>
      <c r="E94" s="447">
        <f t="shared" si="37"/>
        <v>735.4315833197353</v>
      </c>
      <c r="F94" s="447">
        <f t="shared" si="37"/>
        <v>734.37970027654251</v>
      </c>
      <c r="G94" s="447">
        <f t="shared" si="37"/>
        <v>733.6635530568492</v>
      </c>
      <c r="H94" s="447">
        <f t="shared" si="37"/>
        <v>732.40557163647918</v>
      </c>
      <c r="I94" s="447">
        <f t="shared" si="37"/>
        <v>728.98280701387546</v>
      </c>
      <c r="J94" s="447">
        <f t="shared" si="37"/>
        <v>733.570429510027</v>
      </c>
      <c r="K94" s="447">
        <f t="shared" si="37"/>
        <v>742.77064855090168</v>
      </c>
      <c r="L94" s="447">
        <f t="shared" si="37"/>
        <v>745.56466037575058</v>
      </c>
      <c r="M94" s="447">
        <f t="shared" si="37"/>
        <v>743.99335516947906</v>
      </c>
      <c r="N94" s="447">
        <f t="shared" si="37"/>
        <v>743.22690491418803</v>
      </c>
    </row>
    <row r="95" spans="1:14">
      <c r="B95" s="331" t="str">
        <f t="shared" si="33"/>
        <v>30-34</v>
      </c>
      <c r="C95" s="447">
        <f t="shared" si="36"/>
        <v>927.9784566056552</v>
      </c>
      <c r="D95" s="447">
        <f t="shared" ref="D95:N95" si="38">D61+(0.2*D60)-(0.2*D61)</f>
        <v>907.4392238030332</v>
      </c>
      <c r="E95" s="447">
        <f t="shared" si="38"/>
        <v>888.10052374052452</v>
      </c>
      <c r="F95" s="447">
        <f t="shared" si="38"/>
        <v>874.54580089538558</v>
      </c>
      <c r="G95" s="447">
        <f t="shared" si="38"/>
        <v>861.0495327509035</v>
      </c>
      <c r="H95" s="447">
        <f t="shared" si="38"/>
        <v>848.8780593575633</v>
      </c>
      <c r="I95" s="447">
        <f t="shared" si="38"/>
        <v>837.31719637136507</v>
      </c>
      <c r="J95" s="447">
        <f t="shared" si="38"/>
        <v>832.15517779838785</v>
      </c>
      <c r="K95" s="447">
        <f t="shared" si="38"/>
        <v>831.97191574578687</v>
      </c>
      <c r="L95" s="447">
        <f t="shared" si="38"/>
        <v>830.27227017955977</v>
      </c>
      <c r="M95" s="447">
        <f t="shared" si="38"/>
        <v>827.17987968260104</v>
      </c>
      <c r="N95" s="447">
        <f t="shared" si="38"/>
        <v>825.03595885423181</v>
      </c>
    </row>
    <row r="96" spans="1:14">
      <c r="B96" s="331" t="str">
        <f t="shared" si="33"/>
        <v>35-39</v>
      </c>
      <c r="C96" s="447">
        <f t="shared" si="36"/>
        <v>849.28636317645714</v>
      </c>
      <c r="D96" s="447">
        <f t="shared" ref="D96:N96" si="39">D62+(0.2*D61)-(0.2*D62)</f>
        <v>849.24512657391256</v>
      </c>
      <c r="E96" s="447">
        <f t="shared" si="39"/>
        <v>848.01089348701714</v>
      </c>
      <c r="F96" s="447">
        <f t="shared" si="39"/>
        <v>846.03730777375517</v>
      </c>
      <c r="G96" s="447">
        <f t="shared" si="39"/>
        <v>839.60720506655105</v>
      </c>
      <c r="H96" s="447">
        <f t="shared" si="39"/>
        <v>830.98852375195133</v>
      </c>
      <c r="I96" s="447">
        <f t="shared" si="39"/>
        <v>820.83016804886392</v>
      </c>
      <c r="J96" s="447">
        <f t="shared" si="39"/>
        <v>813.85125114132143</v>
      </c>
      <c r="K96" s="447">
        <f t="shared" si="39"/>
        <v>809.61262411021858</v>
      </c>
      <c r="L96" s="447">
        <f t="shared" si="39"/>
        <v>804.32709968931488</v>
      </c>
      <c r="M96" s="447">
        <f t="shared" si="39"/>
        <v>798.57494496543268</v>
      </c>
      <c r="N96" s="447">
        <f t="shared" si="39"/>
        <v>794.05107679382922</v>
      </c>
    </row>
    <row r="97" spans="1:16">
      <c r="B97" s="331" t="str">
        <f t="shared" si="33"/>
        <v>40-44</v>
      </c>
      <c r="C97" s="447">
        <f t="shared" si="36"/>
        <v>770.4149460232677</v>
      </c>
      <c r="D97" s="447">
        <f t="shared" ref="D97:N97" si="40">D63+(0.2*D62)-(0.2*D63)</f>
        <v>767.34933298611395</v>
      </c>
      <c r="E97" s="447">
        <f t="shared" si="40"/>
        <v>767.19600646831213</v>
      </c>
      <c r="F97" s="447">
        <f t="shared" si="40"/>
        <v>768.82908489159104</v>
      </c>
      <c r="G97" s="447">
        <f t="shared" si="40"/>
        <v>767.51803238149796</v>
      </c>
      <c r="H97" s="447">
        <f t="shared" si="40"/>
        <v>764.19618868975067</v>
      </c>
      <c r="I97" s="447">
        <f t="shared" si="40"/>
        <v>758.85157793321321</v>
      </c>
      <c r="J97" s="447">
        <f t="shared" si="40"/>
        <v>755.22716703577964</v>
      </c>
      <c r="K97" s="447">
        <f t="shared" si="40"/>
        <v>752.81024314521926</v>
      </c>
      <c r="L97" s="447">
        <f t="shared" si="40"/>
        <v>748.48239582946474</v>
      </c>
      <c r="M97" s="447">
        <f t="shared" si="40"/>
        <v>743.04200821891777</v>
      </c>
      <c r="N97" s="447">
        <f t="shared" si="40"/>
        <v>738.21652174269275</v>
      </c>
    </row>
    <row r="98" spans="1:16">
      <c r="B98" s="331" t="str">
        <f t="shared" si="33"/>
        <v>45-49</v>
      </c>
      <c r="C98" s="447">
        <f t="shared" si="36"/>
        <v>523.84802774407649</v>
      </c>
      <c r="D98" s="447">
        <f t="shared" ref="D98:N98" si="41">D64+(0.2*D63)-(0.2*D64)</f>
        <v>558.94483375646507</v>
      </c>
      <c r="E98" s="447">
        <f t="shared" si="41"/>
        <v>585.65632296212516</v>
      </c>
      <c r="F98" s="447">
        <f t="shared" si="41"/>
        <v>606.63157158566946</v>
      </c>
      <c r="G98" s="447">
        <f t="shared" si="41"/>
        <v>620.3561430481152</v>
      </c>
      <c r="H98" s="447">
        <f t="shared" si="41"/>
        <v>629.11103598593684</v>
      </c>
      <c r="I98" s="447">
        <f t="shared" si="41"/>
        <v>633.77226578576733</v>
      </c>
      <c r="J98" s="447">
        <f t="shared" si="41"/>
        <v>637.94489898763334</v>
      </c>
      <c r="K98" s="447">
        <f t="shared" si="41"/>
        <v>641.55568661823986</v>
      </c>
      <c r="L98" s="447">
        <f t="shared" si="41"/>
        <v>642.2802502525609</v>
      </c>
      <c r="M98" s="447">
        <f t="shared" si="41"/>
        <v>640.95439922745629</v>
      </c>
      <c r="N98" s="447">
        <f t="shared" si="41"/>
        <v>639.17767394473753</v>
      </c>
    </row>
    <row r="99" spans="1:16">
      <c r="B99" s="331" t="str">
        <f t="shared" si="33"/>
        <v>50-54</v>
      </c>
      <c r="C99" s="447">
        <f t="shared" si="36"/>
        <v>434.14293592192132</v>
      </c>
      <c r="D99" s="447">
        <f t="shared" ref="D99:N99" si="42">D65+(0.2*D64)-(0.2*D65)</f>
        <v>430.2469442939564</v>
      </c>
      <c r="E99" s="447">
        <f t="shared" si="42"/>
        <v>435.17068596878357</v>
      </c>
      <c r="F99" s="447">
        <f t="shared" si="42"/>
        <v>444.69921166903146</v>
      </c>
      <c r="G99" s="447">
        <f t="shared" si="42"/>
        <v>453.87656007884482</v>
      </c>
      <c r="H99" s="447">
        <f t="shared" si="42"/>
        <v>462.12304363805288</v>
      </c>
      <c r="I99" s="447">
        <f t="shared" si="42"/>
        <v>468.72054172847402</v>
      </c>
      <c r="J99" s="447">
        <f t="shared" si="42"/>
        <v>475.56818971840011</v>
      </c>
      <c r="K99" s="447">
        <f t="shared" si="42"/>
        <v>482.10841974210888</v>
      </c>
      <c r="L99" s="447">
        <f t="shared" si="42"/>
        <v>486.2871077993799</v>
      </c>
      <c r="M99" s="447">
        <f t="shared" si="42"/>
        <v>488.57178569818359</v>
      </c>
      <c r="N99" s="447">
        <f t="shared" si="42"/>
        <v>490.08480582322352</v>
      </c>
    </row>
    <row r="100" spans="1:16">
      <c r="B100" s="331" t="str">
        <f t="shared" si="33"/>
        <v>55-59</v>
      </c>
      <c r="C100" s="447">
        <f t="shared" si="36"/>
        <v>348.17642352405687</v>
      </c>
      <c r="D100" s="447">
        <f t="shared" ref="D100:N100" si="43">D66+(0.2*D65)-(0.2*D66)</f>
        <v>306.64659064200566</v>
      </c>
      <c r="E100" s="447">
        <f t="shared" si="43"/>
        <v>281.62039504718388</v>
      </c>
      <c r="F100" s="447">
        <f t="shared" si="43"/>
        <v>268.19356310713204</v>
      </c>
      <c r="G100" s="447">
        <f t="shared" si="43"/>
        <v>260.9117739898216</v>
      </c>
      <c r="H100" s="447">
        <f t="shared" si="43"/>
        <v>257.6316156915704</v>
      </c>
      <c r="I100" s="447">
        <f t="shared" si="43"/>
        <v>256.55142445006982</v>
      </c>
      <c r="J100" s="447">
        <f t="shared" si="43"/>
        <v>257.96210079078128</v>
      </c>
      <c r="K100" s="447">
        <f t="shared" si="43"/>
        <v>260.66055271085537</v>
      </c>
      <c r="L100" s="447">
        <f t="shared" si="43"/>
        <v>262.7134522077298</v>
      </c>
      <c r="M100" s="447">
        <f t="shared" si="43"/>
        <v>264.15843901635873</v>
      </c>
      <c r="N100" s="447">
        <f t="shared" si="43"/>
        <v>265.53091083081409</v>
      </c>
    </row>
    <row r="101" spans="1:16">
      <c r="B101" s="331" t="str">
        <f t="shared" si="33"/>
        <v>60-64</v>
      </c>
      <c r="C101" s="447">
        <f t="shared" si="36"/>
        <v>129.44831256606375</v>
      </c>
      <c r="D101" s="447">
        <f t="shared" ref="D101:N101" si="44">D67+(0.2*D66)-(0.2*D67)</f>
        <v>129.13267446954038</v>
      </c>
      <c r="E101" s="447">
        <f t="shared" si="44"/>
        <v>123.17066535081969</v>
      </c>
      <c r="F101" s="447">
        <f t="shared" si="44"/>
        <v>116.86611929500259</v>
      </c>
      <c r="G101" s="447">
        <f t="shared" si="44"/>
        <v>111.19951169838028</v>
      </c>
      <c r="H101" s="447">
        <f t="shared" si="44"/>
        <v>106.93371443226995</v>
      </c>
      <c r="I101" s="447">
        <f t="shared" si="44"/>
        <v>103.95656043051065</v>
      </c>
      <c r="J101" s="447">
        <f t="shared" si="44"/>
        <v>102.76563391383351</v>
      </c>
      <c r="K101" s="447">
        <f t="shared" si="44"/>
        <v>102.71867681063968</v>
      </c>
      <c r="L101" s="447">
        <f t="shared" si="44"/>
        <v>102.69893061685551</v>
      </c>
      <c r="M101" s="447">
        <f t="shared" si="44"/>
        <v>102.70523140130331</v>
      </c>
      <c r="N101" s="447">
        <f t="shared" si="44"/>
        <v>102.9785001625343</v>
      </c>
    </row>
    <row r="102" spans="1:16">
      <c r="B102" s="331" t="str">
        <f t="shared" si="33"/>
        <v>65 plus</v>
      </c>
      <c r="C102" s="447">
        <f>C68+(0.2*C67)</f>
        <v>29.797158481084839</v>
      </c>
      <c r="D102" s="447">
        <f t="shared" ref="D102:N102" si="45">D68+(0.2*D67)</f>
        <v>39.770968425639751</v>
      </c>
      <c r="E102" s="447">
        <f t="shared" si="45"/>
        <v>46.304622085008589</v>
      </c>
      <c r="F102" s="447">
        <f t="shared" si="45"/>
        <v>49.916057614045357</v>
      </c>
      <c r="G102" s="447">
        <f t="shared" si="45"/>
        <v>51.215033957370906</v>
      </c>
      <c r="H102" s="447">
        <f t="shared" si="45"/>
        <v>51.203998722119103</v>
      </c>
      <c r="I102" s="447">
        <f t="shared" si="45"/>
        <v>50.525566120037915</v>
      </c>
      <c r="J102" s="447">
        <f t="shared" si="45"/>
        <v>49.921675429243905</v>
      </c>
      <c r="K102" s="447">
        <f t="shared" si="45"/>
        <v>49.532004829292688</v>
      </c>
      <c r="L102" s="447">
        <f t="shared" si="45"/>
        <v>49.108381967615024</v>
      </c>
      <c r="M102" s="447">
        <f t="shared" si="45"/>
        <v>48.712867135404778</v>
      </c>
      <c r="N102" s="447">
        <f t="shared" si="45"/>
        <v>48.483863525608086</v>
      </c>
    </row>
    <row r="103" spans="1:16">
      <c r="B103" s="331" t="str">
        <f t="shared" si="33"/>
        <v>Total</v>
      </c>
      <c r="C103" s="447">
        <f>SUM(C93:C102)</f>
        <v>5051.1210093438858</v>
      </c>
      <c r="D103" s="447">
        <f t="shared" ref="D103:N103" si="46">SUM(D93:D102)</f>
        <v>5015.9065481105381</v>
      </c>
      <c r="E103" s="447">
        <f t="shared" si="46"/>
        <v>5012.5757085109117</v>
      </c>
      <c r="F103" s="447">
        <f t="shared" si="46"/>
        <v>5039.9771227957008</v>
      </c>
      <c r="G103" s="447">
        <f t="shared" si="46"/>
        <v>5045.379749995036</v>
      </c>
      <c r="H103" s="447">
        <f t="shared" si="46"/>
        <v>5037.9703377576943</v>
      </c>
      <c r="I103" s="447">
        <f t="shared" si="46"/>
        <v>5016.8405593682837</v>
      </c>
      <c r="J103" s="447">
        <f t="shared" si="46"/>
        <v>5023.4571786167426</v>
      </c>
      <c r="K103" s="447">
        <f t="shared" si="46"/>
        <v>5046.9061307470274</v>
      </c>
      <c r="L103" s="447">
        <f t="shared" si="46"/>
        <v>5046.7665237067058</v>
      </c>
      <c r="M103" s="447">
        <f t="shared" si="46"/>
        <v>5031.1537448082372</v>
      </c>
      <c r="N103" s="447">
        <f t="shared" si="46"/>
        <v>5019.3370069465</v>
      </c>
    </row>
    <row r="104" spans="1:16">
      <c r="A104" s="302">
        <f>SUM(C104:N104)</f>
        <v>0</v>
      </c>
      <c r="C104" s="302">
        <f>SUM(C93:C102)-C103</f>
        <v>0</v>
      </c>
      <c r="D104" s="302">
        <f t="shared" ref="D104:N104" si="47">SUM(D93:D102)-D103</f>
        <v>0</v>
      </c>
      <c r="E104" s="302">
        <f t="shared" si="47"/>
        <v>0</v>
      </c>
      <c r="F104" s="302">
        <f t="shared" si="47"/>
        <v>0</v>
      </c>
      <c r="G104" s="302">
        <f t="shared" si="47"/>
        <v>0</v>
      </c>
      <c r="H104" s="302">
        <f t="shared" si="47"/>
        <v>0</v>
      </c>
      <c r="I104" s="302">
        <f t="shared" si="47"/>
        <v>0</v>
      </c>
      <c r="J104" s="302">
        <f t="shared" si="47"/>
        <v>0</v>
      </c>
      <c r="K104" s="302">
        <f t="shared" si="47"/>
        <v>0</v>
      </c>
      <c r="L104" s="302">
        <f t="shared" si="47"/>
        <v>0</v>
      </c>
      <c r="M104" s="302">
        <f t="shared" si="47"/>
        <v>0</v>
      </c>
      <c r="N104" s="302">
        <f t="shared" si="47"/>
        <v>0</v>
      </c>
    </row>
    <row r="106" spans="1:16" ht="15.75">
      <c r="B106" s="333" t="s">
        <v>164</v>
      </c>
      <c r="H106" s="318"/>
    </row>
    <row r="107" spans="1:16">
      <c r="H107" s="318"/>
    </row>
    <row r="108" spans="1:16">
      <c r="B108" s="334" t="s">
        <v>46</v>
      </c>
      <c r="H108" s="318"/>
    </row>
    <row r="109" spans="1:16">
      <c r="H109" s="318"/>
    </row>
    <row r="110" spans="1:16">
      <c r="B110" s="331" t="str">
        <f t="shared" ref="B110:B121" si="48">B76</f>
        <v>Age group</v>
      </c>
      <c r="C110" s="331" t="str">
        <f t="shared" ref="C110:N110" si="49">C76</f>
        <v>2017/18</v>
      </c>
      <c r="D110" s="331" t="str">
        <f t="shared" si="49"/>
        <v>2018/19</v>
      </c>
      <c r="E110" s="331" t="str">
        <f t="shared" si="49"/>
        <v>2019/20</v>
      </c>
      <c r="F110" s="331" t="str">
        <f t="shared" si="49"/>
        <v>2020/21</v>
      </c>
      <c r="G110" s="331" t="str">
        <f t="shared" si="49"/>
        <v>2021/22</v>
      </c>
      <c r="H110" s="331" t="str">
        <f t="shared" si="49"/>
        <v>2022/23</v>
      </c>
      <c r="I110" s="331" t="str">
        <f t="shared" si="49"/>
        <v>2023/24</v>
      </c>
      <c r="J110" s="331" t="str">
        <f t="shared" si="49"/>
        <v>2024/25</v>
      </c>
      <c r="K110" s="331" t="str">
        <f t="shared" si="49"/>
        <v>2025/26</v>
      </c>
      <c r="L110" s="331" t="str">
        <f t="shared" si="49"/>
        <v>2026/27</v>
      </c>
      <c r="M110" s="331" t="str">
        <f t="shared" si="49"/>
        <v>2027/28</v>
      </c>
      <c r="N110" s="331" t="str">
        <f t="shared" si="49"/>
        <v>2028/29</v>
      </c>
    </row>
    <row r="111" spans="1:16">
      <c r="B111" s="331" t="str">
        <f t="shared" si="48"/>
        <v>20-24</v>
      </c>
      <c r="C111" s="447">
        <f>C77*Group_3_rates!E74</f>
        <v>8.2404566888339499</v>
      </c>
      <c r="D111" s="447">
        <f>D77*Group_3_rates!F74</f>
        <v>11.089763759930804</v>
      </c>
      <c r="E111" s="447">
        <f>E77*Group_3_rates!G74</f>
        <v>14.153904345592565</v>
      </c>
      <c r="F111" s="447">
        <f>F77*Group_3_rates!H74</f>
        <v>16.05781287169782</v>
      </c>
      <c r="G111" s="447">
        <f>G77*Group_3_rates!I74</f>
        <v>17.438445375615771</v>
      </c>
      <c r="H111" s="447">
        <f>H77*Group_3_rates!J74</f>
        <v>18.258875320990885</v>
      </c>
      <c r="I111" s="447">
        <f>I77*Group_3_rates!K74</f>
        <v>18.666397918043394</v>
      </c>
      <c r="J111" s="447">
        <f>J77*Group_3_rates!L74</f>
        <v>19.231352581595011</v>
      </c>
      <c r="K111" s="447">
        <f>K77*Group_3_rates!M74</f>
        <v>19.824994028885545</v>
      </c>
      <c r="L111" s="447">
        <f>L77*Group_3_rates!N74</f>
        <v>20.01479970136155</v>
      </c>
      <c r="M111" s="447">
        <f>M77*Group_3_rates!O74</f>
        <v>19.982331574358433</v>
      </c>
      <c r="N111" s="447">
        <f>N77*Group_3_rates!P74</f>
        <v>19.988326453632983</v>
      </c>
      <c r="O111" s="320"/>
      <c r="P111" s="320"/>
    </row>
    <row r="112" spans="1:16">
      <c r="B112" s="331" t="str">
        <f t="shared" si="48"/>
        <v>25-29</v>
      </c>
      <c r="C112" s="447">
        <f>C78*Group_3_rates!E75</f>
        <v>24.192181053492579</v>
      </c>
      <c r="D112" s="447">
        <f>D78*Group_3_rates!F75</f>
        <v>23.46043320944629</v>
      </c>
      <c r="E112" s="447">
        <f>E78*Group_3_rates!G75</f>
        <v>25.285403569401353</v>
      </c>
      <c r="F112" s="447">
        <f>F78*Group_3_rates!H75</f>
        <v>26.149576535840133</v>
      </c>
      <c r="G112" s="447">
        <f>G78*Group_3_rates!I75</f>
        <v>27.288545530260965</v>
      </c>
      <c r="H112" s="447">
        <f>H78*Group_3_rates!J75</f>
        <v>28.153377974540991</v>
      </c>
      <c r="I112" s="447">
        <f>I78*Group_3_rates!K75</f>
        <v>28.723613279688855</v>
      </c>
      <c r="J112" s="447">
        <f>J78*Group_3_rates!L75</f>
        <v>29.470686715329983</v>
      </c>
      <c r="K112" s="447">
        <f>K78*Group_3_rates!M75</f>
        <v>30.285636989838416</v>
      </c>
      <c r="L112" s="447">
        <f>L78*Group_3_rates!N75</f>
        <v>30.730393838178731</v>
      </c>
      <c r="M112" s="447">
        <f>M78*Group_3_rates!O75</f>
        <v>30.913024788832388</v>
      </c>
      <c r="N112" s="447">
        <f>N78*Group_3_rates!P75</f>
        <v>31.069636251657926</v>
      </c>
      <c r="O112" s="320"/>
      <c r="P112" s="320"/>
    </row>
    <row r="113" spans="1:17">
      <c r="B113" s="331" t="str">
        <f t="shared" si="48"/>
        <v>30-34</v>
      </c>
      <c r="C113" s="447">
        <f>C79*Group_3_rates!E76</f>
        <v>26.181045137546736</v>
      </c>
      <c r="D113" s="447">
        <f>D79*Group_3_rates!F76</f>
        <v>24.299466470533773</v>
      </c>
      <c r="E113" s="447">
        <f>E79*Group_3_rates!G76</f>
        <v>24.709545715255896</v>
      </c>
      <c r="F113" s="447">
        <f>F79*Group_3_rates!H76</f>
        <v>24.11087718759283</v>
      </c>
      <c r="G113" s="447">
        <f>G79*Group_3_rates!I76</f>
        <v>24.146148051072601</v>
      </c>
      <c r="H113" s="447">
        <f>H79*Group_3_rates!J76</f>
        <v>24.257777226134277</v>
      </c>
      <c r="I113" s="447">
        <f>I79*Group_3_rates!K76</f>
        <v>24.381326900632001</v>
      </c>
      <c r="J113" s="447">
        <f>J79*Group_3_rates!L76</f>
        <v>24.672461335346242</v>
      </c>
      <c r="K113" s="447">
        <f>K79*Group_3_rates!M76</f>
        <v>25.075599585722284</v>
      </c>
      <c r="L113" s="447">
        <f>L79*Group_3_rates!N76</f>
        <v>25.383650241081888</v>
      </c>
      <c r="M113" s="447">
        <f>M79*Group_3_rates!O76</f>
        <v>25.598861080005651</v>
      </c>
      <c r="N113" s="447">
        <f>N79*Group_3_rates!P76</f>
        <v>25.796136098367953</v>
      </c>
      <c r="O113" s="320"/>
      <c r="P113" s="320"/>
    </row>
    <row r="114" spans="1:17">
      <c r="B114" s="331" t="str">
        <f t="shared" si="48"/>
        <v>35-39</v>
      </c>
      <c r="C114" s="447">
        <f>C80*Group_3_rates!E77</f>
        <v>26.780296686473044</v>
      </c>
      <c r="D114" s="447">
        <f>D80*Group_3_rates!F77</f>
        <v>25.460165430734367</v>
      </c>
      <c r="E114" s="447">
        <f>E80*Group_3_rates!G77</f>
        <v>26.118627401130205</v>
      </c>
      <c r="F114" s="447">
        <f>F80*Group_3_rates!H77</f>
        <v>25.367327130867654</v>
      </c>
      <c r="G114" s="447">
        <f>G80*Group_3_rates!I77</f>
        <v>25.131815334313444</v>
      </c>
      <c r="H114" s="447">
        <f>H80*Group_3_rates!J77</f>
        <v>24.919002256009477</v>
      </c>
      <c r="I114" s="447">
        <f>I80*Group_3_rates!K77</f>
        <v>24.731807749329803</v>
      </c>
      <c r="J114" s="447">
        <f>J80*Group_3_rates!L77</f>
        <v>24.696754145545075</v>
      </c>
      <c r="K114" s="447">
        <f>K80*Group_3_rates!M77</f>
        <v>24.781956194950176</v>
      </c>
      <c r="L114" s="447">
        <f>L80*Group_3_rates!N77</f>
        <v>24.853520161731673</v>
      </c>
      <c r="M114" s="447">
        <f>M80*Group_3_rates!O77</f>
        <v>24.915398853128579</v>
      </c>
      <c r="N114" s="447">
        <f>N80*Group_3_rates!P77</f>
        <v>25.009779890793613</v>
      </c>
      <c r="O114" s="320"/>
      <c r="P114" s="320"/>
    </row>
    <row r="115" spans="1:17">
      <c r="B115" s="331" t="str">
        <f t="shared" si="48"/>
        <v>40-44</v>
      </c>
      <c r="C115" s="447">
        <f>C81*Group_3_rates!E78</f>
        <v>28.711289893263544</v>
      </c>
      <c r="D115" s="447">
        <f>D81*Group_3_rates!F78</f>
        <v>27.154524264375883</v>
      </c>
      <c r="E115" s="447">
        <f>E81*Group_3_rates!G78</f>
        <v>27.860045717004212</v>
      </c>
      <c r="F115" s="447">
        <f>F81*Group_3_rates!H78</f>
        <v>27.076679685238197</v>
      </c>
      <c r="G115" s="447">
        <f>G81*Group_3_rates!I78</f>
        <v>26.824751610802789</v>
      </c>
      <c r="H115" s="447">
        <f>H81*Group_3_rates!J78</f>
        <v>26.549990108852199</v>
      </c>
      <c r="I115" s="447">
        <f>I81*Group_3_rates!K78</f>
        <v>26.258069343863411</v>
      </c>
      <c r="J115" s="447">
        <f>J81*Group_3_rates!L78</f>
        <v>26.078929663400125</v>
      </c>
      <c r="K115" s="447">
        <f>K81*Group_3_rates!M78</f>
        <v>25.992194348077458</v>
      </c>
      <c r="L115" s="447">
        <f>L81*Group_3_rates!N78</f>
        <v>25.884588764506422</v>
      </c>
      <c r="M115" s="447">
        <f>M81*Group_3_rates!O78</f>
        <v>25.775412397923073</v>
      </c>
      <c r="N115" s="447">
        <f>N81*Group_3_rates!P78</f>
        <v>25.715362483004633</v>
      </c>
      <c r="O115" s="320"/>
      <c r="P115" s="320"/>
    </row>
    <row r="116" spans="1:17">
      <c r="B116" s="331" t="str">
        <f t="shared" si="48"/>
        <v>45-49</v>
      </c>
      <c r="C116" s="447">
        <f>C82*Group_3_rates!E79</f>
        <v>25.150618996949063</v>
      </c>
      <c r="D116" s="447">
        <f>D82*Group_3_rates!F79</f>
        <v>24.514839811012955</v>
      </c>
      <c r="E116" s="447">
        <f>E82*Group_3_rates!G79</f>
        <v>25.684052404211755</v>
      </c>
      <c r="F116" s="447">
        <f>F82*Group_3_rates!H79</f>
        <v>25.332569582025489</v>
      </c>
      <c r="G116" s="447">
        <f>G82*Group_3_rates!I79</f>
        <v>25.376407614727103</v>
      </c>
      <c r="H116" s="447">
        <f>H82*Group_3_rates!J79</f>
        <v>25.322468908741278</v>
      </c>
      <c r="I116" s="447">
        <f>I82*Group_3_rates!K79</f>
        <v>25.188047961881967</v>
      </c>
      <c r="J116" s="447">
        <f>J82*Group_3_rates!L79</f>
        <v>25.097486247079225</v>
      </c>
      <c r="K116" s="447">
        <f>K82*Group_3_rates!M79</f>
        <v>25.042004972801703</v>
      </c>
      <c r="L116" s="447">
        <f>L82*Group_3_rates!N79</f>
        <v>24.930123411726235</v>
      </c>
      <c r="M116" s="447">
        <f>M82*Group_3_rates!O79</f>
        <v>24.787509046691589</v>
      </c>
      <c r="N116" s="447">
        <f>N82*Group_3_rates!P79</f>
        <v>24.668277136960359</v>
      </c>
      <c r="O116" s="320"/>
      <c r="P116" s="320"/>
    </row>
    <row r="117" spans="1:17">
      <c r="B117" s="331" t="str">
        <f t="shared" si="48"/>
        <v>50-54</v>
      </c>
      <c r="C117" s="447">
        <f>C83*Group_3_rates!E80</f>
        <v>21.476851495213765</v>
      </c>
      <c r="D117" s="447">
        <f>D83*Group_3_rates!F80</f>
        <v>20.110056015445103</v>
      </c>
      <c r="E117" s="447">
        <f>E83*Group_3_rates!G80</f>
        <v>20.603023080025423</v>
      </c>
      <c r="F117" s="447">
        <f>F83*Group_3_rates!H80</f>
        <v>20.083072108500549</v>
      </c>
      <c r="G117" s="447">
        <f>G83*Group_3_rates!I80</f>
        <v>20.015678196030855</v>
      </c>
      <c r="H117" s="447">
        <f>H83*Group_3_rates!J80</f>
        <v>19.948642635340526</v>
      </c>
      <c r="I117" s="447">
        <f>I83*Group_3_rates!K80</f>
        <v>19.860494676188928</v>
      </c>
      <c r="J117" s="447">
        <f>J83*Group_3_rates!L80</f>
        <v>19.823417577583744</v>
      </c>
      <c r="K117" s="447">
        <f>K83*Group_3_rates!M80</f>
        <v>19.815814512851812</v>
      </c>
      <c r="L117" s="447">
        <f>L83*Group_3_rates!N80</f>
        <v>19.759045905944035</v>
      </c>
      <c r="M117" s="447">
        <f>M83*Group_3_rates!O80</f>
        <v>19.668207655136584</v>
      </c>
      <c r="N117" s="447">
        <f>N83*Group_3_rates!P80</f>
        <v>19.58272628348573</v>
      </c>
      <c r="O117" s="320"/>
      <c r="P117" s="320"/>
    </row>
    <row r="118" spans="1:17">
      <c r="B118" s="331" t="str">
        <f t="shared" si="48"/>
        <v>55-59</v>
      </c>
      <c r="C118" s="447">
        <f>C84*Group_3_rates!E81</f>
        <v>9.0077498195615924</v>
      </c>
      <c r="D118" s="447">
        <f>D84*Group_3_rates!F81</f>
        <v>7.8065001794209889</v>
      </c>
      <c r="E118" s="447">
        <f>E84*Group_3_rates!G81</f>
        <v>7.5288368988182555</v>
      </c>
      <c r="F118" s="447">
        <f>F84*Group_3_rates!H81</f>
        <v>7.0320813826352264</v>
      </c>
      <c r="G118" s="447">
        <f>G84*Group_3_rates!I81</f>
        <v>6.8009440354890565</v>
      </c>
      <c r="H118" s="447">
        <f>H84*Group_3_rates!J81</f>
        <v>6.6436216604297087</v>
      </c>
      <c r="I118" s="447">
        <f>I84*Group_3_rates!K81</f>
        <v>6.5294747724841731</v>
      </c>
      <c r="J118" s="447">
        <f>J84*Group_3_rates!L81</f>
        <v>6.4714586686628683</v>
      </c>
      <c r="K118" s="447">
        <f>K84*Group_3_rates!M81</f>
        <v>6.4467308160657977</v>
      </c>
      <c r="L118" s="447">
        <f>L84*Group_3_rates!N81</f>
        <v>6.4145663923124463</v>
      </c>
      <c r="M118" s="447">
        <f>M84*Group_3_rates!O81</f>
        <v>6.3772029179559597</v>
      </c>
      <c r="N118" s="447">
        <f>N84*Group_3_rates!P81</f>
        <v>6.3471788099036752</v>
      </c>
      <c r="O118" s="320"/>
      <c r="P118" s="320"/>
    </row>
    <row r="119" spans="1:17">
      <c r="B119" s="331" t="str">
        <f t="shared" si="48"/>
        <v>60-64</v>
      </c>
      <c r="C119" s="447">
        <f>C85*Group_3_rates!E82</f>
        <v>4.0961058142404223</v>
      </c>
      <c r="D119" s="447">
        <f>D85*Group_3_rates!F82</f>
        <v>3.6424053532188858</v>
      </c>
      <c r="E119" s="447">
        <f>E85*Group_3_rates!G82</f>
        <v>3.4930642966141345</v>
      </c>
      <c r="F119" s="447">
        <f>F85*Group_3_rates!H82</f>
        <v>3.2016277675035356</v>
      </c>
      <c r="G119" s="447">
        <f>G85*Group_3_rates!I82</f>
        <v>3.0259935970215524</v>
      </c>
      <c r="H119" s="447">
        <f>H85*Group_3_rates!J82</f>
        <v>2.8925935008250305</v>
      </c>
      <c r="I119" s="447">
        <f>I85*Group_3_rates!K82</f>
        <v>2.7918782512401679</v>
      </c>
      <c r="J119" s="447">
        <f>J85*Group_3_rates!L82</f>
        <v>2.7337069762543673</v>
      </c>
      <c r="K119" s="447">
        <f>K85*Group_3_rates!M82</f>
        <v>2.7028668194990821</v>
      </c>
      <c r="L119" s="447">
        <f>L85*Group_3_rates!N82</f>
        <v>2.6734966327399765</v>
      </c>
      <c r="M119" s="447">
        <f>M85*Group_3_rates!O82</f>
        <v>2.6462983013567847</v>
      </c>
      <c r="N119" s="447">
        <f>N85*Group_3_rates!P82</f>
        <v>2.6275916711953102</v>
      </c>
      <c r="O119" s="320"/>
      <c r="P119" s="320"/>
    </row>
    <row r="120" spans="1:17">
      <c r="B120" s="331" t="str">
        <f t="shared" si="48"/>
        <v>65 plus</v>
      </c>
      <c r="C120" s="447">
        <f>C86*Group_3_rates!E83</f>
        <v>2.6790661251204941</v>
      </c>
      <c r="D120" s="447">
        <f>D86*Group_3_rates!F83</f>
        <v>2.5827016668323761</v>
      </c>
      <c r="E120" s="447">
        <f>E86*Group_3_rates!G83</f>
        <v>2.6310075122705876</v>
      </c>
      <c r="F120" s="447">
        <f>F86*Group_3_rates!H83</f>
        <v>2.4919299253411635</v>
      </c>
      <c r="G120" s="447">
        <f>G86*Group_3_rates!I83</f>
        <v>2.3888585788433665</v>
      </c>
      <c r="H120" s="447">
        <f>H86*Group_3_rates!J83</f>
        <v>2.2836824210898801</v>
      </c>
      <c r="I120" s="447">
        <f>I86*Group_3_rates!K83</f>
        <v>2.1859356300720605</v>
      </c>
      <c r="J120" s="447">
        <f>J86*Group_3_rates!L83</f>
        <v>2.1134190674596831</v>
      </c>
      <c r="K120" s="447">
        <f>K86*Group_3_rates!M83</f>
        <v>2.0629352549555926</v>
      </c>
      <c r="L120" s="447">
        <f>L86*Group_3_rates!N83</f>
        <v>2.018853498929607</v>
      </c>
      <c r="M120" s="447">
        <f>M86*Group_3_rates!O83</f>
        <v>1.9808292004454819</v>
      </c>
      <c r="N120" s="447">
        <f>N86*Group_3_rates!P83</f>
        <v>1.9528405598589385</v>
      </c>
      <c r="O120" s="320"/>
      <c r="P120" s="320"/>
    </row>
    <row r="121" spans="1:17">
      <c r="B121" s="331" t="str">
        <f t="shared" si="48"/>
        <v>Total</v>
      </c>
      <c r="C121" s="447">
        <f>SUM(C111:C120)</f>
        <v>176.51566171069518</v>
      </c>
      <c r="D121" s="447">
        <f t="shared" ref="D121:N121" si="50">SUM(D111:D120)</f>
        <v>170.12085616095143</v>
      </c>
      <c r="E121" s="447">
        <f t="shared" si="50"/>
        <v>178.06751094032441</v>
      </c>
      <c r="F121" s="447">
        <f t="shared" si="50"/>
        <v>176.9035541772426</v>
      </c>
      <c r="G121" s="447">
        <f t="shared" si="50"/>
        <v>178.43758792417748</v>
      </c>
      <c r="H121" s="447">
        <f t="shared" si="50"/>
        <v>179.23003201295424</v>
      </c>
      <c r="I121" s="447">
        <f t="shared" si="50"/>
        <v>179.31704648342478</v>
      </c>
      <c r="J121" s="447">
        <f t="shared" si="50"/>
        <v>180.3896729782563</v>
      </c>
      <c r="K121" s="447">
        <f t="shared" si="50"/>
        <v>182.03073352364788</v>
      </c>
      <c r="L121" s="447">
        <f t="shared" si="50"/>
        <v>182.66303854851256</v>
      </c>
      <c r="M121" s="447">
        <f t="shared" si="50"/>
        <v>182.6450758158345</v>
      </c>
      <c r="N121" s="447">
        <f t="shared" si="50"/>
        <v>182.75785563886114</v>
      </c>
      <c r="O121" s="320"/>
      <c r="P121" s="320"/>
    </row>
    <row r="122" spans="1:17">
      <c r="A122" s="302">
        <f>SUM(C122:N122)</f>
        <v>0</v>
      </c>
      <c r="C122" s="302">
        <f>SUM(C111:C120)-C121</f>
        <v>0</v>
      </c>
      <c r="D122" s="302">
        <f t="shared" ref="D122:N122" si="51">SUM(D111:D120)-D121</f>
        <v>0</v>
      </c>
      <c r="E122" s="302">
        <f t="shared" si="51"/>
        <v>0</v>
      </c>
      <c r="F122" s="302">
        <f t="shared" si="51"/>
        <v>0</v>
      </c>
      <c r="G122" s="302">
        <f t="shared" si="51"/>
        <v>0</v>
      </c>
      <c r="H122" s="302">
        <f t="shared" si="51"/>
        <v>0</v>
      </c>
      <c r="I122" s="302">
        <f t="shared" si="51"/>
        <v>0</v>
      </c>
      <c r="J122" s="302">
        <f t="shared" si="51"/>
        <v>0</v>
      </c>
      <c r="K122" s="302">
        <f t="shared" si="51"/>
        <v>0</v>
      </c>
      <c r="L122" s="302">
        <f t="shared" si="51"/>
        <v>0</v>
      </c>
      <c r="M122" s="302">
        <f t="shared" si="51"/>
        <v>0</v>
      </c>
      <c r="N122" s="302">
        <f t="shared" si="51"/>
        <v>0</v>
      </c>
    </row>
    <row r="124" spans="1:17">
      <c r="B124" s="334" t="s">
        <v>47</v>
      </c>
      <c r="C124" s="322"/>
      <c r="D124" s="322"/>
      <c r="E124" s="322"/>
      <c r="F124" s="322"/>
      <c r="G124" s="322"/>
      <c r="H124" s="332"/>
      <c r="I124" s="322"/>
      <c r="J124" s="322"/>
      <c r="K124" s="322"/>
      <c r="L124" s="322"/>
    </row>
    <row r="125" spans="1:17">
      <c r="C125" s="322"/>
      <c r="D125" s="322"/>
      <c r="E125" s="322"/>
      <c r="F125" s="322"/>
      <c r="G125" s="322"/>
      <c r="H125" s="332"/>
      <c r="I125" s="322"/>
      <c r="J125" s="322"/>
      <c r="K125" s="322"/>
      <c r="L125" s="322"/>
    </row>
    <row r="126" spans="1:17">
      <c r="B126" s="331" t="str">
        <f t="shared" ref="B126:B137" si="52">B110</f>
        <v>Age group</v>
      </c>
      <c r="C126" s="331" t="str">
        <f t="shared" ref="C126:N126" si="53">C110</f>
        <v>2017/18</v>
      </c>
      <c r="D126" s="331" t="str">
        <f t="shared" si="53"/>
        <v>2018/19</v>
      </c>
      <c r="E126" s="331" t="str">
        <f t="shared" si="53"/>
        <v>2019/20</v>
      </c>
      <c r="F126" s="331" t="str">
        <f t="shared" si="53"/>
        <v>2020/21</v>
      </c>
      <c r="G126" s="331" t="str">
        <f t="shared" si="53"/>
        <v>2021/22</v>
      </c>
      <c r="H126" s="331" t="str">
        <f t="shared" si="53"/>
        <v>2022/23</v>
      </c>
      <c r="I126" s="331" t="str">
        <f t="shared" si="53"/>
        <v>2023/24</v>
      </c>
      <c r="J126" s="331" t="str">
        <f t="shared" si="53"/>
        <v>2024/25</v>
      </c>
      <c r="K126" s="331" t="str">
        <f t="shared" si="53"/>
        <v>2025/26</v>
      </c>
      <c r="L126" s="331" t="str">
        <f t="shared" si="53"/>
        <v>2026/27</v>
      </c>
      <c r="M126" s="331" t="str">
        <f t="shared" si="53"/>
        <v>2027/28</v>
      </c>
      <c r="N126" s="331" t="str">
        <f t="shared" si="53"/>
        <v>2028/29</v>
      </c>
    </row>
    <row r="127" spans="1:17">
      <c r="B127" s="331" t="str">
        <f t="shared" si="52"/>
        <v>20-24</v>
      </c>
      <c r="C127" s="447">
        <f>C93*Group_3_rates!E89</f>
        <v>27.674344462302091</v>
      </c>
      <c r="D127" s="447">
        <f>D93*Group_3_rates!F89</f>
        <v>31.875721223092615</v>
      </c>
      <c r="E127" s="447">
        <f>E93*Group_3_rates!G89</f>
        <v>35.998442366634634</v>
      </c>
      <c r="F127" s="447">
        <f>F93*Group_3_rates!H89</f>
        <v>39.838428270285505</v>
      </c>
      <c r="G127" s="447">
        <f>G93*Group_3_rates!I89</f>
        <v>41.783221970877356</v>
      </c>
      <c r="H127" s="447">
        <f>H93*Group_3_rates!J89</f>
        <v>42.81169484689125</v>
      </c>
      <c r="I127" s="447">
        <f>I93*Group_3_rates!K89</f>
        <v>43.153932011174454</v>
      </c>
      <c r="J127" s="447">
        <f>J93*Group_3_rates!L89</f>
        <v>44.01840596503537</v>
      </c>
      <c r="K127" s="447">
        <f>K93*Group_3_rates!M89</f>
        <v>45.066023088474282</v>
      </c>
      <c r="L127" s="447">
        <f>L93*Group_3_rates!N89</f>
        <v>45.291448550867699</v>
      </c>
      <c r="M127" s="447">
        <f>M93*Group_3_rates!O89</f>
        <v>45.077553405879122</v>
      </c>
      <c r="N127" s="447">
        <f>N93*Group_3_rates!P89</f>
        <v>44.991803601410595</v>
      </c>
      <c r="O127" s="320"/>
      <c r="P127" s="320"/>
      <c r="Q127" s="320"/>
    </row>
    <row r="128" spans="1:17">
      <c r="B128" s="331" t="str">
        <f t="shared" si="52"/>
        <v>25-29</v>
      </c>
      <c r="C128" s="447">
        <f>C94*Group_3_rates!E90</f>
        <v>74.543765242223643</v>
      </c>
      <c r="D128" s="447">
        <f>D94*Group_3_rates!F90</f>
        <v>70.651236053109201</v>
      </c>
      <c r="E128" s="447">
        <f>E94*Group_3_rates!G90</f>
        <v>69.933892832818643</v>
      </c>
      <c r="F128" s="447">
        <f>F94*Group_3_rates!H90</f>
        <v>70.731612937523579</v>
      </c>
      <c r="G128" s="447">
        <f>G94*Group_3_rates!I90</f>
        <v>70.662637381785103</v>
      </c>
      <c r="H128" s="447">
        <f>H94*Group_3_rates!J90</f>
        <v>70.541475188883126</v>
      </c>
      <c r="I128" s="447">
        <f>I94*Group_3_rates!K90</f>
        <v>70.211812396772871</v>
      </c>
      <c r="J128" s="447">
        <f>J94*Group_3_rates!L90</f>
        <v>70.653668208662921</v>
      </c>
      <c r="K128" s="447">
        <f>K94*Group_3_rates!M90</f>
        <v>71.539785202221609</v>
      </c>
      <c r="L128" s="447">
        <f>L94*Group_3_rates!N90</f>
        <v>71.808889812362196</v>
      </c>
      <c r="M128" s="447">
        <f>M94*Group_3_rates!O90</f>
        <v>71.657549910653501</v>
      </c>
      <c r="N128" s="447">
        <f>N94*Group_3_rates!P90</f>
        <v>71.583729429541762</v>
      </c>
      <c r="O128" s="320"/>
      <c r="P128" s="320"/>
      <c r="Q128" s="320"/>
    </row>
    <row r="129" spans="1:17">
      <c r="B129" s="331" t="str">
        <f t="shared" si="52"/>
        <v>30-34</v>
      </c>
      <c r="C129" s="447">
        <f>C95*Group_3_rates!E91</f>
        <v>74.37633338011554</v>
      </c>
      <c r="D129" s="447">
        <f>D95*Group_3_rates!F91</f>
        <v>73.089580777190321</v>
      </c>
      <c r="E129" s="447">
        <f>E95*Group_3_rates!G91</f>
        <v>72.722713986564727</v>
      </c>
      <c r="F129" s="447">
        <f>F95*Group_3_rates!H91</f>
        <v>72.533391098868066</v>
      </c>
      <c r="G129" s="447">
        <f>G95*Group_3_rates!I91</f>
        <v>71.414032804886602</v>
      </c>
      <c r="H129" s="447">
        <f>H95*Group_3_rates!J91</f>
        <v>70.404550809792994</v>
      </c>
      <c r="I129" s="447">
        <f>I95*Group_3_rates!K91</f>
        <v>69.445711838112132</v>
      </c>
      <c r="J129" s="447">
        <f>J95*Group_3_rates!L91</f>
        <v>69.0175825032848</v>
      </c>
      <c r="K129" s="447">
        <f>K95*Group_3_rates!M91</f>
        <v>69.002383049898512</v>
      </c>
      <c r="L129" s="447">
        <f>L95*Group_3_rates!N91</f>
        <v>68.861417240608262</v>
      </c>
      <c r="M129" s="447">
        <f>M95*Group_3_rates!O91</f>
        <v>68.6049394562353</v>
      </c>
      <c r="N129" s="447">
        <f>N95*Group_3_rates!P91</f>
        <v>68.427126187027554</v>
      </c>
      <c r="O129" s="320"/>
      <c r="P129" s="320"/>
      <c r="Q129" s="320"/>
    </row>
    <row r="130" spans="1:17">
      <c r="B130" s="331" t="str">
        <f t="shared" si="52"/>
        <v>35-39</v>
      </c>
      <c r="C130" s="447">
        <f>C96*Group_3_rates!E92</f>
        <v>66.186066918146821</v>
      </c>
      <c r="D130" s="447">
        <f>D96*Group_3_rates!F92</f>
        <v>66.509937442214479</v>
      </c>
      <c r="E130" s="447">
        <f>E96*Group_3_rates!G92</f>
        <v>67.518834348225724</v>
      </c>
      <c r="F130" s="447">
        <f>F96*Group_3_rates!H92</f>
        <v>68.227662204553823</v>
      </c>
      <c r="G130" s="447">
        <f>G96*Group_3_rates!I92</f>
        <v>67.709114297249201</v>
      </c>
      <c r="H130" s="447">
        <f>H96*Group_3_rates!J92</f>
        <v>67.014071097643097</v>
      </c>
      <c r="I130" s="447">
        <f>I96*Group_3_rates!K92</f>
        <v>66.19486270683619</v>
      </c>
      <c r="J130" s="447">
        <f>J96*Group_3_rates!L92</f>
        <v>65.632056337724165</v>
      </c>
      <c r="K130" s="447">
        <f>K96*Group_3_rates!M92</f>
        <v>65.2902373533461</v>
      </c>
      <c r="L130" s="447">
        <f>L96*Group_3_rates!N92</f>
        <v>64.863992586773961</v>
      </c>
      <c r="M130" s="447">
        <f>M96*Group_3_rates!O92</f>
        <v>64.400116980056268</v>
      </c>
      <c r="N130" s="447">
        <f>N96*Group_3_rates!P92</f>
        <v>64.03529506660864</v>
      </c>
      <c r="O130" s="320"/>
      <c r="P130" s="320"/>
      <c r="Q130" s="320"/>
    </row>
    <row r="131" spans="1:17">
      <c r="B131" s="331" t="str">
        <f t="shared" si="52"/>
        <v>40-44</v>
      </c>
      <c r="C131" s="447">
        <f>C97*Group_3_rates!E93</f>
        <v>60.58662360822013</v>
      </c>
      <c r="D131" s="447">
        <f>D97*Group_3_rates!F93</f>
        <v>60.643774448950978</v>
      </c>
      <c r="E131" s="447">
        <f>E97*Group_3_rates!G93</f>
        <v>61.640970262982322</v>
      </c>
      <c r="F131" s="447">
        <f>F97*Group_3_rates!H93</f>
        <v>62.566290708505363</v>
      </c>
      <c r="G131" s="447">
        <f>G97*Group_3_rates!I93</f>
        <v>62.459598994973007</v>
      </c>
      <c r="H131" s="447">
        <f>H97*Group_3_rates!J93</f>
        <v>62.189271763355094</v>
      </c>
      <c r="I131" s="447">
        <f>I97*Group_3_rates!K93</f>
        <v>61.754334432173771</v>
      </c>
      <c r="J131" s="447">
        <f>J97*Group_3_rates!L93</f>
        <v>61.459384682857404</v>
      </c>
      <c r="K131" s="447">
        <f>K97*Group_3_rates!M93</f>
        <v>61.262698623850603</v>
      </c>
      <c r="L131" s="447">
        <f>L97*Group_3_rates!N93</f>
        <v>60.910504152256564</v>
      </c>
      <c r="M131" s="447">
        <f>M97*Group_3_rates!O93</f>
        <v>60.467772627789813</v>
      </c>
      <c r="N131" s="447">
        <f>N97*Group_3_rates!P93</f>
        <v>60.075080941673356</v>
      </c>
      <c r="O131" s="320"/>
      <c r="P131" s="320"/>
      <c r="Q131" s="320"/>
    </row>
    <row r="132" spans="1:17">
      <c r="B132" s="331" t="str">
        <f t="shared" si="52"/>
        <v>45-49</v>
      </c>
      <c r="C132" s="447">
        <f>C98*Group_3_rates!E94</f>
        <v>46.098226013115017</v>
      </c>
      <c r="D132" s="447">
        <f>D98*Group_3_rates!F94</f>
        <v>49.429805184069849</v>
      </c>
      <c r="E132" s="447">
        <f>E98*Group_3_rates!G94</f>
        <v>52.654175618747743</v>
      </c>
      <c r="F132" s="447">
        <f>F98*Group_3_rates!H94</f>
        <v>55.241118247699227</v>
      </c>
      <c r="G132" s="447">
        <f>G98*Group_3_rates!I94</f>
        <v>56.490905945154893</v>
      </c>
      <c r="H132" s="447">
        <f>H98*Group_3_rates!J94</f>
        <v>57.28814449764235</v>
      </c>
      <c r="I132" s="447">
        <f>I98*Group_3_rates!K94</f>
        <v>57.712605667507084</v>
      </c>
      <c r="J132" s="447">
        <f>J98*Group_3_rates!L94</f>
        <v>58.092574226522323</v>
      </c>
      <c r="K132" s="447">
        <f>K98*Group_3_rates!M94</f>
        <v>58.421379972567301</v>
      </c>
      <c r="L132" s="447">
        <f>L98*Group_3_rates!N94</f>
        <v>58.487360226936339</v>
      </c>
      <c r="M132" s="447">
        <f>M98*Group_3_rates!O94</f>
        <v>58.366625506411999</v>
      </c>
      <c r="N132" s="447">
        <f>N98*Group_3_rates!P94</f>
        <v>58.204833248914099</v>
      </c>
      <c r="O132" s="320"/>
      <c r="P132" s="320"/>
      <c r="Q132" s="320"/>
    </row>
    <row r="133" spans="1:17">
      <c r="B133" s="331" t="str">
        <f t="shared" si="52"/>
        <v>50-54</v>
      </c>
      <c r="C133" s="447">
        <f>C99*Group_3_rates!E95</f>
        <v>37.734226658991552</v>
      </c>
      <c r="D133" s="447">
        <f>D99*Group_3_rates!F95</f>
        <v>37.580414177536902</v>
      </c>
      <c r="E133" s="447">
        <f>E99*Group_3_rates!G95</f>
        <v>38.643230821620051</v>
      </c>
      <c r="F133" s="447">
        <f>F99*Group_3_rates!H95</f>
        <v>39.997019265036997</v>
      </c>
      <c r="G133" s="447">
        <f>G99*Group_3_rates!I95</f>
        <v>40.822445916394436</v>
      </c>
      <c r="H133" s="447">
        <f>H99*Group_3_rates!J95</f>
        <v>41.564148966751844</v>
      </c>
      <c r="I133" s="447">
        <f>I99*Group_3_rates!K95</f>
        <v>42.157539400778546</v>
      </c>
      <c r="J133" s="447">
        <f>J99*Group_3_rates!L95</f>
        <v>42.773428751122403</v>
      </c>
      <c r="K133" s="447">
        <f>K99*Group_3_rates!M95</f>
        <v>43.361668395789778</v>
      </c>
      <c r="L133" s="447">
        <f>L99*Group_3_rates!N95</f>
        <v>43.737506855457745</v>
      </c>
      <c r="M133" s="447">
        <f>M99*Group_3_rates!O95</f>
        <v>43.942994752748795</v>
      </c>
      <c r="N133" s="447">
        <f>N99*Group_3_rates!P95</f>
        <v>44.079078409975175</v>
      </c>
      <c r="O133" s="320"/>
      <c r="P133" s="320"/>
      <c r="Q133" s="320"/>
    </row>
    <row r="134" spans="1:17">
      <c r="B134" s="331" t="str">
        <f t="shared" si="52"/>
        <v>55-59</v>
      </c>
      <c r="C134" s="447">
        <f>C100*Group_3_rates!E96</f>
        <v>20.471195502654048</v>
      </c>
      <c r="D134" s="447">
        <f>D100*Group_3_rates!F96</f>
        <v>18.11853332747803</v>
      </c>
      <c r="E134" s="447">
        <f>E100*Group_3_rates!G96</f>
        <v>16.916831783433306</v>
      </c>
      <c r="F134" s="447">
        <f>F100*Group_3_rates!H96</f>
        <v>16.317392073597762</v>
      </c>
      <c r="G134" s="447">
        <f>G100*Group_3_rates!I96</f>
        <v>15.874354564987057</v>
      </c>
      <c r="H134" s="447">
        <f>H100*Group_3_rates!J96</f>
        <v>15.674783671502752</v>
      </c>
      <c r="I134" s="447">
        <f>I100*Group_3_rates!K96</f>
        <v>15.609062839884617</v>
      </c>
      <c r="J134" s="447">
        <f>J100*Group_3_rates!L96</f>
        <v>15.694890995764489</v>
      </c>
      <c r="K134" s="447">
        <f>K100*Group_3_rates!M96</f>
        <v>15.859069798049958</v>
      </c>
      <c r="L134" s="447">
        <f>L100*Group_3_rates!N96</f>
        <v>15.983971997752681</v>
      </c>
      <c r="M134" s="447">
        <f>M100*Group_3_rates!O96</f>
        <v>16.071887665915664</v>
      </c>
      <c r="N134" s="447">
        <f>N100*Group_3_rates!P96</f>
        <v>16.155391387805828</v>
      </c>
      <c r="O134" s="320"/>
      <c r="P134" s="320"/>
      <c r="Q134" s="320"/>
    </row>
    <row r="135" spans="1:17">
      <c r="B135" s="331" t="str">
        <f t="shared" si="52"/>
        <v>60-64</v>
      </c>
      <c r="C135" s="447">
        <f>C101*Group_3_rates!E97</f>
        <v>6.3891676247568947</v>
      </c>
      <c r="D135" s="447">
        <f>D101*Group_3_rates!F97</f>
        <v>6.4050877991742432</v>
      </c>
      <c r="E135" s="447">
        <f>E101*Group_3_rates!G97</f>
        <v>6.2110676236241131</v>
      </c>
      <c r="F135" s="447">
        <f>F101*Group_3_rates!H97</f>
        <v>5.9689104650448179</v>
      </c>
      <c r="G135" s="447">
        <f>G101*Group_3_rates!I97</f>
        <v>5.6794897707595773</v>
      </c>
      <c r="H135" s="447">
        <f>H101*Group_3_rates!J97</f>
        <v>5.4616151455299002</v>
      </c>
      <c r="I135" s="447">
        <f>I101*Group_3_rates!K97</f>
        <v>5.3095576819608921</v>
      </c>
      <c r="J135" s="447">
        <f>J101*Group_3_rates!L97</f>
        <v>5.2487313809647098</v>
      </c>
      <c r="K135" s="447">
        <f>K101*Group_3_rates!M97</f>
        <v>5.2463330575981715</v>
      </c>
      <c r="L135" s="447">
        <f>L101*Group_3_rates!N97</f>
        <v>5.2453245252413678</v>
      </c>
      <c r="M135" s="447">
        <f>M101*Group_3_rates!O97</f>
        <v>5.2456463363741008</v>
      </c>
      <c r="N135" s="447">
        <f>N101*Group_3_rates!P97</f>
        <v>5.2596034762065971</v>
      </c>
      <c r="O135" s="320"/>
      <c r="P135" s="320"/>
      <c r="Q135" s="320"/>
    </row>
    <row r="136" spans="1:17">
      <c r="B136" s="331" t="str">
        <f t="shared" si="52"/>
        <v>65 plus</v>
      </c>
      <c r="C136" s="447">
        <f>C102*Group_3_rates!E98</f>
        <v>2.2770112138292586</v>
      </c>
      <c r="D136" s="447">
        <f>D102*Group_3_rates!F98</f>
        <v>3.0542004550566171</v>
      </c>
      <c r="E136" s="447">
        <f>E102*Group_3_rates!G98</f>
        <v>3.6151451915632733</v>
      </c>
      <c r="F136" s="447">
        <f>F102*Group_3_rates!H98</f>
        <v>3.9472001498011928</v>
      </c>
      <c r="G136" s="447">
        <f>G102*Group_3_rates!I98</f>
        <v>4.0499189914334313</v>
      </c>
      <c r="H136" s="447">
        <f>H102*Group_3_rates!J98</f>
        <v>4.0490463607746596</v>
      </c>
      <c r="I136" s="447">
        <f>I102*Group_3_rates!K98</f>
        <v>3.9953981081568215</v>
      </c>
      <c r="J136" s="447">
        <f>J102*Group_3_rates!L98</f>
        <v>3.9476443884300667</v>
      </c>
      <c r="K136" s="447">
        <f>K102*Group_3_rates!M98</f>
        <v>3.9168304995930652</v>
      </c>
      <c r="L136" s="447">
        <f>L102*Group_3_rates!N98</f>
        <v>3.883331775875694</v>
      </c>
      <c r="M136" s="447">
        <f>M102*Group_3_rates!O98</f>
        <v>3.8520557440820777</v>
      </c>
      <c r="N136" s="447">
        <f>N102*Group_3_rates!P98</f>
        <v>3.8339468803996986</v>
      </c>
      <c r="O136" s="320"/>
      <c r="P136" s="320"/>
      <c r="Q136" s="320"/>
    </row>
    <row r="137" spans="1:17">
      <c r="B137" s="331" t="str">
        <f t="shared" si="52"/>
        <v>Total</v>
      </c>
      <c r="C137" s="447">
        <f>SUM(C127:C136)</f>
        <v>416.33696062435502</v>
      </c>
      <c r="D137" s="447">
        <f t="shared" ref="D137:N137" si="54">SUM(D127:D136)</f>
        <v>417.35829088787318</v>
      </c>
      <c r="E137" s="447">
        <f t="shared" si="54"/>
        <v>425.85530483621443</v>
      </c>
      <c r="F137" s="447">
        <f t="shared" si="54"/>
        <v>435.36902542091627</v>
      </c>
      <c r="G137" s="447">
        <f t="shared" si="54"/>
        <v>436.94572063850075</v>
      </c>
      <c r="H137" s="447">
        <f t="shared" si="54"/>
        <v>436.99880234876701</v>
      </c>
      <c r="I137" s="447">
        <f t="shared" si="54"/>
        <v>435.54481708335743</v>
      </c>
      <c r="J137" s="447">
        <f t="shared" si="54"/>
        <v>436.53836744036869</v>
      </c>
      <c r="K137" s="447">
        <f t="shared" si="54"/>
        <v>438.9664090413894</v>
      </c>
      <c r="L137" s="447">
        <f t="shared" si="54"/>
        <v>439.07374772413255</v>
      </c>
      <c r="M137" s="447">
        <f t="shared" si="54"/>
        <v>437.6871423861466</v>
      </c>
      <c r="N137" s="447">
        <f t="shared" si="54"/>
        <v>436.64588862956333</v>
      </c>
      <c r="O137" s="320"/>
      <c r="P137" s="320"/>
      <c r="Q137" s="320"/>
    </row>
    <row r="138" spans="1:17">
      <c r="A138" s="302">
        <f>SUM(C138:N138)</f>
        <v>0</v>
      </c>
      <c r="C138" s="302">
        <f>SUM(C127:C136)-C137</f>
        <v>0</v>
      </c>
      <c r="D138" s="302">
        <f t="shared" ref="D138:N138" si="55">SUM(D127:D136)-D137</f>
        <v>0</v>
      </c>
      <c r="E138" s="302">
        <f t="shared" si="55"/>
        <v>0</v>
      </c>
      <c r="F138" s="302">
        <f t="shared" si="55"/>
        <v>0</v>
      </c>
      <c r="G138" s="302">
        <f t="shared" si="55"/>
        <v>0</v>
      </c>
      <c r="H138" s="302">
        <f t="shared" si="55"/>
        <v>0</v>
      </c>
      <c r="I138" s="302">
        <f t="shared" si="55"/>
        <v>0</v>
      </c>
      <c r="J138" s="302">
        <f t="shared" si="55"/>
        <v>0</v>
      </c>
      <c r="K138" s="302">
        <f t="shared" si="55"/>
        <v>0</v>
      </c>
      <c r="L138" s="302">
        <f t="shared" si="55"/>
        <v>0</v>
      </c>
      <c r="M138" s="302">
        <f t="shared" si="55"/>
        <v>0</v>
      </c>
      <c r="N138" s="302">
        <f t="shared" si="55"/>
        <v>0</v>
      </c>
    </row>
    <row r="140" spans="1:17" ht="15.75">
      <c r="B140" s="333" t="s">
        <v>165</v>
      </c>
      <c r="H140" s="318"/>
    </row>
    <row r="141" spans="1:17">
      <c r="H141" s="318"/>
    </row>
    <row r="142" spans="1:17">
      <c r="B142" s="334" t="s">
        <v>46</v>
      </c>
      <c r="H142" s="318"/>
    </row>
    <row r="143" spans="1:17">
      <c r="H143" s="318"/>
    </row>
    <row r="144" spans="1:17">
      <c r="B144" s="331" t="str">
        <f t="shared" ref="B144:B155" si="56">B110</f>
        <v>Age group</v>
      </c>
      <c r="C144" s="331" t="str">
        <f t="shared" ref="C144:N144" si="57">C110</f>
        <v>2017/18</v>
      </c>
      <c r="D144" s="331" t="str">
        <f t="shared" si="57"/>
        <v>2018/19</v>
      </c>
      <c r="E144" s="331" t="str">
        <f t="shared" si="57"/>
        <v>2019/20</v>
      </c>
      <c r="F144" s="331" t="str">
        <f t="shared" si="57"/>
        <v>2020/21</v>
      </c>
      <c r="G144" s="331" t="str">
        <f t="shared" si="57"/>
        <v>2021/22</v>
      </c>
      <c r="H144" s="331" t="str">
        <f t="shared" si="57"/>
        <v>2022/23</v>
      </c>
      <c r="I144" s="331" t="str">
        <f t="shared" si="57"/>
        <v>2023/24</v>
      </c>
      <c r="J144" s="331" t="str">
        <f t="shared" si="57"/>
        <v>2024/25</v>
      </c>
      <c r="K144" s="331" t="str">
        <f t="shared" si="57"/>
        <v>2025/26</v>
      </c>
      <c r="L144" s="331" t="str">
        <f t="shared" si="57"/>
        <v>2026/27</v>
      </c>
      <c r="M144" s="331" t="str">
        <f t="shared" si="57"/>
        <v>2027/28</v>
      </c>
      <c r="N144" s="331" t="str">
        <f t="shared" si="57"/>
        <v>2028/29</v>
      </c>
    </row>
    <row r="145" spans="1:15">
      <c r="B145" s="331" t="str">
        <f t="shared" si="56"/>
        <v>20-24</v>
      </c>
      <c r="C145" s="447">
        <f>C77*Calc_SEC_retirement_rates!$G124</f>
        <v>0</v>
      </c>
      <c r="D145" s="447">
        <f>D77*Calc_SEC_retirement_rates!$G124</f>
        <v>0</v>
      </c>
      <c r="E145" s="447">
        <f>E77*Calc_SEC_retirement_rates!$G124</f>
        <v>0</v>
      </c>
      <c r="F145" s="447">
        <f>F77*Calc_SEC_retirement_rates!$G124</f>
        <v>0</v>
      </c>
      <c r="G145" s="447">
        <f>G77*Calc_SEC_retirement_rates!$G124</f>
        <v>0</v>
      </c>
      <c r="H145" s="447">
        <f>H77*Calc_SEC_retirement_rates!$G124</f>
        <v>0</v>
      </c>
      <c r="I145" s="447">
        <f>I77*Calc_SEC_retirement_rates!$G124</f>
        <v>0</v>
      </c>
      <c r="J145" s="447">
        <f>J77*Calc_SEC_retirement_rates!$G124</f>
        <v>0</v>
      </c>
      <c r="K145" s="447">
        <f>K77*Calc_SEC_retirement_rates!$G124</f>
        <v>0</v>
      </c>
      <c r="L145" s="447">
        <f>L77*Calc_SEC_retirement_rates!$G124</f>
        <v>0</v>
      </c>
      <c r="M145" s="447">
        <f>M77*Calc_SEC_retirement_rates!$G124</f>
        <v>0</v>
      </c>
      <c r="N145" s="447">
        <f>N77*Calc_SEC_retirement_rates!$G124</f>
        <v>0</v>
      </c>
      <c r="O145" s="320"/>
    </row>
    <row r="146" spans="1:15">
      <c r="B146" s="331" t="str">
        <f t="shared" si="56"/>
        <v>25-29</v>
      </c>
      <c r="C146" s="447">
        <f>C78*Calc_SEC_retirement_rates!$G125</f>
        <v>0</v>
      </c>
      <c r="D146" s="447">
        <f>D78*Calc_SEC_retirement_rates!$G125</f>
        <v>0</v>
      </c>
      <c r="E146" s="447">
        <f>E78*Calc_SEC_retirement_rates!$G125</f>
        <v>0</v>
      </c>
      <c r="F146" s="447">
        <f>F78*Calc_SEC_retirement_rates!$G125</f>
        <v>0</v>
      </c>
      <c r="G146" s="447">
        <f>G78*Calc_SEC_retirement_rates!$G125</f>
        <v>0</v>
      </c>
      <c r="H146" s="447">
        <f>H78*Calc_SEC_retirement_rates!$G125</f>
        <v>0</v>
      </c>
      <c r="I146" s="447">
        <f>I78*Calc_SEC_retirement_rates!$G125</f>
        <v>0</v>
      </c>
      <c r="J146" s="447">
        <f>J78*Calc_SEC_retirement_rates!$G125</f>
        <v>0</v>
      </c>
      <c r="K146" s="447">
        <f>K78*Calc_SEC_retirement_rates!$G125</f>
        <v>0</v>
      </c>
      <c r="L146" s="447">
        <f>L78*Calc_SEC_retirement_rates!$G125</f>
        <v>0</v>
      </c>
      <c r="M146" s="447">
        <f>M78*Calc_SEC_retirement_rates!$G125</f>
        <v>0</v>
      </c>
      <c r="N146" s="447">
        <f>N78*Calc_SEC_retirement_rates!$G125</f>
        <v>0</v>
      </c>
      <c r="O146" s="320"/>
    </row>
    <row r="147" spans="1:15">
      <c r="B147" s="331" t="str">
        <f t="shared" si="56"/>
        <v>30-34</v>
      </c>
      <c r="C147" s="447">
        <f>C79*Calc_SEC_retirement_rates!$G126</f>
        <v>5.0409724923849195E-2</v>
      </c>
      <c r="D147" s="447">
        <f>D79*Calc_SEC_retirement_rates!$G126</f>
        <v>4.8531818203694878E-2</v>
      </c>
      <c r="E147" s="447">
        <f>E79*Calc_SEC_retirement_rates!$G126</f>
        <v>4.7565835902498722E-2</v>
      </c>
      <c r="F147" s="447">
        <f>F79*Calc_SEC_retirement_rates!$G126</f>
        <v>4.7301609606889082E-2</v>
      </c>
      <c r="G147" s="447">
        <f>G79*Calc_SEC_retirement_rates!$G126</f>
        <v>4.7370805289892945E-2</v>
      </c>
      <c r="H147" s="447">
        <f>H79*Calc_SEC_retirement_rates!$G126</f>
        <v>4.7589803529501734E-2</v>
      </c>
      <c r="I147" s="447">
        <f>I79*Calc_SEC_retirement_rates!$G126</f>
        <v>4.783218784528917E-2</v>
      </c>
      <c r="J147" s="447">
        <f>J79*Calc_SEC_retirement_rates!$G126</f>
        <v>4.8403346134837502E-2</v>
      </c>
      <c r="K147" s="447">
        <f>K79*Calc_SEC_retirement_rates!$G126</f>
        <v>4.9194237647764476E-2</v>
      </c>
      <c r="L147" s="447">
        <f>L79*Calc_SEC_retirement_rates!$G126</f>
        <v>4.9798582803919335E-2</v>
      </c>
      <c r="M147" s="447">
        <f>M79*Calc_SEC_retirement_rates!$G126</f>
        <v>5.0220791378362301E-2</v>
      </c>
      <c r="N147" s="447">
        <f>N79*Calc_SEC_retirement_rates!$G126</f>
        <v>5.060781279741574E-2</v>
      </c>
      <c r="O147" s="320"/>
    </row>
    <row r="148" spans="1:15">
      <c r="B148" s="331" t="str">
        <f t="shared" si="56"/>
        <v>35-39</v>
      </c>
      <c r="C148" s="447">
        <f>C80*Calc_SEC_retirement_rates!$G127</f>
        <v>0.11121113408926024</v>
      </c>
      <c r="D148" s="447">
        <f>D80*Calc_SEC_retirement_rates!$G127</f>
        <v>0.10967220684291611</v>
      </c>
      <c r="E148" s="447">
        <f>E80*Calc_SEC_retirement_rates!$G127</f>
        <v>0.10843918867035568</v>
      </c>
      <c r="F148" s="447">
        <f>F80*Calc_SEC_retirement_rates!$G127</f>
        <v>0.10733544356310078</v>
      </c>
      <c r="G148" s="447">
        <f>G80*Calc_SEC_retirement_rates!$G127</f>
        <v>0.10633893482502688</v>
      </c>
      <c r="H148" s="447">
        <f>H80*Calc_SEC_retirement_rates!$G127</f>
        <v>0.10543846998543445</v>
      </c>
      <c r="I148" s="447">
        <f>I80*Calc_SEC_retirement_rates!$G127</f>
        <v>0.10464640366708003</v>
      </c>
      <c r="J148" s="447">
        <f>J80*Calc_SEC_retirement_rates!$G127</f>
        <v>0.1044980831880911</v>
      </c>
      <c r="K148" s="447">
        <f>K80*Calc_SEC_retirement_rates!$G127</f>
        <v>0.10485859416026419</v>
      </c>
      <c r="L148" s="447">
        <f>L80*Calc_SEC_retirement_rates!$G127</f>
        <v>0.10516139902724919</v>
      </c>
      <c r="M148" s="447">
        <f>M80*Calc_SEC_retirement_rates!$G127</f>
        <v>0.10542322309542659</v>
      </c>
      <c r="N148" s="447">
        <f>N80*Calc_SEC_retirement_rates!$G127</f>
        <v>0.10582257264019575</v>
      </c>
      <c r="O148" s="320"/>
    </row>
    <row r="149" spans="1:15">
      <c r="B149" s="331" t="str">
        <f t="shared" si="56"/>
        <v>40-44</v>
      </c>
      <c r="C149" s="447">
        <f>C81*Calc_SEC_retirement_rates!$G128</f>
        <v>0.21505385423267831</v>
      </c>
      <c r="D149" s="447">
        <f>D81*Calc_SEC_retirement_rates!$G128</f>
        <v>0.21097898595111678</v>
      </c>
      <c r="E149" s="447">
        <f>E81*Calc_SEC_retirement_rates!$G128</f>
        <v>0.20863125722253001</v>
      </c>
      <c r="F149" s="447">
        <f>F81*Calc_SEC_retirement_rates!$G128</f>
        <v>0.2066452818884362</v>
      </c>
      <c r="G149" s="447">
        <f>G81*Calc_SEC_retirement_rates!$G128</f>
        <v>0.20472260345952606</v>
      </c>
      <c r="H149" s="447">
        <f>H81*Calc_SEC_retirement_rates!$G128</f>
        <v>0.20262566363223905</v>
      </c>
      <c r="I149" s="447">
        <f>I81*Calc_SEC_retirement_rates!$G128</f>
        <v>0.2003977668047309</v>
      </c>
      <c r="J149" s="447">
        <f>J81*Calc_SEC_retirement_rates!$G128</f>
        <v>0.19903059881378546</v>
      </c>
      <c r="K149" s="447">
        <f>K81*Calc_SEC_retirement_rates!$G128</f>
        <v>0.1983686475002237</v>
      </c>
      <c r="L149" s="447">
        <f>L81*Calc_SEC_retirement_rates!$G128</f>
        <v>0.19754741733432823</v>
      </c>
      <c r="M149" s="447">
        <f>M81*Calc_SEC_retirement_rates!$G128</f>
        <v>0.19671419918090483</v>
      </c>
      <c r="N149" s="447">
        <f>N81*Calc_SEC_retirement_rates!$G128</f>
        <v>0.19625590696265832</v>
      </c>
      <c r="O149" s="320"/>
    </row>
    <row r="150" spans="1:15">
      <c r="B150" s="331" t="str">
        <f t="shared" si="56"/>
        <v>45-49</v>
      </c>
      <c r="C150" s="447">
        <f>C82*Calc_SEC_retirement_rates!$G129</f>
        <v>0.38009469425595588</v>
      </c>
      <c r="D150" s="447">
        <f>D82*Calc_SEC_retirement_rates!$G129</f>
        <v>0.38430378750430472</v>
      </c>
      <c r="E150" s="447">
        <f>E82*Calc_SEC_retirement_rates!$G129</f>
        <v>0.38806966937131721</v>
      </c>
      <c r="F150" s="447">
        <f>F82*Calc_SEC_retirement_rates!$G129</f>
        <v>0.39008381712227314</v>
      </c>
      <c r="G150" s="447">
        <f>G82*Calc_SEC_retirement_rates!$G129</f>
        <v>0.39075885749178663</v>
      </c>
      <c r="H150" s="447">
        <f>H82*Calc_SEC_retirement_rates!$G129</f>
        <v>0.38992828180725303</v>
      </c>
      <c r="I150" s="447">
        <f>I82*Calc_SEC_retirement_rates!$G129</f>
        <v>0.38785839956012103</v>
      </c>
      <c r="J150" s="447">
        <f>J82*Calc_SEC_retirement_rates!$G129</f>
        <v>0.38646388412097432</v>
      </c>
      <c r="K150" s="447">
        <f>K82*Calc_SEC_retirement_rates!$G129</f>
        <v>0.38560955518371803</v>
      </c>
      <c r="L150" s="447">
        <f>L82*Calc_SEC_retirement_rates!$G129</f>
        <v>0.38388674588604282</v>
      </c>
      <c r="M150" s="447">
        <f>M82*Calc_SEC_retirement_rates!$G129</f>
        <v>0.3816906972100863</v>
      </c>
      <c r="N150" s="447">
        <f>N82*Calc_SEC_retirement_rates!$G129</f>
        <v>0.37985470349771777</v>
      </c>
      <c r="O150" s="320"/>
    </row>
    <row r="151" spans="1:15">
      <c r="B151" s="331" t="str">
        <f t="shared" si="56"/>
        <v>50-54</v>
      </c>
      <c r="C151" s="447">
        <f>C83*Calc_SEC_retirement_rates!$G130</f>
        <v>7.1885128224094395</v>
      </c>
      <c r="D151" s="447">
        <f>D83*Calc_SEC_retirement_rates!$G130</f>
        <v>6.9820699210704271</v>
      </c>
      <c r="E151" s="447">
        <f>E83*Calc_SEC_retirement_rates!$G130</f>
        <v>6.8944942028916287</v>
      </c>
      <c r="F151" s="447">
        <f>F83*Calc_SEC_retirement_rates!$G130</f>
        <v>6.8491100678667811</v>
      </c>
      <c r="G151" s="447">
        <f>G83*Calc_SEC_retirement_rates!$G130</f>
        <v>6.8261261179055719</v>
      </c>
      <c r="H151" s="447">
        <f>H83*Calc_SEC_retirement_rates!$G130</f>
        <v>6.8032643798632702</v>
      </c>
      <c r="I151" s="447">
        <f>I83*Calc_SEC_retirement_rates!$G130</f>
        <v>6.7732024913620785</v>
      </c>
      <c r="J151" s="447">
        <f>J83*Calc_SEC_retirement_rates!$G130</f>
        <v>6.76055775613571</v>
      </c>
      <c r="K151" s="447">
        <f>K83*Calc_SEC_retirement_rates!$G130</f>
        <v>6.7579648148306761</v>
      </c>
      <c r="L151" s="447">
        <f>L83*Calc_SEC_retirement_rates!$G130</f>
        <v>6.7386045080504076</v>
      </c>
      <c r="M151" s="447">
        <f>M83*Calc_SEC_retirement_rates!$G130</f>
        <v>6.7076251252751309</v>
      </c>
      <c r="N151" s="447">
        <f>N83*Calc_SEC_retirement_rates!$G130</f>
        <v>6.6784726470075695</v>
      </c>
      <c r="O151" s="320"/>
    </row>
    <row r="152" spans="1:15">
      <c r="B152" s="331" t="str">
        <f t="shared" si="56"/>
        <v>55-59</v>
      </c>
      <c r="C152" s="447">
        <f>C84*Calc_SEC_retirement_rates!$G131</f>
        <v>34.613215643046289</v>
      </c>
      <c r="D152" s="447">
        <f>D84*Calc_SEC_retirement_rates!$G131</f>
        <v>31.116051547560197</v>
      </c>
      <c r="E152" s="447">
        <f>E84*Calc_SEC_retirement_rates!$G131</f>
        <v>28.923879628762485</v>
      </c>
      <c r="F152" s="447">
        <f>F84*Calc_SEC_retirement_rates!$G131</f>
        <v>27.532464062286326</v>
      </c>
      <c r="G152" s="447">
        <f>G84*Calc_SEC_retirement_rates!$G131</f>
        <v>26.627500032793062</v>
      </c>
      <c r="H152" s="447">
        <f>H84*Calc_SEC_retirement_rates!$G131</f>
        <v>26.011541200432134</v>
      </c>
      <c r="I152" s="447">
        <f>I84*Calc_SEC_retirement_rates!$G131</f>
        <v>25.564625853584349</v>
      </c>
      <c r="J152" s="447">
        <f>J84*Calc_SEC_retirement_rates!$G131</f>
        <v>25.337477416787479</v>
      </c>
      <c r="K152" s="447">
        <f>K84*Calc_SEC_retirement_rates!$G131</f>
        <v>25.240661314140041</v>
      </c>
      <c r="L152" s="447">
        <f>L84*Calc_SEC_retirement_rates!$G131</f>
        <v>25.114729062664669</v>
      </c>
      <c r="M152" s="447">
        <f>M84*Calc_SEC_retirement_rates!$G131</f>
        <v>24.968441148889614</v>
      </c>
      <c r="N152" s="447">
        <f>N84*Calc_SEC_retirement_rates!$G131</f>
        <v>24.850888801160391</v>
      </c>
      <c r="O152" s="320"/>
    </row>
    <row r="153" spans="1:15">
      <c r="B153" s="331" t="str">
        <f t="shared" si="56"/>
        <v>60-64</v>
      </c>
      <c r="C153" s="447">
        <f>C85*Calc_SEC_retirement_rates!$G132</f>
        <v>23.014900244840653</v>
      </c>
      <c r="D153" s="447">
        <f>D85*Calc_SEC_retirement_rates!$G132</f>
        <v>21.228958156615207</v>
      </c>
      <c r="E153" s="447">
        <f>E85*Calc_SEC_retirement_rates!$G132</f>
        <v>19.622192570532089</v>
      </c>
      <c r="F153" s="447">
        <f>F85*Calc_SEC_retirement_rates!$G132</f>
        <v>18.329234517050264</v>
      </c>
      <c r="G153" s="447">
        <f>G85*Calc_SEC_retirement_rates!$G132</f>
        <v>17.323733523884513</v>
      </c>
      <c r="H153" s="447">
        <f>H85*Calc_SEC_retirement_rates!$G132</f>
        <v>16.560021491960921</v>
      </c>
      <c r="I153" s="447">
        <f>I85*Calc_SEC_retirement_rates!$G132</f>
        <v>15.983429344734624</v>
      </c>
      <c r="J153" s="447">
        <f>J85*Calc_SEC_retirement_rates!$G132</f>
        <v>15.650400329871365</v>
      </c>
      <c r="K153" s="447">
        <f>K85*Calc_SEC_retirement_rates!$G132</f>
        <v>15.473841245942946</v>
      </c>
      <c r="L153" s="447">
        <f>L85*Calc_SEC_retirement_rates!$G132</f>
        <v>15.305697701468075</v>
      </c>
      <c r="M153" s="447">
        <f>M85*Calc_SEC_retirement_rates!$G132</f>
        <v>15.149987971731537</v>
      </c>
      <c r="N153" s="447">
        <f>N85*Calc_SEC_retirement_rates!$G132</f>
        <v>15.042893007496907</v>
      </c>
      <c r="O153" s="320"/>
    </row>
    <row r="154" spans="1:15">
      <c r="B154" s="331" t="str">
        <f t="shared" si="56"/>
        <v>65 plus</v>
      </c>
      <c r="C154" s="447">
        <f>C86*Calc_SEC_retirement_rates!$G133</f>
        <v>8.7940768272375429</v>
      </c>
      <c r="D154" s="447">
        <f>D86*Calc_SEC_retirement_rates!$G133</f>
        <v>8.7939408668693559</v>
      </c>
      <c r="E154" s="447">
        <f>E86*Calc_SEC_retirement_rates!$G133</f>
        <v>8.6343954381608992</v>
      </c>
      <c r="F154" s="447">
        <f>F86*Calc_SEC_retirement_rates!$G133</f>
        <v>8.3344742323677661</v>
      </c>
      <c r="G154" s="447">
        <f>G86*Calc_SEC_retirement_rates!$G133</f>
        <v>7.9897432378299769</v>
      </c>
      <c r="H154" s="447">
        <f>H86*Calc_SEC_retirement_rates!$G133</f>
        <v>7.637972520787895</v>
      </c>
      <c r="I154" s="447">
        <f>I86*Calc_SEC_retirement_rates!$G133</f>
        <v>7.311049960586641</v>
      </c>
      <c r="J154" s="447">
        <f>J86*Calc_SEC_retirement_rates!$G133</f>
        <v>7.0685120720342587</v>
      </c>
      <c r="K154" s="447">
        <f>K86*Calc_SEC_retirement_rates!$G133</f>
        <v>6.8996646136092696</v>
      </c>
      <c r="L154" s="447">
        <f>L86*Calc_SEC_retirement_rates!$G133</f>
        <v>6.7522293844000041</v>
      </c>
      <c r="M154" s="447">
        <f>M86*Calc_SEC_retirement_rates!$G133</f>
        <v>6.6250538435884332</v>
      </c>
      <c r="N154" s="447">
        <f>N86*Calc_SEC_retirement_rates!$G133</f>
        <v>6.531443424854201</v>
      </c>
      <c r="O154" s="320"/>
    </row>
    <row r="155" spans="1:15">
      <c r="B155" s="331" t="str">
        <f t="shared" si="56"/>
        <v>Total</v>
      </c>
      <c r="C155" s="447">
        <f>SUM(C145:C154)</f>
        <v>74.367474945035667</v>
      </c>
      <c r="D155" s="447">
        <f t="shared" ref="D155:N155" si="58">SUM(D145:D154)</f>
        <v>68.874507290617217</v>
      </c>
      <c r="E155" s="447">
        <f t="shared" si="58"/>
        <v>64.827667791513804</v>
      </c>
      <c r="F155" s="447">
        <f t="shared" si="58"/>
        <v>61.796649031751841</v>
      </c>
      <c r="G155" s="447">
        <f t="shared" si="58"/>
        <v>59.516294113479354</v>
      </c>
      <c r="H155" s="447">
        <f t="shared" si="58"/>
        <v>57.758381811998646</v>
      </c>
      <c r="I155" s="447">
        <f t="shared" si="58"/>
        <v>56.373042408144919</v>
      </c>
      <c r="J155" s="447">
        <f t="shared" si="58"/>
        <v>55.555343487086503</v>
      </c>
      <c r="K155" s="447">
        <f t="shared" si="58"/>
        <v>55.110163023014898</v>
      </c>
      <c r="L155" s="447">
        <f t="shared" si="58"/>
        <v>54.647654801634694</v>
      </c>
      <c r="M155" s="447">
        <f t="shared" si="58"/>
        <v>54.185157000349491</v>
      </c>
      <c r="N155" s="447">
        <f t="shared" si="58"/>
        <v>53.836238876417056</v>
      </c>
      <c r="O155" s="320"/>
    </row>
    <row r="156" spans="1:15">
      <c r="A156" s="302">
        <f>SUM(C156:N156)</f>
        <v>0</v>
      </c>
      <c r="C156" s="302">
        <f>SUM(C145:C154)-C155</f>
        <v>0</v>
      </c>
      <c r="D156" s="302">
        <f t="shared" ref="D156:N156" si="59">SUM(D145:D154)-D155</f>
        <v>0</v>
      </c>
      <c r="E156" s="302">
        <f t="shared" si="59"/>
        <v>0</v>
      </c>
      <c r="F156" s="302">
        <f t="shared" si="59"/>
        <v>0</v>
      </c>
      <c r="G156" s="302">
        <f t="shared" si="59"/>
        <v>0</v>
      </c>
      <c r="H156" s="302">
        <f t="shared" si="59"/>
        <v>0</v>
      </c>
      <c r="I156" s="302">
        <f t="shared" si="59"/>
        <v>0</v>
      </c>
      <c r="J156" s="302">
        <f t="shared" si="59"/>
        <v>0</v>
      </c>
      <c r="K156" s="302">
        <f t="shared" si="59"/>
        <v>0</v>
      </c>
      <c r="L156" s="302">
        <f t="shared" si="59"/>
        <v>0</v>
      </c>
      <c r="M156" s="302">
        <f t="shared" si="59"/>
        <v>0</v>
      </c>
      <c r="N156" s="302">
        <f t="shared" si="59"/>
        <v>0</v>
      </c>
    </row>
    <row r="158" spans="1:15">
      <c r="B158" s="334" t="s">
        <v>47</v>
      </c>
      <c r="C158" s="322"/>
      <c r="D158" s="322"/>
      <c r="E158" s="322"/>
      <c r="F158" s="322"/>
      <c r="G158" s="322"/>
      <c r="H158" s="332"/>
      <c r="I158" s="322"/>
      <c r="J158" s="322"/>
      <c r="K158" s="322"/>
      <c r="L158" s="322"/>
    </row>
    <row r="159" spans="1:15">
      <c r="C159" s="322"/>
      <c r="D159" s="322"/>
      <c r="E159" s="322"/>
      <c r="F159" s="322"/>
      <c r="G159" s="322"/>
      <c r="H159" s="332"/>
      <c r="I159" s="322"/>
      <c r="J159" s="322"/>
      <c r="K159" s="322"/>
      <c r="L159" s="322"/>
    </row>
    <row r="160" spans="1:15">
      <c r="B160" s="331" t="str">
        <f t="shared" ref="B160:B171" si="60">B144</f>
        <v>Age group</v>
      </c>
      <c r="C160" s="331" t="str">
        <f t="shared" ref="C160:N160" si="61">C144</f>
        <v>2017/18</v>
      </c>
      <c r="D160" s="331" t="str">
        <f t="shared" si="61"/>
        <v>2018/19</v>
      </c>
      <c r="E160" s="331" t="str">
        <f t="shared" si="61"/>
        <v>2019/20</v>
      </c>
      <c r="F160" s="331" t="str">
        <f t="shared" si="61"/>
        <v>2020/21</v>
      </c>
      <c r="G160" s="331" t="str">
        <f t="shared" si="61"/>
        <v>2021/22</v>
      </c>
      <c r="H160" s="331" t="str">
        <f t="shared" si="61"/>
        <v>2022/23</v>
      </c>
      <c r="I160" s="331" t="str">
        <f t="shared" si="61"/>
        <v>2023/24</v>
      </c>
      <c r="J160" s="331" t="str">
        <f t="shared" si="61"/>
        <v>2024/25</v>
      </c>
      <c r="K160" s="331" t="str">
        <f t="shared" si="61"/>
        <v>2025/26</v>
      </c>
      <c r="L160" s="331" t="str">
        <f t="shared" si="61"/>
        <v>2026/27</v>
      </c>
      <c r="M160" s="331" t="str">
        <f t="shared" si="61"/>
        <v>2027/28</v>
      </c>
      <c r="N160" s="331" t="str">
        <f t="shared" si="61"/>
        <v>2028/29</v>
      </c>
    </row>
    <row r="161" spans="1:17">
      <c r="B161" s="331" t="str">
        <f t="shared" si="60"/>
        <v>20-24</v>
      </c>
      <c r="C161" s="447">
        <f>C93*Calc_SEC_retirement_rates!$G140</f>
        <v>0</v>
      </c>
      <c r="D161" s="447">
        <f>D93*Calc_SEC_retirement_rates!$G140</f>
        <v>0</v>
      </c>
      <c r="E161" s="447">
        <f>E93*Calc_SEC_retirement_rates!$G140</f>
        <v>0</v>
      </c>
      <c r="F161" s="447">
        <f>F93*Calc_SEC_retirement_rates!$G140</f>
        <v>0</v>
      </c>
      <c r="G161" s="447">
        <f>G93*Calc_SEC_retirement_rates!$G140</f>
        <v>0</v>
      </c>
      <c r="H161" s="447">
        <f>H93*Calc_SEC_retirement_rates!$G140</f>
        <v>0</v>
      </c>
      <c r="I161" s="447">
        <f>I93*Calc_SEC_retirement_rates!$G140</f>
        <v>0</v>
      </c>
      <c r="J161" s="447">
        <f>J93*Calc_SEC_retirement_rates!$G140</f>
        <v>0</v>
      </c>
      <c r="K161" s="447">
        <f>K93*Calc_SEC_retirement_rates!$G140</f>
        <v>0</v>
      </c>
      <c r="L161" s="447">
        <f>L93*Calc_SEC_retirement_rates!$G140</f>
        <v>0</v>
      </c>
      <c r="M161" s="447">
        <f>M93*Calc_SEC_retirement_rates!$G140</f>
        <v>0</v>
      </c>
      <c r="N161" s="447">
        <f>N93*Calc_SEC_retirement_rates!$G140</f>
        <v>0</v>
      </c>
      <c r="O161" s="320"/>
      <c r="P161" s="320"/>
      <c r="Q161" s="320"/>
    </row>
    <row r="162" spans="1:17">
      <c r="B162" s="331" t="str">
        <f t="shared" si="60"/>
        <v>25-29</v>
      </c>
      <c r="C162" s="447">
        <f>C94*Calc_SEC_retirement_rates!$G141</f>
        <v>0</v>
      </c>
      <c r="D162" s="447">
        <f>D94*Calc_SEC_retirement_rates!$G141</f>
        <v>0</v>
      </c>
      <c r="E162" s="447">
        <f>E94*Calc_SEC_retirement_rates!$G141</f>
        <v>0</v>
      </c>
      <c r="F162" s="447">
        <f>F94*Calc_SEC_retirement_rates!$G141</f>
        <v>0</v>
      </c>
      <c r="G162" s="447">
        <f>G94*Calc_SEC_retirement_rates!$G141</f>
        <v>0</v>
      </c>
      <c r="H162" s="447">
        <f>H94*Calc_SEC_retirement_rates!$G141</f>
        <v>0</v>
      </c>
      <c r="I162" s="447">
        <f>I94*Calc_SEC_retirement_rates!$G141</f>
        <v>0</v>
      </c>
      <c r="J162" s="447">
        <f>J94*Calc_SEC_retirement_rates!$G141</f>
        <v>0</v>
      </c>
      <c r="K162" s="447">
        <f>K94*Calc_SEC_retirement_rates!$G141</f>
        <v>0</v>
      </c>
      <c r="L162" s="447">
        <f>L94*Calc_SEC_retirement_rates!$G141</f>
        <v>0</v>
      </c>
      <c r="M162" s="447">
        <f>M94*Calc_SEC_retirement_rates!$G141</f>
        <v>0</v>
      </c>
      <c r="N162" s="447">
        <f>N94*Calc_SEC_retirement_rates!$G141</f>
        <v>0</v>
      </c>
      <c r="O162" s="320"/>
      <c r="P162" s="320"/>
      <c r="Q162" s="320"/>
    </row>
    <row r="163" spans="1:17">
      <c r="B163" s="331" t="str">
        <f t="shared" si="60"/>
        <v>30-34</v>
      </c>
      <c r="C163" s="447">
        <f>C95*Calc_SEC_retirement_rates!$G142</f>
        <v>7.738419854180352E-2</v>
      </c>
      <c r="D163" s="447">
        <f>D95*Calc_SEC_retirement_rates!$G142</f>
        <v>7.567143025738865E-2</v>
      </c>
      <c r="E163" s="447">
        <f>E95*Calc_SEC_retirement_rates!$G142</f>
        <v>7.4058774495258703E-2</v>
      </c>
      <c r="F163" s="447">
        <f>F95*Calc_SEC_retirement_rates!$G142</f>
        <v>7.2928445061034464E-2</v>
      </c>
      <c r="G163" s="447">
        <f>G95*Calc_SEC_retirement_rates!$G142</f>
        <v>7.1802990169025221E-2</v>
      </c>
      <c r="H163" s="447">
        <f>H95*Calc_SEC_retirement_rates!$G142</f>
        <v>7.0788010018449629E-2</v>
      </c>
      <c r="I163" s="447">
        <f>I95*Calc_SEC_retirement_rates!$G142</f>
        <v>6.9823948719105564E-2</v>
      </c>
      <c r="J163" s="447">
        <f>J95*Calc_SEC_retirement_rates!$G142</f>
        <v>6.9393487572853435E-2</v>
      </c>
      <c r="K163" s="447">
        <f>K95*Calc_SEC_retirement_rates!$G142</f>
        <v>6.9378205335466667E-2</v>
      </c>
      <c r="L163" s="447">
        <f>L95*Calc_SEC_retirement_rates!$G142</f>
        <v>6.9236471754248949E-2</v>
      </c>
      <c r="M163" s="447">
        <f>M95*Calc_SEC_retirement_rates!$G142</f>
        <v>6.8978597060626479E-2</v>
      </c>
      <c r="N163" s="447">
        <f>N95*Calc_SEC_retirement_rates!$G142</f>
        <v>6.8799815329370254E-2</v>
      </c>
      <c r="O163" s="320"/>
      <c r="P163" s="320"/>
      <c r="Q163" s="320"/>
    </row>
    <row r="164" spans="1:17">
      <c r="B164" s="331" t="str">
        <f t="shared" si="60"/>
        <v>35-39</v>
      </c>
      <c r="C164" s="447">
        <f>C96*Calc_SEC_retirement_rates!$G143</f>
        <v>0.26394640893216942</v>
      </c>
      <c r="D164" s="447">
        <f>D96*Calc_SEC_retirement_rates!$G143</f>
        <v>0.26393359316868831</v>
      </c>
      <c r="E164" s="447">
        <f>E96*Calc_SEC_retirement_rates!$G143</f>
        <v>0.26355001066319172</v>
      </c>
      <c r="F164" s="447">
        <f>F96*Calc_SEC_retirement_rates!$G143</f>
        <v>0.26293664762768154</v>
      </c>
      <c r="G164" s="447">
        <f>G96*Calc_SEC_retirement_rates!$G143</f>
        <v>0.26093826099130157</v>
      </c>
      <c r="H164" s="447">
        <f>H96*Calc_SEC_retirement_rates!$G143</f>
        <v>0.25825969451319281</v>
      </c>
      <c r="I164" s="447">
        <f>I96*Calc_SEC_retirement_rates!$G143</f>
        <v>0.25510261861424954</v>
      </c>
      <c r="J164" s="447">
        <f>J96*Calc_SEC_retirement_rates!$G143</f>
        <v>0.25293366814494933</v>
      </c>
      <c r="K164" s="447">
        <f>K96*Calc_SEC_retirement_rates!$G143</f>
        <v>0.25161636171902485</v>
      </c>
      <c r="L164" s="447">
        <f>L96*Calc_SEC_retirement_rates!$G143</f>
        <v>0.24997369412101589</v>
      </c>
      <c r="M164" s="447">
        <f>M96*Calc_SEC_retirement_rates!$G143</f>
        <v>0.24818600430422383</v>
      </c>
      <c r="N164" s="447">
        <f>N96*Calc_SEC_retirement_rates!$G143</f>
        <v>0.24678004889253993</v>
      </c>
      <c r="O164" s="320"/>
      <c r="P164" s="320"/>
      <c r="Q164" s="320"/>
    </row>
    <row r="165" spans="1:17">
      <c r="B165" s="331" t="str">
        <f t="shared" si="60"/>
        <v>40-44</v>
      </c>
      <c r="C165" s="447">
        <f>C97*Calc_SEC_retirement_rates!$G144</f>
        <v>0.55952114869662573</v>
      </c>
      <c r="D165" s="447">
        <f>D97*Calc_SEC_retirement_rates!$G144</f>
        <v>0.55729471820373155</v>
      </c>
      <c r="E165" s="447">
        <f>E97*Calc_SEC_retirement_rates!$G144</f>
        <v>0.55718336336851071</v>
      </c>
      <c r="F165" s="447">
        <f>F97*Calc_SEC_retirement_rates!$G144</f>
        <v>0.55836940203510355</v>
      </c>
      <c r="G165" s="447">
        <f>G97*Calc_SEC_retirement_rates!$G144</f>
        <v>0.55741723773684404</v>
      </c>
      <c r="H165" s="447">
        <f>H97*Calc_SEC_retirement_rates!$G144</f>
        <v>0.55500471730510659</v>
      </c>
      <c r="I165" s="447">
        <f>I97*Calc_SEC_retirement_rates!$G144</f>
        <v>0.55112314314137811</v>
      </c>
      <c r="J165" s="447">
        <f>J97*Calc_SEC_retirement_rates!$G144</f>
        <v>0.54849088041186023</v>
      </c>
      <c r="K165" s="447">
        <f>K97*Calc_SEC_retirement_rates!$G144</f>
        <v>0.54673556655334921</v>
      </c>
      <c r="L165" s="447">
        <f>L97*Calc_SEC_retirement_rates!$G144</f>
        <v>0.54359242646501882</v>
      </c>
      <c r="M165" s="447">
        <f>M97*Calc_SEC_retirement_rates!$G144</f>
        <v>0.53964129345426826</v>
      </c>
      <c r="N165" s="447">
        <f>N97*Calc_SEC_retirement_rates!$G144</f>
        <v>0.53613673821409003</v>
      </c>
      <c r="O165" s="320"/>
      <c r="P165" s="320"/>
      <c r="Q165" s="320"/>
    </row>
    <row r="166" spans="1:17">
      <c r="B166" s="331" t="str">
        <f t="shared" si="60"/>
        <v>45-49</v>
      </c>
      <c r="C166" s="447">
        <f>C98*Calc_SEC_retirement_rates!$G145</f>
        <v>0.58054868594720799</v>
      </c>
      <c r="D166" s="447">
        <f>D98*Calc_SEC_retirement_rates!$G145</f>
        <v>0.61944432653820503</v>
      </c>
      <c r="E166" s="447">
        <f>E98*Calc_SEC_retirement_rates!$G145</f>
        <v>0.64904703407309916</v>
      </c>
      <c r="F166" s="447">
        <f>F98*Calc_SEC_retirement_rates!$G145</f>
        <v>0.67229261748830238</v>
      </c>
      <c r="G166" s="447">
        <f>G98*Calc_SEC_retirement_rates!$G145</f>
        <v>0.68750271947536956</v>
      </c>
      <c r="H166" s="447">
        <f>H98*Calc_SEC_retirement_rates!$G145</f>
        <v>0.69720523112278188</v>
      </c>
      <c r="I166" s="447">
        <f>I98*Calc_SEC_retirement_rates!$G145</f>
        <v>0.70237098663176623</v>
      </c>
      <c r="J166" s="447">
        <f>J98*Calc_SEC_retirement_rates!$G145</f>
        <v>0.70699526045544558</v>
      </c>
      <c r="K166" s="447">
        <f>K98*Calc_SEC_retirement_rates!$G145</f>
        <v>0.71099687524286859</v>
      </c>
      <c r="L166" s="447">
        <f>L98*Calc_SEC_retirement_rates!$G145</f>
        <v>0.71179986474270818</v>
      </c>
      <c r="M166" s="447">
        <f>M98*Calc_SEC_retirement_rates!$G145</f>
        <v>0.71033050525365748</v>
      </c>
      <c r="N166" s="447">
        <f>N98*Calc_SEC_retirement_rates!$G145</f>
        <v>0.70836146943879807</v>
      </c>
      <c r="O166" s="320"/>
      <c r="P166" s="320"/>
      <c r="Q166" s="320"/>
    </row>
    <row r="167" spans="1:17">
      <c r="B167" s="331" t="str">
        <f t="shared" si="60"/>
        <v>50-54</v>
      </c>
      <c r="C167" s="447">
        <f>C99*Calc_SEC_retirement_rates!$G146</f>
        <v>11.030718744211388</v>
      </c>
      <c r="D167" s="447">
        <f>D99*Calc_SEC_retirement_rates!$G146</f>
        <v>10.931729254064271</v>
      </c>
      <c r="E167" s="447">
        <f>E99*Calc_SEC_retirement_rates!$G146</f>
        <v>11.056831852978696</v>
      </c>
      <c r="F167" s="447">
        <f>F99*Calc_SEC_retirement_rates!$G146</f>
        <v>11.298932963810376</v>
      </c>
      <c r="G167" s="447">
        <f>G99*Calc_SEC_retirement_rates!$G146</f>
        <v>11.532111349890332</v>
      </c>
      <c r="H167" s="447">
        <f>H99*Calc_SEC_retirement_rates!$G146</f>
        <v>11.741638289623255</v>
      </c>
      <c r="I167" s="447">
        <f>I99*Calc_SEC_retirement_rates!$G146</f>
        <v>11.909267749483904</v>
      </c>
      <c r="J167" s="447">
        <f>J99*Calc_SEC_retirement_rates!$G146</f>
        <v>12.08325302665037</v>
      </c>
      <c r="K167" s="447">
        <f>K99*Calc_SEC_retirement_rates!$G146</f>
        <v>12.249427417489596</v>
      </c>
      <c r="L167" s="447">
        <f>L99*Calc_SEC_retirement_rates!$G146</f>
        <v>12.355599668298352</v>
      </c>
      <c r="M167" s="447">
        <f>M99*Calc_SEC_retirement_rates!$G146</f>
        <v>12.413648843437647</v>
      </c>
      <c r="N167" s="447">
        <f>N99*Calc_SEC_retirement_rates!$G146</f>
        <v>12.45209171114942</v>
      </c>
      <c r="O167" s="320"/>
      <c r="P167" s="320"/>
      <c r="Q167" s="320"/>
    </row>
    <row r="168" spans="1:17">
      <c r="B168" s="331" t="str">
        <f t="shared" si="60"/>
        <v>55-59</v>
      </c>
      <c r="C168" s="447">
        <f>C100*Calc_SEC_retirement_rates!$G147</f>
        <v>62.660258713815516</v>
      </c>
      <c r="D168" s="447">
        <f>D100*Calc_SEC_retirement_rates!$G147</f>
        <v>55.186260197798681</v>
      </c>
      <c r="E168" s="447">
        <f>E100*Calc_SEC_retirement_rates!$G147</f>
        <v>50.682371408540284</v>
      </c>
      <c r="F168" s="447">
        <f>F100*Calc_SEC_retirement_rates!$G147</f>
        <v>48.265985041666021</v>
      </c>
      <c r="G168" s="447">
        <f>G100*Calc_SEC_retirement_rates!$G147</f>
        <v>46.955503460598848</v>
      </c>
      <c r="H168" s="447">
        <f>H100*Calc_SEC_retirement_rates!$G147</f>
        <v>46.36518328466515</v>
      </c>
      <c r="I168" s="447">
        <f>I100*Calc_SEC_retirement_rates!$G147</f>
        <v>46.170784531390154</v>
      </c>
      <c r="J168" s="447">
        <f>J100*Calc_SEC_retirement_rates!$G147</f>
        <v>46.424659689207466</v>
      </c>
      <c r="K168" s="447">
        <f>K100*Calc_SEC_retirement_rates!$G147</f>
        <v>46.910291926241896</v>
      </c>
      <c r="L168" s="447">
        <f>L100*Calc_SEC_retirement_rates!$G147</f>
        <v>47.279746044604181</v>
      </c>
      <c r="M168" s="447">
        <f>M100*Calc_SEC_retirement_rates!$G147</f>
        <v>47.53979595364256</v>
      </c>
      <c r="N168" s="447">
        <f>N100*Calc_SEC_retirement_rates!$G147</f>
        <v>47.786795558327889</v>
      </c>
      <c r="O168" s="320"/>
      <c r="P168" s="320"/>
      <c r="Q168" s="320"/>
    </row>
    <row r="169" spans="1:17">
      <c r="B169" s="331" t="str">
        <f t="shared" si="60"/>
        <v>60-64</v>
      </c>
      <c r="C169" s="447">
        <f>C101*Calc_SEC_retirement_rates!$G148</f>
        <v>39.957650614843033</v>
      </c>
      <c r="D169" s="447">
        <f>D101*Calc_SEC_retirement_rates!$G148</f>
        <v>39.860220555450184</v>
      </c>
      <c r="E169" s="447">
        <f>E101*Calc_SEC_retirement_rates!$G148</f>
        <v>38.019888513989464</v>
      </c>
      <c r="F169" s="447">
        <f>F101*Calc_SEC_retirement_rates!$G148</f>
        <v>36.07382337347277</v>
      </c>
      <c r="G169" s="447">
        <f>G101*Calc_SEC_retirement_rates!$G148</f>
        <v>34.324674836664343</v>
      </c>
      <c r="H169" s="447">
        <f>H101*Calc_SEC_retirement_rates!$G148</f>
        <v>33.007923514270715</v>
      </c>
      <c r="I169" s="447">
        <f>I101*Calc_SEC_retirement_rates!$G148</f>
        <v>32.088946070140885</v>
      </c>
      <c r="J169" s="447">
        <f>J101*Calc_SEC_retirement_rates!$G148</f>
        <v>31.721335054454208</v>
      </c>
      <c r="K169" s="447">
        <f>K101*Calc_SEC_retirement_rates!$G148</f>
        <v>31.706840500712175</v>
      </c>
      <c r="L169" s="447">
        <f>L101*Calc_SEC_retirement_rates!$G148</f>
        <v>31.700745314946058</v>
      </c>
      <c r="M169" s="447">
        <f>M101*Calc_SEC_retirement_rates!$G148</f>
        <v>31.70269021896662</v>
      </c>
      <c r="N169" s="447">
        <f>N101*Calc_SEC_retirement_rates!$G148</f>
        <v>31.787041860705067</v>
      </c>
      <c r="O169" s="320"/>
      <c r="P169" s="320"/>
      <c r="Q169" s="320"/>
    </row>
    <row r="170" spans="1:17">
      <c r="B170" s="331" t="str">
        <f t="shared" si="60"/>
        <v>65 plus</v>
      </c>
      <c r="C170" s="447">
        <f>C102*Calc_SEC_retirement_rates!$G149</f>
        <v>8.3032460483968968</v>
      </c>
      <c r="D170" s="447">
        <f>D102*Calc_SEC_retirement_rates!$G149</f>
        <v>11.082537841007188</v>
      </c>
      <c r="E170" s="447">
        <f>E102*Calc_SEC_retirement_rates!$G149</f>
        <v>12.903199162226334</v>
      </c>
      <c r="F170" s="447">
        <f>F102*Calc_SEC_retirement_rates!$G149</f>
        <v>13.90955813449378</v>
      </c>
      <c r="G170" s="447">
        <f>G102*Calc_SEC_retirement_rates!$G149</f>
        <v>14.271529568666795</v>
      </c>
      <c r="H170" s="447">
        <f>H102*Calc_SEC_retirement_rates!$G149</f>
        <v>14.268454501171489</v>
      </c>
      <c r="I170" s="447">
        <f>I102*Calc_SEC_retirement_rates!$G149</f>
        <v>14.079403158376163</v>
      </c>
      <c r="J170" s="447">
        <f>J102*Calc_SEC_retirement_rates!$G149</f>
        <v>13.911123589195697</v>
      </c>
      <c r="K170" s="447">
        <f>K102*Calc_SEC_retirement_rates!$G149</f>
        <v>13.80253837388816</v>
      </c>
      <c r="L170" s="447">
        <f>L102*Calc_SEC_retirement_rates!$G149</f>
        <v>13.68449205566394</v>
      </c>
      <c r="M170" s="447">
        <f>M102*Calc_SEC_retirement_rates!$G149</f>
        <v>13.574278292505388</v>
      </c>
      <c r="N170" s="447">
        <f>N102*Calc_SEC_retirement_rates!$G149</f>
        <v>13.510464378191376</v>
      </c>
      <c r="O170" s="320"/>
      <c r="P170" s="320"/>
      <c r="Q170" s="320"/>
    </row>
    <row r="171" spans="1:17">
      <c r="B171" s="331" t="str">
        <f t="shared" si="60"/>
        <v>Total</v>
      </c>
      <c r="C171" s="447">
        <f>SUM(C161:C170)</f>
        <v>123.43327456338464</v>
      </c>
      <c r="D171" s="447">
        <f t="shared" ref="D171:N171" si="62">SUM(D161:D170)</f>
        <v>118.57709191648834</v>
      </c>
      <c r="E171" s="447">
        <f t="shared" si="62"/>
        <v>114.20613012033483</v>
      </c>
      <c r="F171" s="447">
        <f t="shared" si="62"/>
        <v>111.11482662565507</v>
      </c>
      <c r="G171" s="447">
        <f t="shared" si="62"/>
        <v>108.66148042419286</v>
      </c>
      <c r="H171" s="447">
        <f t="shared" si="62"/>
        <v>106.96445724269014</v>
      </c>
      <c r="I171" s="447">
        <f t="shared" si="62"/>
        <v>105.82682220649761</v>
      </c>
      <c r="J171" s="447">
        <f t="shared" si="62"/>
        <v>105.71818465609284</v>
      </c>
      <c r="K171" s="447">
        <f t="shared" si="62"/>
        <v>106.24782522718253</v>
      </c>
      <c r="L171" s="447">
        <f t="shared" si="62"/>
        <v>106.59518554059552</v>
      </c>
      <c r="M171" s="447">
        <f t="shared" si="62"/>
        <v>106.79754970862498</v>
      </c>
      <c r="N171" s="447">
        <f t="shared" si="62"/>
        <v>107.09647158024855</v>
      </c>
      <c r="O171" s="320"/>
      <c r="P171" s="320"/>
      <c r="Q171" s="320"/>
    </row>
    <row r="172" spans="1:17">
      <c r="A172" s="302">
        <f>SUM(C172:N172)</f>
        <v>0</v>
      </c>
      <c r="C172" s="302">
        <f>SUM(C161:C170)-C171</f>
        <v>0</v>
      </c>
      <c r="D172" s="302">
        <f t="shared" ref="D172:N172" si="63">SUM(D161:D170)-D171</f>
        <v>0</v>
      </c>
      <c r="E172" s="302">
        <f t="shared" si="63"/>
        <v>0</v>
      </c>
      <c r="F172" s="302">
        <f t="shared" si="63"/>
        <v>0</v>
      </c>
      <c r="G172" s="302">
        <f t="shared" si="63"/>
        <v>0</v>
      </c>
      <c r="H172" s="302">
        <f t="shared" si="63"/>
        <v>0</v>
      </c>
      <c r="I172" s="302">
        <f t="shared" si="63"/>
        <v>0</v>
      </c>
      <c r="J172" s="302">
        <f t="shared" si="63"/>
        <v>0</v>
      </c>
      <c r="K172" s="302">
        <f t="shared" si="63"/>
        <v>0</v>
      </c>
      <c r="L172" s="302">
        <f t="shared" si="63"/>
        <v>0</v>
      </c>
      <c r="M172" s="302">
        <f t="shared" si="63"/>
        <v>0</v>
      </c>
      <c r="N172" s="302">
        <f t="shared" si="63"/>
        <v>0</v>
      </c>
    </row>
    <row r="174" spans="1:17" ht="15.75">
      <c r="B174" s="333" t="s">
        <v>527</v>
      </c>
      <c r="H174" s="318"/>
    </row>
    <row r="175" spans="1:17">
      <c r="H175" s="318"/>
    </row>
    <row r="176" spans="1:17">
      <c r="B176" s="334" t="s">
        <v>46</v>
      </c>
      <c r="H176" s="318"/>
    </row>
    <row r="177" spans="1:14">
      <c r="H177" s="318"/>
    </row>
    <row r="178" spans="1:14">
      <c r="B178" s="331" t="str">
        <f t="shared" ref="B178:B189" si="64">B144</f>
        <v>Age group</v>
      </c>
      <c r="C178" s="331" t="str">
        <f t="shared" ref="C178:N178" si="65">C144</f>
        <v>2017/18</v>
      </c>
      <c r="D178" s="331" t="str">
        <f t="shared" si="65"/>
        <v>2018/19</v>
      </c>
      <c r="E178" s="331" t="str">
        <f t="shared" si="65"/>
        <v>2019/20</v>
      </c>
      <c r="F178" s="331" t="str">
        <f t="shared" si="65"/>
        <v>2020/21</v>
      </c>
      <c r="G178" s="331" t="str">
        <f t="shared" si="65"/>
        <v>2021/22</v>
      </c>
      <c r="H178" s="331" t="str">
        <f t="shared" si="65"/>
        <v>2022/23</v>
      </c>
      <c r="I178" s="331" t="str">
        <f t="shared" si="65"/>
        <v>2023/24</v>
      </c>
      <c r="J178" s="331" t="str">
        <f t="shared" si="65"/>
        <v>2024/25</v>
      </c>
      <c r="K178" s="331" t="str">
        <f t="shared" si="65"/>
        <v>2025/26</v>
      </c>
      <c r="L178" s="331" t="str">
        <f t="shared" si="65"/>
        <v>2026/27</v>
      </c>
      <c r="M178" s="331" t="str">
        <f t="shared" si="65"/>
        <v>2027/28</v>
      </c>
      <c r="N178" s="331" t="str">
        <f t="shared" si="65"/>
        <v>2028/29</v>
      </c>
    </row>
    <row r="179" spans="1:14">
      <c r="B179" s="331" t="str">
        <f t="shared" si="64"/>
        <v>20-24</v>
      </c>
      <c r="C179" s="447">
        <f>C77*Calc_SEC_death_rates!$G124</f>
        <v>0</v>
      </c>
      <c r="D179" s="447">
        <f>D77*Calc_SEC_death_rates!$G124</f>
        <v>0</v>
      </c>
      <c r="E179" s="447">
        <f>E77*Calc_SEC_death_rates!$G124</f>
        <v>0</v>
      </c>
      <c r="F179" s="447">
        <f>F77*Calc_SEC_death_rates!$G124</f>
        <v>0</v>
      </c>
      <c r="G179" s="447">
        <f>G77*Calc_SEC_death_rates!$G124</f>
        <v>0</v>
      </c>
      <c r="H179" s="447">
        <f>H77*Calc_SEC_death_rates!$G124</f>
        <v>0</v>
      </c>
      <c r="I179" s="447">
        <f>I77*Calc_SEC_death_rates!$G124</f>
        <v>0</v>
      </c>
      <c r="J179" s="447">
        <f>J77*Calc_SEC_death_rates!$G124</f>
        <v>0</v>
      </c>
      <c r="K179" s="447">
        <f>K77*Calc_SEC_death_rates!$G124</f>
        <v>0</v>
      </c>
      <c r="L179" s="447">
        <f>L77*Calc_SEC_death_rates!$G124</f>
        <v>0</v>
      </c>
      <c r="M179" s="447">
        <f>M77*Calc_SEC_death_rates!$G124</f>
        <v>0</v>
      </c>
      <c r="N179" s="447">
        <f>N77*Calc_SEC_death_rates!$G124</f>
        <v>0</v>
      </c>
    </row>
    <row r="180" spans="1:14">
      <c r="B180" s="331" t="str">
        <f t="shared" si="64"/>
        <v>25-29</v>
      </c>
      <c r="C180" s="447">
        <f>C78*Calc_SEC_death_rates!$G125</f>
        <v>2.2809628500877491E-2</v>
      </c>
      <c r="D180" s="447">
        <f>D78*Calc_SEC_death_rates!$G125</f>
        <v>2.2944663406122345E-2</v>
      </c>
      <c r="E180" s="447">
        <f>E78*Calc_SEC_death_rates!$G125</f>
        <v>2.3835051886225582E-2</v>
      </c>
      <c r="F180" s="447">
        <f>F78*Calc_SEC_death_rates!$G125</f>
        <v>2.512137512203037E-2</v>
      </c>
      <c r="G180" s="447">
        <f>G78*Calc_SEC_death_rates!$G125</f>
        <v>2.6215559852784679E-2</v>
      </c>
      <c r="H180" s="447">
        <f>H78*Calc_SEC_death_rates!$G125</f>
        <v>2.7046387083225064E-2</v>
      </c>
      <c r="I180" s="447">
        <f>I78*Calc_SEC_death_rates!$G125</f>
        <v>2.759420073476972E-2</v>
      </c>
      <c r="J180" s="447">
        <f>J78*Calc_SEC_death_rates!$G125</f>
        <v>2.8311899241080993E-2</v>
      </c>
      <c r="K180" s="447">
        <f>K78*Calc_SEC_death_rates!$G125</f>
        <v>2.9094805668788092E-2</v>
      </c>
      <c r="L180" s="447">
        <f>L78*Calc_SEC_death_rates!$G125</f>
        <v>2.952207467675599E-2</v>
      </c>
      <c r="M180" s="447">
        <f>M78*Calc_SEC_death_rates!$G125</f>
        <v>2.9697524577980024E-2</v>
      </c>
      <c r="N180" s="447">
        <f>N78*Calc_SEC_death_rates!$G125</f>
        <v>2.9847978077701443E-2</v>
      </c>
    </row>
    <row r="181" spans="1:14">
      <c r="B181" s="331" t="str">
        <f t="shared" si="64"/>
        <v>30-34</v>
      </c>
      <c r="C181" s="447">
        <f>C79*Calc_SEC_death_rates!$G126</f>
        <v>0.10126352542001958</v>
      </c>
      <c r="D181" s="447">
        <f>D79*Calc_SEC_death_rates!$G126</f>
        <v>9.7491168891987737E-2</v>
      </c>
      <c r="E181" s="447">
        <f>E79*Calc_SEC_death_rates!$G126</f>
        <v>9.555069463904875E-2</v>
      </c>
      <c r="F181" s="447">
        <f>F79*Calc_SEC_death_rates!$G126</f>
        <v>9.5019914392925134E-2</v>
      </c>
      <c r="G181" s="447">
        <f>G79*Calc_SEC_death_rates!$G126</f>
        <v>9.5158915326086405E-2</v>
      </c>
      <c r="H181" s="447">
        <f>H79*Calc_SEC_death_rates!$G126</f>
        <v>9.5598841031633588E-2</v>
      </c>
      <c r="I181" s="447">
        <f>I79*Calc_SEC_death_rates!$G126</f>
        <v>9.6085744905047565E-2</v>
      </c>
      <c r="J181" s="447">
        <f>J79*Calc_SEC_death_rates!$G126</f>
        <v>9.7233093002263002E-2</v>
      </c>
      <c r="K181" s="447">
        <f>K79*Calc_SEC_death_rates!$G126</f>
        <v>9.8821843247275123E-2</v>
      </c>
      <c r="L181" s="447">
        <f>L79*Calc_SEC_death_rates!$G126</f>
        <v>0.10003585743154614</v>
      </c>
      <c r="M181" s="447">
        <f>M79*Calc_SEC_death_rates!$G126</f>
        <v>0.1008839939523314</v>
      </c>
      <c r="N181" s="447">
        <f>N79*Calc_SEC_death_rates!$G126</f>
        <v>0.10166144618730419</v>
      </c>
    </row>
    <row r="182" spans="1:14">
      <c r="B182" s="331" t="str">
        <f t="shared" si="64"/>
        <v>35-39</v>
      </c>
      <c r="C182" s="447">
        <f>C80*Calc_SEC_death_rates!$G127</f>
        <v>0.20415432768038355</v>
      </c>
      <c r="D182" s="447">
        <f>D80*Calc_SEC_death_rates!$G127</f>
        <v>0.20132926290697475</v>
      </c>
      <c r="E182" s="447">
        <f>E80*Calc_SEC_death_rates!$G127</f>
        <v>0.199065766557457</v>
      </c>
      <c r="F182" s="447">
        <f>F80*Calc_SEC_death_rates!$G127</f>
        <v>0.19703958148032905</v>
      </c>
      <c r="G182" s="447">
        <f>G80*Calc_SEC_death_rates!$G127</f>
        <v>0.19521025411023119</v>
      </c>
      <c r="H182" s="447">
        <f>H80*Calc_SEC_death_rates!$G127</f>
        <v>0.19355723802121921</v>
      </c>
      <c r="I182" s="447">
        <f>I80*Calc_SEC_death_rates!$G127</f>
        <v>0.19210321304407857</v>
      </c>
      <c r="J182" s="447">
        <f>J80*Calc_SEC_death_rates!$G127</f>
        <v>0.19183093574093629</v>
      </c>
      <c r="K182" s="447">
        <f>K80*Calc_SEC_death_rates!$G127</f>
        <v>0.19249273885757681</v>
      </c>
      <c r="L182" s="447">
        <f>L80*Calc_SEC_death_rates!$G127</f>
        <v>0.19304860877603347</v>
      </c>
      <c r="M182" s="447">
        <f>M80*Calc_SEC_death_rates!$G127</f>
        <v>0.19352924875014252</v>
      </c>
      <c r="N182" s="447">
        <f>N80*Calc_SEC_death_rates!$G127</f>
        <v>0.19426234924848271</v>
      </c>
    </row>
    <row r="183" spans="1:14">
      <c r="B183" s="331" t="str">
        <f t="shared" si="64"/>
        <v>40-44</v>
      </c>
      <c r="C183" s="447">
        <f>C81*Calc_SEC_death_rates!$G128</f>
        <v>0.29574595343811361</v>
      </c>
      <c r="D183" s="447">
        <f>D81*Calc_SEC_death_rates!$G128</f>
        <v>0.29014212081039764</v>
      </c>
      <c r="E183" s="447">
        <f>E81*Calc_SEC_death_rates!$G128</f>
        <v>0.28691348176215858</v>
      </c>
      <c r="F183" s="447">
        <f>F81*Calc_SEC_death_rates!$G128</f>
        <v>0.28418233253080988</v>
      </c>
      <c r="G183" s="447">
        <f>G81*Calc_SEC_death_rates!$G128</f>
        <v>0.28153823034932701</v>
      </c>
      <c r="H183" s="447">
        <f>H81*Calc_SEC_death_rates!$G128</f>
        <v>0.27865448073816051</v>
      </c>
      <c r="I183" s="447">
        <f>I81*Calc_SEC_death_rates!$G128</f>
        <v>0.27559063668958905</v>
      </c>
      <c r="J183" s="447">
        <f>J81*Calc_SEC_death_rates!$G128</f>
        <v>0.27371048251874236</v>
      </c>
      <c r="K183" s="447">
        <f>K81*Calc_SEC_death_rates!$G128</f>
        <v>0.27280015508909711</v>
      </c>
      <c r="L183" s="447">
        <f>L81*Calc_SEC_death_rates!$G128</f>
        <v>0.27167078449831422</v>
      </c>
      <c r="M183" s="447">
        <f>M81*Calc_SEC_death_rates!$G128</f>
        <v>0.2705249278100656</v>
      </c>
      <c r="N183" s="447">
        <f>N81*Calc_SEC_death_rates!$G128</f>
        <v>0.26989467605511713</v>
      </c>
    </row>
    <row r="184" spans="1:14">
      <c r="B184" s="331" t="str">
        <f t="shared" si="64"/>
        <v>45-49</v>
      </c>
      <c r="C184" s="447">
        <f>C82*Calc_SEC_death_rates!$G129</f>
        <v>0.3644398569295233</v>
      </c>
      <c r="D184" s="447">
        <f>D82*Calc_SEC_death_rates!$G129</f>
        <v>0.36847559161462334</v>
      </c>
      <c r="E184" s="447">
        <f>E82*Calc_SEC_death_rates!$G129</f>
        <v>0.37208636932230515</v>
      </c>
      <c r="F184" s="447">
        <f>F82*Calc_SEC_death_rates!$G129</f>
        <v>0.37401756102081118</v>
      </c>
      <c r="G184" s="447">
        <f>G82*Calc_SEC_death_rates!$G129</f>
        <v>0.37466479872079728</v>
      </c>
      <c r="H184" s="447">
        <f>H82*Calc_SEC_death_rates!$G129</f>
        <v>0.37386843168854206</v>
      </c>
      <c r="I184" s="447">
        <f>I82*Calc_SEC_death_rates!$G129</f>
        <v>0.37188380101254065</v>
      </c>
      <c r="J184" s="447">
        <f>J82*Calc_SEC_death_rates!$G129</f>
        <v>0.37054672103008135</v>
      </c>
      <c r="K184" s="447">
        <f>K82*Calc_SEC_death_rates!$G129</f>
        <v>0.36972757906264631</v>
      </c>
      <c r="L184" s="447">
        <f>L82*Calc_SEC_death_rates!$G129</f>
        <v>0.36807572655470577</v>
      </c>
      <c r="M184" s="447">
        <f>M82*Calc_SEC_death_rates!$G129</f>
        <v>0.36597012582580707</v>
      </c>
      <c r="N184" s="447">
        <f>N82*Calc_SEC_death_rates!$G129</f>
        <v>0.36420975059308014</v>
      </c>
    </row>
    <row r="185" spans="1:14">
      <c r="B185" s="331" t="str">
        <f t="shared" si="64"/>
        <v>50-54</v>
      </c>
      <c r="C185" s="447">
        <f>C83*Calc_SEC_death_rates!$G130</f>
        <v>0.35730212910871806</v>
      </c>
      <c r="D185" s="447">
        <f>D83*Calc_SEC_death_rates!$G130</f>
        <v>0.34704096800208922</v>
      </c>
      <c r="E185" s="447">
        <f>E83*Calc_SEC_death_rates!$G130</f>
        <v>0.34268805226881499</v>
      </c>
      <c r="F185" s="447">
        <f>F83*Calc_SEC_death_rates!$G130</f>
        <v>0.3404322521509402</v>
      </c>
      <c r="G185" s="447">
        <f>G83*Calc_SEC_death_rates!$G130</f>
        <v>0.33928984419266717</v>
      </c>
      <c r="H185" s="447">
        <f>H83*Calc_SEC_death_rates!$G130</f>
        <v>0.33815351072850813</v>
      </c>
      <c r="I185" s="447">
        <f>I83*Calc_SEC_death_rates!$G130</f>
        <v>0.33665929669121519</v>
      </c>
      <c r="J185" s="447">
        <f>J83*Calc_SEC_death_rates!$G130</f>
        <v>0.33603079522922802</v>
      </c>
      <c r="K185" s="447">
        <f>K83*Calc_SEC_death_rates!$G130</f>
        <v>0.33590191412797238</v>
      </c>
      <c r="L185" s="447">
        <f>L83*Calc_SEC_death_rates!$G130</f>
        <v>0.33493961789178517</v>
      </c>
      <c r="M185" s="447">
        <f>M83*Calc_SEC_death_rates!$G130</f>
        <v>0.33339980017182874</v>
      </c>
      <c r="N185" s="447">
        <f>N83*Calc_SEC_death_rates!$G130</f>
        <v>0.33195078800323058</v>
      </c>
    </row>
    <row r="186" spans="1:14">
      <c r="B186" s="331" t="str">
        <f t="shared" si="64"/>
        <v>55-59</v>
      </c>
      <c r="C186" s="447">
        <f>C84*Calc_SEC_death_rates!$G131</f>
        <v>0.35125232688679286</v>
      </c>
      <c r="D186" s="447">
        <f>D84*Calc_SEC_death_rates!$G131</f>
        <v>0.31576336686896755</v>
      </c>
      <c r="E186" s="447">
        <f>E84*Calc_SEC_death_rates!$G131</f>
        <v>0.29351736998285405</v>
      </c>
      <c r="F186" s="447">
        <f>F84*Calc_SEC_death_rates!$G131</f>
        <v>0.27939738874703257</v>
      </c>
      <c r="G186" s="447">
        <f>G84*Calc_SEC_death_rates!$G131</f>
        <v>0.27021388137266888</v>
      </c>
      <c r="H186" s="447">
        <f>H84*Calc_SEC_death_rates!$G131</f>
        <v>0.26396317715135464</v>
      </c>
      <c r="I186" s="447">
        <f>I84*Calc_SEC_death_rates!$G131</f>
        <v>0.25942791359420408</v>
      </c>
      <c r="J186" s="447">
        <f>J84*Calc_SEC_death_rates!$G131</f>
        <v>0.25712282822460403</v>
      </c>
      <c r="K186" s="447">
        <f>K84*Calc_SEC_death_rates!$G131</f>
        <v>0.2561403456466857</v>
      </c>
      <c r="L186" s="447">
        <f>L84*Calc_SEC_death_rates!$G131</f>
        <v>0.25486239456531301</v>
      </c>
      <c r="M186" s="447">
        <f>M84*Calc_SEC_death_rates!$G131</f>
        <v>0.25337787574340381</v>
      </c>
      <c r="N186" s="447">
        <f>N84*Calc_SEC_death_rates!$G131</f>
        <v>0.25218496329930418</v>
      </c>
    </row>
    <row r="187" spans="1:14">
      <c r="B187" s="331" t="str">
        <f t="shared" si="64"/>
        <v>60-64</v>
      </c>
      <c r="C187" s="447">
        <f>C85*Calc_SEC_death_rates!$G132</f>
        <v>0.24794390027474769</v>
      </c>
      <c r="D187" s="447">
        <f>D85*Calc_SEC_death_rates!$G132</f>
        <v>0.22870360627787442</v>
      </c>
      <c r="E187" s="447">
        <f>E85*Calc_SEC_death_rates!$G132</f>
        <v>0.21139361483743802</v>
      </c>
      <c r="F187" s="447">
        <f>F85*Calc_SEC_death_rates!$G132</f>
        <v>0.19746433166603711</v>
      </c>
      <c r="G187" s="447">
        <f>G85*Calc_SEC_death_rates!$G132</f>
        <v>0.18663187811101736</v>
      </c>
      <c r="H187" s="447">
        <f>H85*Calc_SEC_death_rates!$G132</f>
        <v>0.1784042630500163</v>
      </c>
      <c r="I187" s="447">
        <f>I85*Calc_SEC_death_rates!$G132</f>
        <v>0.17219252611741204</v>
      </c>
      <c r="J187" s="447">
        <f>J85*Calc_SEC_death_rates!$G132</f>
        <v>0.16860474116195198</v>
      </c>
      <c r="K187" s="447">
        <f>K85*Calc_SEC_death_rates!$G132</f>
        <v>0.16670263655005116</v>
      </c>
      <c r="L187" s="447">
        <f>L85*Calc_SEC_death_rates!$G132</f>
        <v>0.16489119414623427</v>
      </c>
      <c r="M187" s="447">
        <f>M85*Calc_SEC_death_rates!$G132</f>
        <v>0.16321370359485729</v>
      </c>
      <c r="N187" s="447">
        <f>N85*Calc_SEC_death_rates!$G132</f>
        <v>0.16205994916404801</v>
      </c>
    </row>
    <row r="188" spans="1:14">
      <c r="B188" s="331" t="str">
        <f t="shared" si="64"/>
        <v>65 plus</v>
      </c>
      <c r="C188" s="447">
        <f>C86*Calc_SEC_death_rates!$G133</f>
        <v>9.836927037606609E-2</v>
      </c>
      <c r="D188" s="447">
        <f>D86*Calc_SEC_death_rates!$G133</f>
        <v>9.83677495430689E-2</v>
      </c>
      <c r="E188" s="447">
        <f>E86*Calc_SEC_death_rates!$G133</f>
        <v>9.6583097473021254E-2</v>
      </c>
      <c r="F188" s="447">
        <f>F86*Calc_SEC_death_rates!$G133</f>
        <v>9.3228222281028172E-2</v>
      </c>
      <c r="G188" s="447">
        <f>G86*Calc_SEC_death_rates!$G133</f>
        <v>8.9372111278715013E-2</v>
      </c>
      <c r="H188" s="447">
        <f>H86*Calc_SEC_death_rates!$G133</f>
        <v>8.5437254959525338E-2</v>
      </c>
      <c r="I188" s="447">
        <f>I86*Calc_SEC_death_rates!$G133</f>
        <v>8.1780346525786418E-2</v>
      </c>
      <c r="J188" s="447">
        <f>J86*Calc_SEC_death_rates!$G133</f>
        <v>7.9067352813751268E-2</v>
      </c>
      <c r="K188" s="447">
        <f>K86*Calc_SEC_death_rates!$G133</f>
        <v>7.7178649585838172E-2</v>
      </c>
      <c r="L188" s="447">
        <f>L86*Calc_SEC_death_rates!$G133</f>
        <v>7.5529460454339614E-2</v>
      </c>
      <c r="M188" s="447">
        <f>M86*Calc_SEC_death_rates!$G133</f>
        <v>7.4106893264504675E-2</v>
      </c>
      <c r="N188" s="447">
        <f>N86*Calc_SEC_death_rates!$G133</f>
        <v>7.3059780671405228E-2</v>
      </c>
    </row>
    <row r="189" spans="1:14">
      <c r="B189" s="331" t="str">
        <f t="shared" si="64"/>
        <v>Total</v>
      </c>
      <c r="C189" s="447">
        <f>SUM(C179:C188)</f>
        <v>2.0432809186152423</v>
      </c>
      <c r="D189" s="447">
        <f t="shared" ref="D189:N189" si="66">SUM(D179:D188)</f>
        <v>1.9702584983221059</v>
      </c>
      <c r="E189" s="447">
        <f t="shared" si="66"/>
        <v>1.9216334987293233</v>
      </c>
      <c r="F189" s="447">
        <f t="shared" si="66"/>
        <v>1.8859029593919436</v>
      </c>
      <c r="G189" s="447">
        <f t="shared" si="66"/>
        <v>1.8582954733142949</v>
      </c>
      <c r="H189" s="447">
        <f t="shared" si="66"/>
        <v>1.8346835844521847</v>
      </c>
      <c r="I189" s="447">
        <f t="shared" si="66"/>
        <v>1.8133176793146433</v>
      </c>
      <c r="J189" s="447">
        <f t="shared" si="66"/>
        <v>1.8024588489626394</v>
      </c>
      <c r="K189" s="447">
        <f t="shared" si="66"/>
        <v>1.7988606678359309</v>
      </c>
      <c r="L189" s="447">
        <f t="shared" si="66"/>
        <v>1.7925757189950278</v>
      </c>
      <c r="M189" s="447">
        <f t="shared" si="66"/>
        <v>1.7847040936909211</v>
      </c>
      <c r="N189" s="447">
        <f t="shared" si="66"/>
        <v>1.7791316812996738</v>
      </c>
    </row>
    <row r="190" spans="1:14">
      <c r="A190" s="302">
        <f>SUM(C190:N190)</f>
        <v>0</v>
      </c>
      <c r="C190" s="302">
        <f>SUM(C179:C188)-C189</f>
        <v>0</v>
      </c>
      <c r="D190" s="302">
        <f t="shared" ref="D190:N190" si="67">SUM(D179:D188)-D189</f>
        <v>0</v>
      </c>
      <c r="E190" s="302">
        <f t="shared" si="67"/>
        <v>0</v>
      </c>
      <c r="F190" s="302">
        <f t="shared" si="67"/>
        <v>0</v>
      </c>
      <c r="G190" s="302">
        <f t="shared" si="67"/>
        <v>0</v>
      </c>
      <c r="H190" s="302">
        <f t="shared" si="67"/>
        <v>0</v>
      </c>
      <c r="I190" s="302">
        <f t="shared" si="67"/>
        <v>0</v>
      </c>
      <c r="J190" s="302">
        <f t="shared" si="67"/>
        <v>0</v>
      </c>
      <c r="K190" s="302">
        <f t="shared" si="67"/>
        <v>0</v>
      </c>
      <c r="L190" s="302">
        <f t="shared" si="67"/>
        <v>0</v>
      </c>
      <c r="M190" s="302">
        <f t="shared" si="67"/>
        <v>0</v>
      </c>
      <c r="N190" s="302">
        <f t="shared" si="67"/>
        <v>0</v>
      </c>
    </row>
    <row r="192" spans="1:14">
      <c r="B192" s="334" t="s">
        <v>47</v>
      </c>
      <c r="C192" s="322"/>
      <c r="D192" s="322"/>
      <c r="E192" s="322"/>
      <c r="F192" s="322"/>
      <c r="G192" s="322"/>
      <c r="H192" s="332"/>
      <c r="I192" s="322"/>
      <c r="J192" s="322"/>
      <c r="K192" s="322"/>
      <c r="L192" s="322"/>
    </row>
    <row r="193" spans="1:15">
      <c r="C193" s="322"/>
      <c r="D193" s="322"/>
      <c r="E193" s="322"/>
      <c r="F193" s="322"/>
      <c r="G193" s="322"/>
      <c r="H193" s="332"/>
      <c r="I193" s="322"/>
      <c r="J193" s="322"/>
      <c r="K193" s="322"/>
      <c r="L193" s="322"/>
    </row>
    <row r="194" spans="1:15">
      <c r="B194" s="331" t="str">
        <f t="shared" ref="B194:B205" si="68">B178</f>
        <v>Age group</v>
      </c>
      <c r="C194" s="331" t="str">
        <f t="shared" ref="C194:N194" si="69">C178</f>
        <v>2017/18</v>
      </c>
      <c r="D194" s="331" t="str">
        <f t="shared" si="69"/>
        <v>2018/19</v>
      </c>
      <c r="E194" s="331" t="str">
        <f t="shared" si="69"/>
        <v>2019/20</v>
      </c>
      <c r="F194" s="331" t="str">
        <f t="shared" si="69"/>
        <v>2020/21</v>
      </c>
      <c r="G194" s="331" t="str">
        <f t="shared" si="69"/>
        <v>2021/22</v>
      </c>
      <c r="H194" s="331" t="str">
        <f t="shared" si="69"/>
        <v>2022/23</v>
      </c>
      <c r="I194" s="331" t="str">
        <f t="shared" si="69"/>
        <v>2023/24</v>
      </c>
      <c r="J194" s="331" t="str">
        <f t="shared" si="69"/>
        <v>2024/25</v>
      </c>
      <c r="K194" s="331" t="str">
        <f t="shared" si="69"/>
        <v>2025/26</v>
      </c>
      <c r="L194" s="331" t="str">
        <f t="shared" si="69"/>
        <v>2026/27</v>
      </c>
      <c r="M194" s="331" t="str">
        <f t="shared" si="69"/>
        <v>2027/28</v>
      </c>
      <c r="N194" s="331" t="str">
        <f t="shared" si="69"/>
        <v>2028/29</v>
      </c>
    </row>
    <row r="195" spans="1:15">
      <c r="B195" s="331" t="str">
        <f t="shared" si="68"/>
        <v>20-24</v>
      </c>
      <c r="C195" s="447">
        <f>C93*Calc_SEC_death_rates!$G140</f>
        <v>0</v>
      </c>
      <c r="D195" s="447">
        <f>D93*Calc_SEC_death_rates!$G140</f>
        <v>0</v>
      </c>
      <c r="E195" s="447">
        <f>E93*Calc_SEC_death_rates!$G140</f>
        <v>0</v>
      </c>
      <c r="F195" s="447">
        <f>F93*Calc_SEC_death_rates!$G140</f>
        <v>0</v>
      </c>
      <c r="G195" s="447">
        <f>G93*Calc_SEC_death_rates!$G140</f>
        <v>0</v>
      </c>
      <c r="H195" s="447">
        <f>H93*Calc_SEC_death_rates!$G140</f>
        <v>0</v>
      </c>
      <c r="I195" s="447">
        <f>I93*Calc_SEC_death_rates!$G140</f>
        <v>0</v>
      </c>
      <c r="J195" s="447">
        <f>J93*Calc_SEC_death_rates!$G140</f>
        <v>0</v>
      </c>
      <c r="K195" s="447">
        <f>K93*Calc_SEC_death_rates!$G140</f>
        <v>0</v>
      </c>
      <c r="L195" s="447">
        <f>L93*Calc_SEC_death_rates!$G140</f>
        <v>0</v>
      </c>
      <c r="M195" s="447">
        <f>M93*Calc_SEC_death_rates!$G140</f>
        <v>0</v>
      </c>
      <c r="N195" s="447">
        <f>N93*Calc_SEC_death_rates!$G140</f>
        <v>0</v>
      </c>
      <c r="O195" s="320"/>
    </row>
    <row r="196" spans="1:15">
      <c r="B196" s="331" t="str">
        <f t="shared" si="68"/>
        <v>25-29</v>
      </c>
      <c r="C196" s="447">
        <f>C94*Calc_SEC_death_rates!$G141</f>
        <v>9.3685577026097339E-2</v>
      </c>
      <c r="D196" s="447">
        <f>D94*Calc_SEC_death_rates!$G141</f>
        <v>8.8356829193102462E-2</v>
      </c>
      <c r="E196" s="447">
        <f>E94*Calc_SEC_death_rates!$G141</f>
        <v>8.6027644716245355E-2</v>
      </c>
      <c r="F196" s="447">
        <f>F94*Calc_SEC_death_rates!$G141</f>
        <v>8.5904599931692638E-2</v>
      </c>
      <c r="G196" s="447">
        <f>G94*Calc_SEC_death_rates!$G141</f>
        <v>8.5820828089447035E-2</v>
      </c>
      <c r="H196" s="447">
        <f>H94*Calc_SEC_death_rates!$G141</f>
        <v>8.5673674797222724E-2</v>
      </c>
      <c r="I196" s="447">
        <f>I94*Calc_SEC_death_rates!$G141</f>
        <v>8.5273294414357576E-2</v>
      </c>
      <c r="J196" s="447">
        <f>J94*Calc_SEC_death_rates!$G141</f>
        <v>8.5809934894780879E-2</v>
      </c>
      <c r="K196" s="447">
        <f>K94*Calc_SEC_death_rates!$G141</f>
        <v>8.6886137213135622E-2</v>
      </c>
      <c r="L196" s="447">
        <f>L94*Calc_SEC_death_rates!$G141</f>
        <v>8.7212968779868311E-2</v>
      </c>
      <c r="M196" s="447">
        <f>M94*Calc_SEC_death_rates!$G141</f>
        <v>8.702916420974674E-2</v>
      </c>
      <c r="N196" s="447">
        <f>N94*Calc_SEC_death_rates!$G141</f>
        <v>8.6939508133300827E-2</v>
      </c>
      <c r="O196" s="320"/>
    </row>
    <row r="197" spans="1:15">
      <c r="B197" s="331" t="str">
        <f t="shared" si="68"/>
        <v>30-34</v>
      </c>
      <c r="C197" s="447">
        <f>C95*Calc_SEC_death_rates!$G142</f>
        <v>8.4598224749148743E-2</v>
      </c>
      <c r="D197" s="447">
        <f>D95*Calc_SEC_death_rates!$G142</f>
        <v>8.2725786202280965E-2</v>
      </c>
      <c r="E197" s="447">
        <f>E95*Calc_SEC_death_rates!$G142</f>
        <v>8.0962793017903933E-2</v>
      </c>
      <c r="F197" s="447">
        <f>F95*Calc_SEC_death_rates!$G142</f>
        <v>7.9727090312196852E-2</v>
      </c>
      <c r="G197" s="447">
        <f>G95*Calc_SEC_death_rates!$G142</f>
        <v>7.849671657061455E-2</v>
      </c>
      <c r="H197" s="447">
        <f>H95*Calc_SEC_death_rates!$G142</f>
        <v>7.738711641305869E-2</v>
      </c>
      <c r="I197" s="447">
        <f>I95*Calc_SEC_death_rates!$G142</f>
        <v>7.6333181940508615E-2</v>
      </c>
      <c r="J197" s="447">
        <f>J95*Calc_SEC_death_rates!$G142</f>
        <v>7.5862591697505186E-2</v>
      </c>
      <c r="K197" s="447">
        <f>K95*Calc_SEC_death_rates!$G142</f>
        <v>7.5845884796387417E-2</v>
      </c>
      <c r="L197" s="447">
        <f>L95*Calc_SEC_death_rates!$G142</f>
        <v>7.569093831397497E-2</v>
      </c>
      <c r="M197" s="447">
        <f>M95*Calc_SEC_death_rates!$G142</f>
        <v>7.5409023637603323E-2</v>
      </c>
      <c r="N197" s="447">
        <f>N95*Calc_SEC_death_rates!$G142</f>
        <v>7.5213575246757938E-2</v>
      </c>
      <c r="O197" s="320"/>
    </row>
    <row r="198" spans="1:15">
      <c r="B198" s="331" t="str">
        <f t="shared" si="68"/>
        <v>35-39</v>
      </c>
      <c r="C198" s="447">
        <f>C96*Calc_SEC_death_rates!$G143</f>
        <v>0.37924480749721229</v>
      </c>
      <c r="D198" s="447">
        <f>D96*Calc_SEC_death_rates!$G143</f>
        <v>0.37922639348743664</v>
      </c>
      <c r="E198" s="447">
        <f>E96*Calc_SEC_death_rates!$G143</f>
        <v>0.37867525254164813</v>
      </c>
      <c r="F198" s="447">
        <f>F96*Calc_SEC_death_rates!$G143</f>
        <v>0.37779395717843767</v>
      </c>
      <c r="G198" s="447">
        <f>G96*Calc_SEC_death_rates!$G143</f>
        <v>0.37492262523539288</v>
      </c>
      <c r="H198" s="447">
        <f>H96*Calc_SEC_death_rates!$G143</f>
        <v>0.37107399386939499</v>
      </c>
      <c r="I198" s="447">
        <f>I96*Calc_SEC_death_rates!$G143</f>
        <v>0.36653782818942732</v>
      </c>
      <c r="J198" s="447">
        <f>J96*Calc_SEC_death_rates!$G143</f>
        <v>0.36342142586166487</v>
      </c>
      <c r="K198" s="447">
        <f>K96*Calc_SEC_death_rates!$G143</f>
        <v>0.36152868701389762</v>
      </c>
      <c r="L198" s="447">
        <f>L96*Calc_SEC_death_rates!$G143</f>
        <v>0.35916846108959299</v>
      </c>
      <c r="M198" s="447">
        <f>M96*Calc_SEC_death_rates!$G143</f>
        <v>0.35659986361112433</v>
      </c>
      <c r="N198" s="447">
        <f>N96*Calc_SEC_death_rates!$G143</f>
        <v>0.35457975168154415</v>
      </c>
      <c r="O198" s="320"/>
    </row>
    <row r="199" spans="1:15">
      <c r="B199" s="331" t="str">
        <f t="shared" si="68"/>
        <v>40-44</v>
      </c>
      <c r="C199" s="447">
        <f>C97*Calc_SEC_death_rates!$G144</f>
        <v>0.30171062739199273</v>
      </c>
      <c r="D199" s="447">
        <f>D97*Calc_SEC_death_rates!$G144</f>
        <v>0.30051006912458755</v>
      </c>
      <c r="E199" s="447">
        <f>E97*Calc_SEC_death_rates!$G144</f>
        <v>0.30045002324915304</v>
      </c>
      <c r="F199" s="447">
        <f>F97*Calc_SEC_death_rates!$G144</f>
        <v>0.30108957096069616</v>
      </c>
      <c r="G199" s="447">
        <f>G97*Calc_SEC_death_rates!$G144</f>
        <v>0.30057613534083205</v>
      </c>
      <c r="H199" s="447">
        <f>H97*Calc_SEC_death_rates!$G144</f>
        <v>0.29927523178293958</v>
      </c>
      <c r="I199" s="447">
        <f>I97*Calc_SEC_death_rates!$G144</f>
        <v>0.29718217028037597</v>
      </c>
      <c r="J199" s="447">
        <f>J97*Calc_SEC_death_rates!$G144</f>
        <v>0.29576277506817816</v>
      </c>
      <c r="K199" s="447">
        <f>K97*Calc_SEC_death_rates!$G144</f>
        <v>0.29481625705584763</v>
      </c>
      <c r="L199" s="447">
        <f>L97*Calc_SEC_death_rates!$G144</f>
        <v>0.29312138141041383</v>
      </c>
      <c r="M199" s="447">
        <f>M97*Calc_SEC_death_rates!$G144</f>
        <v>0.29099081168599916</v>
      </c>
      <c r="N199" s="447">
        <f>N97*Calc_SEC_death_rates!$G144</f>
        <v>0.28910105012344317</v>
      </c>
      <c r="O199" s="320"/>
    </row>
    <row r="200" spans="1:15">
      <c r="B200" s="331" t="str">
        <f t="shared" si="68"/>
        <v>45-49</v>
      </c>
      <c r="C200" s="447">
        <f>C98*Calc_SEC_death_rates!$G145</f>
        <v>0.39955530968343972</v>
      </c>
      <c r="D200" s="447">
        <f>D98*Calc_SEC_death_rates!$G145</f>
        <v>0.42632474366521744</v>
      </c>
      <c r="E200" s="447">
        <f>E98*Calc_SEC_death_rates!$G145</f>
        <v>0.44669843369825024</v>
      </c>
      <c r="F200" s="447">
        <f>F98*Calc_SEC_death_rates!$G145</f>
        <v>0.46269691324881518</v>
      </c>
      <c r="G200" s="447">
        <f>G98*Calc_SEC_death_rates!$G145</f>
        <v>0.47316507407126857</v>
      </c>
      <c r="H200" s="447">
        <f>H98*Calc_SEC_death_rates!$G145</f>
        <v>0.4798427053187907</v>
      </c>
      <c r="I200" s="447">
        <f>I98*Calc_SEC_death_rates!$G145</f>
        <v>0.48339797138364038</v>
      </c>
      <c r="J200" s="447">
        <f>J98*Calc_SEC_death_rates!$G145</f>
        <v>0.48658056950918199</v>
      </c>
      <c r="K200" s="447">
        <f>K98*Calc_SEC_death_rates!$G145</f>
        <v>0.4893346304076473</v>
      </c>
      <c r="L200" s="447">
        <f>L98*Calc_SEC_death_rates!$G145</f>
        <v>0.48988727780147873</v>
      </c>
      <c r="M200" s="447">
        <f>M98*Calc_SEC_death_rates!$G145</f>
        <v>0.48887600966859845</v>
      </c>
      <c r="N200" s="447">
        <f>N98*Calc_SEC_death_rates!$G145</f>
        <v>0.4875208456077233</v>
      </c>
      <c r="O200" s="320"/>
    </row>
    <row r="201" spans="1:15">
      <c r="B201" s="331" t="str">
        <f t="shared" si="68"/>
        <v>50-54</v>
      </c>
      <c r="C201" s="447">
        <f>C99*Calc_SEC_death_rates!$G146</f>
        <v>0.54997445447783833</v>
      </c>
      <c r="D201" s="447">
        <f>D99*Calc_SEC_death_rates!$G146</f>
        <v>0.54503899269106493</v>
      </c>
      <c r="E201" s="447">
        <f>E99*Calc_SEC_death_rates!$G146</f>
        <v>0.55127641340563316</v>
      </c>
      <c r="F201" s="447">
        <f>F99*Calc_SEC_death_rates!$G146</f>
        <v>0.56334719768050245</v>
      </c>
      <c r="G201" s="447">
        <f>G99*Calc_SEC_death_rates!$G146</f>
        <v>0.57497310879782138</v>
      </c>
      <c r="H201" s="447">
        <f>H99*Calc_SEC_death_rates!$G146</f>
        <v>0.58541979564118762</v>
      </c>
      <c r="I201" s="447">
        <f>I99*Calc_SEC_death_rates!$G146</f>
        <v>0.59377753940014744</v>
      </c>
      <c r="J201" s="447">
        <f>J99*Calc_SEC_death_rates!$G146</f>
        <v>0.6024521743097736</v>
      </c>
      <c r="K201" s="447">
        <f>K99*Calc_SEC_death_rates!$G146</f>
        <v>0.61073737059382804</v>
      </c>
      <c r="L201" s="447">
        <f>L99*Calc_SEC_death_rates!$G146</f>
        <v>0.61603095363889226</v>
      </c>
      <c r="M201" s="447">
        <f>M99*Calc_SEC_death_rates!$G146</f>
        <v>0.61892519509046373</v>
      </c>
      <c r="N201" s="447">
        <f>N99*Calc_SEC_death_rates!$G146</f>
        <v>0.62084189659365818</v>
      </c>
      <c r="O201" s="320"/>
    </row>
    <row r="202" spans="1:15">
      <c r="B202" s="331" t="str">
        <f t="shared" si="68"/>
        <v>55-59</v>
      </c>
      <c r="C202" s="447">
        <f>C100*Calc_SEC_death_rates!$G147</f>
        <v>0.63341946427104057</v>
      </c>
      <c r="D202" s="447">
        <f>D100*Calc_SEC_death_rates!$G147</f>
        <v>0.55786637475061485</v>
      </c>
      <c r="E202" s="447">
        <f>E100*Calc_SEC_death_rates!$G147</f>
        <v>0.51233750393860533</v>
      </c>
      <c r="F202" s="447">
        <f>F100*Calc_SEC_death_rates!$G147</f>
        <v>0.48791075899061692</v>
      </c>
      <c r="G202" s="447">
        <f>G100*Calc_SEC_death_rates!$G147</f>
        <v>0.47466337447521251</v>
      </c>
      <c r="H202" s="447">
        <f>H100*Calc_SEC_death_rates!$G147</f>
        <v>0.46869595114719698</v>
      </c>
      <c r="I202" s="447">
        <f>I100*Calc_SEC_death_rates!$G147</f>
        <v>0.46673081476439332</v>
      </c>
      <c r="J202" s="447">
        <f>J100*Calc_SEC_death_rates!$G147</f>
        <v>0.46929718569482348</v>
      </c>
      <c r="K202" s="447">
        <f>K100*Calc_SEC_death_rates!$G147</f>
        <v>0.47420634052005362</v>
      </c>
      <c r="L202" s="447">
        <f>L100*Calc_SEC_death_rates!$G147</f>
        <v>0.47794107501571842</v>
      </c>
      <c r="M202" s="447">
        <f>M100*Calc_SEC_death_rates!$G147</f>
        <v>0.48056986521620487</v>
      </c>
      <c r="N202" s="447">
        <f>N100*Calc_SEC_death_rates!$G147</f>
        <v>0.4830667326164737</v>
      </c>
      <c r="O202" s="320"/>
    </row>
    <row r="203" spans="1:15">
      <c r="B203" s="331" t="str">
        <f t="shared" si="68"/>
        <v>60-64</v>
      </c>
      <c r="C203" s="447">
        <f>C101*Calc_SEC_death_rates!$G148</f>
        <v>0.23196145918539335</v>
      </c>
      <c r="D203" s="447">
        <f>D101*Calc_SEC_death_rates!$G148</f>
        <v>0.23139585989720876</v>
      </c>
      <c r="E203" s="447">
        <f>E101*Calc_SEC_death_rates!$G148</f>
        <v>0.22071239630127135</v>
      </c>
      <c r="F203" s="447">
        <f>F101*Calc_SEC_death_rates!$G148</f>
        <v>0.20941513275554138</v>
      </c>
      <c r="G203" s="447">
        <f>G101*Calc_SEC_death_rates!$G148</f>
        <v>0.19926100605672692</v>
      </c>
      <c r="H203" s="447">
        <f>H101*Calc_SEC_death_rates!$G148</f>
        <v>0.19161702415521684</v>
      </c>
      <c r="I203" s="447">
        <f>I101*Calc_SEC_death_rates!$G148</f>
        <v>0.18628219226148099</v>
      </c>
      <c r="J203" s="447">
        <f>J101*Calc_SEC_death_rates!$G148</f>
        <v>0.18414814317953546</v>
      </c>
      <c r="K203" s="447">
        <f>K101*Calc_SEC_death_rates!$G148</f>
        <v>0.18406399964795872</v>
      </c>
      <c r="L203" s="447">
        <f>L101*Calc_SEC_death_rates!$G148</f>
        <v>0.18402861598143777</v>
      </c>
      <c r="M203" s="447">
        <f>M101*Calc_SEC_death_rates!$G148</f>
        <v>0.18403990650447014</v>
      </c>
      <c r="N203" s="447">
        <f>N101*Calc_SEC_death_rates!$G148</f>
        <v>0.18452958318969209</v>
      </c>
      <c r="O203" s="320"/>
    </row>
    <row r="204" spans="1:15">
      <c r="B204" s="331" t="str">
        <f t="shared" si="68"/>
        <v>65 plus</v>
      </c>
      <c r="C204" s="447">
        <f>C102*Calc_SEC_death_rates!$G149</f>
        <v>0.20402731680045097</v>
      </c>
      <c r="D204" s="447">
        <f>D102*Calc_SEC_death_rates!$G149</f>
        <v>0.27232005963218647</v>
      </c>
      <c r="E204" s="447">
        <f>E102*Calc_SEC_death_rates!$G149</f>
        <v>0.31705733972789374</v>
      </c>
      <c r="F204" s="447">
        <f>F102*Calc_SEC_death_rates!$G149</f>
        <v>0.34178558692820743</v>
      </c>
      <c r="G204" s="447">
        <f>G102*Calc_SEC_death_rates!$G149</f>
        <v>0.35067994704258582</v>
      </c>
      <c r="H204" s="447">
        <f>H102*Calc_SEC_death_rates!$G149</f>
        <v>0.35060438650079401</v>
      </c>
      <c r="I204" s="447">
        <f>I102*Calc_SEC_death_rates!$G149</f>
        <v>0.34595901793249778</v>
      </c>
      <c r="J204" s="447">
        <f>J102*Calc_SEC_death_rates!$G149</f>
        <v>0.34182405327263982</v>
      </c>
      <c r="K204" s="447">
        <f>K102*Calc_SEC_death_rates!$G149</f>
        <v>0.33915589795190559</v>
      </c>
      <c r="L204" s="447">
        <f>L102*Calc_SEC_death_rates!$G149</f>
        <v>0.33625526446169246</v>
      </c>
      <c r="M204" s="447">
        <f>M102*Calc_SEC_death_rates!$G149</f>
        <v>0.33354709247200887</v>
      </c>
      <c r="N204" s="447">
        <f>N102*Calc_SEC_death_rates!$G149</f>
        <v>0.33197905731610311</v>
      </c>
      <c r="O204" s="320"/>
    </row>
    <row r="205" spans="1:15">
      <c r="B205" s="331" t="str">
        <f t="shared" si="68"/>
        <v>Total</v>
      </c>
      <c r="C205" s="447">
        <f>SUM(C195:C204)</f>
        <v>2.8781772410826143</v>
      </c>
      <c r="D205" s="447">
        <f t="shared" ref="D205:N205" si="70">SUM(D195:D204)</f>
        <v>2.8837651086436997</v>
      </c>
      <c r="E205" s="447">
        <f t="shared" si="70"/>
        <v>2.8941978005966043</v>
      </c>
      <c r="F205" s="447">
        <f t="shared" si="70"/>
        <v>2.9096708079867071</v>
      </c>
      <c r="G205" s="447">
        <f t="shared" si="70"/>
        <v>2.9125588156799016</v>
      </c>
      <c r="H205" s="447">
        <f t="shared" si="70"/>
        <v>2.909589879625802</v>
      </c>
      <c r="I205" s="447">
        <f t="shared" si="70"/>
        <v>2.9014740105668291</v>
      </c>
      <c r="J205" s="447">
        <f t="shared" si="70"/>
        <v>2.9051588534880834</v>
      </c>
      <c r="K205" s="447">
        <f t="shared" si="70"/>
        <v>2.9165752052006617</v>
      </c>
      <c r="L205" s="447">
        <f t="shared" si="70"/>
        <v>2.9193369364930701</v>
      </c>
      <c r="M205" s="447">
        <f t="shared" si="70"/>
        <v>2.9159869320962195</v>
      </c>
      <c r="N205" s="447">
        <f t="shared" si="70"/>
        <v>2.9137720005086964</v>
      </c>
      <c r="O205" s="320"/>
    </row>
    <row r="206" spans="1:15">
      <c r="A206" s="302">
        <f>SUM(C206:N206)</f>
        <v>0</v>
      </c>
      <c r="C206" s="302">
        <f>SUM(C195:C204)-C205</f>
        <v>0</v>
      </c>
      <c r="D206" s="302">
        <f t="shared" ref="D206:N206" si="71">SUM(D195:D204)-D205</f>
        <v>0</v>
      </c>
      <c r="E206" s="302">
        <f t="shared" si="71"/>
        <v>0</v>
      </c>
      <c r="F206" s="302">
        <f t="shared" si="71"/>
        <v>0</v>
      </c>
      <c r="G206" s="302">
        <f t="shared" si="71"/>
        <v>0</v>
      </c>
      <c r="H206" s="302">
        <f t="shared" si="71"/>
        <v>0</v>
      </c>
      <c r="I206" s="302">
        <f t="shared" si="71"/>
        <v>0</v>
      </c>
      <c r="J206" s="302">
        <f t="shared" si="71"/>
        <v>0</v>
      </c>
      <c r="K206" s="302">
        <f t="shared" si="71"/>
        <v>0</v>
      </c>
      <c r="L206" s="302">
        <f t="shared" si="71"/>
        <v>0</v>
      </c>
      <c r="M206" s="302">
        <f t="shared" si="71"/>
        <v>0</v>
      </c>
      <c r="N206" s="302">
        <f t="shared" si="71"/>
        <v>0</v>
      </c>
    </row>
    <row r="208" spans="1:15" ht="15.75">
      <c r="B208" s="333" t="s">
        <v>166</v>
      </c>
      <c r="C208" s="322"/>
      <c r="D208" s="322"/>
      <c r="E208" s="322"/>
      <c r="F208" s="322"/>
      <c r="G208" s="322"/>
      <c r="H208" s="332"/>
      <c r="I208" s="322"/>
      <c r="J208" s="322"/>
      <c r="K208" s="322"/>
      <c r="L208" s="322"/>
    </row>
    <row r="209" spans="1:16">
      <c r="C209" s="322"/>
      <c r="D209" s="322"/>
      <c r="E209" s="322"/>
      <c r="F209" s="322"/>
      <c r="G209" s="322"/>
      <c r="H209" s="332"/>
      <c r="I209" s="322"/>
      <c r="J209" s="322"/>
      <c r="K209" s="322"/>
      <c r="L209" s="322"/>
    </row>
    <row r="210" spans="1:16">
      <c r="B210" s="334" t="s">
        <v>46</v>
      </c>
      <c r="C210" s="322"/>
      <c r="D210" s="322"/>
      <c r="E210" s="322"/>
      <c r="F210" s="322"/>
      <c r="G210" s="322"/>
      <c r="H210" s="332"/>
      <c r="I210" s="322"/>
      <c r="J210" s="322"/>
      <c r="K210" s="322"/>
      <c r="L210" s="322"/>
    </row>
    <row r="211" spans="1:16">
      <c r="C211" s="322"/>
      <c r="D211" s="322"/>
      <c r="E211" s="322"/>
      <c r="F211" s="322"/>
      <c r="G211" s="322"/>
      <c r="H211" s="332"/>
      <c r="I211" s="322"/>
      <c r="J211" s="322"/>
      <c r="K211" s="322"/>
      <c r="L211" s="322"/>
    </row>
    <row r="212" spans="1:16">
      <c r="B212" s="331" t="str">
        <f t="shared" ref="B212:B223" si="72">B178</f>
        <v>Age group</v>
      </c>
      <c r="C212" s="331" t="str">
        <f t="shared" ref="C212:N212" si="73">C178</f>
        <v>2017/18</v>
      </c>
      <c r="D212" s="331" t="str">
        <f t="shared" si="73"/>
        <v>2018/19</v>
      </c>
      <c r="E212" s="331" t="str">
        <f t="shared" si="73"/>
        <v>2019/20</v>
      </c>
      <c r="F212" s="331" t="str">
        <f t="shared" si="73"/>
        <v>2020/21</v>
      </c>
      <c r="G212" s="331" t="str">
        <f t="shared" si="73"/>
        <v>2021/22</v>
      </c>
      <c r="H212" s="331" t="str">
        <f t="shared" si="73"/>
        <v>2022/23</v>
      </c>
      <c r="I212" s="331" t="str">
        <f t="shared" si="73"/>
        <v>2023/24</v>
      </c>
      <c r="J212" s="331" t="str">
        <f t="shared" si="73"/>
        <v>2024/25</v>
      </c>
      <c r="K212" s="331" t="str">
        <f t="shared" si="73"/>
        <v>2025/26</v>
      </c>
      <c r="L212" s="331" t="str">
        <f t="shared" si="73"/>
        <v>2026/27</v>
      </c>
      <c r="M212" s="331" t="str">
        <f t="shared" si="73"/>
        <v>2027/28</v>
      </c>
      <c r="N212" s="331" t="str">
        <f t="shared" si="73"/>
        <v>2028/29</v>
      </c>
    </row>
    <row r="213" spans="1:16">
      <c r="B213" s="331" t="str">
        <f t="shared" si="72"/>
        <v>20-24</v>
      </c>
      <c r="C213" s="447">
        <f t="shared" ref="C213:C222" si="74">C111+C145+C179</f>
        <v>8.2404566888339499</v>
      </c>
      <c r="D213" s="447">
        <f t="shared" ref="D213:N213" si="75">D111+D145+D179</f>
        <v>11.089763759930804</v>
      </c>
      <c r="E213" s="447">
        <f t="shared" si="75"/>
        <v>14.153904345592565</v>
      </c>
      <c r="F213" s="447">
        <f t="shared" si="75"/>
        <v>16.05781287169782</v>
      </c>
      <c r="G213" s="447">
        <f t="shared" si="75"/>
        <v>17.438445375615771</v>
      </c>
      <c r="H213" s="447">
        <f t="shared" si="75"/>
        <v>18.258875320990885</v>
      </c>
      <c r="I213" s="447">
        <f t="shared" si="75"/>
        <v>18.666397918043394</v>
      </c>
      <c r="J213" s="447">
        <f t="shared" si="75"/>
        <v>19.231352581595011</v>
      </c>
      <c r="K213" s="447">
        <f t="shared" si="75"/>
        <v>19.824994028885545</v>
      </c>
      <c r="L213" s="447">
        <f t="shared" si="75"/>
        <v>20.01479970136155</v>
      </c>
      <c r="M213" s="447">
        <f t="shared" si="75"/>
        <v>19.982331574358433</v>
      </c>
      <c r="N213" s="447">
        <f t="shared" si="75"/>
        <v>19.988326453632983</v>
      </c>
      <c r="O213" s="320"/>
      <c r="P213" s="320"/>
    </row>
    <row r="214" spans="1:16">
      <c r="B214" s="331" t="str">
        <f t="shared" si="72"/>
        <v>25-29</v>
      </c>
      <c r="C214" s="447">
        <f t="shared" si="74"/>
        <v>24.214990681993456</v>
      </c>
      <c r="D214" s="447">
        <f t="shared" ref="D214:N214" si="76">D112+D146+D180</f>
        <v>23.483377872852412</v>
      </c>
      <c r="E214" s="447">
        <f t="shared" si="76"/>
        <v>25.30923862128758</v>
      </c>
      <c r="F214" s="447">
        <f t="shared" si="76"/>
        <v>26.174697910962163</v>
      </c>
      <c r="G214" s="447">
        <f t="shared" si="76"/>
        <v>27.314761090113748</v>
      </c>
      <c r="H214" s="447">
        <f t="shared" si="76"/>
        <v>28.180424361624215</v>
      </c>
      <c r="I214" s="447">
        <f t="shared" si="76"/>
        <v>28.751207480423624</v>
      </c>
      <c r="J214" s="447">
        <f t="shared" si="76"/>
        <v>29.498998614571065</v>
      </c>
      <c r="K214" s="447">
        <f t="shared" si="76"/>
        <v>30.314731795507203</v>
      </c>
      <c r="L214" s="447">
        <f t="shared" si="76"/>
        <v>30.759915912855487</v>
      </c>
      <c r="M214" s="447">
        <f t="shared" si="76"/>
        <v>30.942722313410368</v>
      </c>
      <c r="N214" s="447">
        <f t="shared" si="76"/>
        <v>31.099484229735626</v>
      </c>
      <c r="O214" s="320"/>
      <c r="P214" s="320"/>
    </row>
    <row r="215" spans="1:16">
      <c r="B215" s="331" t="str">
        <f t="shared" si="72"/>
        <v>30-34</v>
      </c>
      <c r="C215" s="447">
        <f t="shared" si="74"/>
        <v>26.332718387890605</v>
      </c>
      <c r="D215" s="447">
        <f t="shared" ref="D215:N215" si="77">D113+D147+D181</f>
        <v>24.445489457629456</v>
      </c>
      <c r="E215" s="447">
        <f t="shared" si="77"/>
        <v>24.852662245797443</v>
      </c>
      <c r="F215" s="447">
        <f t="shared" si="77"/>
        <v>24.253198711592646</v>
      </c>
      <c r="G215" s="447">
        <f t="shared" si="77"/>
        <v>24.28867777168858</v>
      </c>
      <c r="H215" s="447">
        <f t="shared" si="77"/>
        <v>24.400965870695412</v>
      </c>
      <c r="I215" s="447">
        <f t="shared" si="77"/>
        <v>24.525244833382335</v>
      </c>
      <c r="J215" s="447">
        <f t="shared" si="77"/>
        <v>24.818097774483341</v>
      </c>
      <c r="K215" s="447">
        <f t="shared" si="77"/>
        <v>25.223615666617324</v>
      </c>
      <c r="L215" s="447">
        <f t="shared" si="77"/>
        <v>25.533484681317354</v>
      </c>
      <c r="M215" s="447">
        <f t="shared" si="77"/>
        <v>25.749965865336343</v>
      </c>
      <c r="N215" s="447">
        <f t="shared" si="77"/>
        <v>25.948405357352673</v>
      </c>
      <c r="O215" s="320"/>
      <c r="P215" s="320"/>
    </row>
    <row r="216" spans="1:16">
      <c r="B216" s="331" t="str">
        <f t="shared" si="72"/>
        <v>35-39</v>
      </c>
      <c r="C216" s="447">
        <f t="shared" si="74"/>
        <v>27.095662148242688</v>
      </c>
      <c r="D216" s="447">
        <f t="shared" ref="D216:N216" si="78">D114+D148+D182</f>
        <v>25.771166900484257</v>
      </c>
      <c r="E216" s="447">
        <f t="shared" si="78"/>
        <v>26.426132356358018</v>
      </c>
      <c r="F216" s="447">
        <f t="shared" si="78"/>
        <v>25.671702155911085</v>
      </c>
      <c r="G216" s="447">
        <f t="shared" si="78"/>
        <v>25.433364523248702</v>
      </c>
      <c r="H216" s="447">
        <f t="shared" si="78"/>
        <v>25.217997964016131</v>
      </c>
      <c r="I216" s="447">
        <f t="shared" si="78"/>
        <v>25.02855736604096</v>
      </c>
      <c r="J216" s="447">
        <f t="shared" si="78"/>
        <v>24.9930831644741</v>
      </c>
      <c r="K216" s="447">
        <f t="shared" si="78"/>
        <v>25.079307527968016</v>
      </c>
      <c r="L216" s="447">
        <f t="shared" si="78"/>
        <v>25.151730169534957</v>
      </c>
      <c r="M216" s="447">
        <f t="shared" si="78"/>
        <v>25.214351324974146</v>
      </c>
      <c r="N216" s="447">
        <f t="shared" si="78"/>
        <v>25.309864812682292</v>
      </c>
      <c r="O216" s="320"/>
      <c r="P216" s="320"/>
    </row>
    <row r="217" spans="1:16">
      <c r="B217" s="331" t="str">
        <f t="shared" si="72"/>
        <v>40-44</v>
      </c>
      <c r="C217" s="447">
        <f t="shared" si="74"/>
        <v>29.222089700934337</v>
      </c>
      <c r="D217" s="447">
        <f t="shared" ref="D217:N217" si="79">D115+D149+D183</f>
        <v>27.655645371137396</v>
      </c>
      <c r="E217" s="447">
        <f t="shared" si="79"/>
        <v>28.355590455988903</v>
      </c>
      <c r="F217" s="447">
        <f t="shared" si="79"/>
        <v>27.567507299657446</v>
      </c>
      <c r="G217" s="447">
        <f t="shared" si="79"/>
        <v>27.311012444611642</v>
      </c>
      <c r="H217" s="447">
        <f t="shared" si="79"/>
        <v>27.031270253222601</v>
      </c>
      <c r="I217" s="447">
        <f t="shared" si="79"/>
        <v>26.734057747357731</v>
      </c>
      <c r="J217" s="447">
        <f t="shared" si="79"/>
        <v>26.55167074473265</v>
      </c>
      <c r="K217" s="447">
        <f t="shared" si="79"/>
        <v>26.46336315066678</v>
      </c>
      <c r="L217" s="447">
        <f t="shared" si="79"/>
        <v>26.353806966339064</v>
      </c>
      <c r="M217" s="447">
        <f t="shared" si="79"/>
        <v>26.242651524914045</v>
      </c>
      <c r="N217" s="447">
        <f t="shared" si="79"/>
        <v>26.181513066022408</v>
      </c>
      <c r="O217" s="320"/>
      <c r="P217" s="320"/>
    </row>
    <row r="218" spans="1:16">
      <c r="B218" s="331" t="str">
        <f t="shared" si="72"/>
        <v>45-49</v>
      </c>
      <c r="C218" s="447">
        <f t="shared" si="74"/>
        <v>25.895153548134541</v>
      </c>
      <c r="D218" s="447">
        <f t="shared" ref="D218:N218" si="80">D116+D150+D184</f>
        <v>25.267619190131882</v>
      </c>
      <c r="E218" s="447">
        <f t="shared" si="80"/>
        <v>26.444208442905374</v>
      </c>
      <c r="F218" s="447">
        <f t="shared" si="80"/>
        <v>26.096670960168574</v>
      </c>
      <c r="G218" s="447">
        <f t="shared" si="80"/>
        <v>26.141831270939687</v>
      </c>
      <c r="H218" s="447">
        <f t="shared" si="80"/>
        <v>26.086265622237075</v>
      </c>
      <c r="I218" s="447">
        <f t="shared" si="80"/>
        <v>25.947790162454627</v>
      </c>
      <c r="J218" s="447">
        <f t="shared" si="80"/>
        <v>25.85449685223028</v>
      </c>
      <c r="K218" s="447">
        <f t="shared" si="80"/>
        <v>25.797342107048067</v>
      </c>
      <c r="L218" s="447">
        <f t="shared" si="80"/>
        <v>25.682085884166984</v>
      </c>
      <c r="M218" s="447">
        <f t="shared" si="80"/>
        <v>25.535169869727483</v>
      </c>
      <c r="N218" s="447">
        <f t="shared" si="80"/>
        <v>25.412341591051156</v>
      </c>
      <c r="O218" s="320"/>
      <c r="P218" s="320"/>
    </row>
    <row r="219" spans="1:16">
      <c r="B219" s="331" t="str">
        <f t="shared" si="72"/>
        <v>50-54</v>
      </c>
      <c r="C219" s="447">
        <f t="shared" si="74"/>
        <v>29.022666446731922</v>
      </c>
      <c r="D219" s="447">
        <f t="shared" ref="D219:N219" si="81">D117+D151+D185</f>
        <v>27.43916690451762</v>
      </c>
      <c r="E219" s="447">
        <f t="shared" si="81"/>
        <v>27.840205335185868</v>
      </c>
      <c r="F219" s="447">
        <f t="shared" si="81"/>
        <v>27.272614428518271</v>
      </c>
      <c r="G219" s="447">
        <f t="shared" si="81"/>
        <v>27.181094158129095</v>
      </c>
      <c r="H219" s="447">
        <f t="shared" si="81"/>
        <v>27.090060525932305</v>
      </c>
      <c r="I219" s="447">
        <f t="shared" si="81"/>
        <v>26.970356464242222</v>
      </c>
      <c r="J219" s="447">
        <f t="shared" si="81"/>
        <v>26.920006128948682</v>
      </c>
      <c r="K219" s="447">
        <f t="shared" si="81"/>
        <v>26.909681241810461</v>
      </c>
      <c r="L219" s="447">
        <f t="shared" si="81"/>
        <v>26.832590031886227</v>
      </c>
      <c r="M219" s="447">
        <f t="shared" si="81"/>
        <v>26.709232580583542</v>
      </c>
      <c r="N219" s="447">
        <f t="shared" si="81"/>
        <v>26.59314971849653</v>
      </c>
      <c r="O219" s="320"/>
      <c r="P219" s="320"/>
    </row>
    <row r="220" spans="1:16">
      <c r="B220" s="331" t="str">
        <f t="shared" si="72"/>
        <v>55-59</v>
      </c>
      <c r="C220" s="447">
        <f t="shared" si="74"/>
        <v>43.972217789494678</v>
      </c>
      <c r="D220" s="447">
        <f t="shared" ref="D220:N220" si="82">D118+D152+D186</f>
        <v>39.238315093850147</v>
      </c>
      <c r="E220" s="447">
        <f t="shared" si="82"/>
        <v>36.746233897563592</v>
      </c>
      <c r="F220" s="447">
        <f t="shared" si="82"/>
        <v>34.843942833668585</v>
      </c>
      <c r="G220" s="447">
        <f t="shared" si="82"/>
        <v>33.698657949654788</v>
      </c>
      <c r="H220" s="447">
        <f t="shared" si="82"/>
        <v>32.919126038013196</v>
      </c>
      <c r="I220" s="447">
        <f t="shared" si="82"/>
        <v>32.353528539662726</v>
      </c>
      <c r="J220" s="447">
        <f t="shared" si="82"/>
        <v>32.066058913674951</v>
      </c>
      <c r="K220" s="447">
        <f t="shared" si="82"/>
        <v>31.943532475852525</v>
      </c>
      <c r="L220" s="447">
        <f t="shared" si="82"/>
        <v>31.784157849542432</v>
      </c>
      <c r="M220" s="447">
        <f t="shared" si="82"/>
        <v>31.599021942588976</v>
      </c>
      <c r="N220" s="447">
        <f t="shared" si="82"/>
        <v>31.450252574363368</v>
      </c>
      <c r="O220" s="320"/>
      <c r="P220" s="320"/>
    </row>
    <row r="221" spans="1:16">
      <c r="B221" s="331" t="str">
        <f t="shared" si="72"/>
        <v>60-64</v>
      </c>
      <c r="C221" s="447">
        <f t="shared" si="74"/>
        <v>27.358949959355826</v>
      </c>
      <c r="D221" s="447">
        <f t="shared" ref="D221:N221" si="83">D119+D153+D187</f>
        <v>25.100067116111969</v>
      </c>
      <c r="E221" s="447">
        <f t="shared" si="83"/>
        <v>23.326650481983659</v>
      </c>
      <c r="F221" s="447">
        <f t="shared" si="83"/>
        <v>21.728326616219835</v>
      </c>
      <c r="G221" s="447">
        <f t="shared" si="83"/>
        <v>20.536358999017086</v>
      </c>
      <c r="H221" s="447">
        <f t="shared" si="83"/>
        <v>19.631019255835966</v>
      </c>
      <c r="I221" s="447">
        <f t="shared" si="83"/>
        <v>18.947500122092205</v>
      </c>
      <c r="J221" s="447">
        <f t="shared" si="83"/>
        <v>18.552712047287685</v>
      </c>
      <c r="K221" s="447">
        <f t="shared" si="83"/>
        <v>18.343410701992081</v>
      </c>
      <c r="L221" s="447">
        <f t="shared" si="83"/>
        <v>18.144085528354289</v>
      </c>
      <c r="M221" s="447">
        <f t="shared" si="83"/>
        <v>17.959499976683176</v>
      </c>
      <c r="N221" s="447">
        <f t="shared" si="83"/>
        <v>17.832544627856269</v>
      </c>
      <c r="O221" s="320"/>
      <c r="P221" s="320"/>
    </row>
    <row r="222" spans="1:16">
      <c r="B222" s="331" t="str">
        <f t="shared" si="72"/>
        <v>65 plus</v>
      </c>
      <c r="C222" s="447">
        <f t="shared" si="74"/>
        <v>11.571512222734103</v>
      </c>
      <c r="D222" s="447">
        <f t="shared" ref="D222:N222" si="84">D120+D154+D188</f>
        <v>11.475010283244801</v>
      </c>
      <c r="E222" s="447">
        <f t="shared" si="84"/>
        <v>11.361986047904507</v>
      </c>
      <c r="F222" s="447">
        <f t="shared" si="84"/>
        <v>10.919632379989958</v>
      </c>
      <c r="G222" s="447">
        <f t="shared" si="84"/>
        <v>10.467973927952059</v>
      </c>
      <c r="H222" s="447">
        <f t="shared" si="84"/>
        <v>10.007092196837302</v>
      </c>
      <c r="I222" s="447">
        <f t="shared" si="84"/>
        <v>9.5787659371844871</v>
      </c>
      <c r="J222" s="447">
        <f t="shared" si="84"/>
        <v>9.260998492307694</v>
      </c>
      <c r="K222" s="447">
        <f t="shared" si="84"/>
        <v>9.0397785181506993</v>
      </c>
      <c r="L222" s="447">
        <f t="shared" si="84"/>
        <v>8.846612343783951</v>
      </c>
      <c r="M222" s="447">
        <f t="shared" si="84"/>
        <v>8.6799899372984193</v>
      </c>
      <c r="N222" s="447">
        <f t="shared" si="84"/>
        <v>8.5573437653845446</v>
      </c>
      <c r="O222" s="320"/>
      <c r="P222" s="320"/>
    </row>
    <row r="223" spans="1:16">
      <c r="B223" s="331" t="str">
        <f t="shared" si="72"/>
        <v>Total</v>
      </c>
      <c r="C223" s="447">
        <f>SUM(C213:C222)</f>
        <v>252.92641757434609</v>
      </c>
      <c r="D223" s="447">
        <f t="shared" ref="D223:N223" si="85">SUM(D213:D222)</f>
        <v>240.96562194989073</v>
      </c>
      <c r="E223" s="447">
        <f t="shared" si="85"/>
        <v>244.81681223056748</v>
      </c>
      <c r="F223" s="447">
        <f t="shared" si="85"/>
        <v>240.58610616838641</v>
      </c>
      <c r="G223" s="447">
        <f t="shared" si="85"/>
        <v>239.81217751097114</v>
      </c>
      <c r="H223" s="447">
        <f t="shared" si="85"/>
        <v>238.82309740940511</v>
      </c>
      <c r="I223" s="447">
        <f t="shared" si="85"/>
        <v>237.50340657088432</v>
      </c>
      <c r="J223" s="447">
        <f t="shared" si="85"/>
        <v>237.74747531430546</v>
      </c>
      <c r="K223" s="447">
        <f t="shared" si="85"/>
        <v>238.93975721449871</v>
      </c>
      <c r="L223" s="447">
        <f t="shared" si="85"/>
        <v>239.10326906914227</v>
      </c>
      <c r="M223" s="447">
        <f t="shared" si="85"/>
        <v>238.61493690987496</v>
      </c>
      <c r="N223" s="447">
        <f t="shared" si="85"/>
        <v>238.37322619657783</v>
      </c>
      <c r="O223" s="320"/>
      <c r="P223" s="320"/>
    </row>
    <row r="224" spans="1:16">
      <c r="A224" s="302">
        <f>SUM(C224:N224)</f>
        <v>0</v>
      </c>
      <c r="C224" s="302">
        <f>SUM(C213:C222)-C223</f>
        <v>0</v>
      </c>
      <c r="D224" s="302">
        <f t="shared" ref="D224:N224" si="86">SUM(D213:D222)-D223</f>
        <v>0</v>
      </c>
      <c r="E224" s="302">
        <f t="shared" si="86"/>
        <v>0</v>
      </c>
      <c r="F224" s="302">
        <f t="shared" si="86"/>
        <v>0</v>
      </c>
      <c r="G224" s="302">
        <f t="shared" si="86"/>
        <v>0</v>
      </c>
      <c r="H224" s="302">
        <f t="shared" si="86"/>
        <v>0</v>
      </c>
      <c r="I224" s="302">
        <f t="shared" si="86"/>
        <v>0</v>
      </c>
      <c r="J224" s="302">
        <f t="shared" si="86"/>
        <v>0</v>
      </c>
      <c r="K224" s="302">
        <f t="shared" si="86"/>
        <v>0</v>
      </c>
      <c r="L224" s="302">
        <f t="shared" si="86"/>
        <v>0</v>
      </c>
      <c r="M224" s="302">
        <f t="shared" si="86"/>
        <v>0</v>
      </c>
      <c r="N224" s="302">
        <f t="shared" si="86"/>
        <v>0</v>
      </c>
    </row>
    <row r="226" spans="1:16">
      <c r="B226" s="334" t="s">
        <v>47</v>
      </c>
      <c r="C226" s="322"/>
      <c r="D226" s="322"/>
      <c r="E226" s="322"/>
      <c r="F226" s="322"/>
      <c r="G226" s="322"/>
      <c r="H226" s="332"/>
      <c r="I226" s="322"/>
      <c r="J226" s="322"/>
      <c r="K226" s="322"/>
      <c r="L226" s="322"/>
    </row>
    <row r="227" spans="1:16">
      <c r="C227" s="322"/>
      <c r="D227" s="322"/>
      <c r="E227" s="322"/>
      <c r="F227" s="322"/>
      <c r="G227" s="322"/>
      <c r="H227" s="332"/>
      <c r="I227" s="322"/>
      <c r="J227" s="322"/>
      <c r="K227" s="322"/>
      <c r="L227" s="322"/>
    </row>
    <row r="228" spans="1:16">
      <c r="B228" s="331" t="str">
        <f t="shared" ref="B228:B239" si="87">B212</f>
        <v>Age group</v>
      </c>
      <c r="C228" s="331" t="str">
        <f t="shared" ref="C228:N228" si="88">C212</f>
        <v>2017/18</v>
      </c>
      <c r="D228" s="331" t="str">
        <f t="shared" si="88"/>
        <v>2018/19</v>
      </c>
      <c r="E228" s="331" t="str">
        <f t="shared" si="88"/>
        <v>2019/20</v>
      </c>
      <c r="F228" s="331" t="str">
        <f t="shared" si="88"/>
        <v>2020/21</v>
      </c>
      <c r="G228" s="331" t="str">
        <f t="shared" si="88"/>
        <v>2021/22</v>
      </c>
      <c r="H228" s="331" t="str">
        <f t="shared" si="88"/>
        <v>2022/23</v>
      </c>
      <c r="I228" s="331" t="str">
        <f t="shared" si="88"/>
        <v>2023/24</v>
      </c>
      <c r="J228" s="331" t="str">
        <f t="shared" si="88"/>
        <v>2024/25</v>
      </c>
      <c r="K228" s="331" t="str">
        <f t="shared" si="88"/>
        <v>2025/26</v>
      </c>
      <c r="L228" s="331" t="str">
        <f t="shared" si="88"/>
        <v>2026/27</v>
      </c>
      <c r="M228" s="331" t="str">
        <f t="shared" si="88"/>
        <v>2027/28</v>
      </c>
      <c r="N228" s="331" t="str">
        <f t="shared" si="88"/>
        <v>2028/29</v>
      </c>
    </row>
    <row r="229" spans="1:16">
      <c r="B229" s="331" t="str">
        <f t="shared" si="87"/>
        <v>20-24</v>
      </c>
      <c r="C229" s="447">
        <f t="shared" ref="C229:C238" si="89">C195+C161+C127</f>
        <v>27.674344462302091</v>
      </c>
      <c r="D229" s="447">
        <f t="shared" ref="D229:N229" si="90">D195+D161+D127</f>
        <v>31.875721223092615</v>
      </c>
      <c r="E229" s="447">
        <f t="shared" si="90"/>
        <v>35.998442366634634</v>
      </c>
      <c r="F229" s="447">
        <f t="shared" si="90"/>
        <v>39.838428270285505</v>
      </c>
      <c r="G229" s="447">
        <f t="shared" si="90"/>
        <v>41.783221970877356</v>
      </c>
      <c r="H229" s="447">
        <f t="shared" si="90"/>
        <v>42.81169484689125</v>
      </c>
      <c r="I229" s="447">
        <f t="shared" si="90"/>
        <v>43.153932011174454</v>
      </c>
      <c r="J229" s="447">
        <f t="shared" si="90"/>
        <v>44.01840596503537</v>
      </c>
      <c r="K229" s="447">
        <f t="shared" si="90"/>
        <v>45.066023088474282</v>
      </c>
      <c r="L229" s="447">
        <f t="shared" si="90"/>
        <v>45.291448550867699</v>
      </c>
      <c r="M229" s="447">
        <f t="shared" si="90"/>
        <v>45.077553405879122</v>
      </c>
      <c r="N229" s="447">
        <f t="shared" si="90"/>
        <v>44.991803601410595</v>
      </c>
      <c r="O229" s="320"/>
      <c r="P229" s="320"/>
    </row>
    <row r="230" spans="1:16">
      <c r="B230" s="331" t="str">
        <f t="shared" si="87"/>
        <v>25-29</v>
      </c>
      <c r="C230" s="447">
        <f t="shared" si="89"/>
        <v>74.637450819249736</v>
      </c>
      <c r="D230" s="447">
        <f t="shared" ref="D230:N230" si="91">D196+D162+D128</f>
        <v>70.739592882302304</v>
      </c>
      <c r="E230" s="447">
        <f t="shared" si="91"/>
        <v>70.019920477534882</v>
      </c>
      <c r="F230" s="447">
        <f t="shared" si="91"/>
        <v>70.817517537455274</v>
      </c>
      <c r="G230" s="447">
        <f t="shared" si="91"/>
        <v>70.748458209874556</v>
      </c>
      <c r="H230" s="447">
        <f t="shared" si="91"/>
        <v>70.627148863680347</v>
      </c>
      <c r="I230" s="447">
        <f t="shared" si="91"/>
        <v>70.297085691187235</v>
      </c>
      <c r="J230" s="447">
        <f t="shared" si="91"/>
        <v>70.739478143557704</v>
      </c>
      <c r="K230" s="447">
        <f t="shared" si="91"/>
        <v>71.626671339434751</v>
      </c>
      <c r="L230" s="447">
        <f t="shared" si="91"/>
        <v>71.896102781142062</v>
      </c>
      <c r="M230" s="447">
        <f t="shared" si="91"/>
        <v>71.744579074863253</v>
      </c>
      <c r="N230" s="447">
        <f t="shared" si="91"/>
        <v>71.67066893767506</v>
      </c>
      <c r="O230" s="320"/>
      <c r="P230" s="320"/>
    </row>
    <row r="231" spans="1:16">
      <c r="B231" s="331" t="str">
        <f t="shared" si="87"/>
        <v>30-34</v>
      </c>
      <c r="C231" s="447">
        <f t="shared" si="89"/>
        <v>74.538315803406491</v>
      </c>
      <c r="D231" s="447">
        <f t="shared" ref="D231:N231" si="92">D197+D163+D129</f>
        <v>73.247977993649997</v>
      </c>
      <c r="E231" s="447">
        <f t="shared" si="92"/>
        <v>72.877735554077887</v>
      </c>
      <c r="F231" s="447">
        <f t="shared" si="92"/>
        <v>72.686046634241293</v>
      </c>
      <c r="G231" s="447">
        <f t="shared" si="92"/>
        <v>71.564332511626247</v>
      </c>
      <c r="H231" s="447">
        <f t="shared" si="92"/>
        <v>70.552725936224505</v>
      </c>
      <c r="I231" s="447">
        <f t="shared" si="92"/>
        <v>69.591868968771749</v>
      </c>
      <c r="J231" s="447">
        <f t="shared" si="92"/>
        <v>69.162838582555153</v>
      </c>
      <c r="K231" s="447">
        <f t="shared" si="92"/>
        <v>69.14760714003036</v>
      </c>
      <c r="L231" s="447">
        <f t="shared" si="92"/>
        <v>69.006344650676482</v>
      </c>
      <c r="M231" s="447">
        <f t="shared" si="92"/>
        <v>68.749327076933525</v>
      </c>
      <c r="N231" s="447">
        <f t="shared" si="92"/>
        <v>68.571139577603688</v>
      </c>
      <c r="O231" s="320"/>
      <c r="P231" s="320"/>
    </row>
    <row r="232" spans="1:16">
      <c r="B232" s="331" t="str">
        <f t="shared" si="87"/>
        <v>35-39</v>
      </c>
      <c r="C232" s="447">
        <f t="shared" si="89"/>
        <v>66.829258134576207</v>
      </c>
      <c r="D232" s="447">
        <f t="shared" ref="D232:N232" si="93">D198+D164+D130</f>
        <v>67.153097428870609</v>
      </c>
      <c r="E232" s="447">
        <f t="shared" si="93"/>
        <v>68.161059611430559</v>
      </c>
      <c r="F232" s="447">
        <f t="shared" si="93"/>
        <v>68.868392809359946</v>
      </c>
      <c r="G232" s="447">
        <f t="shared" si="93"/>
        <v>68.344975183475896</v>
      </c>
      <c r="H232" s="447">
        <f t="shared" si="93"/>
        <v>67.643404786025684</v>
      </c>
      <c r="I232" s="447">
        <f t="shared" si="93"/>
        <v>66.816503153639871</v>
      </c>
      <c r="J232" s="447">
        <f t="shared" si="93"/>
        <v>66.248411431730773</v>
      </c>
      <c r="K232" s="447">
        <f t="shared" si="93"/>
        <v>65.903382402079018</v>
      </c>
      <c r="L232" s="447">
        <f t="shared" si="93"/>
        <v>65.473134741984566</v>
      </c>
      <c r="M232" s="447">
        <f t="shared" si="93"/>
        <v>65.004902847971621</v>
      </c>
      <c r="N232" s="447">
        <f t="shared" si="93"/>
        <v>64.636654867182727</v>
      </c>
      <c r="O232" s="320"/>
      <c r="P232" s="320"/>
    </row>
    <row r="233" spans="1:16">
      <c r="B233" s="331" t="str">
        <f t="shared" si="87"/>
        <v>40-44</v>
      </c>
      <c r="C233" s="447">
        <f t="shared" si="89"/>
        <v>61.447855384308745</v>
      </c>
      <c r="D233" s="447">
        <f t="shared" ref="D233:N233" si="94">D199+D165+D131</f>
        <v>61.501579236279298</v>
      </c>
      <c r="E233" s="447">
        <f t="shared" si="94"/>
        <v>62.498603649599985</v>
      </c>
      <c r="F233" s="447">
        <f t="shared" si="94"/>
        <v>63.425749681501166</v>
      </c>
      <c r="G233" s="447">
        <f t="shared" si="94"/>
        <v>63.317592368050683</v>
      </c>
      <c r="H233" s="447">
        <f t="shared" si="94"/>
        <v>63.04355171244314</v>
      </c>
      <c r="I233" s="447">
        <f t="shared" si="94"/>
        <v>62.602639745595525</v>
      </c>
      <c r="J233" s="447">
        <f t="shared" si="94"/>
        <v>62.303638338337443</v>
      </c>
      <c r="K233" s="447">
        <f t="shared" si="94"/>
        <v>62.104250447459798</v>
      </c>
      <c r="L233" s="447">
        <f t="shared" si="94"/>
        <v>61.747217960131998</v>
      </c>
      <c r="M233" s="447">
        <f t="shared" si="94"/>
        <v>61.298404732930081</v>
      </c>
      <c r="N233" s="447">
        <f t="shared" si="94"/>
        <v>60.900318730010888</v>
      </c>
      <c r="O233" s="320"/>
      <c r="P233" s="320"/>
    </row>
    <row r="234" spans="1:16">
      <c r="B234" s="331" t="str">
        <f t="shared" si="87"/>
        <v>45-49</v>
      </c>
      <c r="C234" s="447">
        <f t="shared" si="89"/>
        <v>47.078330008745667</v>
      </c>
      <c r="D234" s="447">
        <f t="shared" ref="D234:N234" si="95">D200+D166+D132</f>
        <v>50.475574254273269</v>
      </c>
      <c r="E234" s="447">
        <f t="shared" si="95"/>
        <v>53.749921086519095</v>
      </c>
      <c r="F234" s="447">
        <f t="shared" si="95"/>
        <v>56.376107778436342</v>
      </c>
      <c r="G234" s="447">
        <f t="shared" si="95"/>
        <v>57.651573738701529</v>
      </c>
      <c r="H234" s="447">
        <f t="shared" si="95"/>
        <v>58.465192434083924</v>
      </c>
      <c r="I234" s="447">
        <f t="shared" si="95"/>
        <v>58.898374625522493</v>
      </c>
      <c r="J234" s="447">
        <f t="shared" si="95"/>
        <v>59.286150056486953</v>
      </c>
      <c r="K234" s="447">
        <f t="shared" si="95"/>
        <v>59.621711478217819</v>
      </c>
      <c r="L234" s="447">
        <f t="shared" si="95"/>
        <v>59.689047369480527</v>
      </c>
      <c r="M234" s="447">
        <f t="shared" si="95"/>
        <v>59.565832021334252</v>
      </c>
      <c r="N234" s="447">
        <f t="shared" si="95"/>
        <v>59.400715563960617</v>
      </c>
      <c r="O234" s="320"/>
      <c r="P234" s="320"/>
    </row>
    <row r="235" spans="1:16">
      <c r="B235" s="331" t="str">
        <f t="shared" si="87"/>
        <v>50-54</v>
      </c>
      <c r="C235" s="447">
        <f t="shared" si="89"/>
        <v>49.314919857680778</v>
      </c>
      <c r="D235" s="447">
        <f t="shared" ref="D235:N235" si="96">D201+D167+D133</f>
        <v>49.057182424292236</v>
      </c>
      <c r="E235" s="447">
        <f t="shared" si="96"/>
        <v>50.251339088004379</v>
      </c>
      <c r="F235" s="447">
        <f t="shared" si="96"/>
        <v>51.859299426527876</v>
      </c>
      <c r="G235" s="447">
        <f t="shared" si="96"/>
        <v>52.929530375082592</v>
      </c>
      <c r="H235" s="447">
        <f t="shared" si="96"/>
        <v>53.891207052016284</v>
      </c>
      <c r="I235" s="447">
        <f t="shared" si="96"/>
        <v>54.660584689662599</v>
      </c>
      <c r="J235" s="447">
        <f t="shared" si="96"/>
        <v>55.459133952082546</v>
      </c>
      <c r="K235" s="447">
        <f t="shared" si="96"/>
        <v>56.221833183873201</v>
      </c>
      <c r="L235" s="447">
        <f t="shared" si="96"/>
        <v>56.709137477394989</v>
      </c>
      <c r="M235" s="447">
        <f t="shared" si="96"/>
        <v>56.975568791276906</v>
      </c>
      <c r="N235" s="447">
        <f t="shared" si="96"/>
        <v>57.152012017718249</v>
      </c>
      <c r="O235" s="320"/>
      <c r="P235" s="320"/>
    </row>
    <row r="236" spans="1:16">
      <c r="B236" s="331" t="str">
        <f t="shared" si="87"/>
        <v>55-59</v>
      </c>
      <c r="C236" s="447">
        <f t="shared" si="89"/>
        <v>83.764873680740607</v>
      </c>
      <c r="D236" s="447">
        <f t="shared" ref="D236:N236" si="97">D202+D168+D134</f>
        <v>73.862659900027325</v>
      </c>
      <c r="E236" s="447">
        <f t="shared" si="97"/>
        <v>68.111540695912197</v>
      </c>
      <c r="F236" s="447">
        <f t="shared" si="97"/>
        <v>65.071287874254395</v>
      </c>
      <c r="G236" s="447">
        <f t="shared" si="97"/>
        <v>63.30452140006112</v>
      </c>
      <c r="H236" s="447">
        <f t="shared" si="97"/>
        <v>62.508662907315099</v>
      </c>
      <c r="I236" s="447">
        <f t="shared" si="97"/>
        <v>62.246578186039166</v>
      </c>
      <c r="J236" s="447">
        <f t="shared" si="97"/>
        <v>62.588847870666775</v>
      </c>
      <c r="K236" s="447">
        <f t="shared" si="97"/>
        <v>63.24356806481191</v>
      </c>
      <c r="L236" s="447">
        <f t="shared" si="97"/>
        <v>63.741659117372585</v>
      </c>
      <c r="M236" s="447">
        <f t="shared" si="97"/>
        <v>64.092253484774432</v>
      </c>
      <c r="N236" s="447">
        <f t="shared" si="97"/>
        <v>64.425253678750181</v>
      </c>
      <c r="O236" s="320"/>
      <c r="P236" s="320"/>
    </row>
    <row r="237" spans="1:16">
      <c r="B237" s="331" t="str">
        <f t="shared" si="87"/>
        <v>60-64</v>
      </c>
      <c r="C237" s="447">
        <f t="shared" si="89"/>
        <v>46.578779698785318</v>
      </c>
      <c r="D237" s="447">
        <f t="shared" ref="D237:N237" si="98">D203+D169+D135</f>
        <v>46.496704214521642</v>
      </c>
      <c r="E237" s="447">
        <f t="shared" si="98"/>
        <v>44.451668533914848</v>
      </c>
      <c r="F237" s="447">
        <f t="shared" si="98"/>
        <v>42.25214897127313</v>
      </c>
      <c r="G237" s="447">
        <f t="shared" si="98"/>
        <v>40.203425613480647</v>
      </c>
      <c r="H237" s="447">
        <f t="shared" si="98"/>
        <v>38.661155683955826</v>
      </c>
      <c r="I237" s="447">
        <f t="shared" si="98"/>
        <v>37.584785944363254</v>
      </c>
      <c r="J237" s="447">
        <f t="shared" si="98"/>
        <v>37.154214578598456</v>
      </c>
      <c r="K237" s="447">
        <f t="shared" si="98"/>
        <v>37.137237557958301</v>
      </c>
      <c r="L237" s="447">
        <f t="shared" si="98"/>
        <v>37.130098456168859</v>
      </c>
      <c r="M237" s="447">
        <f t="shared" si="98"/>
        <v>37.13237646184519</v>
      </c>
      <c r="N237" s="447">
        <f t="shared" si="98"/>
        <v>37.23117492010136</v>
      </c>
      <c r="O237" s="320"/>
      <c r="P237" s="320"/>
    </row>
    <row r="238" spans="1:16">
      <c r="B238" s="331" t="str">
        <f t="shared" si="87"/>
        <v>65 plus</v>
      </c>
      <c r="C238" s="447">
        <f t="shared" si="89"/>
        <v>10.784284579026606</v>
      </c>
      <c r="D238" s="447">
        <f t="shared" ref="D238:N238" si="99">D204+D170+D136</f>
        <v>14.40905835569599</v>
      </c>
      <c r="E238" s="447">
        <f t="shared" si="99"/>
        <v>16.8354016935175</v>
      </c>
      <c r="F238" s="447">
        <f t="shared" si="99"/>
        <v>18.19854387122318</v>
      </c>
      <c r="G238" s="447">
        <f t="shared" si="99"/>
        <v>18.672128507142812</v>
      </c>
      <c r="H238" s="447">
        <f t="shared" si="99"/>
        <v>18.668105248446942</v>
      </c>
      <c r="I238" s="447">
        <f t="shared" si="99"/>
        <v>18.42076028446548</v>
      </c>
      <c r="J238" s="447">
        <f t="shared" si="99"/>
        <v>18.200592030898402</v>
      </c>
      <c r="K238" s="447">
        <f t="shared" si="99"/>
        <v>18.058524771433131</v>
      </c>
      <c r="L238" s="447">
        <f t="shared" si="99"/>
        <v>17.904079096001325</v>
      </c>
      <c r="M238" s="447">
        <f t="shared" si="99"/>
        <v>17.759881129059472</v>
      </c>
      <c r="N238" s="447">
        <f t="shared" si="99"/>
        <v>17.676390315907177</v>
      </c>
      <c r="O238" s="320"/>
      <c r="P238" s="320"/>
    </row>
    <row r="239" spans="1:16">
      <c r="B239" s="331" t="str">
        <f t="shared" si="87"/>
        <v>Total</v>
      </c>
      <c r="C239" s="447">
        <f>SUM(C229:C238)</f>
        <v>542.64841242882221</v>
      </c>
      <c r="D239" s="447">
        <f t="shared" ref="D239:N239" si="100">SUM(D229:D238)</f>
        <v>538.81914791300528</v>
      </c>
      <c r="E239" s="447">
        <f t="shared" si="100"/>
        <v>542.95563275714596</v>
      </c>
      <c r="F239" s="447">
        <f t="shared" si="100"/>
        <v>549.393522854558</v>
      </c>
      <c r="G239" s="447">
        <f t="shared" si="100"/>
        <v>548.51975987837341</v>
      </c>
      <c r="H239" s="447">
        <f t="shared" si="100"/>
        <v>546.87284947108299</v>
      </c>
      <c r="I239" s="447">
        <f t="shared" si="100"/>
        <v>544.27311330042176</v>
      </c>
      <c r="J239" s="447">
        <f t="shared" si="100"/>
        <v>545.16171094994957</v>
      </c>
      <c r="K239" s="447">
        <f t="shared" si="100"/>
        <v>548.13080947377262</v>
      </c>
      <c r="L239" s="447">
        <f t="shared" si="100"/>
        <v>548.58827020122101</v>
      </c>
      <c r="M239" s="447">
        <f t="shared" si="100"/>
        <v>547.40067902686781</v>
      </c>
      <c r="N239" s="447">
        <f t="shared" si="100"/>
        <v>546.65613221032049</v>
      </c>
      <c r="O239" s="320"/>
      <c r="P239" s="320"/>
    </row>
    <row r="240" spans="1:16">
      <c r="A240" s="302">
        <f>SUM(C240:N240)</f>
        <v>0</v>
      </c>
      <c r="C240" s="302">
        <f>SUM(C229:C238)-C239</f>
        <v>0</v>
      </c>
      <c r="D240" s="302">
        <f t="shared" ref="D240:N240" si="101">SUM(D229:D238)-D239</f>
        <v>0</v>
      </c>
      <c r="E240" s="302">
        <f t="shared" si="101"/>
        <v>0</v>
      </c>
      <c r="F240" s="302">
        <f t="shared" si="101"/>
        <v>0</v>
      </c>
      <c r="G240" s="302">
        <f t="shared" si="101"/>
        <v>0</v>
      </c>
      <c r="H240" s="302">
        <f t="shared" si="101"/>
        <v>0</v>
      </c>
      <c r="I240" s="302">
        <f t="shared" si="101"/>
        <v>0</v>
      </c>
      <c r="J240" s="302">
        <f t="shared" si="101"/>
        <v>0</v>
      </c>
      <c r="K240" s="302">
        <f t="shared" si="101"/>
        <v>0</v>
      </c>
      <c r="L240" s="302">
        <f t="shared" si="101"/>
        <v>0</v>
      </c>
      <c r="M240" s="302">
        <f t="shared" si="101"/>
        <v>0</v>
      </c>
      <c r="N240" s="302">
        <f t="shared" si="101"/>
        <v>0</v>
      </c>
    </row>
    <row r="242" spans="2:14" ht="15.75">
      <c r="B242" s="333" t="s">
        <v>167</v>
      </c>
      <c r="C242" s="322"/>
      <c r="D242" s="322"/>
      <c r="E242" s="322"/>
      <c r="F242" s="322"/>
      <c r="G242" s="322"/>
      <c r="H242" s="332"/>
      <c r="I242" s="322"/>
      <c r="J242" s="322"/>
      <c r="K242" s="322"/>
      <c r="L242" s="322"/>
    </row>
    <row r="243" spans="2:14">
      <c r="C243" s="322"/>
      <c r="D243" s="322"/>
      <c r="E243" s="322"/>
      <c r="F243" s="322"/>
      <c r="G243" s="322"/>
      <c r="H243" s="332"/>
      <c r="I243" s="322"/>
      <c r="J243" s="322"/>
      <c r="K243" s="322"/>
      <c r="L243" s="322"/>
    </row>
    <row r="244" spans="2:14">
      <c r="B244" s="334" t="s">
        <v>46</v>
      </c>
      <c r="C244" s="322"/>
      <c r="D244" s="322"/>
      <c r="E244" s="322"/>
      <c r="F244" s="322"/>
      <c r="G244" s="322"/>
      <c r="H244" s="332"/>
      <c r="I244" s="322"/>
      <c r="J244" s="322"/>
      <c r="K244" s="322"/>
      <c r="L244" s="322"/>
    </row>
    <row r="245" spans="2:14">
      <c r="C245" s="322"/>
      <c r="D245" s="322"/>
      <c r="E245" s="322"/>
      <c r="F245" s="322"/>
      <c r="G245" s="322"/>
      <c r="H245" s="332"/>
      <c r="I245" s="322"/>
      <c r="J245" s="322"/>
      <c r="K245" s="322"/>
      <c r="L245" s="322"/>
    </row>
    <row r="246" spans="2:14">
      <c r="B246" s="331" t="str">
        <f t="shared" ref="B246:B257" si="102">B212</f>
        <v>Age group</v>
      </c>
      <c r="C246" s="331" t="str">
        <f t="shared" ref="C246:N246" si="103">C212</f>
        <v>2017/18</v>
      </c>
      <c r="D246" s="331" t="str">
        <f t="shared" si="103"/>
        <v>2018/19</v>
      </c>
      <c r="E246" s="331" t="str">
        <f t="shared" si="103"/>
        <v>2019/20</v>
      </c>
      <c r="F246" s="331" t="str">
        <f t="shared" si="103"/>
        <v>2020/21</v>
      </c>
      <c r="G246" s="331" t="str">
        <f t="shared" si="103"/>
        <v>2021/22</v>
      </c>
      <c r="H246" s="331" t="str">
        <f t="shared" si="103"/>
        <v>2022/23</v>
      </c>
      <c r="I246" s="331" t="str">
        <f t="shared" si="103"/>
        <v>2023/24</v>
      </c>
      <c r="J246" s="331" t="str">
        <f t="shared" si="103"/>
        <v>2024/25</v>
      </c>
      <c r="K246" s="331" t="str">
        <f t="shared" si="103"/>
        <v>2025/26</v>
      </c>
      <c r="L246" s="331" t="str">
        <f t="shared" si="103"/>
        <v>2026/27</v>
      </c>
      <c r="M246" s="331" t="str">
        <f t="shared" si="103"/>
        <v>2027/28</v>
      </c>
      <c r="N246" s="331" t="str">
        <f t="shared" si="103"/>
        <v>2028/29</v>
      </c>
    </row>
    <row r="247" spans="2:14">
      <c r="B247" s="331" t="str">
        <f t="shared" si="102"/>
        <v>20-24</v>
      </c>
      <c r="C247" s="447">
        <f t="shared" ref="C247:C256" si="104">C77-C213</f>
        <v>59.065981233486475</v>
      </c>
      <c r="D247" s="447">
        <f t="shared" ref="D247:N247" si="105">D77-D213</f>
        <v>82.867442788390548</v>
      </c>
      <c r="E247" s="447">
        <f t="shared" si="105"/>
        <v>101.42660557146887</v>
      </c>
      <c r="F247" s="447">
        <f t="shared" si="105"/>
        <v>117.57935977522033</v>
      </c>
      <c r="G247" s="447">
        <f t="shared" si="105"/>
        <v>127.68869952108625</v>
      </c>
      <c r="H247" s="447">
        <f t="shared" si="105"/>
        <v>133.69609470549815</v>
      </c>
      <c r="I247" s="447">
        <f t="shared" si="105"/>
        <v>136.68007804359161</v>
      </c>
      <c r="J247" s="447">
        <f t="shared" si="105"/>
        <v>140.81681871762842</v>
      </c>
      <c r="K247" s="447">
        <f t="shared" si="105"/>
        <v>145.16361126441913</v>
      </c>
      <c r="L247" s="447">
        <f t="shared" si="105"/>
        <v>146.55341631631188</v>
      </c>
      <c r="M247" s="447">
        <f t="shared" si="105"/>
        <v>146.31567649354588</v>
      </c>
      <c r="N247" s="447">
        <f t="shared" si="105"/>
        <v>146.35957251305132</v>
      </c>
    </row>
    <row r="248" spans="2:14">
      <c r="B248" s="331" t="str">
        <f t="shared" si="102"/>
        <v>25-29</v>
      </c>
      <c r="C248" s="447">
        <f t="shared" si="104"/>
        <v>227.30154257268663</v>
      </c>
      <c r="D248" s="447">
        <f t="shared" ref="D248:N248" si="106">D78-D214</f>
        <v>229.52215425939616</v>
      </c>
      <c r="E248" s="447">
        <f t="shared" si="106"/>
        <v>237.51440272553475</v>
      </c>
      <c r="F248" s="447">
        <f t="shared" si="106"/>
        <v>250.83293424053795</v>
      </c>
      <c r="G248" s="447">
        <f t="shared" si="106"/>
        <v>261.75819471227101</v>
      </c>
      <c r="H248" s="447">
        <f t="shared" si="106"/>
        <v>270.05387243874804</v>
      </c>
      <c r="I248" s="447">
        <f t="shared" si="106"/>
        <v>275.52370460225359</v>
      </c>
      <c r="J248" s="447">
        <f t="shared" si="106"/>
        <v>282.68981001501959</v>
      </c>
      <c r="K248" s="447">
        <f t="shared" si="106"/>
        <v>290.50700614953109</v>
      </c>
      <c r="L248" s="447">
        <f t="shared" si="106"/>
        <v>294.77321922337853</v>
      </c>
      <c r="M248" s="447">
        <f t="shared" si="106"/>
        <v>296.5250585762189</v>
      </c>
      <c r="N248" s="447">
        <f t="shared" si="106"/>
        <v>298.02731283652747</v>
      </c>
    </row>
    <row r="249" spans="2:14">
      <c r="B249" s="331" t="str">
        <f t="shared" si="102"/>
        <v>30-34</v>
      </c>
      <c r="C249" s="447">
        <f t="shared" si="104"/>
        <v>342.2808056667572</v>
      </c>
      <c r="D249" s="447">
        <f t="shared" ref="D249:N249" si="107">D79-D215</f>
        <v>330.43612443468993</v>
      </c>
      <c r="E249" s="447">
        <f t="shared" si="107"/>
        <v>322.96535150277521</v>
      </c>
      <c r="F249" s="447">
        <f t="shared" si="107"/>
        <v>321.63270003100234</v>
      </c>
      <c r="G249" s="447">
        <f t="shared" si="107"/>
        <v>322.10320398509572</v>
      </c>
      <c r="H249" s="447">
        <f t="shared" si="107"/>
        <v>323.5923075418836</v>
      </c>
      <c r="I249" s="447">
        <f t="shared" si="107"/>
        <v>325.24042739615021</v>
      </c>
      <c r="J249" s="447">
        <f t="shared" si="107"/>
        <v>329.12408345646662</v>
      </c>
      <c r="K249" s="447">
        <f t="shared" si="107"/>
        <v>334.50184067970628</v>
      </c>
      <c r="L249" s="447">
        <f t="shared" si="107"/>
        <v>338.61115463202543</v>
      </c>
      <c r="M249" s="447">
        <f t="shared" si="107"/>
        <v>341.48201008288424</v>
      </c>
      <c r="N249" s="447">
        <f t="shared" si="107"/>
        <v>344.11360644957233</v>
      </c>
    </row>
    <row r="250" spans="2:14">
      <c r="B250" s="331" t="str">
        <f t="shared" si="102"/>
        <v>35-39</v>
      </c>
      <c r="C250" s="447">
        <f t="shared" si="104"/>
        <v>350.78485564746137</v>
      </c>
      <c r="D250" s="447">
        <f t="shared" ref="D250:N250" si="108">D80-D216</f>
        <v>346.88028251586411</v>
      </c>
      <c r="E250" s="447">
        <f t="shared" si="108"/>
        <v>342.03568668427022</v>
      </c>
      <c r="F250" s="447">
        <f t="shared" si="108"/>
        <v>339.03973904656658</v>
      </c>
      <c r="G250" s="447">
        <f t="shared" si="108"/>
        <v>335.89207364081847</v>
      </c>
      <c r="H250" s="447">
        <f t="shared" si="108"/>
        <v>333.04778144709826</v>
      </c>
      <c r="I250" s="447">
        <f t="shared" si="108"/>
        <v>330.54588692868055</v>
      </c>
      <c r="J250" s="447">
        <f t="shared" si="108"/>
        <v>330.07738803565547</v>
      </c>
      <c r="K250" s="447">
        <f t="shared" si="108"/>
        <v>331.21613160321834</v>
      </c>
      <c r="L250" s="447">
        <f t="shared" si="108"/>
        <v>332.17259928692681</v>
      </c>
      <c r="M250" s="447">
        <f t="shared" si="108"/>
        <v>332.99962119883418</v>
      </c>
      <c r="N250" s="447">
        <f t="shared" si="108"/>
        <v>334.26104390276424</v>
      </c>
    </row>
    <row r="251" spans="2:14">
      <c r="B251" s="331" t="str">
        <f t="shared" si="102"/>
        <v>40-44</v>
      </c>
      <c r="C251" s="447">
        <f t="shared" si="104"/>
        <v>337.27617493533404</v>
      </c>
      <c r="D251" s="447">
        <f t="shared" ref="D251:N251" si="109">D81-D217</f>
        <v>331.89816268172166</v>
      </c>
      <c r="E251" s="447">
        <f t="shared" si="109"/>
        <v>327.19718023841938</v>
      </c>
      <c r="F251" s="447">
        <f t="shared" si="109"/>
        <v>324.60073203560438</v>
      </c>
      <c r="G251" s="447">
        <f t="shared" si="109"/>
        <v>321.58056714342825</v>
      </c>
      <c r="H251" s="447">
        <f t="shared" si="109"/>
        <v>318.28667048751788</v>
      </c>
      <c r="I251" s="447">
        <f t="shared" si="109"/>
        <v>314.78706510335348</v>
      </c>
      <c r="J251" s="447">
        <f t="shared" si="109"/>
        <v>312.63950225255428</v>
      </c>
      <c r="K251" s="447">
        <f t="shared" si="109"/>
        <v>311.59970168710953</v>
      </c>
      <c r="L251" s="447">
        <f t="shared" si="109"/>
        <v>310.30970410969906</v>
      </c>
      <c r="M251" s="447">
        <f t="shared" si="109"/>
        <v>309.00087566670265</v>
      </c>
      <c r="N251" s="447">
        <f t="shared" si="109"/>
        <v>308.28098509785167</v>
      </c>
    </row>
    <row r="252" spans="2:14">
      <c r="B252" s="331" t="str">
        <f t="shared" si="102"/>
        <v>45-49</v>
      </c>
      <c r="C252" s="447">
        <f t="shared" si="104"/>
        <v>271.4087706117806</v>
      </c>
      <c r="D252" s="447">
        <f t="shared" ref="D252:N252" si="110">D82-D218</f>
        <v>275.32858965252188</v>
      </c>
      <c r="E252" s="447">
        <f t="shared" si="110"/>
        <v>277.09761230621592</v>
      </c>
      <c r="F252" s="447">
        <f t="shared" si="110"/>
        <v>279.02058359333472</v>
      </c>
      <c r="G252" s="447">
        <f t="shared" si="110"/>
        <v>279.503428944983</v>
      </c>
      <c r="H252" s="447">
        <f t="shared" si="110"/>
        <v>278.90933172268177</v>
      </c>
      <c r="I252" s="447">
        <f t="shared" si="110"/>
        <v>277.42877875633502</v>
      </c>
      <c r="J252" s="447">
        <f t="shared" si="110"/>
        <v>276.43130463774406</v>
      </c>
      <c r="K252" s="447">
        <f t="shared" si="110"/>
        <v>275.82021710170511</v>
      </c>
      <c r="L252" s="447">
        <f t="shared" si="110"/>
        <v>274.58791974775801</v>
      </c>
      <c r="M252" s="447">
        <f t="shared" si="110"/>
        <v>273.01712199540549</v>
      </c>
      <c r="N252" s="447">
        <f t="shared" si="110"/>
        <v>271.70386567814029</v>
      </c>
    </row>
    <row r="253" spans="2:14">
      <c r="B253" s="331" t="str">
        <f t="shared" si="102"/>
        <v>50-54</v>
      </c>
      <c r="C253" s="447">
        <f t="shared" si="104"/>
        <v>223.05725551669431</v>
      </c>
      <c r="D253" s="447">
        <f t="shared" ref="D253:N253" si="111">D83-D219</f>
        <v>217.40141199239673</v>
      </c>
      <c r="E253" s="447">
        <f t="shared" si="111"/>
        <v>213.92935167586879</v>
      </c>
      <c r="F253" s="447">
        <f t="shared" si="111"/>
        <v>212.9054549552518</v>
      </c>
      <c r="G253" s="447">
        <f t="shared" si="111"/>
        <v>212.19099595624726</v>
      </c>
      <c r="H253" s="447">
        <f t="shared" si="111"/>
        <v>211.48033593023894</v>
      </c>
      <c r="I253" s="447">
        <f t="shared" si="111"/>
        <v>210.54585831420704</v>
      </c>
      <c r="J253" s="447">
        <f t="shared" si="111"/>
        <v>210.15279511629041</v>
      </c>
      <c r="K253" s="447">
        <f t="shared" si="111"/>
        <v>210.07219320702771</v>
      </c>
      <c r="L253" s="447">
        <f t="shared" si="111"/>
        <v>209.47037561579572</v>
      </c>
      <c r="M253" s="447">
        <f t="shared" si="111"/>
        <v>208.50737757391178</v>
      </c>
      <c r="N253" s="447">
        <f t="shared" si="111"/>
        <v>207.60116909030927</v>
      </c>
    </row>
    <row r="254" spans="2:14">
      <c r="B254" s="331" t="str">
        <f t="shared" si="102"/>
        <v>55-59</v>
      </c>
      <c r="C254" s="447">
        <f t="shared" si="104"/>
        <v>133.54485971057761</v>
      </c>
      <c r="D254" s="447">
        <f t="shared" ref="D254:N254" si="112">D84-D220</f>
        <v>120.34323292028738</v>
      </c>
      <c r="E254" s="447">
        <f t="shared" si="112"/>
        <v>111.59255769614077</v>
      </c>
      <c r="F254" s="447">
        <f t="shared" si="112"/>
        <v>106.35884534746128</v>
      </c>
      <c r="G254" s="447">
        <f t="shared" si="112"/>
        <v>102.86293851398129</v>
      </c>
      <c r="H254" s="447">
        <f t="shared" si="112"/>
        <v>100.48346858919467</v>
      </c>
      <c r="I254" s="447">
        <f t="shared" si="112"/>
        <v>98.757019399930073</v>
      </c>
      <c r="J254" s="447">
        <f t="shared" si="112"/>
        <v>97.879537260825472</v>
      </c>
      <c r="K254" s="447">
        <f t="shared" si="112"/>
        <v>97.505533362542792</v>
      </c>
      <c r="L254" s="447">
        <f t="shared" si="112"/>
        <v>97.019052790784826</v>
      </c>
      <c r="M254" s="447">
        <f t="shared" si="112"/>
        <v>96.453937603048459</v>
      </c>
      <c r="N254" s="447">
        <f t="shared" si="112"/>
        <v>95.999828884552414</v>
      </c>
    </row>
    <row r="255" spans="2:14">
      <c r="B255" s="331" t="str">
        <f t="shared" si="102"/>
        <v>60-64</v>
      </c>
      <c r="C255" s="447">
        <f t="shared" si="104"/>
        <v>48.480175070845107</v>
      </c>
      <c r="D255" s="447">
        <f t="shared" ref="D255:N255" si="113">D85-D221</f>
        <v>44.85398850754261</v>
      </c>
      <c r="E255" s="447">
        <f t="shared" si="113"/>
        <v>41.332761459498172</v>
      </c>
      <c r="F255" s="447">
        <f t="shared" si="113"/>
        <v>38.670506029516616</v>
      </c>
      <c r="G255" s="447">
        <f t="shared" si="113"/>
        <v>36.549128173680288</v>
      </c>
      <c r="H255" s="447">
        <f t="shared" si="113"/>
        <v>34.937869901664449</v>
      </c>
      <c r="I255" s="447">
        <f t="shared" si="113"/>
        <v>33.72139192572142</v>
      </c>
      <c r="J255" s="447">
        <f t="shared" si="113"/>
        <v>33.018776630178451</v>
      </c>
      <c r="K255" s="447">
        <f t="shared" si="113"/>
        <v>32.646277216017495</v>
      </c>
      <c r="L255" s="447">
        <f t="shared" si="113"/>
        <v>32.291532671481754</v>
      </c>
      <c r="M255" s="447">
        <f t="shared" si="113"/>
        <v>31.963020641313236</v>
      </c>
      <c r="N255" s="447">
        <f t="shared" si="113"/>
        <v>31.737074682887435</v>
      </c>
    </row>
    <row r="256" spans="2:14">
      <c r="B256" s="331" t="str">
        <f t="shared" si="102"/>
        <v>65 plus</v>
      </c>
      <c r="C256" s="447">
        <f t="shared" si="104"/>
        <v>17.394873068295574</v>
      </c>
      <c r="D256" s="447">
        <f t="shared" ref="D256:N256" si="114">D86-D222</f>
        <v>17.490927174489059</v>
      </c>
      <c r="E256" s="447">
        <f t="shared" si="114"/>
        <v>17.078432421289492</v>
      </c>
      <c r="F256" s="447">
        <f t="shared" si="114"/>
        <v>16.532890102550134</v>
      </c>
      <c r="G256" s="447">
        <f t="shared" si="114"/>
        <v>15.849055767145764</v>
      </c>
      <c r="H256" s="447">
        <f t="shared" si="114"/>
        <v>15.151256908572801</v>
      </c>
      <c r="I256" s="447">
        <f t="shared" si="114"/>
        <v>14.502748723274093</v>
      </c>
      <c r="J256" s="447">
        <f t="shared" si="114"/>
        <v>14.021632321045812</v>
      </c>
      <c r="K256" s="447">
        <f t="shared" si="114"/>
        <v>13.686693799861834</v>
      </c>
      <c r="L256" s="447">
        <f t="shared" si="114"/>
        <v>13.394230187424869</v>
      </c>
      <c r="M256" s="447">
        <f t="shared" si="114"/>
        <v>13.141955217060872</v>
      </c>
      <c r="N256" s="447">
        <f t="shared" si="114"/>
        <v>12.956262548004879</v>
      </c>
    </row>
    <row r="257" spans="1:14">
      <c r="B257" s="331" t="str">
        <f t="shared" si="102"/>
        <v>Total</v>
      </c>
      <c r="C257" s="447">
        <f>SUM(C247:C256)</f>
        <v>2010.5952940339187</v>
      </c>
      <c r="D257" s="447">
        <f t="shared" ref="D257:N257" si="115">SUM(D247:D256)</f>
        <v>1997.0223169273004</v>
      </c>
      <c r="E257" s="447">
        <f t="shared" si="115"/>
        <v>1992.1699422814816</v>
      </c>
      <c r="F257" s="447">
        <f t="shared" si="115"/>
        <v>2007.1737451570461</v>
      </c>
      <c r="G257" s="447">
        <f t="shared" si="115"/>
        <v>2015.9782863587375</v>
      </c>
      <c r="H257" s="447">
        <f t="shared" si="115"/>
        <v>2019.6389896730984</v>
      </c>
      <c r="I257" s="447">
        <f t="shared" si="115"/>
        <v>2017.7329591934972</v>
      </c>
      <c r="J257" s="447">
        <f t="shared" si="115"/>
        <v>2026.8516484434087</v>
      </c>
      <c r="K257" s="447">
        <f t="shared" si="115"/>
        <v>2042.7192060711395</v>
      </c>
      <c r="L257" s="447">
        <f t="shared" si="115"/>
        <v>2049.1832045815868</v>
      </c>
      <c r="M257" s="447">
        <f t="shared" si="115"/>
        <v>2049.4066550489256</v>
      </c>
      <c r="N257" s="447">
        <f t="shared" si="115"/>
        <v>2051.0407216836616</v>
      </c>
    </row>
    <row r="258" spans="1:14">
      <c r="A258" s="302">
        <f>SUM(C258:N258)</f>
        <v>0</v>
      </c>
      <c r="C258" s="302">
        <f>SUM(C247:C256)-C257</f>
        <v>0</v>
      </c>
      <c r="D258" s="302">
        <f t="shared" ref="D258:N258" si="116">SUM(D247:D256)-D257</f>
        <v>0</v>
      </c>
      <c r="E258" s="302">
        <f t="shared" si="116"/>
        <v>0</v>
      </c>
      <c r="F258" s="302">
        <f t="shared" si="116"/>
        <v>0</v>
      </c>
      <c r="G258" s="302">
        <f t="shared" si="116"/>
        <v>0</v>
      </c>
      <c r="H258" s="302">
        <f t="shared" si="116"/>
        <v>0</v>
      </c>
      <c r="I258" s="302">
        <f t="shared" si="116"/>
        <v>0</v>
      </c>
      <c r="J258" s="302">
        <f t="shared" si="116"/>
        <v>0</v>
      </c>
      <c r="K258" s="302">
        <f t="shared" si="116"/>
        <v>0</v>
      </c>
      <c r="L258" s="302">
        <f t="shared" si="116"/>
        <v>0</v>
      </c>
      <c r="M258" s="302">
        <f t="shared" si="116"/>
        <v>0</v>
      </c>
      <c r="N258" s="302">
        <f t="shared" si="116"/>
        <v>0</v>
      </c>
    </row>
    <row r="260" spans="1:14">
      <c r="B260" s="334" t="s">
        <v>47</v>
      </c>
      <c r="C260" s="322"/>
      <c r="D260" s="322"/>
      <c r="E260" s="322"/>
      <c r="F260" s="322"/>
      <c r="G260" s="322"/>
      <c r="H260" s="332"/>
      <c r="I260" s="322"/>
      <c r="J260" s="322"/>
      <c r="K260" s="322"/>
      <c r="L260" s="322"/>
    </row>
    <row r="261" spans="1:14">
      <c r="C261" s="322"/>
      <c r="D261" s="322"/>
      <c r="E261" s="322"/>
      <c r="F261" s="322"/>
      <c r="G261" s="322"/>
      <c r="H261" s="332"/>
      <c r="I261" s="322"/>
      <c r="J261" s="322"/>
      <c r="K261" s="322"/>
      <c r="L261" s="322"/>
    </row>
    <row r="262" spans="1:14">
      <c r="B262" s="331" t="str">
        <f t="shared" ref="B262:B273" si="117">B246</f>
        <v>Age group</v>
      </c>
      <c r="C262" s="331" t="str">
        <f t="shared" ref="C262:N262" si="118">C246</f>
        <v>2017/18</v>
      </c>
      <c r="D262" s="331" t="str">
        <f t="shared" si="118"/>
        <v>2018/19</v>
      </c>
      <c r="E262" s="331" t="str">
        <f t="shared" si="118"/>
        <v>2019/20</v>
      </c>
      <c r="F262" s="331" t="str">
        <f t="shared" si="118"/>
        <v>2020/21</v>
      </c>
      <c r="G262" s="331" t="str">
        <f t="shared" si="118"/>
        <v>2021/22</v>
      </c>
      <c r="H262" s="331" t="str">
        <f t="shared" si="118"/>
        <v>2022/23</v>
      </c>
      <c r="I262" s="331" t="str">
        <f t="shared" si="118"/>
        <v>2023/24</v>
      </c>
      <c r="J262" s="331" t="str">
        <f t="shared" si="118"/>
        <v>2024/25</v>
      </c>
      <c r="K262" s="331" t="str">
        <f t="shared" si="118"/>
        <v>2025/26</v>
      </c>
      <c r="L262" s="331" t="str">
        <f t="shared" si="118"/>
        <v>2026/27</v>
      </c>
      <c r="M262" s="331" t="str">
        <f t="shared" si="118"/>
        <v>2027/28</v>
      </c>
      <c r="N262" s="331" t="str">
        <f t="shared" si="118"/>
        <v>2028/29</v>
      </c>
    </row>
    <row r="263" spans="1:14">
      <c r="B263" s="331" t="str">
        <f t="shared" si="117"/>
        <v>20-24</v>
      </c>
      <c r="C263" s="447">
        <f t="shared" ref="C263:C272" si="119">C93-C229</f>
        <v>209.45646339416666</v>
      </c>
      <c r="D263" s="447">
        <f t="shared" ref="D263:N263" si="120">D93-D229</f>
        <v>239.91185821439581</v>
      </c>
      <c r="E263" s="447">
        <f t="shared" si="120"/>
        <v>265.91556771476723</v>
      </c>
      <c r="F263" s="447">
        <f t="shared" si="120"/>
        <v>290.04027741725884</v>
      </c>
      <c r="G263" s="447">
        <f t="shared" si="120"/>
        <v>304.19918199582423</v>
      </c>
      <c r="H263" s="447">
        <f t="shared" si="120"/>
        <v>311.68689100510989</v>
      </c>
      <c r="I263" s="447">
        <f t="shared" si="120"/>
        <v>314.1785194749317</v>
      </c>
      <c r="J263" s="447">
        <f t="shared" si="120"/>
        <v>320.47224832629882</v>
      </c>
      <c r="K263" s="447">
        <f t="shared" si="120"/>
        <v>328.09933539529163</v>
      </c>
      <c r="L263" s="447">
        <f t="shared" si="120"/>
        <v>329.74052623760872</v>
      </c>
      <c r="M263" s="447">
        <f t="shared" si="120"/>
        <v>328.18328088722012</v>
      </c>
      <c r="N263" s="447">
        <f t="shared" si="120"/>
        <v>327.55898675322999</v>
      </c>
    </row>
    <row r="264" spans="1:14">
      <c r="B264" s="331" t="str">
        <f t="shared" si="117"/>
        <v>25-29</v>
      </c>
      <c r="C264" s="447">
        <f t="shared" si="119"/>
        <v>726.26012662558446</v>
      </c>
      <c r="D264" s="447">
        <f t="shared" ref="D264:N264" si="121">D94-D230</f>
        <v>684.60368084007985</v>
      </c>
      <c r="E264" s="447">
        <f t="shared" si="121"/>
        <v>665.41166284220037</v>
      </c>
      <c r="F264" s="447">
        <f t="shared" si="121"/>
        <v>663.56218273908723</v>
      </c>
      <c r="G264" s="447">
        <f t="shared" si="121"/>
        <v>662.91509484697463</v>
      </c>
      <c r="H264" s="447">
        <f t="shared" si="121"/>
        <v>661.77842277279888</v>
      </c>
      <c r="I264" s="447">
        <f t="shared" si="121"/>
        <v>658.68572132268821</v>
      </c>
      <c r="J264" s="447">
        <f t="shared" si="121"/>
        <v>662.83095136646932</v>
      </c>
      <c r="K264" s="447">
        <f t="shared" si="121"/>
        <v>671.1439772114669</v>
      </c>
      <c r="L264" s="447">
        <f t="shared" si="121"/>
        <v>673.6685575946085</v>
      </c>
      <c r="M264" s="447">
        <f t="shared" si="121"/>
        <v>672.24877609461578</v>
      </c>
      <c r="N264" s="447">
        <f t="shared" si="121"/>
        <v>671.55623597651299</v>
      </c>
    </row>
    <row r="265" spans="1:14">
      <c r="B265" s="331" t="str">
        <f t="shared" si="117"/>
        <v>30-34</v>
      </c>
      <c r="C265" s="447">
        <f t="shared" si="119"/>
        <v>853.44014080224872</v>
      </c>
      <c r="D265" s="447">
        <f t="shared" ref="D265:N265" si="122">D95-D231</f>
        <v>834.19124580938319</v>
      </c>
      <c r="E265" s="447">
        <f t="shared" si="122"/>
        <v>815.22278818644668</v>
      </c>
      <c r="F265" s="447">
        <f t="shared" si="122"/>
        <v>801.8597542611443</v>
      </c>
      <c r="G265" s="447">
        <f t="shared" si="122"/>
        <v>789.48520023927722</v>
      </c>
      <c r="H265" s="447">
        <f t="shared" si="122"/>
        <v>778.32533342133877</v>
      </c>
      <c r="I265" s="447">
        <f t="shared" si="122"/>
        <v>767.72532740259328</v>
      </c>
      <c r="J265" s="447">
        <f t="shared" si="122"/>
        <v>762.99233921583266</v>
      </c>
      <c r="K265" s="447">
        <f t="shared" si="122"/>
        <v>762.82430860575653</v>
      </c>
      <c r="L265" s="447">
        <f t="shared" si="122"/>
        <v>761.26592552888326</v>
      </c>
      <c r="M265" s="447">
        <f t="shared" si="122"/>
        <v>758.43055260566757</v>
      </c>
      <c r="N265" s="447">
        <f t="shared" si="122"/>
        <v>756.46481927662808</v>
      </c>
    </row>
    <row r="266" spans="1:14">
      <c r="B266" s="331" t="str">
        <f t="shared" si="117"/>
        <v>35-39</v>
      </c>
      <c r="C266" s="447">
        <f t="shared" si="119"/>
        <v>782.45710504188094</v>
      </c>
      <c r="D266" s="447">
        <f t="shared" ref="D266:N266" si="123">D96-D232</f>
        <v>782.09202914504192</v>
      </c>
      <c r="E266" s="447">
        <f t="shared" si="123"/>
        <v>779.84983387558657</v>
      </c>
      <c r="F266" s="447">
        <f t="shared" si="123"/>
        <v>777.16891496439519</v>
      </c>
      <c r="G266" s="447">
        <f t="shared" si="123"/>
        <v>771.26222988307518</v>
      </c>
      <c r="H266" s="447">
        <f t="shared" si="123"/>
        <v>763.34511896592562</v>
      </c>
      <c r="I266" s="447">
        <f t="shared" si="123"/>
        <v>754.01366489522411</v>
      </c>
      <c r="J266" s="447">
        <f t="shared" si="123"/>
        <v>747.60283970959063</v>
      </c>
      <c r="K266" s="447">
        <f t="shared" si="123"/>
        <v>743.70924170813953</v>
      </c>
      <c r="L266" s="447">
        <f t="shared" si="123"/>
        <v>738.85396494733027</v>
      </c>
      <c r="M266" s="447">
        <f t="shared" si="123"/>
        <v>733.57004211746107</v>
      </c>
      <c r="N266" s="447">
        <f t="shared" si="123"/>
        <v>729.41442192664647</v>
      </c>
    </row>
    <row r="267" spans="1:14">
      <c r="B267" s="331" t="str">
        <f t="shared" si="117"/>
        <v>40-44</v>
      </c>
      <c r="C267" s="447">
        <f t="shared" si="119"/>
        <v>708.96709063895901</v>
      </c>
      <c r="D267" s="447">
        <f t="shared" ref="D267:N267" si="124">D97-D233</f>
        <v>705.84775374983462</v>
      </c>
      <c r="E267" s="447">
        <f t="shared" si="124"/>
        <v>704.69740281871213</v>
      </c>
      <c r="F267" s="447">
        <f t="shared" si="124"/>
        <v>705.40333521008984</v>
      </c>
      <c r="G267" s="447">
        <f t="shared" si="124"/>
        <v>704.20044001344729</v>
      </c>
      <c r="H267" s="447">
        <f t="shared" si="124"/>
        <v>701.15263697730757</v>
      </c>
      <c r="I267" s="447">
        <f t="shared" si="124"/>
        <v>696.24893818761768</v>
      </c>
      <c r="J267" s="447">
        <f t="shared" si="124"/>
        <v>692.92352869744218</v>
      </c>
      <c r="K267" s="447">
        <f t="shared" si="124"/>
        <v>690.70599269775948</v>
      </c>
      <c r="L267" s="447">
        <f t="shared" si="124"/>
        <v>686.73517786933269</v>
      </c>
      <c r="M267" s="447">
        <f t="shared" si="124"/>
        <v>681.74360348598771</v>
      </c>
      <c r="N267" s="447">
        <f t="shared" si="124"/>
        <v>677.31620301268185</v>
      </c>
    </row>
    <row r="268" spans="1:14">
      <c r="B268" s="331" t="str">
        <f t="shared" si="117"/>
        <v>45-49</v>
      </c>
      <c r="C268" s="447">
        <f t="shared" si="119"/>
        <v>476.76969773533085</v>
      </c>
      <c r="D268" s="447">
        <f t="shared" ref="D268:N268" si="125">D98-D234</f>
        <v>508.46925950219179</v>
      </c>
      <c r="E268" s="447">
        <f t="shared" si="125"/>
        <v>531.90640187560609</v>
      </c>
      <c r="F268" s="447">
        <f t="shared" si="125"/>
        <v>550.25546380723313</v>
      </c>
      <c r="G268" s="447">
        <f t="shared" si="125"/>
        <v>562.70456930941373</v>
      </c>
      <c r="H268" s="447">
        <f t="shared" si="125"/>
        <v>570.64584355185286</v>
      </c>
      <c r="I268" s="447">
        <f t="shared" si="125"/>
        <v>574.87389116024485</v>
      </c>
      <c r="J268" s="447">
        <f t="shared" si="125"/>
        <v>578.65874893114642</v>
      </c>
      <c r="K268" s="447">
        <f t="shared" si="125"/>
        <v>581.93397514002208</v>
      </c>
      <c r="L268" s="447">
        <f t="shared" si="125"/>
        <v>582.59120288308043</v>
      </c>
      <c r="M268" s="447">
        <f t="shared" si="125"/>
        <v>581.38856720612205</v>
      </c>
      <c r="N268" s="447">
        <f t="shared" si="125"/>
        <v>579.77695838077693</v>
      </c>
    </row>
    <row r="269" spans="1:14">
      <c r="B269" s="331" t="str">
        <f t="shared" si="117"/>
        <v>50-54</v>
      </c>
      <c r="C269" s="447">
        <f t="shared" si="119"/>
        <v>384.82801606424056</v>
      </c>
      <c r="D269" s="447">
        <f t="shared" ref="D269:N269" si="126">D99-D235</f>
        <v>381.18976186966415</v>
      </c>
      <c r="E269" s="447">
        <f t="shared" si="126"/>
        <v>384.91934688077919</v>
      </c>
      <c r="F269" s="447">
        <f t="shared" si="126"/>
        <v>392.8399122425036</v>
      </c>
      <c r="G269" s="447">
        <f t="shared" si="126"/>
        <v>400.94702970376221</v>
      </c>
      <c r="H269" s="447">
        <f t="shared" si="126"/>
        <v>408.23183658603659</v>
      </c>
      <c r="I269" s="447">
        <f t="shared" si="126"/>
        <v>414.05995703881143</v>
      </c>
      <c r="J269" s="447">
        <f t="shared" si="126"/>
        <v>420.10905576631757</v>
      </c>
      <c r="K269" s="447">
        <f t="shared" si="126"/>
        <v>425.88658655823565</v>
      </c>
      <c r="L269" s="447">
        <f t="shared" si="126"/>
        <v>429.57797032198494</v>
      </c>
      <c r="M269" s="447">
        <f t="shared" si="126"/>
        <v>431.5962169069067</v>
      </c>
      <c r="N269" s="447">
        <f t="shared" si="126"/>
        <v>432.9327938055053</v>
      </c>
    </row>
    <row r="270" spans="1:14">
      <c r="B270" s="331" t="str">
        <f t="shared" si="117"/>
        <v>55-59</v>
      </c>
      <c r="C270" s="447">
        <f t="shared" si="119"/>
        <v>264.41154984331627</v>
      </c>
      <c r="D270" s="447">
        <f t="shared" ref="D270:N270" si="127">D100-D236</f>
        <v>232.78393074197834</v>
      </c>
      <c r="E270" s="447">
        <f t="shared" si="127"/>
        <v>213.50885435127168</v>
      </c>
      <c r="F270" s="447">
        <f t="shared" si="127"/>
        <v>203.12227523287766</v>
      </c>
      <c r="G270" s="447">
        <f t="shared" si="127"/>
        <v>197.60725258976049</v>
      </c>
      <c r="H270" s="447">
        <f t="shared" si="127"/>
        <v>195.12295278425529</v>
      </c>
      <c r="I270" s="447">
        <f t="shared" si="127"/>
        <v>194.30484626403066</v>
      </c>
      <c r="J270" s="447">
        <f t="shared" si="127"/>
        <v>195.37325292011451</v>
      </c>
      <c r="K270" s="447">
        <f t="shared" si="127"/>
        <v>197.41698464604346</v>
      </c>
      <c r="L270" s="447">
        <f t="shared" si="127"/>
        <v>198.97179309035721</v>
      </c>
      <c r="M270" s="447">
        <f t="shared" si="127"/>
        <v>200.0661855315843</v>
      </c>
      <c r="N270" s="447">
        <f t="shared" si="127"/>
        <v>201.10565715206391</v>
      </c>
    </row>
    <row r="271" spans="1:14">
      <c r="B271" s="331" t="str">
        <f t="shared" si="117"/>
        <v>60-64</v>
      </c>
      <c r="C271" s="447">
        <f t="shared" si="119"/>
        <v>82.869532867278423</v>
      </c>
      <c r="D271" s="447">
        <f t="shared" ref="D271:N271" si="128">D101-D237</f>
        <v>82.635970255018734</v>
      </c>
      <c r="E271" s="447">
        <f t="shared" si="128"/>
        <v>78.718996816904848</v>
      </c>
      <c r="F271" s="447">
        <f t="shared" si="128"/>
        <v>74.613970323729461</v>
      </c>
      <c r="G271" s="447">
        <f t="shared" si="128"/>
        <v>70.99608608489963</v>
      </c>
      <c r="H271" s="447">
        <f t="shared" si="128"/>
        <v>68.272558748314125</v>
      </c>
      <c r="I271" s="447">
        <f t="shared" si="128"/>
        <v>66.371774486147388</v>
      </c>
      <c r="J271" s="447">
        <f t="shared" si="128"/>
        <v>65.611419335235055</v>
      </c>
      <c r="K271" s="447">
        <f t="shared" si="128"/>
        <v>65.581439252681378</v>
      </c>
      <c r="L271" s="447">
        <f t="shared" si="128"/>
        <v>65.56883216068664</v>
      </c>
      <c r="M271" s="447">
        <f t="shared" si="128"/>
        <v>65.572854939458125</v>
      </c>
      <c r="N271" s="447">
        <f t="shared" si="128"/>
        <v>65.747325242432936</v>
      </c>
    </row>
    <row r="272" spans="1:14">
      <c r="B272" s="331" t="str">
        <f t="shared" si="117"/>
        <v>65 plus</v>
      </c>
      <c r="C272" s="447">
        <f t="shared" si="119"/>
        <v>19.012873902058232</v>
      </c>
      <c r="D272" s="447">
        <f t="shared" ref="D272:N272" si="129">D102-D238</f>
        <v>25.361910069943761</v>
      </c>
      <c r="E272" s="447">
        <f t="shared" si="129"/>
        <v>29.469220391491088</v>
      </c>
      <c r="F272" s="447">
        <f t="shared" si="129"/>
        <v>31.717513742822177</v>
      </c>
      <c r="G272" s="447">
        <f t="shared" si="129"/>
        <v>32.542905450228091</v>
      </c>
      <c r="H272" s="447">
        <f t="shared" si="129"/>
        <v>32.535893473672161</v>
      </c>
      <c r="I272" s="447">
        <f t="shared" si="129"/>
        <v>32.104805835572435</v>
      </c>
      <c r="J272" s="447">
        <f t="shared" si="129"/>
        <v>31.721083398345503</v>
      </c>
      <c r="K272" s="447">
        <f t="shared" si="129"/>
        <v>31.473480057859557</v>
      </c>
      <c r="L272" s="447">
        <f t="shared" si="129"/>
        <v>31.204302871613699</v>
      </c>
      <c r="M272" s="447">
        <f t="shared" si="129"/>
        <v>30.952986006345306</v>
      </c>
      <c r="N272" s="447">
        <f t="shared" si="129"/>
        <v>30.807473209700909</v>
      </c>
    </row>
    <row r="273" spans="1:16">
      <c r="B273" s="331" t="str">
        <f t="shared" si="117"/>
        <v>Total</v>
      </c>
      <c r="C273" s="447">
        <f>SUM(C263:C272)</f>
        <v>4508.472596915065</v>
      </c>
      <c r="D273" s="447">
        <f t="shared" ref="D273:N273" si="130">SUM(D263:D272)</f>
        <v>4477.0874001975317</v>
      </c>
      <c r="E273" s="447">
        <f t="shared" si="130"/>
        <v>4469.6200757537663</v>
      </c>
      <c r="F273" s="447">
        <f t="shared" si="130"/>
        <v>4490.583599941142</v>
      </c>
      <c r="G273" s="447">
        <f t="shared" si="130"/>
        <v>4496.8599901166635</v>
      </c>
      <c r="H273" s="447">
        <f t="shared" si="130"/>
        <v>4491.0974882866112</v>
      </c>
      <c r="I273" s="447">
        <f t="shared" si="130"/>
        <v>4472.5674460678629</v>
      </c>
      <c r="J273" s="447">
        <f t="shared" si="130"/>
        <v>4478.2954676667923</v>
      </c>
      <c r="K273" s="447">
        <f t="shared" si="130"/>
        <v>4498.7753212732568</v>
      </c>
      <c r="L273" s="447">
        <f t="shared" si="130"/>
        <v>4498.1782535054854</v>
      </c>
      <c r="M273" s="447">
        <f t="shared" si="130"/>
        <v>4483.7530657813677</v>
      </c>
      <c r="N273" s="447">
        <f t="shared" si="130"/>
        <v>4472.6808747361792</v>
      </c>
    </row>
    <row r="274" spans="1:16">
      <c r="A274" s="302">
        <f>SUM(C274:N274)</f>
        <v>0</v>
      </c>
      <c r="C274" s="302">
        <f>SUM(C263:C272)-C273</f>
        <v>0</v>
      </c>
      <c r="D274" s="302">
        <f t="shared" ref="D274:N274" si="131">SUM(D263:D272)-D273</f>
        <v>0</v>
      </c>
      <c r="E274" s="302">
        <f t="shared" si="131"/>
        <v>0</v>
      </c>
      <c r="F274" s="302">
        <f t="shared" si="131"/>
        <v>0</v>
      </c>
      <c r="G274" s="302">
        <f t="shared" si="131"/>
        <v>0</v>
      </c>
      <c r="H274" s="302">
        <f t="shared" si="131"/>
        <v>0</v>
      </c>
      <c r="I274" s="302">
        <f t="shared" si="131"/>
        <v>0</v>
      </c>
      <c r="J274" s="302">
        <f t="shared" si="131"/>
        <v>0</v>
      </c>
      <c r="K274" s="302">
        <f t="shared" si="131"/>
        <v>0</v>
      </c>
      <c r="L274" s="302">
        <f t="shared" si="131"/>
        <v>0</v>
      </c>
      <c r="M274" s="302">
        <f t="shared" si="131"/>
        <v>0</v>
      </c>
      <c r="N274" s="302">
        <f t="shared" si="131"/>
        <v>0</v>
      </c>
    </row>
    <row r="275" spans="1:16" ht="15.75">
      <c r="B275" s="333"/>
      <c r="H275" s="320"/>
    </row>
    <row r="276" spans="1:16" ht="15.75">
      <c r="B276" s="333" t="s">
        <v>528</v>
      </c>
      <c r="H276" s="320"/>
    </row>
    <row r="277" spans="1:16" ht="15.75">
      <c r="B277" s="333"/>
      <c r="H277" s="320"/>
    </row>
    <row r="278" spans="1:16" ht="15.75">
      <c r="B278" s="333"/>
      <c r="C278" s="319" t="str">
        <f>C262</f>
        <v>2017/18</v>
      </c>
      <c r="D278" s="319" t="str">
        <f t="shared" ref="D278:N278" si="132">D262</f>
        <v>2018/19</v>
      </c>
      <c r="E278" s="319" t="str">
        <f t="shared" si="132"/>
        <v>2019/20</v>
      </c>
      <c r="F278" s="319" t="str">
        <f t="shared" si="132"/>
        <v>2020/21</v>
      </c>
      <c r="G278" s="319" t="str">
        <f t="shared" si="132"/>
        <v>2021/22</v>
      </c>
      <c r="H278" s="319" t="str">
        <f t="shared" si="132"/>
        <v>2022/23</v>
      </c>
      <c r="I278" s="319" t="str">
        <f t="shared" si="132"/>
        <v>2023/24</v>
      </c>
      <c r="J278" s="319" t="str">
        <f t="shared" si="132"/>
        <v>2024/25</v>
      </c>
      <c r="K278" s="319" t="str">
        <f t="shared" si="132"/>
        <v>2025/26</v>
      </c>
      <c r="L278" s="319" t="str">
        <f t="shared" si="132"/>
        <v>2026/27</v>
      </c>
      <c r="M278" s="319" t="str">
        <f t="shared" si="132"/>
        <v>2027/28</v>
      </c>
      <c r="N278" s="319" t="str">
        <f t="shared" si="132"/>
        <v>2028/29</v>
      </c>
    </row>
    <row r="279" spans="1:16">
      <c r="B279" s="356" t="s">
        <v>612</v>
      </c>
      <c r="C279" s="450">
        <f>C223+C239</f>
        <v>795.57483000316824</v>
      </c>
      <c r="D279" s="450">
        <f t="shared" ref="D279:N279" si="133">D223+D239</f>
        <v>779.78476986289604</v>
      </c>
      <c r="E279" s="450">
        <f t="shared" si="133"/>
        <v>787.77244498771347</v>
      </c>
      <c r="F279" s="450">
        <f t="shared" si="133"/>
        <v>789.97962902294444</v>
      </c>
      <c r="G279" s="450">
        <f t="shared" si="133"/>
        <v>788.3319373893446</v>
      </c>
      <c r="H279" s="450">
        <f t="shared" si="133"/>
        <v>785.69594688048812</v>
      </c>
      <c r="I279" s="450">
        <f t="shared" si="133"/>
        <v>781.77651987130605</v>
      </c>
      <c r="J279" s="450">
        <f t="shared" si="133"/>
        <v>782.90918626425503</v>
      </c>
      <c r="K279" s="450">
        <f t="shared" si="133"/>
        <v>787.07056668827136</v>
      </c>
      <c r="L279" s="450">
        <f t="shared" si="133"/>
        <v>787.69153927036325</v>
      </c>
      <c r="M279" s="450">
        <f t="shared" si="133"/>
        <v>786.01561593674273</v>
      </c>
      <c r="N279" s="450">
        <f t="shared" si="133"/>
        <v>785.02935840689838</v>
      </c>
      <c r="O279" s="320"/>
      <c r="P279" s="320"/>
    </row>
    <row r="280" spans="1:16" ht="25.5">
      <c r="B280" s="331" t="s">
        <v>613</v>
      </c>
      <c r="C280" s="450">
        <f>C155+C171</f>
        <v>197.80074950842032</v>
      </c>
      <c r="D280" s="450">
        <f t="shared" ref="D280:N280" si="134">D155+D171</f>
        <v>187.45159920710557</v>
      </c>
      <c r="E280" s="450">
        <f t="shared" si="134"/>
        <v>179.03379791184864</v>
      </c>
      <c r="F280" s="450">
        <f t="shared" si="134"/>
        <v>172.91147565740692</v>
      </c>
      <c r="G280" s="450">
        <f t="shared" si="134"/>
        <v>168.17777453767221</v>
      </c>
      <c r="H280" s="450">
        <f t="shared" si="134"/>
        <v>164.72283905468879</v>
      </c>
      <c r="I280" s="450">
        <f t="shared" si="134"/>
        <v>162.19986461464254</v>
      </c>
      <c r="J280" s="450">
        <f t="shared" si="134"/>
        <v>161.27352814317936</v>
      </c>
      <c r="K280" s="450">
        <f t="shared" si="134"/>
        <v>161.35798825019742</v>
      </c>
      <c r="L280" s="450">
        <f t="shared" si="134"/>
        <v>161.24284034223021</v>
      </c>
      <c r="M280" s="450">
        <f t="shared" si="134"/>
        <v>160.98270670897449</v>
      </c>
      <c r="N280" s="450">
        <f t="shared" si="134"/>
        <v>160.9327104566656</v>
      </c>
      <c r="O280" s="320"/>
      <c r="P280" s="320"/>
    </row>
    <row r="281" spans="1:16">
      <c r="B281" s="356" t="s">
        <v>614</v>
      </c>
      <c r="C281" s="450">
        <f>C189+C205</f>
        <v>4.9214581596978562</v>
      </c>
      <c r="D281" s="450">
        <f t="shared" ref="D281:N281" si="135">D189+D205</f>
        <v>4.8540236069658054</v>
      </c>
      <c r="E281" s="450">
        <f t="shared" si="135"/>
        <v>4.8158312993259278</v>
      </c>
      <c r="F281" s="450">
        <f t="shared" si="135"/>
        <v>4.7955737673786505</v>
      </c>
      <c r="G281" s="450">
        <f t="shared" si="135"/>
        <v>4.7708542889941965</v>
      </c>
      <c r="H281" s="450">
        <f t="shared" si="135"/>
        <v>4.7442734640779864</v>
      </c>
      <c r="I281" s="450">
        <f t="shared" si="135"/>
        <v>4.7147916898814728</v>
      </c>
      <c r="J281" s="450">
        <f t="shared" si="135"/>
        <v>4.7076177024507224</v>
      </c>
      <c r="K281" s="450">
        <f t="shared" si="135"/>
        <v>4.7154358730365926</v>
      </c>
      <c r="L281" s="450">
        <f t="shared" si="135"/>
        <v>4.7119126554880975</v>
      </c>
      <c r="M281" s="450">
        <f t="shared" si="135"/>
        <v>4.7006910257871404</v>
      </c>
      <c r="N281" s="450">
        <f t="shared" si="135"/>
        <v>4.69290368180837</v>
      </c>
      <c r="O281" s="320"/>
      <c r="P281" s="320"/>
    </row>
    <row r="282" spans="1:16">
      <c r="B282" s="356" t="s">
        <v>615</v>
      </c>
      <c r="C282" s="450">
        <f>C121+C137</f>
        <v>592.85262233505023</v>
      </c>
      <c r="D282" s="450">
        <f t="shared" ref="D282:N282" si="136">D121+D137</f>
        <v>587.47914704882464</v>
      </c>
      <c r="E282" s="450">
        <f t="shared" si="136"/>
        <v>603.92281577653887</v>
      </c>
      <c r="F282" s="450">
        <f t="shared" si="136"/>
        <v>612.27257959815893</v>
      </c>
      <c r="G282" s="450">
        <f t="shared" si="136"/>
        <v>615.38330856267817</v>
      </c>
      <c r="H282" s="450">
        <f t="shared" si="136"/>
        <v>616.22883436172128</v>
      </c>
      <c r="I282" s="450">
        <f t="shared" si="136"/>
        <v>614.86186356678218</v>
      </c>
      <c r="J282" s="450">
        <f t="shared" si="136"/>
        <v>616.92804041862496</v>
      </c>
      <c r="K282" s="450">
        <f t="shared" si="136"/>
        <v>620.99714256503728</v>
      </c>
      <c r="L282" s="450">
        <f t="shared" si="136"/>
        <v>621.73678627264508</v>
      </c>
      <c r="M282" s="450">
        <f t="shared" si="136"/>
        <v>620.33221820198105</v>
      </c>
      <c r="N282" s="450">
        <f t="shared" si="136"/>
        <v>619.40374426842448</v>
      </c>
      <c r="O282" s="320"/>
      <c r="P282" s="320"/>
    </row>
    <row r="283" spans="1:16" ht="15.75">
      <c r="A283" s="302">
        <f>SUM(C283:N283)</f>
        <v>0</v>
      </c>
      <c r="B283" s="333"/>
      <c r="C283" s="302">
        <f>C279-C280-C281-C282</f>
        <v>0</v>
      </c>
      <c r="D283" s="302">
        <f t="shared" ref="D283:N283" si="137">D279-D280-D281-D282</f>
        <v>0</v>
      </c>
      <c r="E283" s="302">
        <f t="shared" si="137"/>
        <v>0</v>
      </c>
      <c r="F283" s="302">
        <f t="shared" si="137"/>
        <v>0</v>
      </c>
      <c r="G283" s="302">
        <f t="shared" si="137"/>
        <v>0</v>
      </c>
      <c r="H283" s="302">
        <f t="shared" si="137"/>
        <v>0</v>
      </c>
      <c r="I283" s="302">
        <f t="shared" si="137"/>
        <v>0</v>
      </c>
      <c r="J283" s="302">
        <f t="shared" si="137"/>
        <v>0</v>
      </c>
      <c r="K283" s="302">
        <f t="shared" si="137"/>
        <v>0</v>
      </c>
      <c r="L283" s="302">
        <f t="shared" si="137"/>
        <v>0</v>
      </c>
      <c r="M283" s="302">
        <f t="shared" si="137"/>
        <v>0</v>
      </c>
      <c r="N283" s="302">
        <f t="shared" si="137"/>
        <v>0</v>
      </c>
    </row>
    <row r="284" spans="1:16" ht="15.75">
      <c r="B284" s="333"/>
      <c r="H284" s="320"/>
    </row>
    <row r="285" spans="1:16" ht="15.75">
      <c r="B285" s="333" t="s">
        <v>266</v>
      </c>
      <c r="F285" s="357"/>
      <c r="G285" s="357" t="s">
        <v>267</v>
      </c>
      <c r="H285" s="320"/>
    </row>
    <row r="286" spans="1:16" ht="15.75">
      <c r="B286" s="333"/>
      <c r="H286" s="320"/>
    </row>
    <row r="287" spans="1:16" ht="15.75">
      <c r="B287" s="333" t="s">
        <v>212</v>
      </c>
      <c r="H287" s="320"/>
    </row>
    <row r="288" spans="1:16" ht="15.75">
      <c r="B288" s="333"/>
      <c r="H288" s="320"/>
    </row>
    <row r="289" spans="2:15" ht="15.75">
      <c r="B289" s="333"/>
      <c r="C289" s="319" t="str">
        <f>C278</f>
        <v>2017/18</v>
      </c>
      <c r="D289" s="319" t="str">
        <f t="shared" ref="D289:N289" si="138">D278</f>
        <v>2018/19</v>
      </c>
      <c r="E289" s="319" t="str">
        <f t="shared" si="138"/>
        <v>2019/20</v>
      </c>
      <c r="F289" s="319" t="str">
        <f t="shared" si="138"/>
        <v>2020/21</v>
      </c>
      <c r="G289" s="319" t="str">
        <f t="shared" si="138"/>
        <v>2021/22</v>
      </c>
      <c r="H289" s="319" t="str">
        <f t="shared" si="138"/>
        <v>2022/23</v>
      </c>
      <c r="I289" s="319" t="str">
        <f t="shared" si="138"/>
        <v>2023/24</v>
      </c>
      <c r="J289" s="319" t="str">
        <f t="shared" si="138"/>
        <v>2024/25</v>
      </c>
      <c r="K289" s="319" t="str">
        <f t="shared" si="138"/>
        <v>2025/26</v>
      </c>
      <c r="L289" s="319" t="str">
        <f t="shared" si="138"/>
        <v>2026/27</v>
      </c>
      <c r="M289" s="319" t="str">
        <f t="shared" si="138"/>
        <v>2027/28</v>
      </c>
      <c r="N289" s="319" t="str">
        <f t="shared" si="138"/>
        <v>2028/29</v>
      </c>
    </row>
    <row r="290" spans="2:15" ht="15.75">
      <c r="B290" s="333"/>
      <c r="C290" s="447">
        <f>C53+C69-C15</f>
        <v>0</v>
      </c>
      <c r="D290" s="447">
        <f>D53+D69-D15</f>
        <v>0</v>
      </c>
      <c r="E290" s="447">
        <f>E53+E69-E15</f>
        <v>0</v>
      </c>
      <c r="F290" s="447">
        <f t="shared" ref="F290:N290" si="139">F53+F69-F15</f>
        <v>0</v>
      </c>
      <c r="G290" s="447">
        <f t="shared" si="139"/>
        <v>0</v>
      </c>
      <c r="H290" s="447">
        <f t="shared" si="139"/>
        <v>0</v>
      </c>
      <c r="I290" s="447">
        <f t="shared" si="139"/>
        <v>0</v>
      </c>
      <c r="J290" s="447">
        <f t="shared" si="139"/>
        <v>0</v>
      </c>
      <c r="K290" s="447">
        <f t="shared" si="139"/>
        <v>0</v>
      </c>
      <c r="L290" s="447">
        <f t="shared" si="139"/>
        <v>0</v>
      </c>
      <c r="M290" s="447">
        <f t="shared" si="139"/>
        <v>0</v>
      </c>
      <c r="N290" s="447">
        <f t="shared" si="139"/>
        <v>0</v>
      </c>
    </row>
    <row r="291" spans="2:15" ht="15.75">
      <c r="B291" s="333"/>
      <c r="H291" s="320"/>
    </row>
    <row r="292" spans="2:15" ht="15.75">
      <c r="B292" s="333" t="s">
        <v>264</v>
      </c>
      <c r="H292" s="320"/>
    </row>
    <row r="293" spans="2:15" ht="15.75">
      <c r="B293" s="333"/>
      <c r="C293" s="358" t="str">
        <f t="shared" ref="C293:N293" si="140">C262</f>
        <v>2017/18</v>
      </c>
      <c r="D293" s="358" t="str">
        <f t="shared" si="140"/>
        <v>2018/19</v>
      </c>
      <c r="E293" s="358" t="str">
        <f t="shared" si="140"/>
        <v>2019/20</v>
      </c>
      <c r="F293" s="358" t="str">
        <f t="shared" si="140"/>
        <v>2020/21</v>
      </c>
      <c r="G293" s="358" t="str">
        <f t="shared" si="140"/>
        <v>2021/22</v>
      </c>
      <c r="H293" s="358" t="str">
        <f t="shared" si="140"/>
        <v>2022/23</v>
      </c>
      <c r="I293" s="358" t="str">
        <f t="shared" si="140"/>
        <v>2023/24</v>
      </c>
      <c r="J293" s="358" t="str">
        <f t="shared" si="140"/>
        <v>2024/25</v>
      </c>
      <c r="K293" s="358" t="str">
        <f t="shared" si="140"/>
        <v>2025/26</v>
      </c>
      <c r="L293" s="358" t="str">
        <f t="shared" si="140"/>
        <v>2026/27</v>
      </c>
      <c r="M293" s="358" t="str">
        <f t="shared" si="140"/>
        <v>2027/28</v>
      </c>
      <c r="N293" s="358" t="str">
        <f t="shared" si="140"/>
        <v>2028/29</v>
      </c>
    </row>
    <row r="294" spans="2:15">
      <c r="B294" s="356" t="s">
        <v>268</v>
      </c>
      <c r="C294" s="447">
        <f>C36-C15+C279-C290</f>
        <v>734.82659603874527</v>
      </c>
      <c r="D294" s="447">
        <f>D36-D15+D279-D290</f>
        <v>775.45274589812868</v>
      </c>
      <c r="E294" s="447">
        <f>E36-E15+E279-E290</f>
        <v>825.94695608588449</v>
      </c>
      <c r="F294" s="447">
        <f t="shared" ref="F294:K294" si="141">F36-F15+F279-F290</f>
        <v>803.41286876655727</v>
      </c>
      <c r="G294" s="447">
        <f t="shared" si="141"/>
        <v>783.59414836479846</v>
      </c>
      <c r="H294" s="447">
        <f t="shared" si="141"/>
        <v>761.34044717295467</v>
      </c>
      <c r="I294" s="447">
        <f t="shared" si="141"/>
        <v>797.7558971130976</v>
      </c>
      <c r="J294" s="447">
        <f t="shared" si="141"/>
        <v>823.41797792246564</v>
      </c>
      <c r="K294" s="447">
        <f t="shared" si="141"/>
        <v>793.55847001304119</v>
      </c>
      <c r="L294" s="447">
        <f>L36-L15+L279-L290</f>
        <v>771.81387867996375</v>
      </c>
      <c r="M294" s="447">
        <f>M36-M15+M279-M290</f>
        <v>775.59123399644454</v>
      </c>
      <c r="N294" s="447">
        <f>N36-N15+N279-N290</f>
        <v>771.13827426105649</v>
      </c>
    </row>
    <row r="295" spans="2:15" ht="12.75" customHeight="1">
      <c r="B295" s="1327" t="s">
        <v>265</v>
      </c>
      <c r="C295" s="1327"/>
      <c r="D295" s="1327"/>
      <c r="E295" s="1327"/>
      <c r="F295" s="1327"/>
      <c r="G295" s="1327"/>
      <c r="H295" s="1327"/>
      <c r="I295" s="1327"/>
      <c r="J295" s="1327"/>
      <c r="K295" s="1327"/>
      <c r="L295" s="1327"/>
      <c r="M295" s="1327"/>
      <c r="N295" s="1327"/>
    </row>
    <row r="296" spans="2:15">
      <c r="B296" s="526" t="s">
        <v>576</v>
      </c>
      <c r="C296" s="527">
        <f>IF(C294&lt;0,0,C294)</f>
        <v>734.82659603874527</v>
      </c>
      <c r="D296" s="527">
        <f t="shared" ref="D296:K296" si="142">IF(D294&lt;0,0,D294)</f>
        <v>775.45274589812868</v>
      </c>
      <c r="E296" s="527">
        <f t="shared" si="142"/>
        <v>825.94695608588449</v>
      </c>
      <c r="F296" s="527">
        <f t="shared" si="142"/>
        <v>803.41286876655727</v>
      </c>
      <c r="G296" s="527">
        <f t="shared" si="142"/>
        <v>783.59414836479846</v>
      </c>
      <c r="H296" s="527">
        <f t="shared" si="142"/>
        <v>761.34044717295467</v>
      </c>
      <c r="I296" s="527">
        <f t="shared" si="142"/>
        <v>797.7558971130976</v>
      </c>
      <c r="J296" s="527">
        <f t="shared" si="142"/>
        <v>823.41797792246564</v>
      </c>
      <c r="K296" s="527">
        <f t="shared" si="142"/>
        <v>793.55847001304119</v>
      </c>
      <c r="L296" s="527">
        <f>IF(L294&lt;0,0,L294)</f>
        <v>771.81387867996375</v>
      </c>
      <c r="M296" s="527">
        <f>IF(M294&lt;0,0,M294)</f>
        <v>775.59123399644454</v>
      </c>
      <c r="N296" s="527">
        <f>IF(N294&lt;0,0,N294)</f>
        <v>771.13827426105649</v>
      </c>
    </row>
    <row r="297" spans="2:15" ht="15.75">
      <c r="B297" s="333"/>
      <c r="H297" s="320"/>
    </row>
    <row r="298" spans="2:15" ht="15.75">
      <c r="B298" s="333" t="s">
        <v>175</v>
      </c>
      <c r="H298" s="320"/>
    </row>
    <row r="299" spans="2:15" ht="15.75">
      <c r="B299" s="333"/>
      <c r="H299" s="320"/>
    </row>
    <row r="300" spans="2:15">
      <c r="B300" s="334" t="s">
        <v>46</v>
      </c>
      <c r="H300" s="318"/>
    </row>
    <row r="301" spans="2:15">
      <c r="H301" s="318"/>
    </row>
    <row r="302" spans="2:15">
      <c r="B302" s="331" t="str">
        <f t="shared" ref="B302:B313" si="143">B262</f>
        <v>Age group</v>
      </c>
      <c r="C302" s="331" t="str">
        <f>C293</f>
        <v>2017/18</v>
      </c>
      <c r="D302" s="331" t="str">
        <f t="shared" ref="D302:N302" si="144">D293</f>
        <v>2018/19</v>
      </c>
      <c r="E302" s="331" t="str">
        <f t="shared" si="144"/>
        <v>2019/20</v>
      </c>
      <c r="F302" s="331" t="str">
        <f t="shared" si="144"/>
        <v>2020/21</v>
      </c>
      <c r="G302" s="331" t="str">
        <f t="shared" si="144"/>
        <v>2021/22</v>
      </c>
      <c r="H302" s="331" t="str">
        <f t="shared" si="144"/>
        <v>2022/23</v>
      </c>
      <c r="I302" s="331" t="str">
        <f t="shared" si="144"/>
        <v>2023/24</v>
      </c>
      <c r="J302" s="331" t="str">
        <f t="shared" si="144"/>
        <v>2024/25</v>
      </c>
      <c r="K302" s="331" t="str">
        <f t="shared" si="144"/>
        <v>2025/26</v>
      </c>
      <c r="L302" s="331" t="str">
        <f t="shared" si="144"/>
        <v>2026/27</v>
      </c>
      <c r="M302" s="331" t="str">
        <f t="shared" si="144"/>
        <v>2027/28</v>
      </c>
      <c r="N302" s="331" t="str">
        <f t="shared" si="144"/>
        <v>2028/29</v>
      </c>
    </row>
    <row r="303" spans="2:15">
      <c r="B303" s="331" t="str">
        <f t="shared" si="143"/>
        <v>20-24</v>
      </c>
      <c r="C303" s="447">
        <f>C$296*Entrant_age_breakdowns!$K76*$G$31</f>
        <v>58.380526951915208</v>
      </c>
      <c r="D303" s="447">
        <f>D$296*Entrant_age_breakdowns!$K76*$G$31</f>
        <v>61.608194607936234</v>
      </c>
      <c r="E303" s="447">
        <f>E$296*Entrant_age_breakdowns!$K76*$G$31</f>
        <v>65.619860237178798</v>
      </c>
      <c r="F303" s="447">
        <f>F$296*Entrant_age_breakdowns!$K76*$G$31</f>
        <v>63.829571345657207</v>
      </c>
      <c r="G303" s="447">
        <f>G$296*Entrant_age_breakdowns!$K76*$G$31</f>
        <v>62.255013012025046</v>
      </c>
      <c r="H303" s="447">
        <f>H$296*Entrant_age_breakdowns!$K76*$G$31</f>
        <v>60.487000246545605</v>
      </c>
      <c r="I303" s="447">
        <f>I$296*Entrant_age_breakdowns!$K76*$G$31</f>
        <v>63.380136080437687</v>
      </c>
      <c r="J303" s="447">
        <f>J$296*Entrant_age_breakdowns!$K76*$G$31</f>
        <v>65.41893789900243</v>
      </c>
      <c r="K303" s="447">
        <f>K$296*Entrant_age_breakdowns!$K76*$G$31</f>
        <v>63.04665875767266</v>
      </c>
      <c r="L303" s="447">
        <f>L$296*Entrant_age_breakdowns!$K76*$G$31</f>
        <v>61.319093768568521</v>
      </c>
      <c r="M303" s="447">
        <f>M$296*Entrant_age_breakdowns!$K76*$G$31</f>
        <v>61.61919721480951</v>
      </c>
      <c r="N303" s="447">
        <f>N$296*Entrant_age_breakdowns!$K76*$G$31</f>
        <v>61.265418327043307</v>
      </c>
      <c r="O303" s="320"/>
    </row>
    <row r="304" spans="2:15">
      <c r="B304" s="331" t="str">
        <f t="shared" si="143"/>
        <v>25-29</v>
      </c>
      <c r="C304" s="447">
        <f>C$296*Entrant_age_breakdowns!$K77*$G$31</f>
        <v>59.593745546273638</v>
      </c>
      <c r="D304" s="447">
        <f>D$296*Entrant_age_breakdowns!$K77*$G$31</f>
        <v>62.888488075050084</v>
      </c>
      <c r="E304" s="447">
        <f>E$296*Entrant_age_breakdowns!$K77*$G$31</f>
        <v>66.983521011678462</v>
      </c>
      <c r="F304" s="447">
        <f>F$296*Entrant_age_breakdowns!$K77*$G$31</f>
        <v>65.156027732223592</v>
      </c>
      <c r="G304" s="447">
        <f>G$296*Entrant_age_breakdowns!$K77*$G$31</f>
        <v>63.54874815491651</v>
      </c>
      <c r="H304" s="447">
        <f>H$296*Entrant_age_breakdowns!$K77*$G$31</f>
        <v>61.743993926587493</v>
      </c>
      <c r="I304" s="447">
        <f>I$296*Entrant_age_breakdowns!$K77*$G$31</f>
        <v>64.697252653727418</v>
      </c>
      <c r="J304" s="447">
        <f>J$296*Entrant_age_breakdowns!$K77*$G$31</f>
        <v>66.778423262120526</v>
      </c>
      <c r="K304" s="447">
        <f>K$296*Entrant_age_breakdowns!$K77*$G$31</f>
        <v>64.356845265238434</v>
      </c>
      <c r="L304" s="447">
        <f>L$296*Entrant_age_breakdowns!$K77*$G$31</f>
        <v>62.593379367437969</v>
      </c>
      <c r="M304" s="447">
        <f>M$296*Entrant_age_breakdowns!$K77*$G$31</f>
        <v>62.899719329521155</v>
      </c>
      <c r="N304" s="447">
        <f>N$296*Entrant_age_breakdowns!$K77*$G$31</f>
        <v>62.538588484735385</v>
      </c>
      <c r="O304" s="320"/>
    </row>
    <row r="305" spans="1:15">
      <c r="B305" s="331" t="str">
        <f t="shared" si="143"/>
        <v>30-34</v>
      </c>
      <c r="C305" s="447">
        <f>C$296*Entrant_age_breakdowns!$K78*$G$31</f>
        <v>29.597389668901933</v>
      </c>
      <c r="D305" s="447">
        <f>D$296*Entrant_age_breakdowns!$K78*$G$31</f>
        <v>31.233732167414299</v>
      </c>
      <c r="E305" s="447">
        <f>E$296*Entrant_age_breakdowns!$K78*$G$31</f>
        <v>33.267540991165212</v>
      </c>
      <c r="F305" s="447">
        <f>F$296*Entrant_age_breakdowns!$K78*$G$31</f>
        <v>32.359911671787629</v>
      </c>
      <c r="G305" s="447">
        <f>G$296*Entrant_age_breakdowns!$K78*$G$31</f>
        <v>31.561652063831168</v>
      </c>
      <c r="H305" s="447">
        <f>H$296*Entrant_age_breakdowns!$K78*$G$31</f>
        <v>30.665316153698186</v>
      </c>
      <c r="I305" s="447">
        <f>I$296*Entrant_age_breakdowns!$K78*$G$31</f>
        <v>32.132059828541955</v>
      </c>
      <c r="J305" s="447">
        <f>J$296*Entrant_age_breakdowns!$K78*$G$31</f>
        <v>33.165678657152867</v>
      </c>
      <c r="K305" s="447">
        <f>K$296*Entrant_age_breakdowns!$K78*$G$31</f>
        <v>31.962995608279805</v>
      </c>
      <c r="L305" s="447">
        <f>L$296*Entrant_age_breakdowns!$K78*$G$31</f>
        <v>31.087165655546048</v>
      </c>
      <c r="M305" s="447">
        <f>M$296*Entrant_age_breakdowns!$K78*$G$31</f>
        <v>31.239310199337009</v>
      </c>
      <c r="N305" s="447">
        <f>N$296*Entrant_age_breakdowns!$K78*$G$31</f>
        <v>31.059953620276474</v>
      </c>
      <c r="O305" s="320"/>
    </row>
    <row r="306" spans="1:15">
      <c r="B306" s="331" t="str">
        <f t="shared" si="143"/>
        <v>35-39</v>
      </c>
      <c r="C306" s="447">
        <f>C$296*Entrant_age_breakdowns!$K79*$G$31</f>
        <v>22.059907289059318</v>
      </c>
      <c r="D306" s="447">
        <f>D$296*Entrant_age_breakdowns!$K79*$G$31</f>
        <v>23.279527134395149</v>
      </c>
      <c r="E306" s="447">
        <f>E$296*Entrant_age_breakdowns!$K79*$G$31</f>
        <v>24.795391695341763</v>
      </c>
      <c r="F306" s="447">
        <f>F$296*Entrant_age_breakdowns!$K79*$G$31</f>
        <v>24.118905732819911</v>
      </c>
      <c r="G306" s="447">
        <f>G$296*Entrant_age_breakdowns!$K79*$G$31</f>
        <v>23.523936610842817</v>
      </c>
      <c r="H306" s="447">
        <f>H$296*Entrant_age_breakdowns!$K79*$G$31</f>
        <v>22.855867997408172</v>
      </c>
      <c r="I306" s="447">
        <f>I$296*Entrant_age_breakdowns!$K79*$G$31</f>
        <v>23.949080265308417</v>
      </c>
      <c r="J306" s="447">
        <f>J$296*Entrant_age_breakdowns!$K79*$G$31</f>
        <v>24.719470349922556</v>
      </c>
      <c r="K306" s="447">
        <f>K$296*Entrant_age_breakdowns!$K79*$G$31</f>
        <v>23.823071145362324</v>
      </c>
      <c r="L306" s="447">
        <f>L$296*Entrant_age_breakdowns!$K79*$G$31</f>
        <v>23.170286295940677</v>
      </c>
      <c r="M306" s="447">
        <f>M$296*Entrant_age_breakdowns!$K79*$G$31</f>
        <v>23.283684624918699</v>
      </c>
      <c r="N306" s="447">
        <f>N$296*Entrant_age_breakdowns!$K79*$G$31</f>
        <v>23.150004271684189</v>
      </c>
      <c r="O306" s="320"/>
    </row>
    <row r="307" spans="1:15">
      <c r="B307" s="331" t="str">
        <f t="shared" si="143"/>
        <v>40-44</v>
      </c>
      <c r="C307" s="447">
        <f>C$296*Entrant_age_breakdowns!$K80*$G$31</f>
        <v>18.954894396609639</v>
      </c>
      <c r="D307" s="447">
        <f>D$296*Entrant_age_breakdowns!$K80*$G$31</f>
        <v>20.002848273723863</v>
      </c>
      <c r="E307" s="447">
        <f>E$296*Entrant_age_breakdowns!$K80*$G$31</f>
        <v>21.305349335754908</v>
      </c>
      <c r="F307" s="447">
        <f>F$296*Entrant_age_breakdowns!$K80*$G$31</f>
        <v>20.724081254598918</v>
      </c>
      <c r="G307" s="447">
        <f>G$296*Entrant_age_breakdowns!$K80*$G$31</f>
        <v>20.212856219582001</v>
      </c>
      <c r="H307" s="447">
        <f>H$296*Entrant_age_breakdowns!$K80*$G$31</f>
        <v>19.638820714744522</v>
      </c>
      <c r="I307" s="447">
        <f>I$296*Entrant_age_breakdowns!$K80*$G$31</f>
        <v>20.578159344757911</v>
      </c>
      <c r="J307" s="447">
        <f>J$296*Entrant_age_breakdowns!$K80*$G$31</f>
        <v>21.240114198271655</v>
      </c>
      <c r="K307" s="447">
        <f>K$296*Entrant_age_breakdowns!$K80*$G$31</f>
        <v>20.4698864707929</v>
      </c>
      <c r="L307" s="447">
        <f>L$296*Entrant_age_breakdowns!$K80*$G$31</f>
        <v>19.908983484104894</v>
      </c>
      <c r="M307" s="447">
        <f>M$296*Entrant_age_breakdowns!$K80*$G$31</f>
        <v>20.006420582201695</v>
      </c>
      <c r="N307" s="447">
        <f>N$296*Entrant_age_breakdowns!$K80*$G$31</f>
        <v>19.891556229180665</v>
      </c>
      <c r="O307" s="320"/>
    </row>
    <row r="308" spans="1:15">
      <c r="B308" s="331" t="str">
        <f t="shared" si="143"/>
        <v>45-49</v>
      </c>
      <c r="C308" s="447">
        <f>C$296*Entrant_age_breakdowns!$K81*$G$31</f>
        <v>15.278723108550647</v>
      </c>
      <c r="D308" s="447">
        <f>D$296*Entrant_age_breakdowns!$K81*$G$31</f>
        <v>16.123433545018401</v>
      </c>
      <c r="E308" s="447">
        <f>E$296*Entrant_age_breakdowns!$K81*$G$31</f>
        <v>17.173323492119607</v>
      </c>
      <c r="F308" s="447">
        <f>F$296*Entrant_age_breakdowns!$K81*$G$31</f>
        <v>16.70478835401779</v>
      </c>
      <c r="G308" s="447">
        <f>G$296*Entrant_age_breakdowns!$K81*$G$31</f>
        <v>16.292711895413003</v>
      </c>
      <c r="H308" s="447">
        <f>H$296*Entrant_age_breakdowns!$K81*$G$31</f>
        <v>15.830006625239742</v>
      </c>
      <c r="I308" s="447">
        <f>I$296*Entrant_age_breakdowns!$K81*$G$31</f>
        <v>16.587166994105047</v>
      </c>
      <c r="J308" s="447">
        <f>J$296*Entrant_age_breakdowns!$K81*$G$31</f>
        <v>17.120740260490891</v>
      </c>
      <c r="K308" s="447">
        <f>K$296*Entrant_age_breakdowns!$K81*$G$31</f>
        <v>16.49989289872553</v>
      </c>
      <c r="L308" s="447">
        <f>L$296*Entrant_age_breakdowns!$K81*$G$31</f>
        <v>16.047773185207209</v>
      </c>
      <c r="M308" s="447">
        <f>M$296*Entrant_age_breakdowns!$K81*$G$31</f>
        <v>16.126313028857723</v>
      </c>
      <c r="N308" s="447">
        <f>N$296*Entrant_age_breakdowns!$K81*$G$31</f>
        <v>16.033725826411214</v>
      </c>
      <c r="O308" s="320"/>
    </row>
    <row r="309" spans="1:15">
      <c r="B309" s="331" t="str">
        <f t="shared" si="143"/>
        <v>50-54</v>
      </c>
      <c r="C309" s="447">
        <f>C$296*Entrant_age_breakdowns!$K82*$G$31</f>
        <v>11.321594674365802</v>
      </c>
      <c r="D309" s="447">
        <f>D$296*Entrant_age_breakdowns!$K82*$G$31</f>
        <v>11.947528472036524</v>
      </c>
      <c r="E309" s="447">
        <f>E$296*Entrant_age_breakdowns!$K82*$G$31</f>
        <v>12.725501104259896</v>
      </c>
      <c r="F309" s="447">
        <f>F$296*Entrant_age_breakdowns!$K82*$G$31</f>
        <v>12.378314700880539</v>
      </c>
      <c r="G309" s="447">
        <f>G$296*Entrant_age_breakdowns!$K82*$G$31</f>
        <v>12.072964403867791</v>
      </c>
      <c r="H309" s="447">
        <f>H$296*Entrant_age_breakdowns!$K82*$G$31</f>
        <v>11.730097955842247</v>
      </c>
      <c r="I309" s="447">
        <f>I$296*Entrant_age_breakdowns!$K82*$G$31</f>
        <v>12.291156804731839</v>
      </c>
      <c r="J309" s="447">
        <f>J$296*Entrant_age_breakdowns!$K82*$G$31</f>
        <v>12.686536720198545</v>
      </c>
      <c r="K309" s="447">
        <f>K$296*Entrant_age_breakdowns!$K82*$G$31</f>
        <v>12.226486352467029</v>
      </c>
      <c r="L309" s="447">
        <f>L$296*Entrant_age_breakdowns!$K82*$G$31</f>
        <v>11.891463844082139</v>
      </c>
      <c r="M309" s="447">
        <f>M$296*Entrant_age_breakdowns!$K82*$G$31</f>
        <v>11.94966218102965</v>
      </c>
      <c r="N309" s="447">
        <f>N$296*Entrant_age_breakdowns!$K82*$G$31</f>
        <v>11.88105469526756</v>
      </c>
      <c r="O309" s="320"/>
    </row>
    <row r="310" spans="1:15">
      <c r="B310" s="331" t="str">
        <f t="shared" si="143"/>
        <v>55-59</v>
      </c>
      <c r="C310" s="447">
        <f>C$296*Entrant_age_breakdowns!$K83*$G$31</f>
        <v>7.3373627593292596</v>
      </c>
      <c r="D310" s="447">
        <f>D$296*Entrant_age_breakdowns!$K83*$G$31</f>
        <v>7.7430214557347607</v>
      </c>
      <c r="E310" s="447">
        <f>E$296*Entrant_age_breakdowns!$K83*$G$31</f>
        <v>8.2472143352394234</v>
      </c>
      <c r="F310" s="447">
        <f>F$296*Entrant_age_breakdowns!$K83*$G$31</f>
        <v>8.0222078180507239</v>
      </c>
      <c r="G310" s="447">
        <f>G$296*Entrant_age_breakdowns!$K83*$G$31</f>
        <v>7.8243146799997474</v>
      </c>
      <c r="H310" s="447">
        <f>H$296*Entrant_age_breakdowns!$K83*$G$31</f>
        <v>7.6021078637760375</v>
      </c>
      <c r="I310" s="447">
        <f>I$296*Entrant_age_breakdowns!$K83*$G$31</f>
        <v>7.9657220384607754</v>
      </c>
      <c r="J310" s="447">
        <f>J$296*Entrant_age_breakdowns!$K83*$G$31</f>
        <v>8.221962078046424</v>
      </c>
      <c r="K310" s="447">
        <f>K$296*Entrant_age_breakdowns!$K83*$G$31</f>
        <v>7.9238100479925784</v>
      </c>
      <c r="L310" s="447">
        <f>L$296*Entrant_age_breakdowns!$K83*$G$31</f>
        <v>7.7066867762925115</v>
      </c>
      <c r="M310" s="447">
        <f>M$296*Entrant_age_breakdowns!$K83*$G$31</f>
        <v>7.7444042818609127</v>
      </c>
      <c r="N310" s="447">
        <f>N$296*Entrant_age_breakdowns!$K83*$G$31</f>
        <v>7.6999407565784033</v>
      </c>
      <c r="O310" s="320"/>
    </row>
    <row r="311" spans="1:15">
      <c r="B311" s="331" t="str">
        <f t="shared" si="143"/>
        <v>60-64</v>
      </c>
      <c r="C311" s="447">
        <f>C$296*Entrant_age_breakdowns!$K84*$G$31</f>
        <v>3.7418388412463823</v>
      </c>
      <c r="D311" s="447">
        <f>D$296*Entrant_age_breakdowns!$K84*$G$31</f>
        <v>3.9487128253041424</v>
      </c>
      <c r="E311" s="447">
        <f>E$296*Entrant_age_breakdowns!$K84*$G$31</f>
        <v>4.2058363398273446</v>
      </c>
      <c r="F311" s="447">
        <f>F$296*Entrant_age_breakdowns!$K84*$G$31</f>
        <v>4.0910896449771075</v>
      </c>
      <c r="G311" s="447">
        <f>G$296*Entrant_age_breakdowns!$K84*$G$31</f>
        <v>3.9901699746999673</v>
      </c>
      <c r="H311" s="447">
        <f>H$296*Entrant_age_breakdowns!$K84*$G$31</f>
        <v>3.8768510448598978</v>
      </c>
      <c r="I311" s="447">
        <f>I$296*Entrant_age_breakdowns!$K84*$G$31</f>
        <v>4.0622835615135342</v>
      </c>
      <c r="J311" s="447">
        <f>J$296*Entrant_age_breakdowns!$K84*$G$31</f>
        <v>4.1929584326155513</v>
      </c>
      <c r="K311" s="447">
        <f>K$296*Entrant_age_breakdowns!$K84*$G$31</f>
        <v>4.0409096811437184</v>
      </c>
      <c r="L311" s="447">
        <f>L$296*Entrant_age_breakdowns!$K84*$G$31</f>
        <v>3.930183209244424</v>
      </c>
      <c r="M311" s="447">
        <f>M$296*Entrant_age_breakdowns!$K84*$G$31</f>
        <v>3.9494180258890452</v>
      </c>
      <c r="N311" s="447">
        <f>N$296*Entrant_age_breakdowns!$K84*$G$31</f>
        <v>3.9267429379346854</v>
      </c>
      <c r="O311" s="320"/>
    </row>
    <row r="312" spans="1:15">
      <c r="B312" s="331" t="str">
        <f t="shared" si="143"/>
        <v>65 plus</v>
      </c>
      <c r="C312" s="447">
        <f>C$296*Entrant_age_breakdowns!$K85*$G$31</f>
        <v>1.1266616070199822</v>
      </c>
      <c r="D312" s="447">
        <f>D$296*Entrant_age_breakdowns!$K85*$G$31</f>
        <v>1.1889510281355919</v>
      </c>
      <c r="E312" s="447">
        <f>E$296*Entrant_age_breakdowns!$K85*$G$31</f>
        <v>1.2663705013854989</v>
      </c>
      <c r="F312" s="447">
        <f>F$296*Entrant_age_breakdowns!$K85*$G$31</f>
        <v>1.2318204576489447</v>
      </c>
      <c r="G312" s="447">
        <f>G$296*Entrant_age_breakdowns!$K85*$G$31</f>
        <v>1.2014337085882889</v>
      </c>
      <c r="H312" s="447">
        <f>H$296*Entrant_age_breakdowns!$K85*$G$31</f>
        <v>1.1673135625809126</v>
      </c>
      <c r="I312" s="447">
        <f>I$296*Entrant_age_breakdowns!$K85*$G$31</f>
        <v>1.223146992632421</v>
      </c>
      <c r="J312" s="447">
        <f>J$296*Entrant_age_breakdowns!$K85*$G$31</f>
        <v>1.2624929844079209</v>
      </c>
      <c r="K312" s="447">
        <f>K$296*Entrant_age_breakdowns!$K85*$G$31</f>
        <v>1.2167113519147441</v>
      </c>
      <c r="L312" s="447">
        <f>L$296*Entrant_age_breakdowns!$K85*$G$31</f>
        <v>1.1833717907891883</v>
      </c>
      <c r="M312" s="447">
        <f>M$296*Entrant_age_breakdowns!$K85*$G$31</f>
        <v>1.1891633628880938</v>
      </c>
      <c r="N312" s="447">
        <f>N$296*Entrant_age_breakdowns!$K85*$G$31</f>
        <v>1.1823359306768584</v>
      </c>
      <c r="O312" s="320"/>
    </row>
    <row r="313" spans="1:15">
      <c r="B313" s="331" t="str">
        <f t="shared" si="143"/>
        <v>Total</v>
      </c>
      <c r="C313" s="447">
        <f>C$296*Entrant_age_breakdowns!$K86*$G$31</f>
        <v>227.39264484327182</v>
      </c>
      <c r="D313" s="447">
        <f>D$296*Entrant_age_breakdowns!$K86*$G$31</f>
        <v>239.96443758474905</v>
      </c>
      <c r="E313" s="447">
        <f>E$296*Entrant_age_breakdowns!$K86*$G$31</f>
        <v>255.58990904395091</v>
      </c>
      <c r="F313" s="447">
        <f>F$296*Entrant_age_breakdowns!$K86*$G$31</f>
        <v>248.61671871266239</v>
      </c>
      <c r="G313" s="447">
        <f>G$296*Entrant_age_breakdowns!$K86*$G$31</f>
        <v>242.48380072376636</v>
      </c>
      <c r="H313" s="447">
        <f>H$296*Entrant_age_breakdowns!$K86*$G$31</f>
        <v>235.59737609128285</v>
      </c>
      <c r="I313" s="447">
        <f>I$296*Entrant_age_breakdowns!$K86*$G$31</f>
        <v>246.866164564217</v>
      </c>
      <c r="J313" s="447">
        <f>J$296*Entrant_age_breakdowns!$K86*$G$31</f>
        <v>254.80731484222937</v>
      </c>
      <c r="K313" s="447">
        <f>K$296*Entrant_age_breakdowns!$K86*$G$31</f>
        <v>245.56726757958972</v>
      </c>
      <c r="L313" s="447">
        <f>L$296*Entrant_age_breakdowns!$K86*$G$31</f>
        <v>238.83838737721359</v>
      </c>
      <c r="M313" s="447">
        <f>M$296*Entrant_age_breakdowns!$K86*$G$31</f>
        <v>240.00729283131349</v>
      </c>
      <c r="N313" s="447">
        <f>N$296*Entrant_age_breakdowns!$K86*$G$31</f>
        <v>238.62932107978875</v>
      </c>
      <c r="O313" s="320"/>
    </row>
    <row r="314" spans="1:15">
      <c r="A314" s="302">
        <f>SUM(C314:N314)</f>
        <v>0</v>
      </c>
      <c r="C314" s="302">
        <f>SUM(C303:C312)-C313</f>
        <v>0</v>
      </c>
      <c r="D314" s="302">
        <f t="shared" ref="D314:N314" si="145">SUM(D303:D312)-D313</f>
        <v>0</v>
      </c>
      <c r="E314" s="302">
        <f t="shared" si="145"/>
        <v>0</v>
      </c>
      <c r="F314" s="302">
        <f t="shared" si="145"/>
        <v>0</v>
      </c>
      <c r="G314" s="302">
        <f t="shared" si="145"/>
        <v>0</v>
      </c>
      <c r="H314" s="302">
        <f t="shared" si="145"/>
        <v>0</v>
      </c>
      <c r="I314" s="302">
        <f t="shared" si="145"/>
        <v>0</v>
      </c>
      <c r="J314" s="302">
        <f t="shared" si="145"/>
        <v>0</v>
      </c>
      <c r="K314" s="302">
        <f t="shared" si="145"/>
        <v>0</v>
      </c>
      <c r="L314" s="302">
        <f t="shared" si="145"/>
        <v>0</v>
      </c>
      <c r="M314" s="302">
        <f t="shared" si="145"/>
        <v>0</v>
      </c>
      <c r="N314" s="302">
        <f t="shared" si="145"/>
        <v>0</v>
      </c>
    </row>
    <row r="316" spans="1:15">
      <c r="B316" s="334" t="s">
        <v>47</v>
      </c>
      <c r="H316" s="318"/>
    </row>
    <row r="317" spans="1:15">
      <c r="H317" s="318"/>
    </row>
    <row r="318" spans="1:15">
      <c r="B318" s="331" t="str">
        <f t="shared" ref="B318:B329" si="146">B302</f>
        <v>Age group</v>
      </c>
      <c r="C318" s="331" t="str">
        <f>C293</f>
        <v>2017/18</v>
      </c>
      <c r="D318" s="331" t="str">
        <f t="shared" ref="D318:N318" si="147">D302</f>
        <v>2018/19</v>
      </c>
      <c r="E318" s="331" t="str">
        <f t="shared" si="147"/>
        <v>2019/20</v>
      </c>
      <c r="F318" s="331" t="str">
        <f t="shared" si="147"/>
        <v>2020/21</v>
      </c>
      <c r="G318" s="331" t="str">
        <f t="shared" si="147"/>
        <v>2021/22</v>
      </c>
      <c r="H318" s="331" t="str">
        <f t="shared" si="147"/>
        <v>2022/23</v>
      </c>
      <c r="I318" s="331" t="str">
        <f t="shared" si="147"/>
        <v>2023/24</v>
      </c>
      <c r="J318" s="331" t="str">
        <f t="shared" si="147"/>
        <v>2024/25</v>
      </c>
      <c r="K318" s="331" t="str">
        <f t="shared" si="147"/>
        <v>2025/26</v>
      </c>
      <c r="L318" s="331" t="str">
        <f t="shared" si="147"/>
        <v>2026/27</v>
      </c>
      <c r="M318" s="331" t="str">
        <f t="shared" si="147"/>
        <v>2027/28</v>
      </c>
      <c r="N318" s="331" t="str">
        <f t="shared" si="147"/>
        <v>2028/29</v>
      </c>
    </row>
    <row r="319" spans="1:15">
      <c r="B319" s="331" t="str">
        <f t="shared" si="146"/>
        <v>20-24</v>
      </c>
      <c r="C319" s="447">
        <f>C$296*Entrant_age_breakdowns!$K76*$H$31</f>
        <v>130.27801090269389</v>
      </c>
      <c r="D319" s="447">
        <f>D$296*Entrant_age_breakdowns!$K76*$H$31</f>
        <v>137.48065438735645</v>
      </c>
      <c r="E319" s="447">
        <f>E$296*Entrant_age_breakdowns!$K76*$H$31</f>
        <v>146.43281439466313</v>
      </c>
      <c r="F319" s="447">
        <f>F$296*Entrant_age_breakdowns!$K76*$H$31</f>
        <v>142.43772754111819</v>
      </c>
      <c r="G319" s="447">
        <f>G$296*Entrant_age_breakdowns!$K76*$H$31</f>
        <v>138.92405031917718</v>
      </c>
      <c r="H319" s="447">
        <f>H$296*Entrant_age_breakdowns!$K76*$H$31</f>
        <v>134.9786733525228</v>
      </c>
      <c r="I319" s="447">
        <f>I$296*Entrant_age_breakdowns!$K76*$H$31</f>
        <v>141.43479838923597</v>
      </c>
      <c r="J319" s="447">
        <f>J$296*Entrant_age_breakdowns!$K76*$H$31</f>
        <v>145.98444977840856</v>
      </c>
      <c r="K319" s="447">
        <f>K$296*Entrant_age_breakdowns!$K76*$H$31</f>
        <v>140.69063309030389</v>
      </c>
      <c r="L319" s="447">
        <f>L$296*Entrant_age_breakdowns!$K76*$H$31</f>
        <v>136.83551662876536</v>
      </c>
      <c r="M319" s="447">
        <f>M$296*Entrant_age_breakdowns!$K76*$H$31</f>
        <v>137.50520705608065</v>
      </c>
      <c r="N319" s="447">
        <f>N$296*Entrant_age_breakdowns!$K76*$H$31</f>
        <v>136.71573816629981</v>
      </c>
    </row>
    <row r="320" spans="1:15">
      <c r="B320" s="331" t="str">
        <f t="shared" si="146"/>
        <v>25-29</v>
      </c>
      <c r="C320" s="447">
        <f>C$296*Entrant_age_breakdowns!$K77*$H$31</f>
        <v>132.98534695317798</v>
      </c>
      <c r="D320" s="447">
        <f>D$296*Entrant_age_breakdowns!$K77*$H$31</f>
        <v>140.33767015915112</v>
      </c>
      <c r="E320" s="447">
        <f>E$296*Entrant_age_breakdowns!$K77*$H$31</f>
        <v>149.47586697612007</v>
      </c>
      <c r="F320" s="447">
        <f>F$296*Entrant_age_breakdowns!$K77*$H$31</f>
        <v>145.39775734238015</v>
      </c>
      <c r="G320" s="447">
        <f>G$296*Entrant_age_breakdowns!$K77*$H$31</f>
        <v>141.81106161987398</v>
      </c>
      <c r="H320" s="447">
        <f>H$296*Entrant_age_breakdowns!$K77*$H$31</f>
        <v>137.78369490513731</v>
      </c>
      <c r="I320" s="447">
        <f>I$296*Entrant_age_breakdowns!$K77*$H$31</f>
        <v>144.3739860988037</v>
      </c>
      <c r="J320" s="447">
        <f>J$296*Entrant_age_breakdowns!$K77*$H$31</f>
        <v>149.01818479598091</v>
      </c>
      <c r="K320" s="447">
        <f>K$296*Entrant_age_breakdowns!$K77*$H$31</f>
        <v>143.61435613682249</v>
      </c>
      <c r="L320" s="447">
        <f>L$296*Entrant_age_breakdowns!$K77*$H$31</f>
        <v>139.67912565064682</v>
      </c>
      <c r="M320" s="447">
        <f>M$296*Entrant_age_breakdowns!$K77*$H$31</f>
        <v>140.36273306229413</v>
      </c>
      <c r="N320" s="447">
        <f>N$296*Entrant_age_breakdowns!$K77*$H$31</f>
        <v>139.55685804556038</v>
      </c>
    </row>
    <row r="321" spans="1:14">
      <c r="B321" s="331" t="str">
        <f t="shared" si="146"/>
        <v>30-34</v>
      </c>
      <c r="C321" s="447">
        <f>C$296*Entrant_age_breakdowns!$K78*$H$31</f>
        <v>66.047520556852234</v>
      </c>
      <c r="D321" s="447">
        <f>D$296*Entrant_age_breakdowns!$K78*$H$31</f>
        <v>69.69907111646468</v>
      </c>
      <c r="E321" s="447">
        <f>E$296*Entrant_age_breakdowns!$K78*$H$31</f>
        <v>74.237580478205274</v>
      </c>
      <c r="F321" s="447">
        <f>F$296*Entrant_age_breakdowns!$K78*$H$31</f>
        <v>72.212176657118349</v>
      </c>
      <c r="G321" s="447">
        <f>G$296*Entrant_age_breakdowns!$K78*$H$31</f>
        <v>70.430834840964692</v>
      </c>
      <c r="H321" s="447">
        <f>H$296*Entrant_age_breakdowns!$K78*$H$31</f>
        <v>68.430632623383474</v>
      </c>
      <c r="I321" s="447">
        <f>I$296*Entrant_age_breakdowns!$K78*$H$31</f>
        <v>71.703717990018475</v>
      </c>
      <c r="J321" s="447">
        <f>J$296*Entrant_age_breakdowns!$K78*$H$31</f>
        <v>74.01027142578846</v>
      </c>
      <c r="K321" s="447">
        <f>K$296*Entrant_age_breakdowns!$K78*$H$31</f>
        <v>71.326445781620819</v>
      </c>
      <c r="L321" s="447">
        <f>L$296*Entrant_age_breakdowns!$K78*$H$31</f>
        <v>69.372003263054083</v>
      </c>
      <c r="M321" s="447">
        <f>M$296*Entrant_age_breakdowns!$K78*$H$31</f>
        <v>69.711518672894599</v>
      </c>
      <c r="N321" s="447">
        <f>N$296*Entrant_age_breakdowns!$K78*$H$31</f>
        <v>69.311278737041263</v>
      </c>
    </row>
    <row r="322" spans="1:14">
      <c r="B322" s="331" t="str">
        <f t="shared" si="146"/>
        <v>35-39</v>
      </c>
      <c r="C322" s="447">
        <f>C$296*Entrant_age_breakdowns!$K79*$H$31</f>
        <v>49.227387835734589</v>
      </c>
      <c r="D322" s="447">
        <f>D$296*Entrant_age_breakdowns!$K79*$H$31</f>
        <v>51.949008482267494</v>
      </c>
      <c r="E322" s="447">
        <f>E$296*Entrant_age_breakdowns!$K79*$H$31</f>
        <v>55.331708675444354</v>
      </c>
      <c r="F322" s="447">
        <f>F$296*Entrant_age_breakdowns!$K79*$H$31</f>
        <v>53.822108639227999</v>
      </c>
      <c r="G322" s="447">
        <f>G$296*Entrant_age_breakdowns!$K79*$H$31</f>
        <v>52.494416036803564</v>
      </c>
      <c r="H322" s="447">
        <f>H$296*Entrant_age_breakdowns!$K79*$H$31</f>
        <v>51.003599583973809</v>
      </c>
      <c r="I322" s="447">
        <f>I$296*Entrant_age_breakdowns!$K79*$H$31</f>
        <v>53.44313768327482</v>
      </c>
      <c r="J322" s="447">
        <f>J$296*Entrant_age_breakdowns!$K79*$H$31</f>
        <v>55.162287767777364</v>
      </c>
      <c r="K322" s="447">
        <f>K$296*Entrant_age_breakdowns!$K79*$H$31</f>
        <v>53.161944306659748</v>
      </c>
      <c r="L322" s="447">
        <f>L$296*Entrant_age_breakdowns!$K79*$H$31</f>
        <v>51.705234061476247</v>
      </c>
      <c r="M322" s="447">
        <f>M$296*Entrant_age_breakdowns!$K79*$H$31</f>
        <v>51.958286055184935</v>
      </c>
      <c r="N322" s="447">
        <f>N$296*Entrant_age_breakdowns!$K79*$H$31</f>
        <v>51.659974076423495</v>
      </c>
    </row>
    <row r="323" spans="1:14">
      <c r="B323" s="331" t="str">
        <f t="shared" si="146"/>
        <v>40-44</v>
      </c>
      <c r="C323" s="447">
        <f>C$296*Entrant_age_breakdowns!$K80*$H$31</f>
        <v>42.298452374279421</v>
      </c>
      <c r="D323" s="447">
        <f>D$296*Entrant_age_breakdowns!$K80*$H$31</f>
        <v>44.63699492872837</v>
      </c>
      <c r="E323" s="447">
        <f>E$296*Entrant_age_breakdowns!$K80*$H$31</f>
        <v>47.543567658018951</v>
      </c>
      <c r="F323" s="447">
        <f>F$296*Entrant_age_breakdowns!$K80*$H$31</f>
        <v>46.246449365876785</v>
      </c>
      <c r="G323" s="447">
        <f>G$296*Entrant_age_breakdowns!$K80*$H$31</f>
        <v>45.105634368771334</v>
      </c>
      <c r="H323" s="447">
        <f>H$296*Entrant_age_breakdowns!$K80*$H$31</f>
        <v>43.824655801733975</v>
      </c>
      <c r="I323" s="447">
        <f>I$296*Entrant_age_breakdowns!$K80*$H$31</f>
        <v>45.920819962482284</v>
      </c>
      <c r="J323" s="447">
        <f>J$296*Entrant_age_breakdowns!$K80*$H$31</f>
        <v>47.397993364739932</v>
      </c>
      <c r="K323" s="447">
        <f>K$296*Entrant_age_breakdowns!$K80*$H$31</f>
        <v>45.679205585371619</v>
      </c>
      <c r="L323" s="447">
        <f>L$296*Entrant_age_breakdowns!$K80*$H$31</f>
        <v>44.427532652112895</v>
      </c>
      <c r="M323" s="447">
        <f>M$296*Entrant_age_breakdowns!$K80*$H$31</f>
        <v>44.644966649216705</v>
      </c>
      <c r="N323" s="447">
        <f>N$296*Entrant_age_breakdowns!$K80*$H$31</f>
        <v>44.388643176022818</v>
      </c>
    </row>
    <row r="324" spans="1:14">
      <c r="B324" s="331" t="str">
        <f t="shared" si="146"/>
        <v>45-49</v>
      </c>
      <c r="C324" s="447">
        <f>C$296*Entrant_age_breakdowns!$K81*$H$31</f>
        <v>34.09495870694095</v>
      </c>
      <c r="D324" s="447">
        <f>D$296*Entrant_age_breakdowns!$K81*$H$31</f>
        <v>35.979957030823925</v>
      </c>
      <c r="E324" s="447">
        <f>E$296*Entrant_age_breakdowns!$K81*$H$31</f>
        <v>38.322819987298026</v>
      </c>
      <c r="F324" s="447">
        <f>F$296*Entrant_age_breakdowns!$K81*$H$31</f>
        <v>37.277268858919228</v>
      </c>
      <c r="G324" s="447">
        <f>G$296*Entrant_age_breakdowns!$K81*$H$31</f>
        <v>36.357707077452694</v>
      </c>
      <c r="H324" s="447">
        <f>H$296*Entrant_age_breakdowns!$K81*$H$31</f>
        <v>35.325165485595953</v>
      </c>
      <c r="I324" s="447">
        <f>I$296*Entrant_age_breakdowns!$K81*$H$31</f>
        <v>37.014793036771835</v>
      </c>
      <c r="J324" s="447">
        <f>J$296*Entrant_age_breakdowns!$K81*$H$31</f>
        <v>38.205478826107971</v>
      </c>
      <c r="K324" s="447">
        <f>K$296*Entrant_age_breakdowns!$K81*$H$31</f>
        <v>36.820038104896348</v>
      </c>
      <c r="L324" s="447">
        <f>L$296*Entrant_age_breakdowns!$K81*$H$31</f>
        <v>35.811118520878608</v>
      </c>
      <c r="M324" s="447">
        <f>M$296*Entrant_age_breakdowns!$K81*$H$31</f>
        <v>35.986382690998639</v>
      </c>
      <c r="N324" s="447">
        <f>N$296*Entrant_age_breakdowns!$K81*$H$31</f>
        <v>35.77977139097198</v>
      </c>
    </row>
    <row r="325" spans="1:14">
      <c r="B325" s="331" t="str">
        <f t="shared" si="146"/>
        <v>50-54</v>
      </c>
      <c r="C325" s="447">
        <f>C$296*Entrant_age_breakdowns!$K82*$H$31</f>
        <v>25.264500192636959</v>
      </c>
      <c r="D325" s="447">
        <f>D$296*Entrant_age_breakdowns!$K82*$H$31</f>
        <v>26.661291458061392</v>
      </c>
      <c r="E325" s="447">
        <f>E$296*Entrant_age_breakdowns!$K82*$H$31</f>
        <v>28.397362239784083</v>
      </c>
      <c r="F325" s="447">
        <f>F$296*Entrant_age_breakdowns!$K82*$H$31</f>
        <v>27.622604689514333</v>
      </c>
      <c r="G325" s="447">
        <f>G$296*Entrant_age_breakdowns!$K82*$H$31</f>
        <v>26.941205747087306</v>
      </c>
      <c r="H325" s="447">
        <f>H$296*Entrant_age_breakdowns!$K82*$H$31</f>
        <v>26.176088315193784</v>
      </c>
      <c r="I325" s="447">
        <f>I$296*Entrant_age_breakdowns!$K82*$H$31</f>
        <v>27.428109059934481</v>
      </c>
      <c r="J325" s="447">
        <f>J$296*Entrant_age_breakdowns!$K82*$H$31</f>
        <v>28.310411972004854</v>
      </c>
      <c r="K325" s="447">
        <f>K$296*Entrant_age_breakdowns!$K82*$H$31</f>
        <v>27.283794879759704</v>
      </c>
      <c r="L325" s="447">
        <f>L$296*Entrant_age_breakdowns!$K82*$H$31</f>
        <v>26.53618144975481</v>
      </c>
      <c r="M325" s="447">
        <f>M$296*Entrant_age_breakdowns!$K82*$H$31</f>
        <v>26.66605289784248</v>
      </c>
      <c r="N325" s="447">
        <f>N$296*Entrant_age_breakdowns!$K82*$H$31</f>
        <v>26.512953101647049</v>
      </c>
    </row>
    <row r="326" spans="1:14">
      <c r="B326" s="331" t="str">
        <f t="shared" si="146"/>
        <v>55-59</v>
      </c>
      <c r="C326" s="447">
        <f>C$296*Entrant_age_breakdowns!$K83*$H$31</f>
        <v>16.373559394971487</v>
      </c>
      <c r="D326" s="447">
        <f>D$296*Entrant_age_breakdowns!$K83*$H$31</f>
        <v>17.278799735070109</v>
      </c>
      <c r="E326" s="447">
        <f>E$296*Entrant_age_breakdowns!$K83*$H$31</f>
        <v>18.403922252502511</v>
      </c>
      <c r="F326" s="447">
        <f>F$296*Entrant_age_breakdowns!$K83*$H$31</f>
        <v>17.901813021394844</v>
      </c>
      <c r="G326" s="447">
        <f>G$296*Entrant_age_breakdowns!$K83*$H$31</f>
        <v>17.460208161990135</v>
      </c>
      <c r="H326" s="447">
        <f>H$296*Entrant_age_breakdowns!$K83*$H$31</f>
        <v>16.964346553024377</v>
      </c>
      <c r="I326" s="447">
        <f>I$296*Entrant_age_breakdowns!$K83*$H$31</f>
        <v>17.775763199759496</v>
      </c>
      <c r="J326" s="447">
        <f>J$296*Entrant_age_breakdowns!$K83*$H$31</f>
        <v>18.347571033874132</v>
      </c>
      <c r="K326" s="447">
        <f>K$296*Entrant_age_breakdowns!$K83*$H$31</f>
        <v>17.682235254119906</v>
      </c>
      <c r="L326" s="447">
        <f>L$296*Entrant_age_breakdowns!$K83*$H$31</f>
        <v>17.197717737156282</v>
      </c>
      <c r="M326" s="447">
        <f>M$296*Entrant_age_breakdowns!$K83*$H$31</f>
        <v>17.28188555574603</v>
      </c>
      <c r="N326" s="447">
        <f>N$296*Entrant_age_breakdowns!$K83*$H$31</f>
        <v>17.182663778657616</v>
      </c>
    </row>
    <row r="327" spans="1:14">
      <c r="B327" s="331" t="str">
        <f t="shared" si="146"/>
        <v>60-64</v>
      </c>
      <c r="C327" s="447">
        <f>C$296*Entrant_age_breakdowns!$K84*$H$31</f>
        <v>8.3500329100751216</v>
      </c>
      <c r="D327" s="447">
        <f>D$296*Entrant_age_breakdowns!$K84*$H$31</f>
        <v>8.8116788142437965</v>
      </c>
      <c r="E327" s="447">
        <f>E$296*Entrant_age_breakdowns!$K84*$H$31</f>
        <v>9.3854581509048511</v>
      </c>
      <c r="F327" s="447">
        <f>F$296*Entrant_age_breakdowns!$K84*$H$31</f>
        <v>9.1293972356777591</v>
      </c>
      <c r="G327" s="447">
        <f>G$296*Entrant_age_breakdowns!$K84*$H$31</f>
        <v>8.9041917675001514</v>
      </c>
      <c r="H327" s="447">
        <f>H$296*Entrant_age_breakdowns!$K84*$H$31</f>
        <v>8.6513169555042673</v>
      </c>
      <c r="I327" s="447">
        <f>I$296*Entrant_age_breakdowns!$K84*$H$31</f>
        <v>9.0651155401969667</v>
      </c>
      <c r="J327" s="447">
        <f>J$296*Entrant_age_breakdowns!$K84*$H$31</f>
        <v>9.3567206895673785</v>
      </c>
      <c r="K327" s="447">
        <f>K$296*Entrant_age_breakdowns!$K84*$H$31</f>
        <v>9.0174190433471644</v>
      </c>
      <c r="L327" s="447">
        <f>L$296*Entrant_age_breakdowns!$K84*$H$31</f>
        <v>8.770329384064123</v>
      </c>
      <c r="M327" s="447">
        <f>M$296*Entrant_age_breakdowns!$K84*$H$31</f>
        <v>8.8132524918771669</v>
      </c>
      <c r="N327" s="447">
        <f>N$296*Entrant_age_breakdowns!$K84*$H$31</f>
        <v>8.7626523087344079</v>
      </c>
    </row>
    <row r="328" spans="1:14">
      <c r="B328" s="331" t="str">
        <f t="shared" si="146"/>
        <v>65 plus</v>
      </c>
      <c r="C328" s="447">
        <f>C$296*Entrant_age_breakdowns!$K85*$H$31</f>
        <v>2.5141813681108038</v>
      </c>
      <c r="D328" s="447">
        <f>D$296*Entrant_age_breakdowns!$K85*$H$31</f>
        <v>2.653182201212323</v>
      </c>
      <c r="E328" s="447">
        <f>E$296*Entrant_age_breakdowns!$K85*$H$31</f>
        <v>2.8259462289923309</v>
      </c>
      <c r="F328" s="447">
        <f>F$296*Entrant_age_breakdowns!$K85*$H$31</f>
        <v>2.7488467026672834</v>
      </c>
      <c r="G328" s="447">
        <f>G$296*Entrant_age_breakdowns!$K85*$H$31</f>
        <v>2.6810377014110576</v>
      </c>
      <c r="H328" s="447">
        <f>H$296*Entrant_age_breakdowns!$K85*$H$31</f>
        <v>2.6048975056020738</v>
      </c>
      <c r="I328" s="447">
        <f>I$296*Entrant_age_breakdowns!$K85*$H$31</f>
        <v>2.729491588402599</v>
      </c>
      <c r="J328" s="447">
        <f>J$296*Entrant_age_breakdowns!$K85*$H$31</f>
        <v>2.8172934259866929</v>
      </c>
      <c r="K328" s="447">
        <f>K$296*Entrant_age_breakdowns!$K85*$H$31</f>
        <v>2.7151302505497581</v>
      </c>
      <c r="L328" s="447">
        <f>L$296*Entrant_age_breakdowns!$K85*$H$31</f>
        <v>2.6407319548409234</v>
      </c>
      <c r="M328" s="447">
        <f>M$296*Entrant_age_breakdowns!$K85*$H$31</f>
        <v>2.6536560329957233</v>
      </c>
      <c r="N328" s="447">
        <f>N$296*Entrant_age_breakdowns!$K85*$H$31</f>
        <v>2.6384203999089348</v>
      </c>
    </row>
    <row r="329" spans="1:14">
      <c r="B329" s="331" t="str">
        <f t="shared" si="146"/>
        <v>Total</v>
      </c>
      <c r="C329" s="447">
        <f>C$296*Entrant_age_breakdowns!$K86*$H$31</f>
        <v>507.43395119547347</v>
      </c>
      <c r="D329" s="447">
        <f>D$296*Entrant_age_breakdowns!$K86*$H$31</f>
        <v>535.48830831337966</v>
      </c>
      <c r="E329" s="447">
        <f>E$296*Entrant_age_breakdowns!$K86*$H$31</f>
        <v>570.35704704193358</v>
      </c>
      <c r="F329" s="447">
        <f>F$296*Entrant_age_breakdowns!$K86*$H$31</f>
        <v>554.79615005389496</v>
      </c>
      <c r="G329" s="447">
        <f>G$296*Entrant_age_breakdowns!$K86*$H$31</f>
        <v>541.11034764103215</v>
      </c>
      <c r="H329" s="447">
        <f>H$296*Entrant_age_breakdowns!$K86*$H$31</f>
        <v>525.74307108167181</v>
      </c>
      <c r="I329" s="447">
        <f>I$296*Entrant_age_breakdowns!$K86*$H$31</f>
        <v>550.8897325488806</v>
      </c>
      <c r="J329" s="447">
        <f>J$296*Entrant_age_breakdowns!$K86*$H$31</f>
        <v>568.61066308023635</v>
      </c>
      <c r="K329" s="447">
        <f>K$296*Entrant_age_breakdowns!$K86*$H$31</f>
        <v>547.99120243345146</v>
      </c>
      <c r="L329" s="447">
        <f>L$296*Entrant_age_breakdowns!$K86*$H$31</f>
        <v>532.97549130275024</v>
      </c>
      <c r="M329" s="447">
        <f>M$296*Entrant_age_breakdowns!$K86*$H$31</f>
        <v>535.58394116513114</v>
      </c>
      <c r="N329" s="447">
        <f>N$296*Entrant_age_breakdowns!$K86*$H$31</f>
        <v>532.50895318126777</v>
      </c>
    </row>
    <row r="330" spans="1:14">
      <c r="A330" s="302">
        <f>SUM(C330:N330)</f>
        <v>0</v>
      </c>
      <c r="C330" s="302">
        <f>SUM(C319:C328)-C329</f>
        <v>0</v>
      </c>
      <c r="D330" s="302">
        <f t="shared" ref="D330:N330" si="148">SUM(D319:D328)-D329</f>
        <v>0</v>
      </c>
      <c r="E330" s="302">
        <f t="shared" si="148"/>
        <v>0</v>
      </c>
      <c r="F330" s="302">
        <f t="shared" si="148"/>
        <v>0</v>
      </c>
      <c r="G330" s="302">
        <f t="shared" si="148"/>
        <v>0</v>
      </c>
      <c r="H330" s="302">
        <f t="shared" si="148"/>
        <v>0</v>
      </c>
      <c r="I330" s="302">
        <f t="shared" si="148"/>
        <v>0</v>
      </c>
      <c r="J330" s="302">
        <f t="shared" si="148"/>
        <v>0</v>
      </c>
      <c r="K330" s="302">
        <f t="shared" si="148"/>
        <v>0</v>
      </c>
      <c r="L330" s="302">
        <f t="shared" si="148"/>
        <v>0</v>
      </c>
      <c r="M330" s="302">
        <f t="shared" si="148"/>
        <v>0</v>
      </c>
      <c r="N330" s="302">
        <f t="shared" si="148"/>
        <v>0</v>
      </c>
    </row>
    <row r="331" spans="1:14">
      <c r="C331" s="322">
        <f>C296</f>
        <v>734.82659603874527</v>
      </c>
      <c r="D331" s="322">
        <f t="shared" ref="D331:N331" si="149">D296</f>
        <v>775.45274589812868</v>
      </c>
      <c r="E331" s="322">
        <f t="shared" si="149"/>
        <v>825.94695608588449</v>
      </c>
      <c r="F331" s="322">
        <f t="shared" si="149"/>
        <v>803.41286876655727</v>
      </c>
      <c r="G331" s="322">
        <f t="shared" si="149"/>
        <v>783.59414836479846</v>
      </c>
      <c r="H331" s="322">
        <f t="shared" si="149"/>
        <v>761.34044717295467</v>
      </c>
      <c r="I331" s="322">
        <f t="shared" si="149"/>
        <v>797.7558971130976</v>
      </c>
      <c r="J331" s="322">
        <f t="shared" si="149"/>
        <v>823.41797792246564</v>
      </c>
      <c r="K331" s="322">
        <f t="shared" si="149"/>
        <v>793.55847001304119</v>
      </c>
      <c r="L331" s="322">
        <f t="shared" si="149"/>
        <v>771.81387867996375</v>
      </c>
      <c r="M331" s="322">
        <f t="shared" si="149"/>
        <v>775.59123399644454</v>
      </c>
      <c r="N331" s="322">
        <f t="shared" si="149"/>
        <v>771.13827426105649</v>
      </c>
    </row>
    <row r="332" spans="1:14">
      <c r="C332" s="322">
        <f>C313+C329</f>
        <v>734.82659603874527</v>
      </c>
      <c r="D332" s="322">
        <f t="shared" ref="D332:N332" si="150">D313+D329</f>
        <v>775.45274589812868</v>
      </c>
      <c r="E332" s="322">
        <f t="shared" si="150"/>
        <v>825.94695608588449</v>
      </c>
      <c r="F332" s="322">
        <f t="shared" si="150"/>
        <v>803.41286876655738</v>
      </c>
      <c r="G332" s="322">
        <f t="shared" si="150"/>
        <v>783.59414836479846</v>
      </c>
      <c r="H332" s="322">
        <f t="shared" si="150"/>
        <v>761.34044717295467</v>
      </c>
      <c r="I332" s="322">
        <f t="shared" si="150"/>
        <v>797.7558971130976</v>
      </c>
      <c r="J332" s="322">
        <f t="shared" si="150"/>
        <v>823.41797792246575</v>
      </c>
      <c r="K332" s="322">
        <f t="shared" si="150"/>
        <v>793.55847001304119</v>
      </c>
      <c r="L332" s="322">
        <f t="shared" si="150"/>
        <v>771.81387867996386</v>
      </c>
      <c r="M332" s="322">
        <f t="shared" si="150"/>
        <v>775.59123399644466</v>
      </c>
      <c r="N332" s="322">
        <f t="shared" si="150"/>
        <v>771.13827426105649</v>
      </c>
    </row>
    <row r="333" spans="1:14">
      <c r="A333" s="302">
        <f>SUM(C333:L333)</f>
        <v>0</v>
      </c>
      <c r="C333" s="322">
        <f>C331-C332</f>
        <v>0</v>
      </c>
      <c r="D333" s="322">
        <f t="shared" ref="D333:K333" si="151">D331-D332</f>
        <v>0</v>
      </c>
      <c r="E333" s="322">
        <f t="shared" si="151"/>
        <v>0</v>
      </c>
      <c r="F333" s="322">
        <f t="shared" si="151"/>
        <v>0</v>
      </c>
      <c r="G333" s="322">
        <f t="shared" si="151"/>
        <v>0</v>
      </c>
      <c r="H333" s="322">
        <f t="shared" si="151"/>
        <v>0</v>
      </c>
      <c r="I333" s="322">
        <f t="shared" si="151"/>
        <v>0</v>
      </c>
      <c r="J333" s="322">
        <f t="shared" si="151"/>
        <v>0</v>
      </c>
      <c r="K333" s="322">
        <f t="shared" si="151"/>
        <v>0</v>
      </c>
      <c r="L333" s="322">
        <f>L331-L332</f>
        <v>0</v>
      </c>
      <c r="M333" s="322">
        <f>M331-M332</f>
        <v>0</v>
      </c>
      <c r="N333" s="322">
        <f>N331-N332</f>
        <v>0</v>
      </c>
    </row>
    <row r="334" spans="1:14">
      <c r="C334" s="322"/>
      <c r="D334" s="322"/>
      <c r="E334" s="322"/>
      <c r="F334" s="322"/>
      <c r="G334" s="322"/>
      <c r="H334" s="335"/>
      <c r="I334" s="322"/>
      <c r="J334" s="322"/>
      <c r="K334" s="322"/>
      <c r="L334" s="322"/>
    </row>
    <row r="335" spans="1:14" ht="15.75">
      <c r="B335" s="333" t="s">
        <v>176</v>
      </c>
      <c r="C335" s="322"/>
      <c r="D335" s="322"/>
      <c r="E335" s="322"/>
      <c r="F335" s="322"/>
      <c r="G335" s="322"/>
      <c r="H335" s="335"/>
      <c r="I335" s="322"/>
      <c r="J335" s="322"/>
      <c r="K335" s="322"/>
      <c r="L335" s="322"/>
    </row>
    <row r="336" spans="1:14" ht="15.75">
      <c r="B336" s="333"/>
      <c r="C336" s="322"/>
      <c r="D336" s="322"/>
      <c r="E336" s="322"/>
      <c r="F336" s="322"/>
      <c r="G336" s="322"/>
      <c r="H336" s="335"/>
      <c r="I336" s="322"/>
      <c r="J336" s="322"/>
      <c r="K336" s="322"/>
      <c r="L336" s="322"/>
    </row>
    <row r="337" spans="1:17">
      <c r="B337" s="334" t="s">
        <v>46</v>
      </c>
      <c r="C337" s="322"/>
      <c r="D337" s="322"/>
      <c r="E337" s="322"/>
      <c r="F337" s="322"/>
      <c r="G337" s="322"/>
      <c r="H337" s="332"/>
      <c r="I337" s="322"/>
      <c r="J337" s="322"/>
      <c r="K337" s="322"/>
      <c r="L337" s="322"/>
    </row>
    <row r="338" spans="1:17">
      <c r="C338" s="322"/>
      <c r="D338" s="322"/>
      <c r="E338" s="322"/>
      <c r="F338" s="322"/>
      <c r="G338" s="322"/>
      <c r="H338" s="332"/>
      <c r="I338" s="322"/>
      <c r="J338" s="322"/>
      <c r="K338" s="322"/>
      <c r="L338" s="322"/>
    </row>
    <row r="339" spans="1:17">
      <c r="B339" s="331" t="str">
        <f>B318</f>
        <v>Age group</v>
      </c>
      <c r="C339" s="331" t="str">
        <f t="shared" ref="C339:N339" si="152">C318</f>
        <v>2017/18</v>
      </c>
      <c r="D339" s="331" t="str">
        <f t="shared" si="152"/>
        <v>2018/19</v>
      </c>
      <c r="E339" s="331" t="str">
        <f t="shared" si="152"/>
        <v>2019/20</v>
      </c>
      <c r="F339" s="331" t="str">
        <f t="shared" si="152"/>
        <v>2020/21</v>
      </c>
      <c r="G339" s="331" t="str">
        <f t="shared" si="152"/>
        <v>2021/22</v>
      </c>
      <c r="H339" s="331" t="str">
        <f t="shared" si="152"/>
        <v>2022/23</v>
      </c>
      <c r="I339" s="331" t="str">
        <f t="shared" si="152"/>
        <v>2023/24</v>
      </c>
      <c r="J339" s="331" t="str">
        <f t="shared" si="152"/>
        <v>2024/25</v>
      </c>
      <c r="K339" s="331" t="str">
        <f t="shared" si="152"/>
        <v>2025/26</v>
      </c>
      <c r="L339" s="331" t="str">
        <f t="shared" si="152"/>
        <v>2026/27</v>
      </c>
      <c r="M339" s="331" t="str">
        <f t="shared" si="152"/>
        <v>2027/28</v>
      </c>
      <c r="N339" s="331" t="str">
        <f t="shared" si="152"/>
        <v>2028/29</v>
      </c>
    </row>
    <row r="340" spans="1:17">
      <c r="B340" s="331" t="str">
        <f t="shared" ref="B340:B350" si="153">B319</f>
        <v>20-24</v>
      </c>
      <c r="C340" s="447">
        <f t="shared" ref="C340:N340" si="154">C303+C247</f>
        <v>117.44650818540168</v>
      </c>
      <c r="D340" s="447">
        <f t="shared" si="154"/>
        <v>144.47563739632679</v>
      </c>
      <c r="E340" s="447">
        <f t="shared" si="154"/>
        <v>167.04646580864767</v>
      </c>
      <c r="F340" s="447">
        <f t="shared" si="154"/>
        <v>181.40893112087753</v>
      </c>
      <c r="G340" s="447">
        <f t="shared" si="154"/>
        <v>189.9437125331113</v>
      </c>
      <c r="H340" s="447">
        <f t="shared" si="154"/>
        <v>194.18309495204375</v>
      </c>
      <c r="I340" s="447">
        <f t="shared" si="154"/>
        <v>200.0602141240293</v>
      </c>
      <c r="J340" s="447">
        <f t="shared" si="154"/>
        <v>206.23575661663085</v>
      </c>
      <c r="K340" s="447">
        <f t="shared" si="154"/>
        <v>208.21027002209178</v>
      </c>
      <c r="L340" s="447">
        <f t="shared" si="154"/>
        <v>207.87251008488039</v>
      </c>
      <c r="M340" s="447">
        <f t="shared" si="154"/>
        <v>207.93487370835538</v>
      </c>
      <c r="N340" s="447">
        <f t="shared" si="154"/>
        <v>207.62499084009463</v>
      </c>
      <c r="O340" s="320"/>
      <c r="P340" s="320"/>
      <c r="Q340" s="320"/>
    </row>
    <row r="341" spans="1:17">
      <c r="B341" s="331" t="str">
        <f t="shared" si="153"/>
        <v>25-29</v>
      </c>
      <c r="C341" s="447">
        <f t="shared" ref="C341:N341" si="155">C304+C248</f>
        <v>286.89528811896025</v>
      </c>
      <c r="D341" s="447">
        <f t="shared" si="155"/>
        <v>292.41064233444627</v>
      </c>
      <c r="E341" s="447">
        <f t="shared" si="155"/>
        <v>304.49792373721323</v>
      </c>
      <c r="F341" s="447">
        <f t="shared" si="155"/>
        <v>315.98896197276156</v>
      </c>
      <c r="G341" s="447">
        <f t="shared" si="155"/>
        <v>325.3069428671875</v>
      </c>
      <c r="H341" s="447">
        <f t="shared" si="155"/>
        <v>331.79786636533555</v>
      </c>
      <c r="I341" s="447">
        <f t="shared" si="155"/>
        <v>340.22095725598103</v>
      </c>
      <c r="J341" s="447">
        <f t="shared" si="155"/>
        <v>349.46823327714014</v>
      </c>
      <c r="K341" s="447">
        <f t="shared" si="155"/>
        <v>354.86385141476956</v>
      </c>
      <c r="L341" s="447">
        <f t="shared" si="155"/>
        <v>357.36659859081652</v>
      </c>
      <c r="M341" s="447">
        <f t="shared" si="155"/>
        <v>359.42477790574003</v>
      </c>
      <c r="N341" s="447">
        <f t="shared" si="155"/>
        <v>360.56590132126286</v>
      </c>
      <c r="O341" s="320"/>
      <c r="P341" s="320"/>
      <c r="Q341" s="320"/>
    </row>
    <row r="342" spans="1:17">
      <c r="B342" s="331" t="str">
        <f t="shared" si="153"/>
        <v>30-34</v>
      </c>
      <c r="C342" s="447">
        <f t="shared" ref="C342:N342" si="156">C305+C249</f>
        <v>371.87819533565914</v>
      </c>
      <c r="D342" s="447">
        <f t="shared" si="156"/>
        <v>361.66985660210423</v>
      </c>
      <c r="E342" s="447">
        <f t="shared" si="156"/>
        <v>356.23289249394043</v>
      </c>
      <c r="F342" s="447">
        <f t="shared" si="156"/>
        <v>353.99261170278999</v>
      </c>
      <c r="G342" s="447">
        <f t="shared" si="156"/>
        <v>353.66485604892688</v>
      </c>
      <c r="H342" s="447">
        <f t="shared" si="156"/>
        <v>354.2576236955818</v>
      </c>
      <c r="I342" s="447">
        <f t="shared" si="156"/>
        <v>357.37248722469218</v>
      </c>
      <c r="J342" s="447">
        <f t="shared" si="156"/>
        <v>362.28976211361947</v>
      </c>
      <c r="K342" s="447">
        <f t="shared" si="156"/>
        <v>366.46483628798609</v>
      </c>
      <c r="L342" s="447">
        <f t="shared" si="156"/>
        <v>369.69832028757151</v>
      </c>
      <c r="M342" s="447">
        <f t="shared" si="156"/>
        <v>372.72132028222126</v>
      </c>
      <c r="N342" s="447">
        <f t="shared" si="156"/>
        <v>375.1735600698488</v>
      </c>
      <c r="O342" s="320"/>
      <c r="P342" s="320"/>
      <c r="Q342" s="320"/>
    </row>
    <row r="343" spans="1:17">
      <c r="B343" s="331" t="str">
        <f t="shared" si="153"/>
        <v>35-39</v>
      </c>
      <c r="C343" s="447">
        <f t="shared" ref="C343:N343" si="157">C306+C250</f>
        <v>372.84476293652068</v>
      </c>
      <c r="D343" s="447">
        <f t="shared" si="157"/>
        <v>370.15980965025926</v>
      </c>
      <c r="E343" s="447">
        <f t="shared" si="157"/>
        <v>366.83107837961199</v>
      </c>
      <c r="F343" s="447">
        <f t="shared" si="157"/>
        <v>363.15864477938646</v>
      </c>
      <c r="G343" s="447">
        <f t="shared" si="157"/>
        <v>359.41601025166131</v>
      </c>
      <c r="H343" s="447">
        <f t="shared" si="157"/>
        <v>355.90364944450641</v>
      </c>
      <c r="I343" s="447">
        <f t="shared" si="157"/>
        <v>354.49496719398894</v>
      </c>
      <c r="J343" s="447">
        <f t="shared" si="157"/>
        <v>354.79685838557805</v>
      </c>
      <c r="K343" s="447">
        <f t="shared" si="157"/>
        <v>355.03920274858069</v>
      </c>
      <c r="L343" s="447">
        <f t="shared" si="157"/>
        <v>355.3428855828675</v>
      </c>
      <c r="M343" s="447">
        <f t="shared" si="157"/>
        <v>356.28330582375287</v>
      </c>
      <c r="N343" s="447">
        <f t="shared" si="157"/>
        <v>357.41104817444841</v>
      </c>
      <c r="O343" s="320"/>
      <c r="P343" s="320"/>
      <c r="Q343" s="320"/>
    </row>
    <row r="344" spans="1:17">
      <c r="B344" s="331" t="str">
        <f t="shared" si="153"/>
        <v>40-44</v>
      </c>
      <c r="C344" s="447">
        <f t="shared" ref="C344:N344" si="158">C307+C251</f>
        <v>356.23106933194367</v>
      </c>
      <c r="D344" s="447">
        <f t="shared" si="158"/>
        <v>351.90101095544554</v>
      </c>
      <c r="E344" s="447">
        <f t="shared" si="158"/>
        <v>348.50252957417428</v>
      </c>
      <c r="F344" s="447">
        <f t="shared" si="158"/>
        <v>345.32481329020328</v>
      </c>
      <c r="G344" s="447">
        <f t="shared" si="158"/>
        <v>341.79342336301028</v>
      </c>
      <c r="H344" s="447">
        <f t="shared" si="158"/>
        <v>337.92549120226238</v>
      </c>
      <c r="I344" s="447">
        <f t="shared" si="158"/>
        <v>335.36522444811141</v>
      </c>
      <c r="J344" s="447">
        <f t="shared" si="158"/>
        <v>333.87961645082595</v>
      </c>
      <c r="K344" s="447">
        <f t="shared" si="158"/>
        <v>332.06958815790244</v>
      </c>
      <c r="L344" s="447">
        <f t="shared" si="158"/>
        <v>330.21868759380396</v>
      </c>
      <c r="M344" s="447">
        <f t="shared" si="158"/>
        <v>329.00729624890437</v>
      </c>
      <c r="N344" s="447">
        <f t="shared" si="158"/>
        <v>328.17254132703232</v>
      </c>
      <c r="O344" s="320"/>
      <c r="P344" s="320"/>
      <c r="Q344" s="320"/>
    </row>
    <row r="345" spans="1:17">
      <c r="B345" s="331" t="str">
        <f t="shared" si="153"/>
        <v>45-49</v>
      </c>
      <c r="C345" s="447">
        <f t="shared" ref="C345:N345" si="159">C308+C252</f>
        <v>286.68749372033125</v>
      </c>
      <c r="D345" s="447">
        <f t="shared" si="159"/>
        <v>291.45202319754026</v>
      </c>
      <c r="E345" s="447">
        <f t="shared" si="159"/>
        <v>294.27093579833553</v>
      </c>
      <c r="F345" s="447">
        <f t="shared" si="159"/>
        <v>295.72537194735253</v>
      </c>
      <c r="G345" s="447">
        <f t="shared" si="159"/>
        <v>295.79614084039599</v>
      </c>
      <c r="H345" s="447">
        <f t="shared" si="159"/>
        <v>294.73933834792149</v>
      </c>
      <c r="I345" s="447">
        <f t="shared" si="159"/>
        <v>294.0159457504401</v>
      </c>
      <c r="J345" s="447">
        <f t="shared" si="159"/>
        <v>293.55204489823495</v>
      </c>
      <c r="K345" s="447">
        <f t="shared" si="159"/>
        <v>292.32011000043065</v>
      </c>
      <c r="L345" s="447">
        <f t="shared" si="159"/>
        <v>290.63569293296524</v>
      </c>
      <c r="M345" s="447">
        <f t="shared" si="159"/>
        <v>289.14343502426323</v>
      </c>
      <c r="N345" s="447">
        <f t="shared" si="159"/>
        <v>287.73759150455152</v>
      </c>
      <c r="O345" s="320"/>
      <c r="P345" s="320"/>
      <c r="Q345" s="320"/>
    </row>
    <row r="346" spans="1:17">
      <c r="B346" s="331" t="str">
        <f t="shared" si="153"/>
        <v>50-54</v>
      </c>
      <c r="C346" s="447">
        <f t="shared" ref="C346:N346" si="160">C309+C253</f>
        <v>234.37885019106011</v>
      </c>
      <c r="D346" s="447">
        <f t="shared" si="160"/>
        <v>229.34894046443327</v>
      </c>
      <c r="E346" s="447">
        <f t="shared" si="160"/>
        <v>226.65485278012869</v>
      </c>
      <c r="F346" s="447">
        <f t="shared" si="160"/>
        <v>225.28376965613234</v>
      </c>
      <c r="G346" s="447">
        <f t="shared" si="160"/>
        <v>224.26396036011505</v>
      </c>
      <c r="H346" s="447">
        <f t="shared" si="160"/>
        <v>223.21043388608118</v>
      </c>
      <c r="I346" s="447">
        <f t="shared" si="160"/>
        <v>222.83701511893887</v>
      </c>
      <c r="J346" s="447">
        <f t="shared" si="160"/>
        <v>222.83933183648895</v>
      </c>
      <c r="K346" s="447">
        <f t="shared" si="160"/>
        <v>222.29867955949473</v>
      </c>
      <c r="L346" s="447">
        <f t="shared" si="160"/>
        <v>221.36183945987784</v>
      </c>
      <c r="M346" s="447">
        <f t="shared" si="160"/>
        <v>220.45703975494143</v>
      </c>
      <c r="N346" s="447">
        <f t="shared" si="160"/>
        <v>219.48222378557682</v>
      </c>
      <c r="O346" s="320"/>
      <c r="P346" s="320"/>
      <c r="Q346" s="320"/>
    </row>
    <row r="347" spans="1:17">
      <c r="B347" s="331" t="str">
        <f t="shared" si="153"/>
        <v>55-59</v>
      </c>
      <c r="C347" s="447">
        <f t="shared" ref="C347:N347" si="161">C310+C254</f>
        <v>140.88222246990688</v>
      </c>
      <c r="D347" s="447">
        <f t="shared" si="161"/>
        <v>128.08625437602214</v>
      </c>
      <c r="E347" s="447">
        <f t="shared" si="161"/>
        <v>119.83977203138019</v>
      </c>
      <c r="F347" s="447">
        <f t="shared" si="161"/>
        <v>114.38105316551201</v>
      </c>
      <c r="G347" s="447">
        <f t="shared" si="161"/>
        <v>110.68725319398104</v>
      </c>
      <c r="H347" s="447">
        <f t="shared" si="161"/>
        <v>108.08557645297071</v>
      </c>
      <c r="I347" s="447">
        <f t="shared" si="161"/>
        <v>106.72274143839084</v>
      </c>
      <c r="J347" s="447">
        <f t="shared" si="161"/>
        <v>106.10149933887189</v>
      </c>
      <c r="K347" s="447">
        <f t="shared" si="161"/>
        <v>105.42934341053537</v>
      </c>
      <c r="L347" s="447">
        <f t="shared" si="161"/>
        <v>104.72573956707734</v>
      </c>
      <c r="M347" s="447">
        <f t="shared" si="161"/>
        <v>104.19834188490937</v>
      </c>
      <c r="N347" s="447">
        <f t="shared" si="161"/>
        <v>103.69976964113081</v>
      </c>
      <c r="O347" s="320"/>
      <c r="P347" s="320"/>
      <c r="Q347" s="320"/>
    </row>
    <row r="348" spans="1:17">
      <c r="B348" s="331" t="str">
        <f t="shared" si="153"/>
        <v>60-64</v>
      </c>
      <c r="C348" s="447">
        <f t="shared" ref="C348:N348" si="162">C311+C255</f>
        <v>52.222013912091491</v>
      </c>
      <c r="D348" s="447">
        <f t="shared" si="162"/>
        <v>48.802701332846752</v>
      </c>
      <c r="E348" s="447">
        <f t="shared" si="162"/>
        <v>45.538597799325515</v>
      </c>
      <c r="F348" s="447">
        <f t="shared" si="162"/>
        <v>42.761595674493726</v>
      </c>
      <c r="G348" s="447">
        <f t="shared" si="162"/>
        <v>40.539298148380254</v>
      </c>
      <c r="H348" s="447">
        <f t="shared" si="162"/>
        <v>38.814720946524346</v>
      </c>
      <c r="I348" s="447">
        <f t="shared" si="162"/>
        <v>37.783675487234952</v>
      </c>
      <c r="J348" s="447">
        <f t="shared" si="162"/>
        <v>37.211735062794006</v>
      </c>
      <c r="K348" s="447">
        <f t="shared" si="162"/>
        <v>36.687186897161212</v>
      </c>
      <c r="L348" s="447">
        <f t="shared" si="162"/>
        <v>36.22171588072618</v>
      </c>
      <c r="M348" s="447">
        <f t="shared" si="162"/>
        <v>35.912438667202281</v>
      </c>
      <c r="N348" s="447">
        <f t="shared" si="162"/>
        <v>35.663817620822122</v>
      </c>
      <c r="O348" s="320"/>
      <c r="P348" s="320"/>
      <c r="Q348" s="320"/>
    </row>
    <row r="349" spans="1:17">
      <c r="B349" s="331" t="str">
        <f t="shared" si="153"/>
        <v>65 plus</v>
      </c>
      <c r="C349" s="447">
        <f t="shared" ref="C349:N349" si="163">C312+C256</f>
        <v>18.521534675315557</v>
      </c>
      <c r="D349" s="447">
        <f t="shared" si="163"/>
        <v>18.67987820262465</v>
      </c>
      <c r="E349" s="447">
        <f t="shared" si="163"/>
        <v>18.34480292267499</v>
      </c>
      <c r="F349" s="447">
        <f t="shared" si="163"/>
        <v>17.764710560199077</v>
      </c>
      <c r="G349" s="447">
        <f t="shared" si="163"/>
        <v>17.050489475734054</v>
      </c>
      <c r="H349" s="447">
        <f t="shared" si="163"/>
        <v>16.318570471153713</v>
      </c>
      <c r="I349" s="447">
        <f t="shared" si="163"/>
        <v>15.725895715906514</v>
      </c>
      <c r="J349" s="447">
        <f t="shared" si="163"/>
        <v>15.284125305453733</v>
      </c>
      <c r="K349" s="447">
        <f t="shared" si="163"/>
        <v>14.903405151776578</v>
      </c>
      <c r="L349" s="447">
        <f t="shared" si="163"/>
        <v>14.577601978214057</v>
      </c>
      <c r="M349" s="447">
        <f t="shared" si="163"/>
        <v>14.331118579948965</v>
      </c>
      <c r="N349" s="447">
        <f t="shared" si="163"/>
        <v>14.138598478681738</v>
      </c>
      <c r="O349" s="320"/>
      <c r="P349" s="320"/>
      <c r="Q349" s="320"/>
    </row>
    <row r="350" spans="1:17">
      <c r="B350" s="331" t="str">
        <f t="shared" si="153"/>
        <v>Total</v>
      </c>
      <c r="C350" s="447">
        <f t="shared" ref="C350:N350" si="164">SUM(C340:C349)</f>
        <v>2237.987938877191</v>
      </c>
      <c r="D350" s="447">
        <f t="shared" si="164"/>
        <v>2236.9867545120496</v>
      </c>
      <c r="E350" s="447">
        <f t="shared" si="164"/>
        <v>2247.7598513254325</v>
      </c>
      <c r="F350" s="447">
        <f t="shared" si="164"/>
        <v>2255.7904638697091</v>
      </c>
      <c r="G350" s="447">
        <f t="shared" si="164"/>
        <v>2258.4620870825038</v>
      </c>
      <c r="H350" s="447">
        <f t="shared" si="164"/>
        <v>2255.2363657643814</v>
      </c>
      <c r="I350" s="447">
        <f t="shared" si="164"/>
        <v>2264.5991237577146</v>
      </c>
      <c r="J350" s="447">
        <f t="shared" si="164"/>
        <v>2281.658963285638</v>
      </c>
      <c r="K350" s="447">
        <f t="shared" si="164"/>
        <v>2288.286473650729</v>
      </c>
      <c r="L350" s="447">
        <f t="shared" si="164"/>
        <v>2288.0215919588004</v>
      </c>
      <c r="M350" s="447">
        <f t="shared" si="164"/>
        <v>2289.4139478802394</v>
      </c>
      <c r="N350" s="447">
        <f t="shared" si="164"/>
        <v>2289.6700427634501</v>
      </c>
      <c r="O350" s="320"/>
      <c r="P350" s="320"/>
      <c r="Q350" s="320"/>
    </row>
    <row r="351" spans="1:17">
      <c r="A351" s="302">
        <f>SUM(C351:N351)</f>
        <v>0</v>
      </c>
      <c r="C351" s="302">
        <f>SUM(C340:C349)-C350</f>
        <v>0</v>
      </c>
      <c r="D351" s="302">
        <f t="shared" ref="D351:N351" si="165">SUM(D340:D349)-D350</f>
        <v>0</v>
      </c>
      <c r="E351" s="302">
        <f t="shared" si="165"/>
        <v>0</v>
      </c>
      <c r="F351" s="302">
        <f t="shared" si="165"/>
        <v>0</v>
      </c>
      <c r="G351" s="302">
        <f t="shared" si="165"/>
        <v>0</v>
      </c>
      <c r="H351" s="302">
        <f t="shared" si="165"/>
        <v>0</v>
      </c>
      <c r="I351" s="302">
        <f t="shared" si="165"/>
        <v>0</v>
      </c>
      <c r="J351" s="302">
        <f t="shared" si="165"/>
        <v>0</v>
      </c>
      <c r="K351" s="302">
        <f t="shared" si="165"/>
        <v>0</v>
      </c>
      <c r="L351" s="302">
        <f t="shared" si="165"/>
        <v>0</v>
      </c>
      <c r="M351" s="302">
        <f t="shared" si="165"/>
        <v>0</v>
      </c>
      <c r="N351" s="302">
        <f t="shared" si="165"/>
        <v>0</v>
      </c>
    </row>
    <row r="353" spans="1:15">
      <c r="B353" s="334" t="s">
        <v>47</v>
      </c>
      <c r="C353" s="322"/>
      <c r="D353" s="322"/>
      <c r="E353" s="322"/>
      <c r="F353" s="322"/>
      <c r="G353" s="322"/>
      <c r="H353" s="332"/>
      <c r="I353" s="322"/>
      <c r="J353" s="322"/>
      <c r="K353" s="322"/>
      <c r="L353" s="322"/>
    </row>
    <row r="354" spans="1:15">
      <c r="C354" s="322"/>
      <c r="D354" s="322"/>
      <c r="E354" s="322"/>
      <c r="F354" s="322"/>
      <c r="G354" s="322"/>
      <c r="H354" s="332"/>
      <c r="I354" s="322"/>
      <c r="J354" s="322"/>
      <c r="K354" s="322"/>
      <c r="L354" s="322"/>
    </row>
    <row r="355" spans="1:15">
      <c r="B355" s="331" t="str">
        <f t="shared" ref="B355:B366" si="166">B339</f>
        <v>Age group</v>
      </c>
      <c r="C355" s="331" t="str">
        <f t="shared" ref="C355:N355" si="167">C339</f>
        <v>2017/18</v>
      </c>
      <c r="D355" s="331" t="str">
        <f t="shared" si="167"/>
        <v>2018/19</v>
      </c>
      <c r="E355" s="331" t="str">
        <f t="shared" si="167"/>
        <v>2019/20</v>
      </c>
      <c r="F355" s="331" t="str">
        <f t="shared" si="167"/>
        <v>2020/21</v>
      </c>
      <c r="G355" s="331" t="str">
        <f t="shared" si="167"/>
        <v>2021/22</v>
      </c>
      <c r="H355" s="331" t="str">
        <f t="shared" si="167"/>
        <v>2022/23</v>
      </c>
      <c r="I355" s="331" t="str">
        <f t="shared" si="167"/>
        <v>2023/24</v>
      </c>
      <c r="J355" s="331" t="str">
        <f t="shared" si="167"/>
        <v>2024/25</v>
      </c>
      <c r="K355" s="331" t="str">
        <f t="shared" si="167"/>
        <v>2025/26</v>
      </c>
      <c r="L355" s="331" t="str">
        <f t="shared" si="167"/>
        <v>2026/27</v>
      </c>
      <c r="M355" s="331" t="str">
        <f t="shared" si="167"/>
        <v>2027/28</v>
      </c>
      <c r="N355" s="331" t="str">
        <f t="shared" si="167"/>
        <v>2028/29</v>
      </c>
    </row>
    <row r="356" spans="1:15">
      <c r="B356" s="331" t="str">
        <f t="shared" si="166"/>
        <v>20-24</v>
      </c>
      <c r="C356" s="447">
        <f t="shared" ref="C356:N356" si="168">C319+C263</f>
        <v>339.73447429686053</v>
      </c>
      <c r="D356" s="447">
        <f t="shared" si="168"/>
        <v>377.39251260175229</v>
      </c>
      <c r="E356" s="447">
        <f t="shared" si="168"/>
        <v>412.34838210943036</v>
      </c>
      <c r="F356" s="447">
        <f t="shared" si="168"/>
        <v>432.47800495837703</v>
      </c>
      <c r="G356" s="447">
        <f t="shared" si="168"/>
        <v>443.12323231500142</v>
      </c>
      <c r="H356" s="447">
        <f t="shared" si="168"/>
        <v>446.66556435763266</v>
      </c>
      <c r="I356" s="447">
        <f t="shared" si="168"/>
        <v>455.6133178641677</v>
      </c>
      <c r="J356" s="447">
        <f t="shared" si="168"/>
        <v>466.45669810470736</v>
      </c>
      <c r="K356" s="447">
        <f t="shared" si="168"/>
        <v>468.78996848559552</v>
      </c>
      <c r="L356" s="447">
        <f t="shared" si="168"/>
        <v>466.57604286637411</v>
      </c>
      <c r="M356" s="447">
        <f t="shared" si="168"/>
        <v>465.68848794330074</v>
      </c>
      <c r="N356" s="447">
        <f t="shared" si="168"/>
        <v>464.27472491952983</v>
      </c>
      <c r="O356" s="320"/>
    </row>
    <row r="357" spans="1:15">
      <c r="B357" s="331" t="str">
        <f t="shared" si="166"/>
        <v>25-29</v>
      </c>
      <c r="C357" s="447">
        <f t="shared" ref="C357:N357" si="169">C320+C264</f>
        <v>859.24547357876247</v>
      </c>
      <c r="D357" s="447">
        <f t="shared" si="169"/>
        <v>824.94135099923096</v>
      </c>
      <c r="E357" s="447">
        <f t="shared" si="169"/>
        <v>814.88752981832044</v>
      </c>
      <c r="F357" s="447">
        <f t="shared" si="169"/>
        <v>808.95994008146738</v>
      </c>
      <c r="G357" s="447">
        <f t="shared" si="169"/>
        <v>804.72615646684858</v>
      </c>
      <c r="H357" s="447">
        <f t="shared" si="169"/>
        <v>799.56211767793616</v>
      </c>
      <c r="I357" s="447">
        <f t="shared" si="169"/>
        <v>803.05970742149191</v>
      </c>
      <c r="J357" s="447">
        <f t="shared" si="169"/>
        <v>811.84913616245024</v>
      </c>
      <c r="K357" s="447">
        <f t="shared" si="169"/>
        <v>814.7583333482894</v>
      </c>
      <c r="L357" s="447">
        <f t="shared" si="169"/>
        <v>813.34768324525533</v>
      </c>
      <c r="M357" s="447">
        <f t="shared" si="169"/>
        <v>812.61150915690996</v>
      </c>
      <c r="N357" s="447">
        <f t="shared" si="169"/>
        <v>811.11309402207337</v>
      </c>
      <c r="O357" s="320"/>
    </row>
    <row r="358" spans="1:15">
      <c r="B358" s="331" t="str">
        <f t="shared" si="166"/>
        <v>30-34</v>
      </c>
      <c r="C358" s="447">
        <f t="shared" ref="C358:N358" si="170">C321+C265</f>
        <v>919.48766135910091</v>
      </c>
      <c r="D358" s="447">
        <f t="shared" si="170"/>
        <v>903.89031692584786</v>
      </c>
      <c r="E358" s="447">
        <f t="shared" si="170"/>
        <v>889.46036866465192</v>
      </c>
      <c r="F358" s="447">
        <f t="shared" si="170"/>
        <v>874.07193091826264</v>
      </c>
      <c r="G358" s="447">
        <f t="shared" si="170"/>
        <v>859.91603508024195</v>
      </c>
      <c r="H358" s="447">
        <f t="shared" si="170"/>
        <v>846.7559660447223</v>
      </c>
      <c r="I358" s="447">
        <f t="shared" si="170"/>
        <v>839.42904539261178</v>
      </c>
      <c r="J358" s="447">
        <f t="shared" si="170"/>
        <v>837.00261064162112</v>
      </c>
      <c r="K358" s="447">
        <f t="shared" si="170"/>
        <v>834.15075438737733</v>
      </c>
      <c r="L358" s="447">
        <f t="shared" si="170"/>
        <v>830.63792879193738</v>
      </c>
      <c r="M358" s="447">
        <f t="shared" si="170"/>
        <v>828.14207127856218</v>
      </c>
      <c r="N358" s="447">
        <f t="shared" si="170"/>
        <v>825.7760980136693</v>
      </c>
      <c r="O358" s="320"/>
    </row>
    <row r="359" spans="1:15">
      <c r="B359" s="331" t="str">
        <f t="shared" si="166"/>
        <v>35-39</v>
      </c>
      <c r="C359" s="447">
        <f t="shared" ref="C359:N359" si="171">C322+C266</f>
        <v>831.68449287761553</v>
      </c>
      <c r="D359" s="447">
        <f t="shared" si="171"/>
        <v>834.04103762730938</v>
      </c>
      <c r="E359" s="447">
        <f t="shared" si="171"/>
        <v>835.18154255103093</v>
      </c>
      <c r="F359" s="447">
        <f t="shared" si="171"/>
        <v>830.99102360362315</v>
      </c>
      <c r="G359" s="447">
        <f t="shared" si="171"/>
        <v>823.75664591987879</v>
      </c>
      <c r="H359" s="447">
        <f t="shared" si="171"/>
        <v>814.34871854989944</v>
      </c>
      <c r="I359" s="447">
        <f t="shared" si="171"/>
        <v>807.45680257849892</v>
      </c>
      <c r="J359" s="447">
        <f t="shared" si="171"/>
        <v>802.76512747736797</v>
      </c>
      <c r="K359" s="447">
        <f t="shared" si="171"/>
        <v>796.87118601479926</v>
      </c>
      <c r="L359" s="447">
        <f t="shared" si="171"/>
        <v>790.55919900880656</v>
      </c>
      <c r="M359" s="447">
        <f t="shared" si="171"/>
        <v>785.52832817264596</v>
      </c>
      <c r="N359" s="447">
        <f t="shared" si="171"/>
        <v>781.07439600306998</v>
      </c>
      <c r="O359" s="320"/>
    </row>
    <row r="360" spans="1:15">
      <c r="B360" s="331" t="str">
        <f t="shared" si="166"/>
        <v>40-44</v>
      </c>
      <c r="C360" s="447">
        <f t="shared" ref="C360:N360" si="172">C323+C267</f>
        <v>751.26554301323847</v>
      </c>
      <c r="D360" s="447">
        <f t="shared" si="172"/>
        <v>750.48474867856294</v>
      </c>
      <c r="E360" s="447">
        <f t="shared" si="172"/>
        <v>752.24097047673104</v>
      </c>
      <c r="F360" s="447">
        <f t="shared" si="172"/>
        <v>751.64978457596658</v>
      </c>
      <c r="G360" s="447">
        <f t="shared" si="172"/>
        <v>749.30607438221864</v>
      </c>
      <c r="H360" s="447">
        <f t="shared" si="172"/>
        <v>744.97729277904159</v>
      </c>
      <c r="I360" s="447">
        <f t="shared" si="172"/>
        <v>742.16975815009994</v>
      </c>
      <c r="J360" s="447">
        <f t="shared" si="172"/>
        <v>740.32152206218211</v>
      </c>
      <c r="K360" s="447">
        <f t="shared" si="172"/>
        <v>736.3851982831311</v>
      </c>
      <c r="L360" s="447">
        <f t="shared" si="172"/>
        <v>731.16271052144555</v>
      </c>
      <c r="M360" s="447">
        <f t="shared" si="172"/>
        <v>726.38857013520442</v>
      </c>
      <c r="N360" s="447">
        <f t="shared" si="172"/>
        <v>721.70484618870466</v>
      </c>
      <c r="O360" s="320"/>
    </row>
    <row r="361" spans="1:15">
      <c r="B361" s="331" t="str">
        <f t="shared" si="166"/>
        <v>45-49</v>
      </c>
      <c r="C361" s="447">
        <f t="shared" ref="C361:N361" si="173">C324+C268</f>
        <v>510.86465644227178</v>
      </c>
      <c r="D361" s="447">
        <f t="shared" si="173"/>
        <v>544.44921653301571</v>
      </c>
      <c r="E361" s="447">
        <f t="shared" si="173"/>
        <v>570.22922186290407</v>
      </c>
      <c r="F361" s="447">
        <f t="shared" si="173"/>
        <v>587.53273266615236</v>
      </c>
      <c r="G361" s="447">
        <f t="shared" si="173"/>
        <v>599.06227638686642</v>
      </c>
      <c r="H361" s="447">
        <f t="shared" si="173"/>
        <v>605.97100903744877</v>
      </c>
      <c r="I361" s="447">
        <f t="shared" si="173"/>
        <v>611.88868419701669</v>
      </c>
      <c r="J361" s="447">
        <f t="shared" si="173"/>
        <v>616.86422775725441</v>
      </c>
      <c r="K361" s="447">
        <f t="shared" si="173"/>
        <v>618.75401324491838</v>
      </c>
      <c r="L361" s="447">
        <f t="shared" si="173"/>
        <v>618.40232140395904</v>
      </c>
      <c r="M361" s="447">
        <f t="shared" si="173"/>
        <v>617.3749498971207</v>
      </c>
      <c r="N361" s="447">
        <f t="shared" si="173"/>
        <v>615.55672977174891</v>
      </c>
      <c r="O361" s="320"/>
    </row>
    <row r="362" spans="1:15">
      <c r="B362" s="331" t="str">
        <f t="shared" si="166"/>
        <v>50-54</v>
      </c>
      <c r="C362" s="447">
        <f t="shared" ref="C362:N362" si="174">C325+C269</f>
        <v>410.0925162568775</v>
      </c>
      <c r="D362" s="447">
        <f t="shared" si="174"/>
        <v>407.85105332772554</v>
      </c>
      <c r="E362" s="447">
        <f t="shared" si="174"/>
        <v>413.31670912056325</v>
      </c>
      <c r="F362" s="447">
        <f t="shared" si="174"/>
        <v>420.46251693201793</v>
      </c>
      <c r="G362" s="447">
        <f t="shared" si="174"/>
        <v>427.88823545084949</v>
      </c>
      <c r="H362" s="447">
        <f t="shared" si="174"/>
        <v>434.40792490123039</v>
      </c>
      <c r="I362" s="447">
        <f t="shared" si="174"/>
        <v>441.48806609874589</v>
      </c>
      <c r="J362" s="447">
        <f t="shared" si="174"/>
        <v>448.4194677383224</v>
      </c>
      <c r="K362" s="447">
        <f t="shared" si="174"/>
        <v>453.17038143799533</v>
      </c>
      <c r="L362" s="447">
        <f t="shared" si="174"/>
        <v>456.11415177173973</v>
      </c>
      <c r="M362" s="447">
        <f t="shared" si="174"/>
        <v>458.26226980474917</v>
      </c>
      <c r="N362" s="447">
        <f t="shared" si="174"/>
        <v>459.44574690715234</v>
      </c>
      <c r="O362" s="320"/>
    </row>
    <row r="363" spans="1:15">
      <c r="B363" s="331" t="str">
        <f t="shared" si="166"/>
        <v>55-59</v>
      </c>
      <c r="C363" s="447">
        <f t="shared" ref="C363:N363" si="175">C326+C270</f>
        <v>280.78510923828776</v>
      </c>
      <c r="D363" s="447">
        <f t="shared" si="175"/>
        <v>250.06273047704843</v>
      </c>
      <c r="E363" s="447">
        <f t="shared" si="175"/>
        <v>231.9127766037742</v>
      </c>
      <c r="F363" s="447">
        <f t="shared" si="175"/>
        <v>221.0240882542725</v>
      </c>
      <c r="G363" s="447">
        <f t="shared" si="175"/>
        <v>215.06746075175062</v>
      </c>
      <c r="H363" s="447">
        <f t="shared" si="175"/>
        <v>212.08729933727966</v>
      </c>
      <c r="I363" s="447">
        <f t="shared" si="175"/>
        <v>212.08060946379015</v>
      </c>
      <c r="J363" s="447">
        <f t="shared" si="175"/>
        <v>213.72082395398866</v>
      </c>
      <c r="K363" s="447">
        <f t="shared" si="175"/>
        <v>215.09921990016338</v>
      </c>
      <c r="L363" s="447">
        <f t="shared" si="175"/>
        <v>216.16951082751348</v>
      </c>
      <c r="M363" s="447">
        <f t="shared" si="175"/>
        <v>217.34807108733031</v>
      </c>
      <c r="N363" s="447">
        <f t="shared" si="175"/>
        <v>218.28832093072154</v>
      </c>
      <c r="O363" s="320"/>
    </row>
    <row r="364" spans="1:15">
      <c r="B364" s="331" t="str">
        <f t="shared" si="166"/>
        <v>60-64</v>
      </c>
      <c r="C364" s="447">
        <f t="shared" ref="C364:N364" si="176">C327+C271</f>
        <v>91.219565777353552</v>
      </c>
      <c r="D364" s="447">
        <f t="shared" si="176"/>
        <v>91.447649069262525</v>
      </c>
      <c r="E364" s="447">
        <f t="shared" si="176"/>
        <v>88.104454967809701</v>
      </c>
      <c r="F364" s="447">
        <f t="shared" si="176"/>
        <v>83.743367559407218</v>
      </c>
      <c r="G364" s="447">
        <f t="shared" si="176"/>
        <v>79.900277852399782</v>
      </c>
      <c r="H364" s="447">
        <f t="shared" si="176"/>
        <v>76.923875703818396</v>
      </c>
      <c r="I364" s="447">
        <f t="shared" si="176"/>
        <v>75.436890026344358</v>
      </c>
      <c r="J364" s="447">
        <f t="shared" si="176"/>
        <v>74.968140024802437</v>
      </c>
      <c r="K364" s="447">
        <f t="shared" si="176"/>
        <v>74.598858296028538</v>
      </c>
      <c r="L364" s="447">
        <f t="shared" si="176"/>
        <v>74.339161544750766</v>
      </c>
      <c r="M364" s="447">
        <f t="shared" si="176"/>
        <v>74.38610743133529</v>
      </c>
      <c r="N364" s="447">
        <f t="shared" si="176"/>
        <v>74.509977551167339</v>
      </c>
      <c r="O364" s="320"/>
    </row>
    <row r="365" spans="1:15">
      <c r="B365" s="331" t="str">
        <f t="shared" si="166"/>
        <v>65 plus</v>
      </c>
      <c r="C365" s="447">
        <f t="shared" ref="C365:N365" si="177">C328+C272</f>
        <v>21.527055270169036</v>
      </c>
      <c r="D365" s="447">
        <f t="shared" si="177"/>
        <v>28.015092271156085</v>
      </c>
      <c r="E365" s="447">
        <f t="shared" si="177"/>
        <v>32.295166620483421</v>
      </c>
      <c r="F365" s="447">
        <f t="shared" si="177"/>
        <v>34.466360445489464</v>
      </c>
      <c r="G365" s="447">
        <f t="shared" si="177"/>
        <v>35.223943151639148</v>
      </c>
      <c r="H365" s="447">
        <f t="shared" si="177"/>
        <v>35.140790979274236</v>
      </c>
      <c r="I365" s="447">
        <f t="shared" si="177"/>
        <v>34.83429742397503</v>
      </c>
      <c r="J365" s="447">
        <f t="shared" si="177"/>
        <v>34.538376824332197</v>
      </c>
      <c r="K365" s="447">
        <f t="shared" si="177"/>
        <v>34.188610308409316</v>
      </c>
      <c r="L365" s="447">
        <f t="shared" si="177"/>
        <v>33.845034826454622</v>
      </c>
      <c r="M365" s="447">
        <f t="shared" si="177"/>
        <v>33.606642039341025</v>
      </c>
      <c r="N365" s="447">
        <f t="shared" si="177"/>
        <v>33.445893609609847</v>
      </c>
      <c r="O365" s="320"/>
    </row>
    <row r="366" spans="1:15">
      <c r="B366" s="331" t="str">
        <f t="shared" si="166"/>
        <v>Total</v>
      </c>
      <c r="C366" s="447">
        <f t="shared" ref="C366:K366" si="178">SUM(C356:C365)</f>
        <v>5015.9065481105372</v>
      </c>
      <c r="D366" s="447">
        <f t="shared" si="178"/>
        <v>5012.5757085109126</v>
      </c>
      <c r="E366" s="447">
        <f t="shared" si="178"/>
        <v>5039.9771227956999</v>
      </c>
      <c r="F366" s="447">
        <f t="shared" si="178"/>
        <v>5045.379749995036</v>
      </c>
      <c r="G366" s="447">
        <f t="shared" si="178"/>
        <v>5037.9703377576943</v>
      </c>
      <c r="H366" s="447">
        <f t="shared" si="178"/>
        <v>5016.8405593682837</v>
      </c>
      <c r="I366" s="447">
        <f t="shared" si="178"/>
        <v>5023.4571786167417</v>
      </c>
      <c r="J366" s="447">
        <f t="shared" si="178"/>
        <v>5046.9061307470283</v>
      </c>
      <c r="K366" s="447">
        <f t="shared" si="178"/>
        <v>5046.7665237067067</v>
      </c>
      <c r="L366" s="447">
        <f>L329+L273</f>
        <v>5031.1537448082354</v>
      </c>
      <c r="M366" s="447">
        <f>M329+M273</f>
        <v>5019.3370069464991</v>
      </c>
      <c r="N366" s="447">
        <f>N329+N273</f>
        <v>5005.1898279174475</v>
      </c>
      <c r="O366" s="320"/>
    </row>
    <row r="367" spans="1:15">
      <c r="A367" s="302">
        <f>SUM(C367:N367)</f>
        <v>0</v>
      </c>
      <c r="C367" s="302">
        <f>SUM(C356:C365)-C366</f>
        <v>0</v>
      </c>
      <c r="D367" s="302">
        <f t="shared" ref="D367:N367" si="179">SUM(D356:D365)-D366</f>
        <v>0</v>
      </c>
      <c r="E367" s="302">
        <f t="shared" si="179"/>
        <v>0</v>
      </c>
      <c r="F367" s="302">
        <f t="shared" si="179"/>
        <v>0</v>
      </c>
      <c r="G367" s="302">
        <f t="shared" si="179"/>
        <v>0</v>
      </c>
      <c r="H367" s="302">
        <f t="shared" si="179"/>
        <v>0</v>
      </c>
      <c r="I367" s="302">
        <f t="shared" si="179"/>
        <v>0</v>
      </c>
      <c r="J367" s="302">
        <f t="shared" si="179"/>
        <v>0</v>
      </c>
      <c r="K367" s="302">
        <f t="shared" si="179"/>
        <v>0</v>
      </c>
      <c r="L367" s="302">
        <f t="shared" si="179"/>
        <v>0</v>
      </c>
      <c r="M367" s="302">
        <f t="shared" si="179"/>
        <v>0</v>
      </c>
      <c r="N367" s="302">
        <f t="shared" si="179"/>
        <v>0</v>
      </c>
    </row>
    <row r="368" spans="1:15">
      <c r="C368" s="322">
        <f>C350+C366</f>
        <v>7253.8944869877287</v>
      </c>
      <c r="D368" s="322">
        <f t="shared" ref="D368:N368" si="180">D350+D366</f>
        <v>7249.5624630229622</v>
      </c>
      <c r="E368" s="322">
        <f t="shared" si="180"/>
        <v>7287.7369741211323</v>
      </c>
      <c r="F368" s="322">
        <f t="shared" si="180"/>
        <v>7301.1702138647452</v>
      </c>
      <c r="G368" s="322">
        <f t="shared" si="180"/>
        <v>7296.4324248401981</v>
      </c>
      <c r="H368" s="322">
        <f t="shared" si="180"/>
        <v>7272.0769251326656</v>
      </c>
      <c r="I368" s="322">
        <f t="shared" si="180"/>
        <v>7288.0563023744562</v>
      </c>
      <c r="J368" s="322">
        <f t="shared" si="180"/>
        <v>7328.5650940326668</v>
      </c>
      <c r="K368" s="322">
        <f t="shared" si="180"/>
        <v>7335.0529973574357</v>
      </c>
      <c r="L368" s="322">
        <f t="shared" si="180"/>
        <v>7319.1753367670353</v>
      </c>
      <c r="M368" s="322">
        <f t="shared" si="180"/>
        <v>7308.750954826739</v>
      </c>
      <c r="N368" s="322">
        <f t="shared" si="180"/>
        <v>7294.8598706808971</v>
      </c>
    </row>
    <row r="369" spans="1:14">
      <c r="C369" s="322">
        <f t="shared" ref="C369:N369" si="181">C36</f>
        <v>7253.8944869877287</v>
      </c>
      <c r="D369" s="322">
        <f t="shared" si="181"/>
        <v>7249.5624630229613</v>
      </c>
      <c r="E369" s="322">
        <f t="shared" si="181"/>
        <v>7287.7369741211323</v>
      </c>
      <c r="F369" s="322">
        <f t="shared" si="181"/>
        <v>7301.1702138647452</v>
      </c>
      <c r="G369" s="322">
        <f t="shared" si="181"/>
        <v>7296.432424840199</v>
      </c>
      <c r="H369" s="322">
        <f t="shared" si="181"/>
        <v>7272.0769251326656</v>
      </c>
      <c r="I369" s="322">
        <f t="shared" si="181"/>
        <v>7288.0563023744571</v>
      </c>
      <c r="J369" s="322">
        <f t="shared" si="181"/>
        <v>7328.5650940326677</v>
      </c>
      <c r="K369" s="322">
        <f t="shared" si="181"/>
        <v>7335.0529973574376</v>
      </c>
      <c r="L369" s="322">
        <f t="shared" si="181"/>
        <v>7319.1753367670381</v>
      </c>
      <c r="M369" s="322">
        <f t="shared" si="181"/>
        <v>7308.7509548267399</v>
      </c>
      <c r="N369" s="322">
        <f t="shared" si="181"/>
        <v>7294.859870680898</v>
      </c>
    </row>
    <row r="370" spans="1:14">
      <c r="A370" s="302">
        <f>SUM(C370:L370)</f>
        <v>0</v>
      </c>
      <c r="C370" s="322">
        <f>C368-C369</f>
        <v>0</v>
      </c>
      <c r="D370" s="322">
        <f t="shared" ref="D370:N370" si="182">D368-D369</f>
        <v>0</v>
      </c>
      <c r="E370" s="322">
        <f t="shared" si="182"/>
        <v>0</v>
      </c>
      <c r="F370" s="322">
        <f t="shared" si="182"/>
        <v>0</v>
      </c>
      <c r="G370" s="322">
        <f t="shared" si="182"/>
        <v>0</v>
      </c>
      <c r="H370" s="322">
        <f t="shared" si="182"/>
        <v>0</v>
      </c>
      <c r="I370" s="322">
        <f t="shared" si="182"/>
        <v>0</v>
      </c>
      <c r="J370" s="322">
        <f t="shared" si="182"/>
        <v>0</v>
      </c>
      <c r="K370" s="322">
        <f t="shared" si="182"/>
        <v>0</v>
      </c>
      <c r="L370" s="322">
        <f t="shared" si="182"/>
        <v>0</v>
      </c>
      <c r="M370" s="322">
        <f t="shared" si="182"/>
        <v>0</v>
      </c>
      <c r="N370" s="322">
        <f t="shared" si="182"/>
        <v>0</v>
      </c>
    </row>
    <row r="371" spans="1:14">
      <c r="A371" s="302">
        <f>SUM(C371:L371)</f>
        <v>0</v>
      </c>
      <c r="C371" s="322">
        <f>IF(C294&gt;0,0,C294)</f>
        <v>0</v>
      </c>
      <c r="D371" s="322">
        <f t="shared" ref="D371:N371" si="183">IF(D294&gt;0,0,D294)</f>
        <v>0</v>
      </c>
      <c r="E371" s="322">
        <f t="shared" si="183"/>
        <v>0</v>
      </c>
      <c r="F371" s="322">
        <f t="shared" si="183"/>
        <v>0</v>
      </c>
      <c r="G371" s="322">
        <f t="shared" si="183"/>
        <v>0</v>
      </c>
      <c r="H371" s="322">
        <f t="shared" si="183"/>
        <v>0</v>
      </c>
      <c r="I371" s="322">
        <f t="shared" si="183"/>
        <v>0</v>
      </c>
      <c r="J371" s="322">
        <f t="shared" si="183"/>
        <v>0</v>
      </c>
      <c r="K371" s="322">
        <f t="shared" si="183"/>
        <v>0</v>
      </c>
      <c r="L371" s="322">
        <f t="shared" si="183"/>
        <v>0</v>
      </c>
      <c r="M371" s="322">
        <f t="shared" si="183"/>
        <v>0</v>
      </c>
      <c r="N371" s="322">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P87"/>
  <sheetViews>
    <sheetView showGridLines="0" workbookViewId="0"/>
  </sheetViews>
  <sheetFormatPr defaultColWidth="9.140625" defaultRowHeight="12.75"/>
  <cols>
    <col min="1" max="1" width="9.140625" style="302"/>
    <col min="2" max="2" width="31.7109375" style="302" customWidth="1"/>
    <col min="3" max="14" width="10.7109375" style="302" customWidth="1"/>
    <col min="15" max="15" width="11.140625" style="302" bestFit="1" customWidth="1"/>
    <col min="16" max="16384" width="9.140625" style="302"/>
  </cols>
  <sheetData>
    <row r="1" spans="1:16" s="337" customFormat="1" ht="15">
      <c r="A1" s="336" t="str">
        <f>ModelBanner</f>
        <v>TSM_201819 Publication</v>
      </c>
    </row>
    <row r="2" spans="1:16" s="337" customFormat="1" ht="15">
      <c r="A2" s="940" t="s">
        <v>13</v>
      </c>
      <c r="B2" s="940" t="s">
        <v>30</v>
      </c>
    </row>
    <row r="3" spans="1:16" s="337" customFormat="1" ht="15">
      <c r="A3" s="338"/>
    </row>
    <row r="4" spans="1:16" s="341" customFormat="1">
      <c r="A4" s="339" t="s">
        <v>26</v>
      </c>
      <c r="B4" s="339"/>
      <c r="C4" s="339"/>
      <c r="D4" s="339"/>
      <c r="E4" s="340"/>
      <c r="F4" s="339"/>
      <c r="G4" s="339"/>
      <c r="H4" s="339"/>
      <c r="I4" s="339"/>
      <c r="J4" s="339"/>
      <c r="K4" s="339"/>
      <c r="L4" s="339"/>
    </row>
    <row r="5" spans="1:16" s="343" customFormat="1" ht="13.15" customHeight="1">
      <c r="A5" s="682" t="s">
        <v>1528</v>
      </c>
      <c r="B5" s="682"/>
      <c r="C5" s="682"/>
      <c r="D5" s="682"/>
      <c r="E5" s="682"/>
      <c r="F5" s="682"/>
      <c r="G5" s="682"/>
      <c r="H5" s="682"/>
      <c r="I5" s="682"/>
      <c r="J5" s="682"/>
      <c r="K5" s="682"/>
      <c r="L5" s="682"/>
      <c r="M5" s="342"/>
      <c r="N5" s="342"/>
      <c r="O5" s="342"/>
      <c r="P5" s="342"/>
    </row>
    <row r="6" spans="1:16" s="347" customFormat="1" ht="13.5" customHeight="1">
      <c r="A6" s="344" t="s">
        <v>1392</v>
      </c>
      <c r="B6" s="345"/>
      <c r="C6" s="345"/>
      <c r="D6" s="345"/>
      <c r="E6" s="340"/>
      <c r="F6" s="345"/>
      <c r="G6" s="345"/>
      <c r="H6" s="345"/>
      <c r="I6" s="345"/>
      <c r="J6" s="345"/>
      <c r="K6" s="345"/>
      <c r="L6" s="345"/>
      <c r="M6" s="346"/>
      <c r="N6" s="346"/>
      <c r="O6" s="346"/>
      <c r="P6" s="346"/>
    </row>
    <row r="7" spans="1:16" s="347" customFormat="1" ht="12" customHeight="1">
      <c r="A7" s="348" t="s">
        <v>349</v>
      </c>
      <c r="B7" s="344"/>
      <c r="C7" s="345"/>
      <c r="D7" s="345"/>
      <c r="E7" s="340"/>
      <c r="F7" s="345"/>
      <c r="G7" s="345"/>
      <c r="H7" s="345"/>
      <c r="I7" s="345"/>
      <c r="J7" s="345"/>
      <c r="K7" s="345"/>
      <c r="L7" s="345"/>
      <c r="M7" s="346"/>
      <c r="N7" s="346"/>
      <c r="O7" s="346"/>
      <c r="P7" s="346"/>
    </row>
    <row r="8" spans="1:16" s="347" customFormat="1" ht="15.75" customHeight="1">
      <c r="A8" s="344" t="s">
        <v>24</v>
      </c>
      <c r="B8" s="345"/>
      <c r="C8" s="345"/>
      <c r="D8" s="345"/>
      <c r="E8" s="340"/>
      <c r="F8" s="345"/>
      <c r="G8" s="345"/>
      <c r="H8" s="345"/>
      <c r="I8" s="345"/>
      <c r="J8" s="345"/>
      <c r="K8" s="345"/>
      <c r="L8" s="345"/>
      <c r="M8" s="346"/>
      <c r="N8" s="346"/>
      <c r="O8" s="346"/>
      <c r="P8" s="346"/>
    </row>
    <row r="9" spans="1:16" s="347" customFormat="1" ht="15.75" customHeight="1">
      <c r="A9" s="348" t="s">
        <v>124</v>
      </c>
      <c r="B9" s="345"/>
      <c r="C9" s="345"/>
      <c r="D9" s="345"/>
      <c r="E9" s="340"/>
      <c r="F9" s="345"/>
      <c r="G9" s="345"/>
      <c r="H9" s="345"/>
      <c r="I9" s="345"/>
      <c r="J9" s="345"/>
      <c r="K9" s="345"/>
      <c r="L9" s="345"/>
      <c r="M9" s="346"/>
      <c r="N9" s="346"/>
      <c r="O9" s="346"/>
      <c r="P9" s="346"/>
    </row>
    <row r="10" spans="1:16" s="355" customFormat="1" ht="13.5" customHeight="1">
      <c r="A10" s="349">
        <f>SUM(A64:A2174)</f>
        <v>0</v>
      </c>
      <c r="B10" s="350"/>
      <c r="C10" s="351"/>
      <c r="D10" s="352"/>
      <c r="E10" s="352"/>
      <c r="F10" s="352"/>
      <c r="G10" s="353"/>
      <c r="H10" s="352"/>
      <c r="I10" s="352"/>
      <c r="J10" s="353"/>
      <c r="K10" s="354"/>
      <c r="L10" s="354"/>
      <c r="M10" s="354"/>
      <c r="N10" s="354"/>
      <c r="O10" s="354"/>
      <c r="P10" s="354"/>
    </row>
    <row r="12" spans="1:16" ht="15.75">
      <c r="B12" s="362" t="s">
        <v>851</v>
      </c>
    </row>
    <row r="13" spans="1:16">
      <c r="B13" s="363"/>
    </row>
    <row r="14" spans="1:16">
      <c r="B14" s="315"/>
      <c r="C14" s="315" t="str">
        <f>'Art_&amp;_Design_1'!C293</f>
        <v>2017/18</v>
      </c>
      <c r="D14" s="315" t="str">
        <f>'Art_&amp;_Design_1'!D293</f>
        <v>2018/19</v>
      </c>
      <c r="E14" s="315" t="str">
        <f>'Art_&amp;_Design_1'!E293</f>
        <v>2019/20</v>
      </c>
      <c r="F14" s="315" t="str">
        <f>'Art_&amp;_Design_1'!F293</f>
        <v>2020/21</v>
      </c>
      <c r="G14" s="315" t="str">
        <f>'Art_&amp;_Design_1'!G293</f>
        <v>2021/22</v>
      </c>
      <c r="H14" s="315" t="str">
        <f>'Art_&amp;_Design_1'!H293</f>
        <v>2022/23</v>
      </c>
      <c r="I14" s="315" t="str">
        <f>'Art_&amp;_Design_1'!I293</f>
        <v>2023/24</v>
      </c>
      <c r="J14" s="315" t="str">
        <f>'Art_&amp;_Design_1'!J293</f>
        <v>2024/25</v>
      </c>
      <c r="K14" s="315" t="str">
        <f>'Art_&amp;_Design_1'!K293</f>
        <v>2025/26</v>
      </c>
      <c r="L14" s="315" t="str">
        <f>'Art_&amp;_Design_1'!L293</f>
        <v>2026/27</v>
      </c>
      <c r="M14" s="315" t="str">
        <f>'Art_&amp;_Design_1'!M293</f>
        <v>2027/28</v>
      </c>
      <c r="N14" s="315" t="str">
        <f>'Art_&amp;_Design_1'!N293</f>
        <v>2028/29</v>
      </c>
    </row>
    <row r="15" spans="1:16">
      <c r="B15" s="645" t="str">
        <f>Entrant_need_figures!B16</f>
        <v>Art &amp; Design</v>
      </c>
      <c r="C15" s="841">
        <f>'Art_&amp;_Design_1'!C296</f>
        <v>784.26817674174765</v>
      </c>
      <c r="D15" s="841">
        <f>'Art_&amp;_Design_1'!D296</f>
        <v>847.98779009243503</v>
      </c>
      <c r="E15" s="841">
        <f>'Art_&amp;_Design_1'!E296</f>
        <v>911.90358869309921</v>
      </c>
      <c r="F15" s="841">
        <f>'Art_&amp;_Design_1'!F296</f>
        <v>908.52390243401271</v>
      </c>
      <c r="G15" s="841">
        <f>'Art_&amp;_Design_1'!G296</f>
        <v>892.75798834883585</v>
      </c>
      <c r="H15" s="841">
        <f>'Art_&amp;_Design_1'!H296</f>
        <v>872.22463669813271</v>
      </c>
      <c r="I15" s="841">
        <f>'Art_&amp;_Design_1'!I296</f>
        <v>920.57552814842188</v>
      </c>
      <c r="J15" s="841">
        <f>'Art_&amp;_Design_1'!J296</f>
        <v>952.00450810184907</v>
      </c>
      <c r="K15" s="841">
        <f>'Art_&amp;_Design_1'!K296</f>
        <v>906.640186723836</v>
      </c>
      <c r="L15" s="841">
        <f>'Art_&amp;_Design_1'!L296</f>
        <v>878.13302118174317</v>
      </c>
      <c r="M15" s="841">
        <f>'Art_&amp;_Design_1'!M296</f>
        <v>895.61808429768575</v>
      </c>
      <c r="N15" s="841">
        <f>'Art_&amp;_Design_1'!N296</f>
        <v>901.3064146959357</v>
      </c>
    </row>
    <row r="16" spans="1:16">
      <c r="B16" s="645" t="str">
        <f>Entrant_need_figures!B17</f>
        <v>Biology</v>
      </c>
      <c r="C16" s="841">
        <f>Biology_1!C296</f>
        <v>1754.8582177378757</v>
      </c>
      <c r="D16" s="841">
        <f>Biology_1!D296</f>
        <v>1564.951730038006</v>
      </c>
      <c r="E16" s="841">
        <f>Biology_1!E296</f>
        <v>1606.8774457651218</v>
      </c>
      <c r="F16" s="841">
        <f>Biology_1!F296</f>
        <v>1616.0614293362378</v>
      </c>
      <c r="G16" s="841">
        <f>Biology_1!G296</f>
        <v>1650.838270229136</v>
      </c>
      <c r="H16" s="841">
        <f>Biology_1!H296</f>
        <v>1690.6853764459115</v>
      </c>
      <c r="I16" s="841">
        <f>Biology_1!I296</f>
        <v>1720.659816706949</v>
      </c>
      <c r="J16" s="841">
        <f>Biology_1!J296</f>
        <v>1694.6486368818987</v>
      </c>
      <c r="K16" s="841">
        <f>Biology_1!K296</f>
        <v>1675.1779829939026</v>
      </c>
      <c r="L16" s="841">
        <f>Biology_1!L296</f>
        <v>1649.5255228022834</v>
      </c>
      <c r="M16" s="841">
        <f>Biology_1!M296</f>
        <v>1609.0943818593339</v>
      </c>
      <c r="N16" s="841">
        <f>Biology_1!N296</f>
        <v>1568.0795073812799</v>
      </c>
    </row>
    <row r="17" spans="2:14">
      <c r="B17" s="645" t="str">
        <f>Entrant_need_figures!B18</f>
        <v>Business Studies</v>
      </c>
      <c r="C17" s="841">
        <f>Business_Studies_1!C296</f>
        <v>263.62978834821001</v>
      </c>
      <c r="D17" s="841">
        <f>Business_Studies_1!D296</f>
        <v>325.98949134777433</v>
      </c>
      <c r="E17" s="841">
        <f>Business_Studies_1!E296</f>
        <v>356.13893037343132</v>
      </c>
      <c r="F17" s="841">
        <f>Business_Studies_1!F296</f>
        <v>396.84543079395735</v>
      </c>
      <c r="G17" s="841">
        <f>Business_Studies_1!G296</f>
        <v>418.28067325923951</v>
      </c>
      <c r="H17" s="841">
        <f>Business_Studies_1!H296</f>
        <v>445.65230907873359</v>
      </c>
      <c r="I17" s="841">
        <f>Business_Studies_1!I296</f>
        <v>455.1496460672837</v>
      </c>
      <c r="J17" s="841">
        <f>Business_Studies_1!J296</f>
        <v>482.04819396629557</v>
      </c>
      <c r="K17" s="841">
        <f>Business_Studies_1!K296</f>
        <v>486.91858506129347</v>
      </c>
      <c r="L17" s="841">
        <f>Business_Studies_1!L296</f>
        <v>486.58542683867825</v>
      </c>
      <c r="M17" s="841">
        <f>Business_Studies_1!M296</f>
        <v>459.06752555166088</v>
      </c>
      <c r="N17" s="841">
        <f>Business_Studies_1!N296</f>
        <v>428.65506057230527</v>
      </c>
    </row>
    <row r="18" spans="2:14">
      <c r="B18" s="645" t="str">
        <f>Entrant_need_figures!B19</f>
        <v>Chemistry</v>
      </c>
      <c r="C18" s="841">
        <f>Chemistry_1!C296</f>
        <v>1591.8760582329605</v>
      </c>
      <c r="D18" s="841">
        <f>Chemistry_1!D296</f>
        <v>1438.5478249984121</v>
      </c>
      <c r="E18" s="841">
        <f>Chemistry_1!E296</f>
        <v>1470.9643367195131</v>
      </c>
      <c r="F18" s="841">
        <f>Chemistry_1!F296</f>
        <v>1471.6763382019715</v>
      </c>
      <c r="G18" s="841">
        <f>Chemistry_1!G296</f>
        <v>1501.419623896096</v>
      </c>
      <c r="H18" s="841">
        <f>Chemistry_1!H296</f>
        <v>1536.7350649750842</v>
      </c>
      <c r="I18" s="841">
        <f>Chemistry_1!I296</f>
        <v>1550.0030314060627</v>
      </c>
      <c r="J18" s="841">
        <f>Chemistry_1!J296</f>
        <v>1523.4057098363203</v>
      </c>
      <c r="K18" s="841">
        <f>Chemistry_1!K296</f>
        <v>1511.4443139010427</v>
      </c>
      <c r="L18" s="841">
        <f>Chemistry_1!L296</f>
        <v>1488.4773584551654</v>
      </c>
      <c r="M18" s="841">
        <f>Chemistry_1!M296</f>
        <v>1436.7552866249198</v>
      </c>
      <c r="N18" s="841">
        <f>Chemistry_1!N296</f>
        <v>1386.4881934041705</v>
      </c>
    </row>
    <row r="19" spans="2:14">
      <c r="B19" s="645" t="str">
        <f>Entrant_need_figures!B20</f>
        <v>Classics</v>
      </c>
      <c r="C19" s="841">
        <f>Classics_1!C296</f>
        <v>35.315407536400862</v>
      </c>
      <c r="D19" s="841">
        <f>Classics_1!D296</f>
        <v>36.270167729320221</v>
      </c>
      <c r="E19" s="841">
        <f>Classics_1!E296</f>
        <v>37.278094451460042</v>
      </c>
      <c r="F19" s="841">
        <f>Classics_1!F296</f>
        <v>38.011785158859475</v>
      </c>
      <c r="G19" s="841">
        <f>Classics_1!G296</f>
        <v>38.18790728513477</v>
      </c>
      <c r="H19" s="841">
        <f>Classics_1!H296</f>
        <v>38.740600690767856</v>
      </c>
      <c r="I19" s="841">
        <f>Classics_1!I296</f>
        <v>39.677527535553914</v>
      </c>
      <c r="J19" s="841">
        <f>Classics_1!J296</f>
        <v>39.409194428426616</v>
      </c>
      <c r="K19" s="841">
        <f>Classics_1!K296</f>
        <v>37.931307439058898</v>
      </c>
      <c r="L19" s="841">
        <f>Classics_1!L296</f>
        <v>36.999550006162941</v>
      </c>
      <c r="M19" s="841">
        <f>Classics_1!M296</f>
        <v>36.917790027062196</v>
      </c>
      <c r="N19" s="841">
        <f>Classics_1!N296</f>
        <v>36.633541807779352</v>
      </c>
    </row>
    <row r="20" spans="2:14">
      <c r="B20" s="645" t="str">
        <f>Entrant_need_figures!B21</f>
        <v>Computing</v>
      </c>
      <c r="C20" s="841">
        <f>Computing_1!C296</f>
        <v>726.8391924291152</v>
      </c>
      <c r="D20" s="841">
        <f>Computing_1!D296</f>
        <v>798.98281434623186</v>
      </c>
      <c r="E20" s="841">
        <f>Computing_1!E296</f>
        <v>863.67789279291742</v>
      </c>
      <c r="F20" s="841">
        <f>Computing_1!F296</f>
        <v>858.9792121844614</v>
      </c>
      <c r="G20" s="841">
        <f>Computing_1!G296</f>
        <v>853.05623139619593</v>
      </c>
      <c r="H20" s="841">
        <f>Computing_1!H296</f>
        <v>844.24096678780847</v>
      </c>
      <c r="I20" s="841">
        <f>Computing_1!I296</f>
        <v>880.60980387152154</v>
      </c>
      <c r="J20" s="841">
        <f>Computing_1!J296</f>
        <v>910.66420014363166</v>
      </c>
      <c r="K20" s="841">
        <f>Computing_1!K296</f>
        <v>885.79312321106693</v>
      </c>
      <c r="L20" s="841">
        <f>Computing_1!L296</f>
        <v>867.37733034142661</v>
      </c>
      <c r="M20" s="841">
        <f>Computing_1!M296</f>
        <v>868.25838545086049</v>
      </c>
      <c r="N20" s="841">
        <f>Computing_1!N296</f>
        <v>860.84071320300791</v>
      </c>
    </row>
    <row r="21" spans="2:14">
      <c r="B21" s="645" t="str">
        <f>Entrant_need_figures!B22</f>
        <v>Design &amp; Technology</v>
      </c>
      <c r="C21" s="841">
        <f>'Design_&amp;_Technology_1'!C296</f>
        <v>1130.059481511199</v>
      </c>
      <c r="D21" s="841">
        <f>'Design_&amp;_Technology_1'!D296</f>
        <v>1136.4889128051518</v>
      </c>
      <c r="E21" s="841">
        <f>'Design_&amp;_Technology_1'!E296</f>
        <v>1201.3916753707881</v>
      </c>
      <c r="F21" s="841">
        <f>'Design_&amp;_Technology_1'!F296</f>
        <v>1151.5297501158616</v>
      </c>
      <c r="G21" s="841">
        <f>'Design_&amp;_Technology_1'!G296</f>
        <v>1104.0135268593774</v>
      </c>
      <c r="H21" s="841">
        <f>'Design_&amp;_Technology_1'!H296</f>
        <v>1048.4847283327263</v>
      </c>
      <c r="I21" s="841">
        <f>'Design_&amp;_Technology_1'!I296</f>
        <v>1103.8798661895696</v>
      </c>
      <c r="J21" s="841">
        <f>'Design_&amp;_Technology_1'!J296</f>
        <v>1127.7068782784741</v>
      </c>
      <c r="K21" s="841">
        <f>'Design_&amp;_Technology_1'!K296</f>
        <v>1055.4413862648635</v>
      </c>
      <c r="L21" s="841">
        <f>'Design_&amp;_Technology_1'!L296</f>
        <v>1010.4215015686082</v>
      </c>
      <c r="M21" s="841">
        <f>'Design_&amp;_Technology_1'!M296</f>
        <v>1044.8871931105132</v>
      </c>
      <c r="N21" s="841">
        <f>'Design_&amp;_Technology_1'!N296</f>
        <v>1065.0351341220417</v>
      </c>
    </row>
    <row r="22" spans="2:14">
      <c r="B22" s="645" t="str">
        <f>Entrant_need_figures!B23</f>
        <v>Drama</v>
      </c>
      <c r="C22" s="841">
        <f>Drama_1!C296</f>
        <v>468.76901163447405</v>
      </c>
      <c r="D22" s="841">
        <f>Drama_1!D296</f>
        <v>476.88945248559162</v>
      </c>
      <c r="E22" s="841">
        <f>Drama_1!E296</f>
        <v>515.14220287514286</v>
      </c>
      <c r="F22" s="841">
        <f>Drama_1!F296</f>
        <v>508.9564821067587</v>
      </c>
      <c r="G22" s="841">
        <f>Drama_1!G296</f>
        <v>497.49914786373063</v>
      </c>
      <c r="H22" s="841">
        <f>Drama_1!H296</f>
        <v>482.57546524310476</v>
      </c>
      <c r="I22" s="841">
        <f>Drama_1!I296</f>
        <v>516.61910389095897</v>
      </c>
      <c r="J22" s="841">
        <f>Drama_1!J296</f>
        <v>536.53435003899631</v>
      </c>
      <c r="K22" s="841">
        <f>Drama_1!K296</f>
        <v>507.7480532230112</v>
      </c>
      <c r="L22" s="841">
        <f>Drama_1!L296</f>
        <v>491.65207959071995</v>
      </c>
      <c r="M22" s="841">
        <f>Drama_1!M296</f>
        <v>511.59981676510779</v>
      </c>
      <c r="N22" s="841">
        <f>Drama_1!N296</f>
        <v>523.75023107301433</v>
      </c>
    </row>
    <row r="23" spans="2:14">
      <c r="B23" s="645" t="str">
        <f>Entrant_need_figures!B24</f>
        <v>English</v>
      </c>
      <c r="C23" s="841">
        <f>English_1!C296</f>
        <v>4039.537608063712</v>
      </c>
      <c r="D23" s="841">
        <f>English_1!D296</f>
        <v>4228.7636458328525</v>
      </c>
      <c r="E23" s="841">
        <f>English_1!E296</f>
        <v>3977.9708800519511</v>
      </c>
      <c r="F23" s="841">
        <f>English_1!F296</f>
        <v>3922.7594693874084</v>
      </c>
      <c r="G23" s="841">
        <f>English_1!G296</f>
        <v>3951.0519163174613</v>
      </c>
      <c r="H23" s="841">
        <f>English_1!H296</f>
        <v>3980.7719631029331</v>
      </c>
      <c r="I23" s="841">
        <f>English_1!I296</f>
        <v>4062.2464165660172</v>
      </c>
      <c r="J23" s="841">
        <f>English_1!J296</f>
        <v>3930.7638872047251</v>
      </c>
      <c r="K23" s="841">
        <f>English_1!K296</f>
        <v>3845.6856195819669</v>
      </c>
      <c r="L23" s="841">
        <f>English_1!L296</f>
        <v>3756.7373151821294</v>
      </c>
      <c r="M23" s="841">
        <f>English_1!M296</f>
        <v>3687.4443487823951</v>
      </c>
      <c r="N23" s="841">
        <f>English_1!N296</f>
        <v>3621.4300321380124</v>
      </c>
    </row>
    <row r="24" spans="2:14">
      <c r="B24" s="645" t="str">
        <f>Entrant_need_figures!B25</f>
        <v>Food</v>
      </c>
      <c r="C24" s="841">
        <f>Food_1!C296</f>
        <v>211.65522159252305</v>
      </c>
      <c r="D24" s="841">
        <f>Food_1!D296</f>
        <v>247.51398484695662</v>
      </c>
      <c r="E24" s="841">
        <f>Food_1!E296</f>
        <v>255.9304537238533</v>
      </c>
      <c r="F24" s="841">
        <f>Food_1!F296</f>
        <v>244.61702561467663</v>
      </c>
      <c r="G24" s="841">
        <f>Food_1!G296</f>
        <v>237.13402080456851</v>
      </c>
      <c r="H24" s="841">
        <f>Food_1!H296</f>
        <v>230.19786470703878</v>
      </c>
      <c r="I24" s="841">
        <f>Food_1!I296</f>
        <v>232.60959451307721</v>
      </c>
      <c r="J24" s="841">
        <f>Food_1!J296</f>
        <v>236.63399321553331</v>
      </c>
      <c r="K24" s="841">
        <f>Food_1!K296</f>
        <v>233.84406257594242</v>
      </c>
      <c r="L24" s="841">
        <f>Food_1!L296</f>
        <v>228.44436116322385</v>
      </c>
      <c r="M24" s="841">
        <f>Food_1!M296</f>
        <v>217.31856544349847</v>
      </c>
      <c r="N24" s="841">
        <f>Food_1!N296</f>
        <v>205.61031024153573</v>
      </c>
    </row>
    <row r="25" spans="2:14">
      <c r="B25" s="645" t="str">
        <f>Entrant_need_figures!B26</f>
        <v>Geography</v>
      </c>
      <c r="C25" s="841">
        <f>Geography_1!C296</f>
        <v>1291.2464891690154</v>
      </c>
      <c r="D25" s="841">
        <f>Geography_1!D296</f>
        <v>1278.9675184822354</v>
      </c>
      <c r="E25" s="841">
        <f>Geography_1!E296</f>
        <v>1333.6743487379865</v>
      </c>
      <c r="F25" s="841">
        <f>Geography_1!F296</f>
        <v>1326.9385392363606</v>
      </c>
      <c r="G25" s="841">
        <f>Geography_1!G296</f>
        <v>1334.5495213649326</v>
      </c>
      <c r="H25" s="841">
        <f>Geography_1!H296</f>
        <v>1337.9789026452224</v>
      </c>
      <c r="I25" s="841">
        <f>Geography_1!I296</f>
        <v>1398.0730147735271</v>
      </c>
      <c r="J25" s="841">
        <f>Geography_1!J296</f>
        <v>1355.1816399663992</v>
      </c>
      <c r="K25" s="841">
        <f>Geography_1!K296</f>
        <v>1300.1385354763884</v>
      </c>
      <c r="L25" s="841">
        <f>Geography_1!L296</f>
        <v>1261.9075385295355</v>
      </c>
      <c r="M25" s="841">
        <f>Geography_1!M296</f>
        <v>1278.9550554877867</v>
      </c>
      <c r="N25" s="841">
        <f>Geography_1!N296</f>
        <v>1291.3575788385963</v>
      </c>
    </row>
    <row r="26" spans="2:14">
      <c r="B26" s="645" t="str">
        <f>Entrant_need_figures!B27</f>
        <v>History</v>
      </c>
      <c r="C26" s="841">
        <f>History_1!C296</f>
        <v>1364.77471129794</v>
      </c>
      <c r="D26" s="841">
        <f>History_1!D296</f>
        <v>1349.6959609004903</v>
      </c>
      <c r="E26" s="841">
        <f>History_1!E296</f>
        <v>1406.4197824196981</v>
      </c>
      <c r="F26" s="841">
        <f>History_1!F296</f>
        <v>1405.2986902079674</v>
      </c>
      <c r="G26" s="841">
        <f>History_1!G296</f>
        <v>1415.8934456737647</v>
      </c>
      <c r="H26" s="841">
        <f>History_1!H296</f>
        <v>1423.1531405668202</v>
      </c>
      <c r="I26" s="841">
        <f>History_1!I296</f>
        <v>1484.3072768959455</v>
      </c>
      <c r="J26" s="841">
        <f>History_1!J296</f>
        <v>1442.582639065382</v>
      </c>
      <c r="K26" s="841">
        <f>History_1!K296</f>
        <v>1385.8260693521245</v>
      </c>
      <c r="L26" s="841">
        <f>History_1!L296</f>
        <v>1346.3437167591787</v>
      </c>
      <c r="M26" s="841">
        <f>History_1!M296</f>
        <v>1361.1555290030012</v>
      </c>
      <c r="N26" s="841">
        <f>History_1!N296</f>
        <v>1370.9924203509631</v>
      </c>
    </row>
    <row r="27" spans="2:14">
      <c r="B27" s="645" t="str">
        <f>Entrant_need_figures!B28</f>
        <v>Mathematics</v>
      </c>
      <c r="C27" s="841">
        <f>Mathematics_1!C296</f>
        <v>4773.4029155564294</v>
      </c>
      <c r="D27" s="841">
        <f>Mathematics_1!D296</f>
        <v>4492.3907511657389</v>
      </c>
      <c r="E27" s="841">
        <f>Mathematics_1!E296</f>
        <v>4609.484908446454</v>
      </c>
      <c r="F27" s="841">
        <f>Mathematics_1!F296</f>
        <v>4399.4795726291122</v>
      </c>
      <c r="G27" s="841">
        <f>Mathematics_1!G296</f>
        <v>4425.5192398265463</v>
      </c>
      <c r="H27" s="841">
        <f>Mathematics_1!H296</f>
        <v>4455.2936988494585</v>
      </c>
      <c r="I27" s="841">
        <f>Mathematics_1!I296</f>
        <v>4538.062375607009</v>
      </c>
      <c r="J27" s="841">
        <f>Mathematics_1!J296</f>
        <v>4413.2069015657735</v>
      </c>
      <c r="K27" s="841">
        <f>Mathematics_1!K296</f>
        <v>4302.4376709494409</v>
      </c>
      <c r="L27" s="841">
        <f>Mathematics_1!L296</f>
        <v>4198.5860278726541</v>
      </c>
      <c r="M27" s="841">
        <f>Mathematics_1!M296</f>
        <v>4130.9793028036638</v>
      </c>
      <c r="N27" s="841">
        <f>Mathematics_1!N296</f>
        <v>4062.9399983251878</v>
      </c>
    </row>
    <row r="28" spans="2:14">
      <c r="B28" s="645" t="str">
        <f>Entrant_need_figures!B29</f>
        <v>Modern Foreign Languages</v>
      </c>
      <c r="C28" s="841">
        <f>Modern_Foreign_Languages_1!C296</f>
        <v>1858.4175746536107</v>
      </c>
      <c r="D28" s="841">
        <f>Modern_Foreign_Languages_1!D296</f>
        <v>2277.0468819951711</v>
      </c>
      <c r="E28" s="841">
        <f>Modern_Foreign_Languages_1!E296</f>
        <v>2436.9639073138974</v>
      </c>
      <c r="F28" s="841">
        <f>Modern_Foreign_Languages_1!F296</f>
        <v>2581.3764716736596</v>
      </c>
      <c r="G28" s="841">
        <f>Modern_Foreign_Languages_1!G296</f>
        <v>2797.6578381647087</v>
      </c>
      <c r="H28" s="841">
        <f>Modern_Foreign_Languages_1!H296</f>
        <v>3020.0844173738324</v>
      </c>
      <c r="I28" s="841">
        <f>Modern_Foreign_Languages_1!I296</f>
        <v>3053.4215476249406</v>
      </c>
      <c r="J28" s="841">
        <f>Modern_Foreign_Languages_1!J296</f>
        <v>2423.6617342895406</v>
      </c>
      <c r="K28" s="841">
        <f>Modern_Foreign_Languages_1!K296</f>
        <v>2282.7896593347796</v>
      </c>
      <c r="L28" s="841">
        <f>Modern_Foreign_Languages_1!L296</f>
        <v>2177.201978623752</v>
      </c>
      <c r="M28" s="841">
        <f>Modern_Foreign_Languages_1!M296</f>
        <v>2190.5975001801526</v>
      </c>
      <c r="N28" s="841">
        <f>Modern_Foreign_Languages_1!N296</f>
        <v>2258.7731976159389</v>
      </c>
    </row>
    <row r="29" spans="2:14">
      <c r="B29" s="645" t="str">
        <f>Entrant_need_figures!B30</f>
        <v>Music</v>
      </c>
      <c r="C29" s="841">
        <f>Music_1!C296</f>
        <v>528.29000145633813</v>
      </c>
      <c r="D29" s="841">
        <f>Music_1!D296</f>
        <v>510.31303476271</v>
      </c>
      <c r="E29" s="841">
        <f>Music_1!E296</f>
        <v>554.11114497918811</v>
      </c>
      <c r="F29" s="841">
        <f>Music_1!F296</f>
        <v>538.62424715256395</v>
      </c>
      <c r="G29" s="841">
        <f>Music_1!G296</f>
        <v>520.37869422956521</v>
      </c>
      <c r="H29" s="841">
        <f>Music_1!H296</f>
        <v>496.19144727489311</v>
      </c>
      <c r="I29" s="841">
        <f>Music_1!I296</f>
        <v>536.18078702623006</v>
      </c>
      <c r="J29" s="841">
        <f>Music_1!J296</f>
        <v>554.55423071186647</v>
      </c>
      <c r="K29" s="841">
        <f>Music_1!K296</f>
        <v>514.73199151287645</v>
      </c>
      <c r="L29" s="841">
        <f>Music_1!L296</f>
        <v>493.43392705128872</v>
      </c>
      <c r="M29" s="841">
        <f>Music_1!M296</f>
        <v>525.87590917368505</v>
      </c>
      <c r="N29" s="841">
        <f>Music_1!N296</f>
        <v>548.9402543829176</v>
      </c>
    </row>
    <row r="30" spans="2:14">
      <c r="B30" s="645" t="str">
        <f>Entrant_need_figures!B31</f>
        <v>Others</v>
      </c>
      <c r="C30" s="841">
        <f>Others_1!C296</f>
        <v>1131.1011987364636</v>
      </c>
      <c r="D30" s="841">
        <f>Others_1!D296</f>
        <v>1198.8933853926105</v>
      </c>
      <c r="E30" s="841">
        <f>Others_1!E296</f>
        <v>1285.3779463605965</v>
      </c>
      <c r="F30" s="841">
        <f>Others_1!F296</f>
        <v>1400.8186277862183</v>
      </c>
      <c r="G30" s="841">
        <f>Others_1!G296</f>
        <v>1437.002863699402</v>
      </c>
      <c r="H30" s="841">
        <f>Others_1!H296</f>
        <v>1486.8901071760445</v>
      </c>
      <c r="I30" s="841">
        <f>Others_1!I296</f>
        <v>1551.3539041262441</v>
      </c>
      <c r="J30" s="841">
        <f>Others_1!J296</f>
        <v>1640.423711095566</v>
      </c>
      <c r="K30" s="841">
        <f>Others_1!K296</f>
        <v>1596.0873584509113</v>
      </c>
      <c r="L30" s="841">
        <f>Others_1!L296</f>
        <v>1572.9642373759284</v>
      </c>
      <c r="M30" s="841">
        <f>Others_1!M296</f>
        <v>1562.1818429578041</v>
      </c>
      <c r="N30" s="841">
        <f>Others_1!N296</f>
        <v>1531.5114801687128</v>
      </c>
    </row>
    <row r="31" spans="2:14">
      <c r="B31" s="645" t="str">
        <f>Entrant_need_figures!B32</f>
        <v>Physical Education</v>
      </c>
      <c r="C31" s="841">
        <f>Physical_Education_1!C296</f>
        <v>1350.1164811655508</v>
      </c>
      <c r="D31" s="841">
        <f>Physical_Education_1!D296</f>
        <v>1562.3252945531117</v>
      </c>
      <c r="E31" s="841">
        <f>Physical_Education_1!E296</f>
        <v>1706.948541192171</v>
      </c>
      <c r="F31" s="841">
        <f>Physical_Education_1!F296</f>
        <v>1656.1605126829438</v>
      </c>
      <c r="G31" s="841">
        <f>Physical_Education_1!G296</f>
        <v>1628.9397382808945</v>
      </c>
      <c r="H31" s="841">
        <f>Physical_Education_1!H296</f>
        <v>1594.033445352748</v>
      </c>
      <c r="I31" s="841">
        <f>Physical_Education_1!I296</f>
        <v>1691.2192386976544</v>
      </c>
      <c r="J31" s="841">
        <f>Physical_Education_1!J296</f>
        <v>1761.7877102060295</v>
      </c>
      <c r="K31" s="841">
        <f>Physical_Education_1!K296</f>
        <v>1714.6752398803219</v>
      </c>
      <c r="L31" s="841">
        <f>Physical_Education_1!L296</f>
        <v>1679.3458219250574</v>
      </c>
      <c r="M31" s="841">
        <f>Physical_Education_1!M296</f>
        <v>1691.4712675724204</v>
      </c>
      <c r="N31" s="841">
        <f>Physical_Education_1!N296</f>
        <v>1684.9483172290484</v>
      </c>
    </row>
    <row r="32" spans="2:14">
      <c r="B32" s="645" t="str">
        <f>Entrant_need_figures!B33</f>
        <v>Physics</v>
      </c>
      <c r="C32" s="841">
        <f>Physics_1!C296</f>
        <v>1687.9302005483253</v>
      </c>
      <c r="D32" s="841">
        <f>Physics_1!D296</f>
        <v>1465.611605238164</v>
      </c>
      <c r="E32" s="841">
        <f>Physics_1!E296</f>
        <v>1501.7093587190548</v>
      </c>
      <c r="F32" s="841">
        <f>Physics_1!F296</f>
        <v>1486.9228279603258</v>
      </c>
      <c r="G32" s="841">
        <f>Physics_1!G296</f>
        <v>1511.528717484347</v>
      </c>
      <c r="H32" s="841">
        <f>Physics_1!H296</f>
        <v>1540.5389406557383</v>
      </c>
      <c r="I32" s="841">
        <f>Physics_1!I296</f>
        <v>1549.9248396440018</v>
      </c>
      <c r="J32" s="841">
        <f>Physics_1!J296</f>
        <v>1516.417190398015</v>
      </c>
      <c r="K32" s="841">
        <f>Physics_1!K296</f>
        <v>1503.2781312333523</v>
      </c>
      <c r="L32" s="841">
        <f>Physics_1!L296</f>
        <v>1478.1289993633811</v>
      </c>
      <c r="M32" s="841">
        <f>Physics_1!M296</f>
        <v>1423.9817986848645</v>
      </c>
      <c r="N32" s="841">
        <f>Physics_1!N296</f>
        <v>1372.3227559915913</v>
      </c>
    </row>
    <row r="33" spans="2:14">
      <c r="B33" s="645" t="str">
        <f>Entrant_need_figures!B15</f>
        <v>Primary</v>
      </c>
      <c r="C33" s="841">
        <f>Primary_1!C296</f>
        <v>27567.610098506135</v>
      </c>
      <c r="D33" s="841">
        <f>Primary_1!D296</f>
        <v>26168.018656485227</v>
      </c>
      <c r="E33" s="841">
        <f>Primary_1!E296</f>
        <v>25835.193892356139</v>
      </c>
      <c r="F33" s="841">
        <f>Primary_1!F296</f>
        <v>26114.334562704269</v>
      </c>
      <c r="G33" s="841">
        <f>Primary_1!G296</f>
        <v>25885.94315589944</v>
      </c>
      <c r="H33" s="841">
        <f>Primary_1!H296</f>
        <v>25613.573586348804</v>
      </c>
      <c r="I33" s="841">
        <f>Primary_1!I296</f>
        <v>25315.046585251301</v>
      </c>
      <c r="J33" s="841">
        <f>Primary_1!J296</f>
        <v>25877.247345032985</v>
      </c>
      <c r="K33" s="841">
        <f>Primary_1!K296</f>
        <v>26332.447964970914</v>
      </c>
      <c r="L33" s="841">
        <f>Primary_1!L296</f>
        <v>26445.141780619113</v>
      </c>
      <c r="M33" s="841">
        <f>Primary_1!M296</f>
        <v>26339.752208221755</v>
      </c>
      <c r="N33" s="841">
        <f>Primary_1!N296</f>
        <v>26210.936734375453</v>
      </c>
    </row>
    <row r="34" spans="2:14">
      <c r="B34" s="645" t="str">
        <f>Entrant_need_figures!B34</f>
        <v>Religious Education</v>
      </c>
      <c r="C34" s="841">
        <f>Religious_Education_1!C296</f>
        <v>734.82659603874527</v>
      </c>
      <c r="D34" s="841">
        <f>Religious_Education_1!D296</f>
        <v>775.45274589812868</v>
      </c>
      <c r="E34" s="841">
        <f>Religious_Education_1!E296</f>
        <v>825.94695608588449</v>
      </c>
      <c r="F34" s="841">
        <f>Religious_Education_1!F296</f>
        <v>803.41286876655727</v>
      </c>
      <c r="G34" s="841">
        <f>Religious_Education_1!G296</f>
        <v>783.59414836479846</v>
      </c>
      <c r="H34" s="841">
        <f>Religious_Education_1!H296</f>
        <v>761.34044717295467</v>
      </c>
      <c r="I34" s="841">
        <f>Religious_Education_1!I296</f>
        <v>797.7558971130976</v>
      </c>
      <c r="J34" s="841">
        <f>Religious_Education_1!J296</f>
        <v>823.41797792246564</v>
      </c>
      <c r="K34" s="841">
        <f>Religious_Education_1!K296</f>
        <v>793.55847001304119</v>
      </c>
      <c r="L34" s="841">
        <f>Religious_Education_1!L296</f>
        <v>771.81387867996375</v>
      </c>
      <c r="M34" s="841">
        <f>Religious_Education_1!M296</f>
        <v>775.59123399644454</v>
      </c>
      <c r="N34" s="841">
        <f>Religious_Education_1!N296</f>
        <v>771.13827426105649</v>
      </c>
    </row>
    <row r="35" spans="2:14" ht="25.5">
      <c r="B35" s="645" t="str">
        <f>Entrant_need_figures!B35</f>
        <v>Total secondary entrant teacher need</v>
      </c>
      <c r="C35" s="841">
        <f>SUM(C15:C34)-C33</f>
        <v>25726.914332450637</v>
      </c>
      <c r="D35" s="841">
        <f t="shared" ref="D35:N35" si="0">SUM(D15:D34)-D33</f>
        <v>26013.082992911099</v>
      </c>
      <c r="E35" s="841">
        <f t="shared" si="0"/>
        <v>26857.912395072213</v>
      </c>
      <c r="F35" s="841">
        <f t="shared" si="0"/>
        <v>26716.993183429917</v>
      </c>
      <c r="G35" s="841">
        <f t="shared" si="0"/>
        <v>26999.303513348736</v>
      </c>
      <c r="H35" s="841">
        <f t="shared" si="0"/>
        <v>27285.813523129949</v>
      </c>
      <c r="I35" s="841">
        <f t="shared" si="0"/>
        <v>28082.329216404069</v>
      </c>
      <c r="J35" s="841">
        <f t="shared" si="0"/>
        <v>27365.053287317191</v>
      </c>
      <c r="K35" s="841">
        <f t="shared" si="0"/>
        <v>26540.14774717922</v>
      </c>
      <c r="L35" s="841">
        <f t="shared" si="0"/>
        <v>25874.079593310878</v>
      </c>
      <c r="M35" s="841">
        <f t="shared" si="0"/>
        <v>25707.75081777286</v>
      </c>
      <c r="N35" s="841">
        <f t="shared" si="0"/>
        <v>25490.753415803094</v>
      </c>
    </row>
    <row r="36" spans="2:14">
      <c r="B36" s="363"/>
    </row>
    <row r="37" spans="2:14">
      <c r="B37" s="363" t="s">
        <v>1245</v>
      </c>
    </row>
    <row r="38" spans="2:14">
      <c r="B38" s="363"/>
    </row>
    <row r="39" spans="2:14" ht="38.25">
      <c r="B39" s="373" t="s">
        <v>59</v>
      </c>
      <c r="C39" s="331" t="s">
        <v>1276</v>
      </c>
      <c r="D39" s="315" t="s">
        <v>1275</v>
      </c>
    </row>
    <row r="40" spans="2:14">
      <c r="B40" s="373" t="str">
        <f t="shared" ref="B40:B59" si="1">B15</f>
        <v>Art &amp; Design</v>
      </c>
      <c r="C40" s="317">
        <f>Data_selected_by_user_testing!L295</f>
        <v>4.1558884973610475</v>
      </c>
      <c r="D40" s="900">
        <f>C40/E15</f>
        <v>4.5573770614469097E-3</v>
      </c>
    </row>
    <row r="41" spans="2:14">
      <c r="B41" s="373" t="str">
        <f t="shared" si="1"/>
        <v>Biology</v>
      </c>
      <c r="C41" s="317">
        <f>Data_selected_by_user_testing!L296</f>
        <v>36.515900652713754</v>
      </c>
      <c r="D41" s="900">
        <f t="shared" ref="D41:D60" si="2">C41/E16</f>
        <v>2.2724757727448558E-2</v>
      </c>
    </row>
    <row r="42" spans="2:14">
      <c r="B42" s="373" t="str">
        <f t="shared" si="1"/>
        <v>Business Studies</v>
      </c>
      <c r="C42" s="317">
        <f>Data_selected_by_user_testing!L297</f>
        <v>0</v>
      </c>
      <c r="D42" s="900">
        <f t="shared" si="2"/>
        <v>0</v>
      </c>
    </row>
    <row r="43" spans="2:14">
      <c r="B43" s="373" t="str">
        <f t="shared" si="1"/>
        <v>Chemistry</v>
      </c>
      <c r="C43" s="317">
        <f>Data_selected_by_user_testing!L298</f>
        <v>0</v>
      </c>
      <c r="D43" s="900">
        <f t="shared" si="2"/>
        <v>0</v>
      </c>
    </row>
    <row r="44" spans="2:14">
      <c r="B44" s="373" t="str">
        <f t="shared" si="1"/>
        <v>Classics</v>
      </c>
      <c r="C44" s="317">
        <f>Data_selected_by_user_testing!L299</f>
        <v>7.7825712916137491E-2</v>
      </c>
      <c r="D44" s="900">
        <f t="shared" si="2"/>
        <v>2.0877063074528843E-3</v>
      </c>
    </row>
    <row r="45" spans="2:14">
      <c r="B45" s="373" t="str">
        <f t="shared" si="1"/>
        <v>Computing</v>
      </c>
      <c r="C45" s="317">
        <f>Data_selected_by_user_testing!L300</f>
        <v>0</v>
      </c>
      <c r="D45" s="900">
        <f t="shared" si="2"/>
        <v>0</v>
      </c>
    </row>
    <row r="46" spans="2:14">
      <c r="B46" s="373" t="str">
        <f t="shared" si="1"/>
        <v>Design &amp; Technology</v>
      </c>
      <c r="C46" s="317">
        <f>Data_selected_by_user_testing!L301</f>
        <v>46.141812405496239</v>
      </c>
      <c r="D46" s="900">
        <f t="shared" si="2"/>
        <v>3.8406968644306108E-2</v>
      </c>
    </row>
    <row r="47" spans="2:14">
      <c r="B47" s="373" t="str">
        <f t="shared" si="1"/>
        <v>Drama</v>
      </c>
      <c r="C47" s="317">
        <f>Data_selected_by_user_testing!L302</f>
        <v>25.339348562292798</v>
      </c>
      <c r="D47" s="900">
        <f t="shared" si="2"/>
        <v>4.9189036388141552E-2</v>
      </c>
    </row>
    <row r="48" spans="2:14">
      <c r="B48" s="373" t="str">
        <f t="shared" si="1"/>
        <v>English</v>
      </c>
      <c r="C48" s="317">
        <f>Data_selected_by_user_testing!L303</f>
        <v>0</v>
      </c>
      <c r="D48" s="900">
        <f t="shared" si="2"/>
        <v>0</v>
      </c>
    </row>
    <row r="49" spans="2:14">
      <c r="B49" s="373" t="str">
        <f t="shared" si="1"/>
        <v>Food</v>
      </c>
      <c r="C49" s="317">
        <f>Data_selected_by_user_testing!L304</f>
        <v>0</v>
      </c>
      <c r="D49" s="900">
        <f t="shared" si="2"/>
        <v>0</v>
      </c>
    </row>
    <row r="50" spans="2:14">
      <c r="B50" s="373" t="str">
        <f t="shared" si="1"/>
        <v>Geography</v>
      </c>
      <c r="C50" s="317">
        <f>Data_selected_by_user_testing!L305</f>
        <v>46.274573121101639</v>
      </c>
      <c r="D50" s="900">
        <f t="shared" si="2"/>
        <v>3.4697055667967068E-2</v>
      </c>
    </row>
    <row r="51" spans="2:14">
      <c r="B51" s="373" t="str">
        <f t="shared" si="1"/>
        <v>History</v>
      </c>
      <c r="C51" s="317">
        <f>Data_selected_by_user_testing!L306</f>
        <v>47.279646885610418</v>
      </c>
      <c r="D51" s="900">
        <f t="shared" si="2"/>
        <v>3.361702350650058E-2</v>
      </c>
    </row>
    <row r="52" spans="2:14">
      <c r="B52" s="373" t="str">
        <f t="shared" si="1"/>
        <v>Mathematics</v>
      </c>
      <c r="C52" s="317">
        <f>Data_selected_by_user_testing!L307</f>
        <v>0</v>
      </c>
      <c r="D52" s="900">
        <f t="shared" si="2"/>
        <v>0</v>
      </c>
    </row>
    <row r="53" spans="2:14">
      <c r="B53" s="373" t="str">
        <f t="shared" si="1"/>
        <v>Modern Foreign Languages</v>
      </c>
      <c r="C53" s="317">
        <f>Data_selected_by_user_testing!L308</f>
        <v>0</v>
      </c>
      <c r="D53" s="900">
        <f t="shared" si="2"/>
        <v>0</v>
      </c>
    </row>
    <row r="54" spans="2:14">
      <c r="B54" s="373" t="str">
        <f t="shared" si="1"/>
        <v>Music</v>
      </c>
      <c r="C54" s="317">
        <f>Data_selected_by_user_testing!L309</f>
        <v>38.940633763932965</v>
      </c>
      <c r="D54" s="900">
        <f t="shared" si="2"/>
        <v>7.0275853710532271E-2</v>
      </c>
    </row>
    <row r="55" spans="2:14">
      <c r="B55" s="373" t="str">
        <f t="shared" si="1"/>
        <v>Others</v>
      </c>
      <c r="C55" s="317">
        <f>Data_selected_by_user_testing!L310</f>
        <v>0</v>
      </c>
      <c r="D55" s="900">
        <f t="shared" si="2"/>
        <v>0</v>
      </c>
    </row>
    <row r="56" spans="2:14">
      <c r="B56" s="373" t="str">
        <f t="shared" si="1"/>
        <v>Physical Education</v>
      </c>
      <c r="C56" s="317">
        <f>Data_selected_by_user_testing!L311</f>
        <v>0</v>
      </c>
      <c r="D56" s="900">
        <f t="shared" si="2"/>
        <v>0</v>
      </c>
    </row>
    <row r="57" spans="2:14">
      <c r="B57" s="373" t="str">
        <f t="shared" si="1"/>
        <v>Physics</v>
      </c>
      <c r="C57" s="317">
        <f>Data_selected_by_user_testing!L312</f>
        <v>74.937943824483227</v>
      </c>
      <c r="D57" s="900">
        <f t="shared" si="2"/>
        <v>4.9901762541058312E-2</v>
      </c>
    </row>
    <row r="58" spans="2:14">
      <c r="B58" s="373" t="str">
        <f t="shared" si="1"/>
        <v>Primary</v>
      </c>
      <c r="C58" s="317">
        <f>Data_selected_by_user_testing!L294</f>
        <v>604.46317914855899</v>
      </c>
      <c r="D58" s="900">
        <f t="shared" si="2"/>
        <v>2.3396889594368461E-2</v>
      </c>
    </row>
    <row r="59" spans="2:14">
      <c r="B59" s="373" t="str">
        <f t="shared" si="1"/>
        <v>Religious Education</v>
      </c>
      <c r="C59" s="317">
        <f>Data_selected_by_user_testing!L313</f>
        <v>41.099833294435484</v>
      </c>
      <c r="D59" s="900">
        <f t="shared" si="2"/>
        <v>4.976086296050445E-2</v>
      </c>
    </row>
    <row r="60" spans="2:14">
      <c r="B60" s="373" t="s">
        <v>8</v>
      </c>
      <c r="C60" s="317">
        <f>SUM(C40:C59)</f>
        <v>965.2265858689027</v>
      </c>
      <c r="D60" s="900">
        <f t="shared" si="2"/>
        <v>3.5938258032519266E-2</v>
      </c>
    </row>
    <row r="61" spans="2:14">
      <c r="B61" s="363"/>
    </row>
    <row r="62" spans="2:14">
      <c r="B62" s="363" t="s">
        <v>1246</v>
      </c>
    </row>
    <row r="63" spans="2:14">
      <c r="B63" s="363"/>
    </row>
    <row r="64" spans="2:14">
      <c r="B64" s="356"/>
      <c r="C64" s="356" t="str">
        <f>'Art_&amp;_Design_1'!C293</f>
        <v>2017/18</v>
      </c>
      <c r="D64" s="356" t="str">
        <f>'Art_&amp;_Design_1'!D293</f>
        <v>2018/19</v>
      </c>
      <c r="E64" s="356" t="str">
        <f>'Art_&amp;_Design_1'!E293</f>
        <v>2019/20</v>
      </c>
      <c r="F64" s="356" t="str">
        <f>'Art_&amp;_Design_1'!F293</f>
        <v>2020/21</v>
      </c>
      <c r="G64" s="356" t="str">
        <f>'Art_&amp;_Design_1'!G293</f>
        <v>2021/22</v>
      </c>
      <c r="H64" s="356" t="str">
        <f>'Art_&amp;_Design_1'!H293</f>
        <v>2022/23</v>
      </c>
      <c r="I64" s="356" t="str">
        <f>'Art_&amp;_Design_1'!I293</f>
        <v>2023/24</v>
      </c>
      <c r="J64" s="356" t="str">
        <f>'Art_&amp;_Design_1'!J293</f>
        <v>2024/25</v>
      </c>
      <c r="K64" s="356" t="str">
        <f>'Art_&amp;_Design_1'!K293</f>
        <v>2025/26</v>
      </c>
      <c r="L64" s="356" t="str">
        <f>'Art_&amp;_Design_1'!L293</f>
        <v>2026/27</v>
      </c>
      <c r="M64" s="356" t="str">
        <f>'Art_&amp;_Design_1'!M293</f>
        <v>2027/28</v>
      </c>
      <c r="N64" s="356" t="str">
        <f>'Art_&amp;_Design_1'!N293</f>
        <v>2028/29</v>
      </c>
    </row>
    <row r="65" spans="2:15">
      <c r="B65" s="356" t="str">
        <f>Entrant_need_figures!B16</f>
        <v>Art &amp; Design</v>
      </c>
      <c r="C65" s="276">
        <f t="shared" ref="C65:C84" si="3">C15</f>
        <v>784.26817674174765</v>
      </c>
      <c r="D65" s="276">
        <f t="shared" ref="D65:N65" si="4">D15</f>
        <v>847.98779009243503</v>
      </c>
      <c r="E65" s="537">
        <f t="shared" ref="E65:E84" si="5">E15+C40</f>
        <v>916.05947719046026</v>
      </c>
      <c r="F65" s="276">
        <f t="shared" si="4"/>
        <v>908.52390243401271</v>
      </c>
      <c r="G65" s="276">
        <f t="shared" si="4"/>
        <v>892.75798834883585</v>
      </c>
      <c r="H65" s="276">
        <f t="shared" si="4"/>
        <v>872.22463669813271</v>
      </c>
      <c r="I65" s="276">
        <f t="shared" si="4"/>
        <v>920.57552814842188</v>
      </c>
      <c r="J65" s="276">
        <f t="shared" si="4"/>
        <v>952.00450810184907</v>
      </c>
      <c r="K65" s="276">
        <f t="shared" si="4"/>
        <v>906.640186723836</v>
      </c>
      <c r="L65" s="276">
        <f t="shared" si="4"/>
        <v>878.13302118174317</v>
      </c>
      <c r="M65" s="276">
        <f t="shared" si="4"/>
        <v>895.61808429768575</v>
      </c>
      <c r="N65" s="276">
        <f t="shared" si="4"/>
        <v>901.3064146959357</v>
      </c>
      <c r="O65" s="379"/>
    </row>
    <row r="66" spans="2:15">
      <c r="B66" s="356" t="str">
        <f>Entrant_need_figures!B17</f>
        <v>Biology</v>
      </c>
      <c r="C66" s="276">
        <f t="shared" si="3"/>
        <v>1754.8582177378757</v>
      </c>
      <c r="D66" s="276">
        <f t="shared" ref="D66:D84" si="6">D16</f>
        <v>1564.951730038006</v>
      </c>
      <c r="E66" s="537">
        <f t="shared" si="5"/>
        <v>1643.3933464178356</v>
      </c>
      <c r="F66" s="276">
        <f t="shared" ref="F66:N66" si="7">F16</f>
        <v>1616.0614293362378</v>
      </c>
      <c r="G66" s="276">
        <f t="shared" si="7"/>
        <v>1650.838270229136</v>
      </c>
      <c r="H66" s="276">
        <f t="shared" si="7"/>
        <v>1690.6853764459115</v>
      </c>
      <c r="I66" s="276">
        <f t="shared" si="7"/>
        <v>1720.659816706949</v>
      </c>
      <c r="J66" s="276">
        <f t="shared" si="7"/>
        <v>1694.6486368818987</v>
      </c>
      <c r="K66" s="276">
        <f t="shared" si="7"/>
        <v>1675.1779829939026</v>
      </c>
      <c r="L66" s="276">
        <f t="shared" si="7"/>
        <v>1649.5255228022834</v>
      </c>
      <c r="M66" s="276">
        <f t="shared" si="7"/>
        <v>1609.0943818593339</v>
      </c>
      <c r="N66" s="276">
        <f t="shared" si="7"/>
        <v>1568.0795073812799</v>
      </c>
      <c r="O66" s="378"/>
    </row>
    <row r="67" spans="2:15">
      <c r="B67" s="356" t="str">
        <f>Entrant_need_figures!B18</f>
        <v>Business Studies</v>
      </c>
      <c r="C67" s="276">
        <f t="shared" si="3"/>
        <v>263.62978834821001</v>
      </c>
      <c r="D67" s="276">
        <f t="shared" si="6"/>
        <v>325.98949134777433</v>
      </c>
      <c r="E67" s="537">
        <f t="shared" si="5"/>
        <v>356.13893037343132</v>
      </c>
      <c r="F67" s="276">
        <f t="shared" ref="F67:N67" si="8">F17</f>
        <v>396.84543079395735</v>
      </c>
      <c r="G67" s="276">
        <f t="shared" si="8"/>
        <v>418.28067325923951</v>
      </c>
      <c r="H67" s="276">
        <f t="shared" si="8"/>
        <v>445.65230907873359</v>
      </c>
      <c r="I67" s="276">
        <f t="shared" si="8"/>
        <v>455.1496460672837</v>
      </c>
      <c r="J67" s="276">
        <f t="shared" si="8"/>
        <v>482.04819396629557</v>
      </c>
      <c r="K67" s="276">
        <f t="shared" si="8"/>
        <v>486.91858506129347</v>
      </c>
      <c r="L67" s="276">
        <f t="shared" si="8"/>
        <v>486.58542683867825</v>
      </c>
      <c r="M67" s="276">
        <f t="shared" si="8"/>
        <v>459.06752555166088</v>
      </c>
      <c r="N67" s="276">
        <f t="shared" si="8"/>
        <v>428.65506057230527</v>
      </c>
    </row>
    <row r="68" spans="2:15">
      <c r="B68" s="356" t="str">
        <f>Entrant_need_figures!B19</f>
        <v>Chemistry</v>
      </c>
      <c r="C68" s="276">
        <f t="shared" si="3"/>
        <v>1591.8760582329605</v>
      </c>
      <c r="D68" s="276">
        <f t="shared" si="6"/>
        <v>1438.5478249984121</v>
      </c>
      <c r="E68" s="537">
        <f t="shared" si="5"/>
        <v>1470.9643367195131</v>
      </c>
      <c r="F68" s="276">
        <f t="shared" ref="F68:N68" si="9">F18</f>
        <v>1471.6763382019715</v>
      </c>
      <c r="G68" s="276">
        <f t="shared" si="9"/>
        <v>1501.419623896096</v>
      </c>
      <c r="H68" s="276">
        <f t="shared" si="9"/>
        <v>1536.7350649750842</v>
      </c>
      <c r="I68" s="276">
        <f t="shared" si="9"/>
        <v>1550.0030314060627</v>
      </c>
      <c r="J68" s="276">
        <f t="shared" si="9"/>
        <v>1523.4057098363203</v>
      </c>
      <c r="K68" s="276">
        <f t="shared" si="9"/>
        <v>1511.4443139010427</v>
      </c>
      <c r="L68" s="276">
        <f t="shared" si="9"/>
        <v>1488.4773584551654</v>
      </c>
      <c r="M68" s="276">
        <f t="shared" si="9"/>
        <v>1436.7552866249198</v>
      </c>
      <c r="N68" s="276">
        <f t="shared" si="9"/>
        <v>1386.4881934041705</v>
      </c>
    </row>
    <row r="69" spans="2:15">
      <c r="B69" s="356" t="str">
        <f>Entrant_need_figures!B20</f>
        <v>Classics</v>
      </c>
      <c r="C69" s="276">
        <f t="shared" si="3"/>
        <v>35.315407536400862</v>
      </c>
      <c r="D69" s="276">
        <f t="shared" si="6"/>
        <v>36.270167729320221</v>
      </c>
      <c r="E69" s="537">
        <f t="shared" si="5"/>
        <v>37.35592016437618</v>
      </c>
      <c r="F69" s="276">
        <f t="shared" ref="F69:N69" si="10">F19</f>
        <v>38.011785158859475</v>
      </c>
      <c r="G69" s="276">
        <f t="shared" si="10"/>
        <v>38.18790728513477</v>
      </c>
      <c r="H69" s="276">
        <f t="shared" si="10"/>
        <v>38.740600690767856</v>
      </c>
      <c r="I69" s="276">
        <f t="shared" si="10"/>
        <v>39.677527535553914</v>
      </c>
      <c r="J69" s="276">
        <f t="shared" si="10"/>
        <v>39.409194428426616</v>
      </c>
      <c r="K69" s="276">
        <f t="shared" si="10"/>
        <v>37.931307439058898</v>
      </c>
      <c r="L69" s="276">
        <f t="shared" si="10"/>
        <v>36.999550006162941</v>
      </c>
      <c r="M69" s="276">
        <f t="shared" si="10"/>
        <v>36.917790027062196</v>
      </c>
      <c r="N69" s="276">
        <f t="shared" si="10"/>
        <v>36.633541807779352</v>
      </c>
    </row>
    <row r="70" spans="2:15">
      <c r="B70" s="356" t="str">
        <f>Entrant_need_figures!B21</f>
        <v>Computing</v>
      </c>
      <c r="C70" s="276">
        <f t="shared" si="3"/>
        <v>726.8391924291152</v>
      </c>
      <c r="D70" s="276">
        <f t="shared" si="6"/>
        <v>798.98281434623186</v>
      </c>
      <c r="E70" s="537">
        <f t="shared" si="5"/>
        <v>863.67789279291742</v>
      </c>
      <c r="F70" s="276">
        <f t="shared" ref="F70:N70" si="11">F20</f>
        <v>858.9792121844614</v>
      </c>
      <c r="G70" s="276">
        <f t="shared" si="11"/>
        <v>853.05623139619593</v>
      </c>
      <c r="H70" s="276">
        <f t="shared" si="11"/>
        <v>844.24096678780847</v>
      </c>
      <c r="I70" s="276">
        <f t="shared" si="11"/>
        <v>880.60980387152154</v>
      </c>
      <c r="J70" s="276">
        <f t="shared" si="11"/>
        <v>910.66420014363166</v>
      </c>
      <c r="K70" s="276">
        <f t="shared" si="11"/>
        <v>885.79312321106693</v>
      </c>
      <c r="L70" s="276">
        <f t="shared" si="11"/>
        <v>867.37733034142661</v>
      </c>
      <c r="M70" s="276">
        <f t="shared" si="11"/>
        <v>868.25838545086049</v>
      </c>
      <c r="N70" s="276">
        <f t="shared" si="11"/>
        <v>860.84071320300791</v>
      </c>
    </row>
    <row r="71" spans="2:15">
      <c r="B71" s="356" t="str">
        <f>Entrant_need_figures!B22</f>
        <v>Design &amp; Technology</v>
      </c>
      <c r="C71" s="276">
        <f t="shared" si="3"/>
        <v>1130.059481511199</v>
      </c>
      <c r="D71" s="276">
        <f t="shared" si="6"/>
        <v>1136.4889128051518</v>
      </c>
      <c r="E71" s="537">
        <f t="shared" si="5"/>
        <v>1247.5334877762843</v>
      </c>
      <c r="F71" s="276">
        <f t="shared" ref="F71:N71" si="12">F21</f>
        <v>1151.5297501158616</v>
      </c>
      <c r="G71" s="276">
        <f t="shared" si="12"/>
        <v>1104.0135268593774</v>
      </c>
      <c r="H71" s="276">
        <f t="shared" si="12"/>
        <v>1048.4847283327263</v>
      </c>
      <c r="I71" s="276">
        <f t="shared" si="12"/>
        <v>1103.8798661895696</v>
      </c>
      <c r="J71" s="276">
        <f t="shared" si="12"/>
        <v>1127.7068782784741</v>
      </c>
      <c r="K71" s="276">
        <f t="shared" si="12"/>
        <v>1055.4413862648635</v>
      </c>
      <c r="L71" s="276">
        <f t="shared" si="12"/>
        <v>1010.4215015686082</v>
      </c>
      <c r="M71" s="276">
        <f t="shared" si="12"/>
        <v>1044.8871931105132</v>
      </c>
      <c r="N71" s="276">
        <f t="shared" si="12"/>
        <v>1065.0351341220417</v>
      </c>
    </row>
    <row r="72" spans="2:15">
      <c r="B72" s="356" t="str">
        <f>Entrant_need_figures!B23</f>
        <v>Drama</v>
      </c>
      <c r="C72" s="276">
        <f t="shared" si="3"/>
        <v>468.76901163447405</v>
      </c>
      <c r="D72" s="276">
        <f t="shared" si="6"/>
        <v>476.88945248559162</v>
      </c>
      <c r="E72" s="537">
        <f t="shared" si="5"/>
        <v>540.48155143743566</v>
      </c>
      <c r="F72" s="276">
        <f t="shared" ref="F72:N72" si="13">F22</f>
        <v>508.9564821067587</v>
      </c>
      <c r="G72" s="276">
        <f t="shared" si="13"/>
        <v>497.49914786373063</v>
      </c>
      <c r="H72" s="276">
        <f t="shared" si="13"/>
        <v>482.57546524310476</v>
      </c>
      <c r="I72" s="276">
        <f t="shared" si="13"/>
        <v>516.61910389095897</v>
      </c>
      <c r="J72" s="276">
        <f t="shared" si="13"/>
        <v>536.53435003899631</v>
      </c>
      <c r="K72" s="276">
        <f t="shared" si="13"/>
        <v>507.7480532230112</v>
      </c>
      <c r="L72" s="276">
        <f t="shared" si="13"/>
        <v>491.65207959071995</v>
      </c>
      <c r="M72" s="276">
        <f t="shared" si="13"/>
        <v>511.59981676510779</v>
      </c>
      <c r="N72" s="276">
        <f t="shared" si="13"/>
        <v>523.75023107301433</v>
      </c>
    </row>
    <row r="73" spans="2:15">
      <c r="B73" s="356" t="str">
        <f>Entrant_need_figures!B24</f>
        <v>English</v>
      </c>
      <c r="C73" s="276">
        <f t="shared" si="3"/>
        <v>4039.537608063712</v>
      </c>
      <c r="D73" s="276">
        <f t="shared" si="6"/>
        <v>4228.7636458328525</v>
      </c>
      <c r="E73" s="537">
        <f t="shared" si="5"/>
        <v>3977.9708800519511</v>
      </c>
      <c r="F73" s="276">
        <f t="shared" ref="F73:N73" si="14">F23</f>
        <v>3922.7594693874084</v>
      </c>
      <c r="G73" s="276">
        <f t="shared" si="14"/>
        <v>3951.0519163174613</v>
      </c>
      <c r="H73" s="276">
        <f t="shared" si="14"/>
        <v>3980.7719631029331</v>
      </c>
      <c r="I73" s="276">
        <f t="shared" si="14"/>
        <v>4062.2464165660172</v>
      </c>
      <c r="J73" s="276">
        <f t="shared" si="14"/>
        <v>3930.7638872047251</v>
      </c>
      <c r="K73" s="276">
        <f t="shared" si="14"/>
        <v>3845.6856195819669</v>
      </c>
      <c r="L73" s="276">
        <f t="shared" si="14"/>
        <v>3756.7373151821294</v>
      </c>
      <c r="M73" s="276">
        <f t="shared" si="14"/>
        <v>3687.4443487823951</v>
      </c>
      <c r="N73" s="276">
        <f t="shared" si="14"/>
        <v>3621.4300321380124</v>
      </c>
    </row>
    <row r="74" spans="2:15">
      <c r="B74" s="356" t="str">
        <f>Entrant_need_figures!B25</f>
        <v>Food</v>
      </c>
      <c r="C74" s="276">
        <f t="shared" si="3"/>
        <v>211.65522159252305</v>
      </c>
      <c r="D74" s="276">
        <f t="shared" si="6"/>
        <v>247.51398484695662</v>
      </c>
      <c r="E74" s="537">
        <f t="shared" si="5"/>
        <v>255.9304537238533</v>
      </c>
      <c r="F74" s="276">
        <f t="shared" ref="F74:N74" si="15">F24</f>
        <v>244.61702561467663</v>
      </c>
      <c r="G74" s="276">
        <f t="shared" si="15"/>
        <v>237.13402080456851</v>
      </c>
      <c r="H74" s="276">
        <f t="shared" si="15"/>
        <v>230.19786470703878</v>
      </c>
      <c r="I74" s="276">
        <f t="shared" si="15"/>
        <v>232.60959451307721</v>
      </c>
      <c r="J74" s="276">
        <f t="shared" si="15"/>
        <v>236.63399321553331</v>
      </c>
      <c r="K74" s="276">
        <f t="shared" si="15"/>
        <v>233.84406257594242</v>
      </c>
      <c r="L74" s="276">
        <f t="shared" si="15"/>
        <v>228.44436116322385</v>
      </c>
      <c r="M74" s="276">
        <f t="shared" si="15"/>
        <v>217.31856544349847</v>
      </c>
      <c r="N74" s="276">
        <f t="shared" si="15"/>
        <v>205.61031024153573</v>
      </c>
    </row>
    <row r="75" spans="2:15">
      <c r="B75" s="356" t="str">
        <f>Entrant_need_figures!B26</f>
        <v>Geography</v>
      </c>
      <c r="C75" s="276">
        <f t="shared" si="3"/>
        <v>1291.2464891690154</v>
      </c>
      <c r="D75" s="276">
        <f t="shared" si="6"/>
        <v>1278.9675184822354</v>
      </c>
      <c r="E75" s="537">
        <f t="shared" si="5"/>
        <v>1379.9489218590882</v>
      </c>
      <c r="F75" s="276">
        <f t="shared" ref="F75:N75" si="16">F25</f>
        <v>1326.9385392363606</v>
      </c>
      <c r="G75" s="276">
        <f t="shared" si="16"/>
        <v>1334.5495213649326</v>
      </c>
      <c r="H75" s="276">
        <f t="shared" si="16"/>
        <v>1337.9789026452224</v>
      </c>
      <c r="I75" s="276">
        <f t="shared" si="16"/>
        <v>1398.0730147735271</v>
      </c>
      <c r="J75" s="276">
        <f t="shared" si="16"/>
        <v>1355.1816399663992</v>
      </c>
      <c r="K75" s="276">
        <f t="shared" si="16"/>
        <v>1300.1385354763884</v>
      </c>
      <c r="L75" s="276">
        <f t="shared" si="16"/>
        <v>1261.9075385295355</v>
      </c>
      <c r="M75" s="276">
        <f t="shared" si="16"/>
        <v>1278.9550554877867</v>
      </c>
      <c r="N75" s="276">
        <f t="shared" si="16"/>
        <v>1291.3575788385963</v>
      </c>
    </row>
    <row r="76" spans="2:15">
      <c r="B76" s="356" t="str">
        <f>Entrant_need_figures!B27</f>
        <v>History</v>
      </c>
      <c r="C76" s="276">
        <f t="shared" si="3"/>
        <v>1364.77471129794</v>
      </c>
      <c r="D76" s="276">
        <f t="shared" si="6"/>
        <v>1349.6959609004903</v>
      </c>
      <c r="E76" s="537">
        <f t="shared" si="5"/>
        <v>1453.6994293053085</v>
      </c>
      <c r="F76" s="276">
        <f t="shared" ref="F76:N76" si="17">F26</f>
        <v>1405.2986902079674</v>
      </c>
      <c r="G76" s="276">
        <f t="shared" si="17"/>
        <v>1415.8934456737647</v>
      </c>
      <c r="H76" s="276">
        <f t="shared" si="17"/>
        <v>1423.1531405668202</v>
      </c>
      <c r="I76" s="276">
        <f t="shared" si="17"/>
        <v>1484.3072768959455</v>
      </c>
      <c r="J76" s="276">
        <f t="shared" si="17"/>
        <v>1442.582639065382</v>
      </c>
      <c r="K76" s="276">
        <f t="shared" si="17"/>
        <v>1385.8260693521245</v>
      </c>
      <c r="L76" s="276">
        <f t="shared" si="17"/>
        <v>1346.3437167591787</v>
      </c>
      <c r="M76" s="276">
        <f t="shared" si="17"/>
        <v>1361.1555290030012</v>
      </c>
      <c r="N76" s="276">
        <f t="shared" si="17"/>
        <v>1370.9924203509631</v>
      </c>
    </row>
    <row r="77" spans="2:15">
      <c r="B77" s="356" t="str">
        <f>Entrant_need_figures!B28</f>
        <v>Mathematics</v>
      </c>
      <c r="C77" s="276">
        <f t="shared" si="3"/>
        <v>4773.4029155564294</v>
      </c>
      <c r="D77" s="276">
        <f t="shared" si="6"/>
        <v>4492.3907511657389</v>
      </c>
      <c r="E77" s="537">
        <f t="shared" si="5"/>
        <v>4609.484908446454</v>
      </c>
      <c r="F77" s="276">
        <f t="shared" ref="F77:N77" si="18">F27</f>
        <v>4399.4795726291122</v>
      </c>
      <c r="G77" s="276">
        <f t="shared" si="18"/>
        <v>4425.5192398265463</v>
      </c>
      <c r="H77" s="276">
        <f t="shared" si="18"/>
        <v>4455.2936988494585</v>
      </c>
      <c r="I77" s="276">
        <f t="shared" si="18"/>
        <v>4538.062375607009</v>
      </c>
      <c r="J77" s="276">
        <f t="shared" si="18"/>
        <v>4413.2069015657735</v>
      </c>
      <c r="K77" s="276">
        <f t="shared" si="18"/>
        <v>4302.4376709494409</v>
      </c>
      <c r="L77" s="276">
        <f t="shared" si="18"/>
        <v>4198.5860278726541</v>
      </c>
      <c r="M77" s="276">
        <f t="shared" si="18"/>
        <v>4130.9793028036638</v>
      </c>
      <c r="N77" s="276">
        <f t="shared" si="18"/>
        <v>4062.9399983251878</v>
      </c>
    </row>
    <row r="78" spans="2:15">
      <c r="B78" s="356" t="str">
        <f>Entrant_need_figures!B29</f>
        <v>Modern Foreign Languages</v>
      </c>
      <c r="C78" s="276">
        <f t="shared" si="3"/>
        <v>1858.4175746536107</v>
      </c>
      <c r="D78" s="276">
        <f t="shared" si="6"/>
        <v>2277.0468819951711</v>
      </c>
      <c r="E78" s="537">
        <f t="shared" si="5"/>
        <v>2436.9639073138974</v>
      </c>
      <c r="F78" s="276">
        <f t="shared" ref="F78:N78" si="19">F28</f>
        <v>2581.3764716736596</v>
      </c>
      <c r="G78" s="276">
        <f t="shared" si="19"/>
        <v>2797.6578381647087</v>
      </c>
      <c r="H78" s="276">
        <f t="shared" si="19"/>
        <v>3020.0844173738324</v>
      </c>
      <c r="I78" s="276">
        <f t="shared" si="19"/>
        <v>3053.4215476249406</v>
      </c>
      <c r="J78" s="276">
        <f t="shared" si="19"/>
        <v>2423.6617342895406</v>
      </c>
      <c r="K78" s="276">
        <f t="shared" si="19"/>
        <v>2282.7896593347796</v>
      </c>
      <c r="L78" s="276">
        <f t="shared" si="19"/>
        <v>2177.201978623752</v>
      </c>
      <c r="M78" s="276">
        <f t="shared" si="19"/>
        <v>2190.5975001801526</v>
      </c>
      <c r="N78" s="276">
        <f t="shared" si="19"/>
        <v>2258.7731976159389</v>
      </c>
    </row>
    <row r="79" spans="2:15">
      <c r="B79" s="356" t="str">
        <f>Entrant_need_figures!B30</f>
        <v>Music</v>
      </c>
      <c r="C79" s="276">
        <f t="shared" si="3"/>
        <v>528.29000145633813</v>
      </c>
      <c r="D79" s="276">
        <f t="shared" si="6"/>
        <v>510.31303476271</v>
      </c>
      <c r="E79" s="537">
        <f t="shared" si="5"/>
        <v>593.05177874312108</v>
      </c>
      <c r="F79" s="276">
        <f t="shared" ref="F79:N79" si="20">F29</f>
        <v>538.62424715256395</v>
      </c>
      <c r="G79" s="276">
        <f t="shared" si="20"/>
        <v>520.37869422956521</v>
      </c>
      <c r="H79" s="276">
        <f t="shared" si="20"/>
        <v>496.19144727489311</v>
      </c>
      <c r="I79" s="276">
        <f t="shared" si="20"/>
        <v>536.18078702623006</v>
      </c>
      <c r="J79" s="276">
        <f t="shared" si="20"/>
        <v>554.55423071186647</v>
      </c>
      <c r="K79" s="276">
        <f t="shared" si="20"/>
        <v>514.73199151287645</v>
      </c>
      <c r="L79" s="276">
        <f t="shared" si="20"/>
        <v>493.43392705128872</v>
      </c>
      <c r="M79" s="276">
        <f t="shared" si="20"/>
        <v>525.87590917368505</v>
      </c>
      <c r="N79" s="276">
        <f t="shared" si="20"/>
        <v>548.9402543829176</v>
      </c>
    </row>
    <row r="80" spans="2:15">
      <c r="B80" s="356" t="str">
        <f>Entrant_need_figures!B31</f>
        <v>Others</v>
      </c>
      <c r="C80" s="276">
        <f t="shared" si="3"/>
        <v>1131.1011987364636</v>
      </c>
      <c r="D80" s="276">
        <f t="shared" si="6"/>
        <v>1198.8933853926105</v>
      </c>
      <c r="E80" s="537">
        <f t="shared" si="5"/>
        <v>1285.3779463605965</v>
      </c>
      <c r="F80" s="276">
        <f t="shared" ref="F80:N80" si="21">F30</f>
        <v>1400.8186277862183</v>
      </c>
      <c r="G80" s="276">
        <f t="shared" si="21"/>
        <v>1437.002863699402</v>
      </c>
      <c r="H80" s="276">
        <f t="shared" si="21"/>
        <v>1486.8901071760445</v>
      </c>
      <c r="I80" s="276">
        <f t="shared" si="21"/>
        <v>1551.3539041262441</v>
      </c>
      <c r="J80" s="276">
        <f t="shared" si="21"/>
        <v>1640.423711095566</v>
      </c>
      <c r="K80" s="276">
        <f t="shared" si="21"/>
        <v>1596.0873584509113</v>
      </c>
      <c r="L80" s="276">
        <f t="shared" si="21"/>
        <v>1572.9642373759284</v>
      </c>
      <c r="M80" s="276">
        <f t="shared" si="21"/>
        <v>1562.1818429578041</v>
      </c>
      <c r="N80" s="276">
        <f t="shared" si="21"/>
        <v>1531.5114801687128</v>
      </c>
    </row>
    <row r="81" spans="2:15">
      <c r="B81" s="356" t="str">
        <f>Entrant_need_figures!B32</f>
        <v>Physical Education</v>
      </c>
      <c r="C81" s="276">
        <f t="shared" si="3"/>
        <v>1350.1164811655508</v>
      </c>
      <c r="D81" s="276">
        <f t="shared" si="6"/>
        <v>1562.3252945531117</v>
      </c>
      <c r="E81" s="537">
        <f t="shared" si="5"/>
        <v>1706.948541192171</v>
      </c>
      <c r="F81" s="276">
        <f t="shared" ref="F81:N81" si="22">F31</f>
        <v>1656.1605126829438</v>
      </c>
      <c r="G81" s="276">
        <f t="shared" si="22"/>
        <v>1628.9397382808945</v>
      </c>
      <c r="H81" s="276">
        <f t="shared" si="22"/>
        <v>1594.033445352748</v>
      </c>
      <c r="I81" s="276">
        <f t="shared" si="22"/>
        <v>1691.2192386976544</v>
      </c>
      <c r="J81" s="276">
        <f t="shared" si="22"/>
        <v>1761.7877102060295</v>
      </c>
      <c r="K81" s="276">
        <f t="shared" si="22"/>
        <v>1714.6752398803219</v>
      </c>
      <c r="L81" s="276">
        <f t="shared" si="22"/>
        <v>1679.3458219250574</v>
      </c>
      <c r="M81" s="276">
        <f t="shared" si="22"/>
        <v>1691.4712675724204</v>
      </c>
      <c r="N81" s="276">
        <f t="shared" si="22"/>
        <v>1684.9483172290484</v>
      </c>
    </row>
    <row r="82" spans="2:15">
      <c r="B82" s="356" t="str">
        <f>Entrant_need_figures!B33</f>
        <v>Physics</v>
      </c>
      <c r="C82" s="276">
        <f t="shared" si="3"/>
        <v>1687.9302005483253</v>
      </c>
      <c r="D82" s="276">
        <f t="shared" si="6"/>
        <v>1465.611605238164</v>
      </c>
      <c r="E82" s="537">
        <f t="shared" si="5"/>
        <v>1576.647302543538</v>
      </c>
      <c r="F82" s="276">
        <f t="shared" ref="F82:N82" si="23">F32</f>
        <v>1486.9228279603258</v>
      </c>
      <c r="G82" s="276">
        <f t="shared" si="23"/>
        <v>1511.528717484347</v>
      </c>
      <c r="H82" s="276">
        <f t="shared" si="23"/>
        <v>1540.5389406557383</v>
      </c>
      <c r="I82" s="276">
        <f t="shared" si="23"/>
        <v>1549.9248396440018</v>
      </c>
      <c r="J82" s="276">
        <f t="shared" si="23"/>
        <v>1516.417190398015</v>
      </c>
      <c r="K82" s="276">
        <f t="shared" si="23"/>
        <v>1503.2781312333523</v>
      </c>
      <c r="L82" s="276">
        <f t="shared" si="23"/>
        <v>1478.1289993633811</v>
      </c>
      <c r="M82" s="276">
        <f t="shared" si="23"/>
        <v>1423.9817986848645</v>
      </c>
      <c r="N82" s="276">
        <f t="shared" si="23"/>
        <v>1372.3227559915913</v>
      </c>
      <c r="O82" s="550"/>
    </row>
    <row r="83" spans="2:15">
      <c r="B83" s="356" t="str">
        <f>Entrant_need_figures!B15</f>
        <v>Primary</v>
      </c>
      <c r="C83" s="276">
        <f t="shared" si="3"/>
        <v>27567.610098506135</v>
      </c>
      <c r="D83" s="276">
        <f t="shared" si="6"/>
        <v>26168.018656485227</v>
      </c>
      <c r="E83" s="537">
        <f t="shared" si="5"/>
        <v>26439.657071504698</v>
      </c>
      <c r="F83" s="276">
        <f t="shared" ref="F83:N83" si="24">F33</f>
        <v>26114.334562704269</v>
      </c>
      <c r="G83" s="276">
        <f t="shared" si="24"/>
        <v>25885.94315589944</v>
      </c>
      <c r="H83" s="276">
        <f t="shared" si="24"/>
        <v>25613.573586348804</v>
      </c>
      <c r="I83" s="276">
        <f t="shared" si="24"/>
        <v>25315.046585251301</v>
      </c>
      <c r="J83" s="276">
        <f t="shared" si="24"/>
        <v>25877.247345032985</v>
      </c>
      <c r="K83" s="276">
        <f t="shared" si="24"/>
        <v>26332.447964970914</v>
      </c>
      <c r="L83" s="276">
        <f t="shared" si="24"/>
        <v>26445.141780619113</v>
      </c>
      <c r="M83" s="276">
        <f t="shared" si="24"/>
        <v>26339.752208221755</v>
      </c>
      <c r="N83" s="276">
        <f t="shared" si="24"/>
        <v>26210.936734375453</v>
      </c>
    </row>
    <row r="84" spans="2:15">
      <c r="B84" s="356" t="str">
        <f>Entrant_need_figures!B34</f>
        <v>Religious Education</v>
      </c>
      <c r="C84" s="276">
        <f t="shared" si="3"/>
        <v>734.82659603874527</v>
      </c>
      <c r="D84" s="276">
        <f t="shared" si="6"/>
        <v>775.45274589812868</v>
      </c>
      <c r="E84" s="537">
        <f t="shared" si="5"/>
        <v>867.04678938031998</v>
      </c>
      <c r="F84" s="276">
        <f t="shared" ref="F84:N84" si="25">F34</f>
        <v>803.41286876655727</v>
      </c>
      <c r="G84" s="276">
        <f t="shared" si="25"/>
        <v>783.59414836479846</v>
      </c>
      <c r="H84" s="276">
        <f t="shared" si="25"/>
        <v>761.34044717295467</v>
      </c>
      <c r="I84" s="276">
        <f t="shared" si="25"/>
        <v>797.7558971130976</v>
      </c>
      <c r="J84" s="276">
        <f t="shared" si="25"/>
        <v>823.41797792246564</v>
      </c>
      <c r="K84" s="276">
        <f t="shared" si="25"/>
        <v>793.55847001304119</v>
      </c>
      <c r="L84" s="276">
        <f t="shared" si="25"/>
        <v>771.81387867996375</v>
      </c>
      <c r="M84" s="276">
        <f t="shared" si="25"/>
        <v>775.59123399644454</v>
      </c>
      <c r="N84" s="276">
        <f t="shared" si="25"/>
        <v>771.13827426105649</v>
      </c>
    </row>
    <row r="85" spans="2:15" ht="25.5">
      <c r="B85" s="331" t="s">
        <v>871</v>
      </c>
      <c r="C85" s="276">
        <f>SUM(C65:C84)-C83</f>
        <v>25726.914332450637</v>
      </c>
      <c r="D85" s="276">
        <f t="shared" ref="D85:N85" si="26">SUM(D65:D84)-D83</f>
        <v>26013.082992911099</v>
      </c>
      <c r="E85" s="537">
        <f t="shared" si="26"/>
        <v>27218.675801792553</v>
      </c>
      <c r="F85" s="276">
        <f t="shared" si="26"/>
        <v>26716.993183429917</v>
      </c>
      <c r="G85" s="276">
        <f t="shared" si="26"/>
        <v>26999.303513348736</v>
      </c>
      <c r="H85" s="276">
        <f t="shared" si="26"/>
        <v>27285.813523129949</v>
      </c>
      <c r="I85" s="276">
        <f t="shared" si="26"/>
        <v>28082.329216404069</v>
      </c>
      <c r="J85" s="276">
        <f t="shared" si="26"/>
        <v>27365.053287317191</v>
      </c>
      <c r="K85" s="276">
        <f t="shared" si="26"/>
        <v>26540.14774717922</v>
      </c>
      <c r="L85" s="276">
        <f t="shared" si="26"/>
        <v>25874.079593310878</v>
      </c>
      <c r="M85" s="276">
        <f t="shared" si="26"/>
        <v>25707.75081777286</v>
      </c>
      <c r="N85" s="276">
        <f t="shared" si="26"/>
        <v>25490.753415803094</v>
      </c>
    </row>
    <row r="87" spans="2:15">
      <c r="B87" s="318"/>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E65:E85" formula="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1"/>
  <sheetViews>
    <sheetView showGridLines="0" workbookViewId="0"/>
  </sheetViews>
  <sheetFormatPr defaultRowHeight="12.75"/>
  <cols>
    <col min="2" max="2" width="26.7109375" customWidth="1"/>
    <col min="3" max="20" width="10.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9" customFormat="1">
      <c r="A4" s="570" t="s">
        <v>26</v>
      </c>
      <c r="B4" s="570"/>
      <c r="C4" s="570"/>
      <c r="D4" s="285"/>
      <c r="E4" s="570"/>
      <c r="F4" s="570"/>
      <c r="G4" s="570"/>
      <c r="H4" s="570"/>
      <c r="I4" s="570"/>
      <c r="J4" s="570"/>
      <c r="K4" s="570"/>
      <c r="L4" s="570"/>
      <c r="M4" s="570"/>
      <c r="N4" s="570"/>
    </row>
    <row r="5" spans="1:17" s="568" customFormat="1" ht="13.15" customHeight="1">
      <c r="A5" s="683" t="s">
        <v>1434</v>
      </c>
      <c r="B5" s="683"/>
      <c r="C5" s="683"/>
      <c r="D5" s="683"/>
      <c r="E5" s="683"/>
      <c r="F5" s="683"/>
      <c r="G5" s="683"/>
      <c r="H5" s="683"/>
      <c r="I5" s="683"/>
      <c r="J5" s="683"/>
      <c r="K5" s="683"/>
      <c r="L5" s="683"/>
      <c r="M5" s="683"/>
      <c r="N5" s="683"/>
      <c r="O5" s="683"/>
      <c r="P5" s="683"/>
      <c r="Q5" s="683"/>
    </row>
    <row r="6" spans="1:17" s="565" customFormat="1">
      <c r="A6" s="567" t="s">
        <v>1392</v>
      </c>
      <c r="B6" s="60"/>
      <c r="C6" s="60"/>
      <c r="D6" s="285"/>
      <c r="E6" s="60"/>
      <c r="F6" s="60"/>
      <c r="G6" s="60"/>
      <c r="H6" s="60"/>
      <c r="I6" s="60"/>
      <c r="J6" s="60"/>
      <c r="K6" s="60"/>
      <c r="L6" s="60"/>
      <c r="M6" s="60"/>
      <c r="N6" s="60"/>
      <c r="O6" s="44"/>
    </row>
    <row r="7" spans="1:17" s="565" customFormat="1">
      <c r="A7" s="566" t="s">
        <v>742</v>
      </c>
      <c r="B7" s="567"/>
      <c r="C7" s="60"/>
      <c r="D7" s="285"/>
      <c r="E7" s="60"/>
      <c r="F7" s="60"/>
      <c r="G7" s="60"/>
      <c r="H7" s="60"/>
      <c r="I7" s="60"/>
      <c r="J7" s="60"/>
      <c r="K7" s="60"/>
      <c r="L7" s="60"/>
      <c r="M7" s="60"/>
      <c r="N7" s="60"/>
      <c r="O7" s="44"/>
    </row>
    <row r="8" spans="1:17" s="565" customFormat="1">
      <c r="A8" s="567" t="s">
        <v>24</v>
      </c>
      <c r="B8" s="60"/>
      <c r="C8" s="60"/>
      <c r="D8" s="285"/>
      <c r="E8" s="60"/>
      <c r="F8" s="60"/>
      <c r="G8" s="60"/>
      <c r="H8" s="60"/>
      <c r="I8" s="60"/>
      <c r="J8" s="60"/>
      <c r="K8" s="60"/>
      <c r="L8" s="60"/>
      <c r="M8" s="60"/>
      <c r="N8" s="60"/>
      <c r="O8" s="44"/>
    </row>
    <row r="9" spans="1:17" s="565" customFormat="1">
      <c r="A9" s="566" t="s">
        <v>741</v>
      </c>
      <c r="B9" s="60"/>
      <c r="C9" s="60"/>
      <c r="D9" s="285"/>
      <c r="E9" s="60"/>
      <c r="F9" s="60"/>
      <c r="G9" s="60"/>
      <c r="H9" s="60"/>
      <c r="I9" s="60"/>
      <c r="J9" s="60"/>
      <c r="K9" s="60"/>
      <c r="L9" s="60"/>
      <c r="M9" s="60"/>
      <c r="N9" s="60"/>
      <c r="O9" s="44"/>
    </row>
    <row r="10" spans="1:17" s="563" customFormat="1">
      <c r="A10" s="564">
        <f>SUM(A13:A2083)</f>
        <v>0</v>
      </c>
      <c r="B10" s="72"/>
      <c r="C10" s="47"/>
      <c r="D10" s="47"/>
      <c r="E10" s="47"/>
      <c r="F10" s="71"/>
      <c r="G10" s="47"/>
      <c r="H10" s="71"/>
      <c r="I10" s="48"/>
      <c r="J10" s="48"/>
      <c r="K10" s="48"/>
      <c r="L10" s="48"/>
      <c r="M10" s="48"/>
      <c r="N10" s="48"/>
      <c r="O10" s="48"/>
    </row>
    <row r="12" spans="1:17">
      <c r="H12" s="75" t="s">
        <v>115</v>
      </c>
    </row>
    <row r="14" spans="1:17">
      <c r="H14" s="5">
        <v>0.1</v>
      </c>
      <c r="I14" s="5">
        <v>0.2</v>
      </c>
      <c r="J14" s="5">
        <v>0.3</v>
      </c>
      <c r="K14" s="5">
        <v>0.4</v>
      </c>
    </row>
    <row r="16" spans="1:17" ht="18">
      <c r="B16" s="38" t="s">
        <v>740</v>
      </c>
      <c r="H16" s="147" t="s">
        <v>1393</v>
      </c>
    </row>
    <row r="18" spans="2:6">
      <c r="B18" s="147" t="s">
        <v>739</v>
      </c>
    </row>
    <row r="20" spans="2:6">
      <c r="B20" s="1241" t="str">
        <f>RAW_DATA_INPUTS!B438</f>
        <v>Entrant route</v>
      </c>
      <c r="C20" s="1292" t="s">
        <v>71</v>
      </c>
      <c r="D20" s="1292"/>
      <c r="E20" s="1292"/>
      <c r="F20" s="1292"/>
    </row>
    <row r="21" spans="2:6">
      <c r="B21" s="1242"/>
      <c r="C21" s="8" t="str">
        <f>RAW_DATA_INPUTS!C438</f>
        <v>2012/13</v>
      </c>
      <c r="D21" s="8" t="str">
        <f>RAW_DATA_INPUTS!D438</f>
        <v>2013/14</v>
      </c>
      <c r="E21" s="8" t="str">
        <f>RAW_DATA_INPUTS!E438</f>
        <v>2014/15</v>
      </c>
      <c r="F21" s="8" t="str">
        <f>RAW_DATA_INPUTS!F438</f>
        <v>2015/16</v>
      </c>
    </row>
    <row r="22" spans="2:6">
      <c r="B22" s="8" t="str">
        <f>RAW_DATA_INPUTS!B439</f>
        <v>New to state-funded sector</v>
      </c>
      <c r="C22" s="300">
        <f>RAW_DATA_INPUTS!C439</f>
        <v>4181.63</v>
      </c>
      <c r="D22" s="300">
        <f>RAW_DATA_INPUTS!D439</f>
        <v>4003.9</v>
      </c>
      <c r="E22" s="300">
        <f>RAW_DATA_INPUTS!E439</f>
        <v>3360.92</v>
      </c>
      <c r="F22" s="300">
        <f>RAW_DATA_INPUTS!F439</f>
        <v>3317.7269999999999</v>
      </c>
    </row>
    <row r="23" spans="2:6">
      <c r="B23" s="8" t="str">
        <f>RAW_DATA_INPUTS!B440</f>
        <v>Re-entrants</v>
      </c>
      <c r="C23" s="300">
        <f>RAW_DATA_INPUTS!C440</f>
        <v>8215.0490000000009</v>
      </c>
      <c r="D23" s="300">
        <f>RAW_DATA_INPUTS!D440</f>
        <v>8915.7649999999994</v>
      </c>
      <c r="E23" s="300">
        <f>RAW_DATA_INPUTS!E440</f>
        <v>8755.4369999999999</v>
      </c>
      <c r="F23" s="300">
        <f>RAW_DATA_INPUTS!F440</f>
        <v>9192.4950000000008</v>
      </c>
    </row>
    <row r="24" spans="2:6">
      <c r="B24" s="8" t="str">
        <f>RAW_DATA_INPUTS!B441</f>
        <v>NQTs</v>
      </c>
      <c r="C24" s="300">
        <f>RAW_DATA_INPUTS!C441</f>
        <v>12880.737999999999</v>
      </c>
      <c r="D24" s="300">
        <f>RAW_DATA_INPUTS!D441</f>
        <v>13678.62</v>
      </c>
      <c r="E24" s="300">
        <f>RAW_DATA_INPUTS!E441</f>
        <v>14577.31</v>
      </c>
      <c r="F24" s="300">
        <f>RAW_DATA_INPUTS!F441</f>
        <v>12896.03</v>
      </c>
    </row>
    <row r="26" spans="2:6">
      <c r="B26" s="147" t="s">
        <v>738</v>
      </c>
    </row>
    <row r="28" spans="2:6">
      <c r="B28" s="1241" t="str">
        <f>RAW_DATA_INPUTS!B446</f>
        <v>Entrant route</v>
      </c>
      <c r="C28" s="1292" t="s">
        <v>71</v>
      </c>
      <c r="D28" s="1292"/>
      <c r="E28" s="1292"/>
      <c r="F28" s="1292"/>
    </row>
    <row r="29" spans="2:6">
      <c r="B29" s="1242"/>
      <c r="C29" s="8" t="str">
        <f>RAW_DATA_INPUTS!C446</f>
        <v>2012/13</v>
      </c>
      <c r="D29" s="8" t="str">
        <f>RAW_DATA_INPUTS!D446</f>
        <v>2013/14</v>
      </c>
      <c r="E29" s="8" t="str">
        <f>RAW_DATA_INPUTS!E446</f>
        <v>2014/15</v>
      </c>
      <c r="F29" s="8" t="str">
        <f>RAW_DATA_INPUTS!F446</f>
        <v>2015/16</v>
      </c>
    </row>
    <row r="30" spans="2:6">
      <c r="B30" s="8" t="str">
        <f t="shared" ref="B30:F32" si="0">B22</f>
        <v>New to state-funded sector</v>
      </c>
      <c r="C30" s="450">
        <f>C22</f>
        <v>4181.63</v>
      </c>
      <c r="D30" s="450">
        <f t="shared" si="0"/>
        <v>4003.9</v>
      </c>
      <c r="E30" s="450">
        <f t="shared" si="0"/>
        <v>3360.92</v>
      </c>
      <c r="F30" s="450">
        <f t="shared" si="0"/>
        <v>3317.7269999999999</v>
      </c>
    </row>
    <row r="31" spans="2:6">
      <c r="B31" s="8" t="str">
        <f t="shared" si="0"/>
        <v>Re-entrants</v>
      </c>
      <c r="C31" s="450">
        <f t="shared" si="0"/>
        <v>8215.0490000000009</v>
      </c>
      <c r="D31" s="450">
        <f t="shared" si="0"/>
        <v>8915.7649999999994</v>
      </c>
      <c r="E31" s="450">
        <f t="shared" si="0"/>
        <v>8755.4369999999999</v>
      </c>
      <c r="F31" s="450">
        <f t="shared" si="0"/>
        <v>9192.4950000000008</v>
      </c>
    </row>
    <row r="32" spans="2:6">
      <c r="B32" s="8" t="str">
        <f t="shared" si="0"/>
        <v>NQTs</v>
      </c>
      <c r="C32" s="450">
        <f t="shared" si="0"/>
        <v>12880.737999999999</v>
      </c>
      <c r="D32" s="450">
        <f t="shared" si="0"/>
        <v>13678.62</v>
      </c>
      <c r="E32" s="450">
        <f t="shared" si="0"/>
        <v>14577.31</v>
      </c>
      <c r="F32" s="450">
        <f t="shared" si="0"/>
        <v>12896.03</v>
      </c>
    </row>
    <row r="33" spans="1:7">
      <c r="B33" s="8" t="s">
        <v>8</v>
      </c>
      <c r="C33" s="447">
        <f>SUM(C30:C32)</f>
        <v>25277.417000000001</v>
      </c>
      <c r="D33" s="447">
        <f>SUM(D30:D32)</f>
        <v>26598.285</v>
      </c>
      <c r="E33" s="447">
        <f>SUM(E30:E32)</f>
        <v>26693.667000000001</v>
      </c>
      <c r="F33" s="447">
        <f>SUM(F30:F32)</f>
        <v>25406.252</v>
      </c>
    </row>
    <row r="34" spans="1:7" s="2" customFormat="1">
      <c r="A34" s="2">
        <f>SUM(C34:F34)</f>
        <v>0</v>
      </c>
      <c r="B34" s="145"/>
      <c r="C34" s="145">
        <f>SUM(C22:C24)-C33</f>
        <v>0</v>
      </c>
      <c r="D34" s="145">
        <f>SUM(D22:D24)-D33</f>
        <v>0</v>
      </c>
      <c r="E34" s="145">
        <f>SUM(E22:E24)-E33</f>
        <v>0</v>
      </c>
      <c r="F34" s="145">
        <f>SUM(F22:F24)-F33</f>
        <v>0</v>
      </c>
    </row>
    <row r="35" spans="1:7" s="2" customFormat="1">
      <c r="B35" s="145"/>
      <c r="C35" s="145"/>
      <c r="D35" s="145"/>
      <c r="E35" s="145"/>
      <c r="F35" s="145"/>
    </row>
    <row r="36" spans="1:7" ht="18">
      <c r="B36" s="38" t="s">
        <v>737</v>
      </c>
    </row>
    <row r="38" spans="1:7">
      <c r="B38" s="1241" t="str">
        <f>B28</f>
        <v>Entrant route</v>
      </c>
      <c r="C38" s="1292" t="str">
        <f>C28</f>
        <v>Year</v>
      </c>
      <c r="D38" s="1292"/>
      <c r="E38" s="1292"/>
      <c r="F38" s="1292"/>
    </row>
    <row r="39" spans="1:7">
      <c r="B39" s="1242"/>
      <c r="C39" s="8" t="str">
        <f>C29</f>
        <v>2012/13</v>
      </c>
      <c r="D39" s="8" t="str">
        <f>D29</f>
        <v>2013/14</v>
      </c>
      <c r="E39" s="8" t="str">
        <f>E29</f>
        <v>2014/15</v>
      </c>
      <c r="F39" s="8" t="str">
        <f>F29</f>
        <v>2015/16</v>
      </c>
    </row>
    <row r="40" spans="1:7" s="312" customFormat="1">
      <c r="B40" s="149" t="str">
        <f>B30</f>
        <v>New to state-funded sector</v>
      </c>
      <c r="C40" s="638">
        <f>C30/C$33</f>
        <v>0.16542948197594715</v>
      </c>
      <c r="D40" s="639">
        <f t="shared" ref="C40:F43" si="1">D30/D$33</f>
        <v>0.1505322617604857</v>
      </c>
      <c r="E40" s="638">
        <f t="shared" si="1"/>
        <v>0.12590701757087178</v>
      </c>
      <c r="F40" s="638">
        <f t="shared" si="1"/>
        <v>0.13058703031049207</v>
      </c>
    </row>
    <row r="41" spans="1:7">
      <c r="B41" s="138" t="str">
        <f>B31</f>
        <v>Re-entrants</v>
      </c>
      <c r="C41" s="638">
        <f t="shared" si="1"/>
        <v>0.32499558795900707</v>
      </c>
      <c r="D41" s="638">
        <f t="shared" si="1"/>
        <v>0.33520074696545282</v>
      </c>
      <c r="E41" s="638">
        <f t="shared" si="1"/>
        <v>0.32799678665355342</v>
      </c>
      <c r="F41" s="638">
        <f t="shared" si="1"/>
        <v>0.36182019291944362</v>
      </c>
    </row>
    <row r="42" spans="1:7">
      <c r="B42" s="138" t="str">
        <f>B32</f>
        <v>NQTs</v>
      </c>
      <c r="C42" s="638">
        <f t="shared" si="1"/>
        <v>0.50957493006504573</v>
      </c>
      <c r="D42" s="638">
        <f t="shared" si="1"/>
        <v>0.5142669912740615</v>
      </c>
      <c r="E42" s="638">
        <f t="shared" si="1"/>
        <v>0.54609619577557478</v>
      </c>
      <c r="F42" s="638">
        <f t="shared" si="1"/>
        <v>0.50759277677006431</v>
      </c>
    </row>
    <row r="43" spans="1:7">
      <c r="B43" s="138" t="s">
        <v>8</v>
      </c>
      <c r="C43" s="638">
        <f t="shared" si="1"/>
        <v>1</v>
      </c>
      <c r="D43" s="638">
        <f t="shared" si="1"/>
        <v>1</v>
      </c>
      <c r="E43" s="638">
        <f t="shared" si="1"/>
        <v>1</v>
      </c>
      <c r="F43" s="638">
        <f t="shared" si="1"/>
        <v>1</v>
      </c>
    </row>
    <row r="44" spans="1:7" s="2" customFormat="1">
      <c r="A44"/>
      <c r="B44"/>
      <c r="C44"/>
      <c r="D44"/>
      <c r="E44"/>
      <c r="F44"/>
    </row>
    <row r="45" spans="1:7" ht="18">
      <c r="B45" s="38" t="s">
        <v>736</v>
      </c>
    </row>
    <row r="47" spans="1:7">
      <c r="B47" s="138" t="str">
        <f>B38</f>
        <v>Entrant route</v>
      </c>
      <c r="C47" s="139" t="str">
        <f>C39</f>
        <v>2012/13</v>
      </c>
      <c r="D47" s="139" t="str">
        <f>D39</f>
        <v>2013/14</v>
      </c>
      <c r="E47" s="139" t="str">
        <f>E39</f>
        <v>2014/15</v>
      </c>
      <c r="F47" s="139" t="str">
        <f>F39</f>
        <v>2015/16</v>
      </c>
      <c r="G47" s="555" t="s">
        <v>8</v>
      </c>
    </row>
    <row r="48" spans="1:7">
      <c r="B48" s="149" t="str">
        <f>B40</f>
        <v>New to state-funded sector</v>
      </c>
      <c r="C48" s="638">
        <f>C40*H$14</f>
        <v>1.6542948197594717E-2</v>
      </c>
      <c r="D48" s="638">
        <f t="shared" ref="C48:F51" si="2">D40*I$14</f>
        <v>3.0106452352097142E-2</v>
      </c>
      <c r="E48" s="638">
        <f t="shared" si="2"/>
        <v>3.7772105271261534E-2</v>
      </c>
      <c r="F48" s="638">
        <f t="shared" si="2"/>
        <v>5.2234812124196832E-2</v>
      </c>
      <c r="G48" s="640">
        <f>SUM(C48:F48)</f>
        <v>0.13665631794515024</v>
      </c>
    </row>
    <row r="49" spans="2:7">
      <c r="B49" s="138" t="str">
        <f>B41</f>
        <v>Re-entrants</v>
      </c>
      <c r="C49" s="638">
        <f t="shared" si="2"/>
        <v>3.2499558795900711E-2</v>
      </c>
      <c r="D49" s="638">
        <f t="shared" si="2"/>
        <v>6.7040149393090567E-2</v>
      </c>
      <c r="E49" s="638">
        <f t="shared" si="2"/>
        <v>9.8399035996066017E-2</v>
      </c>
      <c r="F49" s="638">
        <f t="shared" si="2"/>
        <v>0.14472807716777744</v>
      </c>
      <c r="G49" s="640">
        <f>SUM(C49:F49)</f>
        <v>0.34266682135283477</v>
      </c>
    </row>
    <row r="50" spans="2:7">
      <c r="B50" s="138" t="str">
        <f>B42</f>
        <v>NQTs</v>
      </c>
      <c r="C50" s="638">
        <f t="shared" si="2"/>
        <v>5.0957493006504574E-2</v>
      </c>
      <c r="D50" s="638">
        <f t="shared" si="2"/>
        <v>0.10285339825481231</v>
      </c>
      <c r="E50" s="638">
        <f t="shared" si="2"/>
        <v>0.16382885873267242</v>
      </c>
      <c r="F50" s="638">
        <f t="shared" si="2"/>
        <v>0.20303711070802574</v>
      </c>
      <c r="G50" s="640">
        <f>SUM(C50:F50)</f>
        <v>0.52067686070201502</v>
      </c>
    </row>
    <row r="51" spans="2:7">
      <c r="B51" s="138" t="str">
        <f>B43</f>
        <v>Total</v>
      </c>
      <c r="C51" s="638">
        <f t="shared" si="2"/>
        <v>0.1</v>
      </c>
      <c r="D51" s="638">
        <f t="shared" si="2"/>
        <v>0.2</v>
      </c>
      <c r="E51" s="638">
        <f t="shared" si="2"/>
        <v>0.3</v>
      </c>
      <c r="F51" s="638">
        <f t="shared" si="2"/>
        <v>0.4</v>
      </c>
      <c r="G51" s="637">
        <f>SUM(C51:F51)</f>
        <v>1</v>
      </c>
    </row>
  </sheetData>
  <mergeCells count="6">
    <mergeCell ref="B20:B21"/>
    <mergeCell ref="C20:F20"/>
    <mergeCell ref="B38:B39"/>
    <mergeCell ref="C38:F38"/>
    <mergeCell ref="B28:B29"/>
    <mergeCell ref="C28:F2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2"/>
  <sheetViews>
    <sheetView showGridLines="0" zoomScaleNormal="100" workbookViewId="0"/>
  </sheetViews>
  <sheetFormatPr defaultRowHeight="12.75"/>
  <cols>
    <col min="2" max="2" width="26.7109375" customWidth="1"/>
    <col min="3" max="19" width="10.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9" customFormat="1">
      <c r="A4" s="570" t="s">
        <v>26</v>
      </c>
      <c r="B4" s="570"/>
      <c r="C4" s="570"/>
      <c r="D4" s="285"/>
      <c r="E4" s="570"/>
      <c r="F4" s="570"/>
      <c r="G4" s="570"/>
      <c r="H4" s="570"/>
      <c r="I4" s="570"/>
      <c r="J4" s="570"/>
      <c r="K4" s="570"/>
      <c r="L4" s="570"/>
      <c r="M4" s="570"/>
      <c r="N4" s="570"/>
    </row>
    <row r="5" spans="1:17" s="568" customFormat="1" ht="13.15" customHeight="1">
      <c r="A5" s="683" t="s">
        <v>1476</v>
      </c>
      <c r="B5" s="683"/>
      <c r="C5" s="683"/>
      <c r="D5" s="683"/>
      <c r="E5" s="683"/>
      <c r="F5" s="683"/>
      <c r="G5" s="683"/>
      <c r="H5" s="683"/>
      <c r="I5" s="683"/>
      <c r="J5" s="683"/>
      <c r="K5" s="683"/>
      <c r="L5" s="683"/>
      <c r="M5" s="683"/>
      <c r="N5" s="683"/>
      <c r="O5" s="683"/>
      <c r="P5" s="683"/>
      <c r="Q5" s="683"/>
    </row>
    <row r="6" spans="1:17" s="565" customFormat="1">
      <c r="A6" s="567" t="s">
        <v>1392</v>
      </c>
      <c r="B6" s="60"/>
      <c r="C6" s="60"/>
      <c r="D6" s="285"/>
      <c r="E6" s="60"/>
      <c r="F6" s="60"/>
      <c r="G6" s="60"/>
      <c r="H6" s="60"/>
      <c r="I6" s="60"/>
      <c r="J6" s="60"/>
      <c r="K6" s="60"/>
      <c r="L6" s="60"/>
      <c r="M6" s="60"/>
      <c r="N6" s="60"/>
      <c r="O6" s="44"/>
    </row>
    <row r="7" spans="1:17" s="565" customFormat="1">
      <c r="A7" s="566" t="s">
        <v>742</v>
      </c>
      <c r="B7" s="567"/>
      <c r="C7" s="60"/>
      <c r="D7" s="285"/>
      <c r="E7" s="60"/>
      <c r="F7" s="60"/>
      <c r="G7" s="60"/>
      <c r="H7" s="60"/>
      <c r="I7" s="60"/>
      <c r="J7" s="60"/>
      <c r="K7" s="60"/>
      <c r="L7" s="60"/>
      <c r="M7" s="60"/>
      <c r="N7" s="60"/>
      <c r="O7" s="44"/>
    </row>
    <row r="8" spans="1:17" s="565" customFormat="1">
      <c r="A8" s="567" t="s">
        <v>24</v>
      </c>
      <c r="B8" s="60"/>
      <c r="C8" s="60"/>
      <c r="D8" s="285"/>
      <c r="E8" s="60"/>
      <c r="F8" s="60"/>
      <c r="G8" s="60"/>
      <c r="H8" s="60"/>
      <c r="I8" s="60"/>
      <c r="J8" s="60"/>
      <c r="K8" s="60"/>
      <c r="L8" s="60"/>
      <c r="M8" s="60"/>
      <c r="N8" s="60"/>
      <c r="O8" s="44"/>
    </row>
    <row r="9" spans="1:17" s="565" customFormat="1">
      <c r="A9" s="566" t="s">
        <v>741</v>
      </c>
      <c r="B9" s="60"/>
      <c r="C9" s="60"/>
      <c r="D9" s="285"/>
      <c r="E9" s="60"/>
      <c r="F9" s="60"/>
      <c r="G9" s="60"/>
      <c r="H9" s="60"/>
      <c r="I9" s="60"/>
      <c r="J9" s="60"/>
      <c r="K9" s="60"/>
      <c r="L9" s="60"/>
      <c r="M9" s="60"/>
      <c r="N9" s="60"/>
      <c r="O9" s="44"/>
    </row>
    <row r="10" spans="1:17" s="563" customFormat="1">
      <c r="A10" s="564">
        <f>SUM(A13:A2084)</f>
        <v>0</v>
      </c>
      <c r="B10" s="72"/>
      <c r="C10" s="47"/>
      <c r="D10" s="47"/>
      <c r="E10" s="47"/>
      <c r="F10" s="71"/>
      <c r="G10" s="47"/>
      <c r="H10" s="71"/>
      <c r="I10" s="48"/>
      <c r="J10" s="48"/>
      <c r="K10" s="48"/>
      <c r="L10" s="48"/>
      <c r="M10" s="48"/>
      <c r="N10" s="48"/>
      <c r="O10" s="48"/>
    </row>
    <row r="12" spans="1:17">
      <c r="H12" s="75" t="s">
        <v>115</v>
      </c>
    </row>
    <row r="14" spans="1:17">
      <c r="H14" s="5">
        <v>0.1</v>
      </c>
      <c r="I14" s="5">
        <v>0.2</v>
      </c>
      <c r="J14" s="5">
        <v>0.3</v>
      </c>
      <c r="K14" s="5">
        <v>0.4</v>
      </c>
    </row>
    <row r="16" spans="1:17" ht="18">
      <c r="B16" s="38" t="s">
        <v>740</v>
      </c>
      <c r="H16" s="147" t="s">
        <v>1393</v>
      </c>
    </row>
    <row r="17" spans="2:8" ht="18">
      <c r="B17" s="38"/>
      <c r="H17" s="147"/>
    </row>
    <row r="18" spans="2:8">
      <c r="B18" s="147" t="s">
        <v>739</v>
      </c>
    </row>
    <row r="19" spans="2:8">
      <c r="B19" s="147"/>
    </row>
    <row r="20" spans="2:8">
      <c r="B20" s="1241" t="str">
        <f>RAW_DATA_INPUTS!B438</f>
        <v>Entrant route</v>
      </c>
      <c r="C20" s="1292" t="s">
        <v>71</v>
      </c>
      <c r="D20" s="1292"/>
      <c r="E20" s="1292"/>
      <c r="F20" s="1292"/>
    </row>
    <row r="21" spans="2:8">
      <c r="B21" s="1242"/>
      <c r="C21" s="8" t="str">
        <f>RAW_DATA_INPUTS!C438</f>
        <v>2012/13</v>
      </c>
      <c r="D21" s="8" t="str">
        <f>RAW_DATA_INPUTS!D438</f>
        <v>2013/14</v>
      </c>
      <c r="E21" s="8" t="str">
        <f>RAW_DATA_INPUTS!E438</f>
        <v>2014/15</v>
      </c>
      <c r="F21" s="8" t="str">
        <f>RAW_DATA_INPUTS!F438</f>
        <v>2015/16</v>
      </c>
    </row>
    <row r="22" spans="2:8">
      <c r="B22" s="8" t="str">
        <f>RAW_DATA_INPUTS!B439</f>
        <v>New to state-funded sector</v>
      </c>
      <c r="C22" s="300">
        <f>RAW_DATA_INPUTS!C447</f>
        <v>3105.078</v>
      </c>
      <c r="D22" s="300">
        <f>RAW_DATA_INPUTS!D447</f>
        <v>3004.37</v>
      </c>
      <c r="E22" s="300">
        <f>RAW_DATA_INPUTS!E447</f>
        <v>2574.4479999999999</v>
      </c>
      <c r="F22" s="300">
        <f>RAW_DATA_INPUTS!F447</f>
        <v>2427.8589999999999</v>
      </c>
    </row>
    <row r="23" spans="2:8">
      <c r="B23" s="8" t="str">
        <f>RAW_DATA_INPUTS!B440</f>
        <v>Re-entrants</v>
      </c>
      <c r="C23" s="300">
        <f>RAW_DATA_INPUTS!C448</f>
        <v>7050.9430000000002</v>
      </c>
      <c r="D23" s="300">
        <f>RAW_DATA_INPUTS!D448</f>
        <v>7598.009</v>
      </c>
      <c r="E23" s="300">
        <f>RAW_DATA_INPUTS!E448</f>
        <v>7261.6940000000004</v>
      </c>
      <c r="F23" s="300">
        <f>RAW_DATA_INPUTS!F448</f>
        <v>7797.71</v>
      </c>
    </row>
    <row r="24" spans="2:8">
      <c r="B24" s="8" t="str">
        <f>RAW_DATA_INPUTS!B441</f>
        <v>NQTs</v>
      </c>
      <c r="C24" s="300">
        <f>RAW_DATA_INPUTS!C449</f>
        <v>10502.683999999999</v>
      </c>
      <c r="D24" s="300">
        <f>RAW_DATA_INPUTS!D449</f>
        <v>10472.761</v>
      </c>
      <c r="E24" s="300">
        <f>RAW_DATA_INPUTS!E449</f>
        <v>10690.763000000001</v>
      </c>
      <c r="F24" s="300">
        <f>RAW_DATA_INPUTS!F449</f>
        <v>11034.485000000001</v>
      </c>
    </row>
    <row r="26" spans="2:8">
      <c r="B26" s="147" t="s">
        <v>738</v>
      </c>
    </row>
    <row r="28" spans="2:8">
      <c r="B28" s="1241" t="str">
        <f>RAW_DATA_INPUTS!B446</f>
        <v>Entrant route</v>
      </c>
      <c r="C28" s="1292" t="s">
        <v>71</v>
      </c>
      <c r="D28" s="1292"/>
      <c r="E28" s="1292"/>
      <c r="F28" s="1292"/>
    </row>
    <row r="29" spans="2:8">
      <c r="B29" s="1242"/>
      <c r="C29" s="8" t="str">
        <f>RAW_DATA_INPUTS!C446</f>
        <v>2012/13</v>
      </c>
      <c r="D29" s="8" t="str">
        <f>RAW_DATA_INPUTS!D446</f>
        <v>2013/14</v>
      </c>
      <c r="E29" s="8" t="str">
        <f>RAW_DATA_INPUTS!E446</f>
        <v>2014/15</v>
      </c>
      <c r="F29" s="8" t="str">
        <f>RAW_DATA_INPUTS!F446</f>
        <v>2015/16</v>
      </c>
    </row>
    <row r="30" spans="2:8">
      <c r="B30" s="149" t="str">
        <f t="shared" ref="B30:F32" si="0">B22</f>
        <v>New to state-funded sector</v>
      </c>
      <c r="C30" s="450">
        <f t="shared" si="0"/>
        <v>3105.078</v>
      </c>
      <c r="D30" s="450">
        <f t="shared" si="0"/>
        <v>3004.37</v>
      </c>
      <c r="E30" s="450">
        <f t="shared" si="0"/>
        <v>2574.4479999999999</v>
      </c>
      <c r="F30" s="450">
        <f t="shared" si="0"/>
        <v>2427.8589999999999</v>
      </c>
    </row>
    <row r="31" spans="2:8">
      <c r="B31" s="149" t="str">
        <f t="shared" si="0"/>
        <v>Re-entrants</v>
      </c>
      <c r="C31" s="450">
        <f t="shared" si="0"/>
        <v>7050.9430000000002</v>
      </c>
      <c r="D31" s="450">
        <f t="shared" si="0"/>
        <v>7598.009</v>
      </c>
      <c r="E31" s="450">
        <f t="shared" si="0"/>
        <v>7261.6940000000004</v>
      </c>
      <c r="F31" s="450">
        <f t="shared" si="0"/>
        <v>7797.71</v>
      </c>
    </row>
    <row r="32" spans="2:8">
      <c r="B32" s="149" t="str">
        <f t="shared" si="0"/>
        <v>NQTs</v>
      </c>
      <c r="C32" s="450">
        <f t="shared" si="0"/>
        <v>10502.683999999999</v>
      </c>
      <c r="D32" s="450">
        <f t="shared" si="0"/>
        <v>10472.761</v>
      </c>
      <c r="E32" s="450">
        <f t="shared" si="0"/>
        <v>10690.763000000001</v>
      </c>
      <c r="F32" s="450">
        <f t="shared" si="0"/>
        <v>11034.485000000001</v>
      </c>
    </row>
    <row r="33" spans="1:7">
      <c r="B33" s="8" t="s">
        <v>8</v>
      </c>
      <c r="C33" s="447">
        <f>SUM(C30:C32)</f>
        <v>20658.705000000002</v>
      </c>
      <c r="D33" s="447">
        <f>SUM(D30:D32)</f>
        <v>21075.14</v>
      </c>
      <c r="E33" s="447">
        <f>SUM(E30:E32)</f>
        <v>20526.904999999999</v>
      </c>
      <c r="F33" s="447">
        <f>SUM(F30:F32)</f>
        <v>21260.054</v>
      </c>
    </row>
    <row r="34" spans="1:7" s="2" customFormat="1">
      <c r="A34" s="2">
        <f>SUM(C34:F34)</f>
        <v>0</v>
      </c>
      <c r="B34" s="145"/>
      <c r="C34" s="145">
        <f>SUM(C22:C24)-C33</f>
        <v>0</v>
      </c>
      <c r="D34" s="145">
        <f>SUM(D22:D24)-D33</f>
        <v>0</v>
      </c>
      <c r="E34" s="145">
        <f>SUM(E22:E24)-E33</f>
        <v>0</v>
      </c>
      <c r="F34" s="145">
        <f>SUM(F22:F24)-F33</f>
        <v>0</v>
      </c>
    </row>
    <row r="35" spans="1:7" s="2" customFormat="1">
      <c r="B35" s="145"/>
      <c r="C35" s="145"/>
      <c r="D35" s="145"/>
      <c r="E35" s="145"/>
      <c r="F35" s="145"/>
    </row>
    <row r="36" spans="1:7" ht="18">
      <c r="B36" s="38" t="s">
        <v>737</v>
      </c>
    </row>
    <row r="38" spans="1:7">
      <c r="B38" s="1241" t="str">
        <f>B28</f>
        <v>Entrant route</v>
      </c>
      <c r="C38" s="1292" t="str">
        <f>C28</f>
        <v>Year</v>
      </c>
      <c r="D38" s="1292"/>
      <c r="E38" s="1292"/>
      <c r="F38" s="1292"/>
    </row>
    <row r="39" spans="1:7">
      <c r="B39" s="1242"/>
      <c r="C39" s="8" t="str">
        <f>C29</f>
        <v>2012/13</v>
      </c>
      <c r="D39" s="8" t="str">
        <f>D29</f>
        <v>2013/14</v>
      </c>
      <c r="E39" s="8" t="str">
        <f>E29</f>
        <v>2014/15</v>
      </c>
      <c r="F39" s="8" t="str">
        <f>F29</f>
        <v>2015/16</v>
      </c>
    </row>
    <row r="40" spans="1:7">
      <c r="B40" s="149" t="str">
        <f>B30</f>
        <v>New to state-funded sector</v>
      </c>
      <c r="C40" s="638">
        <f t="shared" ref="C40:F43" si="1">C30/C$33</f>
        <v>0.15030361293217556</v>
      </c>
      <c r="D40" s="638">
        <f t="shared" si="1"/>
        <v>0.14255516214838904</v>
      </c>
      <c r="E40" s="638">
        <f t="shared" si="1"/>
        <v>0.12541822549478354</v>
      </c>
      <c r="F40" s="638">
        <f t="shared" si="1"/>
        <v>0.1141981577281036</v>
      </c>
    </row>
    <row r="41" spans="1:7">
      <c r="B41" s="8" t="str">
        <f>B31</f>
        <v>Re-entrants</v>
      </c>
      <c r="C41" s="642">
        <f t="shared" si="1"/>
        <v>0.34130614673088172</v>
      </c>
      <c r="D41" s="642">
        <f t="shared" si="1"/>
        <v>0.36051997756598536</v>
      </c>
      <c r="E41" s="642">
        <f t="shared" si="1"/>
        <v>0.35376468103691233</v>
      </c>
      <c r="F41" s="642">
        <f t="shared" si="1"/>
        <v>0.36677752558859916</v>
      </c>
    </row>
    <row r="42" spans="1:7">
      <c r="B42" s="8" t="str">
        <f>B32</f>
        <v>NQTs</v>
      </c>
      <c r="C42" s="642">
        <f t="shared" si="1"/>
        <v>0.50839024033694258</v>
      </c>
      <c r="D42" s="642">
        <f t="shared" si="1"/>
        <v>0.49692486028562566</v>
      </c>
      <c r="E42" s="642">
        <f t="shared" si="1"/>
        <v>0.52081709346830418</v>
      </c>
      <c r="F42" s="642">
        <f t="shared" si="1"/>
        <v>0.51902431668329729</v>
      </c>
    </row>
    <row r="43" spans="1:7">
      <c r="B43" s="8" t="s">
        <v>8</v>
      </c>
      <c r="C43" s="642">
        <f t="shared" si="1"/>
        <v>1</v>
      </c>
      <c r="D43" s="642">
        <f t="shared" si="1"/>
        <v>1</v>
      </c>
      <c r="E43" s="642">
        <f t="shared" si="1"/>
        <v>1</v>
      </c>
      <c r="F43" s="642">
        <f t="shared" si="1"/>
        <v>1</v>
      </c>
    </row>
    <row r="44" spans="1:7" s="2" customFormat="1">
      <c r="A44"/>
      <c r="B44"/>
      <c r="C44"/>
      <c r="D44"/>
      <c r="E44"/>
      <c r="F44"/>
    </row>
    <row r="45" spans="1:7" ht="18">
      <c r="B45" s="641" t="s">
        <v>736</v>
      </c>
    </row>
    <row r="47" spans="1:7">
      <c r="B47" s="1205" t="str">
        <f>B38</f>
        <v>Entrant route</v>
      </c>
      <c r="C47" s="1241" t="str">
        <f>C39</f>
        <v>2012/13</v>
      </c>
      <c r="D47" s="1241" t="str">
        <f>D39</f>
        <v>2013/14</v>
      </c>
      <c r="E47" s="1241" t="str">
        <f>E39</f>
        <v>2014/15</v>
      </c>
      <c r="F47" s="1241" t="str">
        <f>F39</f>
        <v>2015/16</v>
      </c>
      <c r="G47" s="1290" t="s">
        <v>8</v>
      </c>
    </row>
    <row r="48" spans="1:7">
      <c r="B48" s="1205"/>
      <c r="C48" s="1242"/>
      <c r="D48" s="1242"/>
      <c r="E48" s="1242"/>
      <c r="F48" s="1242"/>
      <c r="G48" s="1291"/>
    </row>
    <row r="49" spans="2:7">
      <c r="B49" s="149" t="str">
        <f>B40</f>
        <v>New to state-funded sector</v>
      </c>
      <c r="C49" s="638">
        <f t="shared" ref="C49:F52" si="2">C40*H$14</f>
        <v>1.5030361293217557E-2</v>
      </c>
      <c r="D49" s="638">
        <f t="shared" si="2"/>
        <v>2.8511032429677809E-2</v>
      </c>
      <c r="E49" s="638">
        <f t="shared" si="2"/>
        <v>3.7625467648435058E-2</v>
      </c>
      <c r="F49" s="638">
        <f t="shared" si="2"/>
        <v>4.5679263091241443E-2</v>
      </c>
      <c r="G49" s="640">
        <f>SUM(C49:F49)</f>
        <v>0.12684612446257187</v>
      </c>
    </row>
    <row r="50" spans="2:7">
      <c r="B50" s="138" t="str">
        <f>B41</f>
        <v>Re-entrants</v>
      </c>
      <c r="C50" s="638">
        <f t="shared" si="2"/>
        <v>3.4130614673088172E-2</v>
      </c>
      <c r="D50" s="638">
        <f t="shared" si="2"/>
        <v>7.2103995513197072E-2</v>
      </c>
      <c r="E50" s="638">
        <f t="shared" si="2"/>
        <v>0.10612940431107369</v>
      </c>
      <c r="F50" s="638">
        <f t="shared" si="2"/>
        <v>0.14671101023543967</v>
      </c>
      <c r="G50" s="640">
        <f>SUM(C50:F50)</f>
        <v>0.35907502473279862</v>
      </c>
    </row>
    <row r="51" spans="2:7">
      <c r="B51" s="138" t="str">
        <f>B42</f>
        <v>NQTs</v>
      </c>
      <c r="C51" s="638">
        <f t="shared" si="2"/>
        <v>5.0839024033694259E-2</v>
      </c>
      <c r="D51" s="638">
        <f t="shared" si="2"/>
        <v>9.938497205712514E-2</v>
      </c>
      <c r="E51" s="638">
        <f t="shared" si="2"/>
        <v>0.15624512804049126</v>
      </c>
      <c r="F51" s="638">
        <f t="shared" si="2"/>
        <v>0.20760972667331892</v>
      </c>
      <c r="G51" s="640">
        <f>SUM(C51:F51)</f>
        <v>0.51407885080462956</v>
      </c>
    </row>
    <row r="52" spans="2:7">
      <c r="B52" s="138" t="str">
        <f>B43</f>
        <v>Total</v>
      </c>
      <c r="C52" s="638">
        <f t="shared" si="2"/>
        <v>0.1</v>
      </c>
      <c r="D52" s="638">
        <f t="shared" si="2"/>
        <v>0.2</v>
      </c>
      <c r="E52" s="638">
        <f t="shared" si="2"/>
        <v>0.3</v>
      </c>
      <c r="F52" s="638">
        <f t="shared" si="2"/>
        <v>0.4</v>
      </c>
      <c r="G52" s="637">
        <f>SUM(C52:F52)</f>
        <v>1</v>
      </c>
    </row>
  </sheetData>
  <mergeCells count="12">
    <mergeCell ref="B20:B21"/>
    <mergeCell ref="C20:F20"/>
    <mergeCell ref="B28:B29"/>
    <mergeCell ref="C28:F28"/>
    <mergeCell ref="B38:B39"/>
    <mergeCell ref="C38:F38"/>
    <mergeCell ref="G47:G48"/>
    <mergeCell ref="B47:B48"/>
    <mergeCell ref="C47:C48"/>
    <mergeCell ref="D47:D48"/>
    <mergeCell ref="E47:E48"/>
    <mergeCell ref="F47:F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61"/>
  <sheetViews>
    <sheetView showGridLines="0" workbookViewId="0"/>
  </sheetViews>
  <sheetFormatPr defaultRowHeight="12.75"/>
  <cols>
    <col min="2" max="2" width="26.7109375" customWidth="1"/>
    <col min="3" max="18" width="10.7109375" customWidth="1"/>
  </cols>
  <sheetData>
    <row r="1" spans="1:15" s="65" customFormat="1" ht="15">
      <c r="A1" s="64" t="str">
        <f>ModelBanner</f>
        <v>TSM_201819 Publication</v>
      </c>
    </row>
    <row r="2" spans="1:15" s="65" customFormat="1" ht="15">
      <c r="A2" s="940" t="s">
        <v>13</v>
      </c>
      <c r="B2" s="940" t="s">
        <v>30</v>
      </c>
    </row>
    <row r="3" spans="1:15" s="65" customFormat="1" ht="15">
      <c r="A3" s="66"/>
    </row>
    <row r="4" spans="1:15" s="569" customFormat="1">
      <c r="A4" s="570" t="s">
        <v>26</v>
      </c>
      <c r="B4" s="570"/>
      <c r="C4" s="570"/>
      <c r="D4" s="285"/>
      <c r="E4" s="570"/>
      <c r="F4" s="570"/>
      <c r="G4" s="570"/>
      <c r="H4" s="570"/>
      <c r="I4" s="570"/>
      <c r="J4" s="570"/>
      <c r="K4" s="570"/>
      <c r="L4" s="570"/>
      <c r="M4" s="570"/>
      <c r="N4" s="570"/>
    </row>
    <row r="5" spans="1:15" s="568" customFormat="1" ht="13.15" customHeight="1">
      <c r="A5" s="683" t="s">
        <v>1435</v>
      </c>
      <c r="B5" s="683"/>
      <c r="C5" s="683"/>
      <c r="D5" s="683"/>
      <c r="E5" s="683"/>
      <c r="F5" s="683"/>
      <c r="G5" s="683"/>
      <c r="H5" s="683"/>
      <c r="I5" s="683"/>
      <c r="J5" s="683"/>
      <c r="K5" s="683"/>
      <c r="L5" s="683"/>
      <c r="M5" s="683"/>
      <c r="N5" s="683"/>
      <c r="O5" s="58"/>
    </row>
    <row r="6" spans="1:15" s="565" customFormat="1">
      <c r="A6" s="567" t="s">
        <v>1392</v>
      </c>
      <c r="B6" s="60"/>
      <c r="C6" s="60"/>
      <c r="D6" s="285"/>
      <c r="E6" s="60"/>
      <c r="F6" s="60"/>
      <c r="G6" s="60"/>
      <c r="H6" s="60"/>
      <c r="I6" s="60"/>
      <c r="J6" s="60"/>
      <c r="K6" s="60"/>
      <c r="L6" s="60"/>
      <c r="M6" s="60"/>
      <c r="N6" s="60"/>
      <c r="O6" s="44"/>
    </row>
    <row r="7" spans="1:15" s="565" customFormat="1">
      <c r="A7" s="566" t="s">
        <v>179</v>
      </c>
      <c r="B7" s="567"/>
      <c r="C7" s="60"/>
      <c r="D7" s="285"/>
      <c r="E7" s="60"/>
      <c r="F7" s="60"/>
      <c r="G7" s="60"/>
      <c r="H7" s="60"/>
      <c r="I7" s="60"/>
      <c r="J7" s="60"/>
      <c r="K7" s="60"/>
      <c r="L7" s="60"/>
      <c r="M7" s="60"/>
      <c r="N7" s="60"/>
      <c r="O7" s="44"/>
    </row>
    <row r="8" spans="1:15" s="565" customFormat="1">
      <c r="A8" s="567" t="s">
        <v>24</v>
      </c>
      <c r="B8" s="60"/>
      <c r="C8" s="60"/>
      <c r="D8" s="285"/>
      <c r="E8" s="60"/>
      <c r="F8" s="60"/>
      <c r="G8" s="60"/>
      <c r="H8" s="60"/>
      <c r="I8" s="60"/>
      <c r="J8" s="60"/>
      <c r="K8" s="60"/>
      <c r="L8" s="60"/>
      <c r="M8" s="60"/>
      <c r="N8" s="60"/>
      <c r="O8" s="44"/>
    </row>
    <row r="9" spans="1:15" s="565" customFormat="1">
      <c r="A9" s="566" t="s">
        <v>741</v>
      </c>
      <c r="B9" s="60"/>
      <c r="C9" s="60"/>
      <c r="D9" s="285"/>
      <c r="E9" s="60"/>
      <c r="F9" s="60"/>
      <c r="G9" s="60"/>
      <c r="H9" s="60"/>
      <c r="I9" s="60"/>
      <c r="J9" s="60"/>
      <c r="K9" s="60"/>
      <c r="L9" s="60"/>
      <c r="M9" s="60"/>
      <c r="N9" s="60"/>
      <c r="O9" s="44"/>
    </row>
    <row r="10" spans="1:15" s="563" customFormat="1">
      <c r="A10" s="564">
        <f>SUM(A13:A2081)</f>
        <v>0</v>
      </c>
      <c r="B10" s="72"/>
      <c r="C10" s="47"/>
      <c r="D10" s="47"/>
      <c r="E10" s="47"/>
      <c r="F10" s="71"/>
      <c r="G10" s="47"/>
      <c r="H10" s="71"/>
      <c r="I10" s="48"/>
      <c r="J10" s="48"/>
      <c r="K10" s="48"/>
      <c r="L10" s="48"/>
      <c r="M10" s="48"/>
      <c r="N10" s="48"/>
      <c r="O10" s="48"/>
    </row>
    <row r="12" spans="1:15">
      <c r="H12" s="75" t="s">
        <v>115</v>
      </c>
    </row>
    <row r="14" spans="1:15">
      <c r="H14" s="5">
        <v>0.1</v>
      </c>
      <c r="I14" s="5">
        <v>0.2</v>
      </c>
      <c r="J14" s="5">
        <v>0.3</v>
      </c>
      <c r="K14" s="5">
        <v>0.4</v>
      </c>
    </row>
    <row r="16" spans="1:15" ht="18">
      <c r="B16" s="38" t="s">
        <v>740</v>
      </c>
      <c r="H16" s="147" t="s">
        <v>1393</v>
      </c>
    </row>
    <row r="18" spans="1:6">
      <c r="B18" s="1241" t="str">
        <f>RAW_DATA_INPUTS!B438</f>
        <v>Entrant route</v>
      </c>
      <c r="C18" s="1292" t="s">
        <v>71</v>
      </c>
      <c r="D18" s="1292"/>
      <c r="E18" s="1292"/>
      <c r="F18" s="1292"/>
    </row>
    <row r="19" spans="1:6">
      <c r="B19" s="1242"/>
      <c r="C19" s="8" t="str">
        <f>RAW_DATA_INPUTS!C438</f>
        <v>2012/13</v>
      </c>
      <c r="D19" s="8" t="str">
        <f>RAW_DATA_INPUTS!D438</f>
        <v>2013/14</v>
      </c>
      <c r="E19" s="8" t="str">
        <f>RAW_DATA_INPUTS!E438</f>
        <v>2014/15</v>
      </c>
      <c r="F19" s="8" t="str">
        <f>RAW_DATA_INPUTS!F438</f>
        <v>2015/16</v>
      </c>
    </row>
    <row r="20" spans="1:6">
      <c r="B20" s="8" t="str">
        <f>Calc_SEC_entrant_rates!B30</f>
        <v>New to state-funded sector</v>
      </c>
      <c r="C20" s="300">
        <f>RAW_DATA_INPUTS!C439</f>
        <v>4181.63</v>
      </c>
      <c r="D20" s="300">
        <f>RAW_DATA_INPUTS!D439</f>
        <v>4003.9</v>
      </c>
      <c r="E20" s="300">
        <f>RAW_DATA_INPUTS!E439</f>
        <v>3360.92</v>
      </c>
      <c r="F20" s="300">
        <f>RAW_DATA_INPUTS!F439</f>
        <v>3317.7269999999999</v>
      </c>
    </row>
    <row r="21" spans="1:6">
      <c r="B21" s="8" t="str">
        <f>Calc_SEC_entrant_rates!B31</f>
        <v>Re-entrants</v>
      </c>
      <c r="C21" s="300">
        <f>RAW_DATA_INPUTS!C440</f>
        <v>8215.0490000000009</v>
      </c>
      <c r="D21" s="300">
        <f>RAW_DATA_INPUTS!D440</f>
        <v>8915.7649999999994</v>
      </c>
      <c r="E21" s="300">
        <f>RAW_DATA_INPUTS!E440</f>
        <v>8755.4369999999999</v>
      </c>
      <c r="F21" s="300">
        <f>RAW_DATA_INPUTS!F440</f>
        <v>9192.4950000000008</v>
      </c>
    </row>
    <row r="22" spans="1:6">
      <c r="B22" s="8" t="str">
        <f>Calc_SEC_entrant_rates!B32</f>
        <v>NQTs</v>
      </c>
      <c r="C22" s="300">
        <f>RAW_DATA_INPUTS!C441</f>
        <v>12880.737999999999</v>
      </c>
      <c r="D22" s="300">
        <f>RAW_DATA_INPUTS!D441</f>
        <v>13678.62</v>
      </c>
      <c r="E22" s="300">
        <f>RAW_DATA_INPUTS!E441</f>
        <v>14577.31</v>
      </c>
      <c r="F22" s="300">
        <f>RAW_DATA_INPUTS!F441</f>
        <v>12896.03</v>
      </c>
    </row>
    <row r="23" spans="1:6">
      <c r="B23" s="8" t="str">
        <f>Calc_SEC_entrant_rates!B33</f>
        <v>Total</v>
      </c>
      <c r="C23" s="447">
        <f>SUM(C20:C22)</f>
        <v>25277.417000000001</v>
      </c>
      <c r="D23" s="447">
        <f>SUM(D20:D22)</f>
        <v>26598.285</v>
      </c>
      <c r="E23" s="447">
        <f>SUM(E20:E22)</f>
        <v>26693.667000000001</v>
      </c>
      <c r="F23" s="447">
        <f>SUM(F20:F22)</f>
        <v>25406.252</v>
      </c>
    </row>
    <row r="24" spans="1:6">
      <c r="A24">
        <f>SUM(C24:F24)</f>
        <v>0</v>
      </c>
      <c r="C24" s="302">
        <f>SUM(C20:C22)-C23</f>
        <v>0</v>
      </c>
      <c r="D24" s="302">
        <f>SUM(D20:D22)-D23</f>
        <v>0</v>
      </c>
      <c r="E24" s="302">
        <f>SUM(E20:E22)-E23</f>
        <v>0</v>
      </c>
      <c r="F24" s="302">
        <f>SUM(F20:F22)-F23</f>
        <v>0</v>
      </c>
    </row>
    <row r="26" spans="1:6" ht="18">
      <c r="B26" s="38" t="s">
        <v>745</v>
      </c>
    </row>
    <row r="28" spans="1:6">
      <c r="B28" s="1241" t="str">
        <f>RAW_DATA_INPUTS!B446</f>
        <v>Entrant route</v>
      </c>
      <c r="C28" s="1292" t="s">
        <v>71</v>
      </c>
      <c r="D28" s="1292"/>
      <c r="E28" s="1292"/>
      <c r="F28" s="1292"/>
    </row>
    <row r="29" spans="1:6">
      <c r="B29" s="1242"/>
      <c r="C29" s="8" t="str">
        <f>RAW_DATA_INPUTS!C446</f>
        <v>2012/13</v>
      </c>
      <c r="D29" s="8" t="str">
        <f>RAW_DATA_INPUTS!D446</f>
        <v>2013/14</v>
      </c>
      <c r="E29" s="8" t="str">
        <f>RAW_DATA_INPUTS!E446</f>
        <v>2014/15</v>
      </c>
      <c r="F29" s="8" t="str">
        <f>RAW_DATA_INPUTS!F446</f>
        <v>2015/16</v>
      </c>
    </row>
    <row r="30" spans="1:6">
      <c r="B30" s="8" t="str">
        <f>B20</f>
        <v>New to state-funded sector</v>
      </c>
      <c r="C30" s="300">
        <f>RAW_DATA_INPUTS!C455</f>
        <v>579.75800000000004</v>
      </c>
      <c r="D30" s="300">
        <f>RAW_DATA_INPUTS!D455</f>
        <v>570.505</v>
      </c>
      <c r="E30" s="300">
        <f>RAW_DATA_INPUTS!E455</f>
        <v>460.42899999999997</v>
      </c>
      <c r="F30" s="300">
        <f>RAW_DATA_INPUTS!F455</f>
        <v>470.91899999999998</v>
      </c>
    </row>
    <row r="31" spans="1:6">
      <c r="B31" s="8" t="str">
        <f>B21</f>
        <v>Re-entrants</v>
      </c>
      <c r="C31" s="300">
        <f>RAW_DATA_INPUTS!C456</f>
        <v>3524.8919999999998</v>
      </c>
      <c r="D31" s="300">
        <f>RAW_DATA_INPUTS!D456</f>
        <v>3878.4749999999999</v>
      </c>
      <c r="E31" s="300">
        <f>RAW_DATA_INPUTS!E456</f>
        <v>3811.4119999999998</v>
      </c>
      <c r="F31" s="300">
        <f>RAW_DATA_INPUTS!F456</f>
        <v>3852.884</v>
      </c>
    </row>
    <row r="32" spans="1:6">
      <c r="B32" s="8" t="str">
        <f>B22</f>
        <v>NQTs</v>
      </c>
      <c r="C32" s="300">
        <f>RAW_DATA_INPUTS!C457</f>
        <v>434.91899999999998</v>
      </c>
      <c r="D32" s="300">
        <f>RAW_DATA_INPUTS!D457</f>
        <v>380.73500000000001</v>
      </c>
      <c r="E32" s="300">
        <f>RAW_DATA_INPUTS!E457</f>
        <v>488.5</v>
      </c>
      <c r="F32" s="300">
        <f>RAW_DATA_INPUTS!F457</f>
        <v>405.04300000000001</v>
      </c>
    </row>
    <row r="33" spans="1:7">
      <c r="B33" s="8" t="str">
        <f>B23</f>
        <v>Total</v>
      </c>
      <c r="C33" s="447">
        <f>SUM(C30:C32)</f>
        <v>4539.5689999999995</v>
      </c>
      <c r="D33" s="447">
        <f>SUM(D30:D32)</f>
        <v>4829.7149999999992</v>
      </c>
      <c r="E33" s="447">
        <f>SUM(E30:E32)</f>
        <v>4760.3409999999994</v>
      </c>
      <c r="F33" s="447">
        <f>SUM(F30:F32)</f>
        <v>4728.8459999999995</v>
      </c>
    </row>
    <row r="34" spans="1:7" s="2" customFormat="1">
      <c r="A34">
        <f>SUM(C34:F34)</f>
        <v>0</v>
      </c>
      <c r="B34"/>
      <c r="C34" s="302">
        <f>SUM(C30:C32)-C33</f>
        <v>0</v>
      </c>
      <c r="D34" s="302">
        <f>SUM(D30:D32)-D33</f>
        <v>0</v>
      </c>
      <c r="E34" s="302">
        <f>SUM(E30:E32)-E33</f>
        <v>0</v>
      </c>
      <c r="F34" s="302">
        <f>SUM(F30:F32)-F33</f>
        <v>0</v>
      </c>
    </row>
    <row r="35" spans="1:7" s="2" customFormat="1">
      <c r="A35"/>
      <c r="B35"/>
      <c r="C35" s="302"/>
      <c r="D35" s="302"/>
      <c r="E35" s="302"/>
      <c r="F35" s="302"/>
    </row>
    <row r="36" spans="1:7" ht="18">
      <c r="B36" s="38" t="s">
        <v>744</v>
      </c>
    </row>
    <row r="38" spans="1:7">
      <c r="B38" s="1241" t="str">
        <f>B28</f>
        <v>Entrant route</v>
      </c>
      <c r="C38" s="1292" t="str">
        <f>C28</f>
        <v>Year</v>
      </c>
      <c r="D38" s="1292"/>
      <c r="E38" s="1292"/>
      <c r="F38" s="1292"/>
    </row>
    <row r="39" spans="1:7">
      <c r="B39" s="1242"/>
      <c r="C39" s="8" t="str">
        <f>C29</f>
        <v>2012/13</v>
      </c>
      <c r="D39" s="8" t="str">
        <f>D29</f>
        <v>2013/14</v>
      </c>
      <c r="E39" s="8" t="str">
        <f>E29</f>
        <v>2014/15</v>
      </c>
      <c r="F39" s="8" t="str">
        <f>F29</f>
        <v>2015/16</v>
      </c>
    </row>
    <row r="40" spans="1:7">
      <c r="B40" s="149" t="str">
        <f>B30</f>
        <v>New to state-funded sector</v>
      </c>
      <c r="C40" s="638">
        <f t="shared" ref="C40:F42" si="0">C30/C20</f>
        <v>0.13864402158966718</v>
      </c>
      <c r="D40" s="638">
        <f t="shared" si="0"/>
        <v>0.14248732485826318</v>
      </c>
      <c r="E40" s="638">
        <f t="shared" si="0"/>
        <v>0.1369949299596539</v>
      </c>
      <c r="F40" s="638">
        <f t="shared" si="0"/>
        <v>0.14194025005674066</v>
      </c>
    </row>
    <row r="41" spans="1:7">
      <c r="B41" s="149" t="str">
        <f>B31</f>
        <v>Re-entrants</v>
      </c>
      <c r="C41" s="638">
        <f t="shared" si="0"/>
        <v>0.42907741633677404</v>
      </c>
      <c r="D41" s="638">
        <f t="shared" si="0"/>
        <v>0.43501314805852331</v>
      </c>
      <c r="E41" s="638">
        <f t="shared" si="0"/>
        <v>0.43531944778998466</v>
      </c>
      <c r="F41" s="638">
        <f t="shared" si="0"/>
        <v>0.41913365196282398</v>
      </c>
    </row>
    <row r="42" spans="1:7">
      <c r="B42" s="149" t="str">
        <f>B32</f>
        <v>NQTs</v>
      </c>
      <c r="C42" s="638">
        <f t="shared" si="0"/>
        <v>3.3765068430085296E-2</v>
      </c>
      <c r="D42" s="638">
        <f t="shared" si="0"/>
        <v>2.78343136953874E-2</v>
      </c>
      <c r="E42" s="638">
        <f t="shared" si="0"/>
        <v>3.3510983850929973E-2</v>
      </c>
      <c r="F42" s="638">
        <f t="shared" si="0"/>
        <v>3.1408348150554863E-2</v>
      </c>
    </row>
    <row r="44" spans="1:7" ht="18">
      <c r="B44" s="641" t="s">
        <v>743</v>
      </c>
    </row>
    <row r="46" spans="1:7">
      <c r="B46" s="138" t="str">
        <f>B38</f>
        <v>Entrant route</v>
      </c>
      <c r="C46" s="139" t="str">
        <f>C39</f>
        <v>2012/13</v>
      </c>
      <c r="D46" s="139" t="str">
        <f>D39</f>
        <v>2013/14</v>
      </c>
      <c r="E46" s="139" t="str">
        <f>E39</f>
        <v>2014/15</v>
      </c>
      <c r="F46" s="139" t="str">
        <f>F39</f>
        <v>2015/16</v>
      </c>
      <c r="G46" s="555" t="s">
        <v>8</v>
      </c>
    </row>
    <row r="47" spans="1:7">
      <c r="B47" s="149" t="str">
        <f>B40</f>
        <v>New to state-funded sector</v>
      </c>
      <c r="C47" s="638">
        <f t="shared" ref="C47:F49" si="1">C40*H$14</f>
        <v>1.386440215896672E-2</v>
      </c>
      <c r="D47" s="638">
        <f t="shared" si="1"/>
        <v>2.8497464971652637E-2</v>
      </c>
      <c r="E47" s="638">
        <f t="shared" si="1"/>
        <v>4.1098478987896168E-2</v>
      </c>
      <c r="F47" s="638">
        <f t="shared" si="1"/>
        <v>5.6776100022696264E-2</v>
      </c>
      <c r="G47" s="637">
        <f>SUM(C47:F47)</f>
        <v>0.14023644614121178</v>
      </c>
    </row>
    <row r="48" spans="1:7">
      <c r="B48" s="138" t="str">
        <f>B41</f>
        <v>Re-entrants</v>
      </c>
      <c r="C48" s="638">
        <f t="shared" si="1"/>
        <v>4.2907741633677408E-2</v>
      </c>
      <c r="D48" s="638">
        <f t="shared" si="1"/>
        <v>8.7002629611704671E-2</v>
      </c>
      <c r="E48" s="638">
        <f t="shared" si="1"/>
        <v>0.1305958343369954</v>
      </c>
      <c r="F48" s="638">
        <f t="shared" si="1"/>
        <v>0.1676534607851296</v>
      </c>
      <c r="G48" s="637">
        <f>SUM(C48:F48)</f>
        <v>0.42815966636750707</v>
      </c>
    </row>
    <row r="49" spans="2:11">
      <c r="B49" s="138" t="str">
        <f>B42</f>
        <v>NQTs</v>
      </c>
      <c r="C49" s="638">
        <f t="shared" si="1"/>
        <v>3.3765068430085298E-3</v>
      </c>
      <c r="D49" s="638">
        <f t="shared" si="1"/>
        <v>5.5668627390774803E-3</v>
      </c>
      <c r="E49" s="638">
        <f t="shared" si="1"/>
        <v>1.0053295155278991E-2</v>
      </c>
      <c r="F49" s="638">
        <f t="shared" si="1"/>
        <v>1.2563339260221946E-2</v>
      </c>
      <c r="G49" s="637">
        <f>SUM(C49:F49)</f>
        <v>3.1560003997586947E-2</v>
      </c>
    </row>
    <row r="61" spans="2:11">
      <c r="K61" s="12"/>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53"/>
  <sheetViews>
    <sheetView showGridLines="0" workbookViewId="0"/>
  </sheetViews>
  <sheetFormatPr defaultRowHeight="12.75"/>
  <cols>
    <col min="2" max="2" width="26.7109375" customWidth="1"/>
    <col min="3" max="18" width="10.7109375" customWidth="1"/>
  </cols>
  <sheetData>
    <row r="1" spans="1:15" s="65" customFormat="1" ht="15">
      <c r="A1" s="64" t="str">
        <f>ModelBanner</f>
        <v>TSM_201819 Publication</v>
      </c>
    </row>
    <row r="2" spans="1:15" s="65" customFormat="1" ht="15">
      <c r="A2" s="940" t="s">
        <v>13</v>
      </c>
      <c r="B2" s="940" t="s">
        <v>30</v>
      </c>
    </row>
    <row r="3" spans="1:15" s="65" customFormat="1" ht="15">
      <c r="A3" s="66"/>
    </row>
    <row r="4" spans="1:15" s="569" customFormat="1">
      <c r="A4" s="570" t="s">
        <v>26</v>
      </c>
      <c r="B4" s="570"/>
      <c r="C4" s="570"/>
      <c r="D4" s="285"/>
      <c r="E4" s="570"/>
      <c r="F4" s="570"/>
      <c r="G4" s="570"/>
      <c r="H4" s="570"/>
      <c r="I4" s="570"/>
      <c r="J4" s="570"/>
      <c r="K4" s="570"/>
      <c r="L4" s="570"/>
      <c r="M4" s="570"/>
      <c r="N4" s="570"/>
    </row>
    <row r="5" spans="1:15" s="568" customFormat="1" ht="13.15" customHeight="1">
      <c r="A5" s="683" t="s">
        <v>1477</v>
      </c>
      <c r="B5" s="683"/>
      <c r="C5" s="683"/>
      <c r="D5" s="683"/>
      <c r="E5" s="683"/>
      <c r="F5" s="683"/>
      <c r="G5" s="683"/>
      <c r="H5" s="683"/>
      <c r="I5" s="683"/>
      <c r="J5" s="683"/>
      <c r="K5" s="683"/>
      <c r="L5" s="683"/>
      <c r="M5" s="683"/>
      <c r="N5" s="683"/>
      <c r="O5" s="58"/>
    </row>
    <row r="6" spans="1:15" s="565" customFormat="1">
      <c r="A6" s="567" t="s">
        <v>1392</v>
      </c>
      <c r="B6" s="60"/>
      <c r="C6" s="60"/>
      <c r="D6" s="285"/>
      <c r="E6" s="60"/>
      <c r="F6" s="60"/>
      <c r="G6" s="60"/>
      <c r="H6" s="60"/>
      <c r="I6" s="60"/>
      <c r="J6" s="60"/>
      <c r="K6" s="60"/>
      <c r="L6" s="60"/>
      <c r="M6" s="60"/>
      <c r="N6" s="60"/>
      <c r="O6" s="44"/>
    </row>
    <row r="7" spans="1:15" s="565" customFormat="1">
      <c r="A7" s="566" t="s">
        <v>179</v>
      </c>
      <c r="B7" s="567"/>
      <c r="C7" s="60"/>
      <c r="D7" s="285"/>
      <c r="E7" s="60"/>
      <c r="F7" s="60"/>
      <c r="G7" s="60"/>
      <c r="H7" s="60"/>
      <c r="I7" s="60"/>
      <c r="J7" s="60"/>
      <c r="K7" s="60"/>
      <c r="L7" s="60"/>
      <c r="M7" s="60"/>
      <c r="N7" s="60"/>
      <c r="O7" s="44"/>
    </row>
    <row r="8" spans="1:15" s="565" customFormat="1">
      <c r="A8" s="567" t="s">
        <v>24</v>
      </c>
      <c r="B8" s="60"/>
      <c r="C8" s="60"/>
      <c r="D8" s="285"/>
      <c r="E8" s="60"/>
      <c r="F8" s="60"/>
      <c r="G8" s="60"/>
      <c r="H8" s="60"/>
      <c r="I8" s="60"/>
      <c r="J8" s="60"/>
      <c r="K8" s="60"/>
      <c r="L8" s="60"/>
      <c r="M8" s="60"/>
      <c r="N8" s="60"/>
      <c r="O8" s="44"/>
    </row>
    <row r="9" spans="1:15" s="565" customFormat="1">
      <c r="A9" s="566" t="s">
        <v>741</v>
      </c>
      <c r="B9" s="60"/>
      <c r="C9" s="60"/>
      <c r="D9" s="285"/>
      <c r="E9" s="60"/>
      <c r="F9" s="60"/>
      <c r="G9" s="60"/>
      <c r="H9" s="60"/>
      <c r="I9" s="60"/>
      <c r="J9" s="60"/>
      <c r="K9" s="60"/>
      <c r="L9" s="60"/>
      <c r="M9" s="60"/>
      <c r="N9" s="60"/>
      <c r="O9" s="44"/>
    </row>
    <row r="10" spans="1:15" s="563" customFormat="1">
      <c r="A10" s="564">
        <f>SUM(A13:A2081)</f>
        <v>0</v>
      </c>
      <c r="B10" s="72"/>
      <c r="C10" s="47"/>
      <c r="D10" s="47"/>
      <c r="E10" s="47"/>
      <c r="F10" s="71"/>
      <c r="G10" s="47"/>
      <c r="H10" s="71"/>
      <c r="I10" s="48"/>
      <c r="J10" s="48"/>
      <c r="K10" s="48"/>
      <c r="L10" s="48"/>
      <c r="M10" s="48"/>
      <c r="N10" s="48"/>
      <c r="O10" s="48"/>
    </row>
    <row r="12" spans="1:15">
      <c r="H12" s="75" t="s">
        <v>115</v>
      </c>
    </row>
    <row r="14" spans="1:15">
      <c r="H14" s="5">
        <v>0.1</v>
      </c>
      <c r="I14" s="5">
        <v>0.2</v>
      </c>
      <c r="J14" s="5">
        <v>0.3</v>
      </c>
      <c r="K14" s="5">
        <v>0.4</v>
      </c>
    </row>
    <row r="16" spans="1:15" ht="18">
      <c r="B16" s="38" t="s">
        <v>740</v>
      </c>
      <c r="H16" s="147" t="s">
        <v>1393</v>
      </c>
    </row>
    <row r="18" spans="1:6">
      <c r="B18" s="1241" t="str">
        <f>RAW_DATA_INPUTS!B438</f>
        <v>Entrant route</v>
      </c>
      <c r="C18" s="1292" t="s">
        <v>71</v>
      </c>
      <c r="D18" s="1292"/>
      <c r="E18" s="1292"/>
      <c r="F18" s="1292"/>
    </row>
    <row r="19" spans="1:6">
      <c r="B19" s="1242"/>
      <c r="C19" s="8" t="str">
        <f>RAW_DATA_INPUTS!C438</f>
        <v>2012/13</v>
      </c>
      <c r="D19" s="8" t="str">
        <f>RAW_DATA_INPUTS!D438</f>
        <v>2013/14</v>
      </c>
      <c r="E19" s="8" t="str">
        <f>RAW_DATA_INPUTS!E438</f>
        <v>2014/15</v>
      </c>
      <c r="F19" s="8" t="str">
        <f>RAW_DATA_INPUTS!F438</f>
        <v>2015/16</v>
      </c>
    </row>
    <row r="20" spans="1:6">
      <c r="B20" s="8" t="str">
        <f>'Calc_PRIM_part-time_entrants'!B20</f>
        <v>New to state-funded sector</v>
      </c>
      <c r="C20" s="300">
        <f>RAW_DATA_INPUTS!C447</f>
        <v>3105.078</v>
      </c>
      <c r="D20" s="300">
        <f>RAW_DATA_INPUTS!D447</f>
        <v>3004.37</v>
      </c>
      <c r="E20" s="300">
        <f>RAW_DATA_INPUTS!E447</f>
        <v>2574.4479999999999</v>
      </c>
      <c r="F20" s="300">
        <f>RAW_DATA_INPUTS!F447</f>
        <v>2427.8589999999999</v>
      </c>
    </row>
    <row r="21" spans="1:6">
      <c r="B21" s="8" t="str">
        <f>'Calc_PRIM_part-time_entrants'!B21</f>
        <v>Re-entrants</v>
      </c>
      <c r="C21" s="300">
        <f>RAW_DATA_INPUTS!C448</f>
        <v>7050.9430000000002</v>
      </c>
      <c r="D21" s="300">
        <f>RAW_DATA_INPUTS!D448</f>
        <v>7598.009</v>
      </c>
      <c r="E21" s="300">
        <f>RAW_DATA_INPUTS!E448</f>
        <v>7261.6940000000004</v>
      </c>
      <c r="F21" s="300">
        <f>RAW_DATA_INPUTS!F448</f>
        <v>7797.71</v>
      </c>
    </row>
    <row r="22" spans="1:6">
      <c r="B22" s="8" t="str">
        <f>'Calc_PRIM_part-time_entrants'!B22</f>
        <v>NQTs</v>
      </c>
      <c r="C22" s="300">
        <f>RAW_DATA_INPUTS!C449</f>
        <v>10502.683999999999</v>
      </c>
      <c r="D22" s="300">
        <f>RAW_DATA_INPUTS!D449</f>
        <v>10472.761</v>
      </c>
      <c r="E22" s="300">
        <f>RAW_DATA_INPUTS!E449</f>
        <v>10690.763000000001</v>
      </c>
      <c r="F22" s="300">
        <f>RAW_DATA_INPUTS!F449</f>
        <v>11034.485000000001</v>
      </c>
    </row>
    <row r="23" spans="1:6">
      <c r="B23" s="8" t="str">
        <f>'Calc_PRIM_part-time_entrants'!B23</f>
        <v>Total</v>
      </c>
      <c r="C23" s="447">
        <f>SUM(C20:C22)</f>
        <v>20658.705000000002</v>
      </c>
      <c r="D23" s="447">
        <f>SUM(D20:D22)</f>
        <v>21075.14</v>
      </c>
      <c r="E23" s="447">
        <f>SUM(E20:E22)</f>
        <v>20526.904999999999</v>
      </c>
      <c r="F23" s="447">
        <f>SUM(F20:F22)</f>
        <v>21260.054</v>
      </c>
    </row>
    <row r="24" spans="1:6">
      <c r="A24">
        <f>SUM(C24:F24)</f>
        <v>0</v>
      </c>
      <c r="C24" s="302">
        <f>SUM(C20:C22)-C23</f>
        <v>0</v>
      </c>
      <c r="D24" s="302">
        <f>SUM(D20:D22)-D23</f>
        <v>0</v>
      </c>
      <c r="E24" s="302">
        <f>SUM(E20:E22)-E23</f>
        <v>0</v>
      </c>
      <c r="F24" s="302">
        <f>SUM(F20:F22)-F23</f>
        <v>0</v>
      </c>
    </row>
    <row r="26" spans="1:6" ht="18">
      <c r="B26" s="38" t="s">
        <v>745</v>
      </c>
    </row>
    <row r="28" spans="1:6">
      <c r="B28" s="1241" t="str">
        <f>RAW_DATA_INPUTS!B446</f>
        <v>Entrant route</v>
      </c>
      <c r="C28" s="1292" t="s">
        <v>71</v>
      </c>
      <c r="D28" s="1292"/>
      <c r="E28" s="1292"/>
      <c r="F28" s="1292"/>
    </row>
    <row r="29" spans="1:6">
      <c r="B29" s="1242"/>
      <c r="C29" s="8" t="str">
        <f>RAW_DATA_INPUTS!C446</f>
        <v>2012/13</v>
      </c>
      <c r="D29" s="8" t="str">
        <f>RAW_DATA_INPUTS!D446</f>
        <v>2013/14</v>
      </c>
      <c r="E29" s="8" t="str">
        <f>RAW_DATA_INPUTS!E446</f>
        <v>2014/15</v>
      </c>
      <c r="F29" s="8" t="str">
        <f>RAW_DATA_INPUTS!F446</f>
        <v>2015/16</v>
      </c>
    </row>
    <row r="30" spans="1:6">
      <c r="B30" s="8" t="str">
        <f>B20</f>
        <v>New to state-funded sector</v>
      </c>
      <c r="C30" s="300">
        <f>RAW_DATA_INPUTS!C463</f>
        <v>466.166</v>
      </c>
      <c r="D30" s="300">
        <f>RAW_DATA_INPUTS!D463</f>
        <v>429.48</v>
      </c>
      <c r="E30" s="300">
        <f>RAW_DATA_INPUTS!E463</f>
        <v>394.00900000000001</v>
      </c>
      <c r="F30" s="300">
        <f>RAW_DATA_INPUTS!F463</f>
        <v>371.55700000000002</v>
      </c>
    </row>
    <row r="31" spans="1:6">
      <c r="B31" s="8" t="str">
        <f>B21</f>
        <v>Re-entrants</v>
      </c>
      <c r="C31" s="300">
        <f>RAW_DATA_INPUTS!C464</f>
        <v>2122.65</v>
      </c>
      <c r="D31" s="300">
        <f>RAW_DATA_INPUTS!D464</f>
        <v>2180.268</v>
      </c>
      <c r="E31" s="300">
        <f>RAW_DATA_INPUTS!E464</f>
        <v>2180.011</v>
      </c>
      <c r="F31" s="300">
        <f>RAW_DATA_INPUTS!F464</f>
        <v>2210.9009999999998</v>
      </c>
    </row>
    <row r="32" spans="1:6">
      <c r="B32" s="8" t="str">
        <f>B22</f>
        <v>NQTs</v>
      </c>
      <c r="C32" s="300">
        <f>RAW_DATA_INPUTS!C465</f>
        <v>450.44799999999998</v>
      </c>
      <c r="D32" s="300">
        <f>RAW_DATA_INPUTS!D465</f>
        <v>382.322</v>
      </c>
      <c r="E32" s="300">
        <f>RAW_DATA_INPUTS!E465</f>
        <v>392.03699999999998</v>
      </c>
      <c r="F32" s="300">
        <f>RAW_DATA_INPUTS!F465</f>
        <v>402.952</v>
      </c>
    </row>
    <row r="33" spans="1:7">
      <c r="B33" s="8" t="str">
        <f>B23</f>
        <v>Total</v>
      </c>
      <c r="C33" s="447">
        <f>SUM(C30:C32)</f>
        <v>3039.2640000000001</v>
      </c>
      <c r="D33" s="447">
        <f>SUM(D30:D32)</f>
        <v>2992.07</v>
      </c>
      <c r="E33" s="447">
        <f>SUM(E30:E32)</f>
        <v>2966.0569999999998</v>
      </c>
      <c r="F33" s="447">
        <f>SUM(F30:F32)</f>
        <v>2985.41</v>
      </c>
    </row>
    <row r="34" spans="1:7" s="2" customFormat="1">
      <c r="A34">
        <f>SUM(C34:F34)</f>
        <v>0</v>
      </c>
      <c r="B34"/>
      <c r="C34" s="302">
        <f>SUM(C30:C32)-C33</f>
        <v>0</v>
      </c>
      <c r="D34" s="302">
        <f>SUM(D30:D32)-D33</f>
        <v>0</v>
      </c>
      <c r="E34" s="302">
        <f>SUM(E30:E32)-E33</f>
        <v>0</v>
      </c>
      <c r="F34" s="302">
        <f>SUM(F30:F32)-F33</f>
        <v>0</v>
      </c>
    </row>
    <row r="35" spans="1:7" s="2" customFormat="1">
      <c r="A35"/>
      <c r="B35"/>
      <c r="C35" s="302"/>
      <c r="D35" s="302"/>
      <c r="E35" s="302"/>
      <c r="F35" s="302"/>
    </row>
    <row r="36" spans="1:7" ht="18">
      <c r="B36" s="38" t="s">
        <v>744</v>
      </c>
    </row>
    <row r="38" spans="1:7">
      <c r="B38" s="1241" t="str">
        <f>B28</f>
        <v>Entrant route</v>
      </c>
      <c r="C38" s="1292" t="str">
        <f>C28</f>
        <v>Year</v>
      </c>
      <c r="D38" s="1292"/>
      <c r="E38" s="1292"/>
      <c r="F38" s="1292"/>
    </row>
    <row r="39" spans="1:7">
      <c r="B39" s="1242"/>
      <c r="C39" s="8" t="str">
        <f>C29</f>
        <v>2012/13</v>
      </c>
      <c r="D39" s="8" t="str">
        <f>D29</f>
        <v>2013/14</v>
      </c>
      <c r="E39" s="8" t="str">
        <f>E29</f>
        <v>2014/15</v>
      </c>
      <c r="F39" s="8" t="str">
        <f>F29</f>
        <v>2015/16</v>
      </c>
    </row>
    <row r="40" spans="1:7">
      <c r="B40" s="149" t="str">
        <f>B30</f>
        <v>New to state-funded sector</v>
      </c>
      <c r="C40" s="638">
        <f t="shared" ref="C40:F42" si="0">C30/C20</f>
        <v>0.15013020606889746</v>
      </c>
      <c r="D40" s="638">
        <f t="shared" si="0"/>
        <v>0.14295176692617756</v>
      </c>
      <c r="E40" s="638">
        <f t="shared" si="0"/>
        <v>0.15304601219368191</v>
      </c>
      <c r="F40" s="638">
        <f t="shared" si="0"/>
        <v>0.15303895325058006</v>
      </c>
    </row>
    <row r="41" spans="1:7">
      <c r="B41" s="149" t="str">
        <f>B31</f>
        <v>Re-entrants</v>
      </c>
      <c r="C41" s="638">
        <f t="shared" si="0"/>
        <v>0.30104483896692968</v>
      </c>
      <c r="D41" s="638">
        <f t="shared" si="0"/>
        <v>0.2869525424357881</v>
      </c>
      <c r="E41" s="638">
        <f t="shared" si="0"/>
        <v>0.30020694895708905</v>
      </c>
      <c r="F41" s="638">
        <f t="shared" si="0"/>
        <v>0.28353208826693987</v>
      </c>
    </row>
    <row r="42" spans="1:7">
      <c r="B42" s="149" t="str">
        <f>B32</f>
        <v>NQTs</v>
      </c>
      <c r="C42" s="638">
        <f t="shared" si="0"/>
        <v>4.2888846317760299E-2</v>
      </c>
      <c r="D42" s="638">
        <f t="shared" si="0"/>
        <v>3.6506323404114728E-2</v>
      </c>
      <c r="E42" s="638">
        <f t="shared" si="0"/>
        <v>3.6670628653913656E-2</v>
      </c>
      <c r="F42" s="638">
        <f t="shared" si="0"/>
        <v>3.6517517582379241E-2</v>
      </c>
    </row>
    <row r="43" spans="1:7">
      <c r="C43" s="5"/>
      <c r="D43" s="5"/>
      <c r="E43" s="5"/>
      <c r="F43" s="5"/>
    </row>
    <row r="44" spans="1:7" ht="18">
      <c r="B44" s="38" t="s">
        <v>743</v>
      </c>
      <c r="C44" s="5"/>
      <c r="D44" s="5"/>
      <c r="E44" s="5"/>
      <c r="F44" s="5"/>
    </row>
    <row r="45" spans="1:7">
      <c r="C45" s="5"/>
      <c r="D45" s="5"/>
      <c r="E45" s="5"/>
      <c r="F45" s="5"/>
    </row>
    <row r="46" spans="1:7">
      <c r="B46" s="138" t="str">
        <f>B38</f>
        <v>Entrant route</v>
      </c>
      <c r="C46" s="139" t="str">
        <f>C39</f>
        <v>2012/13</v>
      </c>
      <c r="D46" s="139" t="str">
        <f>D39</f>
        <v>2013/14</v>
      </c>
      <c r="E46" s="139" t="str">
        <f>E39</f>
        <v>2014/15</v>
      </c>
      <c r="F46" s="139" t="str">
        <f>F39</f>
        <v>2015/16</v>
      </c>
      <c r="G46" s="555" t="s">
        <v>8</v>
      </c>
    </row>
    <row r="47" spans="1:7">
      <c r="B47" s="149" t="str">
        <f>B40</f>
        <v>New to state-funded sector</v>
      </c>
      <c r="C47" s="638">
        <f t="shared" ref="C47:F49" si="1">C40*H$14</f>
        <v>1.5013020606889747E-2</v>
      </c>
      <c r="D47" s="638">
        <f t="shared" si="1"/>
        <v>2.8590353385235513E-2</v>
      </c>
      <c r="E47" s="638">
        <f t="shared" si="1"/>
        <v>4.5913803658104574E-2</v>
      </c>
      <c r="F47" s="638">
        <f t="shared" si="1"/>
        <v>6.1215581300232025E-2</v>
      </c>
      <c r="G47" s="640">
        <f>SUM(C47:F47)</f>
        <v>0.15073275895046184</v>
      </c>
    </row>
    <row r="48" spans="1:7">
      <c r="B48" s="138" t="str">
        <f>B41</f>
        <v>Re-entrants</v>
      </c>
      <c r="C48" s="638">
        <f t="shared" si="1"/>
        <v>3.0104483896692971E-2</v>
      </c>
      <c r="D48" s="638">
        <f t="shared" si="1"/>
        <v>5.7390508487157627E-2</v>
      </c>
      <c r="E48" s="638">
        <f t="shared" si="1"/>
        <v>9.0062084687126717E-2</v>
      </c>
      <c r="F48" s="638">
        <f t="shared" si="1"/>
        <v>0.11341283530677596</v>
      </c>
      <c r="G48" s="640">
        <f>SUM(C48:F48)</f>
        <v>0.29096991237775327</v>
      </c>
    </row>
    <row r="49" spans="2:7">
      <c r="B49" s="138" t="str">
        <f>B42</f>
        <v>NQTs</v>
      </c>
      <c r="C49" s="638">
        <f t="shared" si="1"/>
        <v>4.2888846317760297E-3</v>
      </c>
      <c r="D49" s="638">
        <f t="shared" si="1"/>
        <v>7.3012646808229458E-3</v>
      </c>
      <c r="E49" s="638">
        <f t="shared" si="1"/>
        <v>1.1001188596174096E-2</v>
      </c>
      <c r="F49" s="638">
        <f t="shared" si="1"/>
        <v>1.4607007032951697E-2</v>
      </c>
      <c r="G49" s="640">
        <f>SUM(C49:F49)</f>
        <v>3.7198344941724769E-2</v>
      </c>
    </row>
    <row r="52" spans="2:7">
      <c r="C52" s="618"/>
      <c r="D52" s="618"/>
      <c r="E52" s="618"/>
      <c r="F52" s="618"/>
    </row>
    <row r="53" spans="2:7">
      <c r="C53" s="618"/>
      <c r="D53" s="618"/>
      <c r="E53" s="618"/>
      <c r="F53" s="618"/>
      <c r="G53" s="183"/>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M357"/>
  <sheetViews>
    <sheetView showGridLines="0" zoomScaleNormal="100" workbookViewId="0"/>
  </sheetViews>
  <sheetFormatPr defaultRowHeight="12.75"/>
  <cols>
    <col min="1" max="1" width="8.42578125" customWidth="1"/>
    <col min="2" max="2" width="16.7109375" customWidth="1"/>
    <col min="3" max="7" width="10.85546875" customWidth="1"/>
    <col min="8" max="8" width="9.85546875" customWidth="1"/>
    <col min="9" max="22" width="10.85546875" customWidth="1"/>
    <col min="23" max="23" width="10.7109375" customWidth="1"/>
    <col min="31" max="43" width="9.14062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ht="15">
      <c r="A4" s="57" t="s">
        <v>26</v>
      </c>
      <c r="B4" s="57"/>
      <c r="E4" s="65"/>
    </row>
    <row r="5" spans="1:17" s="46" customFormat="1" ht="19.5" customHeight="1">
      <c r="A5" s="59" t="s">
        <v>1729</v>
      </c>
      <c r="C5" s="58"/>
      <c r="D5" s="58"/>
      <c r="E5" s="65"/>
      <c r="F5" s="58"/>
      <c r="G5" s="58"/>
      <c r="H5" s="58"/>
      <c r="I5" s="58"/>
      <c r="J5" s="58"/>
      <c r="K5" s="58"/>
      <c r="L5" s="58"/>
      <c r="M5" s="58"/>
      <c r="N5" s="58"/>
      <c r="O5" s="58"/>
      <c r="P5" s="58"/>
      <c r="Q5" s="58"/>
    </row>
    <row r="6" spans="1:17" s="45" customFormat="1" ht="13.5" customHeight="1">
      <c r="A6" s="55" t="s">
        <v>24</v>
      </c>
      <c r="B6" s="60"/>
      <c r="C6" s="44"/>
      <c r="D6" s="44"/>
      <c r="E6" s="65"/>
      <c r="F6" s="44"/>
      <c r="G6" s="44"/>
      <c r="H6" s="44"/>
      <c r="I6" s="44"/>
      <c r="J6" s="44"/>
      <c r="K6" s="44"/>
      <c r="L6" s="44"/>
      <c r="M6" s="44"/>
      <c r="N6" s="44"/>
      <c r="O6" s="44"/>
      <c r="P6" s="44"/>
      <c r="Q6" s="44"/>
    </row>
    <row r="7" spans="1:17" s="45" customFormat="1" ht="15">
      <c r="A7" s="53" t="s">
        <v>1303</v>
      </c>
      <c r="C7" s="44"/>
      <c r="D7" s="44"/>
      <c r="E7" s="65"/>
      <c r="F7" s="44"/>
      <c r="G7" s="44"/>
      <c r="H7" s="44"/>
      <c r="I7" s="44"/>
      <c r="J7" s="44"/>
      <c r="K7" s="44"/>
      <c r="L7" s="44"/>
      <c r="M7" s="44"/>
      <c r="N7" s="44"/>
      <c r="O7" s="44"/>
      <c r="P7" s="44"/>
      <c r="Q7" s="44"/>
    </row>
    <row r="8" spans="1:17" s="45" customFormat="1" ht="15.75" customHeight="1">
      <c r="B8" s="60"/>
      <c r="C8" s="44"/>
      <c r="D8" s="44"/>
      <c r="E8" s="65"/>
      <c r="F8" s="44"/>
      <c r="G8" s="44"/>
      <c r="H8" s="44"/>
      <c r="I8" s="44"/>
      <c r="J8" s="44"/>
      <c r="K8" s="44"/>
      <c r="L8" s="44"/>
      <c r="M8" s="44"/>
      <c r="N8" s="44"/>
      <c r="O8" s="44"/>
      <c r="P8" s="44"/>
      <c r="Q8" s="44"/>
    </row>
    <row r="9" spans="1:17" s="49" customFormat="1" ht="13.5" customHeight="1">
      <c r="A9" s="54"/>
      <c r="B9" s="72"/>
      <c r="C9" s="70"/>
      <c r="D9" s="47"/>
      <c r="E9" s="47"/>
      <c r="F9" s="47"/>
      <c r="G9" s="71"/>
      <c r="H9" s="47"/>
      <c r="I9" s="47"/>
      <c r="J9" s="71"/>
      <c r="K9" s="48"/>
      <c r="L9" s="48"/>
      <c r="M9" s="48"/>
      <c r="N9" s="48"/>
      <c r="O9" s="48"/>
      <c r="P9" s="48"/>
      <c r="Q9" s="48"/>
    </row>
    <row r="11" spans="1:17" ht="23.25">
      <c r="B11" s="814" t="s">
        <v>1201</v>
      </c>
    </row>
    <row r="13" spans="1:17">
      <c r="B13" s="416" t="s">
        <v>1652</v>
      </c>
    </row>
    <row r="15" spans="1:17">
      <c r="B15" s="416" t="s">
        <v>1535</v>
      </c>
    </row>
    <row r="17" spans="2:3">
      <c r="B17" s="416" t="s">
        <v>1536</v>
      </c>
    </row>
    <row r="19" spans="2:3">
      <c r="C19" s="256" t="s">
        <v>1296</v>
      </c>
    </row>
    <row r="20" spans="2:3">
      <c r="B20" s="416"/>
    </row>
    <row r="21" spans="2:3">
      <c r="B21" s="416" t="s">
        <v>1291</v>
      </c>
    </row>
    <row r="22" spans="2:3">
      <c r="B22" s="416"/>
    </row>
    <row r="23" spans="2:3">
      <c r="B23" s="416" t="s">
        <v>1766</v>
      </c>
    </row>
    <row r="24" spans="2:3">
      <c r="B24" s="416"/>
    </row>
    <row r="25" spans="2:3">
      <c r="B25" s="416" t="s">
        <v>1537</v>
      </c>
    </row>
    <row r="26" spans="2:3">
      <c r="B26" s="416"/>
    </row>
    <row r="27" spans="2:3" ht="23.25">
      <c r="B27" s="814" t="s">
        <v>1288</v>
      </c>
    </row>
    <row r="29" spans="2:3" ht="15.75">
      <c r="B29" s="284" t="s">
        <v>1105</v>
      </c>
    </row>
    <row r="30" spans="2:3" ht="15.75">
      <c r="B30" s="77"/>
    </row>
    <row r="31" spans="2:3">
      <c r="B31" s="217" t="s">
        <v>1289</v>
      </c>
    </row>
    <row r="33" spans="2:39">
      <c r="B33" s="138"/>
      <c r="C33" s="218" t="str">
        <f>Entrant_need_figures!C14</f>
        <v>2017/18</v>
      </c>
      <c r="D33" s="218" t="str">
        <f>Entrant_need_figures!D14</f>
        <v>2018/19</v>
      </c>
      <c r="E33" s="218" t="str">
        <f>Entrant_need_figures!E14</f>
        <v>2019/20</v>
      </c>
      <c r="F33" s="218" t="str">
        <f>Entrant_need_figures!F14</f>
        <v>2020/21</v>
      </c>
      <c r="G33" s="218" t="str">
        <f>Entrant_need_figures!G14</f>
        <v>2021/22</v>
      </c>
      <c r="H33" s="218" t="str">
        <f>Entrant_need_figures!H14</f>
        <v>2022/23</v>
      </c>
      <c r="I33" s="218" t="str">
        <f>Entrant_need_figures!I14</f>
        <v>2023/24</v>
      </c>
      <c r="J33" s="218" t="str">
        <f>Entrant_need_figures!J14</f>
        <v>2024/25</v>
      </c>
      <c r="K33" s="218" t="str">
        <f>Entrant_need_figures!K14</f>
        <v>2025/26</v>
      </c>
      <c r="L33" s="218" t="str">
        <f>Entrant_need_figures!L14</f>
        <v>2026/27</v>
      </c>
      <c r="M33" s="218" t="str">
        <f>Entrant_need_figures!M14</f>
        <v>2027/28</v>
      </c>
      <c r="N33" s="218" t="str">
        <f>Entrant_need_figures!N14</f>
        <v>2028/29</v>
      </c>
      <c r="AA33" s="115"/>
      <c r="AB33" s="115" t="str">
        <f>C33</f>
        <v>2017/18</v>
      </c>
      <c r="AC33" s="115" t="str">
        <f t="shared" ref="AC33:AM33" si="0">D33</f>
        <v>2018/19</v>
      </c>
      <c r="AD33" s="115" t="str">
        <f t="shared" si="0"/>
        <v>2019/20</v>
      </c>
      <c r="AE33" s="115" t="str">
        <f t="shared" si="0"/>
        <v>2020/21</v>
      </c>
      <c r="AF33" s="115" t="str">
        <f t="shared" si="0"/>
        <v>2021/22</v>
      </c>
      <c r="AG33" s="115" t="str">
        <f t="shared" si="0"/>
        <v>2022/23</v>
      </c>
      <c r="AH33" s="115" t="str">
        <f t="shared" si="0"/>
        <v>2023/24</v>
      </c>
      <c r="AI33" s="115" t="str">
        <f t="shared" si="0"/>
        <v>2024/25</v>
      </c>
      <c r="AJ33" s="115" t="str">
        <f t="shared" si="0"/>
        <v>2025/26</v>
      </c>
      <c r="AK33" s="115" t="str">
        <f t="shared" si="0"/>
        <v>2026/27</v>
      </c>
      <c r="AL33" s="115" t="str">
        <f t="shared" si="0"/>
        <v>2027/28</v>
      </c>
      <c r="AM33" s="115" t="str">
        <f t="shared" si="0"/>
        <v>2028/29</v>
      </c>
    </row>
    <row r="34" spans="2:39">
      <c r="B34" s="243" t="str">
        <f>Entrant_need_figures!B15</f>
        <v>Primary</v>
      </c>
      <c r="C34" s="420">
        <f>Entrant_need_figures!C15</f>
        <v>27567.610098506135</v>
      </c>
      <c r="D34" s="420">
        <f>Entrant_need_figures!D15</f>
        <v>26168.018656485227</v>
      </c>
      <c r="E34" s="420">
        <f>Entrant_need_figures!E15</f>
        <v>25492.593807015372</v>
      </c>
      <c r="F34" s="420">
        <f>Entrant_need_figures!F15</f>
        <v>25178.924285860096</v>
      </c>
      <c r="G34" s="420">
        <f>Entrant_need_figures!G15</f>
        <v>24958.713813880742</v>
      </c>
      <c r="H34" s="420">
        <f>Entrant_need_figures!H15</f>
        <v>24696.100468209581</v>
      </c>
      <c r="I34" s="420">
        <f>Entrant_need_figures!I15</f>
        <v>24408.266644993811</v>
      </c>
      <c r="J34" s="420">
        <f>Entrant_need_figures!J15</f>
        <v>24950.329485232243</v>
      </c>
      <c r="K34" s="420">
        <f>Entrant_need_figures!K15</f>
        <v>25389.224909382261</v>
      </c>
      <c r="L34" s="420">
        <f>Entrant_need_figures!L15</f>
        <v>25497.882054938753</v>
      </c>
      <c r="M34" s="420">
        <f>Entrant_need_figures!M15</f>
        <v>25396.267516090727</v>
      </c>
      <c r="N34" s="420">
        <f>Entrant_need_figures!N15</f>
        <v>25272.066186930482</v>
      </c>
      <c r="AA34" s="795" t="s">
        <v>1292</v>
      </c>
      <c r="AB34" s="322">
        <f>Entrant_need_figures!C43</f>
        <v>27567.610098506135</v>
      </c>
      <c r="AC34" s="322">
        <f>Entrant_need_figures!D43</f>
        <v>26168.018656485227</v>
      </c>
      <c r="AD34" s="322">
        <f>Entrant_need_figures!E43</f>
        <v>25492.593807015372</v>
      </c>
      <c r="AE34" s="322">
        <f>Entrant_need_figures!F43</f>
        <v>25178.924285860096</v>
      </c>
      <c r="AF34" s="322">
        <f>Entrant_need_figures!G43</f>
        <v>24958.713813880742</v>
      </c>
      <c r="AG34" s="322">
        <f>Entrant_need_figures!H43</f>
        <v>24696.100468209581</v>
      </c>
      <c r="AH34" s="322">
        <f>Entrant_need_figures!I43</f>
        <v>24408.266644993811</v>
      </c>
      <c r="AI34" s="322">
        <f>Entrant_need_figures!J43</f>
        <v>24950.329485232243</v>
      </c>
      <c r="AJ34" s="322">
        <f>Entrant_need_figures!K43</f>
        <v>25389.224909382261</v>
      </c>
      <c r="AK34" s="322">
        <f>Entrant_need_figures!L43</f>
        <v>25497.882054938753</v>
      </c>
      <c r="AL34" s="322">
        <f>Entrant_need_figures!M43</f>
        <v>25396.267516090727</v>
      </c>
      <c r="AM34" s="322">
        <f>Entrant_need_figures!N43</f>
        <v>25272.066186930482</v>
      </c>
    </row>
    <row r="35" spans="2:39">
      <c r="B35" s="243" t="str">
        <f>Entrant_need_figures!B16</f>
        <v>Art &amp; Design</v>
      </c>
      <c r="C35" s="420">
        <f>Entrant_need_figures!C16</f>
        <v>784.26817674174765</v>
      </c>
      <c r="D35" s="420">
        <f>Entrant_need_figures!D16</f>
        <v>847.98779009243503</v>
      </c>
      <c r="E35" s="420">
        <f>Entrant_need_figures!E16</f>
        <v>901.07800660747716</v>
      </c>
      <c r="F35" s="420">
        <f>Entrant_need_figures!F16</f>
        <v>893.66567056461827</v>
      </c>
      <c r="G35" s="420">
        <f>Entrant_need_figures!G16</f>
        <v>878.15759626382442</v>
      </c>
      <c r="H35" s="420">
        <f>Entrant_need_figures!H16</f>
        <v>857.96005228869774</v>
      </c>
      <c r="I35" s="420">
        <f>Entrant_need_figures!I16</f>
        <v>905.52020091501095</v>
      </c>
      <c r="J35" s="420">
        <f>Entrant_need_figures!J16</f>
        <v>936.43518330567122</v>
      </c>
      <c r="K35" s="420">
        <f>Entrant_need_figures!K16</f>
        <v>891.81276162212566</v>
      </c>
      <c r="L35" s="420">
        <f>Entrant_need_figures!L16</f>
        <v>863.77180954390406</v>
      </c>
      <c r="M35" s="420">
        <f>Entrant_need_figures!M16</f>
        <v>880.97091747327249</v>
      </c>
      <c r="N35" s="420">
        <f>Entrant_need_figures!N16</f>
        <v>886.56621946381574</v>
      </c>
      <c r="AA35" s="795" t="s">
        <v>1293</v>
      </c>
      <c r="AB35" s="322">
        <f>Entrant_need_figures!C63</f>
        <v>25726.914332450637</v>
      </c>
      <c r="AC35" s="322">
        <f>Entrant_need_figures!D63</f>
        <v>26013.082992911095</v>
      </c>
      <c r="AD35" s="322">
        <f>Entrant_need_figures!E63</f>
        <v>26773.534628117941</v>
      </c>
      <c r="AE35" s="322">
        <f>Entrant_need_figures!F63</f>
        <v>26280.056655388191</v>
      </c>
      <c r="AF35" s="322">
        <f>Entrant_need_figures!G63</f>
        <v>26557.750010090593</v>
      </c>
      <c r="AG35" s="322">
        <f>Entrant_need_figures!H63</f>
        <v>26839.574362018644</v>
      </c>
      <c r="AH35" s="322">
        <f>Entrant_need_figures!I63</f>
        <v>27623.063634274476</v>
      </c>
      <c r="AI35" s="322">
        <f>Entrant_need_figures!J63</f>
        <v>26917.518218870457</v>
      </c>
      <c r="AJ35" s="322">
        <f>Entrant_need_figures!K63</f>
        <v>26106.103394555023</v>
      </c>
      <c r="AK35" s="322">
        <f>Entrant_need_figures!L63</f>
        <v>25450.928289338994</v>
      </c>
      <c r="AL35" s="322">
        <f>Entrant_need_figures!M63</f>
        <v>25287.319697064035</v>
      </c>
      <c r="AM35" s="322">
        <f>Entrant_need_figures!N63</f>
        <v>25073.871126010978</v>
      </c>
    </row>
    <row r="36" spans="2:39">
      <c r="B36" s="243" t="str">
        <f>Entrant_need_figures!B17</f>
        <v>Biology</v>
      </c>
      <c r="C36" s="420">
        <f>Entrant_need_figures!C17</f>
        <v>1754.8582177378757</v>
      </c>
      <c r="D36" s="420">
        <f>Entrant_need_figures!D17</f>
        <v>1564.951730038006</v>
      </c>
      <c r="E36" s="420">
        <f>Entrant_need_figures!E17</f>
        <v>1616.5168720308891</v>
      </c>
      <c r="F36" s="420">
        <f>Entrant_need_figures!F17</f>
        <v>1589.631948099769</v>
      </c>
      <c r="G36" s="420">
        <f>Entrant_need_figures!G17</f>
        <v>1623.8400396573034</v>
      </c>
      <c r="H36" s="420">
        <f>Entrant_need_figures!H17</f>
        <v>1663.0354761250419</v>
      </c>
      <c r="I36" s="420">
        <f>Entrant_need_figures!I17</f>
        <v>1692.5197067368224</v>
      </c>
      <c r="J36" s="420">
        <f>Entrant_need_figures!J17</f>
        <v>1666.9339203879388</v>
      </c>
      <c r="K36" s="420">
        <f>Entrant_need_figures!K17</f>
        <v>1647.7816945449745</v>
      </c>
      <c r="L36" s="420">
        <f>Entrant_need_figures!L17</f>
        <v>1622.5487612370466</v>
      </c>
      <c r="M36" s="420">
        <f>Entrant_need_figures!M17</f>
        <v>1582.7788414961647</v>
      </c>
      <c r="N36" s="420">
        <f>Entrant_need_figures!N17</f>
        <v>1542.4347347474536</v>
      </c>
      <c r="AA36" s="795" t="s">
        <v>1294</v>
      </c>
      <c r="AB36" s="332">
        <f>C34</f>
        <v>27567.610098506135</v>
      </c>
      <c r="AC36" s="332">
        <f t="shared" ref="AC36:AM36" si="1">D34</f>
        <v>26168.018656485227</v>
      </c>
      <c r="AD36" s="332">
        <f t="shared" si="1"/>
        <v>25492.593807015372</v>
      </c>
      <c r="AE36" s="332">
        <f t="shared" si="1"/>
        <v>25178.924285860096</v>
      </c>
      <c r="AF36" s="332">
        <f t="shared" si="1"/>
        <v>24958.713813880742</v>
      </c>
      <c r="AG36" s="332">
        <f t="shared" si="1"/>
        <v>24696.100468209581</v>
      </c>
      <c r="AH36" s="332">
        <f t="shared" si="1"/>
        <v>24408.266644993811</v>
      </c>
      <c r="AI36" s="332">
        <f t="shared" si="1"/>
        <v>24950.329485232243</v>
      </c>
      <c r="AJ36" s="332">
        <f t="shared" si="1"/>
        <v>25389.224909382261</v>
      </c>
      <c r="AK36" s="332">
        <f t="shared" si="1"/>
        <v>25497.882054938753</v>
      </c>
      <c r="AL36" s="332">
        <f t="shared" si="1"/>
        <v>25396.267516090727</v>
      </c>
      <c r="AM36" s="332">
        <f t="shared" si="1"/>
        <v>25272.066186930482</v>
      </c>
    </row>
    <row r="37" spans="2:39">
      <c r="B37" s="243" t="str">
        <f>Entrant_need_figures!B18</f>
        <v>Business Studies</v>
      </c>
      <c r="C37" s="420">
        <f>Entrant_need_figures!C18</f>
        <v>263.62978834821001</v>
      </c>
      <c r="D37" s="420">
        <f>Entrant_need_figures!D18</f>
        <v>325.98949134777433</v>
      </c>
      <c r="E37" s="420">
        <f>Entrant_need_figures!E18</f>
        <v>350.31454337488356</v>
      </c>
      <c r="F37" s="420">
        <f>Entrant_need_figures!F18</f>
        <v>390.35531929413946</v>
      </c>
      <c r="G37" s="420">
        <f>Entrant_need_figures!G18</f>
        <v>411.44000433118822</v>
      </c>
      <c r="H37" s="420">
        <f>Entrant_need_figures!H18</f>
        <v>438.36399742982371</v>
      </c>
      <c r="I37" s="420">
        <f>Entrant_need_figures!I18</f>
        <v>447.70601254435428</v>
      </c>
      <c r="J37" s="420">
        <f>Entrant_need_figures!J18</f>
        <v>474.16465472315019</v>
      </c>
      <c r="K37" s="420">
        <f>Entrant_need_figures!K18</f>
        <v>478.95539419864724</v>
      </c>
      <c r="L37" s="420">
        <f>Entrant_need_figures!L18</f>
        <v>478.62768453066838</v>
      </c>
      <c r="M37" s="420">
        <f>Entrant_need_figures!M18</f>
        <v>451.55981802731083</v>
      </c>
      <c r="N37" s="420">
        <f>Entrant_need_figures!N18</f>
        <v>421.64472626529425</v>
      </c>
      <c r="AA37" s="795" t="s">
        <v>1295</v>
      </c>
      <c r="AB37" s="322">
        <f>C54</f>
        <v>25726.914332450637</v>
      </c>
      <c r="AC37" s="322">
        <f t="shared" ref="AC37:AM37" si="2">D54</f>
        <v>26013.082992911095</v>
      </c>
      <c r="AD37" s="322">
        <f t="shared" si="2"/>
        <v>26773.534628117941</v>
      </c>
      <c r="AE37" s="322">
        <f t="shared" si="2"/>
        <v>26280.056655388191</v>
      </c>
      <c r="AF37" s="322">
        <f t="shared" si="2"/>
        <v>26557.750010090593</v>
      </c>
      <c r="AG37" s="322">
        <f t="shared" si="2"/>
        <v>26839.574362018644</v>
      </c>
      <c r="AH37" s="322">
        <f t="shared" si="2"/>
        <v>27623.063634274476</v>
      </c>
      <c r="AI37" s="322">
        <f t="shared" si="2"/>
        <v>26917.518218870457</v>
      </c>
      <c r="AJ37" s="322">
        <f t="shared" si="2"/>
        <v>26106.103394555023</v>
      </c>
      <c r="AK37" s="322">
        <f t="shared" si="2"/>
        <v>25450.928289338994</v>
      </c>
      <c r="AL37" s="322">
        <f t="shared" si="2"/>
        <v>25287.319697064035</v>
      </c>
      <c r="AM37" s="322">
        <f t="shared" si="2"/>
        <v>25073.871126010978</v>
      </c>
    </row>
    <row r="38" spans="2:39">
      <c r="B38" s="243" t="str">
        <f>Entrant_need_figures!B19</f>
        <v>Chemistry</v>
      </c>
      <c r="C38" s="420">
        <f>Entrant_need_figures!C19</f>
        <v>1591.8760582329605</v>
      </c>
      <c r="D38" s="420">
        <f>Entrant_need_figures!D19</f>
        <v>1438.5478249984121</v>
      </c>
      <c r="E38" s="420">
        <f>Entrant_need_figures!E19</f>
        <v>1446.9078103826337</v>
      </c>
      <c r="F38" s="420">
        <f>Entrant_need_figures!F19</f>
        <v>1447.6081676110557</v>
      </c>
      <c r="G38" s="420">
        <f>Entrant_need_figures!G19</f>
        <v>1476.8650240167299</v>
      </c>
      <c r="H38" s="420">
        <f>Entrant_need_figures!H19</f>
        <v>1511.6029073553927</v>
      </c>
      <c r="I38" s="420">
        <f>Entrant_need_figures!I19</f>
        <v>1524.6538860757134</v>
      </c>
      <c r="J38" s="420">
        <f>Entrant_need_figures!J19</f>
        <v>1498.4915438938874</v>
      </c>
      <c r="K38" s="420">
        <f>Entrant_need_figures!K19</f>
        <v>1486.7257676817808</v>
      </c>
      <c r="L38" s="420">
        <f>Entrant_need_figures!L19</f>
        <v>1464.134419689306</v>
      </c>
      <c r="M38" s="420">
        <f>Entrant_need_figures!M19</f>
        <v>1413.2582238277173</v>
      </c>
      <c r="N38" s="420">
        <f>Entrant_need_figures!N19</f>
        <v>1363.8132114839525</v>
      </c>
    </row>
    <row r="39" spans="2:39">
      <c r="B39" s="243" t="str">
        <f>Entrant_need_figures!B20</f>
        <v>Classics</v>
      </c>
      <c r="C39" s="420">
        <f>Entrant_need_figures!C20</f>
        <v>35.315407536400862</v>
      </c>
      <c r="D39" s="420">
        <f>Entrant_need_figures!D20</f>
        <v>36.270167729320221</v>
      </c>
      <c r="E39" s="420">
        <f>Entrant_need_figures!E20</f>
        <v>36.744991908102591</v>
      </c>
      <c r="F39" s="420">
        <f>Entrant_need_figures!F20</f>
        <v>37.390130719007274</v>
      </c>
      <c r="G39" s="420">
        <f>Entrant_need_figures!G20</f>
        <v>37.56337249906106</v>
      </c>
      <c r="H39" s="420">
        <f>Entrant_need_figures!H20</f>
        <v>38.10702701562191</v>
      </c>
      <c r="I39" s="420">
        <f>Entrant_need_figures!I20</f>
        <v>39.028631119567365</v>
      </c>
      <c r="J39" s="420">
        <f>Entrant_need_figures!J20</f>
        <v>38.764686400586214</v>
      </c>
      <c r="K39" s="420">
        <f>Entrant_need_figures!K20</f>
        <v>37.31096915238431</v>
      </c>
      <c r="L39" s="420">
        <f>Entrant_need_figures!L20</f>
        <v>36.394449918447023</v>
      </c>
      <c r="M39" s="420">
        <f>Entrant_need_figures!M20</f>
        <v>36.314027062919877</v>
      </c>
      <c r="N39" s="420">
        <f>Entrant_need_figures!N20</f>
        <v>36.034427511590891</v>
      </c>
    </row>
    <row r="40" spans="2:39">
      <c r="B40" s="243" t="str">
        <f>Entrant_need_figures!B21</f>
        <v>Computing</v>
      </c>
      <c r="C40" s="420">
        <f>Entrant_need_figures!C21</f>
        <v>726.8391924291152</v>
      </c>
      <c r="D40" s="420">
        <f>Entrant_need_figures!D21</f>
        <v>798.98281434623186</v>
      </c>
      <c r="E40" s="420">
        <f>Entrant_need_figures!E21</f>
        <v>849.5530840155069</v>
      </c>
      <c r="F40" s="420">
        <f>Entrant_need_figures!F21</f>
        <v>844.93124682941277</v>
      </c>
      <c r="G40" s="420">
        <f>Entrant_need_figures!G21</f>
        <v>839.10513198124454</v>
      </c>
      <c r="H40" s="420">
        <f>Entrant_need_figures!H21</f>
        <v>830.43403446102116</v>
      </c>
      <c r="I40" s="420">
        <f>Entrant_need_figures!I21</f>
        <v>866.20808629718908</v>
      </c>
      <c r="J40" s="420">
        <f>Entrant_need_figures!J21</f>
        <v>895.77096529902212</v>
      </c>
      <c r="K40" s="420">
        <f>Entrant_need_figures!K21</f>
        <v>871.30663630882373</v>
      </c>
      <c r="L40" s="420">
        <f>Entrant_need_figures!L21</f>
        <v>853.19202001778842</v>
      </c>
      <c r="M40" s="420">
        <f>Entrant_need_figures!M21</f>
        <v>854.05866612700709</v>
      </c>
      <c r="N40" s="420">
        <f>Entrant_need_figures!N21</f>
        <v>846.76230438501386</v>
      </c>
    </row>
    <row r="41" spans="2:39" ht="22.5">
      <c r="B41" s="243" t="str">
        <f>Entrant_need_figures!B22</f>
        <v>Design &amp; Technology</v>
      </c>
      <c r="C41" s="420">
        <f>Entrant_need_figures!C22</f>
        <v>1130.059481511199</v>
      </c>
      <c r="D41" s="420">
        <f>Entrant_need_figures!D22</f>
        <v>1136.4889128051518</v>
      </c>
      <c r="E41" s="420">
        <f>Entrant_need_figures!E22</f>
        <v>1227.1310065905341</v>
      </c>
      <c r="F41" s="420">
        <f>Entrant_need_figures!F22</f>
        <v>1132.6973385679771</v>
      </c>
      <c r="G41" s="420">
        <f>Entrant_need_figures!G22</f>
        <v>1085.9582077587156</v>
      </c>
      <c r="H41" s="420">
        <f>Entrant_need_figures!H22</f>
        <v>1031.3375413810672</v>
      </c>
      <c r="I41" s="420">
        <f>Entrant_need_figures!I22</f>
        <v>1085.8267330096287</v>
      </c>
      <c r="J41" s="420">
        <f>Entrant_need_figures!J22</f>
        <v>1109.2640720591962</v>
      </c>
      <c r="K41" s="420">
        <f>Entrant_need_figures!K22</f>
        <v>1038.1804283531726</v>
      </c>
      <c r="L41" s="420">
        <f>Entrant_need_figures!L22</f>
        <v>993.8968103459481</v>
      </c>
      <c r="M41" s="420">
        <f>Entrant_need_figures!M22</f>
        <v>1027.7988411684194</v>
      </c>
      <c r="N41" s="420">
        <f>Entrant_need_figures!N22</f>
        <v>1047.6172776083695</v>
      </c>
    </row>
    <row r="42" spans="2:39">
      <c r="B42" s="243" t="str">
        <f>Entrant_need_figures!B23</f>
        <v>Drama</v>
      </c>
      <c r="C42" s="420">
        <f>Entrant_need_figures!C23</f>
        <v>468.76901163447405</v>
      </c>
      <c r="D42" s="420">
        <f>Entrant_need_figures!D23</f>
        <v>476.88945248559162</v>
      </c>
      <c r="E42" s="420">
        <f>Entrant_need_figures!E23</f>
        <v>531.64237814670241</v>
      </c>
      <c r="F42" s="420">
        <f>Entrant_need_figures!F23</f>
        <v>500.63287784900183</v>
      </c>
      <c r="G42" s="420">
        <f>Entrant_need_figures!G23</f>
        <v>489.36291977552969</v>
      </c>
      <c r="H42" s="420">
        <f>Entrant_need_figures!H23</f>
        <v>474.68330287087286</v>
      </c>
      <c r="I42" s="420">
        <f>Entrant_need_figures!I23</f>
        <v>508.17018316008341</v>
      </c>
      <c r="J42" s="420">
        <f>Entrant_need_figures!J23</f>
        <v>527.75973028775275</v>
      </c>
      <c r="K42" s="420">
        <f>Entrant_need_figures!K23</f>
        <v>499.44421191976147</v>
      </c>
      <c r="L42" s="420">
        <f>Entrant_need_figures!L23</f>
        <v>483.61147594995941</v>
      </c>
      <c r="M42" s="420">
        <f>Entrant_need_figures!M23</f>
        <v>503.23298273743859</v>
      </c>
      <c r="N42" s="420">
        <f>Entrant_need_figures!N23</f>
        <v>515.1846860674475</v>
      </c>
    </row>
    <row r="43" spans="2:39">
      <c r="B43" s="243" t="str">
        <f>Entrant_need_figures!B24</f>
        <v>English</v>
      </c>
      <c r="C43" s="420">
        <f>Entrant_need_figures!C24</f>
        <v>4039.537608063712</v>
      </c>
      <c r="D43" s="420">
        <f>Entrant_need_figures!D24</f>
        <v>4228.7636458328525</v>
      </c>
      <c r="E43" s="420">
        <f>Entrant_need_figures!E24</f>
        <v>3912.914128603627</v>
      </c>
      <c r="F43" s="420">
        <f>Entrant_need_figures!F24</f>
        <v>3858.6056594459533</v>
      </c>
      <c r="G43" s="420">
        <f>Entrant_need_figures!G24</f>
        <v>3886.4354044751385</v>
      </c>
      <c r="H43" s="420">
        <f>Entrant_need_figures!H24</f>
        <v>3915.6694020272062</v>
      </c>
      <c r="I43" s="420">
        <f>Entrant_need_figures!I24</f>
        <v>3995.8114014758789</v>
      </c>
      <c r="J43" s="420">
        <f>Entrant_need_figures!J24</f>
        <v>3866.479170970556</v>
      </c>
      <c r="K43" s="420">
        <f>Entrant_need_figures!K24</f>
        <v>3782.7922950591205</v>
      </c>
      <c r="L43" s="420">
        <f>Entrant_need_figures!L24</f>
        <v>3695.2986739401767</v>
      </c>
      <c r="M43" s="420">
        <f>Entrant_need_figures!M24</f>
        <v>3627.1389424051795</v>
      </c>
      <c r="N43" s="420">
        <f>Entrant_need_figures!N24</f>
        <v>3562.2042407503127</v>
      </c>
    </row>
    <row r="44" spans="2:39">
      <c r="B44" s="243" t="str">
        <f>Entrant_need_figures!B25</f>
        <v>Food</v>
      </c>
      <c r="C44" s="420">
        <f>Entrant_need_figures!C25</f>
        <v>211.65522159252305</v>
      </c>
      <c r="D44" s="420">
        <f>Entrant_need_figures!D25</f>
        <v>247.51398484695662</v>
      </c>
      <c r="E44" s="420">
        <f>Entrant_need_figures!E25</f>
        <v>251.74490173817554</v>
      </c>
      <c r="F44" s="420">
        <f>Entrant_need_figures!F25</f>
        <v>240.61649632089893</v>
      </c>
      <c r="G44" s="420">
        <f>Entrant_need_figures!G25</f>
        <v>233.25587048205455</v>
      </c>
      <c r="H44" s="420">
        <f>Entrant_need_figures!H25</f>
        <v>226.43315005231881</v>
      </c>
      <c r="I44" s="420">
        <f>Entrant_need_figures!I25</f>
        <v>228.80543781333409</v>
      </c>
      <c r="J44" s="420">
        <f>Entrant_need_figures!J25</f>
        <v>232.76402047188006</v>
      </c>
      <c r="K44" s="420">
        <f>Entrant_need_figures!K25</f>
        <v>230.01971707030845</v>
      </c>
      <c r="L44" s="420">
        <f>Entrant_need_figures!L25</f>
        <v>224.70832375317298</v>
      </c>
      <c r="M44" s="420">
        <f>Entrant_need_figures!M25</f>
        <v>213.76448213734329</v>
      </c>
      <c r="N44" s="420">
        <f>Entrant_need_figures!N25</f>
        <v>202.24770673036528</v>
      </c>
    </row>
    <row r="45" spans="2:39">
      <c r="B45" s="243" t="str">
        <f>Entrant_need_figures!B26</f>
        <v>Geography</v>
      </c>
      <c r="C45" s="420">
        <f>Entrant_need_figures!C26</f>
        <v>1291.2464891690154</v>
      </c>
      <c r="D45" s="420">
        <f>Entrant_need_figures!D26</f>
        <v>1278.9675184822354</v>
      </c>
      <c r="E45" s="420">
        <f>Entrant_need_figures!E26</f>
        <v>1357.3808848553588</v>
      </c>
      <c r="F45" s="420">
        <f>Entrant_need_figures!F26</f>
        <v>1305.2374475649265</v>
      </c>
      <c r="G45" s="420">
        <f>Entrant_need_figures!G26</f>
        <v>1312.7239577484927</v>
      </c>
      <c r="H45" s="420">
        <f>Entrant_need_figures!H26</f>
        <v>1316.0972540517175</v>
      </c>
      <c r="I45" s="420">
        <f>Entrant_need_figures!I26</f>
        <v>1375.2085717267385</v>
      </c>
      <c r="J45" s="420">
        <f>Entrant_need_figures!J26</f>
        <v>1333.0186534144525</v>
      </c>
      <c r="K45" s="420">
        <f>Entrant_need_figures!K26</f>
        <v>1278.8757379091594</v>
      </c>
      <c r="L45" s="420">
        <f>Entrant_need_figures!L26</f>
        <v>1241.2699804477099</v>
      </c>
      <c r="M45" s="420">
        <f>Entrant_need_figures!M26</f>
        <v>1258.0386979609664</v>
      </c>
      <c r="N45" s="420">
        <f>Entrant_need_figures!N26</f>
        <v>1270.2383872782209</v>
      </c>
    </row>
    <row r="46" spans="2:39">
      <c r="B46" s="243" t="str">
        <f>Entrant_need_figures!B27</f>
        <v>History</v>
      </c>
      <c r="C46" s="420">
        <f>Entrant_need_figures!C27</f>
        <v>1364.77471129794</v>
      </c>
      <c r="D46" s="420">
        <f>Entrant_need_figures!D27</f>
        <v>1349.6959609004903</v>
      </c>
      <c r="E46" s="420">
        <f>Entrant_need_figures!E27</f>
        <v>1429.9252576724452</v>
      </c>
      <c r="F46" s="420">
        <f>Entrant_need_figures!F27</f>
        <v>1382.3160766202275</v>
      </c>
      <c r="G46" s="420">
        <f>Entrant_need_figures!G27</f>
        <v>1392.7375627500296</v>
      </c>
      <c r="H46" s="420">
        <f>Entrant_need_figures!H27</f>
        <v>1399.8785307392218</v>
      </c>
      <c r="I46" s="420">
        <f>Entrant_need_figures!I27</f>
        <v>1460.0325367086323</v>
      </c>
      <c r="J46" s="420">
        <f>Entrant_need_figures!J27</f>
        <v>1418.9902742584986</v>
      </c>
      <c r="K46" s="420">
        <f>Entrant_need_figures!K27</f>
        <v>1363.1619159777106</v>
      </c>
      <c r="L46" s="420">
        <f>Entrant_need_figures!L27</f>
        <v>1324.3252678599069</v>
      </c>
      <c r="M46" s="420">
        <f>Entrant_need_figures!M27</f>
        <v>1338.8948439444662</v>
      </c>
      <c r="N46" s="420">
        <f>Entrant_need_figures!N27</f>
        <v>1348.5708602597178</v>
      </c>
    </row>
    <row r="47" spans="2:39">
      <c r="B47" s="243" t="str">
        <f>Entrant_need_figures!B28</f>
        <v>Mathematics</v>
      </c>
      <c r="C47" s="420">
        <f>Entrant_need_figures!C28</f>
        <v>4773.4029155564294</v>
      </c>
      <c r="D47" s="420">
        <f>Entrant_need_figures!D28</f>
        <v>4492.3907511657389</v>
      </c>
      <c r="E47" s="420">
        <f>Entrant_need_figures!E28</f>
        <v>4534.1002153363606</v>
      </c>
      <c r="F47" s="420">
        <f>Entrant_need_figures!F28</f>
        <v>4327.5293604006165</v>
      </c>
      <c r="G47" s="420">
        <f>Entrant_need_figures!G28</f>
        <v>4353.1431682321218</v>
      </c>
      <c r="H47" s="420">
        <f>Entrant_need_figures!H28</f>
        <v>4382.430688150007</v>
      </c>
      <c r="I47" s="420">
        <f>Entrant_need_figures!I28</f>
        <v>4463.84574483494</v>
      </c>
      <c r="J47" s="420">
        <f>Entrant_need_figures!J28</f>
        <v>4341.0321890949162</v>
      </c>
      <c r="K47" s="420">
        <f>Entrant_need_figures!K28</f>
        <v>4232.0745067582511</v>
      </c>
      <c r="L47" s="420">
        <f>Entrant_need_figures!L28</f>
        <v>4129.9212799682773</v>
      </c>
      <c r="M47" s="420">
        <f>Entrant_need_figures!M28</f>
        <v>4063.4202125427619</v>
      </c>
      <c r="N47" s="420">
        <f>Entrant_need_figures!N28</f>
        <v>3996.4936402218709</v>
      </c>
    </row>
    <row r="48" spans="2:39" ht="22.5">
      <c r="B48" s="243" t="str">
        <f>Entrant_need_figures!B29</f>
        <v>Modern Foreign Languages</v>
      </c>
      <c r="C48" s="420">
        <f>Entrant_need_figures!C29</f>
        <v>1858.4175746536107</v>
      </c>
      <c r="D48" s="420">
        <f>Entrant_need_figures!D29</f>
        <v>2277.0468819951711</v>
      </c>
      <c r="E48" s="420">
        <f>Entrant_need_figures!E29</f>
        <v>2397.1091773555454</v>
      </c>
      <c r="F48" s="420">
        <f>Entrant_need_figures!F29</f>
        <v>2539.1599817656106</v>
      </c>
      <c r="G48" s="420">
        <f>Entrant_need_figures!G29</f>
        <v>2751.9042275669963</v>
      </c>
      <c r="H48" s="420">
        <f>Entrant_need_figures!H29</f>
        <v>2970.6931857086374</v>
      </c>
      <c r="I48" s="420">
        <f>Entrant_need_figures!I29</f>
        <v>3003.4851120198118</v>
      </c>
      <c r="J48" s="420">
        <f>Entrant_need_figures!J29</f>
        <v>2384.0245514652083</v>
      </c>
      <c r="K48" s="420">
        <f>Entrant_need_figures!K29</f>
        <v>2245.4563343924387</v>
      </c>
      <c r="L48" s="420">
        <f>Entrant_need_figures!L29</f>
        <v>2141.5954615709479</v>
      </c>
      <c r="M48" s="420">
        <f>Entrant_need_figures!M29</f>
        <v>2154.7719093476026</v>
      </c>
      <c r="N48" s="420">
        <f>Entrant_need_figures!N29</f>
        <v>2221.8326440205547</v>
      </c>
    </row>
    <row r="49" spans="2:14">
      <c r="B49" s="243" t="str">
        <f>Entrant_need_figures!B30</f>
        <v>Music</v>
      </c>
      <c r="C49" s="420">
        <f>Entrant_need_figures!C30</f>
        <v>528.29000145633813</v>
      </c>
      <c r="D49" s="420">
        <f>Entrant_need_figures!D30</f>
        <v>510.31303476271</v>
      </c>
      <c r="E49" s="420">
        <f>Entrant_need_figures!E30</f>
        <v>583.35285853253015</v>
      </c>
      <c r="F49" s="420">
        <f>Entrant_need_figures!F30</f>
        <v>529.815448690322</v>
      </c>
      <c r="G49" s="420">
        <f>Entrant_need_figures!G30</f>
        <v>511.86828819837422</v>
      </c>
      <c r="H49" s="420">
        <f>Entrant_need_figures!H30</f>
        <v>488.07660565601088</v>
      </c>
      <c r="I49" s="420">
        <f>Entrant_need_figures!I30</f>
        <v>527.41194953477088</v>
      </c>
      <c r="J49" s="420">
        <f>Entrant_need_figures!J30</f>
        <v>545.48490923117038</v>
      </c>
      <c r="K49" s="420">
        <f>Entrant_need_figures!K30</f>
        <v>506.31393309965932</v>
      </c>
      <c r="L49" s="420">
        <f>Entrant_need_figures!L30</f>
        <v>485.36418262220758</v>
      </c>
      <c r="M49" s="420">
        <f>Entrant_need_figures!M30</f>
        <v>517.27560028572077</v>
      </c>
      <c r="N49" s="420">
        <f>Entrant_need_figures!N30</f>
        <v>539.96274530449432</v>
      </c>
    </row>
    <row r="50" spans="2:14">
      <c r="B50" s="243" t="str">
        <f>Entrant_need_figures!B31</f>
        <v>Others</v>
      </c>
      <c r="C50" s="420">
        <f>Entrant_need_figures!C31</f>
        <v>1131.1011987364636</v>
      </c>
      <c r="D50" s="420">
        <f>Entrant_need_figures!D31</f>
        <v>1198.8933853926105</v>
      </c>
      <c r="E50" s="420">
        <f>Entrant_need_figures!E31</f>
        <v>1264.3565472365167</v>
      </c>
      <c r="F50" s="420">
        <f>Entrant_need_figures!F31</f>
        <v>1377.9092822831963</v>
      </c>
      <c r="G50" s="420">
        <f>Entrant_need_figures!G31</f>
        <v>1413.5017519635107</v>
      </c>
      <c r="H50" s="420">
        <f>Entrant_need_figures!H31</f>
        <v>1462.5731267228691</v>
      </c>
      <c r="I50" s="420">
        <f>Entrant_need_figures!I31</f>
        <v>1525.9826662785176</v>
      </c>
      <c r="J50" s="420">
        <f>Entrant_need_figures!J31</f>
        <v>1613.5958028829023</v>
      </c>
      <c r="K50" s="420">
        <f>Entrant_need_figures!K31</f>
        <v>1569.9845382695837</v>
      </c>
      <c r="L50" s="420">
        <f>Entrant_need_figures!L31</f>
        <v>1547.239578620575</v>
      </c>
      <c r="M50" s="420">
        <f>Entrant_need_figures!M31</f>
        <v>1536.6335222337812</v>
      </c>
      <c r="N50" s="420">
        <f>Entrant_need_figures!N31</f>
        <v>1506.4647503886572</v>
      </c>
    </row>
    <row r="51" spans="2:14">
      <c r="B51" s="243" t="str">
        <f>Entrant_need_figures!B32</f>
        <v>Physical Education</v>
      </c>
      <c r="C51" s="420">
        <f>Entrant_need_figures!C32</f>
        <v>1350.1164811655508</v>
      </c>
      <c r="D51" s="420">
        <f>Entrant_need_figures!D32</f>
        <v>1562.3252945531117</v>
      </c>
      <c r="E51" s="420">
        <f>Entrant_need_figures!E32</f>
        <v>1679.0326689226463</v>
      </c>
      <c r="F51" s="420">
        <f>Entrant_need_figures!F32</f>
        <v>1629.075240799119</v>
      </c>
      <c r="G51" s="420">
        <f>Entrant_need_figures!G32</f>
        <v>1602.299641891789</v>
      </c>
      <c r="H51" s="420">
        <f>Entrant_need_figures!H32</f>
        <v>1567.9642153906434</v>
      </c>
      <c r="I51" s="420">
        <f>Entrant_need_figures!I32</f>
        <v>1663.5606074572115</v>
      </c>
      <c r="J51" s="420">
        <f>Entrant_need_figures!J32</f>
        <v>1732.974984164634</v>
      </c>
      <c r="K51" s="420">
        <f>Entrant_need_figures!K32</f>
        <v>1686.6330032076307</v>
      </c>
      <c r="L51" s="420">
        <f>Entrant_need_figures!L32</f>
        <v>1651.8813715740948</v>
      </c>
      <c r="M51" s="420">
        <f>Entrant_need_figures!M32</f>
        <v>1663.8085145874102</v>
      </c>
      <c r="N51" s="420">
        <f>Entrant_need_figures!N32</f>
        <v>1657.3922422394267</v>
      </c>
    </row>
    <row r="52" spans="2:14">
      <c r="B52" s="243" t="str">
        <f>Entrant_need_figures!B33</f>
        <v>Physics</v>
      </c>
      <c r="C52" s="420">
        <f>Entrant_need_figures!C33</f>
        <v>1687.9302005483253</v>
      </c>
      <c r="D52" s="420">
        <f>Entrant_need_figures!D33</f>
        <v>1465.611605238164</v>
      </c>
      <c r="E52" s="420">
        <f>Entrant_need_figures!E33</f>
        <v>1550.8624100000545</v>
      </c>
      <c r="F52" s="420">
        <f>Entrant_need_figures!F33</f>
        <v>1462.6053123830898</v>
      </c>
      <c r="G52" s="420">
        <f>Entrant_need_figures!G33</f>
        <v>1486.8087909073329</v>
      </c>
      <c r="H52" s="420">
        <f>Entrant_need_figures!H33</f>
        <v>1515.3445734819404</v>
      </c>
      <c r="I52" s="420">
        <f>Entrant_need_figures!I33</f>
        <v>1524.5769730816937</v>
      </c>
      <c r="J52" s="420">
        <f>Entrant_need_figures!J33</f>
        <v>1491.617316486821</v>
      </c>
      <c r="K52" s="420">
        <f>Entrant_need_figures!K33</f>
        <v>1478.6931368504693</v>
      </c>
      <c r="L52" s="420">
        <f>Entrant_need_figures!L33</f>
        <v>1453.9553003043052</v>
      </c>
      <c r="M52" s="420">
        <f>Entrant_need_figures!M33</f>
        <v>1400.6936367708263</v>
      </c>
      <c r="N52" s="420">
        <f>Entrant_need_figures!N33</f>
        <v>1349.8794392516111</v>
      </c>
    </row>
    <row r="53" spans="2:14">
      <c r="B53" s="243" t="str">
        <f>Entrant_need_figures!B34</f>
        <v>Religious Education</v>
      </c>
      <c r="C53" s="420">
        <f>Entrant_need_figures!C34</f>
        <v>734.82659603874527</v>
      </c>
      <c r="D53" s="420">
        <f>Entrant_need_figures!D34</f>
        <v>775.45274589812868</v>
      </c>
      <c r="E53" s="420">
        <f>Entrant_need_figures!E34</f>
        <v>852.8668848079551</v>
      </c>
      <c r="F53" s="420">
        <f>Entrant_need_figures!F34</f>
        <v>790.2736495792492</v>
      </c>
      <c r="G53" s="420">
        <f>Entrant_need_figures!G34</f>
        <v>770.77904959115835</v>
      </c>
      <c r="H53" s="420">
        <f>Entrant_need_figures!H34</f>
        <v>748.88929111053517</v>
      </c>
      <c r="I53" s="420">
        <f>Entrant_need_figures!I34</f>
        <v>784.70919348457733</v>
      </c>
      <c r="J53" s="420">
        <f>Entrant_need_figures!J34</f>
        <v>809.95159007221469</v>
      </c>
      <c r="K53" s="420">
        <f>Entrant_need_figures!K34</f>
        <v>780.58041217902382</v>
      </c>
      <c r="L53" s="420">
        <f>Entrant_need_figures!L34</f>
        <v>759.19143744454823</v>
      </c>
      <c r="M53" s="420">
        <f>Entrant_need_figures!M34</f>
        <v>762.90701692772961</v>
      </c>
      <c r="N53" s="420">
        <f>Entrant_need_figures!N34</f>
        <v>758.52688203280672</v>
      </c>
    </row>
    <row r="54" spans="2:14" ht="33.75">
      <c r="B54" s="243" t="str">
        <f>Entrant_need_figures!B35</f>
        <v>Total secondary entrant teacher need</v>
      </c>
      <c r="C54" s="420">
        <f>Entrant_need_figures!C35</f>
        <v>25726.914332450637</v>
      </c>
      <c r="D54" s="420">
        <f>Entrant_need_figures!D35</f>
        <v>26013.082992911095</v>
      </c>
      <c r="E54" s="420">
        <f>Entrant_need_figures!E35</f>
        <v>26773.534628117941</v>
      </c>
      <c r="F54" s="420">
        <f>Entrant_need_figures!F35</f>
        <v>26280.056655388191</v>
      </c>
      <c r="G54" s="420">
        <f>Entrant_need_figures!G35</f>
        <v>26557.750010090593</v>
      </c>
      <c r="H54" s="420">
        <f>Entrant_need_figures!H35</f>
        <v>26839.574362018644</v>
      </c>
      <c r="I54" s="420">
        <f>Entrant_need_figures!I35</f>
        <v>27623.063634274476</v>
      </c>
      <c r="J54" s="420">
        <f>Entrant_need_figures!J35</f>
        <v>26917.518218870457</v>
      </c>
      <c r="K54" s="420">
        <f>Entrant_need_figures!K35</f>
        <v>26106.103394555023</v>
      </c>
      <c r="L54" s="420">
        <f>Entrant_need_figures!L35</f>
        <v>25450.928289338994</v>
      </c>
      <c r="M54" s="420">
        <f>Entrant_need_figures!M35</f>
        <v>25287.319697064035</v>
      </c>
      <c r="N54" s="420">
        <f>Entrant_need_figures!N35</f>
        <v>25073.871126010978</v>
      </c>
    </row>
    <row r="56" spans="2:14" ht="15">
      <c r="B56" s="812" t="s">
        <v>1304</v>
      </c>
    </row>
    <row r="57" spans="2:14">
      <c r="B57" s="75"/>
    </row>
    <row r="58" spans="2:14">
      <c r="B58" s="551"/>
      <c r="C58" s="218" t="str">
        <f t="shared" ref="C58:N58" si="3">C33</f>
        <v>2017/18</v>
      </c>
      <c r="D58" s="218" t="str">
        <f t="shared" si="3"/>
        <v>2018/19</v>
      </c>
      <c r="E58" s="218" t="str">
        <f t="shared" si="3"/>
        <v>2019/20</v>
      </c>
      <c r="F58" s="218" t="str">
        <f t="shared" si="3"/>
        <v>2020/21</v>
      </c>
      <c r="G58" s="218" t="str">
        <f t="shared" si="3"/>
        <v>2021/22</v>
      </c>
      <c r="H58" s="218" t="str">
        <f t="shared" si="3"/>
        <v>2022/23</v>
      </c>
      <c r="I58" s="218" t="str">
        <f t="shared" si="3"/>
        <v>2023/24</v>
      </c>
      <c r="J58" s="218" t="str">
        <f t="shared" si="3"/>
        <v>2024/25</v>
      </c>
      <c r="K58" s="218" t="str">
        <f t="shared" si="3"/>
        <v>2025/26</v>
      </c>
      <c r="L58" s="218" t="str">
        <f t="shared" si="3"/>
        <v>2026/27</v>
      </c>
      <c r="M58" s="218" t="str">
        <f t="shared" si="3"/>
        <v>2027/28</v>
      </c>
      <c r="N58" s="218" t="str">
        <f t="shared" si="3"/>
        <v>2028/29</v>
      </c>
    </row>
    <row r="59" spans="2:14">
      <c r="B59" s="243" t="str">
        <f t="shared" ref="B59:B70" si="4">B34</f>
        <v>Primary</v>
      </c>
      <c r="C59" s="544">
        <f>C34-Entrant_need_figures!C43</f>
        <v>0</v>
      </c>
      <c r="D59" s="544">
        <f>D34-Entrant_need_figures!D43</f>
        <v>0</v>
      </c>
      <c r="E59" s="544">
        <f>E34-Entrant_need_figures!E43</f>
        <v>0</v>
      </c>
      <c r="F59" s="544">
        <f>F34-Entrant_need_figures!F43</f>
        <v>0</v>
      </c>
      <c r="G59" s="544">
        <f>G34-Entrant_need_figures!G43</f>
        <v>0</v>
      </c>
      <c r="H59" s="544">
        <f>H34-Entrant_need_figures!H43</f>
        <v>0</v>
      </c>
      <c r="I59" s="544">
        <f>I34-Entrant_need_figures!I43</f>
        <v>0</v>
      </c>
      <c r="J59" s="544">
        <f>J34-Entrant_need_figures!J43</f>
        <v>0</v>
      </c>
      <c r="K59" s="544">
        <f>K34-Entrant_need_figures!K43</f>
        <v>0</v>
      </c>
      <c r="L59" s="544">
        <f>L34-Entrant_need_figures!L43</f>
        <v>0</v>
      </c>
      <c r="M59" s="544">
        <f>M34-Entrant_need_figures!M43</f>
        <v>0</v>
      </c>
      <c r="N59" s="544">
        <f>N34-Entrant_need_figures!N43</f>
        <v>0</v>
      </c>
    </row>
    <row r="60" spans="2:14">
      <c r="B60" s="243" t="str">
        <f t="shared" si="4"/>
        <v>Art &amp; Design</v>
      </c>
      <c r="C60" s="544">
        <f>C35-Entrant_need_figures!C44</f>
        <v>0</v>
      </c>
      <c r="D60" s="544">
        <f>D35-Entrant_need_figures!D44</f>
        <v>0</v>
      </c>
      <c r="E60" s="544">
        <f>E35-Entrant_need_figures!E44</f>
        <v>0</v>
      </c>
      <c r="F60" s="544">
        <f>F35-Entrant_need_figures!F44</f>
        <v>0</v>
      </c>
      <c r="G60" s="544">
        <f>G35-Entrant_need_figures!G44</f>
        <v>0</v>
      </c>
      <c r="H60" s="544">
        <f>H35-Entrant_need_figures!H44</f>
        <v>0</v>
      </c>
      <c r="I60" s="544">
        <f>I35-Entrant_need_figures!I44</f>
        <v>0</v>
      </c>
      <c r="J60" s="544">
        <f>J35-Entrant_need_figures!J44</f>
        <v>0</v>
      </c>
      <c r="K60" s="544">
        <f>K35-Entrant_need_figures!K44</f>
        <v>0</v>
      </c>
      <c r="L60" s="544">
        <f>L35-Entrant_need_figures!L44</f>
        <v>0</v>
      </c>
      <c r="M60" s="544">
        <f>M35-Entrant_need_figures!M44</f>
        <v>0</v>
      </c>
      <c r="N60" s="544">
        <f>N35-Entrant_need_figures!N44</f>
        <v>0</v>
      </c>
    </row>
    <row r="61" spans="2:14">
      <c r="B61" s="243" t="str">
        <f t="shared" si="4"/>
        <v>Biology</v>
      </c>
      <c r="C61" s="544">
        <f>C36-Entrant_need_figures!C45</f>
        <v>0</v>
      </c>
      <c r="D61" s="544">
        <f>D36-Entrant_need_figures!D45</f>
        <v>0</v>
      </c>
      <c r="E61" s="544">
        <f>E36-Entrant_need_figures!E45</f>
        <v>0</v>
      </c>
      <c r="F61" s="544">
        <f>F36-Entrant_need_figures!F45</f>
        <v>0</v>
      </c>
      <c r="G61" s="544">
        <f>G36-Entrant_need_figures!G45</f>
        <v>0</v>
      </c>
      <c r="H61" s="544">
        <f>H36-Entrant_need_figures!H45</f>
        <v>0</v>
      </c>
      <c r="I61" s="544">
        <f>I36-Entrant_need_figures!I45</f>
        <v>0</v>
      </c>
      <c r="J61" s="544">
        <f>J36-Entrant_need_figures!J45</f>
        <v>0</v>
      </c>
      <c r="K61" s="544">
        <f>K36-Entrant_need_figures!K45</f>
        <v>0</v>
      </c>
      <c r="L61" s="544">
        <f>L36-Entrant_need_figures!L45</f>
        <v>0</v>
      </c>
      <c r="M61" s="544">
        <f>M36-Entrant_need_figures!M45</f>
        <v>0</v>
      </c>
      <c r="N61" s="544">
        <f>N36-Entrant_need_figures!N45</f>
        <v>0</v>
      </c>
    </row>
    <row r="62" spans="2:14">
      <c r="B62" s="243" t="str">
        <f t="shared" si="4"/>
        <v>Business Studies</v>
      </c>
      <c r="C62" s="544">
        <f>C37-Entrant_need_figures!C46</f>
        <v>0</v>
      </c>
      <c r="D62" s="544">
        <f>D37-Entrant_need_figures!D46</f>
        <v>0</v>
      </c>
      <c r="E62" s="544">
        <f>E37-Entrant_need_figures!E46</f>
        <v>0</v>
      </c>
      <c r="F62" s="544">
        <f>F37-Entrant_need_figures!F46</f>
        <v>0</v>
      </c>
      <c r="G62" s="544">
        <f>G37-Entrant_need_figures!G46</f>
        <v>0</v>
      </c>
      <c r="H62" s="544">
        <f>H37-Entrant_need_figures!H46</f>
        <v>0</v>
      </c>
      <c r="I62" s="544">
        <f>I37-Entrant_need_figures!I46</f>
        <v>0</v>
      </c>
      <c r="J62" s="544">
        <f>J37-Entrant_need_figures!J46</f>
        <v>0</v>
      </c>
      <c r="K62" s="544">
        <f>K37-Entrant_need_figures!K46</f>
        <v>0</v>
      </c>
      <c r="L62" s="544">
        <f>L37-Entrant_need_figures!L46</f>
        <v>0</v>
      </c>
      <c r="M62" s="544">
        <f>M37-Entrant_need_figures!M46</f>
        <v>0</v>
      </c>
      <c r="N62" s="544">
        <f>N37-Entrant_need_figures!N46</f>
        <v>0</v>
      </c>
    </row>
    <row r="63" spans="2:14">
      <c r="B63" s="243" t="str">
        <f t="shared" si="4"/>
        <v>Chemistry</v>
      </c>
      <c r="C63" s="544">
        <f>C38-Entrant_need_figures!C47</f>
        <v>0</v>
      </c>
      <c r="D63" s="544">
        <f>D38-Entrant_need_figures!D47</f>
        <v>0</v>
      </c>
      <c r="E63" s="544">
        <f>E38-Entrant_need_figures!E47</f>
        <v>0</v>
      </c>
      <c r="F63" s="544">
        <f>F38-Entrant_need_figures!F47</f>
        <v>0</v>
      </c>
      <c r="G63" s="544">
        <f>G38-Entrant_need_figures!G47</f>
        <v>0</v>
      </c>
      <c r="H63" s="544">
        <f>H38-Entrant_need_figures!H47</f>
        <v>0</v>
      </c>
      <c r="I63" s="544">
        <f>I38-Entrant_need_figures!I47</f>
        <v>0</v>
      </c>
      <c r="J63" s="544">
        <f>J38-Entrant_need_figures!J47</f>
        <v>0</v>
      </c>
      <c r="K63" s="544">
        <f>K38-Entrant_need_figures!K47</f>
        <v>0</v>
      </c>
      <c r="L63" s="544">
        <f>L38-Entrant_need_figures!L47</f>
        <v>0</v>
      </c>
      <c r="M63" s="544">
        <f>M38-Entrant_need_figures!M47</f>
        <v>0</v>
      </c>
      <c r="N63" s="544">
        <f>N38-Entrant_need_figures!N47</f>
        <v>0</v>
      </c>
    </row>
    <row r="64" spans="2:14">
      <c r="B64" s="243" t="str">
        <f t="shared" si="4"/>
        <v>Classics</v>
      </c>
      <c r="C64" s="544">
        <f>C39-Entrant_need_figures!C48</f>
        <v>0</v>
      </c>
      <c r="D64" s="544">
        <f>D39-Entrant_need_figures!D48</f>
        <v>0</v>
      </c>
      <c r="E64" s="544">
        <f>E39-Entrant_need_figures!E48</f>
        <v>0</v>
      </c>
      <c r="F64" s="544">
        <f>F39-Entrant_need_figures!F48</f>
        <v>0</v>
      </c>
      <c r="G64" s="544">
        <f>G39-Entrant_need_figures!G48</f>
        <v>0</v>
      </c>
      <c r="H64" s="544">
        <f>H39-Entrant_need_figures!H48</f>
        <v>0</v>
      </c>
      <c r="I64" s="544">
        <f>I39-Entrant_need_figures!I48</f>
        <v>0</v>
      </c>
      <c r="J64" s="544">
        <f>J39-Entrant_need_figures!J48</f>
        <v>0</v>
      </c>
      <c r="K64" s="544">
        <f>K39-Entrant_need_figures!K48</f>
        <v>0</v>
      </c>
      <c r="L64" s="544">
        <f>L39-Entrant_need_figures!L48</f>
        <v>0</v>
      </c>
      <c r="M64" s="544">
        <f>M39-Entrant_need_figures!M48</f>
        <v>0</v>
      </c>
      <c r="N64" s="544">
        <f>N39-Entrant_need_figures!N48</f>
        <v>0</v>
      </c>
    </row>
    <row r="65" spans="2:14">
      <c r="B65" s="243" t="str">
        <f t="shared" si="4"/>
        <v>Computing</v>
      </c>
      <c r="C65" s="544">
        <f>C40-Entrant_need_figures!C49</f>
        <v>0</v>
      </c>
      <c r="D65" s="544">
        <f>D40-Entrant_need_figures!D49</f>
        <v>0</v>
      </c>
      <c r="E65" s="544">
        <f>E40-Entrant_need_figures!E49</f>
        <v>0</v>
      </c>
      <c r="F65" s="544">
        <f>F40-Entrant_need_figures!F49</f>
        <v>0</v>
      </c>
      <c r="G65" s="544">
        <f>G40-Entrant_need_figures!G49</f>
        <v>0</v>
      </c>
      <c r="H65" s="544">
        <f>H40-Entrant_need_figures!H49</f>
        <v>0</v>
      </c>
      <c r="I65" s="544">
        <f>I40-Entrant_need_figures!I49</f>
        <v>0</v>
      </c>
      <c r="J65" s="544">
        <f>J40-Entrant_need_figures!J49</f>
        <v>0</v>
      </c>
      <c r="K65" s="544">
        <f>K40-Entrant_need_figures!K49</f>
        <v>0</v>
      </c>
      <c r="L65" s="544">
        <f>L40-Entrant_need_figures!L49</f>
        <v>0</v>
      </c>
      <c r="M65" s="544">
        <f>M40-Entrant_need_figures!M49</f>
        <v>0</v>
      </c>
      <c r="N65" s="544">
        <f>N40-Entrant_need_figures!N49</f>
        <v>0</v>
      </c>
    </row>
    <row r="66" spans="2:14" ht="22.5">
      <c r="B66" s="243" t="str">
        <f t="shared" si="4"/>
        <v>Design &amp; Technology</v>
      </c>
      <c r="C66" s="544">
        <f>C41-Entrant_need_figures!C50</f>
        <v>0</v>
      </c>
      <c r="D66" s="544">
        <f>D41-Entrant_need_figures!D50</f>
        <v>0</v>
      </c>
      <c r="E66" s="544">
        <f>E41-Entrant_need_figures!E50</f>
        <v>0</v>
      </c>
      <c r="F66" s="544">
        <f>F41-Entrant_need_figures!F50</f>
        <v>0</v>
      </c>
      <c r="G66" s="544">
        <f>G41-Entrant_need_figures!G50</f>
        <v>0</v>
      </c>
      <c r="H66" s="544">
        <f>H41-Entrant_need_figures!H50</f>
        <v>0</v>
      </c>
      <c r="I66" s="544">
        <f>I41-Entrant_need_figures!I50</f>
        <v>0</v>
      </c>
      <c r="J66" s="544">
        <f>J41-Entrant_need_figures!J50</f>
        <v>0</v>
      </c>
      <c r="K66" s="544">
        <f>K41-Entrant_need_figures!K50</f>
        <v>0</v>
      </c>
      <c r="L66" s="544">
        <f>L41-Entrant_need_figures!L50</f>
        <v>0</v>
      </c>
      <c r="M66" s="544">
        <f>M41-Entrant_need_figures!M50</f>
        <v>0</v>
      </c>
      <c r="N66" s="544">
        <f>N41-Entrant_need_figures!N50</f>
        <v>0</v>
      </c>
    </row>
    <row r="67" spans="2:14">
      <c r="B67" s="243" t="str">
        <f t="shared" si="4"/>
        <v>Drama</v>
      </c>
      <c r="C67" s="544">
        <f>C42-Entrant_need_figures!C51</f>
        <v>0</v>
      </c>
      <c r="D67" s="544">
        <f>D42-Entrant_need_figures!D51</f>
        <v>0</v>
      </c>
      <c r="E67" s="544">
        <f>E42-Entrant_need_figures!E51</f>
        <v>0</v>
      </c>
      <c r="F67" s="544">
        <f>F42-Entrant_need_figures!F51</f>
        <v>0</v>
      </c>
      <c r="G67" s="544">
        <f>G42-Entrant_need_figures!G51</f>
        <v>0</v>
      </c>
      <c r="H67" s="544">
        <f>H42-Entrant_need_figures!H51</f>
        <v>0</v>
      </c>
      <c r="I67" s="544">
        <f>I42-Entrant_need_figures!I51</f>
        <v>0</v>
      </c>
      <c r="J67" s="544">
        <f>J42-Entrant_need_figures!J51</f>
        <v>0</v>
      </c>
      <c r="K67" s="544">
        <f>K42-Entrant_need_figures!K51</f>
        <v>0</v>
      </c>
      <c r="L67" s="544">
        <f>L42-Entrant_need_figures!L51</f>
        <v>0</v>
      </c>
      <c r="M67" s="544">
        <f>M42-Entrant_need_figures!M51</f>
        <v>0</v>
      </c>
      <c r="N67" s="544">
        <f>N42-Entrant_need_figures!N51</f>
        <v>0</v>
      </c>
    </row>
    <row r="68" spans="2:14">
      <c r="B68" s="243" t="str">
        <f t="shared" si="4"/>
        <v>English</v>
      </c>
      <c r="C68" s="544">
        <f>C43-Entrant_need_figures!C52</f>
        <v>0</v>
      </c>
      <c r="D68" s="544">
        <f>D43-Entrant_need_figures!D52</f>
        <v>0</v>
      </c>
      <c r="E68" s="544">
        <f>E43-Entrant_need_figures!E52</f>
        <v>0</v>
      </c>
      <c r="F68" s="544">
        <f>F43-Entrant_need_figures!F52</f>
        <v>0</v>
      </c>
      <c r="G68" s="544">
        <f>G43-Entrant_need_figures!G52</f>
        <v>0</v>
      </c>
      <c r="H68" s="544">
        <f>H43-Entrant_need_figures!H52</f>
        <v>0</v>
      </c>
      <c r="I68" s="544">
        <f>I43-Entrant_need_figures!I52</f>
        <v>0</v>
      </c>
      <c r="J68" s="544">
        <f>J43-Entrant_need_figures!J52</f>
        <v>0</v>
      </c>
      <c r="K68" s="544">
        <f>K43-Entrant_need_figures!K52</f>
        <v>0</v>
      </c>
      <c r="L68" s="544">
        <f>L43-Entrant_need_figures!L52</f>
        <v>0</v>
      </c>
      <c r="M68" s="544">
        <f>M43-Entrant_need_figures!M52</f>
        <v>0</v>
      </c>
      <c r="N68" s="544">
        <f>N43-Entrant_need_figures!N52</f>
        <v>0</v>
      </c>
    </row>
    <row r="69" spans="2:14">
      <c r="B69" s="243" t="str">
        <f t="shared" si="4"/>
        <v>Food</v>
      </c>
      <c r="C69" s="544">
        <f>C44-Entrant_need_figures!C53</f>
        <v>0</v>
      </c>
      <c r="D69" s="544">
        <f>D44-Entrant_need_figures!D53</f>
        <v>0</v>
      </c>
      <c r="E69" s="544">
        <f>E44-Entrant_need_figures!E53</f>
        <v>0</v>
      </c>
      <c r="F69" s="544">
        <f>F44-Entrant_need_figures!F53</f>
        <v>0</v>
      </c>
      <c r="G69" s="544">
        <f>G44-Entrant_need_figures!G53</f>
        <v>0</v>
      </c>
      <c r="H69" s="544">
        <f>H44-Entrant_need_figures!H53</f>
        <v>0</v>
      </c>
      <c r="I69" s="544">
        <f>I44-Entrant_need_figures!I53</f>
        <v>0</v>
      </c>
      <c r="J69" s="544">
        <f>J44-Entrant_need_figures!J53</f>
        <v>0</v>
      </c>
      <c r="K69" s="544">
        <f>K44-Entrant_need_figures!K53</f>
        <v>0</v>
      </c>
      <c r="L69" s="544">
        <f>L44-Entrant_need_figures!L53</f>
        <v>0</v>
      </c>
      <c r="M69" s="544">
        <f>M44-Entrant_need_figures!M53</f>
        <v>0</v>
      </c>
      <c r="N69" s="544">
        <f>N44-Entrant_need_figures!N53</f>
        <v>0</v>
      </c>
    </row>
    <row r="70" spans="2:14">
      <c r="B70" s="243" t="str">
        <f t="shared" si="4"/>
        <v>Geography</v>
      </c>
      <c r="C70" s="544">
        <f>C45-Entrant_need_figures!C54</f>
        <v>0</v>
      </c>
      <c r="D70" s="544">
        <f>D45-Entrant_need_figures!D54</f>
        <v>0</v>
      </c>
      <c r="E70" s="544">
        <f>E45-Entrant_need_figures!E54</f>
        <v>0</v>
      </c>
      <c r="F70" s="544">
        <f>F45-Entrant_need_figures!F54</f>
        <v>0</v>
      </c>
      <c r="G70" s="544">
        <f>G45-Entrant_need_figures!G54</f>
        <v>0</v>
      </c>
      <c r="H70" s="544">
        <f>H45-Entrant_need_figures!H54</f>
        <v>0</v>
      </c>
      <c r="I70" s="544">
        <f>I45-Entrant_need_figures!I54</f>
        <v>0</v>
      </c>
      <c r="J70" s="544">
        <f>J45-Entrant_need_figures!J54</f>
        <v>0</v>
      </c>
      <c r="K70" s="544">
        <f>K45-Entrant_need_figures!K54</f>
        <v>0</v>
      </c>
      <c r="L70" s="544">
        <f>L45-Entrant_need_figures!L54</f>
        <v>0</v>
      </c>
      <c r="M70" s="544">
        <f>M45-Entrant_need_figures!M54</f>
        <v>0</v>
      </c>
      <c r="N70" s="544">
        <f>N45-Entrant_need_figures!N54</f>
        <v>0</v>
      </c>
    </row>
    <row r="71" spans="2:14">
      <c r="B71" s="243" t="str">
        <f t="shared" ref="B71:B79" si="5">B46</f>
        <v>History</v>
      </c>
      <c r="C71" s="544">
        <f>C46-Entrant_need_figures!C55</f>
        <v>0</v>
      </c>
      <c r="D71" s="544">
        <f>D46-Entrant_need_figures!D55</f>
        <v>0</v>
      </c>
      <c r="E71" s="544">
        <f>E46-Entrant_need_figures!E55</f>
        <v>0</v>
      </c>
      <c r="F71" s="544">
        <f>F46-Entrant_need_figures!F55</f>
        <v>0</v>
      </c>
      <c r="G71" s="544">
        <f>G46-Entrant_need_figures!G55</f>
        <v>0</v>
      </c>
      <c r="H71" s="544">
        <f>H46-Entrant_need_figures!H55</f>
        <v>0</v>
      </c>
      <c r="I71" s="544">
        <f>I46-Entrant_need_figures!I55</f>
        <v>0</v>
      </c>
      <c r="J71" s="544">
        <f>J46-Entrant_need_figures!J55</f>
        <v>0</v>
      </c>
      <c r="K71" s="544">
        <f>K46-Entrant_need_figures!K55</f>
        <v>0</v>
      </c>
      <c r="L71" s="544">
        <f>L46-Entrant_need_figures!L55</f>
        <v>0</v>
      </c>
      <c r="M71" s="544">
        <f>M46-Entrant_need_figures!M55</f>
        <v>0</v>
      </c>
      <c r="N71" s="544">
        <f>N46-Entrant_need_figures!N55</f>
        <v>0</v>
      </c>
    </row>
    <row r="72" spans="2:14">
      <c r="B72" s="243" t="str">
        <f t="shared" si="5"/>
        <v>Mathematics</v>
      </c>
      <c r="C72" s="544">
        <f>C47-Entrant_need_figures!C56</f>
        <v>0</v>
      </c>
      <c r="D72" s="544">
        <f>D47-Entrant_need_figures!D56</f>
        <v>0</v>
      </c>
      <c r="E72" s="544">
        <f>E47-Entrant_need_figures!E56</f>
        <v>0</v>
      </c>
      <c r="F72" s="544">
        <f>F47-Entrant_need_figures!F56</f>
        <v>0</v>
      </c>
      <c r="G72" s="544">
        <f>G47-Entrant_need_figures!G56</f>
        <v>0</v>
      </c>
      <c r="H72" s="544">
        <f>H47-Entrant_need_figures!H56</f>
        <v>0</v>
      </c>
      <c r="I72" s="544">
        <f>I47-Entrant_need_figures!I56</f>
        <v>0</v>
      </c>
      <c r="J72" s="544">
        <f>J47-Entrant_need_figures!J56</f>
        <v>0</v>
      </c>
      <c r="K72" s="544">
        <f>K47-Entrant_need_figures!K56</f>
        <v>0</v>
      </c>
      <c r="L72" s="544">
        <f>L47-Entrant_need_figures!L56</f>
        <v>0</v>
      </c>
      <c r="M72" s="544">
        <f>M47-Entrant_need_figures!M56</f>
        <v>0</v>
      </c>
      <c r="N72" s="544">
        <f>N47-Entrant_need_figures!N56</f>
        <v>0</v>
      </c>
    </row>
    <row r="73" spans="2:14" ht="22.5">
      <c r="B73" s="243" t="str">
        <f t="shared" si="5"/>
        <v>Modern Foreign Languages</v>
      </c>
      <c r="C73" s="544">
        <f>C48-Entrant_need_figures!C57</f>
        <v>0</v>
      </c>
      <c r="D73" s="544">
        <f>D48-Entrant_need_figures!D57</f>
        <v>0</v>
      </c>
      <c r="E73" s="544">
        <f>E48-Entrant_need_figures!E57</f>
        <v>0</v>
      </c>
      <c r="F73" s="544">
        <f>F48-Entrant_need_figures!F57</f>
        <v>0</v>
      </c>
      <c r="G73" s="544">
        <f>G48-Entrant_need_figures!G57</f>
        <v>0</v>
      </c>
      <c r="H73" s="544">
        <f>H48-Entrant_need_figures!H57</f>
        <v>0</v>
      </c>
      <c r="I73" s="544">
        <f>I48-Entrant_need_figures!I57</f>
        <v>0</v>
      </c>
      <c r="J73" s="544">
        <f>J48-Entrant_need_figures!J57</f>
        <v>0</v>
      </c>
      <c r="K73" s="544">
        <f>K48-Entrant_need_figures!K57</f>
        <v>0</v>
      </c>
      <c r="L73" s="544">
        <f>L48-Entrant_need_figures!L57</f>
        <v>0</v>
      </c>
      <c r="M73" s="544">
        <f>M48-Entrant_need_figures!M57</f>
        <v>0</v>
      </c>
      <c r="N73" s="544">
        <f>N48-Entrant_need_figures!N57</f>
        <v>0</v>
      </c>
    </row>
    <row r="74" spans="2:14">
      <c r="B74" s="243" t="str">
        <f t="shared" si="5"/>
        <v>Music</v>
      </c>
      <c r="C74" s="544">
        <f>C49-Entrant_need_figures!C58</f>
        <v>0</v>
      </c>
      <c r="D74" s="544">
        <f>D49-Entrant_need_figures!D58</f>
        <v>0</v>
      </c>
      <c r="E74" s="544">
        <f>E49-Entrant_need_figures!E58</f>
        <v>0</v>
      </c>
      <c r="F74" s="544">
        <f>F49-Entrant_need_figures!F58</f>
        <v>0</v>
      </c>
      <c r="G74" s="544">
        <f>G49-Entrant_need_figures!G58</f>
        <v>0</v>
      </c>
      <c r="H74" s="544">
        <f>H49-Entrant_need_figures!H58</f>
        <v>0</v>
      </c>
      <c r="I74" s="544">
        <f>I49-Entrant_need_figures!I58</f>
        <v>0</v>
      </c>
      <c r="J74" s="544">
        <f>J49-Entrant_need_figures!J58</f>
        <v>0</v>
      </c>
      <c r="K74" s="544">
        <f>K49-Entrant_need_figures!K58</f>
        <v>0</v>
      </c>
      <c r="L74" s="544">
        <f>L49-Entrant_need_figures!L58</f>
        <v>0</v>
      </c>
      <c r="M74" s="544">
        <f>M49-Entrant_need_figures!M58</f>
        <v>0</v>
      </c>
      <c r="N74" s="544">
        <f>N49-Entrant_need_figures!N58</f>
        <v>0</v>
      </c>
    </row>
    <row r="75" spans="2:14">
      <c r="B75" s="243" t="str">
        <f t="shared" si="5"/>
        <v>Others</v>
      </c>
      <c r="C75" s="544">
        <f>C50-Entrant_need_figures!C59</f>
        <v>0</v>
      </c>
      <c r="D75" s="544">
        <f>D50-Entrant_need_figures!D59</f>
        <v>0</v>
      </c>
      <c r="E75" s="544">
        <f>E50-Entrant_need_figures!E59</f>
        <v>0</v>
      </c>
      <c r="F75" s="544">
        <f>F50-Entrant_need_figures!F59</f>
        <v>0</v>
      </c>
      <c r="G75" s="544">
        <f>G50-Entrant_need_figures!G59</f>
        <v>0</v>
      </c>
      <c r="H75" s="544">
        <f>H50-Entrant_need_figures!H59</f>
        <v>0</v>
      </c>
      <c r="I75" s="544">
        <f>I50-Entrant_need_figures!I59</f>
        <v>0</v>
      </c>
      <c r="J75" s="544">
        <f>J50-Entrant_need_figures!J59</f>
        <v>0</v>
      </c>
      <c r="K75" s="544">
        <f>K50-Entrant_need_figures!K59</f>
        <v>0</v>
      </c>
      <c r="L75" s="544">
        <f>L50-Entrant_need_figures!L59</f>
        <v>0</v>
      </c>
      <c r="M75" s="544">
        <f>M50-Entrant_need_figures!M59</f>
        <v>0</v>
      </c>
      <c r="N75" s="544">
        <f>N50-Entrant_need_figures!N59</f>
        <v>0</v>
      </c>
    </row>
    <row r="76" spans="2:14">
      <c r="B76" s="243" t="str">
        <f t="shared" si="5"/>
        <v>Physical Education</v>
      </c>
      <c r="C76" s="544">
        <f>C51-Entrant_need_figures!C60</f>
        <v>0</v>
      </c>
      <c r="D76" s="544">
        <f>D51-Entrant_need_figures!D60</f>
        <v>0</v>
      </c>
      <c r="E76" s="544">
        <f>E51-Entrant_need_figures!E60</f>
        <v>0</v>
      </c>
      <c r="F76" s="544">
        <f>F51-Entrant_need_figures!F60</f>
        <v>0</v>
      </c>
      <c r="G76" s="544">
        <f>G51-Entrant_need_figures!G60</f>
        <v>0</v>
      </c>
      <c r="H76" s="544">
        <f>H51-Entrant_need_figures!H60</f>
        <v>0</v>
      </c>
      <c r="I76" s="544">
        <f>I51-Entrant_need_figures!I60</f>
        <v>0</v>
      </c>
      <c r="J76" s="544">
        <f>J51-Entrant_need_figures!J60</f>
        <v>0</v>
      </c>
      <c r="K76" s="544">
        <f>K51-Entrant_need_figures!K60</f>
        <v>0</v>
      </c>
      <c r="L76" s="544">
        <f>L51-Entrant_need_figures!L60</f>
        <v>0</v>
      </c>
      <c r="M76" s="544">
        <f>M51-Entrant_need_figures!M60</f>
        <v>0</v>
      </c>
      <c r="N76" s="544">
        <f>N51-Entrant_need_figures!N60</f>
        <v>0</v>
      </c>
    </row>
    <row r="77" spans="2:14">
      <c r="B77" s="243" t="str">
        <f t="shared" si="5"/>
        <v>Physics</v>
      </c>
      <c r="C77" s="544">
        <f>C52-Entrant_need_figures!C61</f>
        <v>0</v>
      </c>
      <c r="D77" s="544">
        <f>D52-Entrant_need_figures!D61</f>
        <v>0</v>
      </c>
      <c r="E77" s="544">
        <f>E52-Entrant_need_figures!E61</f>
        <v>0</v>
      </c>
      <c r="F77" s="544">
        <f>F52-Entrant_need_figures!F61</f>
        <v>0</v>
      </c>
      <c r="G77" s="544">
        <f>G52-Entrant_need_figures!G61</f>
        <v>0</v>
      </c>
      <c r="H77" s="544">
        <f>H52-Entrant_need_figures!H61</f>
        <v>0</v>
      </c>
      <c r="I77" s="544">
        <f>I52-Entrant_need_figures!I61</f>
        <v>0</v>
      </c>
      <c r="J77" s="544">
        <f>J52-Entrant_need_figures!J61</f>
        <v>0</v>
      </c>
      <c r="K77" s="544">
        <f>K52-Entrant_need_figures!K61</f>
        <v>0</v>
      </c>
      <c r="L77" s="544">
        <f>L52-Entrant_need_figures!L61</f>
        <v>0</v>
      </c>
      <c r="M77" s="544">
        <f>M52-Entrant_need_figures!M61</f>
        <v>0</v>
      </c>
      <c r="N77" s="544">
        <f>N52-Entrant_need_figures!N61</f>
        <v>0</v>
      </c>
    </row>
    <row r="78" spans="2:14">
      <c r="B78" s="243" t="str">
        <f t="shared" si="5"/>
        <v>Religious Education</v>
      </c>
      <c r="C78" s="544">
        <f>C53-Entrant_need_figures!C62</f>
        <v>0</v>
      </c>
      <c r="D78" s="544">
        <f>D53-Entrant_need_figures!D62</f>
        <v>0</v>
      </c>
      <c r="E78" s="544">
        <f>E53-Entrant_need_figures!E62</f>
        <v>0</v>
      </c>
      <c r="F78" s="544">
        <f>F53-Entrant_need_figures!F62</f>
        <v>0</v>
      </c>
      <c r="G78" s="544">
        <f>G53-Entrant_need_figures!G62</f>
        <v>0</v>
      </c>
      <c r="H78" s="544">
        <f>H53-Entrant_need_figures!H62</f>
        <v>0</v>
      </c>
      <c r="I78" s="544">
        <f>I53-Entrant_need_figures!I62</f>
        <v>0</v>
      </c>
      <c r="J78" s="544">
        <f>J53-Entrant_need_figures!J62</f>
        <v>0</v>
      </c>
      <c r="K78" s="544">
        <f>K53-Entrant_need_figures!K62</f>
        <v>0</v>
      </c>
      <c r="L78" s="544">
        <f>L53-Entrant_need_figures!L62</f>
        <v>0</v>
      </c>
      <c r="M78" s="544">
        <f>M53-Entrant_need_figures!M62</f>
        <v>0</v>
      </c>
      <c r="N78" s="544">
        <f>N53-Entrant_need_figures!N62</f>
        <v>0</v>
      </c>
    </row>
    <row r="79" spans="2:14" ht="33.75">
      <c r="B79" s="243" t="str">
        <f t="shared" si="5"/>
        <v>Total secondary entrant teacher need</v>
      </c>
      <c r="C79" s="544">
        <f>C54-Entrant_need_figures!C63</f>
        <v>0</v>
      </c>
      <c r="D79" s="544">
        <f>D54-Entrant_need_figures!D63</f>
        <v>0</v>
      </c>
      <c r="E79" s="544">
        <f>E54-Entrant_need_figures!E63</f>
        <v>0</v>
      </c>
      <c r="F79" s="544">
        <f>F54-Entrant_need_figures!F63</f>
        <v>0</v>
      </c>
      <c r="G79" s="544">
        <f>G54-Entrant_need_figures!G63</f>
        <v>0</v>
      </c>
      <c r="H79" s="544">
        <f>H54-Entrant_need_figures!H63</f>
        <v>0</v>
      </c>
      <c r="I79" s="544">
        <f>I54-Entrant_need_figures!I63</f>
        <v>0</v>
      </c>
      <c r="J79" s="544">
        <f>J54-Entrant_need_figures!J63</f>
        <v>0</v>
      </c>
      <c r="K79" s="544">
        <f>K54-Entrant_need_figures!K63</f>
        <v>0</v>
      </c>
      <c r="L79" s="544">
        <f>L54-Entrant_need_figures!L63</f>
        <v>0</v>
      </c>
      <c r="M79" s="544">
        <f>M54-Entrant_need_figures!M63</f>
        <v>0</v>
      </c>
      <c r="N79" s="544">
        <f>N54-Entrant_need_figures!N63</f>
        <v>0</v>
      </c>
    </row>
    <row r="80" spans="2:14">
      <c r="C80" s="302"/>
      <c r="D80" s="302"/>
      <c r="E80" s="302"/>
      <c r="F80" s="302"/>
      <c r="G80" s="302"/>
      <c r="H80" s="302"/>
      <c r="I80" s="302"/>
      <c r="J80" s="302"/>
      <c r="K80" s="302"/>
      <c r="L80" s="302"/>
      <c r="M80" s="302"/>
      <c r="N80" s="302"/>
    </row>
    <row r="81" spans="2:11" ht="18">
      <c r="B81" s="673" t="s">
        <v>1106</v>
      </c>
    </row>
    <row r="82" spans="2:11" ht="15.75">
      <c r="B82" s="77"/>
    </row>
    <row r="83" spans="2:11">
      <c r="B83" s="217" t="s">
        <v>1305</v>
      </c>
    </row>
    <row r="84" spans="2:11">
      <c r="B84" s="217"/>
    </row>
    <row r="85" spans="2:11">
      <c r="I85" s="1025" t="s">
        <v>1651</v>
      </c>
    </row>
    <row r="86" spans="2:11">
      <c r="D86" s="1199" t="s">
        <v>1116</v>
      </c>
      <c r="E86" s="1200"/>
    </row>
    <row r="87" spans="2:11" ht="60" customHeight="1">
      <c r="B87" s="444" t="s">
        <v>1203</v>
      </c>
      <c r="C87" s="243" t="s">
        <v>1202</v>
      </c>
      <c r="D87" s="243" t="s">
        <v>1650</v>
      </c>
      <c r="E87" s="383" t="s">
        <v>1188</v>
      </c>
      <c r="I87" s="444" t="s">
        <v>1203</v>
      </c>
      <c r="J87" s="243" t="s">
        <v>1202</v>
      </c>
      <c r="K87" s="1029" t="s">
        <v>1650</v>
      </c>
    </row>
    <row r="88" spans="2:11">
      <c r="B88" s="695" t="str">
        <f>FINAL_OUTPUTS_OF_ITT_PLACES!B44</f>
        <v>Primary</v>
      </c>
      <c r="C88" s="697">
        <f>FINAL_OUTPUTS_OF_ITT_PLACES!G44</f>
        <v>12551.825169701613</v>
      </c>
      <c r="D88" s="698">
        <v>12551.825169701613</v>
      </c>
      <c r="E88" s="698">
        <v>12282.078393990631</v>
      </c>
      <c r="I88" s="243" t="s">
        <v>40</v>
      </c>
      <c r="J88" s="722" t="b">
        <f>FINAL_OUTPUTS_OF_ITT_PLACES!I44</f>
        <v>0</v>
      </c>
      <c r="K88" s="383" t="b">
        <f>FINAL_OUTPUTS_OF_ITT_PLACES!J44</f>
        <v>0</v>
      </c>
    </row>
    <row r="89" spans="2:11">
      <c r="B89" s="695" t="str">
        <f>FINAL_OUTPUTS_OF_ITT_PLACES!B45</f>
        <v>Art &amp; Design</v>
      </c>
      <c r="C89" s="697">
        <f>FINAL_OUTPUTS_OF_ITT_PLACES!G45</f>
        <v>645.55239319127406</v>
      </c>
      <c r="D89" s="698">
        <v>645.55239319127406</v>
      </c>
      <c r="E89" s="698">
        <v>642.82299827742486</v>
      </c>
      <c r="I89" s="243" t="s">
        <v>571</v>
      </c>
      <c r="J89" s="722" t="b">
        <f>FINAL_OUTPUTS_OF_ITT_PLACES!I45</f>
        <v>0</v>
      </c>
      <c r="K89" s="383" t="b">
        <f>FINAL_OUTPUTS_OF_ITT_PLACES!J45</f>
        <v>0</v>
      </c>
    </row>
    <row r="90" spans="2:11">
      <c r="B90" s="696" t="str">
        <f>FINAL_OUTPUTS_OF_ITT_PLACES!B46</f>
        <v>Biology</v>
      </c>
      <c r="C90" s="697">
        <f>FINAL_OUTPUTS_OF_ITT_PLACES!G46</f>
        <v>1187.7114497941952</v>
      </c>
      <c r="D90" s="698">
        <v>1187.7114497941952</v>
      </c>
      <c r="E90" s="698">
        <v>1187.7114497941952</v>
      </c>
      <c r="I90" s="672" t="s">
        <v>7</v>
      </c>
      <c r="J90" s="722" t="b">
        <f>FINAL_OUTPUTS_OF_ITT_PLACES!I46</f>
        <v>1</v>
      </c>
      <c r="K90" s="383" t="b">
        <f>FINAL_OUTPUTS_OF_ITT_PLACES!J46</f>
        <v>1</v>
      </c>
    </row>
    <row r="91" spans="2:11" ht="22.5">
      <c r="B91" s="695" t="str">
        <f>FINAL_OUTPUTS_OF_ITT_PLACES!B47</f>
        <v>Business Studies</v>
      </c>
      <c r="C91" s="697">
        <f>FINAL_OUTPUTS_OF_ITT_PLACES!G47</f>
        <v>240.94666043336403</v>
      </c>
      <c r="D91" s="698">
        <v>240.94666043336403</v>
      </c>
      <c r="E91" s="698">
        <v>241.67342838176054</v>
      </c>
      <c r="I91" s="243" t="s">
        <v>429</v>
      </c>
      <c r="J91" s="722" t="b">
        <f>FINAL_OUTPUTS_OF_ITT_PLACES!I47</f>
        <v>0</v>
      </c>
      <c r="K91" s="383" t="b">
        <f>FINAL_OUTPUTS_OF_ITT_PLACES!J47</f>
        <v>0</v>
      </c>
    </row>
    <row r="92" spans="2:11">
      <c r="B92" s="696" t="str">
        <f>FINAL_OUTPUTS_OF_ITT_PLACES!B48</f>
        <v>Chemistry</v>
      </c>
      <c r="C92" s="697">
        <f>FINAL_OUTPUTS_OF_ITT_PLACES!G48</f>
        <v>1053.4775422401942</v>
      </c>
      <c r="D92" s="698">
        <v>1053.4775422401942</v>
      </c>
      <c r="E92" s="698">
        <v>1053.4775422401942</v>
      </c>
      <c r="I92" s="672" t="s">
        <v>3</v>
      </c>
      <c r="J92" s="722" t="b">
        <f>FINAL_OUTPUTS_OF_ITT_PLACES!I48</f>
        <v>1</v>
      </c>
      <c r="K92" s="383" t="b">
        <f>FINAL_OUTPUTS_OF_ITT_PLACES!J48</f>
        <v>1</v>
      </c>
    </row>
    <row r="93" spans="2:11">
      <c r="B93" s="696" t="str">
        <f>FINAL_OUTPUTS_OF_ITT_PLACES!B49</f>
        <v>Classics</v>
      </c>
      <c r="C93" s="697">
        <f>FINAL_OUTPUTS_OF_ITT_PLACES!G49</f>
        <v>68.619515583024508</v>
      </c>
      <c r="D93" s="698">
        <v>68.619515583024508</v>
      </c>
      <c r="E93" s="698">
        <v>68.619515583024508</v>
      </c>
      <c r="I93" s="672" t="s">
        <v>80</v>
      </c>
      <c r="J93" s="722" t="b">
        <f>FINAL_OUTPUTS_OF_ITT_PLACES!I49</f>
        <v>1</v>
      </c>
      <c r="K93" s="383" t="b">
        <f>FINAL_OUTPUTS_OF_ITT_PLACES!J49</f>
        <v>1</v>
      </c>
    </row>
    <row r="94" spans="2:11">
      <c r="B94" s="696" t="str">
        <f>FINAL_OUTPUTS_OF_ITT_PLACES!B50</f>
        <v>Computing</v>
      </c>
      <c r="C94" s="697">
        <f>FINAL_OUTPUTS_OF_ITT_PLACES!G50</f>
        <v>722.77160624604142</v>
      </c>
      <c r="D94" s="698">
        <v>722.77160624604142</v>
      </c>
      <c r="E94" s="698">
        <v>722.77160624604142</v>
      </c>
      <c r="I94" s="672" t="s">
        <v>108</v>
      </c>
      <c r="J94" s="722" t="b">
        <f>FINAL_OUTPUTS_OF_ITT_PLACES!I50</f>
        <v>1</v>
      </c>
      <c r="K94" s="383" t="b">
        <f>FINAL_OUTPUTS_OF_ITT_PLACES!J50</f>
        <v>1</v>
      </c>
    </row>
    <row r="95" spans="2:11" ht="22.5">
      <c r="B95" s="695" t="str">
        <f>FINAL_OUTPUTS_OF_ITT_PLACES!B51</f>
        <v>Design &amp; Technology</v>
      </c>
      <c r="C95" s="697">
        <f>FINAL_OUTPUTS_OF_ITT_PLACES!G51</f>
        <v>948.59576499118168</v>
      </c>
      <c r="D95" s="698">
        <v>948.59576499118168</v>
      </c>
      <c r="E95" s="698">
        <v>909.89705579267604</v>
      </c>
      <c r="I95" s="243" t="s">
        <v>572</v>
      </c>
      <c r="J95" s="722" t="b">
        <f>FINAL_OUTPUTS_OF_ITT_PLACES!I51</f>
        <v>0</v>
      </c>
      <c r="K95" s="383" t="b">
        <f>FINAL_OUTPUTS_OF_ITT_PLACES!J51</f>
        <v>0</v>
      </c>
    </row>
    <row r="96" spans="2:11">
      <c r="B96" s="695" t="str">
        <f>FINAL_OUTPUTS_OF_ITT_PLACES!B52</f>
        <v>Drama</v>
      </c>
      <c r="C96" s="697">
        <f>FINAL_OUTPUTS_OF_ITT_PLACES!G52</f>
        <v>357.1831760371598</v>
      </c>
      <c r="D96" s="698">
        <v>357.1831760371598</v>
      </c>
      <c r="E96" s="698">
        <v>338.8203417433802</v>
      </c>
      <c r="I96" s="243" t="s">
        <v>6</v>
      </c>
      <c r="J96" s="722" t="b">
        <f>FINAL_OUTPUTS_OF_ITT_PLACES!I52</f>
        <v>0</v>
      </c>
      <c r="K96" s="383" t="b">
        <f>FINAL_OUTPUTS_OF_ITT_PLACES!J52</f>
        <v>0</v>
      </c>
    </row>
    <row r="97" spans="2:15">
      <c r="B97" s="696" t="str">
        <f>FINAL_OUTPUTS_OF_ITT_PLACES!B53</f>
        <v>English</v>
      </c>
      <c r="C97" s="697">
        <f>FINAL_OUTPUTS_OF_ITT_PLACES!G53</f>
        <v>2558.1893120078576</v>
      </c>
      <c r="D97" s="698">
        <v>2558.1893120078576</v>
      </c>
      <c r="E97" s="698">
        <v>2558.8262637940447</v>
      </c>
      <c r="I97" s="672" t="s">
        <v>1</v>
      </c>
      <c r="J97" s="722" t="b">
        <f>FINAL_OUTPUTS_OF_ITT_PLACES!I53</f>
        <v>0</v>
      </c>
      <c r="K97" s="383" t="b">
        <f>FINAL_OUTPUTS_OF_ITT_PLACES!J53</f>
        <v>0</v>
      </c>
    </row>
    <row r="98" spans="2:15">
      <c r="B98" s="695" t="str">
        <f>FINAL_OUTPUTS_OF_ITT_PLACES!B54</f>
        <v>Food</v>
      </c>
      <c r="C98" s="697">
        <f>FINAL_OUTPUTS_OF_ITT_PLACES!G54</f>
        <v>218.0656961519251</v>
      </c>
      <c r="D98" s="698">
        <v>218.0656961519251</v>
      </c>
      <c r="E98" s="698">
        <v>218.10792556344185</v>
      </c>
      <c r="I98" s="243" t="s">
        <v>397</v>
      </c>
      <c r="J98" s="722" t="b">
        <f>FINAL_OUTPUTS_OF_ITT_PLACES!I54</f>
        <v>0</v>
      </c>
      <c r="K98" s="383" t="b">
        <f>FINAL_OUTPUTS_OF_ITT_PLACES!J54</f>
        <v>0</v>
      </c>
      <c r="O98" s="1004"/>
    </row>
    <row r="99" spans="2:15">
      <c r="B99" s="695" t="str">
        <f>FINAL_OUTPUTS_OF_ITT_PLACES!B55</f>
        <v>Geography</v>
      </c>
      <c r="C99" s="697">
        <f>FINAL_OUTPUTS_OF_ITT_PLACES!G55</f>
        <v>1531.1469289044046</v>
      </c>
      <c r="D99" s="698">
        <v>1531.1469289044046</v>
      </c>
      <c r="E99" s="698">
        <v>1531.1469289044046</v>
      </c>
      <c r="I99" s="672" t="s">
        <v>4</v>
      </c>
      <c r="J99" s="722" t="b">
        <f>FINAL_OUTPUTS_OF_ITT_PLACES!I55</f>
        <v>1</v>
      </c>
      <c r="K99" s="383" t="b">
        <f>FINAL_OUTPUTS_OF_ITT_PLACES!J55</f>
        <v>1</v>
      </c>
    </row>
    <row r="100" spans="2:15">
      <c r="B100" s="696" t="str">
        <f>FINAL_OUTPUTS_OF_ITT_PLACES!B56</f>
        <v>History</v>
      </c>
      <c r="C100" s="697">
        <f>FINAL_OUTPUTS_OF_ITT_PLACES!G56</f>
        <v>1179.8755448527156</v>
      </c>
      <c r="D100" s="698">
        <v>1179.8755448527156</v>
      </c>
      <c r="E100" s="698">
        <v>1159.7619052471459</v>
      </c>
      <c r="I100" s="672" t="s">
        <v>0</v>
      </c>
      <c r="J100" s="722" t="b">
        <f>FINAL_OUTPUTS_OF_ITT_PLACES!I56</f>
        <v>0</v>
      </c>
      <c r="K100" s="383" t="b">
        <f>FINAL_OUTPUTS_OF_ITT_PLACES!J56</f>
        <v>0</v>
      </c>
    </row>
    <row r="101" spans="2:15" ht="12.75" customHeight="1">
      <c r="B101" s="696" t="str">
        <f>FINAL_OUTPUTS_OF_ITT_PLACES!B57</f>
        <v>Mathematics</v>
      </c>
      <c r="C101" s="697">
        <f>FINAL_OUTPUTS_OF_ITT_PLACES!G57</f>
        <v>3115.5258268618177</v>
      </c>
      <c r="D101" s="698">
        <v>3115.5258268618177</v>
      </c>
      <c r="E101" s="698">
        <v>3117.2415746567003</v>
      </c>
      <c r="I101" s="672" t="s">
        <v>573</v>
      </c>
      <c r="J101" s="722" t="b">
        <f>FINAL_OUTPUTS_OF_ITT_PLACES!I57</f>
        <v>0</v>
      </c>
      <c r="K101" s="383" t="b">
        <f>FINAL_OUTPUTS_OF_ITT_PLACES!J57</f>
        <v>0</v>
      </c>
    </row>
    <row r="102" spans="2:15" ht="33.75">
      <c r="B102" s="696" t="s">
        <v>574</v>
      </c>
      <c r="C102" s="697">
        <f>FINAL_OUTPUTS_OF_ITT_PLACES!G58</f>
        <v>1600.3477250366259</v>
      </c>
      <c r="D102" s="698">
        <v>1600.3477250366259</v>
      </c>
      <c r="E102" s="698">
        <v>1600.610151460854</v>
      </c>
      <c r="I102" s="672" t="s">
        <v>574</v>
      </c>
      <c r="J102" s="722" t="b">
        <f>FINAL_OUTPUTS_OF_ITT_PLACES!I58</f>
        <v>0</v>
      </c>
      <c r="K102" s="383" t="b">
        <f>FINAL_OUTPUTS_OF_ITT_PLACES!J58</f>
        <v>0</v>
      </c>
    </row>
    <row r="103" spans="2:15">
      <c r="B103" s="695" t="str">
        <f>FINAL_OUTPUTS_OF_ITT_PLACES!B59</f>
        <v>Music</v>
      </c>
      <c r="C103" s="697">
        <f>FINAL_OUTPUTS_OF_ITT_PLACES!G59</f>
        <v>409.34458408314538</v>
      </c>
      <c r="D103" s="698">
        <v>409.34458408314538</v>
      </c>
      <c r="E103" s="698">
        <v>379.63625244408036</v>
      </c>
      <c r="I103" s="243" t="s">
        <v>5</v>
      </c>
      <c r="J103" s="722" t="b">
        <f>FINAL_OUTPUTS_OF_ITT_PLACES!I59</f>
        <v>0</v>
      </c>
      <c r="K103" s="383" t="b">
        <f>FINAL_OUTPUTS_OF_ITT_PLACES!J59</f>
        <v>0</v>
      </c>
    </row>
    <row r="104" spans="2:15">
      <c r="B104" s="695" t="str">
        <f>FINAL_OUTPUTS_OF_ITT_PLACES!B60</f>
        <v>Others</v>
      </c>
      <c r="C104" s="697">
        <f>FINAL_OUTPUTS_OF_ITT_PLACES!G60</f>
        <v>895.72352580467782</v>
      </c>
      <c r="D104" s="698">
        <v>895.72352580467782</v>
      </c>
      <c r="E104" s="698">
        <v>898.2694072409937</v>
      </c>
      <c r="I104" s="243" t="s">
        <v>711</v>
      </c>
      <c r="J104" s="722" t="b">
        <f>FINAL_OUTPUTS_OF_ITT_PLACES!I60</f>
        <v>0</v>
      </c>
      <c r="K104" s="383" t="b">
        <f>FINAL_OUTPUTS_OF_ITT_PLACES!J60</f>
        <v>0</v>
      </c>
    </row>
    <row r="105" spans="2:15" ht="22.5">
      <c r="B105" s="695" t="str">
        <f>FINAL_OUTPUTS_OF_ITT_PLACES!B61</f>
        <v>Physical Education</v>
      </c>
      <c r="C105" s="697">
        <f>FINAL_OUTPUTS_OF_ITT_PLACES!G61</f>
        <v>1078.2671831731634</v>
      </c>
      <c r="D105" s="698">
        <v>1078.2671831731634</v>
      </c>
      <c r="E105" s="698">
        <v>1078.7133583883244</v>
      </c>
      <c r="I105" s="243" t="s">
        <v>575</v>
      </c>
      <c r="J105" s="722" t="b">
        <f>FINAL_OUTPUTS_OF_ITT_PLACES!I61</f>
        <v>0</v>
      </c>
      <c r="K105" s="383" t="b">
        <f>FINAL_OUTPUTS_OF_ITT_PLACES!J61</f>
        <v>0</v>
      </c>
    </row>
    <row r="106" spans="2:15">
      <c r="B106" s="696" t="str">
        <f>FINAL_OUTPUTS_OF_ITT_PLACES!B62</f>
        <v>Physics</v>
      </c>
      <c r="C106" s="697">
        <f>FINAL_OUTPUTS_OF_ITT_PLACES!G62</f>
        <v>1219.1223297023664</v>
      </c>
      <c r="D106" s="698">
        <v>1219.1223297023664</v>
      </c>
      <c r="E106" s="698">
        <v>1153.1917056763316</v>
      </c>
      <c r="I106" s="672" t="s">
        <v>2</v>
      </c>
      <c r="J106" s="722" t="b">
        <f>FINAL_OUTPUTS_OF_ITT_PLACES!I62</f>
        <v>0</v>
      </c>
      <c r="K106" s="383" t="b">
        <f>FINAL_OUTPUTS_OF_ITT_PLACES!J62</f>
        <v>0</v>
      </c>
    </row>
    <row r="107" spans="2:15" ht="22.5">
      <c r="B107" s="695" t="str">
        <f>FINAL_OUTPUTS_OF_ITT_PLACES!B63</f>
        <v>Religious Education</v>
      </c>
      <c r="C107" s="697">
        <f>FINAL_OUTPUTS_OF_ITT_PLACES!G63</f>
        <v>643.48147436594184</v>
      </c>
      <c r="D107" s="698">
        <v>643.48147436594184</v>
      </c>
      <c r="E107" s="698">
        <v>643.48147436594184</v>
      </c>
      <c r="I107" s="243" t="s">
        <v>576</v>
      </c>
      <c r="J107" s="722" t="b">
        <f>FINAL_OUTPUTS_OF_ITT_PLACES!I63</f>
        <v>1</v>
      </c>
      <c r="K107" s="383" t="b">
        <f>FINAL_OUTPUTS_OF_ITT_PLACES!J63</f>
        <v>1</v>
      </c>
    </row>
    <row r="108" spans="2:15">
      <c r="B108" s="243" t="s">
        <v>8</v>
      </c>
      <c r="C108" s="557">
        <f>SUM(C88:C107)</f>
        <v>32225.773409162688</v>
      </c>
      <c r="D108" s="698">
        <v>32225.773409162688</v>
      </c>
      <c r="E108" s="698">
        <v>31786.859279791588</v>
      </c>
      <c r="G108" s="312"/>
      <c r="H108" s="312"/>
      <c r="I108" s="312"/>
      <c r="J108" s="561"/>
    </row>
    <row r="110" spans="2:15" ht="15.75">
      <c r="B110" s="77" t="s">
        <v>1306</v>
      </c>
    </row>
    <row r="111" spans="2:15">
      <c r="B111" s="75"/>
    </row>
    <row r="112" spans="2:15" s="312" customFormat="1" ht="31.5" customHeight="1">
      <c r="B112" s="444" t="s">
        <v>1203</v>
      </c>
      <c r="C112" s="1184" t="s">
        <v>1538</v>
      </c>
      <c r="D112" s="1184"/>
      <c r="E112" s="1184"/>
    </row>
    <row r="113" spans="2:5">
      <c r="B113" s="815" t="str">
        <f t="shared" ref="B113:B132" si="6">B88</f>
        <v>Primary</v>
      </c>
      <c r="C113" s="816"/>
      <c r="D113" s="1106">
        <f t="shared" ref="D113:D133" si="7">$C88-D88</f>
        <v>0</v>
      </c>
      <c r="E113" s="817"/>
    </row>
    <row r="114" spans="2:5">
      <c r="B114" s="731" t="str">
        <f t="shared" si="6"/>
        <v>Art &amp; Design</v>
      </c>
      <c r="C114" s="816"/>
      <c r="D114" s="1106">
        <f t="shared" si="7"/>
        <v>0</v>
      </c>
      <c r="E114" s="817"/>
    </row>
    <row r="115" spans="2:5">
      <c r="B115" s="560" t="str">
        <f t="shared" si="6"/>
        <v>Biology</v>
      </c>
      <c r="C115" s="816"/>
      <c r="D115" s="1106">
        <f t="shared" si="7"/>
        <v>0</v>
      </c>
      <c r="E115" s="817"/>
    </row>
    <row r="116" spans="2:5">
      <c r="B116" s="731" t="str">
        <f t="shared" si="6"/>
        <v>Business Studies</v>
      </c>
      <c r="C116" s="816"/>
      <c r="D116" s="1106">
        <f t="shared" si="7"/>
        <v>0</v>
      </c>
      <c r="E116" s="817"/>
    </row>
    <row r="117" spans="2:5">
      <c r="B117" s="560" t="str">
        <f t="shared" si="6"/>
        <v>Chemistry</v>
      </c>
      <c r="C117" s="816"/>
      <c r="D117" s="1106">
        <f t="shared" si="7"/>
        <v>0</v>
      </c>
      <c r="E117" s="817"/>
    </row>
    <row r="118" spans="2:5">
      <c r="B118" s="560" t="str">
        <f t="shared" si="6"/>
        <v>Classics</v>
      </c>
      <c r="C118" s="816"/>
      <c r="D118" s="1106">
        <f t="shared" si="7"/>
        <v>0</v>
      </c>
      <c r="E118" s="817"/>
    </row>
    <row r="119" spans="2:5">
      <c r="B119" s="560" t="str">
        <f t="shared" si="6"/>
        <v>Computing</v>
      </c>
      <c r="C119" s="816"/>
      <c r="D119" s="1106">
        <f t="shared" si="7"/>
        <v>0</v>
      </c>
      <c r="E119" s="817"/>
    </row>
    <row r="120" spans="2:5" ht="22.5">
      <c r="B120" s="731" t="str">
        <f t="shared" si="6"/>
        <v>Design &amp; Technology</v>
      </c>
      <c r="C120" s="816"/>
      <c r="D120" s="1106">
        <f t="shared" si="7"/>
        <v>0</v>
      </c>
      <c r="E120" s="817"/>
    </row>
    <row r="121" spans="2:5">
      <c r="B121" s="731" t="str">
        <f t="shared" si="6"/>
        <v>Drama</v>
      </c>
      <c r="C121" s="816"/>
      <c r="D121" s="1106">
        <f t="shared" si="7"/>
        <v>0</v>
      </c>
      <c r="E121" s="817"/>
    </row>
    <row r="122" spans="2:5">
      <c r="B122" s="560" t="str">
        <f t="shared" si="6"/>
        <v>English</v>
      </c>
      <c r="C122" s="816"/>
      <c r="D122" s="1106">
        <f t="shared" si="7"/>
        <v>0</v>
      </c>
      <c r="E122" s="817"/>
    </row>
    <row r="123" spans="2:5">
      <c r="B123" s="731" t="str">
        <f t="shared" si="6"/>
        <v>Food</v>
      </c>
      <c r="C123" s="816"/>
      <c r="D123" s="1106">
        <f t="shared" si="7"/>
        <v>0</v>
      </c>
      <c r="E123" s="817"/>
    </row>
    <row r="124" spans="2:5">
      <c r="B124" s="560" t="str">
        <f t="shared" si="6"/>
        <v>Geography</v>
      </c>
      <c r="C124" s="816"/>
      <c r="D124" s="1106">
        <f t="shared" si="7"/>
        <v>0</v>
      </c>
      <c r="E124" s="817"/>
    </row>
    <row r="125" spans="2:5">
      <c r="B125" s="560" t="str">
        <f t="shared" si="6"/>
        <v>History</v>
      </c>
      <c r="C125" s="816"/>
      <c r="D125" s="1106">
        <f t="shared" si="7"/>
        <v>0</v>
      </c>
      <c r="E125" s="817"/>
    </row>
    <row r="126" spans="2:5">
      <c r="B126" s="560" t="str">
        <f t="shared" si="6"/>
        <v>Mathematics</v>
      </c>
      <c r="C126" s="816"/>
      <c r="D126" s="1106">
        <f t="shared" si="7"/>
        <v>0</v>
      </c>
      <c r="E126" s="817"/>
    </row>
    <row r="127" spans="2:5" ht="22.5">
      <c r="B127" s="672" t="str">
        <f t="shared" si="6"/>
        <v>Modern Foreign Languages</v>
      </c>
      <c r="C127" s="816"/>
      <c r="D127" s="1106">
        <f t="shared" si="7"/>
        <v>0</v>
      </c>
      <c r="E127" s="817"/>
    </row>
    <row r="128" spans="2:5">
      <c r="B128" s="731" t="str">
        <f t="shared" si="6"/>
        <v>Music</v>
      </c>
      <c r="C128" s="816"/>
      <c r="D128" s="1106">
        <f t="shared" si="7"/>
        <v>0</v>
      </c>
      <c r="E128" s="817"/>
    </row>
    <row r="129" spans="2:17">
      <c r="B129" s="731" t="str">
        <f t="shared" si="6"/>
        <v>Others</v>
      </c>
      <c r="C129" s="816"/>
      <c r="D129" s="1106">
        <f t="shared" si="7"/>
        <v>0</v>
      </c>
      <c r="E129" s="817"/>
    </row>
    <row r="130" spans="2:17">
      <c r="B130" s="731" t="str">
        <f t="shared" si="6"/>
        <v>Physical Education</v>
      </c>
      <c r="C130" s="816"/>
      <c r="D130" s="1106">
        <f t="shared" si="7"/>
        <v>0</v>
      </c>
      <c r="E130" s="817"/>
    </row>
    <row r="131" spans="2:17">
      <c r="B131" s="560" t="str">
        <f t="shared" si="6"/>
        <v>Physics</v>
      </c>
      <c r="C131" s="816"/>
      <c r="D131" s="1106">
        <f t="shared" si="7"/>
        <v>0</v>
      </c>
      <c r="E131" s="817"/>
    </row>
    <row r="132" spans="2:17">
      <c r="B132" s="559" t="str">
        <f t="shared" si="6"/>
        <v>Religious Education</v>
      </c>
      <c r="C132" s="816"/>
      <c r="D132" s="1106">
        <f t="shared" si="7"/>
        <v>0</v>
      </c>
      <c r="E132" s="817"/>
    </row>
    <row r="133" spans="2:17">
      <c r="B133" s="558" t="s">
        <v>8</v>
      </c>
      <c r="C133" s="816"/>
      <c r="D133" s="1106">
        <f t="shared" si="7"/>
        <v>0</v>
      </c>
      <c r="E133" s="817"/>
    </row>
    <row r="134" spans="2:17">
      <c r="B134" s="558" t="s">
        <v>865</v>
      </c>
      <c r="C134" s="816"/>
      <c r="D134" s="1106">
        <f>SUM(D114:D132)</f>
        <v>0</v>
      </c>
      <c r="E134" s="817"/>
    </row>
    <row r="135" spans="2:17" ht="23.25">
      <c r="B135" s="814"/>
    </row>
    <row r="136" spans="2:17" ht="23.25">
      <c r="B136" s="814" t="s">
        <v>1290</v>
      </c>
    </row>
    <row r="137" spans="2:17">
      <c r="B137" s="12"/>
    </row>
    <row r="138" spans="2:17" ht="18">
      <c r="B138" s="916" t="s">
        <v>1297</v>
      </c>
      <c r="I138" s="114"/>
    </row>
    <row r="139" spans="2:17" ht="18">
      <c r="B139" s="38"/>
      <c r="I139" s="114"/>
    </row>
    <row r="140" spans="2:17">
      <c r="B140" s="147" t="s">
        <v>1321</v>
      </c>
      <c r="I140" s="114"/>
    </row>
    <row r="141" spans="2:17" ht="12.75" customHeight="1">
      <c r="B141" s="1193" t="s">
        <v>1712</v>
      </c>
      <c r="C141" s="1194"/>
      <c r="D141" s="1194"/>
      <c r="E141" s="1194"/>
      <c r="F141" s="1194"/>
      <c r="G141" s="1194"/>
      <c r="H141" s="1194"/>
      <c r="I141" s="1194"/>
      <c r="J141" s="1194"/>
      <c r="K141" s="1194"/>
      <c r="L141" s="1194"/>
      <c r="M141" s="1194"/>
      <c r="N141" s="1194"/>
      <c r="O141" s="1194"/>
      <c r="P141" s="1194"/>
      <c r="Q141" s="1194"/>
    </row>
    <row r="142" spans="2:17">
      <c r="B142" s="1194"/>
      <c r="C142" s="1194"/>
      <c r="D142" s="1194"/>
      <c r="E142" s="1194"/>
      <c r="F142" s="1194"/>
      <c r="G142" s="1194"/>
      <c r="H142" s="1194"/>
      <c r="I142" s="1194"/>
      <c r="J142" s="1194"/>
      <c r="K142" s="1194"/>
      <c r="L142" s="1194"/>
      <c r="M142" s="1194"/>
      <c r="N142" s="1194"/>
      <c r="O142" s="1194"/>
      <c r="P142" s="1194"/>
      <c r="Q142" s="1194"/>
    </row>
    <row r="143" spans="2:17">
      <c r="B143" s="1194"/>
      <c r="C143" s="1194"/>
      <c r="D143" s="1194"/>
      <c r="E143" s="1194"/>
      <c r="F143" s="1194"/>
      <c r="G143" s="1194"/>
      <c r="H143" s="1194"/>
      <c r="I143" s="1194"/>
      <c r="J143" s="1194"/>
      <c r="K143" s="1194"/>
      <c r="L143" s="1194"/>
      <c r="M143" s="1194"/>
      <c r="N143" s="1194"/>
      <c r="O143" s="1194"/>
      <c r="P143" s="1194"/>
      <c r="Q143" s="1194"/>
    </row>
    <row r="144" spans="2:17">
      <c r="B144" s="219"/>
      <c r="C144" s="219"/>
      <c r="D144" s="219"/>
      <c r="E144" s="219"/>
      <c r="F144" s="219"/>
      <c r="G144" s="219"/>
      <c r="H144" s="219"/>
      <c r="I144" s="219"/>
      <c r="J144" s="219"/>
      <c r="K144" s="219"/>
      <c r="L144" s="219"/>
      <c r="M144" s="219"/>
      <c r="N144" s="219"/>
      <c r="O144" s="219"/>
      <c r="P144" s="219"/>
      <c r="Q144" s="219"/>
    </row>
    <row r="145" spans="2:17">
      <c r="B145" s="699" t="s">
        <v>1298</v>
      </c>
      <c r="C145" s="219"/>
      <c r="D145" s="219"/>
      <c r="E145" s="219"/>
      <c r="F145" s="219"/>
      <c r="G145" s="219"/>
      <c r="H145" s="219"/>
      <c r="I145" s="219"/>
      <c r="J145" s="219"/>
      <c r="K145" s="219"/>
      <c r="L145" s="219"/>
      <c r="M145" s="219"/>
      <c r="N145" s="219"/>
      <c r="O145" s="219"/>
      <c r="P145" s="219"/>
      <c r="Q145" s="219"/>
    </row>
    <row r="146" spans="2:17">
      <c r="B146" s="699"/>
      <c r="C146" s="219"/>
      <c r="D146" s="219"/>
      <c r="E146" s="219"/>
      <c r="F146" s="219"/>
      <c r="G146" s="219"/>
      <c r="H146" s="219"/>
      <c r="I146" s="219"/>
      <c r="J146" s="219"/>
      <c r="K146" s="219"/>
      <c r="L146" s="219"/>
      <c r="M146" s="219"/>
      <c r="N146" s="219"/>
      <c r="O146" s="219"/>
      <c r="P146" s="219"/>
      <c r="Q146" s="219"/>
    </row>
    <row r="147" spans="2:17">
      <c r="B147" s="1193" t="s">
        <v>1713</v>
      </c>
      <c r="C147" s="1193"/>
      <c r="D147" s="1193"/>
      <c r="E147" s="1193"/>
      <c r="F147" s="1193"/>
      <c r="G147" s="1193"/>
      <c r="H147" s="1193"/>
      <c r="I147" s="1193"/>
      <c r="J147" s="1193"/>
      <c r="K147" s="1193"/>
      <c r="L147" s="1193"/>
      <c r="M147" s="1193"/>
      <c r="N147" s="1193"/>
      <c r="O147" s="1193"/>
      <c r="P147" s="1193"/>
      <c r="Q147" s="1193"/>
    </row>
    <row r="148" spans="2:17">
      <c r="B148" s="1193"/>
      <c r="C148" s="1193"/>
      <c r="D148" s="1193"/>
      <c r="E148" s="1193"/>
      <c r="F148" s="1193"/>
      <c r="G148" s="1193"/>
      <c r="H148" s="1193"/>
      <c r="I148" s="1193"/>
      <c r="J148" s="1193"/>
      <c r="K148" s="1193"/>
      <c r="L148" s="1193"/>
      <c r="M148" s="1193"/>
      <c r="N148" s="1193"/>
      <c r="O148" s="1193"/>
      <c r="P148" s="1193"/>
      <c r="Q148" s="1193"/>
    </row>
    <row r="149" spans="2:17">
      <c r="B149" s="1030"/>
      <c r="C149" s="1030"/>
      <c r="D149" s="1030"/>
      <c r="E149" s="1030"/>
      <c r="F149" s="1030"/>
      <c r="G149" s="1030"/>
      <c r="H149" s="1030"/>
      <c r="I149" s="1030"/>
      <c r="J149" s="1030"/>
      <c r="K149" s="1030"/>
      <c r="L149" s="1030"/>
      <c r="M149" s="1030"/>
      <c r="N149" s="1030"/>
      <c r="O149" s="1030"/>
      <c r="P149" s="1030"/>
      <c r="Q149" s="1030"/>
    </row>
    <row r="150" spans="2:17">
      <c r="B150" s="75" t="s">
        <v>46</v>
      </c>
      <c r="F150" s="75" t="s">
        <v>47</v>
      </c>
    </row>
    <row r="155" spans="2:17">
      <c r="B155" s="1117" t="s">
        <v>1281</v>
      </c>
      <c r="C155" s="75"/>
      <c r="D155" s="75"/>
      <c r="E155" s="75"/>
      <c r="F155" s="220"/>
    </row>
    <row r="156" spans="2:17" s="2" customFormat="1">
      <c r="C156" s="401"/>
      <c r="D156" s="402"/>
      <c r="G156" s="403"/>
      <c r="H156" s="402"/>
    </row>
    <row r="157" spans="2:17" s="2" customFormat="1" ht="13.15" customHeight="1">
      <c r="B157" s="1195" t="s">
        <v>1730</v>
      </c>
      <c r="C157" s="1196"/>
      <c r="D157" s="1196"/>
      <c r="E157" s="1196"/>
      <c r="F157" s="1196"/>
      <c r="G157" s="1196"/>
      <c r="H157" s="1196"/>
      <c r="I157" s="1196"/>
      <c r="J157" s="1196"/>
      <c r="K157" s="1196"/>
      <c r="L157" s="1196"/>
      <c r="M157" s="1196"/>
      <c r="N157" s="1196"/>
      <c r="O157" s="1196"/>
      <c r="P157" s="1196"/>
      <c r="Q157" s="1196"/>
    </row>
    <row r="158" spans="2:17">
      <c r="B158" s="1196"/>
      <c r="C158" s="1196"/>
      <c r="D158" s="1196"/>
      <c r="E158" s="1196"/>
      <c r="F158" s="1196"/>
      <c r="G158" s="1196"/>
      <c r="H158" s="1196"/>
      <c r="I158" s="1196"/>
      <c r="J158" s="1196"/>
      <c r="K158" s="1196"/>
      <c r="L158" s="1196"/>
      <c r="M158" s="1196"/>
      <c r="N158" s="1196"/>
      <c r="O158" s="1196"/>
      <c r="P158" s="1196"/>
      <c r="Q158" s="1196"/>
    </row>
    <row r="159" spans="2:17">
      <c r="C159" s="902"/>
      <c r="D159" s="902"/>
      <c r="E159" s="902"/>
      <c r="F159" s="902"/>
      <c r="G159" s="902"/>
      <c r="H159" s="902"/>
      <c r="I159" s="902"/>
      <c r="J159" s="902"/>
      <c r="K159" s="902"/>
      <c r="L159" s="902"/>
      <c r="M159" s="902"/>
      <c r="N159" s="902"/>
      <c r="O159" s="902"/>
      <c r="P159" s="902"/>
      <c r="Q159" s="902"/>
    </row>
    <row r="160" spans="2:17">
      <c r="C160" s="902"/>
      <c r="D160" s="902"/>
      <c r="E160" s="902"/>
      <c r="F160" s="903" t="str">
        <f>Data_selected_by_user_testing!D15</f>
        <v>2015/16</v>
      </c>
      <c r="G160" s="903" t="str">
        <f>Data_selected_by_user_testing!E15</f>
        <v>2016/17</v>
      </c>
      <c r="H160" s="903" t="str">
        <f>Data_selected_by_user_testing!F15</f>
        <v>2017/18</v>
      </c>
      <c r="I160" s="903" t="str">
        <f>Data_selected_by_user_testing!G15</f>
        <v>2018/19</v>
      </c>
      <c r="J160" s="903" t="str">
        <f>Data_selected_by_user_testing!H15</f>
        <v>2019/20</v>
      </c>
      <c r="K160" s="903" t="str">
        <f>Data_selected_by_user_testing!I15</f>
        <v>2020/21</v>
      </c>
      <c r="L160" s="903" t="str">
        <f>Data_selected_by_user_testing!J15</f>
        <v>2021/22</v>
      </c>
      <c r="M160" s="902"/>
      <c r="N160" s="902"/>
      <c r="O160" s="902"/>
      <c r="P160" s="902"/>
      <c r="Q160" s="902"/>
    </row>
    <row r="161" spans="2:17">
      <c r="B161" s="1198" t="s">
        <v>1642</v>
      </c>
      <c r="C161" s="1171"/>
      <c r="D161" s="1171"/>
      <c r="E161" s="904" t="s">
        <v>46</v>
      </c>
      <c r="F161" s="905">
        <f>RAW_DATA_INPUTS!C207</f>
        <v>1</v>
      </c>
      <c r="G161" s="905">
        <f>RAW_DATA_INPUTS!D207</f>
        <v>1.04995184684276</v>
      </c>
      <c r="H161" s="905">
        <f>RAW_DATA_INPUTS!E207</f>
        <v>1.04558216311712</v>
      </c>
      <c r="I161" s="905">
        <f>RAW_DATA_INPUTS!F207</f>
        <v>1.0079887616902601</v>
      </c>
      <c r="J161" s="905">
        <f>RAW_DATA_INPUTS!G207</f>
        <v>1.04581566263681</v>
      </c>
      <c r="K161" s="905">
        <f>RAW_DATA_INPUTS!H207</f>
        <v>1.0261777775287699</v>
      </c>
      <c r="L161" s="905">
        <f>RAW_DATA_INPUTS!I207</f>
        <v>1.0261777775287699</v>
      </c>
      <c r="M161" s="902"/>
      <c r="N161" s="902"/>
      <c r="O161" s="902"/>
      <c r="P161" s="902"/>
      <c r="Q161" s="902"/>
    </row>
    <row r="162" spans="2:17">
      <c r="B162" s="1171"/>
      <c r="C162" s="1171"/>
      <c r="D162" s="1171"/>
      <c r="E162" s="904" t="s">
        <v>47</v>
      </c>
      <c r="F162" s="905">
        <f>RAW_DATA_INPUTS!C210</f>
        <v>1</v>
      </c>
      <c r="G162" s="905">
        <f>RAW_DATA_INPUTS!D210</f>
        <v>0.99076950608168002</v>
      </c>
      <c r="H162" s="905">
        <f>RAW_DATA_INPUTS!E210</f>
        <v>1.0070122869873499</v>
      </c>
      <c r="I162" s="905">
        <f>RAW_DATA_INPUTS!F210</f>
        <v>1.0119890708727699</v>
      </c>
      <c r="J162" s="905">
        <f>RAW_DATA_INPUTS!G210</f>
        <v>1.02883528649933</v>
      </c>
      <c r="K162" s="905">
        <f>RAW_DATA_INPUTS!H210</f>
        <v>1.04206143174539</v>
      </c>
      <c r="L162" s="905">
        <f>RAW_DATA_INPUTS!I210</f>
        <v>1.04206143174539</v>
      </c>
      <c r="M162" s="902"/>
      <c r="N162" s="902"/>
      <c r="O162" s="902"/>
      <c r="P162" s="902"/>
      <c r="Q162" s="902"/>
    </row>
    <row r="163" spans="2:17">
      <c r="B163" s="1171" t="s">
        <v>1282</v>
      </c>
      <c r="C163" s="1171"/>
      <c r="D163" s="1171"/>
      <c r="E163" s="904" t="s">
        <v>46</v>
      </c>
      <c r="F163" s="905">
        <v>1</v>
      </c>
      <c r="G163" s="905">
        <v>1.0592620914030249</v>
      </c>
      <c r="H163" s="905">
        <v>1.0683201747129456</v>
      </c>
      <c r="I163" s="905">
        <v>1.040406436843089</v>
      </c>
      <c r="J163" s="905">
        <v>0.98875306470678115</v>
      </c>
      <c r="K163" s="905">
        <v>0.92659224521734762</v>
      </c>
      <c r="L163" s="905">
        <v>0.86715616528811623</v>
      </c>
      <c r="M163" s="902"/>
      <c r="N163" s="902"/>
      <c r="O163" s="902"/>
      <c r="P163" s="902"/>
      <c r="Q163" s="902"/>
    </row>
    <row r="164" spans="2:17">
      <c r="B164" s="1171"/>
      <c r="C164" s="1171"/>
      <c r="D164" s="1171"/>
      <c r="E164" s="904" t="s">
        <v>47</v>
      </c>
      <c r="F164" s="905">
        <v>1</v>
      </c>
      <c r="G164" s="905">
        <v>1.0213322486376983</v>
      </c>
      <c r="H164" s="905">
        <v>1.040010686413416</v>
      </c>
      <c r="I164" s="905">
        <v>1.0573066243939926</v>
      </c>
      <c r="J164" s="905">
        <v>1.0744913736462685</v>
      </c>
      <c r="K164" s="905">
        <v>1.0928362452370834</v>
      </c>
      <c r="L164" s="905">
        <v>1.1136125502332772</v>
      </c>
      <c r="M164" s="902"/>
      <c r="N164" s="902"/>
      <c r="O164" s="902"/>
      <c r="P164" s="902"/>
      <c r="Q164" s="902"/>
    </row>
    <row r="165" spans="2:17">
      <c r="B165" s="1205" t="s">
        <v>1278</v>
      </c>
      <c r="C165" s="1205"/>
      <c r="D165" s="1205"/>
      <c r="E165" s="904" t="s">
        <v>46</v>
      </c>
      <c r="F165" s="906">
        <v>1</v>
      </c>
      <c r="G165" s="906">
        <v>1</v>
      </c>
      <c r="H165" s="906">
        <v>1</v>
      </c>
      <c r="I165" s="906">
        <v>1</v>
      </c>
      <c r="J165" s="906">
        <v>1</v>
      </c>
      <c r="K165" s="906">
        <v>1</v>
      </c>
      <c r="L165" s="906">
        <v>1</v>
      </c>
      <c r="M165" s="902"/>
      <c r="N165" s="902"/>
      <c r="O165" s="902"/>
      <c r="P165" s="902"/>
      <c r="Q165" s="902"/>
    </row>
    <row r="166" spans="2:17">
      <c r="B166" s="1205"/>
      <c r="C166" s="1205"/>
      <c r="D166" s="1205"/>
      <c r="E166" s="904" t="s">
        <v>47</v>
      </c>
      <c r="F166" s="906">
        <v>1</v>
      </c>
      <c r="G166" s="906">
        <v>1</v>
      </c>
      <c r="H166" s="906">
        <v>1</v>
      </c>
      <c r="I166" s="906">
        <v>1</v>
      </c>
      <c r="J166" s="906">
        <v>1</v>
      </c>
      <c r="K166" s="906">
        <v>1</v>
      </c>
      <c r="L166" s="906">
        <v>1</v>
      </c>
      <c r="M166" s="902"/>
      <c r="N166" s="902"/>
      <c r="O166" s="902"/>
      <c r="P166" s="902"/>
      <c r="Q166" s="902"/>
    </row>
    <row r="167" spans="2:17">
      <c r="C167" s="404"/>
      <c r="D167" s="404"/>
      <c r="E167" s="404"/>
      <c r="F167" s="404"/>
      <c r="G167" s="404"/>
      <c r="H167" s="404"/>
      <c r="I167" s="404"/>
      <c r="J167" s="404"/>
      <c r="K167" s="404"/>
      <c r="L167" s="404"/>
      <c r="M167" s="404"/>
      <c r="N167" s="404"/>
      <c r="O167" s="404"/>
      <c r="P167" s="404"/>
      <c r="Q167" s="404"/>
    </row>
    <row r="168" spans="2:17" ht="18">
      <c r="B168" s="916" t="s">
        <v>1299</v>
      </c>
    </row>
    <row r="169" spans="2:17" ht="18">
      <c r="B169" s="38"/>
    </row>
    <row r="170" spans="2:17">
      <c r="B170" s="147" t="s">
        <v>326</v>
      </c>
    </row>
    <row r="171" spans="2:17">
      <c r="B171" s="147"/>
    </row>
    <row r="172" spans="2:17">
      <c r="B172" s="1194" t="s">
        <v>493</v>
      </c>
      <c r="C172" s="1194"/>
      <c r="D172" s="1194"/>
      <c r="E172" s="1194"/>
      <c r="F172" s="1194"/>
      <c r="G172" s="1194"/>
      <c r="H172" s="1194"/>
      <c r="I172" s="1194"/>
      <c r="J172" s="1194"/>
      <c r="K172" s="1194"/>
      <c r="L172" s="1194"/>
      <c r="M172" s="1194"/>
      <c r="N172" s="1194"/>
      <c r="O172" s="1194"/>
      <c r="P172" s="1194"/>
      <c r="Q172" s="1194"/>
    </row>
    <row r="173" spans="2:17">
      <c r="B173" s="1194"/>
      <c r="C173" s="1194"/>
      <c r="D173" s="1194"/>
      <c r="E173" s="1194"/>
      <c r="F173" s="1194"/>
      <c r="G173" s="1194"/>
      <c r="H173" s="1194"/>
      <c r="I173" s="1194"/>
      <c r="J173" s="1194"/>
      <c r="K173" s="1194"/>
      <c r="L173" s="1194"/>
      <c r="M173" s="1194"/>
      <c r="N173" s="1194"/>
      <c r="O173" s="1194"/>
      <c r="P173" s="1194"/>
      <c r="Q173" s="1194"/>
    </row>
    <row r="174" spans="2:17">
      <c r="B174" s="219"/>
      <c r="C174" s="219"/>
      <c r="D174" s="219"/>
      <c r="E174" s="219"/>
      <c r="F174" s="219"/>
      <c r="G174" s="219"/>
      <c r="H174" s="219"/>
      <c r="I174" s="219"/>
      <c r="J174" s="219"/>
      <c r="K174" s="219"/>
      <c r="L174" s="219"/>
      <c r="M174" s="219"/>
      <c r="N174" s="219"/>
      <c r="O174" s="219"/>
      <c r="P174" s="219"/>
      <c r="Q174" s="219"/>
    </row>
    <row r="175" spans="2:17">
      <c r="B175" s="945" t="s">
        <v>1441</v>
      </c>
      <c r="C175" s="945"/>
      <c r="D175" s="945"/>
      <c r="E175" s="945"/>
      <c r="F175" s="945"/>
      <c r="G175" s="945"/>
      <c r="H175" s="945"/>
      <c r="I175" s="945"/>
      <c r="J175" s="945"/>
      <c r="K175" s="945"/>
      <c r="L175" s="945"/>
      <c r="M175" s="945"/>
      <c r="N175" s="945"/>
      <c r="O175" s="945"/>
      <c r="P175" s="945"/>
      <c r="Q175" s="219"/>
    </row>
    <row r="176" spans="2:17">
      <c r="B176" s="219"/>
      <c r="C176" s="219"/>
      <c r="D176" s="219"/>
      <c r="E176" s="219"/>
      <c r="F176" s="219"/>
      <c r="G176" s="219"/>
      <c r="H176" s="219"/>
      <c r="I176" s="219"/>
      <c r="J176" s="219"/>
      <c r="K176" s="219"/>
      <c r="L176" s="219"/>
      <c r="M176" s="219"/>
      <c r="N176" s="219"/>
      <c r="O176" s="219"/>
      <c r="P176" s="219"/>
      <c r="Q176" s="219"/>
    </row>
    <row r="177" spans="2:14">
      <c r="B177" s="75" t="s">
        <v>246</v>
      </c>
      <c r="F177" s="75" t="s">
        <v>1558</v>
      </c>
      <c r="J177" s="75" t="s">
        <v>1559</v>
      </c>
      <c r="N177" s="75" t="s">
        <v>1560</v>
      </c>
    </row>
    <row r="182" spans="2:14" ht="18">
      <c r="B182" s="916" t="s">
        <v>1329</v>
      </c>
    </row>
    <row r="183" spans="2:14" ht="18">
      <c r="B183" s="38"/>
    </row>
    <row r="184" spans="2:14">
      <c r="B184" s="147" t="s">
        <v>1653</v>
      </c>
    </row>
    <row r="185" spans="2:14">
      <c r="B185" s="147"/>
    </row>
    <row r="186" spans="2:14">
      <c r="B186" s="147" t="s">
        <v>300</v>
      </c>
    </row>
    <row r="187" spans="2:14">
      <c r="B187" s="147"/>
    </row>
    <row r="188" spans="2:14">
      <c r="B188" s="147" t="s">
        <v>327</v>
      </c>
    </row>
    <row r="189" spans="2:14">
      <c r="B189" s="147"/>
    </row>
    <row r="190" spans="2:14">
      <c r="B190" s="147" t="s">
        <v>1731</v>
      </c>
    </row>
    <row r="191" spans="2:14">
      <c r="B191" s="147"/>
    </row>
    <row r="192" spans="2:14">
      <c r="B192" s="147" t="s">
        <v>301</v>
      </c>
    </row>
    <row r="193" spans="2:32">
      <c r="B193" s="147"/>
    </row>
    <row r="194" spans="2:32">
      <c r="B194" s="1197" t="s">
        <v>1714</v>
      </c>
      <c r="C194" s="1197"/>
      <c r="D194" s="1197"/>
      <c r="E194" s="1197"/>
      <c r="F194" s="1197"/>
      <c r="G194" s="1197"/>
      <c r="H194" s="1197"/>
      <c r="I194" s="1197"/>
      <c r="J194" s="1197"/>
      <c r="K194" s="1197"/>
      <c r="L194" s="1197"/>
      <c r="M194" s="1197"/>
      <c r="N194" s="1197"/>
      <c r="O194" s="1197"/>
      <c r="P194" s="1197"/>
      <c r="Q194" s="1197"/>
      <c r="R194" s="1197"/>
    </row>
    <row r="195" spans="2:32">
      <c r="B195" s="1197"/>
      <c r="C195" s="1197"/>
      <c r="D195" s="1197"/>
      <c r="E195" s="1197"/>
      <c r="F195" s="1197"/>
      <c r="G195" s="1197"/>
      <c r="H195" s="1197"/>
      <c r="I195" s="1197"/>
      <c r="J195" s="1197"/>
      <c r="K195" s="1197"/>
      <c r="L195" s="1197"/>
      <c r="M195" s="1197"/>
      <c r="N195" s="1197"/>
      <c r="O195" s="1197"/>
      <c r="P195" s="1197"/>
      <c r="Q195" s="1197"/>
      <c r="R195" s="1197"/>
    </row>
    <row r="196" spans="2:32">
      <c r="B196" s="75" t="s">
        <v>40</v>
      </c>
      <c r="F196" s="75" t="s">
        <v>249</v>
      </c>
      <c r="J196" s="399" t="s">
        <v>494</v>
      </c>
    </row>
    <row r="198" spans="2:32">
      <c r="J198" s="397" t="s">
        <v>71</v>
      </c>
      <c r="K198" s="218" t="str">
        <f>Calc_Primary_teacher_need!O18</f>
        <v>2016/17</v>
      </c>
      <c r="L198" s="218" t="str">
        <f>Calc_Primary_teacher_need!P18</f>
        <v>2017/18</v>
      </c>
      <c r="M198" s="218" t="str">
        <f>Calc_Primary_teacher_need!Q18</f>
        <v>2018/19</v>
      </c>
      <c r="N198" s="218" t="str">
        <f>Calc_Primary_teacher_need!R18</f>
        <v>2019/20</v>
      </c>
      <c r="O198" s="218" t="str">
        <f>Calc_Primary_teacher_need!S18</f>
        <v>2020/21</v>
      </c>
      <c r="P198" s="218" t="str">
        <f>Calc_Primary_teacher_need!T18</f>
        <v>2021/22</v>
      </c>
      <c r="Q198" s="218" t="str">
        <f>Calc_Primary_teacher_need!U18</f>
        <v>2022/23</v>
      </c>
      <c r="R198" s="218" t="str">
        <f>Calc_Primary_teacher_need!V18</f>
        <v>2023/24</v>
      </c>
      <c r="S198" s="218" t="str">
        <f>Calc_Primary_teacher_need!W18</f>
        <v>2024/25</v>
      </c>
      <c r="T198" s="218" t="str">
        <f>Calc_Primary_teacher_need!X18</f>
        <v>2025/26</v>
      </c>
      <c r="U198" s="218" t="str">
        <f>Calc_Primary_teacher_need!Y18</f>
        <v>2026/27</v>
      </c>
      <c r="V198" s="218" t="str">
        <f>Calc_Primary_teacher_need!Z18</f>
        <v>2027/28</v>
      </c>
      <c r="W198" s="218" t="str">
        <f>Calc_Primary_teacher_need!AA18</f>
        <v>2028/29</v>
      </c>
    </row>
    <row r="199" spans="2:32">
      <c r="J199" s="397" t="s">
        <v>40</v>
      </c>
      <c r="K199" s="218" t="b">
        <f>Calc_Primary_teacher_need!G76</f>
        <v>0</v>
      </c>
      <c r="L199" s="218" t="b">
        <f>Calc_Primary_teacher_need!H76</f>
        <v>0</v>
      </c>
      <c r="M199" s="218" t="b">
        <f>Calc_Primary_teacher_need!I76</f>
        <v>0</v>
      </c>
      <c r="N199" s="218" t="b">
        <f>Calc_Primary_teacher_need!J76</f>
        <v>0</v>
      </c>
      <c r="O199" s="218" t="b">
        <f>Calc_Primary_teacher_need!K76</f>
        <v>0</v>
      </c>
      <c r="P199" s="218" t="b">
        <f>Calc_Primary_teacher_need!L76</f>
        <v>0</v>
      </c>
      <c r="Q199" s="218" t="b">
        <f>Calc_Primary_teacher_need!M76</f>
        <v>0</v>
      </c>
      <c r="R199" s="218" t="b">
        <f>Calc_Primary_teacher_need!N76</f>
        <v>0</v>
      </c>
      <c r="S199" s="218" t="b">
        <f>Calc_Primary_teacher_need!O76</f>
        <v>0</v>
      </c>
      <c r="T199" s="218" t="b">
        <f>Calc_Primary_teacher_need!P76</f>
        <v>0</v>
      </c>
      <c r="U199" s="218" t="b">
        <f>Calc_Primary_teacher_need!Q76</f>
        <v>0</v>
      </c>
      <c r="V199" s="218" t="b">
        <f>Calc_Primary_teacher_need!R76</f>
        <v>0</v>
      </c>
      <c r="W199" s="218" t="b">
        <f>Calc_Primary_teacher_need!S76</f>
        <v>0</v>
      </c>
    </row>
    <row r="200" spans="2:32">
      <c r="J200" s="397" t="s">
        <v>249</v>
      </c>
      <c r="K200" s="218" t="b">
        <f>Calc_overall_Sec_teacher_need!G69</f>
        <v>0</v>
      </c>
      <c r="L200" s="218" t="b">
        <f>Calc_overall_Sec_teacher_need!H69</f>
        <v>0</v>
      </c>
      <c r="M200" s="218" t="b">
        <f>Calc_overall_Sec_teacher_need!I69</f>
        <v>0</v>
      </c>
      <c r="N200" s="218" t="b">
        <f>Calc_overall_Sec_teacher_need!J69</f>
        <v>0</v>
      </c>
      <c r="O200" s="218" t="b">
        <f>Calc_overall_Sec_teacher_need!K69</f>
        <v>0</v>
      </c>
      <c r="P200" s="218" t="b">
        <f>Calc_overall_Sec_teacher_need!L69</f>
        <v>0</v>
      </c>
      <c r="Q200" s="218" t="b">
        <f>Calc_overall_Sec_teacher_need!M69</f>
        <v>0</v>
      </c>
      <c r="R200" s="218" t="b">
        <f>Calc_overall_Sec_teacher_need!N69</f>
        <v>1</v>
      </c>
      <c r="S200" s="218" t="b">
        <f>Calc_overall_Sec_teacher_need!O69</f>
        <v>1</v>
      </c>
      <c r="T200" s="218" t="b">
        <f>Calc_overall_Sec_teacher_need!P69</f>
        <v>1</v>
      </c>
      <c r="U200" s="218" t="b">
        <f>Calc_overall_Sec_teacher_need!Q69</f>
        <v>0</v>
      </c>
      <c r="V200" s="218" t="b">
        <f>Calc_overall_Sec_teacher_need!R69</f>
        <v>0</v>
      </c>
      <c r="W200" s="218" t="b">
        <f>Calc_overall_Sec_teacher_need!S69</f>
        <v>0</v>
      </c>
    </row>
    <row r="201" spans="2:32">
      <c r="B201" s="1117" t="s">
        <v>281</v>
      </c>
      <c r="C201" s="75"/>
      <c r="D201" s="75"/>
      <c r="E201" s="75"/>
      <c r="F201" s="1117" t="s">
        <v>282</v>
      </c>
    </row>
    <row r="202" spans="2:32">
      <c r="C202" s="222"/>
      <c r="G202" s="222"/>
    </row>
    <row r="203" spans="2:32">
      <c r="C203" s="281">
        <v>20</v>
      </c>
      <c r="D203" s="223" t="s">
        <v>283</v>
      </c>
      <c r="G203" s="221">
        <v>20</v>
      </c>
      <c r="H203" s="223" t="s">
        <v>283</v>
      </c>
    </row>
    <row r="205" spans="2:32" ht="18">
      <c r="B205" s="916" t="s">
        <v>1330</v>
      </c>
    </row>
    <row r="206" spans="2:32" ht="18">
      <c r="B206" s="38"/>
      <c r="T206" s="115" t="str">
        <f>Calc_Primary_teacher_need!O18</f>
        <v>2016/17</v>
      </c>
      <c r="U206" s="115" t="str">
        <f>Calc_Primary_teacher_need!P18</f>
        <v>2017/18</v>
      </c>
      <c r="V206" s="115" t="str">
        <f>Calc_Primary_teacher_need!Q18</f>
        <v>2018/19</v>
      </c>
      <c r="W206" s="115" t="str">
        <f>Calc_Primary_teacher_need!R18</f>
        <v>2019/20</v>
      </c>
      <c r="X206" s="115" t="str">
        <f>Calc_Primary_teacher_need!S18</f>
        <v>2020/21</v>
      </c>
      <c r="Y206" s="115" t="str">
        <f>Calc_Primary_teacher_need!T18</f>
        <v>2021/22</v>
      </c>
      <c r="Z206" s="115" t="str">
        <f>Calc_Primary_teacher_need!U18</f>
        <v>2022/23</v>
      </c>
      <c r="AA206" s="115" t="str">
        <f>Calc_Primary_teacher_need!V18</f>
        <v>2023/24</v>
      </c>
      <c r="AB206" s="115" t="str">
        <f>Calc_Primary_teacher_need!W18</f>
        <v>2024/25</v>
      </c>
      <c r="AC206" s="115" t="str">
        <f>Calc_Primary_teacher_need!X18</f>
        <v>2025/26</v>
      </c>
      <c r="AD206" s="115" t="str">
        <f>Calc_Primary_teacher_need!Y18</f>
        <v>2026/27</v>
      </c>
      <c r="AE206" s="115" t="str">
        <f>Calc_Primary_teacher_need!Z18</f>
        <v>2027/28</v>
      </c>
      <c r="AF206" s="115" t="str">
        <f>Calc_Primary_teacher_need!AA18</f>
        <v>2028/29</v>
      </c>
    </row>
    <row r="207" spans="2:32">
      <c r="B207" s="1194" t="s">
        <v>1307</v>
      </c>
      <c r="C207" s="1194"/>
      <c r="D207" s="1194"/>
      <c r="E207" s="1194"/>
      <c r="F207" s="1194"/>
      <c r="G207" s="1194"/>
      <c r="H207" s="1194"/>
      <c r="I207" s="1194"/>
      <c r="J207" s="1194"/>
      <c r="K207" s="1194"/>
      <c r="L207" s="1194"/>
      <c r="M207" s="1194"/>
      <c r="N207" s="1194"/>
      <c r="O207" s="1194"/>
      <c r="P207" s="1194"/>
      <c r="S207" s="295" t="s">
        <v>1335</v>
      </c>
      <c r="T207" s="188">
        <v>20.045878339681273</v>
      </c>
      <c r="U207" s="188">
        <v>20.170585191853803</v>
      </c>
      <c r="V207" s="188">
        <v>20.225750902047984</v>
      </c>
      <c r="W207" s="188">
        <v>20.226170518409532</v>
      </c>
      <c r="X207" s="188">
        <v>20.245208256374575</v>
      </c>
      <c r="Y207" s="188">
        <v>20.250268028880232</v>
      </c>
      <c r="Z207" s="188">
        <v>20.237340421739312</v>
      </c>
      <c r="AA207" s="188">
        <v>20.204628222666607</v>
      </c>
      <c r="AB207" s="188">
        <v>20.2241626568882</v>
      </c>
      <c r="AC207" s="188">
        <v>20.280956637838841</v>
      </c>
      <c r="AD207" s="188">
        <v>20.342124343590747</v>
      </c>
      <c r="AE207" s="188">
        <v>20.388714512288242</v>
      </c>
      <c r="AF207" s="188">
        <v>20.420104620971276</v>
      </c>
    </row>
    <row r="208" spans="2:32">
      <c r="B208" s="1194"/>
      <c r="C208" s="1194"/>
      <c r="D208" s="1194"/>
      <c r="E208" s="1194"/>
      <c r="F208" s="1194"/>
      <c r="G208" s="1194"/>
      <c r="H208" s="1194"/>
      <c r="I208" s="1194"/>
      <c r="J208" s="1194"/>
      <c r="K208" s="1194"/>
      <c r="L208" s="1194"/>
      <c r="M208" s="1194"/>
      <c r="N208" s="1194"/>
      <c r="O208" s="1194"/>
      <c r="P208" s="1194"/>
      <c r="S208" s="295" t="s">
        <v>1336</v>
      </c>
      <c r="T208" s="188">
        <f>Calc_Primary_teacher_need!O34</f>
        <v>20.045878339681273</v>
      </c>
      <c r="U208" s="188">
        <f>Calc_Primary_teacher_need!P34</f>
        <v>20.170585191853803</v>
      </c>
      <c r="V208" s="188">
        <f>Calc_Primary_teacher_need!Q34</f>
        <v>20.225750902047984</v>
      </c>
      <c r="W208" s="188">
        <f>Calc_Primary_teacher_need!R34</f>
        <v>20.226170518409532</v>
      </c>
      <c r="X208" s="188">
        <f>Calc_Primary_teacher_need!S34</f>
        <v>20.245208256374575</v>
      </c>
      <c r="Y208" s="188">
        <f>Calc_Primary_teacher_need!T34</f>
        <v>20.250268028880232</v>
      </c>
      <c r="Z208" s="188">
        <f>Calc_Primary_teacher_need!U34</f>
        <v>20.237340421739312</v>
      </c>
      <c r="AA208" s="188">
        <f>Calc_Primary_teacher_need!V34</f>
        <v>20.204628222666607</v>
      </c>
      <c r="AB208" s="188">
        <f>Calc_Primary_teacher_need!W34</f>
        <v>20.2241626568882</v>
      </c>
      <c r="AC208" s="188">
        <f>Calc_Primary_teacher_need!X34</f>
        <v>20.280956637838841</v>
      </c>
      <c r="AD208" s="188">
        <f>Calc_Primary_teacher_need!Y34</f>
        <v>20.342124343590747</v>
      </c>
      <c r="AE208" s="188">
        <f>Calc_Primary_teacher_need!Z34</f>
        <v>20.388714512288242</v>
      </c>
      <c r="AF208" s="188">
        <f>Calc_Primary_teacher_need!AA34</f>
        <v>20.420104620971276</v>
      </c>
    </row>
    <row r="209" spans="2:32">
      <c r="B209" s="147"/>
      <c r="S209" s="295" t="s">
        <v>1337</v>
      </c>
      <c r="T209" s="188">
        <v>14.651626429594298</v>
      </c>
      <c r="U209" s="188">
        <v>14.795826377453437</v>
      </c>
      <c r="V209" s="188">
        <v>15.009763040433512</v>
      </c>
      <c r="W209" s="188">
        <v>15.244734301796441</v>
      </c>
      <c r="X209" s="188">
        <v>15.44023143860764</v>
      </c>
      <c r="Y209" s="188">
        <v>15.647900915878008</v>
      </c>
      <c r="Z209" s="188">
        <v>15.865924842047171</v>
      </c>
      <c r="AA209" s="188">
        <v>16</v>
      </c>
      <c r="AB209" s="188">
        <v>16</v>
      </c>
      <c r="AC209" s="188">
        <v>16</v>
      </c>
      <c r="AD209" s="188">
        <v>15.987168242605145</v>
      </c>
      <c r="AE209" s="188">
        <v>15.959006384855895</v>
      </c>
      <c r="AF209" s="188">
        <v>15.911661117855054</v>
      </c>
    </row>
    <row r="210" spans="2:32">
      <c r="B210" s="1194" t="s">
        <v>1715</v>
      </c>
      <c r="C210" s="1194"/>
      <c r="D210" s="1194"/>
      <c r="E210" s="1194"/>
      <c r="F210" s="1194"/>
      <c r="G210" s="1194"/>
      <c r="H210" s="1194"/>
      <c r="I210" s="1194"/>
      <c r="J210" s="1194"/>
      <c r="K210" s="1194"/>
      <c r="L210" s="1194"/>
      <c r="M210" s="1194"/>
      <c r="N210" s="1194"/>
      <c r="O210" s="1194"/>
      <c r="P210" s="1194"/>
      <c r="S210" s="295" t="s">
        <v>1338</v>
      </c>
      <c r="T210" s="188">
        <f>Calc_overall_Sec_teacher_need!O34</f>
        <v>14.651626429594298</v>
      </c>
      <c r="U210" s="188">
        <f>Calc_overall_Sec_teacher_need!P34</f>
        <v>14.795826377453437</v>
      </c>
      <c r="V210" s="188">
        <f>Calc_overall_Sec_teacher_need!Q34</f>
        <v>15.009763040433512</v>
      </c>
      <c r="W210" s="188">
        <f>Calc_overall_Sec_teacher_need!R34</f>
        <v>15.244734301796441</v>
      </c>
      <c r="X210" s="188">
        <f>Calc_overall_Sec_teacher_need!S34</f>
        <v>15.44023143860764</v>
      </c>
      <c r="Y210" s="188">
        <f>Calc_overall_Sec_teacher_need!T34</f>
        <v>15.647900915878008</v>
      </c>
      <c r="Z210" s="188">
        <f>Calc_overall_Sec_teacher_need!U34</f>
        <v>15.865924842047171</v>
      </c>
      <c r="AA210" s="188">
        <f>Calc_overall_Sec_teacher_need!V34</f>
        <v>16</v>
      </c>
      <c r="AB210" s="188">
        <f>Calc_overall_Sec_teacher_need!W34</f>
        <v>16</v>
      </c>
      <c r="AC210" s="188">
        <f>Calc_overall_Sec_teacher_need!X34</f>
        <v>16</v>
      </c>
      <c r="AD210" s="188">
        <f>Calc_overall_Sec_teacher_need!Y34</f>
        <v>15.987168242605145</v>
      </c>
      <c r="AE210" s="188">
        <f>Calc_overall_Sec_teacher_need!Z34</f>
        <v>15.959006384855895</v>
      </c>
      <c r="AF210" s="188">
        <f>Calc_overall_Sec_teacher_need!AA34</f>
        <v>15.911661117855054</v>
      </c>
    </row>
    <row r="211" spans="2:32" ht="15" customHeight="1">
      <c r="B211" s="1194"/>
      <c r="C211" s="1194"/>
      <c r="D211" s="1194"/>
      <c r="E211" s="1194"/>
      <c r="F211" s="1194"/>
      <c r="G211" s="1194"/>
      <c r="H211" s="1194"/>
      <c r="I211" s="1194"/>
      <c r="J211" s="1194"/>
      <c r="K211" s="1194"/>
      <c r="L211" s="1194"/>
      <c r="M211" s="1194"/>
      <c r="N211" s="1194"/>
      <c r="O211" s="1194"/>
      <c r="P211" s="1194"/>
    </row>
    <row r="212" spans="2:32">
      <c r="B212" s="219"/>
      <c r="C212" s="219"/>
      <c r="D212" s="219"/>
      <c r="E212" s="219"/>
      <c r="F212" s="219"/>
      <c r="G212" s="219"/>
      <c r="H212" s="219"/>
      <c r="I212" s="219"/>
      <c r="J212" s="219"/>
      <c r="K212" s="219"/>
      <c r="L212" s="219"/>
      <c r="M212" s="219"/>
      <c r="N212" s="219"/>
      <c r="O212" s="219"/>
      <c r="P212" s="219"/>
    </row>
    <row r="213" spans="2:32">
      <c r="B213" s="147" t="s">
        <v>1719</v>
      </c>
    </row>
    <row r="214" spans="2:32">
      <c r="B214" s="147"/>
    </row>
    <row r="215" spans="2:32">
      <c r="B215" s="75" t="s">
        <v>40</v>
      </c>
      <c r="F215" s="75" t="s">
        <v>249</v>
      </c>
    </row>
    <row r="220" spans="2:32">
      <c r="B220" s="1117" t="s">
        <v>1196</v>
      </c>
      <c r="C220" s="75"/>
      <c r="D220" s="75"/>
      <c r="E220" s="75"/>
      <c r="F220" s="1117" t="s">
        <v>1197</v>
      </c>
    </row>
    <row r="221" spans="2:32">
      <c r="C221" s="222"/>
      <c r="G221" s="222"/>
    </row>
    <row r="222" spans="2:32">
      <c r="C222" s="221">
        <v>1</v>
      </c>
      <c r="D222" s="223" t="s">
        <v>283</v>
      </c>
      <c r="G222" s="221">
        <v>1</v>
      </c>
      <c r="H222" s="223" t="s">
        <v>283</v>
      </c>
    </row>
    <row r="224" spans="2:32" ht="18">
      <c r="B224" s="916" t="s">
        <v>1300</v>
      </c>
    </row>
    <row r="225" spans="2:16" ht="18">
      <c r="B225" s="38"/>
    </row>
    <row r="226" spans="2:16" ht="13.15" customHeight="1">
      <c r="B226" s="1197" t="s">
        <v>1492</v>
      </c>
      <c r="C226" s="1197"/>
      <c r="D226" s="1197"/>
      <c r="E226" s="1197"/>
      <c r="F226" s="1197"/>
      <c r="G226" s="1197"/>
      <c r="H226" s="1197"/>
      <c r="I226" s="1197"/>
      <c r="J226" s="1197"/>
      <c r="K226" s="1197"/>
      <c r="L226" s="1197"/>
      <c r="M226" s="1197"/>
      <c r="N226" s="1197"/>
      <c r="O226" s="1197"/>
      <c r="P226" s="1197"/>
    </row>
    <row r="227" spans="2:16">
      <c r="B227" s="1197"/>
      <c r="C227" s="1197"/>
      <c r="D227" s="1197"/>
      <c r="E227" s="1197"/>
      <c r="F227" s="1197"/>
      <c r="G227" s="1197"/>
      <c r="H227" s="1197"/>
      <c r="I227" s="1197"/>
      <c r="J227" s="1197"/>
      <c r="K227" s="1197"/>
      <c r="L227" s="1197"/>
      <c r="M227" s="1197"/>
      <c r="N227" s="1197"/>
      <c r="O227" s="1197"/>
      <c r="P227" s="1197"/>
    </row>
    <row r="228" spans="2:16">
      <c r="B228" s="552"/>
      <c r="C228" s="552"/>
      <c r="D228" s="552"/>
      <c r="E228" s="552"/>
      <c r="F228" s="552"/>
      <c r="G228" s="552"/>
      <c r="H228" s="552"/>
      <c r="I228" s="552"/>
      <c r="J228" s="552"/>
      <c r="K228" s="552"/>
      <c r="L228" s="552"/>
      <c r="M228" s="552"/>
      <c r="N228" s="552"/>
      <c r="O228" s="552"/>
      <c r="P228" s="552"/>
    </row>
    <row r="229" spans="2:16" ht="13.15" customHeight="1">
      <c r="B229" s="1197" t="s">
        <v>1394</v>
      </c>
      <c r="C229" s="1197"/>
      <c r="D229" s="1197"/>
      <c r="E229" s="1197"/>
      <c r="F229" s="1197"/>
      <c r="G229" s="1197"/>
      <c r="H229" s="1197"/>
      <c r="I229" s="1197"/>
      <c r="J229" s="1197"/>
      <c r="K229" s="1197"/>
      <c r="L229" s="1197"/>
      <c r="M229" s="1197"/>
      <c r="N229" s="1197"/>
      <c r="O229" s="1197"/>
      <c r="P229" s="1197"/>
    </row>
    <row r="230" spans="2:16">
      <c r="B230" s="1197"/>
      <c r="C230" s="1197"/>
      <c r="D230" s="1197"/>
      <c r="E230" s="1197"/>
      <c r="F230" s="1197"/>
      <c r="G230" s="1197"/>
      <c r="H230" s="1197"/>
      <c r="I230" s="1197"/>
      <c r="J230" s="1197"/>
      <c r="K230" s="1197"/>
      <c r="L230" s="1197"/>
      <c r="M230" s="1197"/>
      <c r="N230" s="1197"/>
      <c r="O230" s="1197"/>
      <c r="P230" s="1197"/>
    </row>
    <row r="231" spans="2:16">
      <c r="B231" s="552"/>
      <c r="C231" s="552"/>
      <c r="D231" s="552"/>
      <c r="E231" s="552"/>
      <c r="F231" s="552"/>
      <c r="G231" s="552"/>
      <c r="H231" s="552"/>
      <c r="I231" s="552"/>
      <c r="J231" s="552"/>
      <c r="K231" s="552"/>
      <c r="L231" s="552"/>
      <c r="M231" s="552"/>
      <c r="N231" s="552"/>
      <c r="O231" s="552"/>
      <c r="P231" s="552"/>
    </row>
    <row r="232" spans="2:16">
      <c r="B232" s="1028" t="s">
        <v>1679</v>
      </c>
    </row>
    <row r="233" spans="2:16">
      <c r="B233" s="1028"/>
    </row>
    <row r="234" spans="2:16">
      <c r="B234" s="1028" t="s">
        <v>1720</v>
      </c>
    </row>
    <row r="235" spans="2:16">
      <c r="B235" s="147"/>
    </row>
    <row r="236" spans="2:16">
      <c r="B236" s="75" t="s">
        <v>40</v>
      </c>
      <c r="F236" s="75" t="s">
        <v>249</v>
      </c>
      <c r="J236" s="12" t="s">
        <v>1117</v>
      </c>
    </row>
    <row r="238" spans="2:16">
      <c r="J238" s="732" t="s">
        <v>40</v>
      </c>
      <c r="K238" s="733">
        <f>Data_selected_by_user_testing!D112</f>
        <v>0.52067686070201502</v>
      </c>
    </row>
    <row r="239" spans="2:16">
      <c r="J239" s="732" t="s">
        <v>249</v>
      </c>
      <c r="K239" s="733">
        <f>Data_selected_by_user_testing!D122</f>
        <v>0.51407885080462956</v>
      </c>
    </row>
    <row r="241" spans="2:12">
      <c r="B241" s="1117" t="s">
        <v>1195</v>
      </c>
      <c r="C241" s="75"/>
      <c r="D241" s="75"/>
      <c r="E241" s="75"/>
      <c r="F241" s="1117" t="s">
        <v>1198</v>
      </c>
    </row>
    <row r="242" spans="2:12">
      <c r="C242" s="222"/>
      <c r="G242" s="222"/>
    </row>
    <row r="243" spans="2:12">
      <c r="C243" s="562">
        <v>0.5</v>
      </c>
      <c r="D243" s="223" t="s">
        <v>283</v>
      </c>
      <c r="H243" s="562">
        <v>0.5</v>
      </c>
      <c r="I243" s="223" t="s">
        <v>283</v>
      </c>
    </row>
    <row r="245" spans="2:12">
      <c r="B245" s="394" t="s">
        <v>1161</v>
      </c>
    </row>
    <row r="247" spans="2:12">
      <c r="B247" s="1004" t="s">
        <v>1539</v>
      </c>
    </row>
    <row r="249" spans="2:12">
      <c r="B249" s="1201" t="s">
        <v>718</v>
      </c>
      <c r="C249" s="1199" t="s">
        <v>35</v>
      </c>
      <c r="D249" s="1204"/>
      <c r="E249" s="1204"/>
      <c r="F249" s="1204"/>
      <c r="G249" s="1200"/>
      <c r="H249" s="1199" t="s">
        <v>729</v>
      </c>
      <c r="I249" s="1204"/>
      <c r="J249" s="1204"/>
      <c r="K249" s="1204"/>
      <c r="L249" s="1200"/>
    </row>
    <row r="250" spans="2:12">
      <c r="B250" s="1202"/>
      <c r="C250" s="1199" t="s">
        <v>71</v>
      </c>
      <c r="D250" s="1204"/>
      <c r="E250" s="1204"/>
      <c r="F250" s="1204"/>
      <c r="G250" s="1200"/>
      <c r="H250" s="1199" t="s">
        <v>71</v>
      </c>
      <c r="I250" s="1204"/>
      <c r="J250" s="1204"/>
      <c r="K250" s="1204"/>
      <c r="L250" s="1200"/>
    </row>
    <row r="251" spans="2:12" ht="33.75">
      <c r="B251" s="1203"/>
      <c r="C251" s="1016" t="s">
        <v>142</v>
      </c>
      <c r="D251" s="1016" t="s">
        <v>143</v>
      </c>
      <c r="E251" s="1016" t="s">
        <v>144</v>
      </c>
      <c r="F251" s="1016" t="s">
        <v>145</v>
      </c>
      <c r="G251" s="243" t="s">
        <v>1162</v>
      </c>
      <c r="H251" s="1016" t="s">
        <v>142</v>
      </c>
      <c r="I251" s="1016" t="s">
        <v>143</v>
      </c>
      <c r="J251" s="1016" t="s">
        <v>144</v>
      </c>
      <c r="K251" s="383" t="s">
        <v>145</v>
      </c>
      <c r="L251" s="243" t="s">
        <v>1162</v>
      </c>
    </row>
    <row r="252" spans="2:12" ht="22.5">
      <c r="B252" s="558" t="s">
        <v>717</v>
      </c>
      <c r="C252" s="872">
        <v>0.18227460614202962</v>
      </c>
      <c r="D252" s="872">
        <v>0.16568799351588354</v>
      </c>
      <c r="E252" s="872">
        <v>0.15218976381517171</v>
      </c>
      <c r="F252" s="872">
        <v>0.13658190294694986</v>
      </c>
      <c r="G252" s="873">
        <v>0.15165474964071113</v>
      </c>
      <c r="H252" s="872">
        <v>0.16652387732615778</v>
      </c>
      <c r="I252" s="872">
        <v>0.15046680460112011</v>
      </c>
      <c r="J252" s="872">
        <v>0.14542202554902581</v>
      </c>
      <c r="K252" s="872">
        <v>0.14304446576838914</v>
      </c>
      <c r="L252" s="873">
        <v>0.14759014262490319</v>
      </c>
    </row>
    <row r="253" spans="2:12">
      <c r="B253" s="558" t="s">
        <v>716</v>
      </c>
      <c r="C253" s="872">
        <v>0.33150512352703054</v>
      </c>
      <c r="D253" s="872">
        <v>0.32649546247952754</v>
      </c>
      <c r="E253" s="872">
        <v>0.33745727472224463</v>
      </c>
      <c r="F253" s="872">
        <v>0.32822180198693934</v>
      </c>
      <c r="G253" s="873">
        <v>0.33097550806005771</v>
      </c>
      <c r="H253" s="872">
        <v>0.31213956742236154</v>
      </c>
      <c r="I253" s="872">
        <v>0.34214208609578911</v>
      </c>
      <c r="J253" s="872">
        <v>0.36354364468882866</v>
      </c>
      <c r="K253" s="872">
        <v>0.35363904694181425</v>
      </c>
      <c r="L253" s="873">
        <v>0.35016108614476826</v>
      </c>
    </row>
    <row r="254" spans="2:12">
      <c r="B254" s="558" t="s">
        <v>715</v>
      </c>
      <c r="C254" s="874">
        <v>0.48622027033093995</v>
      </c>
      <c r="D254" s="874">
        <v>0.50781654400458887</v>
      </c>
      <c r="E254" s="874">
        <v>0.51035296146258369</v>
      </c>
      <c r="F254" s="874">
        <v>0.53519629506611088</v>
      </c>
      <c r="G254" s="875">
        <v>0.51736974229923127</v>
      </c>
      <c r="H254" s="874">
        <v>0.5213365552514807</v>
      </c>
      <c r="I254" s="874">
        <v>0.50739110930309084</v>
      </c>
      <c r="J254" s="874">
        <v>0.49103432976214545</v>
      </c>
      <c r="K254" s="874">
        <v>0.5033164872897965</v>
      </c>
      <c r="L254" s="875">
        <v>0.50224877123032852</v>
      </c>
    </row>
    <row r="255" spans="2:12">
      <c r="B255" s="558" t="s">
        <v>8</v>
      </c>
      <c r="C255" s="794">
        <v>1</v>
      </c>
      <c r="D255" s="794">
        <v>1</v>
      </c>
      <c r="E255" s="794">
        <v>1</v>
      </c>
      <c r="F255" s="794">
        <v>1</v>
      </c>
      <c r="G255" s="813">
        <v>1</v>
      </c>
      <c r="H255" s="794">
        <v>1</v>
      </c>
      <c r="I255" s="794">
        <v>1</v>
      </c>
      <c r="J255" s="794">
        <v>1</v>
      </c>
      <c r="K255" s="794">
        <v>1</v>
      </c>
      <c r="L255" s="813">
        <v>1</v>
      </c>
    </row>
    <row r="257" spans="2:16" ht="18">
      <c r="B257" s="916" t="s">
        <v>1301</v>
      </c>
    </row>
    <row r="258" spans="2:16" ht="18">
      <c r="B258" s="38"/>
    </row>
    <row r="259" spans="2:16" ht="13.15" customHeight="1">
      <c r="B259" s="776" t="s">
        <v>1540</v>
      </c>
      <c r="C259" s="775"/>
      <c r="D259" s="775"/>
      <c r="E259" s="775"/>
      <c r="F259" s="775"/>
      <c r="G259" s="775"/>
      <c r="H259" s="775"/>
      <c r="I259" s="775"/>
      <c r="J259" s="775"/>
      <c r="K259" s="775"/>
      <c r="L259" s="775"/>
      <c r="M259" s="775"/>
      <c r="N259" s="775"/>
      <c r="O259" s="775"/>
      <c r="P259" s="775"/>
    </row>
    <row r="260" spans="2:16">
      <c r="B260" s="775"/>
      <c r="C260" s="775"/>
      <c r="D260" s="775"/>
      <c r="E260" s="775"/>
      <c r="F260" s="775"/>
      <c r="G260" s="775"/>
      <c r="H260" s="775"/>
      <c r="I260" s="775"/>
      <c r="J260" s="775"/>
      <c r="K260" s="775"/>
      <c r="L260" s="775"/>
      <c r="M260" s="775"/>
      <c r="N260" s="775"/>
      <c r="O260" s="775"/>
      <c r="P260" s="775"/>
    </row>
    <row r="261" spans="2:16">
      <c r="B261" s="777" t="s">
        <v>1181</v>
      </c>
      <c r="C261" s="552"/>
      <c r="D261" s="552"/>
      <c r="E261" s="552"/>
      <c r="F261" s="552"/>
      <c r="G261" s="552"/>
      <c r="H261" s="552"/>
      <c r="I261" s="552"/>
      <c r="J261" s="552"/>
      <c r="K261" s="552"/>
      <c r="L261" s="552"/>
      <c r="M261" s="552"/>
      <c r="N261" s="552"/>
      <c r="O261" s="552"/>
      <c r="P261" s="552"/>
    </row>
    <row r="262" spans="2:16">
      <c r="B262" s="777"/>
      <c r="C262" s="552"/>
      <c r="D262" s="552"/>
      <c r="E262" s="552"/>
      <c r="F262" s="552"/>
      <c r="G262" s="552"/>
      <c r="H262" s="552"/>
      <c r="I262" s="552"/>
      <c r="J262" s="552"/>
      <c r="K262" s="552"/>
      <c r="L262" s="552"/>
      <c r="M262" s="552"/>
      <c r="N262" s="552"/>
      <c r="O262" s="552"/>
      <c r="P262" s="552"/>
    </row>
    <row r="263" spans="2:16">
      <c r="B263" s="75" t="s">
        <v>40</v>
      </c>
      <c r="F263" s="75" t="s">
        <v>249</v>
      </c>
      <c r="G263" s="552"/>
      <c r="H263" s="552"/>
      <c r="I263" s="552"/>
      <c r="J263" s="552"/>
      <c r="K263" s="552"/>
      <c r="L263" s="552"/>
      <c r="M263" s="552"/>
      <c r="N263" s="552"/>
      <c r="O263" s="552"/>
      <c r="P263" s="552"/>
    </row>
    <row r="264" spans="2:16">
      <c r="B264" s="552"/>
      <c r="C264" s="552"/>
      <c r="D264" s="552"/>
      <c r="E264" s="552"/>
      <c r="F264" s="552"/>
      <c r="G264" s="552"/>
      <c r="H264" s="552"/>
      <c r="I264" s="552"/>
      <c r="J264" s="552"/>
      <c r="K264" s="552"/>
      <c r="L264" s="552"/>
      <c r="M264" s="552"/>
      <c r="N264" s="552"/>
      <c r="O264" s="552"/>
      <c r="P264" s="552"/>
    </row>
    <row r="265" spans="2:16">
      <c r="B265" s="552"/>
      <c r="C265" s="552"/>
      <c r="D265" s="552"/>
      <c r="E265" s="552"/>
      <c r="F265" s="552"/>
      <c r="G265" s="552"/>
      <c r="H265" s="552"/>
      <c r="I265" s="552"/>
      <c r="J265" s="552"/>
      <c r="K265" s="552"/>
      <c r="L265" s="552"/>
      <c r="M265" s="552"/>
      <c r="N265" s="552"/>
      <c r="O265" s="552"/>
      <c r="P265" s="552"/>
    </row>
    <row r="266" spans="2:16">
      <c r="B266" s="394"/>
      <c r="C266" s="552"/>
      <c r="D266" s="552"/>
      <c r="E266" s="552"/>
      <c r="F266" s="552"/>
      <c r="G266" s="552"/>
      <c r="H266" s="552"/>
      <c r="I266" s="552"/>
      <c r="J266" s="552"/>
      <c r="K266" s="552"/>
      <c r="L266" s="552"/>
      <c r="M266" s="552"/>
      <c r="N266" s="552"/>
      <c r="O266" s="552"/>
      <c r="P266" s="552"/>
    </row>
    <row r="267" spans="2:16">
      <c r="C267" s="552"/>
      <c r="D267" s="552"/>
      <c r="E267" s="552"/>
      <c r="F267" s="552"/>
      <c r="G267" s="552"/>
      <c r="H267" s="552"/>
      <c r="I267" s="552"/>
      <c r="J267" s="552"/>
      <c r="K267" s="552"/>
      <c r="L267" s="552"/>
      <c r="M267" s="552"/>
      <c r="N267" s="552"/>
      <c r="O267" s="552"/>
      <c r="P267" s="552"/>
    </row>
    <row r="268" spans="2:16">
      <c r="B268" s="147" t="s">
        <v>1541</v>
      </c>
      <c r="C268" s="552"/>
      <c r="D268" s="552"/>
      <c r="E268" s="552"/>
      <c r="F268" s="552"/>
      <c r="G268" s="552"/>
      <c r="H268" s="552"/>
      <c r="I268" s="552"/>
      <c r="J268" s="552"/>
      <c r="K268" s="552"/>
      <c r="L268" s="552"/>
      <c r="M268" s="552"/>
      <c r="N268" s="552"/>
      <c r="O268" s="552"/>
      <c r="P268" s="552"/>
    </row>
    <row r="269" spans="2:16">
      <c r="B269" s="552"/>
      <c r="C269" s="552"/>
      <c r="D269" s="552"/>
      <c r="E269" s="552"/>
      <c r="F269" s="552"/>
      <c r="G269" s="552"/>
      <c r="H269" s="552"/>
      <c r="I269" s="552"/>
      <c r="J269" s="552"/>
      <c r="K269" s="552"/>
      <c r="L269" s="552"/>
      <c r="M269" s="552"/>
      <c r="N269" s="552"/>
      <c r="O269" s="552"/>
      <c r="P269" s="552"/>
    </row>
    <row r="270" spans="2:16">
      <c r="B270" s="1184" t="s">
        <v>1165</v>
      </c>
      <c r="C270" s="1184" t="s">
        <v>1542</v>
      </c>
      <c r="D270" s="1184"/>
      <c r="E270" s="1184"/>
      <c r="F270" s="1184"/>
      <c r="G270" s="1184" t="s">
        <v>1180</v>
      </c>
      <c r="H270" s="1184"/>
      <c r="I270" s="1184"/>
      <c r="J270" s="1184"/>
      <c r="K270" s="552"/>
      <c r="L270" s="552"/>
      <c r="M270" s="552"/>
      <c r="N270" s="552"/>
      <c r="O270" s="552"/>
      <c r="P270" s="552"/>
    </row>
    <row r="271" spans="2:16" s="5" customFormat="1">
      <c r="B271" s="1184"/>
      <c r="C271" s="1182" t="s">
        <v>1179</v>
      </c>
      <c r="D271" s="1184" t="s">
        <v>1166</v>
      </c>
      <c r="E271" s="1184"/>
      <c r="F271" s="1184"/>
      <c r="G271" s="1182" t="s">
        <v>1179</v>
      </c>
      <c r="H271" s="1184" t="s">
        <v>1166</v>
      </c>
      <c r="I271" s="1184"/>
      <c r="J271" s="1184"/>
      <c r="K271" s="778"/>
      <c r="L271" s="778"/>
      <c r="M271" s="778"/>
      <c r="N271" s="778"/>
      <c r="O271" s="778"/>
      <c r="P271" s="778"/>
    </row>
    <row r="272" spans="2:16" ht="22.5">
      <c r="B272" s="1184"/>
      <c r="C272" s="1183"/>
      <c r="D272" s="243" t="s">
        <v>702</v>
      </c>
      <c r="E272" s="243" t="s">
        <v>701</v>
      </c>
      <c r="F272" s="243" t="s">
        <v>700</v>
      </c>
      <c r="G272" s="1183"/>
      <c r="H272" s="243" t="s">
        <v>702</v>
      </c>
      <c r="I272" s="243" t="s">
        <v>701</v>
      </c>
      <c r="J272" s="243" t="s">
        <v>700</v>
      </c>
      <c r="K272" s="552"/>
      <c r="L272" s="552"/>
      <c r="M272" s="552"/>
      <c r="N272" s="552"/>
      <c r="O272" s="552"/>
      <c r="P272" s="552"/>
    </row>
    <row r="273" spans="2:16">
      <c r="B273" s="780" t="s">
        <v>571</v>
      </c>
      <c r="C273" s="779">
        <v>0.81967929652140181</v>
      </c>
      <c r="D273" s="779">
        <v>0.78660236593530231</v>
      </c>
      <c r="E273" s="779">
        <v>0.80585818016158572</v>
      </c>
      <c r="F273" s="779">
        <v>0.7466071428571428</v>
      </c>
      <c r="G273" s="787">
        <f>RAW_DATA_INPUTS!C478</f>
        <v>0.8356640040850567</v>
      </c>
      <c r="H273" s="787">
        <f>RAW_DATA_INPUTS!F591</f>
        <v>0.77686364803971064</v>
      </c>
      <c r="I273" s="787">
        <f>RAW_DATA_INPUTS!G591</f>
        <v>0.8127554179566564</v>
      </c>
      <c r="J273" s="787">
        <f>RAW_DATA_INPUTS!H591</f>
        <v>0.75286900200693307</v>
      </c>
      <c r="K273" s="879"/>
      <c r="L273" s="879"/>
      <c r="M273" s="879"/>
      <c r="N273" s="879"/>
      <c r="O273" s="552"/>
      <c r="P273" s="552"/>
    </row>
    <row r="274" spans="2:16">
      <c r="B274" s="780" t="s">
        <v>7</v>
      </c>
      <c r="C274" s="779">
        <v>0.77418277297578086</v>
      </c>
      <c r="D274" s="779">
        <v>0.77630557603914196</v>
      </c>
      <c r="E274" s="779">
        <v>0.84332016988389991</v>
      </c>
      <c r="F274" s="779">
        <v>0.74606776978353895</v>
      </c>
      <c r="G274" s="787">
        <f>RAW_DATA_INPUTS!C479</f>
        <v>0.80718406160507539</v>
      </c>
      <c r="H274" s="787">
        <f>RAW_DATA_INPUTS!F592</f>
        <v>0.80646421880119445</v>
      </c>
      <c r="I274" s="787">
        <f>RAW_DATA_INPUTS!G592</f>
        <v>0.82824951566277516</v>
      </c>
      <c r="J274" s="787">
        <f>RAW_DATA_INPUTS!H592</f>
        <v>0.76008667627164739</v>
      </c>
      <c r="K274" s="897"/>
      <c r="L274" s="897"/>
      <c r="M274" s="897"/>
      <c r="N274" s="897"/>
      <c r="O274" s="552"/>
      <c r="P274" s="552"/>
    </row>
    <row r="275" spans="2:16">
      <c r="B275" s="780" t="s">
        <v>429</v>
      </c>
      <c r="C275" s="779">
        <v>0.7018035937417032</v>
      </c>
      <c r="D275" s="779">
        <v>0.77066613049513188</v>
      </c>
      <c r="E275" s="779">
        <v>0.75397740099470079</v>
      </c>
      <c r="F275" s="779">
        <v>0.78624999999999989</v>
      </c>
      <c r="G275" s="787">
        <f>RAW_DATA_INPUTS!C480</f>
        <v>0.71816580359993998</v>
      </c>
      <c r="H275" s="787">
        <f>RAW_DATA_INPUTS!F593</f>
        <v>0.79639211278917155</v>
      </c>
      <c r="I275" s="787">
        <f>RAW_DATA_INPUTS!G593</f>
        <v>0.75446035404139244</v>
      </c>
      <c r="J275" s="787">
        <f>RAW_DATA_INPUTS!H593</f>
        <v>0.78907407407407404</v>
      </c>
      <c r="K275" s="897"/>
      <c r="L275" s="897"/>
      <c r="M275" s="897"/>
      <c r="N275" s="897"/>
      <c r="O275" s="552"/>
      <c r="P275" s="552"/>
    </row>
    <row r="276" spans="2:16">
      <c r="B276" s="780" t="s">
        <v>3</v>
      </c>
      <c r="C276" s="779">
        <v>0.76362813176174793</v>
      </c>
      <c r="D276" s="779">
        <v>0.77463926074233702</v>
      </c>
      <c r="E276" s="779">
        <v>0.82467230669115987</v>
      </c>
      <c r="F276" s="779">
        <v>0.84727272727272718</v>
      </c>
      <c r="G276" s="787">
        <f>RAW_DATA_INPUTS!C481</f>
        <v>0.78667464266615916</v>
      </c>
      <c r="H276" s="787">
        <f>RAW_DATA_INPUTS!F594</f>
        <v>0.79521046979000787</v>
      </c>
      <c r="I276" s="787">
        <f>RAW_DATA_INPUTS!G594</f>
        <v>0.84198645641693559</v>
      </c>
      <c r="J276" s="787">
        <f>RAW_DATA_INPUTS!H594</f>
        <v>0.85163919900761997</v>
      </c>
      <c r="K276" s="897"/>
      <c r="L276" s="897"/>
      <c r="M276" s="897"/>
      <c r="N276" s="897"/>
      <c r="O276" s="552"/>
      <c r="P276" s="552"/>
    </row>
    <row r="277" spans="2:16">
      <c r="B277" s="780" t="s">
        <v>80</v>
      </c>
      <c r="C277" s="779">
        <v>0.7018035937417032</v>
      </c>
      <c r="D277" s="779">
        <v>0.70887633984121257</v>
      </c>
      <c r="E277" s="779">
        <v>0.75397740099470079</v>
      </c>
      <c r="F277" s="779">
        <v>0.74606776978353895</v>
      </c>
      <c r="G277" s="787">
        <f>RAW_DATA_INPUTS!C482</f>
        <v>0.71816580359993998</v>
      </c>
      <c r="H277" s="787">
        <f>RAW_DATA_INPUTS!F595</f>
        <v>0.71990759890871681</v>
      </c>
      <c r="I277" s="787">
        <f>RAW_DATA_INPUTS!G595</f>
        <v>0.75446035404139244</v>
      </c>
      <c r="J277" s="787">
        <f>RAW_DATA_INPUTS!H595</f>
        <v>0.74805910517103968</v>
      </c>
      <c r="K277" s="879"/>
      <c r="L277" s="879"/>
      <c r="M277" s="879"/>
      <c r="N277" s="879"/>
      <c r="O277" s="552"/>
      <c r="P277" s="552"/>
    </row>
    <row r="278" spans="2:16">
      <c r="B278" s="780" t="s">
        <v>108</v>
      </c>
      <c r="C278" s="779">
        <v>0.71621124010954529</v>
      </c>
      <c r="D278" s="779">
        <v>0.75461185604952075</v>
      </c>
      <c r="E278" s="779">
        <v>0.84674696499537272</v>
      </c>
      <c r="F278" s="779">
        <v>0.85203551912568298</v>
      </c>
      <c r="G278" s="787">
        <f>RAW_DATA_INPUTS!C483</f>
        <v>0.74559534501907387</v>
      </c>
      <c r="H278" s="787">
        <f>RAW_DATA_INPUTS!F596</f>
        <v>0.78599966743821004</v>
      </c>
      <c r="I278" s="787">
        <f>RAW_DATA_INPUTS!G596</f>
        <v>0.88053418803418793</v>
      </c>
      <c r="J278" s="787">
        <f>RAW_DATA_INPUTS!H596</f>
        <v>0.83109006892012771</v>
      </c>
      <c r="K278" s="879"/>
      <c r="L278" s="879"/>
      <c r="M278" s="879"/>
      <c r="N278" s="879"/>
      <c r="O278" s="552"/>
      <c r="P278" s="552"/>
    </row>
    <row r="279" spans="2:16" ht="22.5">
      <c r="B279" s="780" t="s">
        <v>572</v>
      </c>
      <c r="C279" s="779">
        <v>0.73987837168102821</v>
      </c>
      <c r="D279" s="779">
        <v>0.76878652315207763</v>
      </c>
      <c r="E279" s="779">
        <v>0.85993280574696063</v>
      </c>
      <c r="F279" s="779">
        <v>0.74606776978353895</v>
      </c>
      <c r="G279" s="787">
        <f>RAW_DATA_INPUTS!C484</f>
        <v>0.76073012587244093</v>
      </c>
      <c r="H279" s="787">
        <f>RAW_DATA_INPUTS!F597</f>
        <v>0.76405919898079722</v>
      </c>
      <c r="I279" s="787">
        <f>RAW_DATA_INPUTS!G597</f>
        <v>0.87128297472835292</v>
      </c>
      <c r="J279" s="787">
        <f>RAW_DATA_INPUTS!H597</f>
        <v>0.74805910517103968</v>
      </c>
      <c r="K279" s="879"/>
      <c r="L279" s="879"/>
      <c r="M279" s="879"/>
      <c r="N279" s="879"/>
      <c r="O279" s="552"/>
      <c r="P279" s="552"/>
    </row>
    <row r="280" spans="2:16">
      <c r="B280" s="780" t="s">
        <v>6</v>
      </c>
      <c r="C280" s="779">
        <v>0.7018035937417032</v>
      </c>
      <c r="D280" s="779">
        <v>0.79328432052498199</v>
      </c>
      <c r="E280" s="779">
        <v>0.85010707787694928</v>
      </c>
      <c r="F280" s="779">
        <v>0.84171201814058949</v>
      </c>
      <c r="G280" s="787">
        <f>RAW_DATA_INPUTS!C485</f>
        <v>0.71816580359993998</v>
      </c>
      <c r="H280" s="787">
        <f>RAW_DATA_INPUTS!F598</f>
        <v>0.79356345580588572</v>
      </c>
      <c r="I280" s="787">
        <f>RAW_DATA_INPUTS!G598</f>
        <v>0.85518100609419401</v>
      </c>
      <c r="J280" s="787">
        <f>RAW_DATA_INPUTS!H598</f>
        <v>0.82365870461108548</v>
      </c>
      <c r="K280" s="879"/>
      <c r="L280" s="879"/>
      <c r="M280" s="879"/>
      <c r="N280" s="879"/>
      <c r="O280" s="552"/>
      <c r="P280" s="552"/>
    </row>
    <row r="281" spans="2:16">
      <c r="B281" s="780" t="s">
        <v>1</v>
      </c>
      <c r="C281" s="779">
        <v>0.85247941912230762</v>
      </c>
      <c r="D281" s="779">
        <v>0.83124840240454523</v>
      </c>
      <c r="E281" s="779">
        <v>0.86746222500815862</v>
      </c>
      <c r="F281" s="779">
        <v>0.85333577382722825</v>
      </c>
      <c r="G281" s="787">
        <f>RAW_DATA_INPUTS!C486</f>
        <v>0.86426335010355448</v>
      </c>
      <c r="H281" s="787">
        <f>RAW_DATA_INPUTS!F599</f>
        <v>0.82890234132839191</v>
      </c>
      <c r="I281" s="787">
        <f>RAW_DATA_INPUTS!G599</f>
        <v>0.85536255011485152</v>
      </c>
      <c r="J281" s="787">
        <f>RAW_DATA_INPUTS!H599</f>
        <v>0.84072631099995132</v>
      </c>
      <c r="K281" s="879"/>
      <c r="L281" s="879"/>
      <c r="M281" s="879"/>
      <c r="N281" s="879"/>
      <c r="O281" s="552"/>
      <c r="P281" s="552"/>
    </row>
    <row r="282" spans="2:16">
      <c r="B282" s="780" t="s">
        <v>397</v>
      </c>
      <c r="C282" s="779">
        <v>0.7018035937417032</v>
      </c>
      <c r="D282" s="779">
        <v>0.70887633984121257</v>
      </c>
      <c r="E282" s="779">
        <v>0.75397740099470079</v>
      </c>
      <c r="F282" s="779">
        <v>0.74606776978353895</v>
      </c>
      <c r="G282" s="787">
        <f>RAW_DATA_INPUTS!C487</f>
        <v>0.71816580359993998</v>
      </c>
      <c r="H282" s="787">
        <f>RAW_DATA_INPUTS!F600</f>
        <v>0.71990759890871681</v>
      </c>
      <c r="I282" s="787">
        <f>RAW_DATA_INPUTS!G600</f>
        <v>0.75446035404139244</v>
      </c>
      <c r="J282" s="787">
        <f>RAW_DATA_INPUTS!H600</f>
        <v>0.74805910517103968</v>
      </c>
      <c r="K282" s="879"/>
      <c r="L282" s="879"/>
      <c r="M282" s="879"/>
      <c r="N282" s="879"/>
      <c r="O282" s="552"/>
      <c r="P282" s="552"/>
    </row>
    <row r="283" spans="2:16">
      <c r="B283" s="780" t="s">
        <v>4</v>
      </c>
      <c r="C283" s="779">
        <v>0.81143624116313195</v>
      </c>
      <c r="D283" s="779">
        <v>0.78829949901542928</v>
      </c>
      <c r="E283" s="779">
        <v>0.87675456123417173</v>
      </c>
      <c r="F283" s="779">
        <v>0.74606776978353895</v>
      </c>
      <c r="G283" s="787">
        <f>RAW_DATA_INPUTS!C488</f>
        <v>0.82241629985327469</v>
      </c>
      <c r="H283" s="787">
        <f>RAW_DATA_INPUTS!F601</f>
        <v>0.80329453266388851</v>
      </c>
      <c r="I283" s="787">
        <f>RAW_DATA_INPUTS!G601</f>
        <v>0.85638232175894569</v>
      </c>
      <c r="J283" s="787">
        <f>RAW_DATA_INPUTS!H601</f>
        <v>0.74805910517103968</v>
      </c>
      <c r="K283" s="879"/>
      <c r="L283" s="879"/>
      <c r="M283" s="879"/>
      <c r="N283" s="879"/>
      <c r="O283" s="552"/>
      <c r="P283" s="552"/>
    </row>
    <row r="284" spans="2:16">
      <c r="B284" s="780" t="s">
        <v>0</v>
      </c>
      <c r="C284" s="779">
        <v>0.8803475751301838</v>
      </c>
      <c r="D284" s="779">
        <v>0.81848076885305765</v>
      </c>
      <c r="E284" s="779">
        <v>0.81360034974441753</v>
      </c>
      <c r="F284" s="779">
        <v>0.89924468378900846</v>
      </c>
      <c r="G284" s="787">
        <f>RAW_DATA_INPUTS!C489</f>
        <v>0.91680469289164945</v>
      </c>
      <c r="H284" s="787">
        <f>RAW_DATA_INPUTS!F602</f>
        <v>0.83076478448333912</v>
      </c>
      <c r="I284" s="787">
        <f>RAW_DATA_INPUTS!G602</f>
        <v>0.81991512405946532</v>
      </c>
      <c r="J284" s="787">
        <f>RAW_DATA_INPUTS!H602</f>
        <v>0.8598962612924379</v>
      </c>
      <c r="K284" s="879"/>
      <c r="L284" s="879"/>
      <c r="M284" s="879"/>
      <c r="N284" s="879"/>
      <c r="O284" s="552"/>
      <c r="P284" s="552"/>
    </row>
    <row r="285" spans="2:16">
      <c r="B285" s="780" t="s">
        <v>573</v>
      </c>
      <c r="C285" s="779">
        <v>0.82632651234210708</v>
      </c>
      <c r="D285" s="779">
        <v>0.80027700012184266</v>
      </c>
      <c r="E285" s="779">
        <v>0.86604610223536049</v>
      </c>
      <c r="F285" s="779">
        <v>0.81980810234541579</v>
      </c>
      <c r="G285" s="787">
        <f>RAW_DATA_INPUTS!C490</f>
        <v>0.83162473667079739</v>
      </c>
      <c r="H285" s="787">
        <f>RAW_DATA_INPUTS!F603</f>
        <v>0.81221997939458079</v>
      </c>
      <c r="I285" s="787">
        <f>RAW_DATA_INPUTS!G603</f>
        <v>0.87554525520953697</v>
      </c>
      <c r="J285" s="787">
        <f>RAW_DATA_INPUTS!H603</f>
        <v>0.82965184677553061</v>
      </c>
      <c r="K285" s="879"/>
      <c r="L285" s="879"/>
      <c r="M285" s="879"/>
      <c r="N285" s="879"/>
      <c r="O285" s="552"/>
      <c r="P285" s="552"/>
    </row>
    <row r="286" spans="2:16" ht="22.5">
      <c r="B286" s="780" t="s">
        <v>574</v>
      </c>
      <c r="C286" s="779">
        <v>0.82621782631181129</v>
      </c>
      <c r="D286" s="779">
        <v>0.74532971727539366</v>
      </c>
      <c r="E286" s="779">
        <v>0.82740125816212773</v>
      </c>
      <c r="F286" s="779">
        <v>0.82076492537313417</v>
      </c>
      <c r="G286" s="787">
        <f>RAW_DATA_INPUTS!C491</f>
        <v>0.86415064366192196</v>
      </c>
      <c r="H286" s="787">
        <f>RAW_DATA_INPUTS!F604</f>
        <v>0.75923142968332979</v>
      </c>
      <c r="I286" s="787">
        <f>RAW_DATA_INPUTS!G604</f>
        <v>0.81147689295313175</v>
      </c>
      <c r="J286" s="787">
        <f>RAW_DATA_INPUTS!H604</f>
        <v>0.78554937729652385</v>
      </c>
      <c r="K286" s="879"/>
      <c r="L286" s="879"/>
      <c r="M286" s="879"/>
      <c r="N286" s="879"/>
      <c r="O286" s="552"/>
      <c r="P286" s="552"/>
    </row>
    <row r="287" spans="2:16">
      <c r="B287" s="780" t="s">
        <v>5</v>
      </c>
      <c r="C287" s="779">
        <v>0.85666666666666669</v>
      </c>
      <c r="D287" s="779">
        <v>0.77017704513632146</v>
      </c>
      <c r="E287" s="779">
        <v>0.75397740099470079</v>
      </c>
      <c r="F287" s="779">
        <v>0.90388235294117647</v>
      </c>
      <c r="G287" s="787">
        <f>RAW_DATA_INPUTS!C492</f>
        <v>0.91816580359993993</v>
      </c>
      <c r="H287" s="787">
        <f>RAW_DATA_INPUTS!F605</f>
        <v>0.77350005997423954</v>
      </c>
      <c r="I287" s="787">
        <f>RAW_DATA_INPUTS!G605</f>
        <v>0.75446035404139244</v>
      </c>
      <c r="J287" s="787">
        <f>RAW_DATA_INPUTS!H605</f>
        <v>0.86061995948476855</v>
      </c>
      <c r="K287" s="879"/>
      <c r="L287" s="879"/>
      <c r="M287" s="879"/>
      <c r="N287" s="879"/>
      <c r="O287" s="552"/>
      <c r="P287" s="552"/>
    </row>
    <row r="288" spans="2:16">
      <c r="B288" s="780" t="s">
        <v>711</v>
      </c>
      <c r="C288" s="779">
        <v>0.90180359374170316</v>
      </c>
      <c r="D288" s="779">
        <v>0.79755969833255524</v>
      </c>
      <c r="E288" s="779">
        <v>0.8206238835406614</v>
      </c>
      <c r="F288" s="779">
        <v>0.74606776978353895</v>
      </c>
      <c r="G288" s="787">
        <f>RAW_DATA_INPUTS!C493</f>
        <v>0.71816580359993998</v>
      </c>
      <c r="H288" s="787">
        <f>RAW_DATA_INPUTS!F606</f>
        <v>0.80180898998683592</v>
      </c>
      <c r="I288" s="787">
        <f>RAW_DATA_INPUTS!G606</f>
        <v>0.76407131645361848</v>
      </c>
      <c r="J288" s="787">
        <f>RAW_DATA_INPUTS!H606</f>
        <v>0.74805910517103968</v>
      </c>
      <c r="K288" s="879"/>
      <c r="L288" s="879"/>
      <c r="M288" s="879"/>
      <c r="N288" s="879"/>
      <c r="O288" s="552"/>
      <c r="P288" s="552"/>
    </row>
    <row r="289" spans="2:16">
      <c r="B289" s="780" t="s">
        <v>575</v>
      </c>
      <c r="C289" s="779">
        <v>0.74404661295893915</v>
      </c>
      <c r="D289" s="779">
        <v>0.76009039562858272</v>
      </c>
      <c r="E289" s="779">
        <v>0.78307799648525545</v>
      </c>
      <c r="F289" s="779">
        <v>0.77451742919389965</v>
      </c>
      <c r="G289" s="787">
        <f>RAW_DATA_INPUTS!C494</f>
        <v>0.80146993443075787</v>
      </c>
      <c r="H289" s="787">
        <f>RAW_DATA_INPUTS!F607</f>
        <v>0.76424549625189808</v>
      </c>
      <c r="I289" s="787">
        <f>RAW_DATA_INPUTS!G607</f>
        <v>0.81914003264322566</v>
      </c>
      <c r="J289" s="787">
        <f>RAW_DATA_INPUTS!H607</f>
        <v>0.78379963141424902</v>
      </c>
      <c r="K289" s="879"/>
      <c r="L289" s="879"/>
      <c r="M289" s="879"/>
      <c r="N289" s="879"/>
      <c r="O289" s="552"/>
      <c r="P289" s="552"/>
    </row>
    <row r="290" spans="2:16">
      <c r="B290" s="780" t="s">
        <v>2</v>
      </c>
      <c r="C290" s="779">
        <v>0.70571428571428574</v>
      </c>
      <c r="D290" s="779">
        <v>0.76356772684046392</v>
      </c>
      <c r="E290" s="779">
        <v>0.83289009661835745</v>
      </c>
      <c r="F290" s="779">
        <v>0.8077104377104376</v>
      </c>
      <c r="G290" s="787">
        <f>RAW_DATA_INPUTS!C495</f>
        <v>0.71816580359993998</v>
      </c>
      <c r="H290" s="787">
        <f>RAW_DATA_INPUTS!F608</f>
        <v>0.76948776337607572</v>
      </c>
      <c r="I290" s="787">
        <f>RAW_DATA_INPUTS!G608</f>
        <v>0.87966203703703705</v>
      </c>
      <c r="J290" s="787">
        <f>RAW_DATA_INPUTS!H608</f>
        <v>0.7989060464156249</v>
      </c>
      <c r="K290" s="897"/>
      <c r="L290" s="897"/>
      <c r="M290" s="897"/>
      <c r="N290" s="897"/>
      <c r="O290" s="552"/>
      <c r="P290" s="552"/>
    </row>
    <row r="291" spans="2:16">
      <c r="B291" s="780" t="s">
        <v>40</v>
      </c>
      <c r="C291" s="779">
        <v>0.80550277030709261</v>
      </c>
      <c r="D291" s="779">
        <v>0.83928297218040937</v>
      </c>
      <c r="E291" s="779">
        <v>0.87746653545124054</v>
      </c>
      <c r="F291" s="779">
        <v>0.86439783053042718</v>
      </c>
      <c r="G291" s="787">
        <f>RAW_DATA_INPUTS!C496</f>
        <v>0.81859377286715618</v>
      </c>
      <c r="H291" s="787">
        <f>RAW_DATA_INPUTS!F609</f>
        <v>0.84699298212213059</v>
      </c>
      <c r="I291" s="787">
        <f>RAW_DATA_INPUTS!G609</f>
        <v>0.86934370616490853</v>
      </c>
      <c r="J291" s="787">
        <f>RAW_DATA_INPUTS!H609</f>
        <v>0.87382203123993096</v>
      </c>
      <c r="K291" s="879"/>
      <c r="L291" s="879"/>
      <c r="M291" s="879"/>
      <c r="N291" s="879"/>
      <c r="O291" s="552"/>
      <c r="P291" s="552"/>
    </row>
    <row r="292" spans="2:16">
      <c r="B292" s="780" t="s">
        <v>576</v>
      </c>
      <c r="C292" s="779">
        <v>0.81897804795677143</v>
      </c>
      <c r="D292" s="779">
        <v>0.77156468695812641</v>
      </c>
      <c r="E292" s="779">
        <v>0.79621526992562441</v>
      </c>
      <c r="F292" s="779">
        <v>0.8527499999999999</v>
      </c>
      <c r="G292" s="787">
        <f>RAW_DATA_INPUTS!C497</f>
        <v>0.86469108669108663</v>
      </c>
      <c r="H292" s="787">
        <f>RAW_DATA_INPUTS!F610</f>
        <v>0.7969153583351698</v>
      </c>
      <c r="I292" s="787">
        <f>RAW_DATA_INPUTS!G610</f>
        <v>0.86198100407055644</v>
      </c>
      <c r="J292" s="787">
        <f>RAW_DATA_INPUTS!H610</f>
        <v>0.85690883190883183</v>
      </c>
      <c r="K292" s="879"/>
      <c r="L292" s="879"/>
      <c r="M292" s="879"/>
      <c r="N292" s="879"/>
      <c r="O292" s="552"/>
      <c r="P292" s="552"/>
    </row>
    <row r="293" spans="2:16">
      <c r="B293" s="243" t="s">
        <v>8</v>
      </c>
      <c r="C293" s="779" t="s">
        <v>124</v>
      </c>
      <c r="D293" s="779">
        <v>0.80887633984121254</v>
      </c>
      <c r="E293" s="779">
        <v>0.85397740099470076</v>
      </c>
      <c r="F293" s="779">
        <v>0.84606776978353893</v>
      </c>
      <c r="G293" s="946" t="s">
        <v>124</v>
      </c>
      <c r="H293" s="787">
        <f>RAW_DATA_INPUTS!F611</f>
        <v>0.81990759890871678</v>
      </c>
      <c r="I293" s="787">
        <f>RAW_DATA_INPUTS!G611</f>
        <v>0.85446035404139242</v>
      </c>
      <c r="J293" s="787">
        <f>RAW_DATA_INPUTS!H611</f>
        <v>0.84805910517103966</v>
      </c>
      <c r="K293" s="552"/>
      <c r="L293" s="879"/>
      <c r="M293" s="879"/>
      <c r="N293" s="879"/>
      <c r="O293" s="552"/>
      <c r="P293" s="552"/>
    </row>
    <row r="294" spans="2:16">
      <c r="B294" s="552"/>
      <c r="C294" s="552"/>
      <c r="D294" s="552"/>
      <c r="E294" s="552"/>
      <c r="F294" s="552"/>
      <c r="G294" s="552"/>
      <c r="H294" s="552"/>
      <c r="I294" s="552"/>
      <c r="J294" s="552"/>
      <c r="K294" s="552"/>
      <c r="L294" s="552"/>
      <c r="M294" s="552"/>
      <c r="N294" s="552"/>
      <c r="O294" s="552"/>
      <c r="P294" s="552"/>
    </row>
    <row r="295" spans="2:16" ht="18">
      <c r="B295" s="916" t="s">
        <v>1302</v>
      </c>
    </row>
    <row r="297" spans="2:16" ht="13.15" customHeight="1">
      <c r="B297" s="776" t="s">
        <v>1717</v>
      </c>
      <c r="C297" s="776"/>
      <c r="D297" s="776"/>
      <c r="E297" s="776"/>
      <c r="F297" s="776"/>
      <c r="G297" s="776"/>
      <c r="H297" s="776"/>
      <c r="I297" s="776"/>
      <c r="J297" s="776"/>
      <c r="K297" s="776"/>
      <c r="L297" s="776"/>
      <c r="M297" s="776"/>
      <c r="N297" s="776"/>
      <c r="O297" s="776"/>
      <c r="P297" s="776"/>
    </row>
    <row r="298" spans="2:16">
      <c r="B298" s="776"/>
      <c r="C298" s="776"/>
      <c r="D298" s="776"/>
      <c r="E298" s="776"/>
      <c r="F298" s="776"/>
      <c r="G298" s="776"/>
      <c r="H298" s="776"/>
      <c r="I298" s="776"/>
      <c r="J298" s="776"/>
      <c r="K298" s="776"/>
      <c r="L298" s="776"/>
      <c r="M298" s="776"/>
      <c r="N298" s="776"/>
      <c r="O298" s="776"/>
      <c r="P298" s="776"/>
    </row>
    <row r="299" spans="2:16">
      <c r="B299" s="776" t="s">
        <v>1718</v>
      </c>
      <c r="G299" s="552"/>
      <c r="H299" s="552"/>
      <c r="I299" s="552"/>
      <c r="J299" s="552"/>
      <c r="K299" s="552"/>
      <c r="L299" s="552"/>
      <c r="M299" s="552"/>
      <c r="N299" s="552"/>
      <c r="O299" s="552"/>
      <c r="P299" s="552"/>
    </row>
    <row r="300" spans="2:16">
      <c r="B300" s="777"/>
      <c r="G300" s="1112"/>
      <c r="H300" s="1112"/>
      <c r="I300" s="1112"/>
      <c r="J300" s="1112"/>
      <c r="K300" s="1112"/>
      <c r="L300" s="1112"/>
      <c r="M300" s="1112"/>
      <c r="N300" s="1112"/>
      <c r="O300" s="1112"/>
      <c r="P300" s="1112"/>
    </row>
    <row r="301" spans="2:16">
      <c r="B301" s="777" t="s">
        <v>1182</v>
      </c>
      <c r="G301" s="1112"/>
      <c r="H301" s="1112"/>
      <c r="I301" s="1112"/>
      <c r="J301" s="1112"/>
      <c r="K301" s="1112"/>
      <c r="L301" s="1112"/>
      <c r="M301" s="1112"/>
      <c r="N301" s="1112"/>
      <c r="O301" s="1112"/>
      <c r="P301" s="1112"/>
    </row>
    <row r="302" spans="2:16">
      <c r="B302" s="552"/>
      <c r="C302" s="552"/>
      <c r="D302" s="552"/>
      <c r="E302" s="552"/>
      <c r="F302" s="552"/>
      <c r="G302" s="552"/>
      <c r="H302" s="552"/>
      <c r="I302" s="552"/>
      <c r="J302" s="552"/>
      <c r="K302" s="552"/>
      <c r="L302" s="552"/>
      <c r="M302" s="552"/>
      <c r="N302" s="552"/>
      <c r="O302" s="552"/>
      <c r="P302" s="552"/>
    </row>
    <row r="303" spans="2:16">
      <c r="B303" s="75" t="s">
        <v>40</v>
      </c>
      <c r="F303" s="75" t="s">
        <v>249</v>
      </c>
      <c r="G303" s="552"/>
      <c r="H303" s="552"/>
      <c r="I303" s="552"/>
      <c r="J303" s="552"/>
      <c r="K303" s="552"/>
      <c r="L303" s="552"/>
      <c r="M303" s="552"/>
      <c r="N303" s="552"/>
      <c r="O303" s="552"/>
      <c r="P303" s="552"/>
    </row>
    <row r="304" spans="2:16">
      <c r="B304" s="552"/>
      <c r="C304" s="552"/>
      <c r="D304" s="552"/>
      <c r="E304" s="552"/>
      <c r="F304" s="552"/>
      <c r="G304" s="552"/>
      <c r="H304" s="552"/>
      <c r="I304" s="552"/>
      <c r="J304" s="552"/>
      <c r="K304" s="552"/>
      <c r="L304" s="552"/>
      <c r="M304" s="552"/>
      <c r="N304" s="552"/>
      <c r="O304" s="552"/>
      <c r="P304" s="552"/>
    </row>
    <row r="305" spans="2:17">
      <c r="B305" s="552"/>
      <c r="C305" s="552"/>
      <c r="D305" s="552"/>
      <c r="E305" s="552"/>
      <c r="F305" s="552"/>
      <c r="G305" s="552"/>
      <c r="H305" s="552"/>
      <c r="I305" s="552"/>
      <c r="J305" s="552"/>
      <c r="K305" s="552"/>
      <c r="L305" s="552"/>
      <c r="M305" s="552"/>
      <c r="N305" s="552"/>
      <c r="O305" s="552"/>
      <c r="P305" s="552"/>
    </row>
    <row r="306" spans="2:17">
      <c r="B306" s="552"/>
      <c r="C306" s="552"/>
      <c r="D306" s="552"/>
      <c r="E306" s="552"/>
      <c r="F306" s="552"/>
      <c r="G306" s="552"/>
      <c r="H306" s="552"/>
      <c r="I306" s="552"/>
      <c r="J306" s="552"/>
      <c r="K306" s="552"/>
      <c r="L306" s="552"/>
      <c r="M306" s="552"/>
      <c r="N306" s="552"/>
      <c r="O306" s="552"/>
      <c r="P306" s="552"/>
    </row>
    <row r="307" spans="2:17">
      <c r="B307" s="552"/>
      <c r="C307" s="552"/>
      <c r="D307" s="552"/>
      <c r="E307" s="552"/>
      <c r="F307" s="552"/>
      <c r="G307" s="552"/>
      <c r="H307" s="552"/>
      <c r="I307" s="552"/>
      <c r="J307" s="552"/>
      <c r="K307" s="552"/>
      <c r="L307" s="552"/>
      <c r="M307" s="552"/>
      <c r="N307" s="552"/>
      <c r="O307" s="552"/>
      <c r="P307" s="552"/>
    </row>
    <row r="308" spans="2:17">
      <c r="B308" s="147" t="s">
        <v>1732</v>
      </c>
      <c r="C308" s="552"/>
      <c r="D308" s="552"/>
      <c r="E308" s="552"/>
      <c r="F308" s="552"/>
      <c r="G308" s="552"/>
      <c r="H308" s="552"/>
      <c r="I308" s="552"/>
      <c r="J308" s="552"/>
      <c r="K308" s="552"/>
      <c r="L308" s="552"/>
      <c r="M308" s="552"/>
      <c r="N308" s="552"/>
      <c r="O308" s="552"/>
      <c r="P308" s="552"/>
    </row>
    <row r="309" spans="2:17">
      <c r="B309" s="147"/>
      <c r="C309" s="552"/>
      <c r="D309" s="552"/>
      <c r="E309" s="552"/>
      <c r="F309" s="552"/>
      <c r="G309" s="552"/>
      <c r="H309" s="552"/>
      <c r="I309" s="552"/>
      <c r="J309" s="552"/>
      <c r="K309" s="552"/>
      <c r="L309" s="552"/>
      <c r="M309" s="552"/>
      <c r="N309" s="552"/>
      <c r="O309" s="552"/>
      <c r="P309" s="552"/>
    </row>
    <row r="310" spans="2:17">
      <c r="B310" s="147" t="s">
        <v>1277</v>
      </c>
      <c r="C310" s="552"/>
      <c r="D310" s="552"/>
      <c r="E310" s="552"/>
      <c r="F310" s="552"/>
      <c r="G310" s="552"/>
      <c r="H310" s="552"/>
      <c r="I310" s="552"/>
      <c r="J310" s="552"/>
      <c r="K310" s="552"/>
      <c r="L310" s="552"/>
      <c r="M310" s="552"/>
      <c r="N310" s="552"/>
      <c r="O310" s="552"/>
      <c r="P310" s="552"/>
    </row>
    <row r="311" spans="2:17">
      <c r="B311" s="147"/>
      <c r="C311" s="552"/>
      <c r="D311" s="552"/>
      <c r="E311" s="552"/>
      <c r="F311" s="552"/>
      <c r="G311" s="552"/>
      <c r="H311" s="552"/>
      <c r="I311" s="552"/>
      <c r="J311" s="552"/>
      <c r="K311" s="552"/>
      <c r="L311" s="552"/>
      <c r="M311" s="552"/>
      <c r="N311" s="552"/>
      <c r="O311" s="552"/>
      <c r="P311" s="552"/>
    </row>
    <row r="312" spans="2:17">
      <c r="B312" s="147" t="s">
        <v>1666</v>
      </c>
      <c r="C312" s="552"/>
      <c r="D312" s="552"/>
      <c r="E312" s="552"/>
      <c r="F312" s="552"/>
      <c r="G312" s="552"/>
      <c r="H312" s="552"/>
      <c r="I312" s="552"/>
      <c r="J312" s="552"/>
      <c r="K312" s="552"/>
      <c r="L312" s="552"/>
      <c r="M312" s="552"/>
      <c r="N312" s="552"/>
      <c r="O312" s="552"/>
      <c r="P312" s="552"/>
    </row>
    <row r="313" spans="2:17">
      <c r="B313" s="147"/>
      <c r="C313" s="552"/>
      <c r="D313" s="552"/>
      <c r="E313" s="552"/>
      <c r="F313" s="552"/>
      <c r="G313" s="552"/>
      <c r="H313" s="552"/>
      <c r="I313" s="552"/>
      <c r="J313" s="552"/>
      <c r="K313" s="552"/>
      <c r="L313" s="552"/>
      <c r="M313" s="552"/>
      <c r="N313" s="552"/>
      <c r="O313" s="552"/>
      <c r="P313" s="552"/>
    </row>
    <row r="314" spans="2:17">
      <c r="B314" s="147" t="s">
        <v>1716</v>
      </c>
      <c r="C314" s="552"/>
      <c r="D314" s="552"/>
      <c r="E314" s="552"/>
      <c r="F314" s="552"/>
      <c r="G314" s="552"/>
      <c r="H314" s="552"/>
      <c r="I314" s="552"/>
      <c r="J314" s="552"/>
      <c r="K314" s="552"/>
      <c r="L314" s="552"/>
      <c r="M314" s="552"/>
      <c r="N314" s="552"/>
      <c r="O314" s="552"/>
      <c r="P314" s="552"/>
    </row>
    <row r="315" spans="2:17">
      <c r="B315" s="147"/>
      <c r="C315" s="552"/>
      <c r="D315" s="552"/>
      <c r="E315" s="552"/>
      <c r="F315" s="552"/>
      <c r="G315" s="552"/>
      <c r="H315" s="552"/>
      <c r="I315" s="552"/>
      <c r="J315" s="552"/>
      <c r="K315" s="552"/>
      <c r="L315" s="552"/>
      <c r="M315" s="552"/>
      <c r="N315" s="552"/>
      <c r="O315" s="552"/>
      <c r="P315" s="552"/>
    </row>
    <row r="316" spans="2:17">
      <c r="B316" s="147" t="s">
        <v>1733</v>
      </c>
      <c r="C316" s="552"/>
      <c r="D316" s="552"/>
      <c r="E316" s="552"/>
      <c r="F316" s="552"/>
      <c r="G316" s="552"/>
      <c r="H316" s="552"/>
      <c r="I316" s="552"/>
      <c r="J316" s="552"/>
      <c r="K316" s="552"/>
      <c r="L316" s="552"/>
      <c r="M316" s="552"/>
      <c r="N316" s="552"/>
      <c r="O316" s="552"/>
      <c r="P316" s="552"/>
    </row>
    <row r="317" spans="2:17">
      <c r="B317" s="147"/>
      <c r="C317" s="552"/>
      <c r="D317" s="552"/>
      <c r="E317" s="552"/>
      <c r="F317" s="552"/>
      <c r="G317" s="552"/>
      <c r="H317" s="552"/>
      <c r="I317" s="552"/>
      <c r="J317" s="552"/>
      <c r="K317" s="552"/>
      <c r="L317" s="552"/>
      <c r="M317" s="552"/>
      <c r="N317" s="552"/>
      <c r="O317" s="552"/>
      <c r="P317" s="552"/>
    </row>
    <row r="318" spans="2:17">
      <c r="B318" s="147" t="s">
        <v>1734</v>
      </c>
      <c r="C318" s="552"/>
      <c r="D318" s="552"/>
      <c r="E318" s="552"/>
      <c r="F318" s="552"/>
      <c r="G318" s="552"/>
      <c r="H318" s="552"/>
      <c r="I318" s="552"/>
      <c r="J318" s="552"/>
      <c r="K318" s="552"/>
      <c r="L318" s="552"/>
      <c r="M318" s="552"/>
      <c r="N318" s="552"/>
      <c r="O318" s="552"/>
      <c r="P318" s="552"/>
    </row>
    <row r="319" spans="2:17">
      <c r="B319" s="552"/>
      <c r="C319" s="552"/>
      <c r="D319" s="552"/>
      <c r="E319" s="552"/>
      <c r="F319" s="552"/>
      <c r="G319" s="552"/>
      <c r="H319" s="552"/>
      <c r="I319" s="552"/>
      <c r="J319" s="552"/>
      <c r="K319" s="552"/>
      <c r="L319" s="552"/>
      <c r="M319" s="552"/>
      <c r="N319" s="552"/>
      <c r="O319" s="552"/>
      <c r="P319" s="552"/>
    </row>
    <row r="320" spans="2:17" ht="21.4" customHeight="1">
      <c r="B320" s="552"/>
      <c r="C320" s="1189" t="s">
        <v>1167</v>
      </c>
      <c r="D320" s="1189"/>
      <c r="E320" s="552"/>
      <c r="F320" s="775"/>
      <c r="G320" s="1035"/>
      <c r="H320" s="1077"/>
      <c r="I320" s="1077"/>
      <c r="J320" s="775"/>
      <c r="K320" s="775"/>
      <c r="L320" s="775"/>
      <c r="M320" s="775"/>
      <c r="N320" s="775"/>
      <c r="O320" s="775"/>
      <c r="P320" s="775"/>
      <c r="Q320" s="775"/>
    </row>
    <row r="321" spans="1:16" ht="20.25" customHeight="1">
      <c r="B321" s="552"/>
      <c r="C321" s="243" t="s">
        <v>1667</v>
      </c>
      <c r="D321" s="243" t="s">
        <v>1183</v>
      </c>
      <c r="E321" s="243" t="s">
        <v>1322</v>
      </c>
      <c r="F321" s="552"/>
      <c r="G321" s="1036"/>
      <c r="H321" s="1075"/>
      <c r="I321" s="1037"/>
      <c r="J321" s="791"/>
      <c r="K321" s="791"/>
      <c r="L321" s="791"/>
      <c r="M321" s="791"/>
      <c r="N321" s="791"/>
      <c r="O321" s="791"/>
      <c r="P321" s="791"/>
    </row>
    <row r="322" spans="1:16">
      <c r="A322" s="1058"/>
      <c r="B322" s="243" t="s">
        <v>40</v>
      </c>
      <c r="C322" s="894">
        <v>3.2452360303093598E-2</v>
      </c>
      <c r="D322" s="895">
        <f>Calc_Primary_teacher_need!P48</f>
        <v>3.4853157296169286E-2</v>
      </c>
      <c r="E322" s="926">
        <f>D322-C322</f>
        <v>2.4007969930756878E-3</v>
      </c>
      <c r="F322" s="925"/>
      <c r="G322" s="1036"/>
      <c r="H322" s="1036"/>
      <c r="I322" s="1036"/>
      <c r="J322" s="552"/>
      <c r="K322" s="552"/>
      <c r="L322" s="552"/>
      <c r="M322" s="552"/>
      <c r="N322" s="552"/>
      <c r="O322" s="552"/>
      <c r="P322" s="552"/>
    </row>
    <row r="323" spans="1:16">
      <c r="A323" s="1058"/>
      <c r="B323" s="780" t="s">
        <v>571</v>
      </c>
      <c r="C323" s="894">
        <v>5.5482785567752567E-2</v>
      </c>
      <c r="D323" s="895">
        <f>Stock_calculations!I44</f>
        <v>5.5968017287055014E-2</v>
      </c>
      <c r="E323" s="926">
        <f t="shared" ref="E323:E341" si="8">D323-C323</f>
        <v>4.8523171930244663E-4</v>
      </c>
      <c r="F323" s="925"/>
      <c r="G323" s="1076"/>
      <c r="H323" s="1036"/>
      <c r="I323" s="1036"/>
      <c r="J323" s="552"/>
      <c r="K323" s="552"/>
      <c r="L323" s="552"/>
      <c r="M323" s="552"/>
      <c r="N323" s="552"/>
      <c r="O323" s="552"/>
      <c r="P323" s="552"/>
    </row>
    <row r="324" spans="1:16">
      <c r="A324" s="1058"/>
      <c r="B324" s="780" t="s">
        <v>7</v>
      </c>
      <c r="C324" s="894">
        <v>4.7147483464243911E-2</v>
      </c>
      <c r="D324" s="895">
        <f>Stock_calculations!I45</f>
        <v>4.9972000043522848E-2</v>
      </c>
      <c r="E324" s="926">
        <f t="shared" si="8"/>
        <v>2.8245165792789365E-3</v>
      </c>
      <c r="F324" s="925"/>
      <c r="G324" s="1063"/>
      <c r="H324" s="1036"/>
      <c r="I324" s="1036"/>
      <c r="J324" s="552"/>
      <c r="K324" s="552"/>
      <c r="L324" s="552"/>
      <c r="M324" s="552"/>
      <c r="N324" s="552"/>
      <c r="O324" s="552"/>
      <c r="P324" s="552"/>
    </row>
    <row r="325" spans="1:16">
      <c r="A325" s="1058"/>
      <c r="B325" s="780" t="s">
        <v>429</v>
      </c>
      <c r="C325" s="894">
        <v>9.1589119325306181E-2</v>
      </c>
      <c r="D325" s="895">
        <f>Stock_calculations!I46</f>
        <v>9.1589119325306181E-2</v>
      </c>
      <c r="E325" s="926">
        <f t="shared" si="8"/>
        <v>0</v>
      </c>
      <c r="F325" s="1059"/>
      <c r="G325" s="1076"/>
      <c r="H325" s="1036"/>
      <c r="I325" s="1036"/>
      <c r="J325" s="552"/>
      <c r="K325" s="552"/>
      <c r="L325" s="552"/>
      <c r="M325" s="552"/>
      <c r="N325" s="552"/>
      <c r="O325" s="552"/>
      <c r="P325" s="552"/>
    </row>
    <row r="326" spans="1:16">
      <c r="A326" s="1058"/>
      <c r="B326" s="780" t="s">
        <v>3</v>
      </c>
      <c r="C326" s="894">
        <v>4.6913086855563599E-2</v>
      </c>
      <c r="D326" s="895">
        <f>Stock_calculations!I47</f>
        <v>4.6913086855563599E-2</v>
      </c>
      <c r="E326" s="926">
        <f t="shared" si="8"/>
        <v>0</v>
      </c>
      <c r="F326" s="925"/>
      <c r="G326" s="1036"/>
      <c r="H326" s="1036"/>
      <c r="I326" s="1036"/>
      <c r="J326" s="552"/>
      <c r="K326" s="552"/>
      <c r="L326" s="552"/>
      <c r="M326" s="552"/>
      <c r="N326" s="552"/>
      <c r="O326" s="552"/>
      <c r="P326" s="552"/>
    </row>
    <row r="327" spans="1:16">
      <c r="A327" s="1058"/>
      <c r="B327" s="780" t="s">
        <v>80</v>
      </c>
      <c r="C327" s="894">
        <v>6.704089375668533E-2</v>
      </c>
      <c r="D327" s="895">
        <f>Stock_calculations!I48</f>
        <v>6.7283713351043953E-2</v>
      </c>
      <c r="E327" s="926">
        <f t="shared" si="8"/>
        <v>2.428195943586231E-4</v>
      </c>
      <c r="F327" s="925"/>
      <c r="G327" s="1036"/>
      <c r="H327" s="1036"/>
      <c r="I327" s="1036"/>
      <c r="J327" s="552"/>
      <c r="K327" s="552"/>
      <c r="L327" s="552"/>
      <c r="M327" s="552"/>
      <c r="N327" s="552"/>
      <c r="O327" s="552"/>
      <c r="P327" s="552"/>
    </row>
    <row r="328" spans="1:16">
      <c r="A328" s="1058"/>
      <c r="B328" s="780" t="s">
        <v>108</v>
      </c>
      <c r="C328" s="894">
        <v>5.5336545757057175E-2</v>
      </c>
      <c r="D328" s="895">
        <f>Stock_calculations!I49</f>
        <v>5.5336545757057175E-2</v>
      </c>
      <c r="E328" s="926">
        <f t="shared" si="8"/>
        <v>0</v>
      </c>
      <c r="F328" s="925"/>
      <c r="G328" s="1036"/>
      <c r="H328" s="1036"/>
      <c r="I328" s="1036"/>
      <c r="J328" s="552"/>
      <c r="K328" s="552"/>
      <c r="L328" s="552"/>
      <c r="M328" s="552"/>
      <c r="N328" s="552"/>
      <c r="O328" s="552"/>
      <c r="P328" s="552"/>
    </row>
    <row r="329" spans="1:16" ht="22.5">
      <c r="A329" s="1058"/>
      <c r="B329" s="780" t="s">
        <v>572</v>
      </c>
      <c r="C329" s="894">
        <v>6.7710578130345755E-2</v>
      </c>
      <c r="D329" s="895">
        <f>Stock_calculations!I50</f>
        <v>7.213445730617235E-2</v>
      </c>
      <c r="E329" s="926">
        <f t="shared" si="8"/>
        <v>4.423879175826595E-3</v>
      </c>
      <c r="F329" s="925"/>
      <c r="G329" s="1036"/>
      <c r="H329" s="1036"/>
      <c r="I329" s="1036"/>
      <c r="J329" s="552"/>
      <c r="K329" s="552"/>
      <c r="L329" s="552"/>
      <c r="M329" s="552"/>
      <c r="N329" s="552"/>
      <c r="O329" s="552"/>
      <c r="P329" s="552"/>
    </row>
    <row r="330" spans="1:16">
      <c r="A330" s="1058"/>
      <c r="B330" s="780" t="s">
        <v>6</v>
      </c>
      <c r="C330" s="894">
        <v>8.377556244402512E-2</v>
      </c>
      <c r="D330" s="895">
        <f>Stock_calculations!I51</f>
        <v>8.8617581745750768E-2</v>
      </c>
      <c r="E330" s="926">
        <f t="shared" si="8"/>
        <v>4.8420193017256474E-3</v>
      </c>
      <c r="F330" s="925"/>
      <c r="G330" s="1036"/>
      <c r="H330" s="1036"/>
      <c r="I330" s="1036"/>
      <c r="J330" s="552"/>
      <c r="K330" s="552"/>
      <c r="L330" s="552"/>
      <c r="M330" s="552"/>
      <c r="N330" s="552"/>
      <c r="O330" s="552"/>
      <c r="P330" s="552"/>
    </row>
    <row r="331" spans="1:16">
      <c r="A331" s="1058"/>
      <c r="B331" s="780" t="s">
        <v>1</v>
      </c>
      <c r="C331" s="894">
        <v>8.773490743765272E-2</v>
      </c>
      <c r="D331" s="895">
        <f>Stock_calculations!I52</f>
        <v>8.773490743765272E-2</v>
      </c>
      <c r="E331" s="926">
        <f t="shared" si="8"/>
        <v>0</v>
      </c>
      <c r="F331" s="925"/>
      <c r="G331" s="1036"/>
      <c r="H331" s="1036"/>
      <c r="I331" s="1036"/>
      <c r="J331" s="552"/>
      <c r="K331" s="552"/>
      <c r="L331" s="552"/>
      <c r="M331" s="552"/>
      <c r="N331" s="552"/>
      <c r="O331" s="552"/>
      <c r="P331" s="552"/>
    </row>
    <row r="332" spans="1:16">
      <c r="A332" s="1058"/>
      <c r="B332" s="780" t="s">
        <v>397</v>
      </c>
      <c r="C332" s="894">
        <v>0.10009363022572292</v>
      </c>
      <c r="D332" s="895">
        <f>Stock_calculations!I53</f>
        <v>0.10009363022572292</v>
      </c>
      <c r="E332" s="926">
        <f t="shared" si="8"/>
        <v>0</v>
      </c>
      <c r="F332" s="925"/>
      <c r="G332" s="1036"/>
      <c r="H332" s="1036"/>
      <c r="I332" s="1036"/>
      <c r="J332" s="552"/>
      <c r="K332" s="552"/>
      <c r="L332" s="552"/>
      <c r="M332" s="552"/>
      <c r="N332" s="552"/>
      <c r="O332" s="552"/>
      <c r="P332" s="552"/>
    </row>
    <row r="333" spans="1:16">
      <c r="A333" s="1058"/>
      <c r="B333" s="780" t="s">
        <v>4</v>
      </c>
      <c r="C333" s="894">
        <v>4.7550259871897121E-2</v>
      </c>
      <c r="D333" s="895">
        <f>Stock_calculations!I54</f>
        <v>5.1630041645913109E-2</v>
      </c>
      <c r="E333" s="926">
        <f t="shared" si="8"/>
        <v>4.0797817740159878E-3</v>
      </c>
      <c r="F333" s="925"/>
      <c r="G333" s="1036"/>
      <c r="H333" s="1036"/>
      <c r="I333" s="1036"/>
      <c r="J333" s="552"/>
      <c r="K333" s="552"/>
      <c r="L333" s="552"/>
      <c r="M333" s="552"/>
      <c r="N333" s="552"/>
      <c r="O333" s="552"/>
      <c r="P333" s="552"/>
    </row>
    <row r="334" spans="1:16">
      <c r="A334" s="1058"/>
      <c r="B334" s="780" t="s">
        <v>0</v>
      </c>
      <c r="C334" s="894">
        <v>4.9790971050012442E-2</v>
      </c>
      <c r="D334" s="895">
        <f>Stock_calculations!I55</f>
        <v>5.3704760379335428E-2</v>
      </c>
      <c r="E334" s="926">
        <f t="shared" si="8"/>
        <v>3.9137893293229864E-3</v>
      </c>
      <c r="F334" s="925"/>
      <c r="G334" s="1036"/>
      <c r="H334" s="1036"/>
      <c r="I334" s="1036"/>
      <c r="J334" s="552"/>
      <c r="K334" s="552"/>
      <c r="L334" s="552"/>
      <c r="M334" s="552"/>
      <c r="N334" s="552"/>
      <c r="O334" s="552"/>
      <c r="P334" s="552"/>
    </row>
    <row r="335" spans="1:16">
      <c r="A335" s="1058"/>
      <c r="B335" s="780" t="s">
        <v>573</v>
      </c>
      <c r="C335" s="894">
        <v>6.49038506637587E-2</v>
      </c>
      <c r="D335" s="895">
        <f>Stock_calculations!I56</f>
        <v>6.49038506637587E-2</v>
      </c>
      <c r="E335" s="926">
        <f t="shared" si="8"/>
        <v>0</v>
      </c>
      <c r="F335" s="925"/>
      <c r="G335" s="1036"/>
      <c r="H335" s="1036"/>
      <c r="I335" s="1036"/>
      <c r="J335" s="552"/>
      <c r="K335" s="552"/>
      <c r="L335" s="552"/>
      <c r="M335" s="552"/>
      <c r="N335" s="552"/>
      <c r="O335" s="552"/>
      <c r="P335" s="552"/>
    </row>
    <row r="336" spans="1:16" ht="22.5">
      <c r="A336" s="1058"/>
      <c r="B336" s="780" t="s">
        <v>574</v>
      </c>
      <c r="C336" s="894">
        <v>3.8975877543540892E-2</v>
      </c>
      <c r="D336" s="895">
        <f>Stock_calculations!I57</f>
        <v>3.8975877543540892E-2</v>
      </c>
      <c r="E336" s="926">
        <f t="shared" si="8"/>
        <v>0</v>
      </c>
      <c r="F336" s="925"/>
      <c r="G336" s="1036"/>
      <c r="H336" s="1036"/>
      <c r="I336" s="1036"/>
      <c r="J336" s="552"/>
      <c r="K336" s="552"/>
      <c r="L336" s="552"/>
      <c r="M336" s="552"/>
      <c r="N336" s="552"/>
      <c r="O336" s="552"/>
      <c r="P336" s="552"/>
    </row>
    <row r="337" spans="1:18">
      <c r="A337" s="1058"/>
      <c r="B337" s="780" t="s">
        <v>5</v>
      </c>
      <c r="C337" s="894">
        <v>4.5052436211548266E-2</v>
      </c>
      <c r="D337" s="895">
        <f>Stock_calculations!I58</f>
        <v>5.2443724096728997E-2</v>
      </c>
      <c r="E337" s="926">
        <f t="shared" si="8"/>
        <v>7.3912878851807307E-3</v>
      </c>
      <c r="F337" s="925"/>
      <c r="G337" s="1036"/>
      <c r="H337" s="1036"/>
      <c r="I337" s="1036"/>
      <c r="J337" s="552"/>
      <c r="K337" s="552"/>
      <c r="L337" s="552"/>
      <c r="M337" s="552"/>
      <c r="N337" s="552"/>
      <c r="O337" s="552"/>
      <c r="P337" s="552"/>
    </row>
    <row r="338" spans="1:18">
      <c r="A338" s="1058"/>
      <c r="B338" s="780" t="s">
        <v>711</v>
      </c>
      <c r="C338" s="894">
        <v>0.13826981448484513</v>
      </c>
      <c r="D338" s="895">
        <f>Stock_calculations!I59</f>
        <v>0.13826981448484513</v>
      </c>
      <c r="E338" s="926">
        <f t="shared" si="8"/>
        <v>0</v>
      </c>
      <c r="F338" s="925"/>
      <c r="G338" s="1036"/>
      <c r="H338" s="1036"/>
      <c r="I338" s="1036"/>
      <c r="J338" s="552"/>
      <c r="K338" s="552"/>
      <c r="L338" s="552"/>
      <c r="M338" s="552"/>
      <c r="N338" s="552"/>
      <c r="O338" s="552"/>
      <c r="P338" s="552"/>
    </row>
    <row r="339" spans="1:18">
      <c r="A339" s="1058"/>
      <c r="B339" s="780" t="s">
        <v>575</v>
      </c>
      <c r="C339" s="894">
        <v>4.057770218571477E-2</v>
      </c>
      <c r="D339" s="895">
        <f>Stock_calculations!I60</f>
        <v>4.057770218571477E-2</v>
      </c>
      <c r="E339" s="926">
        <f t="shared" si="8"/>
        <v>0</v>
      </c>
      <c r="F339" s="925"/>
      <c r="G339" s="1036"/>
      <c r="H339" s="1036"/>
      <c r="I339" s="1036"/>
      <c r="J339" s="552"/>
      <c r="K339" s="552"/>
      <c r="L339" s="552"/>
      <c r="M339" s="552"/>
      <c r="N339" s="552"/>
      <c r="O339" s="552"/>
      <c r="P339" s="552"/>
    </row>
    <row r="340" spans="1:18">
      <c r="A340" s="1058"/>
      <c r="B340" s="780" t="s">
        <v>2</v>
      </c>
      <c r="C340" s="894">
        <v>3.5327821376179305E-2</v>
      </c>
      <c r="D340" s="895">
        <f>Stock_calculations!I61</f>
        <v>4.205381353410817E-2</v>
      </c>
      <c r="E340" s="926">
        <f t="shared" si="8"/>
        <v>6.7259921579288645E-3</v>
      </c>
      <c r="F340" s="925"/>
      <c r="G340" s="1036"/>
      <c r="H340" s="1036"/>
      <c r="I340" s="1036"/>
      <c r="J340" s="552"/>
      <c r="K340" s="552"/>
      <c r="L340" s="552"/>
      <c r="M340" s="552"/>
      <c r="N340" s="552"/>
      <c r="O340" s="552"/>
      <c r="P340" s="552"/>
    </row>
    <row r="341" spans="1:18">
      <c r="A341" s="1058"/>
      <c r="B341" s="780" t="s">
        <v>576</v>
      </c>
      <c r="C341" s="894">
        <v>5.4816797336101404E-2</v>
      </c>
      <c r="D341" s="895">
        <f>Stock_calculations!I62</f>
        <v>6.0172109869509709E-2</v>
      </c>
      <c r="E341" s="926">
        <f t="shared" si="8"/>
        <v>5.3553125334083046E-3</v>
      </c>
      <c r="F341" s="925"/>
      <c r="G341" s="1036"/>
      <c r="H341" s="1036"/>
      <c r="I341" s="1036"/>
      <c r="J341" s="552"/>
      <c r="K341" s="552"/>
      <c r="L341" s="552"/>
      <c r="M341" s="552"/>
      <c r="N341" s="552"/>
      <c r="O341" s="552"/>
      <c r="P341" s="552"/>
    </row>
    <row r="343" spans="1:18" ht="18">
      <c r="B343" s="916" t="s">
        <v>1517</v>
      </c>
    </row>
    <row r="345" spans="1:18" ht="13.15" customHeight="1">
      <c r="B345" s="1192" t="s">
        <v>1711</v>
      </c>
      <c r="C345" s="1192"/>
      <c r="D345" s="1192"/>
      <c r="E345" s="1192"/>
      <c r="F345" s="1192"/>
      <c r="G345" s="1192"/>
      <c r="H345" s="1192"/>
      <c r="I345" s="1192"/>
      <c r="J345" s="1192"/>
      <c r="K345" s="1192"/>
      <c r="L345" s="1192"/>
      <c r="M345" s="1192"/>
      <c r="N345" s="1192"/>
      <c r="O345" s="1192"/>
      <c r="P345" s="1192"/>
      <c r="Q345" s="1192"/>
      <c r="R345" s="1192"/>
    </row>
    <row r="346" spans="1:18">
      <c r="B346" s="1192"/>
      <c r="C346" s="1192"/>
      <c r="D346" s="1192"/>
      <c r="E346" s="1192"/>
      <c r="F346" s="1192"/>
      <c r="G346" s="1192"/>
      <c r="H346" s="1192"/>
      <c r="I346" s="1192"/>
      <c r="J346" s="1192"/>
      <c r="K346" s="1192"/>
      <c r="L346" s="1192"/>
      <c r="M346" s="1192"/>
      <c r="N346" s="1192"/>
      <c r="O346" s="1192"/>
      <c r="P346" s="1192"/>
      <c r="Q346" s="1192"/>
      <c r="R346" s="1192"/>
    </row>
    <row r="347" spans="1:18">
      <c r="B347" s="1192"/>
      <c r="C347" s="1192"/>
      <c r="D347" s="1192"/>
      <c r="E347" s="1192"/>
      <c r="F347" s="1192"/>
      <c r="G347" s="1192"/>
      <c r="H347" s="1192"/>
      <c r="I347" s="1192"/>
      <c r="J347" s="1192"/>
      <c r="K347" s="1192"/>
      <c r="L347" s="1192"/>
      <c r="M347" s="1192"/>
      <c r="N347" s="1192"/>
      <c r="O347" s="1192"/>
      <c r="P347" s="1192"/>
      <c r="Q347" s="1192"/>
      <c r="R347" s="1192"/>
    </row>
    <row r="348" spans="1:18">
      <c r="B348" s="552"/>
      <c r="C348" s="552"/>
      <c r="D348" s="552"/>
      <c r="E348" s="552"/>
      <c r="F348" s="552"/>
      <c r="G348" s="552"/>
      <c r="H348" s="552"/>
      <c r="I348" s="552"/>
      <c r="J348" s="552"/>
      <c r="K348" s="552"/>
      <c r="L348" s="552"/>
      <c r="M348" s="552"/>
      <c r="N348" s="552"/>
      <c r="O348" s="552"/>
      <c r="P348" s="552"/>
    </row>
    <row r="349" spans="1:18">
      <c r="B349" s="552"/>
      <c r="C349" s="552"/>
      <c r="D349" s="552"/>
      <c r="E349" s="552"/>
      <c r="F349" s="552"/>
      <c r="G349" s="552"/>
      <c r="H349" s="552"/>
      <c r="I349" s="552"/>
      <c r="J349" s="552"/>
      <c r="K349" s="552"/>
      <c r="L349" s="552"/>
      <c r="M349" s="552"/>
      <c r="N349" s="552"/>
      <c r="O349" s="552"/>
      <c r="P349" s="552"/>
    </row>
    <row r="350" spans="1:18">
      <c r="B350" s="552"/>
      <c r="C350" s="552"/>
      <c r="D350" s="552"/>
      <c r="E350" s="552"/>
      <c r="F350" s="552"/>
      <c r="G350" s="552"/>
      <c r="H350" s="552"/>
      <c r="I350" s="552"/>
      <c r="J350" s="552"/>
      <c r="K350" s="552"/>
      <c r="L350" s="552"/>
      <c r="M350" s="552"/>
      <c r="N350" s="552"/>
      <c r="O350" s="552"/>
      <c r="P350" s="552"/>
    </row>
    <row r="351" spans="1:18">
      <c r="B351" s="552"/>
      <c r="C351" s="552"/>
      <c r="D351" s="552"/>
      <c r="E351" s="552"/>
      <c r="F351" s="552"/>
      <c r="G351" s="552"/>
      <c r="H351" s="552"/>
      <c r="I351" s="552"/>
      <c r="J351" s="552"/>
      <c r="K351" s="552"/>
      <c r="L351" s="552"/>
      <c r="M351" s="552"/>
      <c r="N351" s="552"/>
      <c r="O351" s="552"/>
      <c r="P351" s="552"/>
    </row>
    <row r="352" spans="1:18" ht="13.15" customHeight="1">
      <c r="B352" s="886" t="s">
        <v>1265</v>
      </c>
      <c r="C352" s="1188" t="s">
        <v>1264</v>
      </c>
      <c r="D352" s="1188"/>
      <c r="E352" s="1188"/>
      <c r="F352" s="1188"/>
      <c r="G352" s="1188"/>
      <c r="H352" s="1188"/>
      <c r="I352" s="1188"/>
      <c r="J352" s="1188"/>
      <c r="K352" s="1188"/>
      <c r="L352" s="1188"/>
      <c r="M352" s="1188"/>
      <c r="N352" s="1188"/>
      <c r="O352" s="1188"/>
      <c r="P352" s="1188"/>
      <c r="Q352" s="1188"/>
      <c r="R352" s="1188"/>
    </row>
    <row r="353" spans="2:18" ht="24">
      <c r="B353" s="1088" t="s">
        <v>1709</v>
      </c>
      <c r="C353" s="1185" t="s">
        <v>1767</v>
      </c>
      <c r="D353" s="1186"/>
      <c r="E353" s="1186"/>
      <c r="F353" s="1186"/>
      <c r="G353" s="1186"/>
      <c r="H353" s="1186"/>
      <c r="I353" s="1186"/>
      <c r="J353" s="1186"/>
      <c r="K353" s="1186"/>
      <c r="L353" s="1186"/>
      <c r="M353" s="1186"/>
      <c r="N353" s="1186"/>
      <c r="O353" s="1186"/>
      <c r="P353" s="1186"/>
      <c r="Q353" s="1186"/>
      <c r="R353" s="1187"/>
    </row>
    <row r="354" spans="2:18" ht="30.75" customHeight="1">
      <c r="B354" s="1088" t="s">
        <v>1710</v>
      </c>
      <c r="C354" s="1190" t="s">
        <v>1747</v>
      </c>
      <c r="D354" s="1191"/>
      <c r="E354" s="1191"/>
      <c r="F354" s="1191"/>
      <c r="G354" s="1191"/>
      <c r="H354" s="1191"/>
      <c r="I354" s="1191"/>
      <c r="J354" s="1191"/>
      <c r="K354" s="1191"/>
      <c r="L354" s="1191"/>
      <c r="M354" s="1191"/>
      <c r="N354" s="1191"/>
      <c r="O354" s="1191"/>
      <c r="P354" s="1191"/>
      <c r="Q354" s="1191"/>
      <c r="R354" s="1191"/>
    </row>
    <row r="355" spans="2:18">
      <c r="B355" s="552"/>
      <c r="C355" s="552"/>
      <c r="D355" s="552"/>
      <c r="E355" s="552"/>
      <c r="F355" s="552"/>
      <c r="G355" s="552"/>
      <c r="H355" s="552"/>
      <c r="I355" s="552"/>
      <c r="J355" s="552"/>
      <c r="K355" s="552"/>
      <c r="L355" s="552"/>
      <c r="M355" s="552"/>
      <c r="N355" s="552"/>
      <c r="O355" s="552"/>
      <c r="P355" s="552"/>
    </row>
    <row r="356" spans="2:18" ht="12.75" customHeight="1">
      <c r="B356" s="1181" t="s">
        <v>1507</v>
      </c>
      <c r="C356" s="1181"/>
      <c r="D356" s="1181"/>
      <c r="E356" s="1181"/>
      <c r="F356" s="1181"/>
      <c r="G356" s="1181"/>
      <c r="H356" s="977"/>
      <c r="I356" s="1181" t="s">
        <v>1513</v>
      </c>
      <c r="J356" s="1181"/>
      <c r="K356" s="1181"/>
      <c r="L356" s="1181"/>
      <c r="M356" s="1181"/>
      <c r="N356" s="1181"/>
      <c r="O356" s="1181"/>
      <c r="P356" s="1181"/>
      <c r="Q356" s="1181"/>
      <c r="R356" s="1181"/>
    </row>
    <row r="357" spans="2:18" ht="12.75" customHeight="1">
      <c r="B357" s="1181"/>
      <c r="C357" s="1181"/>
      <c r="D357" s="1181"/>
      <c r="E357" s="1181"/>
      <c r="F357" s="1181"/>
      <c r="G357" s="1181"/>
      <c r="H357" s="977"/>
      <c r="I357" s="1181"/>
      <c r="J357" s="1181"/>
      <c r="K357" s="1181"/>
      <c r="L357" s="1181"/>
      <c r="M357" s="1181"/>
      <c r="N357" s="1181"/>
      <c r="O357" s="1181"/>
      <c r="P357" s="1181"/>
      <c r="Q357" s="1181"/>
      <c r="R357" s="1181"/>
    </row>
  </sheetData>
  <mergeCells count="33">
    <mergeCell ref="D86:E86"/>
    <mergeCell ref="B249:B251"/>
    <mergeCell ref="H249:L249"/>
    <mergeCell ref="C249:G249"/>
    <mergeCell ref="H250:L250"/>
    <mergeCell ref="B229:P230"/>
    <mergeCell ref="B165:D166"/>
    <mergeCell ref="B210:P211"/>
    <mergeCell ref="B172:Q173"/>
    <mergeCell ref="B207:P208"/>
    <mergeCell ref="B147:Q148"/>
    <mergeCell ref="C250:G250"/>
    <mergeCell ref="C270:F270"/>
    <mergeCell ref="B141:Q143"/>
    <mergeCell ref="G271:G272"/>
    <mergeCell ref="C112:E112"/>
    <mergeCell ref="B270:B272"/>
    <mergeCell ref="B157:Q158"/>
    <mergeCell ref="H271:J271"/>
    <mergeCell ref="B194:R195"/>
    <mergeCell ref="G270:J270"/>
    <mergeCell ref="B226:P227"/>
    <mergeCell ref="B161:D162"/>
    <mergeCell ref="B163:D164"/>
    <mergeCell ref="B356:G357"/>
    <mergeCell ref="I356:R357"/>
    <mergeCell ref="C271:C272"/>
    <mergeCell ref="D271:F271"/>
    <mergeCell ref="C353:R353"/>
    <mergeCell ref="C352:R352"/>
    <mergeCell ref="C320:D320"/>
    <mergeCell ref="C354:R354"/>
    <mergeCell ref="B345:R347"/>
  </mergeCells>
  <conditionalFormatting sqref="K199:W200">
    <cfRule type="containsText" dxfId="13" priority="6" stopIfTrue="1" operator="containsText" text="FALSE">
      <formula>NOT(ISERROR(SEARCH("FALSE",K199)))</formula>
    </cfRule>
    <cfRule type="containsText" dxfId="12" priority="7" stopIfTrue="1" operator="containsText" text="TRUE">
      <formula>NOT(ISERROR(SEARCH("TRUE",K199)))</formula>
    </cfRule>
  </conditionalFormatting>
  <conditionalFormatting sqref="K88:K107">
    <cfRule type="cellIs" dxfId="11" priority="4" stopIfTrue="1" operator="equal">
      <formula>FALSE</formula>
    </cfRule>
    <cfRule type="cellIs" dxfId="10" priority="5" stopIfTrue="1" operator="equal">
      <formula>TRUE</formula>
    </cfRule>
  </conditionalFormatting>
  <conditionalFormatting sqref="J88:J107">
    <cfRule type="cellIs" dxfId="9" priority="2" stopIfTrue="1" operator="equal">
      <formula>FALSE</formula>
    </cfRule>
    <cfRule type="cellIs" dxfId="8" priority="3" stopIfTrue="1" operator="equal">
      <formula>TRUE</formula>
    </cfRule>
  </conditionalFormatting>
  <hyperlinks>
    <hyperlink ref="A2" location="'Title_&amp;_Contents'!A1" display="Contents"/>
    <hyperlink ref="B2" location="Map_of_sheets!A1" display="Map of sheets"/>
    <hyperlink ref="B356:G357" location="SUMMARY_OUTPUTS!A1" display="See summary of scenario outputs"/>
    <hyperlink ref="I356:R357" location="FINAL_OUTPUTS_OF_ITT_PLACES!A1" display="See detailed results of ITT allocations under these scenario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61025" r:id="rId4" name="Drop Down 238593">
              <controlPr defaultSize="0" autoLine="0" autoPict="0">
                <anchor moveWithCells="1">
                  <from>
                    <xdr:col>1</xdr:col>
                    <xdr:colOff>9525</xdr:colOff>
                    <xdr:row>151</xdr:row>
                    <xdr:rowOff>9525</xdr:rowOff>
                  </from>
                  <to>
                    <xdr:col>3</xdr:col>
                    <xdr:colOff>0</xdr:colOff>
                    <xdr:row>152</xdr:row>
                    <xdr:rowOff>152400</xdr:rowOff>
                  </to>
                </anchor>
              </controlPr>
            </control>
          </mc:Choice>
        </mc:AlternateContent>
        <mc:AlternateContent xmlns:mc="http://schemas.openxmlformats.org/markup-compatibility/2006">
          <mc:Choice Requires="x14">
            <control shapeId="12161027" r:id="rId5" name="Drop Down 238595">
              <controlPr defaultSize="0" autoLine="0" autoPict="0">
                <anchor moveWithCells="1">
                  <from>
                    <xdr:col>5</xdr:col>
                    <xdr:colOff>0</xdr:colOff>
                    <xdr:row>151</xdr:row>
                    <xdr:rowOff>9525</xdr:rowOff>
                  </from>
                  <to>
                    <xdr:col>7</xdr:col>
                    <xdr:colOff>390525</xdr:colOff>
                    <xdr:row>153</xdr:row>
                    <xdr:rowOff>0</xdr:rowOff>
                  </to>
                </anchor>
              </controlPr>
            </control>
          </mc:Choice>
        </mc:AlternateContent>
        <mc:AlternateContent xmlns:mc="http://schemas.openxmlformats.org/markup-compatibility/2006">
          <mc:Choice Requires="x14">
            <control shapeId="12161028" r:id="rId6" name="Drop Down 238596">
              <controlPr defaultSize="0" autoLine="0" autoPict="0">
                <anchor moveWithCells="1">
                  <from>
                    <xdr:col>1</xdr:col>
                    <xdr:colOff>0</xdr:colOff>
                    <xdr:row>178</xdr:row>
                    <xdr:rowOff>0</xdr:rowOff>
                  </from>
                  <to>
                    <xdr:col>3</xdr:col>
                    <xdr:colOff>123825</xdr:colOff>
                    <xdr:row>180</xdr:row>
                    <xdr:rowOff>9525</xdr:rowOff>
                  </to>
                </anchor>
              </controlPr>
            </control>
          </mc:Choice>
        </mc:AlternateContent>
        <mc:AlternateContent xmlns:mc="http://schemas.openxmlformats.org/markup-compatibility/2006">
          <mc:Choice Requires="x14">
            <control shapeId="12161030" r:id="rId7" name="Drop Down 238598">
              <controlPr defaultSize="0" autoLine="0" autoPict="0">
                <anchor moveWithCells="1">
                  <from>
                    <xdr:col>5</xdr:col>
                    <xdr:colOff>0</xdr:colOff>
                    <xdr:row>178</xdr:row>
                    <xdr:rowOff>9525</xdr:rowOff>
                  </from>
                  <to>
                    <xdr:col>7</xdr:col>
                    <xdr:colOff>390525</xdr:colOff>
                    <xdr:row>179</xdr:row>
                    <xdr:rowOff>152400</xdr:rowOff>
                  </to>
                </anchor>
              </controlPr>
            </control>
          </mc:Choice>
        </mc:AlternateContent>
        <mc:AlternateContent xmlns:mc="http://schemas.openxmlformats.org/markup-compatibility/2006">
          <mc:Choice Requires="x14">
            <control shapeId="12161031" r:id="rId8" name="Drop Down 238599">
              <controlPr defaultSize="0" autoLine="0" autoPict="0">
                <anchor moveWithCells="1">
                  <from>
                    <xdr:col>9</xdr:col>
                    <xdr:colOff>9525</xdr:colOff>
                    <xdr:row>178</xdr:row>
                    <xdr:rowOff>0</xdr:rowOff>
                  </from>
                  <to>
                    <xdr:col>11</xdr:col>
                    <xdr:colOff>400050</xdr:colOff>
                    <xdr:row>180</xdr:row>
                    <xdr:rowOff>0</xdr:rowOff>
                  </to>
                </anchor>
              </controlPr>
            </control>
          </mc:Choice>
        </mc:AlternateContent>
        <mc:AlternateContent xmlns:mc="http://schemas.openxmlformats.org/markup-compatibility/2006">
          <mc:Choice Requires="x14">
            <control shapeId="12161032" r:id="rId9" name="Drop Down 238600">
              <controlPr defaultSize="0" autoLine="0" autoPict="0">
                <anchor moveWithCells="1">
                  <from>
                    <xdr:col>12</xdr:col>
                    <xdr:colOff>647700</xdr:colOff>
                    <xdr:row>178</xdr:row>
                    <xdr:rowOff>0</xdr:rowOff>
                  </from>
                  <to>
                    <xdr:col>15</xdr:col>
                    <xdr:colOff>228600</xdr:colOff>
                    <xdr:row>180</xdr:row>
                    <xdr:rowOff>0</xdr:rowOff>
                  </to>
                </anchor>
              </controlPr>
            </control>
          </mc:Choice>
        </mc:AlternateContent>
        <mc:AlternateContent xmlns:mc="http://schemas.openxmlformats.org/markup-compatibility/2006">
          <mc:Choice Requires="x14">
            <control shapeId="12161033" r:id="rId10" name="Drop Down 238601">
              <controlPr defaultSize="0" autoLine="0" autoPict="0">
                <anchor moveWithCells="1">
                  <from>
                    <xdr:col>1</xdr:col>
                    <xdr:colOff>0</xdr:colOff>
                    <xdr:row>197</xdr:row>
                    <xdr:rowOff>0</xdr:rowOff>
                  </from>
                  <to>
                    <xdr:col>3</xdr:col>
                    <xdr:colOff>485775</xdr:colOff>
                    <xdr:row>199</xdr:row>
                    <xdr:rowOff>0</xdr:rowOff>
                  </to>
                </anchor>
              </controlPr>
            </control>
          </mc:Choice>
        </mc:AlternateContent>
        <mc:AlternateContent xmlns:mc="http://schemas.openxmlformats.org/markup-compatibility/2006">
          <mc:Choice Requires="x14">
            <control shapeId="12161034" r:id="rId11" name="Drop Down 238602">
              <controlPr defaultSize="0" autoLine="0" autoPict="0">
                <anchor moveWithCells="1">
                  <from>
                    <xdr:col>5</xdr:col>
                    <xdr:colOff>0</xdr:colOff>
                    <xdr:row>197</xdr:row>
                    <xdr:rowOff>9525</xdr:rowOff>
                  </from>
                  <to>
                    <xdr:col>8</xdr:col>
                    <xdr:colOff>152400</xdr:colOff>
                    <xdr:row>198</xdr:row>
                    <xdr:rowOff>152400</xdr:rowOff>
                  </to>
                </anchor>
              </controlPr>
            </control>
          </mc:Choice>
        </mc:AlternateContent>
        <mc:AlternateContent xmlns:mc="http://schemas.openxmlformats.org/markup-compatibility/2006">
          <mc:Choice Requires="x14">
            <control shapeId="12161035" r:id="rId12" name="Drop Down 238603">
              <controlPr defaultSize="0" autoLine="0" autoPict="0">
                <anchor moveWithCells="1">
                  <from>
                    <xdr:col>1</xdr:col>
                    <xdr:colOff>0</xdr:colOff>
                    <xdr:row>216</xdr:row>
                    <xdr:rowOff>9525</xdr:rowOff>
                  </from>
                  <to>
                    <xdr:col>3</xdr:col>
                    <xdr:colOff>400050</xdr:colOff>
                    <xdr:row>218</xdr:row>
                    <xdr:rowOff>0</xdr:rowOff>
                  </to>
                </anchor>
              </controlPr>
            </control>
          </mc:Choice>
        </mc:AlternateContent>
        <mc:AlternateContent xmlns:mc="http://schemas.openxmlformats.org/markup-compatibility/2006">
          <mc:Choice Requires="x14">
            <control shapeId="12161036" r:id="rId13" name="Drop Down 238604">
              <controlPr defaultSize="0" autoLine="0" autoPict="0">
                <anchor moveWithCells="1">
                  <from>
                    <xdr:col>5</xdr:col>
                    <xdr:colOff>0</xdr:colOff>
                    <xdr:row>216</xdr:row>
                    <xdr:rowOff>0</xdr:rowOff>
                  </from>
                  <to>
                    <xdr:col>8</xdr:col>
                    <xdr:colOff>95250</xdr:colOff>
                    <xdr:row>218</xdr:row>
                    <xdr:rowOff>0</xdr:rowOff>
                  </to>
                </anchor>
              </controlPr>
            </control>
          </mc:Choice>
        </mc:AlternateContent>
        <mc:AlternateContent xmlns:mc="http://schemas.openxmlformats.org/markup-compatibility/2006">
          <mc:Choice Requires="x14">
            <control shapeId="12161157" r:id="rId14" name="Drop Down 238725">
              <controlPr defaultSize="0" autoLine="0" autoPict="0">
                <anchor moveWithCells="1">
                  <from>
                    <xdr:col>1</xdr:col>
                    <xdr:colOff>0</xdr:colOff>
                    <xdr:row>237</xdr:row>
                    <xdr:rowOff>9525</xdr:rowOff>
                  </from>
                  <to>
                    <xdr:col>3</xdr:col>
                    <xdr:colOff>495300</xdr:colOff>
                    <xdr:row>239</xdr:row>
                    <xdr:rowOff>0</xdr:rowOff>
                  </to>
                </anchor>
              </controlPr>
            </control>
          </mc:Choice>
        </mc:AlternateContent>
        <mc:AlternateContent xmlns:mc="http://schemas.openxmlformats.org/markup-compatibility/2006">
          <mc:Choice Requires="x14">
            <control shapeId="12161158" r:id="rId15" name="Drop Down 238726">
              <controlPr defaultSize="0" autoLine="0" autoPict="0">
                <anchor moveWithCells="1">
                  <from>
                    <xdr:col>5</xdr:col>
                    <xdr:colOff>0</xdr:colOff>
                    <xdr:row>237</xdr:row>
                    <xdr:rowOff>0</xdr:rowOff>
                  </from>
                  <to>
                    <xdr:col>8</xdr:col>
                    <xdr:colOff>219075</xdr:colOff>
                    <xdr:row>239</xdr:row>
                    <xdr:rowOff>0</xdr:rowOff>
                  </to>
                </anchor>
              </controlPr>
            </control>
          </mc:Choice>
        </mc:AlternateContent>
        <mc:AlternateContent xmlns:mc="http://schemas.openxmlformats.org/markup-compatibility/2006">
          <mc:Choice Requires="x14">
            <control shapeId="12161242" r:id="rId16" name="Drop Down 238810">
              <controlPr defaultSize="0" autoLine="0" autoPict="0">
                <anchor moveWithCells="1">
                  <from>
                    <xdr:col>1</xdr:col>
                    <xdr:colOff>9525</xdr:colOff>
                    <xdr:row>263</xdr:row>
                    <xdr:rowOff>142875</xdr:rowOff>
                  </from>
                  <to>
                    <xdr:col>3</xdr:col>
                    <xdr:colOff>0</xdr:colOff>
                    <xdr:row>266</xdr:row>
                    <xdr:rowOff>38100</xdr:rowOff>
                  </to>
                </anchor>
              </controlPr>
            </control>
          </mc:Choice>
        </mc:AlternateContent>
        <mc:AlternateContent xmlns:mc="http://schemas.openxmlformats.org/markup-compatibility/2006">
          <mc:Choice Requires="x14">
            <control shapeId="12161243" r:id="rId17" name="Drop Down 238811">
              <controlPr defaultSize="0" autoLine="0" autoPict="0">
                <anchor moveWithCells="1">
                  <from>
                    <xdr:col>5</xdr:col>
                    <xdr:colOff>0</xdr:colOff>
                    <xdr:row>263</xdr:row>
                    <xdr:rowOff>133350</xdr:rowOff>
                  </from>
                  <to>
                    <xdr:col>7</xdr:col>
                    <xdr:colOff>390525</xdr:colOff>
                    <xdr:row>266</xdr:row>
                    <xdr:rowOff>47625</xdr:rowOff>
                  </to>
                </anchor>
              </controlPr>
            </control>
          </mc:Choice>
        </mc:AlternateContent>
        <mc:AlternateContent xmlns:mc="http://schemas.openxmlformats.org/markup-compatibility/2006">
          <mc:Choice Requires="x14">
            <control shapeId="12161244" r:id="rId18" name="Drop Down 238812">
              <controlPr defaultSize="0" autoLine="0" autoPict="0">
                <anchor moveWithCells="1">
                  <from>
                    <xdr:col>1</xdr:col>
                    <xdr:colOff>9525</xdr:colOff>
                    <xdr:row>304</xdr:row>
                    <xdr:rowOff>9525</xdr:rowOff>
                  </from>
                  <to>
                    <xdr:col>3</xdr:col>
                    <xdr:colOff>0</xdr:colOff>
                    <xdr:row>306</xdr:row>
                    <xdr:rowOff>19050</xdr:rowOff>
                  </to>
                </anchor>
              </controlPr>
            </control>
          </mc:Choice>
        </mc:AlternateContent>
        <mc:AlternateContent xmlns:mc="http://schemas.openxmlformats.org/markup-compatibility/2006">
          <mc:Choice Requires="x14">
            <control shapeId="12161246" r:id="rId19" name="Drop Down 238814">
              <controlPr defaultSize="0" autoLine="0" autoPict="0">
                <anchor moveWithCells="1">
                  <from>
                    <xdr:col>5</xdr:col>
                    <xdr:colOff>0</xdr:colOff>
                    <xdr:row>304</xdr:row>
                    <xdr:rowOff>19050</xdr:rowOff>
                  </from>
                  <to>
                    <xdr:col>7</xdr:col>
                    <xdr:colOff>400050</xdr:colOff>
                    <xdr:row>306</xdr:row>
                    <xdr:rowOff>19050</xdr:rowOff>
                  </to>
                </anchor>
              </controlPr>
            </control>
          </mc:Choice>
        </mc:AlternateContent>
        <mc:AlternateContent xmlns:mc="http://schemas.openxmlformats.org/markup-compatibility/2006">
          <mc:Choice Requires="x14">
            <control shapeId="12161247" r:id="rId20" name="Drop Down 238815">
              <controlPr defaultSize="0" autoLine="0" autoPict="0">
                <anchor moveWithCells="1">
                  <from>
                    <xdr:col>1</xdr:col>
                    <xdr:colOff>0</xdr:colOff>
                    <xdr:row>348</xdr:row>
                    <xdr:rowOff>0</xdr:rowOff>
                  </from>
                  <to>
                    <xdr:col>5</xdr:col>
                    <xdr:colOff>9525</xdr:colOff>
                    <xdr:row>350</xdr:row>
                    <xdr:rowOff>28575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8"/>
  <sheetViews>
    <sheetView showGridLines="0" zoomScaleNormal="100" workbookViewId="0"/>
  </sheetViews>
  <sheetFormatPr defaultColWidth="9.140625" defaultRowHeight="12.75"/>
  <cols>
    <col min="1" max="1" width="9.140625" style="302"/>
    <col min="2" max="2" width="35.7109375" style="302" customWidth="1"/>
    <col min="3" max="14" width="11.7109375" style="302" customWidth="1"/>
    <col min="15" max="15" width="11.85546875" style="302" customWidth="1"/>
    <col min="16" max="16384" width="9.140625" style="302"/>
  </cols>
  <sheetData>
    <row r="1" spans="1:15" s="337" customFormat="1" ht="15">
      <c r="A1" s="336" t="str">
        <f>ModelBanner</f>
        <v>TSM_201819 Publication</v>
      </c>
    </row>
    <row r="2" spans="1:15" s="337" customFormat="1" ht="15">
      <c r="A2" s="940" t="s">
        <v>13</v>
      </c>
      <c r="B2" s="940" t="s">
        <v>30</v>
      </c>
    </row>
    <row r="3" spans="1:15" s="337" customFormat="1" ht="15">
      <c r="A3" s="338"/>
    </row>
    <row r="4" spans="1:15" s="655" customFormat="1">
      <c r="A4" s="656" t="s">
        <v>26</v>
      </c>
      <c r="B4" s="656"/>
      <c r="C4" s="656"/>
      <c r="D4" s="656"/>
      <c r="E4" s="340"/>
      <c r="F4" s="656"/>
      <c r="G4" s="656"/>
      <c r="H4" s="656"/>
      <c r="I4" s="656"/>
    </row>
    <row r="5" spans="1:15" s="654" customFormat="1" ht="28.15" customHeight="1">
      <c r="A5" s="1333" t="s">
        <v>1436</v>
      </c>
      <c r="B5" s="1333"/>
      <c r="C5" s="1333"/>
      <c r="D5" s="1333"/>
      <c r="E5" s="1333"/>
      <c r="F5" s="1333"/>
      <c r="G5" s="1333"/>
      <c r="H5" s="1333"/>
      <c r="I5" s="1333"/>
      <c r="J5" s="1333"/>
      <c r="K5" s="1333"/>
      <c r="L5" s="1333"/>
      <c r="M5" s="1333"/>
      <c r="N5" s="704"/>
      <c r="O5" s="704"/>
    </row>
    <row r="6" spans="1:15" s="651" customFormat="1">
      <c r="A6" s="653" t="s">
        <v>1392</v>
      </c>
      <c r="B6" s="345"/>
      <c r="C6" s="345"/>
      <c r="D6" s="345"/>
      <c r="E6" s="340"/>
      <c r="F6" s="345"/>
      <c r="G6" s="345"/>
      <c r="H6" s="345"/>
      <c r="I6" s="345"/>
      <c r="J6" s="346"/>
      <c r="K6" s="346"/>
      <c r="L6" s="346"/>
      <c r="M6" s="346"/>
    </row>
    <row r="7" spans="1:15" s="651" customFormat="1">
      <c r="A7" s="652" t="s">
        <v>1386</v>
      </c>
      <c r="B7" s="653"/>
      <c r="C7" s="345"/>
      <c r="D7" s="345"/>
      <c r="E7" s="340"/>
      <c r="F7" s="345"/>
      <c r="G7" s="345"/>
      <c r="H7" s="345"/>
      <c r="I7" s="345"/>
      <c r="J7" s="346"/>
      <c r="K7" s="346"/>
      <c r="L7" s="346"/>
      <c r="M7" s="346"/>
    </row>
    <row r="8" spans="1:15" s="651" customFormat="1">
      <c r="A8" s="653" t="s">
        <v>24</v>
      </c>
      <c r="B8" s="345"/>
      <c r="C8" s="345"/>
      <c r="D8" s="345"/>
      <c r="E8" s="340"/>
      <c r="F8" s="345"/>
      <c r="G8" s="345"/>
      <c r="H8" s="345"/>
      <c r="I8" s="345"/>
      <c r="J8" s="346"/>
      <c r="K8" s="346"/>
      <c r="L8" s="346"/>
      <c r="M8" s="346"/>
    </row>
    <row r="9" spans="1:15" s="651" customFormat="1">
      <c r="A9" s="652" t="s">
        <v>767</v>
      </c>
      <c r="B9" s="345"/>
      <c r="C9" s="345"/>
      <c r="D9" s="345"/>
      <c r="E9" s="340"/>
      <c r="F9" s="345"/>
      <c r="G9" s="345"/>
      <c r="H9" s="345"/>
      <c r="I9" s="345"/>
      <c r="J9" s="346"/>
      <c r="K9" s="346"/>
      <c r="L9" s="346"/>
      <c r="M9" s="346"/>
    </row>
    <row r="10" spans="1:15" s="649" customFormat="1">
      <c r="A10" s="650">
        <f>SUM(A13:A1942)</f>
        <v>0</v>
      </c>
      <c r="B10" s="350"/>
      <c r="C10" s="351"/>
      <c r="D10" s="352"/>
      <c r="E10" s="352"/>
      <c r="F10" s="352"/>
      <c r="G10" s="352"/>
      <c r="H10" s="353"/>
      <c r="I10" s="354"/>
      <c r="J10" s="354"/>
      <c r="K10" s="354"/>
      <c r="L10" s="354"/>
      <c r="M10" s="354"/>
    </row>
    <row r="12" spans="1:15" ht="15.75">
      <c r="B12" s="333" t="s">
        <v>1497</v>
      </c>
    </row>
    <row r="14" spans="1:15">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5">
      <c r="B15" s="648" t="str">
        <f>OUTPUTS_FOR_SECTION_2_OF_MODEL!B83</f>
        <v>Primary</v>
      </c>
      <c r="C15" s="300">
        <f>OUTPUTS_FOR_SECTION_2_OF_MODEL!E83</f>
        <v>26439.657071504698</v>
      </c>
      <c r="D15" s="300">
        <f>OUTPUTS_FOR_SECTION_2_OF_MODEL!F83</f>
        <v>26114.334562704269</v>
      </c>
      <c r="E15" s="300">
        <f>OUTPUTS_FOR_SECTION_2_OF_MODEL!G83</f>
        <v>25885.94315589944</v>
      </c>
      <c r="F15" s="300">
        <f>OUTPUTS_FOR_SECTION_2_OF_MODEL!H83</f>
        <v>25613.573586348804</v>
      </c>
      <c r="G15" s="300">
        <f>OUTPUTS_FOR_SECTION_2_OF_MODEL!I83</f>
        <v>25315.046585251301</v>
      </c>
      <c r="H15" s="300">
        <f>OUTPUTS_FOR_SECTION_2_OF_MODEL!J83</f>
        <v>25877.247345032985</v>
      </c>
      <c r="I15" s="300">
        <f>OUTPUTS_FOR_SECTION_2_OF_MODEL!K83</f>
        <v>26332.447964970914</v>
      </c>
      <c r="J15" s="300">
        <f>OUTPUTS_FOR_SECTION_2_OF_MODEL!L83</f>
        <v>26445.141780619113</v>
      </c>
      <c r="K15" s="300">
        <f>OUTPUTS_FOR_SECTION_2_OF_MODEL!M83</f>
        <v>26339.752208221755</v>
      </c>
      <c r="L15" s="300">
        <f>OUTPUTS_FOR_SECTION_2_OF_MODEL!N83</f>
        <v>26210.936734375453</v>
      </c>
    </row>
    <row r="17" spans="2:12" ht="15.75">
      <c r="B17" s="647" t="s">
        <v>1437</v>
      </c>
      <c r="D17" s="1336" t="s">
        <v>766</v>
      </c>
      <c r="E17" s="1336"/>
      <c r="F17" s="1336"/>
      <c r="G17" s="1336"/>
      <c r="H17" s="1336"/>
      <c r="I17" s="1336"/>
      <c r="J17" s="1336"/>
      <c r="K17" s="1336"/>
      <c r="L17" s="1336"/>
    </row>
    <row r="18" spans="2:12">
      <c r="D18" s="1336"/>
      <c r="E18" s="1336"/>
      <c r="F18" s="1336"/>
      <c r="G18" s="1336"/>
      <c r="H18" s="1336"/>
      <c r="I18" s="1336"/>
      <c r="J18" s="1336"/>
      <c r="K18" s="1336"/>
      <c r="L18" s="1336"/>
    </row>
    <row r="19" spans="2:12">
      <c r="B19" s="319"/>
      <c r="C19" s="319" t="s">
        <v>88</v>
      </c>
    </row>
    <row r="20" spans="2:12">
      <c r="B20" s="319" t="str">
        <f>RAW_DATA_INPUTS!B572</f>
        <v>Primary</v>
      </c>
      <c r="C20" s="539">
        <f>RAW_DATA_INPUTS!C572</f>
        <v>0.89</v>
      </c>
    </row>
    <row r="22" spans="2:12" ht="15.75">
      <c r="B22" s="333" t="s">
        <v>765</v>
      </c>
    </row>
    <row r="24" spans="2:12">
      <c r="B24" s="334" t="s">
        <v>764</v>
      </c>
      <c r="D24" s="357" t="s">
        <v>763</v>
      </c>
    </row>
    <row r="26" spans="2:1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2:12">
      <c r="B27" s="319" t="str">
        <f>Data_selected_by_user_testing!C131</f>
        <v>New to state-funded sector</v>
      </c>
      <c r="C27" s="628">
        <f>Data_selected_by_user_testing!D131</f>
        <v>0.13665631794515024</v>
      </c>
      <c r="D27" s="159">
        <f>C27</f>
        <v>0.13665631794515024</v>
      </c>
      <c r="E27" s="159">
        <f t="shared" ref="E27:L27" si="1">D27</f>
        <v>0.13665631794515024</v>
      </c>
      <c r="F27" s="159">
        <f t="shared" si="1"/>
        <v>0.13665631794515024</v>
      </c>
      <c r="G27" s="159">
        <f t="shared" si="1"/>
        <v>0.13665631794515024</v>
      </c>
      <c r="H27" s="159">
        <f t="shared" si="1"/>
        <v>0.13665631794515024</v>
      </c>
      <c r="I27" s="159">
        <f t="shared" si="1"/>
        <v>0.13665631794515024</v>
      </c>
      <c r="J27" s="159">
        <f t="shared" si="1"/>
        <v>0.13665631794515024</v>
      </c>
      <c r="K27" s="159">
        <f t="shared" si="1"/>
        <v>0.13665631794515024</v>
      </c>
      <c r="L27" s="159">
        <f t="shared" si="1"/>
        <v>0.13665631794515024</v>
      </c>
    </row>
    <row r="28" spans="2:12">
      <c r="B28" s="319" t="str">
        <f>Data_selected_by_user_testing!C132</f>
        <v>Re-entrants</v>
      </c>
      <c r="C28" s="628">
        <f>Data_selected_by_user_testing!D132</f>
        <v>0.34266682135283477</v>
      </c>
      <c r="D28" s="159">
        <f t="shared" ref="D28:L29" si="2">C28</f>
        <v>0.34266682135283477</v>
      </c>
      <c r="E28" s="159">
        <f t="shared" si="2"/>
        <v>0.34266682135283477</v>
      </c>
      <c r="F28" s="159">
        <f t="shared" si="2"/>
        <v>0.34266682135283477</v>
      </c>
      <c r="G28" s="159">
        <f t="shared" si="2"/>
        <v>0.34266682135283477</v>
      </c>
      <c r="H28" s="159">
        <f t="shared" si="2"/>
        <v>0.34266682135283477</v>
      </c>
      <c r="I28" s="159">
        <f t="shared" si="2"/>
        <v>0.34266682135283477</v>
      </c>
      <c r="J28" s="159">
        <f t="shared" si="2"/>
        <v>0.34266682135283477</v>
      </c>
      <c r="K28" s="159">
        <f t="shared" si="2"/>
        <v>0.34266682135283477</v>
      </c>
      <c r="L28" s="159">
        <f t="shared" si="2"/>
        <v>0.34266682135283477</v>
      </c>
    </row>
    <row r="29" spans="2:12">
      <c r="B29" s="319" t="str">
        <f>Data_selected_by_user_testing!C133</f>
        <v>NQTs</v>
      </c>
      <c r="C29" s="628">
        <f>Data_selected_by_user_testing!D133</f>
        <v>0.52067686070201502</v>
      </c>
      <c r="D29" s="159">
        <f t="shared" si="2"/>
        <v>0.52067686070201502</v>
      </c>
      <c r="E29" s="159">
        <f t="shared" si="2"/>
        <v>0.52067686070201502</v>
      </c>
      <c r="F29" s="159">
        <f t="shared" si="2"/>
        <v>0.52067686070201502</v>
      </c>
      <c r="G29" s="159">
        <f t="shared" si="2"/>
        <v>0.52067686070201502</v>
      </c>
      <c r="H29" s="159">
        <f t="shared" si="2"/>
        <v>0.52067686070201502</v>
      </c>
      <c r="I29" s="159">
        <f t="shared" si="2"/>
        <v>0.52067686070201502</v>
      </c>
      <c r="J29" s="159">
        <f t="shared" si="2"/>
        <v>0.52067686070201502</v>
      </c>
      <c r="K29" s="159">
        <f t="shared" si="2"/>
        <v>0.52067686070201502</v>
      </c>
      <c r="L29" s="159">
        <f t="shared" si="2"/>
        <v>0.52067686070201502</v>
      </c>
    </row>
    <row r="30" spans="2:12">
      <c r="C30" s="320"/>
    </row>
    <row r="31" spans="2:12">
      <c r="B31" s="334" t="s">
        <v>1486</v>
      </c>
      <c r="C31" s="320"/>
      <c r="D31" s="357" t="s">
        <v>762</v>
      </c>
    </row>
    <row r="32" spans="2:12">
      <c r="C32" s="320"/>
    </row>
    <row r="33" spans="2:12">
      <c r="B33" s="319" t="str">
        <f>B27</f>
        <v>New to state-funded sector</v>
      </c>
      <c r="C33" s="628">
        <f>'Calc_PRIM_part-time_entrants'!G47</f>
        <v>0.14023644614121178</v>
      </c>
    </row>
    <row r="34" spans="2:12">
      <c r="B34" s="319" t="str">
        <f>B28</f>
        <v>Re-entrants</v>
      </c>
      <c r="C34" s="628">
        <f>'Calc_PRIM_part-time_entrants'!G48</f>
        <v>0.42815966636750707</v>
      </c>
    </row>
    <row r="35" spans="2:12">
      <c r="B35" s="319" t="str">
        <f>B29</f>
        <v>NQTs</v>
      </c>
      <c r="C35" s="628">
        <f>'Calc_PRIM_part-time_entrants'!G49</f>
        <v>3.1560003997586947E-2</v>
      </c>
    </row>
    <row r="36" spans="2:12">
      <c r="C36" s="320"/>
    </row>
    <row r="37" spans="2:12">
      <c r="B37" s="334" t="s">
        <v>1487</v>
      </c>
      <c r="C37" s="320"/>
      <c r="D37" s="357" t="s">
        <v>761</v>
      </c>
    </row>
    <row r="38" spans="2:12">
      <c r="C38" s="320"/>
    </row>
    <row r="39" spans="2:12">
      <c r="B39" s="319" t="s">
        <v>760</v>
      </c>
      <c r="C39" s="539">
        <f>RAW_DATA_INPUTS!C424</f>
        <v>0.57799999999999996</v>
      </c>
    </row>
    <row r="41" spans="2:12">
      <c r="B41" s="357" t="s">
        <v>759</v>
      </c>
      <c r="D41" s="646">
        <f>C20</f>
        <v>0.89</v>
      </c>
      <c r="E41" s="357" t="s">
        <v>758</v>
      </c>
    </row>
    <row r="42" spans="2:12">
      <c r="B42" s="357"/>
      <c r="D42" s="646"/>
      <c r="E42" s="357"/>
    </row>
    <row r="43" spans="2:1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2:12">
      <c r="B44" s="319" t="s">
        <v>857</v>
      </c>
      <c r="C44" s="447">
        <f t="shared" ref="C44:L44" si="4">C15*$C$20</f>
        <v>23531.294793639183</v>
      </c>
      <c r="D44" s="447">
        <f t="shared" si="4"/>
        <v>23241.757760806799</v>
      </c>
      <c r="E44" s="447">
        <f t="shared" si="4"/>
        <v>23038.489408750502</v>
      </c>
      <c r="F44" s="447">
        <f t="shared" si="4"/>
        <v>22796.080491850436</v>
      </c>
      <c r="G44" s="447">
        <f t="shared" si="4"/>
        <v>22530.39146087366</v>
      </c>
      <c r="H44" s="447">
        <f t="shared" si="4"/>
        <v>23030.750137079358</v>
      </c>
      <c r="I44" s="447">
        <f t="shared" si="4"/>
        <v>23435.878688824112</v>
      </c>
      <c r="J44" s="447">
        <f t="shared" si="4"/>
        <v>23536.17618475101</v>
      </c>
      <c r="K44" s="447">
        <f t="shared" si="4"/>
        <v>23442.379465317361</v>
      </c>
      <c r="L44" s="447">
        <f t="shared" si="4"/>
        <v>23327.733693594153</v>
      </c>
    </row>
    <row r="46" spans="2:12">
      <c r="B46" s="1335" t="s">
        <v>1753</v>
      </c>
      <c r="C46" s="1335"/>
      <c r="D46" s="1335"/>
      <c r="E46" s="1335"/>
      <c r="F46" s="1335"/>
      <c r="G46" s="1335"/>
      <c r="H46" s="1335"/>
      <c r="I46" s="1335"/>
      <c r="J46" s="1335"/>
      <c r="K46" s="1335"/>
      <c r="L46" s="1335"/>
    </row>
    <row r="47" spans="2:12" ht="27" customHeight="1">
      <c r="B47" s="1335"/>
      <c r="C47" s="1335"/>
      <c r="D47" s="1335"/>
      <c r="E47" s="1335"/>
      <c r="F47" s="1335"/>
      <c r="G47" s="1335"/>
      <c r="H47" s="1335"/>
      <c r="I47" s="1335"/>
      <c r="J47" s="1335"/>
      <c r="K47" s="1335"/>
      <c r="L47" s="1335"/>
    </row>
    <row r="49" spans="2:12" ht="89.25">
      <c r="C49" s="331" t="s">
        <v>757</v>
      </c>
      <c r="D49" s="331" t="s">
        <v>756</v>
      </c>
      <c r="E49" s="331" t="s">
        <v>755</v>
      </c>
      <c r="F49" s="331" t="s">
        <v>754</v>
      </c>
      <c r="G49" s="645" t="s">
        <v>753</v>
      </c>
      <c r="H49" s="645" t="s">
        <v>752</v>
      </c>
      <c r="I49" s="645" t="s">
        <v>751</v>
      </c>
      <c r="J49" s="645" t="s">
        <v>750</v>
      </c>
      <c r="K49" s="644"/>
    </row>
    <row r="50" spans="2:12">
      <c r="B50" s="319" t="str">
        <f t="shared" ref="B50:C52" si="5">B27</f>
        <v>New to state-funded sector</v>
      </c>
      <c r="C50" s="628">
        <f t="shared" si="5"/>
        <v>0.13665631794515024</v>
      </c>
      <c r="D50" s="643">
        <f>100*C50</f>
        <v>13.665631794515024</v>
      </c>
      <c r="E50" s="447">
        <f>D50-F50</f>
        <v>11.749212157377887</v>
      </c>
      <c r="F50" s="447">
        <f>D50*C33</f>
        <v>1.9164196371371374</v>
      </c>
      <c r="G50" s="447">
        <f>E50</f>
        <v>11.749212157377887</v>
      </c>
      <c r="H50" s="447">
        <f>F50*$C$39</f>
        <v>1.1076905502652654</v>
      </c>
      <c r="I50" s="447">
        <f>G50+H50</f>
        <v>12.856902707643153</v>
      </c>
      <c r="J50" s="1334">
        <f>SUM(I50:I52)</f>
        <v>92.306396798130237</v>
      </c>
    </row>
    <row r="51" spans="2:12">
      <c r="B51" s="319" t="str">
        <f t="shared" si="5"/>
        <v>Re-entrants</v>
      </c>
      <c r="C51" s="628">
        <f t="shared" si="5"/>
        <v>0.34266682135283477</v>
      </c>
      <c r="D51" s="643">
        <f>100*C51</f>
        <v>34.266682135283475</v>
      </c>
      <c r="E51" s="447">
        <f>D51-F51</f>
        <v>19.595070944719087</v>
      </c>
      <c r="F51" s="447">
        <f>D51*C34</f>
        <v>14.671611190564388</v>
      </c>
      <c r="G51" s="447">
        <f>E51</f>
        <v>19.595070944719087</v>
      </c>
      <c r="H51" s="447">
        <f>F51*$C$39</f>
        <v>8.4801912681462159</v>
      </c>
      <c r="I51" s="447">
        <f>G51+H51</f>
        <v>28.075262212865304</v>
      </c>
      <c r="J51" s="1334"/>
    </row>
    <row r="52" spans="2:12">
      <c r="B52" s="319" t="str">
        <f t="shared" si="5"/>
        <v>NQTs</v>
      </c>
      <c r="C52" s="628">
        <f t="shared" si="5"/>
        <v>0.52067686070201502</v>
      </c>
      <c r="D52" s="643">
        <f>100*C52</f>
        <v>52.067686070201503</v>
      </c>
      <c r="E52" s="447">
        <f>D52-F52</f>
        <v>50.424429689680842</v>
      </c>
      <c r="F52" s="447">
        <f>D52*C35</f>
        <v>1.6432563805206617</v>
      </c>
      <c r="G52" s="447">
        <f>E52</f>
        <v>50.424429689680842</v>
      </c>
      <c r="H52" s="447">
        <f>F52*$C$39</f>
        <v>0.9498021879409424</v>
      </c>
      <c r="I52" s="447">
        <f>G52+H52</f>
        <v>51.374231877621781</v>
      </c>
      <c r="J52" s="1334"/>
    </row>
    <row r="54" spans="2:12">
      <c r="B54" s="334" t="s">
        <v>862</v>
      </c>
    </row>
    <row r="55" spans="2:12">
      <c r="B55" s="334"/>
    </row>
    <row r="56" spans="2:12">
      <c r="C56" s="319" t="str">
        <f>C26</f>
        <v>2019/20</v>
      </c>
      <c r="D56" s="319" t="str">
        <f t="shared" ref="D56:L56" si="6">D26</f>
        <v>2020/21</v>
      </c>
      <c r="E56" s="319" t="str">
        <f t="shared" si="6"/>
        <v>2021/22</v>
      </c>
      <c r="F56" s="319" t="str">
        <f t="shared" si="6"/>
        <v>2022/23</v>
      </c>
      <c r="G56" s="319" t="str">
        <f t="shared" si="6"/>
        <v>2023/24</v>
      </c>
      <c r="H56" s="319" t="str">
        <f t="shared" si="6"/>
        <v>2024/25</v>
      </c>
      <c r="I56" s="319" t="str">
        <f t="shared" si="6"/>
        <v>2025/26</v>
      </c>
      <c r="J56" s="319" t="str">
        <f t="shared" si="6"/>
        <v>2026/27</v>
      </c>
      <c r="K56" s="319" t="str">
        <f t="shared" si="6"/>
        <v>2027/28</v>
      </c>
      <c r="L56" s="319" t="str">
        <f t="shared" si="6"/>
        <v>2028/29</v>
      </c>
    </row>
    <row r="57" spans="2:12">
      <c r="B57" s="319" t="s">
        <v>862</v>
      </c>
      <c r="C57" s="447">
        <f>C44/$J$50</f>
        <v>254.92593807015371</v>
      </c>
      <c r="D57" s="447">
        <f t="shared" ref="D57:L57" si="7">D44/$J$50</f>
        <v>251.78924285860094</v>
      </c>
      <c r="E57" s="447">
        <f t="shared" si="7"/>
        <v>249.5871381388074</v>
      </c>
      <c r="F57" s="447">
        <f t="shared" si="7"/>
        <v>246.96100468209582</v>
      </c>
      <c r="G57" s="447">
        <f t="shared" si="7"/>
        <v>244.08266644993813</v>
      </c>
      <c r="H57" s="447">
        <f t="shared" si="7"/>
        <v>249.50329485232243</v>
      </c>
      <c r="I57" s="447">
        <f t="shared" si="7"/>
        <v>253.89224909382261</v>
      </c>
      <c r="J57" s="447">
        <f t="shared" si="7"/>
        <v>254.97882054938754</v>
      </c>
      <c r="K57" s="447">
        <f t="shared" si="7"/>
        <v>253.96267516090728</v>
      </c>
      <c r="L57" s="447">
        <f t="shared" si="7"/>
        <v>252.72066186930482</v>
      </c>
    </row>
    <row r="59" spans="2:12" ht="15.75">
      <c r="B59" s="333" t="s">
        <v>749</v>
      </c>
    </row>
    <row r="61" spans="2:12">
      <c r="B61" s="680" t="s">
        <v>717</v>
      </c>
    </row>
    <row r="62" spans="2:12">
      <c r="B62" s="372"/>
    </row>
    <row r="63" spans="2:12">
      <c r="B63" s="372"/>
      <c r="C63" s="319" t="str">
        <f t="shared" ref="C63:L63" si="8">C14</f>
        <v>2019/20</v>
      </c>
      <c r="D63" s="319" t="str">
        <f t="shared" si="8"/>
        <v>2020/21</v>
      </c>
      <c r="E63" s="319" t="str">
        <f t="shared" si="8"/>
        <v>2021/22</v>
      </c>
      <c r="F63" s="319" t="str">
        <f t="shared" si="8"/>
        <v>2022/23</v>
      </c>
      <c r="G63" s="319" t="str">
        <f t="shared" si="8"/>
        <v>2023/24</v>
      </c>
      <c r="H63" s="319" t="str">
        <f t="shared" si="8"/>
        <v>2024/25</v>
      </c>
      <c r="I63" s="319" t="str">
        <f t="shared" si="8"/>
        <v>2025/26</v>
      </c>
      <c r="J63" s="319" t="str">
        <f t="shared" si="8"/>
        <v>2026/27</v>
      </c>
      <c r="K63" s="319" t="str">
        <f t="shared" si="8"/>
        <v>2027/28</v>
      </c>
      <c r="L63" s="319" t="str">
        <f t="shared" si="8"/>
        <v>2028/29</v>
      </c>
    </row>
    <row r="64" spans="2:12">
      <c r="B64" s="331" t="s">
        <v>757</v>
      </c>
      <c r="C64" s="406">
        <f>C27</f>
        <v>0.13665631794515024</v>
      </c>
      <c r="D64" s="406">
        <f t="shared" ref="D64:L64" si="9">D27</f>
        <v>0.13665631794515024</v>
      </c>
      <c r="E64" s="406">
        <f t="shared" si="9"/>
        <v>0.13665631794515024</v>
      </c>
      <c r="F64" s="406">
        <f t="shared" si="9"/>
        <v>0.13665631794515024</v>
      </c>
      <c r="G64" s="406">
        <f t="shared" si="9"/>
        <v>0.13665631794515024</v>
      </c>
      <c r="H64" s="406">
        <f t="shared" si="9"/>
        <v>0.13665631794515024</v>
      </c>
      <c r="I64" s="406">
        <f t="shared" si="9"/>
        <v>0.13665631794515024</v>
      </c>
      <c r="J64" s="406">
        <f t="shared" si="9"/>
        <v>0.13665631794515024</v>
      </c>
      <c r="K64" s="406">
        <f t="shared" si="9"/>
        <v>0.13665631794515024</v>
      </c>
      <c r="L64" s="406">
        <f t="shared" si="9"/>
        <v>0.13665631794515024</v>
      </c>
    </row>
    <row r="65" spans="2:12" ht="25.5">
      <c r="B65" s="331" t="s">
        <v>756</v>
      </c>
      <c r="C65" s="670">
        <f>100*C64</f>
        <v>13.665631794515024</v>
      </c>
      <c r="D65" s="670">
        <f t="shared" ref="D65:L65" si="10">100*D64</f>
        <v>13.665631794515024</v>
      </c>
      <c r="E65" s="670">
        <f t="shared" si="10"/>
        <v>13.665631794515024</v>
      </c>
      <c r="F65" s="670">
        <f t="shared" si="10"/>
        <v>13.665631794515024</v>
      </c>
      <c r="G65" s="670">
        <f t="shared" si="10"/>
        <v>13.665631794515024</v>
      </c>
      <c r="H65" s="670">
        <f t="shared" si="10"/>
        <v>13.665631794515024</v>
      </c>
      <c r="I65" s="670">
        <f t="shared" si="10"/>
        <v>13.665631794515024</v>
      </c>
      <c r="J65" s="670">
        <f t="shared" si="10"/>
        <v>13.665631794515024</v>
      </c>
      <c r="K65" s="670">
        <f t="shared" si="10"/>
        <v>13.665631794515024</v>
      </c>
      <c r="L65" s="670">
        <f t="shared" si="10"/>
        <v>13.665631794515024</v>
      </c>
    </row>
    <row r="66" spans="2:12" ht="25.5">
      <c r="B66" s="331" t="s">
        <v>755</v>
      </c>
      <c r="C66" s="670">
        <f>C65-C67</f>
        <v>11.749212157377887</v>
      </c>
      <c r="D66" s="670">
        <f t="shared" ref="D66:L66" si="11">D65-D67</f>
        <v>11.749212157377887</v>
      </c>
      <c r="E66" s="670">
        <f t="shared" si="11"/>
        <v>11.749212157377887</v>
      </c>
      <c r="F66" s="670">
        <f t="shared" si="11"/>
        <v>11.749212157377887</v>
      </c>
      <c r="G66" s="670">
        <f t="shared" si="11"/>
        <v>11.749212157377887</v>
      </c>
      <c r="H66" s="670">
        <f t="shared" si="11"/>
        <v>11.749212157377887</v>
      </c>
      <c r="I66" s="670">
        <f t="shared" si="11"/>
        <v>11.749212157377887</v>
      </c>
      <c r="J66" s="670">
        <f t="shared" si="11"/>
        <v>11.749212157377887</v>
      </c>
      <c r="K66" s="670">
        <f t="shared" si="11"/>
        <v>11.749212157377887</v>
      </c>
      <c r="L66" s="670">
        <f t="shared" si="11"/>
        <v>11.749212157377887</v>
      </c>
    </row>
    <row r="67" spans="2:12" ht="25.5">
      <c r="B67" s="331" t="s">
        <v>754</v>
      </c>
      <c r="C67" s="670">
        <f>C65*$C$33</f>
        <v>1.9164196371371374</v>
      </c>
      <c r="D67" s="670">
        <f t="shared" ref="D67:L67" si="12">D65*$C$33</f>
        <v>1.9164196371371374</v>
      </c>
      <c r="E67" s="670">
        <f t="shared" si="12"/>
        <v>1.9164196371371374</v>
      </c>
      <c r="F67" s="670">
        <f t="shared" si="12"/>
        <v>1.9164196371371374</v>
      </c>
      <c r="G67" s="670">
        <f t="shared" si="12"/>
        <v>1.9164196371371374</v>
      </c>
      <c r="H67" s="670">
        <f t="shared" si="12"/>
        <v>1.9164196371371374</v>
      </c>
      <c r="I67" s="670">
        <f t="shared" si="12"/>
        <v>1.9164196371371374</v>
      </c>
      <c r="J67" s="670">
        <f t="shared" si="12"/>
        <v>1.9164196371371374</v>
      </c>
      <c r="K67" s="670">
        <f t="shared" si="12"/>
        <v>1.9164196371371374</v>
      </c>
      <c r="L67" s="670">
        <f t="shared" si="12"/>
        <v>1.9164196371371374</v>
      </c>
    </row>
    <row r="68" spans="2:12">
      <c r="B68" s="645" t="s">
        <v>753</v>
      </c>
      <c r="C68" s="447">
        <f>C66</f>
        <v>11.749212157377887</v>
      </c>
      <c r="D68" s="447">
        <f t="shared" ref="D68:L68" si="13">D66</f>
        <v>11.749212157377887</v>
      </c>
      <c r="E68" s="447">
        <f t="shared" si="13"/>
        <v>11.749212157377887</v>
      </c>
      <c r="F68" s="447">
        <f t="shared" si="13"/>
        <v>11.749212157377887</v>
      </c>
      <c r="G68" s="447">
        <f t="shared" si="13"/>
        <v>11.749212157377887</v>
      </c>
      <c r="H68" s="447">
        <f t="shared" si="13"/>
        <v>11.749212157377887</v>
      </c>
      <c r="I68" s="447">
        <f t="shared" si="13"/>
        <v>11.749212157377887</v>
      </c>
      <c r="J68" s="447">
        <f t="shared" si="13"/>
        <v>11.749212157377887</v>
      </c>
      <c r="K68" s="447">
        <f t="shared" si="13"/>
        <v>11.749212157377887</v>
      </c>
      <c r="L68" s="447">
        <f t="shared" si="13"/>
        <v>11.749212157377887</v>
      </c>
    </row>
    <row r="69" spans="2:12">
      <c r="B69" s="645" t="s">
        <v>752</v>
      </c>
      <c r="C69" s="447">
        <f>C67*$C$39</f>
        <v>1.1076905502652654</v>
      </c>
      <c r="D69" s="447">
        <f t="shared" ref="D69:L69" si="14">D67*$C$39</f>
        <v>1.1076905502652654</v>
      </c>
      <c r="E69" s="447">
        <f t="shared" si="14"/>
        <v>1.1076905502652654</v>
      </c>
      <c r="F69" s="447">
        <f t="shared" si="14"/>
        <v>1.1076905502652654</v>
      </c>
      <c r="G69" s="447">
        <f t="shared" si="14"/>
        <v>1.1076905502652654</v>
      </c>
      <c r="H69" s="447">
        <f t="shared" si="14"/>
        <v>1.1076905502652654</v>
      </c>
      <c r="I69" s="447">
        <f t="shared" si="14"/>
        <v>1.1076905502652654</v>
      </c>
      <c r="J69" s="447">
        <f t="shared" si="14"/>
        <v>1.1076905502652654</v>
      </c>
      <c r="K69" s="447">
        <f t="shared" si="14"/>
        <v>1.1076905502652654</v>
      </c>
      <c r="L69" s="447">
        <f t="shared" si="14"/>
        <v>1.1076905502652654</v>
      </c>
    </row>
    <row r="70" spans="2:12">
      <c r="B70" s="645" t="s">
        <v>751</v>
      </c>
      <c r="C70" s="447">
        <f>C69+C68</f>
        <v>12.856902707643153</v>
      </c>
      <c r="D70" s="447">
        <f t="shared" ref="D70:L70" si="15">D69+D68</f>
        <v>12.856902707643153</v>
      </c>
      <c r="E70" s="447">
        <f t="shared" si="15"/>
        <v>12.856902707643153</v>
      </c>
      <c r="F70" s="447">
        <f t="shared" si="15"/>
        <v>12.856902707643153</v>
      </c>
      <c r="G70" s="447">
        <f t="shared" si="15"/>
        <v>12.856902707643153</v>
      </c>
      <c r="H70" s="447">
        <f t="shared" si="15"/>
        <v>12.856902707643153</v>
      </c>
      <c r="I70" s="447">
        <f t="shared" si="15"/>
        <v>12.856902707643153</v>
      </c>
      <c r="J70" s="447">
        <f t="shared" si="15"/>
        <v>12.856902707643153</v>
      </c>
      <c r="K70" s="447">
        <f t="shared" si="15"/>
        <v>12.856902707643153</v>
      </c>
      <c r="L70" s="447">
        <f t="shared" si="15"/>
        <v>12.856902707643153</v>
      </c>
    </row>
    <row r="71" spans="2:12">
      <c r="B71" s="372"/>
    </row>
    <row r="72" spans="2:12">
      <c r="B72" s="680" t="s">
        <v>716</v>
      </c>
    </row>
    <row r="73" spans="2:12">
      <c r="B73" s="372"/>
    </row>
    <row r="74" spans="2:12">
      <c r="B74" s="372"/>
      <c r="C74" s="319" t="str">
        <f>C63</f>
        <v>2019/20</v>
      </c>
      <c r="D74" s="319" t="str">
        <f t="shared" ref="D74:L74" si="16">D63</f>
        <v>2020/21</v>
      </c>
      <c r="E74" s="319" t="str">
        <f t="shared" si="16"/>
        <v>2021/22</v>
      </c>
      <c r="F74" s="319" t="str">
        <f t="shared" si="16"/>
        <v>2022/23</v>
      </c>
      <c r="G74" s="319" t="str">
        <f t="shared" si="16"/>
        <v>2023/24</v>
      </c>
      <c r="H74" s="319" t="str">
        <f t="shared" si="16"/>
        <v>2024/25</v>
      </c>
      <c r="I74" s="319" t="str">
        <f t="shared" si="16"/>
        <v>2025/26</v>
      </c>
      <c r="J74" s="319" t="str">
        <f t="shared" si="16"/>
        <v>2026/27</v>
      </c>
      <c r="K74" s="319" t="str">
        <f t="shared" si="16"/>
        <v>2027/28</v>
      </c>
      <c r="L74" s="319" t="str">
        <f t="shared" si="16"/>
        <v>2028/29</v>
      </c>
    </row>
    <row r="75" spans="2:12">
      <c r="B75" s="331" t="s">
        <v>757</v>
      </c>
      <c r="C75" s="406">
        <f>C28</f>
        <v>0.34266682135283477</v>
      </c>
      <c r="D75" s="406">
        <f t="shared" ref="D75:L75" si="17">D28</f>
        <v>0.34266682135283477</v>
      </c>
      <c r="E75" s="406">
        <f t="shared" si="17"/>
        <v>0.34266682135283477</v>
      </c>
      <c r="F75" s="406">
        <f t="shared" si="17"/>
        <v>0.34266682135283477</v>
      </c>
      <c r="G75" s="406">
        <f t="shared" si="17"/>
        <v>0.34266682135283477</v>
      </c>
      <c r="H75" s="406">
        <f t="shared" si="17"/>
        <v>0.34266682135283477</v>
      </c>
      <c r="I75" s="406">
        <f t="shared" si="17"/>
        <v>0.34266682135283477</v>
      </c>
      <c r="J75" s="406">
        <f t="shared" si="17"/>
        <v>0.34266682135283477</v>
      </c>
      <c r="K75" s="406">
        <f t="shared" si="17"/>
        <v>0.34266682135283477</v>
      </c>
      <c r="L75" s="406">
        <f t="shared" si="17"/>
        <v>0.34266682135283477</v>
      </c>
    </row>
    <row r="76" spans="2:12" ht="25.5">
      <c r="B76" s="331" t="s">
        <v>756</v>
      </c>
      <c r="C76" s="670">
        <f>100*C75</f>
        <v>34.266682135283475</v>
      </c>
      <c r="D76" s="670">
        <f t="shared" ref="D76:L76" si="18">100*D75</f>
        <v>34.266682135283475</v>
      </c>
      <c r="E76" s="670">
        <f t="shared" si="18"/>
        <v>34.266682135283475</v>
      </c>
      <c r="F76" s="670">
        <f t="shared" si="18"/>
        <v>34.266682135283475</v>
      </c>
      <c r="G76" s="670">
        <f t="shared" si="18"/>
        <v>34.266682135283475</v>
      </c>
      <c r="H76" s="670">
        <f t="shared" si="18"/>
        <v>34.266682135283475</v>
      </c>
      <c r="I76" s="670">
        <f t="shared" si="18"/>
        <v>34.266682135283475</v>
      </c>
      <c r="J76" s="670">
        <f t="shared" si="18"/>
        <v>34.266682135283475</v>
      </c>
      <c r="K76" s="670">
        <f t="shared" si="18"/>
        <v>34.266682135283475</v>
      </c>
      <c r="L76" s="670">
        <f t="shared" si="18"/>
        <v>34.266682135283475</v>
      </c>
    </row>
    <row r="77" spans="2:12" ht="25.5">
      <c r="B77" s="331" t="s">
        <v>755</v>
      </c>
      <c r="C77" s="670">
        <f>C76-C78</f>
        <v>19.595070944719087</v>
      </c>
      <c r="D77" s="670">
        <f t="shared" ref="D77:L77" si="19">D76-D78</f>
        <v>19.595070944719087</v>
      </c>
      <c r="E77" s="670">
        <f t="shared" si="19"/>
        <v>19.595070944719087</v>
      </c>
      <c r="F77" s="670">
        <f t="shared" si="19"/>
        <v>19.595070944719087</v>
      </c>
      <c r="G77" s="670">
        <f t="shared" si="19"/>
        <v>19.595070944719087</v>
      </c>
      <c r="H77" s="670">
        <f t="shared" si="19"/>
        <v>19.595070944719087</v>
      </c>
      <c r="I77" s="670">
        <f t="shared" si="19"/>
        <v>19.595070944719087</v>
      </c>
      <c r="J77" s="670">
        <f t="shared" si="19"/>
        <v>19.595070944719087</v>
      </c>
      <c r="K77" s="670">
        <f t="shared" si="19"/>
        <v>19.595070944719087</v>
      </c>
      <c r="L77" s="670">
        <f t="shared" si="19"/>
        <v>19.595070944719087</v>
      </c>
    </row>
    <row r="78" spans="2:12" ht="25.5">
      <c r="B78" s="331" t="s">
        <v>754</v>
      </c>
      <c r="C78" s="670">
        <f>C76*$C$34</f>
        <v>14.671611190564388</v>
      </c>
      <c r="D78" s="670">
        <f t="shared" ref="D78:L78" si="20">D76*$C$34</f>
        <v>14.671611190564388</v>
      </c>
      <c r="E78" s="670">
        <f t="shared" si="20"/>
        <v>14.671611190564388</v>
      </c>
      <c r="F78" s="670">
        <f t="shared" si="20"/>
        <v>14.671611190564388</v>
      </c>
      <c r="G78" s="670">
        <f t="shared" si="20"/>
        <v>14.671611190564388</v>
      </c>
      <c r="H78" s="670">
        <f t="shared" si="20"/>
        <v>14.671611190564388</v>
      </c>
      <c r="I78" s="670">
        <f t="shared" si="20"/>
        <v>14.671611190564388</v>
      </c>
      <c r="J78" s="670">
        <f t="shared" si="20"/>
        <v>14.671611190564388</v>
      </c>
      <c r="K78" s="670">
        <f t="shared" si="20"/>
        <v>14.671611190564388</v>
      </c>
      <c r="L78" s="670">
        <f t="shared" si="20"/>
        <v>14.671611190564388</v>
      </c>
    </row>
    <row r="79" spans="2:12">
      <c r="B79" s="645" t="s">
        <v>753</v>
      </c>
      <c r="C79" s="670">
        <f>C77</f>
        <v>19.595070944719087</v>
      </c>
      <c r="D79" s="670">
        <f t="shared" ref="D79:L79" si="21">D77</f>
        <v>19.595070944719087</v>
      </c>
      <c r="E79" s="670">
        <f t="shared" si="21"/>
        <v>19.595070944719087</v>
      </c>
      <c r="F79" s="670">
        <f t="shared" si="21"/>
        <v>19.595070944719087</v>
      </c>
      <c r="G79" s="670">
        <f t="shared" si="21"/>
        <v>19.595070944719087</v>
      </c>
      <c r="H79" s="670">
        <f t="shared" si="21"/>
        <v>19.595070944719087</v>
      </c>
      <c r="I79" s="670">
        <f t="shared" si="21"/>
        <v>19.595070944719087</v>
      </c>
      <c r="J79" s="670">
        <f t="shared" si="21"/>
        <v>19.595070944719087</v>
      </c>
      <c r="K79" s="670">
        <f t="shared" si="21"/>
        <v>19.595070944719087</v>
      </c>
      <c r="L79" s="670">
        <f t="shared" si="21"/>
        <v>19.595070944719087</v>
      </c>
    </row>
    <row r="80" spans="2:12">
      <c r="B80" s="645" t="s">
        <v>752</v>
      </c>
      <c r="C80" s="670">
        <f>C78*$C$39</f>
        <v>8.4801912681462159</v>
      </c>
      <c r="D80" s="670">
        <f t="shared" ref="D80:L80" si="22">D78*$C$39</f>
        <v>8.4801912681462159</v>
      </c>
      <c r="E80" s="670">
        <f t="shared" si="22"/>
        <v>8.4801912681462159</v>
      </c>
      <c r="F80" s="670">
        <f t="shared" si="22"/>
        <v>8.4801912681462159</v>
      </c>
      <c r="G80" s="670">
        <f t="shared" si="22"/>
        <v>8.4801912681462159</v>
      </c>
      <c r="H80" s="670">
        <f t="shared" si="22"/>
        <v>8.4801912681462159</v>
      </c>
      <c r="I80" s="670">
        <f t="shared" si="22"/>
        <v>8.4801912681462159</v>
      </c>
      <c r="J80" s="670">
        <f t="shared" si="22"/>
        <v>8.4801912681462159</v>
      </c>
      <c r="K80" s="670">
        <f t="shared" si="22"/>
        <v>8.4801912681462159</v>
      </c>
      <c r="L80" s="670">
        <f t="shared" si="22"/>
        <v>8.4801912681462159</v>
      </c>
    </row>
    <row r="81" spans="2:12">
      <c r="B81" s="645" t="s">
        <v>751</v>
      </c>
      <c r="C81" s="670">
        <f>C79+C80</f>
        <v>28.075262212865304</v>
      </c>
      <c r="D81" s="670">
        <f t="shared" ref="D81:L81" si="23">D79+D80</f>
        <v>28.075262212865304</v>
      </c>
      <c r="E81" s="670">
        <f t="shared" si="23"/>
        <v>28.075262212865304</v>
      </c>
      <c r="F81" s="670">
        <f t="shared" si="23"/>
        <v>28.075262212865304</v>
      </c>
      <c r="G81" s="670">
        <f t="shared" si="23"/>
        <v>28.075262212865304</v>
      </c>
      <c r="H81" s="670">
        <f t="shared" si="23"/>
        <v>28.075262212865304</v>
      </c>
      <c r="I81" s="670">
        <f t="shared" si="23"/>
        <v>28.075262212865304</v>
      </c>
      <c r="J81" s="670">
        <f t="shared" si="23"/>
        <v>28.075262212865304</v>
      </c>
      <c r="K81" s="670">
        <f t="shared" si="23"/>
        <v>28.075262212865304</v>
      </c>
      <c r="L81" s="670">
        <f t="shared" si="23"/>
        <v>28.075262212865304</v>
      </c>
    </row>
    <row r="82" spans="2:12">
      <c r="B82" s="644"/>
    </row>
    <row r="83" spans="2:12">
      <c r="B83" s="680" t="s">
        <v>859</v>
      </c>
    </row>
    <row r="84" spans="2:12">
      <c r="B84" s="372"/>
    </row>
    <row r="85" spans="2:12">
      <c r="B85" s="372"/>
      <c r="C85" s="319" t="str">
        <f>C74</f>
        <v>2019/20</v>
      </c>
      <c r="D85" s="319" t="str">
        <f t="shared" ref="D85:L85" si="24">D74</f>
        <v>2020/21</v>
      </c>
      <c r="E85" s="319" t="str">
        <f t="shared" si="24"/>
        <v>2021/22</v>
      </c>
      <c r="F85" s="319" t="str">
        <f t="shared" si="24"/>
        <v>2022/23</v>
      </c>
      <c r="G85" s="319" t="str">
        <f t="shared" si="24"/>
        <v>2023/24</v>
      </c>
      <c r="H85" s="319" t="str">
        <f t="shared" si="24"/>
        <v>2024/25</v>
      </c>
      <c r="I85" s="319" t="str">
        <f t="shared" si="24"/>
        <v>2025/26</v>
      </c>
      <c r="J85" s="319" t="str">
        <f t="shared" si="24"/>
        <v>2026/27</v>
      </c>
      <c r="K85" s="319" t="str">
        <f t="shared" si="24"/>
        <v>2027/28</v>
      </c>
      <c r="L85" s="319" t="str">
        <f t="shared" si="24"/>
        <v>2028/29</v>
      </c>
    </row>
    <row r="86" spans="2:12">
      <c r="B86" s="331" t="s">
        <v>757</v>
      </c>
      <c r="C86" s="406">
        <f>C29</f>
        <v>0.52067686070201502</v>
      </c>
      <c r="D86" s="406">
        <f t="shared" ref="D86:L86" si="25">D29</f>
        <v>0.52067686070201502</v>
      </c>
      <c r="E86" s="406">
        <f t="shared" si="25"/>
        <v>0.52067686070201502</v>
      </c>
      <c r="F86" s="406">
        <f t="shared" si="25"/>
        <v>0.52067686070201502</v>
      </c>
      <c r="G86" s="406">
        <f t="shared" si="25"/>
        <v>0.52067686070201502</v>
      </c>
      <c r="H86" s="406">
        <f t="shared" si="25"/>
        <v>0.52067686070201502</v>
      </c>
      <c r="I86" s="406">
        <f t="shared" si="25"/>
        <v>0.52067686070201502</v>
      </c>
      <c r="J86" s="406">
        <f t="shared" si="25"/>
        <v>0.52067686070201502</v>
      </c>
      <c r="K86" s="406">
        <f t="shared" si="25"/>
        <v>0.52067686070201502</v>
      </c>
      <c r="L86" s="406">
        <f t="shared" si="25"/>
        <v>0.52067686070201502</v>
      </c>
    </row>
    <row r="87" spans="2:12" ht="25.5">
      <c r="B87" s="331" t="s">
        <v>756</v>
      </c>
      <c r="C87" s="670">
        <f t="shared" ref="C87:L87" si="26">100*C86</f>
        <v>52.067686070201503</v>
      </c>
      <c r="D87" s="670">
        <f t="shared" si="26"/>
        <v>52.067686070201503</v>
      </c>
      <c r="E87" s="670">
        <f t="shared" si="26"/>
        <v>52.067686070201503</v>
      </c>
      <c r="F87" s="670">
        <f t="shared" si="26"/>
        <v>52.067686070201503</v>
      </c>
      <c r="G87" s="670">
        <f t="shared" si="26"/>
        <v>52.067686070201503</v>
      </c>
      <c r="H87" s="670">
        <f t="shared" si="26"/>
        <v>52.067686070201503</v>
      </c>
      <c r="I87" s="670">
        <f t="shared" si="26"/>
        <v>52.067686070201503</v>
      </c>
      <c r="J87" s="670">
        <f t="shared" si="26"/>
        <v>52.067686070201503</v>
      </c>
      <c r="K87" s="670">
        <f t="shared" si="26"/>
        <v>52.067686070201503</v>
      </c>
      <c r="L87" s="670">
        <f t="shared" si="26"/>
        <v>52.067686070201503</v>
      </c>
    </row>
    <row r="88" spans="2:12" ht="25.5">
      <c r="B88" s="331" t="s">
        <v>755</v>
      </c>
      <c r="C88" s="670">
        <f>C87-C89</f>
        <v>50.424429689680842</v>
      </c>
      <c r="D88" s="670">
        <f t="shared" ref="D88:L88" si="27">D87-D89</f>
        <v>50.424429689680842</v>
      </c>
      <c r="E88" s="670">
        <f t="shared" si="27"/>
        <v>50.424429689680842</v>
      </c>
      <c r="F88" s="670">
        <f t="shared" si="27"/>
        <v>50.424429689680842</v>
      </c>
      <c r="G88" s="670">
        <f t="shared" si="27"/>
        <v>50.424429689680842</v>
      </c>
      <c r="H88" s="670">
        <f t="shared" si="27"/>
        <v>50.424429689680842</v>
      </c>
      <c r="I88" s="670">
        <f t="shared" si="27"/>
        <v>50.424429689680842</v>
      </c>
      <c r="J88" s="670">
        <f t="shared" si="27"/>
        <v>50.424429689680842</v>
      </c>
      <c r="K88" s="670">
        <f t="shared" si="27"/>
        <v>50.424429689680842</v>
      </c>
      <c r="L88" s="670">
        <f t="shared" si="27"/>
        <v>50.424429689680842</v>
      </c>
    </row>
    <row r="89" spans="2:12" ht="25.5">
      <c r="B89" s="331" t="s">
        <v>754</v>
      </c>
      <c r="C89" s="670">
        <f>C87*$C$35</f>
        <v>1.6432563805206617</v>
      </c>
      <c r="D89" s="670">
        <f t="shared" ref="D89:L89" si="28">D87*$C$35</f>
        <v>1.6432563805206617</v>
      </c>
      <c r="E89" s="670">
        <f t="shared" si="28"/>
        <v>1.6432563805206617</v>
      </c>
      <c r="F89" s="670">
        <f t="shared" si="28"/>
        <v>1.6432563805206617</v>
      </c>
      <c r="G89" s="670">
        <f t="shared" si="28"/>
        <v>1.6432563805206617</v>
      </c>
      <c r="H89" s="670">
        <f t="shared" si="28"/>
        <v>1.6432563805206617</v>
      </c>
      <c r="I89" s="670">
        <f t="shared" si="28"/>
        <v>1.6432563805206617</v>
      </c>
      <c r="J89" s="670">
        <f t="shared" si="28"/>
        <v>1.6432563805206617</v>
      </c>
      <c r="K89" s="670">
        <f t="shared" si="28"/>
        <v>1.6432563805206617</v>
      </c>
      <c r="L89" s="670">
        <f t="shared" si="28"/>
        <v>1.6432563805206617</v>
      </c>
    </row>
    <row r="90" spans="2:12">
      <c r="B90" s="645" t="s">
        <v>753</v>
      </c>
      <c r="C90" s="447">
        <f>C88</f>
        <v>50.424429689680842</v>
      </c>
      <c r="D90" s="447">
        <f t="shared" ref="D90:L90" si="29">D88</f>
        <v>50.424429689680842</v>
      </c>
      <c r="E90" s="447">
        <f t="shared" si="29"/>
        <v>50.424429689680842</v>
      </c>
      <c r="F90" s="447">
        <f t="shared" si="29"/>
        <v>50.424429689680842</v>
      </c>
      <c r="G90" s="447">
        <f t="shared" si="29"/>
        <v>50.424429689680842</v>
      </c>
      <c r="H90" s="447">
        <f t="shared" si="29"/>
        <v>50.424429689680842</v>
      </c>
      <c r="I90" s="447">
        <f t="shared" si="29"/>
        <v>50.424429689680842</v>
      </c>
      <c r="J90" s="447">
        <f t="shared" si="29"/>
        <v>50.424429689680842</v>
      </c>
      <c r="K90" s="447">
        <f t="shared" si="29"/>
        <v>50.424429689680842</v>
      </c>
      <c r="L90" s="447">
        <f t="shared" si="29"/>
        <v>50.424429689680842</v>
      </c>
    </row>
    <row r="91" spans="2:12">
      <c r="B91" s="645" t="s">
        <v>752</v>
      </c>
      <c r="C91" s="670">
        <f>C89*$C$39</f>
        <v>0.9498021879409424</v>
      </c>
      <c r="D91" s="670">
        <f t="shared" ref="D91:L91" si="30">D89*$C$39</f>
        <v>0.9498021879409424</v>
      </c>
      <c r="E91" s="670">
        <f t="shared" si="30"/>
        <v>0.9498021879409424</v>
      </c>
      <c r="F91" s="670">
        <f t="shared" si="30"/>
        <v>0.9498021879409424</v>
      </c>
      <c r="G91" s="670">
        <f t="shared" si="30"/>
        <v>0.9498021879409424</v>
      </c>
      <c r="H91" s="670">
        <f t="shared" si="30"/>
        <v>0.9498021879409424</v>
      </c>
      <c r="I91" s="670">
        <f t="shared" si="30"/>
        <v>0.9498021879409424</v>
      </c>
      <c r="J91" s="670">
        <f t="shared" si="30"/>
        <v>0.9498021879409424</v>
      </c>
      <c r="K91" s="670">
        <f t="shared" si="30"/>
        <v>0.9498021879409424</v>
      </c>
      <c r="L91" s="670">
        <f t="shared" si="30"/>
        <v>0.9498021879409424</v>
      </c>
    </row>
    <row r="92" spans="2:12">
      <c r="B92" s="645" t="s">
        <v>751</v>
      </c>
      <c r="C92" s="447">
        <f>C91+C90</f>
        <v>51.374231877621781</v>
      </c>
      <c r="D92" s="447">
        <f t="shared" ref="D92:L92" si="31">D91+D90</f>
        <v>51.374231877621781</v>
      </c>
      <c r="E92" s="447">
        <f t="shared" si="31"/>
        <v>51.374231877621781</v>
      </c>
      <c r="F92" s="447">
        <f t="shared" si="31"/>
        <v>51.374231877621781</v>
      </c>
      <c r="G92" s="447">
        <f t="shared" si="31"/>
        <v>51.374231877621781</v>
      </c>
      <c r="H92" s="447">
        <f t="shared" si="31"/>
        <v>51.374231877621781</v>
      </c>
      <c r="I92" s="447">
        <f t="shared" si="31"/>
        <v>51.374231877621781</v>
      </c>
      <c r="J92" s="447">
        <f t="shared" si="31"/>
        <v>51.374231877621781</v>
      </c>
      <c r="K92" s="447">
        <f t="shared" si="31"/>
        <v>51.374231877621781</v>
      </c>
      <c r="L92" s="447">
        <f t="shared" si="31"/>
        <v>51.374231877621781</v>
      </c>
    </row>
    <row r="93" spans="2:12">
      <c r="B93" s="372"/>
    </row>
    <row r="94" spans="2:12">
      <c r="B94" s="645" t="s">
        <v>750</v>
      </c>
      <c r="C94" s="670">
        <f>C92+C81+C70</f>
        <v>92.306396798130251</v>
      </c>
      <c r="D94" s="670">
        <f t="shared" ref="D94:L94" si="32">D92+D81+D70</f>
        <v>92.306396798130251</v>
      </c>
      <c r="E94" s="670">
        <f t="shared" si="32"/>
        <v>92.306396798130251</v>
      </c>
      <c r="F94" s="670">
        <f t="shared" si="32"/>
        <v>92.306396798130251</v>
      </c>
      <c r="G94" s="670">
        <f t="shared" si="32"/>
        <v>92.306396798130251</v>
      </c>
      <c r="H94" s="670">
        <f t="shared" si="32"/>
        <v>92.306396798130251</v>
      </c>
      <c r="I94" s="670">
        <f t="shared" si="32"/>
        <v>92.306396798130251</v>
      </c>
      <c r="J94" s="670">
        <f t="shared" si="32"/>
        <v>92.306396798130251</v>
      </c>
      <c r="K94" s="670">
        <f t="shared" si="32"/>
        <v>92.306396798130251</v>
      </c>
      <c r="L94" s="670">
        <f t="shared" si="32"/>
        <v>92.306396798130251</v>
      </c>
    </row>
    <row r="95" spans="2:12">
      <c r="B95" s="678"/>
    </row>
    <row r="96" spans="2:12">
      <c r="B96" s="679" t="s">
        <v>860</v>
      </c>
    </row>
    <row r="97" spans="2:12">
      <c r="B97" s="318"/>
    </row>
    <row r="98" spans="2:12">
      <c r="B98" s="319" t="s">
        <v>862</v>
      </c>
      <c r="C98" s="447">
        <f>C57</f>
        <v>254.92593807015371</v>
      </c>
      <c r="D98" s="447">
        <f t="shared" ref="D98:L98" si="33">D57</f>
        <v>251.78924285860094</v>
      </c>
      <c r="E98" s="447">
        <f t="shared" si="33"/>
        <v>249.5871381388074</v>
      </c>
      <c r="F98" s="447">
        <f t="shared" si="33"/>
        <v>246.96100468209582</v>
      </c>
      <c r="G98" s="447">
        <f t="shared" si="33"/>
        <v>244.08266644993813</v>
      </c>
      <c r="H98" s="447">
        <f t="shared" si="33"/>
        <v>249.50329485232243</v>
      </c>
      <c r="I98" s="447">
        <f t="shared" si="33"/>
        <v>253.89224909382261</v>
      </c>
      <c r="J98" s="447">
        <f t="shared" si="33"/>
        <v>254.97882054938754</v>
      </c>
      <c r="K98" s="447">
        <f t="shared" si="33"/>
        <v>253.96267516090728</v>
      </c>
      <c r="L98" s="447">
        <f t="shared" si="33"/>
        <v>252.72066186930482</v>
      </c>
    </row>
    <row r="100" spans="2:12">
      <c r="B100" s="334" t="s">
        <v>852</v>
      </c>
    </row>
    <row r="102" spans="2:12">
      <c r="B102" s="319"/>
      <c r="C102" s="319" t="str">
        <f t="shared" ref="C102:L102" si="34">C43</f>
        <v>2019/20</v>
      </c>
      <c r="D102" s="319" t="str">
        <f t="shared" si="34"/>
        <v>2020/21</v>
      </c>
      <c r="E102" s="319" t="str">
        <f t="shared" si="34"/>
        <v>2021/22</v>
      </c>
      <c r="F102" s="319" t="str">
        <f t="shared" si="34"/>
        <v>2022/23</v>
      </c>
      <c r="G102" s="319" t="str">
        <f t="shared" si="34"/>
        <v>2023/24</v>
      </c>
      <c r="H102" s="319" t="str">
        <f t="shared" si="34"/>
        <v>2024/25</v>
      </c>
      <c r="I102" s="319" t="str">
        <f t="shared" si="34"/>
        <v>2025/26</v>
      </c>
      <c r="J102" s="319" t="str">
        <f t="shared" si="34"/>
        <v>2026/27</v>
      </c>
      <c r="K102" s="319" t="str">
        <f t="shared" si="34"/>
        <v>2027/28</v>
      </c>
      <c r="L102" s="319" t="str">
        <f t="shared" si="34"/>
        <v>2028/29</v>
      </c>
    </row>
    <row r="103" spans="2:12">
      <c r="B103" s="319" t="s">
        <v>858</v>
      </c>
      <c r="C103" s="447">
        <f t="shared" ref="C103:L103" si="35">C65*C$98</f>
        <v>3483.7240045380604</v>
      </c>
      <c r="D103" s="447">
        <f t="shared" si="35"/>
        <v>3440.859082725362</v>
      </c>
      <c r="E103" s="447">
        <f t="shared" si="35"/>
        <v>3410.7659304516997</v>
      </c>
      <c r="F103" s="447">
        <f t="shared" si="35"/>
        <v>3374.8781575890225</v>
      </c>
      <c r="G103" s="447">
        <f t="shared" si="35"/>
        <v>3335.54384712828</v>
      </c>
      <c r="H103" s="447">
        <f t="shared" si="35"/>
        <v>3409.6201589701541</v>
      </c>
      <c r="I103" s="447">
        <f t="shared" si="35"/>
        <v>3469.5979915974704</v>
      </c>
      <c r="J103" s="447">
        <f t="shared" si="35"/>
        <v>3484.4466770276508</v>
      </c>
      <c r="K103" s="447">
        <f t="shared" si="35"/>
        <v>3470.5604082989853</v>
      </c>
      <c r="L103" s="447">
        <f t="shared" si="35"/>
        <v>3453.5875119720527</v>
      </c>
    </row>
    <row r="104" spans="2:12">
      <c r="B104" s="319" t="s">
        <v>853</v>
      </c>
      <c r="C104" s="447">
        <f t="shared" ref="C104:L104" si="36">C76*C$98</f>
        <v>8735.4660878889172</v>
      </c>
      <c r="D104" s="447">
        <f t="shared" si="36"/>
        <v>8627.9819501193724</v>
      </c>
      <c r="E104" s="447">
        <f t="shared" si="36"/>
        <v>8552.5231276575996</v>
      </c>
      <c r="F104" s="447">
        <f t="shared" si="36"/>
        <v>8462.5342472516313</v>
      </c>
      <c r="G104" s="447">
        <f t="shared" si="36"/>
        <v>8363.9031459724501</v>
      </c>
      <c r="H104" s="447">
        <f t="shared" si="36"/>
        <v>8549.6500964104416</v>
      </c>
      <c r="I104" s="447">
        <f t="shared" si="36"/>
        <v>8700.0449963102328</v>
      </c>
      <c r="J104" s="447">
        <f t="shared" si="36"/>
        <v>8737.2781949953496</v>
      </c>
      <c r="K104" s="447">
        <f t="shared" si="36"/>
        <v>8702.4582639650616</v>
      </c>
      <c r="L104" s="447">
        <f t="shared" si="36"/>
        <v>8659.8985892939236</v>
      </c>
    </row>
    <row r="105" spans="2:12">
      <c r="B105" s="319" t="s">
        <v>854</v>
      </c>
      <c r="C105" s="447">
        <f t="shared" ref="C105:L105" si="37">C87*C$98</f>
        <v>13273.403714588394</v>
      </c>
      <c r="D105" s="447">
        <f t="shared" si="37"/>
        <v>13110.08325301536</v>
      </c>
      <c r="E105" s="447">
        <f t="shared" si="37"/>
        <v>12995.424755771441</v>
      </c>
      <c r="F105" s="447">
        <f t="shared" si="37"/>
        <v>12858.688063368929</v>
      </c>
      <c r="G105" s="447">
        <f t="shared" si="37"/>
        <v>12708.819651893084</v>
      </c>
      <c r="H105" s="447">
        <f t="shared" si="37"/>
        <v>12991.059229851648</v>
      </c>
      <c r="I105" s="447">
        <f t="shared" si="37"/>
        <v>13219.581921474559</v>
      </c>
      <c r="J105" s="447">
        <f t="shared" si="37"/>
        <v>13276.157182915755</v>
      </c>
      <c r="K105" s="447">
        <f t="shared" si="37"/>
        <v>13223.248843826681</v>
      </c>
      <c r="L105" s="447">
        <f t="shared" si="37"/>
        <v>13158.580085664507</v>
      </c>
    </row>
    <row r="106" spans="2:12">
      <c r="B106" s="319" t="s">
        <v>8</v>
      </c>
      <c r="C106" s="447">
        <f>SUM(C103:C105)</f>
        <v>25492.593807015372</v>
      </c>
      <c r="D106" s="447">
        <f t="shared" ref="D106:L106" si="38">SUM(D103:D105)</f>
        <v>25178.924285860096</v>
      </c>
      <c r="E106" s="447">
        <f t="shared" si="38"/>
        <v>24958.713813880742</v>
      </c>
      <c r="F106" s="447">
        <f t="shared" si="38"/>
        <v>24696.100468209581</v>
      </c>
      <c r="G106" s="447">
        <f t="shared" si="38"/>
        <v>24408.266644993811</v>
      </c>
      <c r="H106" s="447">
        <f t="shared" si="38"/>
        <v>24950.329485232243</v>
      </c>
      <c r="I106" s="447">
        <f t="shared" si="38"/>
        <v>25389.224909382261</v>
      </c>
      <c r="J106" s="447">
        <f t="shared" si="38"/>
        <v>25497.882054938753</v>
      </c>
      <c r="K106" s="447">
        <f t="shared" si="38"/>
        <v>25396.267516090727</v>
      </c>
      <c r="L106" s="447">
        <f t="shared" si="38"/>
        <v>25272.066186930482</v>
      </c>
    </row>
    <row r="109" spans="2:12">
      <c r="B109" s="677" t="s">
        <v>748</v>
      </c>
      <c r="C109" s="675"/>
      <c r="D109" s="675"/>
      <c r="E109" s="675"/>
      <c r="F109" s="675"/>
      <c r="G109" s="675"/>
      <c r="H109" s="675"/>
      <c r="I109" s="675"/>
    </row>
    <row r="110" spans="2:12">
      <c r="B110" s="676"/>
      <c r="I110" s="675"/>
    </row>
    <row r="111" spans="2:12">
      <c r="B111" s="676" t="s">
        <v>747</v>
      </c>
      <c r="C111" s="676">
        <f>C106</f>
        <v>25492.593807015372</v>
      </c>
      <c r="D111" s="676">
        <f t="shared" ref="D111:L111" si="39">D106</f>
        <v>25178.924285860096</v>
      </c>
      <c r="E111" s="676">
        <f t="shared" si="39"/>
        <v>24958.713813880742</v>
      </c>
      <c r="F111" s="676">
        <f t="shared" si="39"/>
        <v>24696.100468209581</v>
      </c>
      <c r="G111" s="676">
        <f t="shared" si="39"/>
        <v>24408.266644993811</v>
      </c>
      <c r="H111" s="676">
        <f t="shared" si="39"/>
        <v>24950.329485232243</v>
      </c>
      <c r="I111" s="676">
        <f t="shared" si="39"/>
        <v>25389.224909382261</v>
      </c>
      <c r="J111" s="676">
        <f t="shared" si="39"/>
        <v>25497.882054938753</v>
      </c>
      <c r="K111" s="676">
        <f t="shared" si="39"/>
        <v>25396.267516090727</v>
      </c>
      <c r="L111" s="676">
        <f t="shared" si="39"/>
        <v>25272.066186930482</v>
      </c>
    </row>
    <row r="112" spans="2:12">
      <c r="B112" s="676" t="s">
        <v>1754</v>
      </c>
      <c r="C112" s="676">
        <f t="shared" ref="C112:L112" si="40">((C67+C78+C89)/100)*C111</f>
        <v>4647.6279937824356</v>
      </c>
      <c r="D112" s="676">
        <f t="shared" si="40"/>
        <v>4590.4420024959618</v>
      </c>
      <c r="E112" s="676">
        <f t="shared" si="40"/>
        <v>4550.2947988868236</v>
      </c>
      <c r="F112" s="676">
        <f t="shared" si="40"/>
        <v>4502.4170055903933</v>
      </c>
      <c r="G112" s="676">
        <f t="shared" si="40"/>
        <v>4449.9411945975198</v>
      </c>
      <c r="H112" s="676">
        <f t="shared" si="40"/>
        <v>4548.7662278504349</v>
      </c>
      <c r="I112" s="676">
        <f t="shared" si="40"/>
        <v>4628.7825131709697</v>
      </c>
      <c r="J112" s="676">
        <f t="shared" si="40"/>
        <v>4648.5921094496298</v>
      </c>
      <c r="K112" s="676">
        <f t="shared" si="40"/>
        <v>4630.0664710269357</v>
      </c>
      <c r="L112" s="676">
        <f t="shared" si="40"/>
        <v>4607.4229699913021</v>
      </c>
    </row>
    <row r="113" spans="1:12">
      <c r="B113" s="676" t="s">
        <v>1755</v>
      </c>
      <c r="C113" s="676">
        <f t="shared" ref="C113:L113" si="41">((C66+C77+C88)/100)*C111</f>
        <v>20844.965813232939</v>
      </c>
      <c r="D113" s="676">
        <f t="shared" si="41"/>
        <v>20588.482283364137</v>
      </c>
      <c r="E113" s="676">
        <f t="shared" si="41"/>
        <v>20408.41901499392</v>
      </c>
      <c r="F113" s="676">
        <f t="shared" si="41"/>
        <v>20193.683462619189</v>
      </c>
      <c r="G113" s="676">
        <f t="shared" si="41"/>
        <v>19958.325450396293</v>
      </c>
      <c r="H113" s="676">
        <f t="shared" si="41"/>
        <v>20401.563257381811</v>
      </c>
      <c r="I113" s="676">
        <f t="shared" si="41"/>
        <v>20760.442396211292</v>
      </c>
      <c r="J113" s="676">
        <f t="shared" si="41"/>
        <v>20849.289945489127</v>
      </c>
      <c r="K113" s="676">
        <f t="shared" si="41"/>
        <v>20766.201045063794</v>
      </c>
      <c r="L113" s="676">
        <f t="shared" si="41"/>
        <v>20664.643216939181</v>
      </c>
    </row>
    <row r="114" spans="1:12">
      <c r="B114" s="676" t="s">
        <v>855</v>
      </c>
      <c r="C114" s="676">
        <f>C112*$C$39</f>
        <v>2686.3289804062474</v>
      </c>
      <c r="D114" s="676">
        <f t="shared" ref="D114:L114" si="42">D112*$C$39</f>
        <v>2653.2754774426658</v>
      </c>
      <c r="E114" s="676">
        <f t="shared" si="42"/>
        <v>2630.0703937565841</v>
      </c>
      <c r="F114" s="676">
        <f t="shared" si="42"/>
        <v>2602.397029231247</v>
      </c>
      <c r="G114" s="676">
        <f t="shared" si="42"/>
        <v>2572.0660104773665</v>
      </c>
      <c r="H114" s="676">
        <f t="shared" si="42"/>
        <v>2629.1868796975514</v>
      </c>
      <c r="I114" s="676">
        <f t="shared" si="42"/>
        <v>2675.4362926128201</v>
      </c>
      <c r="J114" s="676">
        <f t="shared" si="42"/>
        <v>2686.8862392618857</v>
      </c>
      <c r="K114" s="676">
        <f t="shared" si="42"/>
        <v>2676.1784202535687</v>
      </c>
      <c r="L114" s="676">
        <f t="shared" si="42"/>
        <v>2663.0904766549725</v>
      </c>
    </row>
    <row r="115" spans="1:12">
      <c r="B115" s="676" t="s">
        <v>856</v>
      </c>
      <c r="C115" s="676">
        <f>C113</f>
        <v>20844.965813232939</v>
      </c>
      <c r="D115" s="676">
        <f t="shared" ref="D115:L115" si="43">D113</f>
        <v>20588.482283364137</v>
      </c>
      <c r="E115" s="676">
        <f t="shared" si="43"/>
        <v>20408.41901499392</v>
      </c>
      <c r="F115" s="676">
        <f t="shared" si="43"/>
        <v>20193.683462619189</v>
      </c>
      <c r="G115" s="676">
        <f t="shared" si="43"/>
        <v>19958.325450396293</v>
      </c>
      <c r="H115" s="676">
        <f t="shared" si="43"/>
        <v>20401.563257381811</v>
      </c>
      <c r="I115" s="676">
        <f t="shared" si="43"/>
        <v>20760.442396211292</v>
      </c>
      <c r="J115" s="676">
        <f t="shared" si="43"/>
        <v>20849.289945489127</v>
      </c>
      <c r="K115" s="676">
        <f t="shared" si="43"/>
        <v>20766.201045063794</v>
      </c>
      <c r="L115" s="676">
        <f t="shared" si="43"/>
        <v>20664.643216939181</v>
      </c>
    </row>
    <row r="116" spans="1:12">
      <c r="B116" s="676" t="s">
        <v>746</v>
      </c>
      <c r="C116" s="676">
        <f>C115+C114</f>
        <v>23531.294793639187</v>
      </c>
      <c r="D116" s="676">
        <f t="shared" ref="D116:L116" si="44">D115+D114</f>
        <v>23241.757760806802</v>
      </c>
      <c r="E116" s="676">
        <f t="shared" si="44"/>
        <v>23038.489408750505</v>
      </c>
      <c r="F116" s="676">
        <f t="shared" si="44"/>
        <v>22796.080491850436</v>
      </c>
      <c r="G116" s="676">
        <f t="shared" si="44"/>
        <v>22530.39146087366</v>
      </c>
      <c r="H116" s="676">
        <f t="shared" si="44"/>
        <v>23030.750137079362</v>
      </c>
      <c r="I116" s="676">
        <f t="shared" si="44"/>
        <v>23435.878688824112</v>
      </c>
      <c r="J116" s="676">
        <f t="shared" si="44"/>
        <v>23536.176184751013</v>
      </c>
      <c r="K116" s="676">
        <f t="shared" si="44"/>
        <v>23442.379465317361</v>
      </c>
      <c r="L116" s="676">
        <f t="shared" si="44"/>
        <v>23327.733693594153</v>
      </c>
    </row>
    <row r="117" spans="1:12">
      <c r="B117" s="676" t="s">
        <v>861</v>
      </c>
      <c r="C117" s="676">
        <f>C112+C113-C111</f>
        <v>0</v>
      </c>
      <c r="D117" s="676">
        <f t="shared" ref="D117:L117" si="45">D112+D113-D111</f>
        <v>0</v>
      </c>
      <c r="E117" s="676">
        <f t="shared" si="45"/>
        <v>0</v>
      </c>
      <c r="F117" s="676">
        <f t="shared" si="45"/>
        <v>0</v>
      </c>
      <c r="G117" s="676">
        <f t="shared" si="45"/>
        <v>0</v>
      </c>
      <c r="H117" s="676">
        <f t="shared" si="45"/>
        <v>0</v>
      </c>
      <c r="I117" s="676">
        <f t="shared" si="45"/>
        <v>0</v>
      </c>
      <c r="J117" s="676">
        <f t="shared" si="45"/>
        <v>0</v>
      </c>
      <c r="K117" s="676">
        <f t="shared" si="45"/>
        <v>0</v>
      </c>
      <c r="L117" s="676">
        <f t="shared" si="45"/>
        <v>0</v>
      </c>
    </row>
    <row r="118" spans="1:12">
      <c r="A118" s="302">
        <f>SUM(C117:L118)</f>
        <v>0</v>
      </c>
      <c r="B118" s="676" t="s">
        <v>863</v>
      </c>
      <c r="C118" s="676">
        <f t="shared" ref="C118:L118" si="46">C116-C44</f>
        <v>0</v>
      </c>
      <c r="D118" s="676">
        <f t="shared" si="46"/>
        <v>0</v>
      </c>
      <c r="E118" s="676">
        <f t="shared" si="46"/>
        <v>0</v>
      </c>
      <c r="F118" s="676">
        <f t="shared" si="46"/>
        <v>0</v>
      </c>
      <c r="G118" s="676">
        <f t="shared" si="46"/>
        <v>0</v>
      </c>
      <c r="H118" s="676">
        <f t="shared" si="46"/>
        <v>0</v>
      </c>
      <c r="I118" s="676">
        <f t="shared" si="46"/>
        <v>0</v>
      </c>
      <c r="J118" s="676">
        <f t="shared" si="46"/>
        <v>0</v>
      </c>
      <c r="K118" s="676">
        <f t="shared" si="46"/>
        <v>0</v>
      </c>
      <c r="L118" s="676">
        <f t="shared" si="46"/>
        <v>0</v>
      </c>
    </row>
  </sheetData>
  <mergeCells count="4">
    <mergeCell ref="A5:M5"/>
    <mergeCell ref="J50:J52"/>
    <mergeCell ref="B46:L47"/>
    <mergeCell ref="D17:L1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5"/>
  <sheetViews>
    <sheetView showGridLines="0" workbookViewId="0"/>
  </sheetViews>
  <sheetFormatPr defaultRowHeight="12.75"/>
  <cols>
    <col min="2" max="2" width="40.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6.45" customHeight="1">
      <c r="A5" s="1168" t="s">
        <v>771</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SUM(A11:A1828)</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OUTPUTS_FOR_SECTION_2_OF_MODEL!B65</f>
        <v>Art &amp; Design</v>
      </c>
      <c r="C15" s="300">
        <f>OUTPUTS_FOR_SECTION_2_OF_MODEL!E65</f>
        <v>916.05947719046026</v>
      </c>
      <c r="D15" s="300">
        <f>OUTPUTS_FOR_SECTION_2_OF_MODEL!F65</f>
        <v>908.52390243401271</v>
      </c>
      <c r="E15" s="300">
        <f>OUTPUTS_FOR_SECTION_2_OF_MODEL!G65</f>
        <v>892.75798834883585</v>
      </c>
      <c r="F15" s="300">
        <f>OUTPUTS_FOR_SECTION_2_OF_MODEL!H65</f>
        <v>872.22463669813271</v>
      </c>
      <c r="G15" s="300">
        <f>OUTPUTS_FOR_SECTION_2_OF_MODEL!I65</f>
        <v>920.57552814842188</v>
      </c>
      <c r="H15" s="300">
        <f>OUTPUTS_FOR_SECTION_2_OF_MODEL!J65</f>
        <v>952.00450810184907</v>
      </c>
      <c r="I15" s="300">
        <f>OUTPUTS_FOR_SECTION_2_OF_MODEL!K65</f>
        <v>906.640186723836</v>
      </c>
      <c r="J15" s="300">
        <f>OUTPUTS_FOR_SECTION_2_OF_MODEL!L65</f>
        <v>878.13302118174317</v>
      </c>
      <c r="K15" s="300">
        <f>OUTPUTS_FOR_SECTION_2_OF_MODEL!M65</f>
        <v>895.61808429768575</v>
      </c>
      <c r="L15" s="300">
        <f>OUTPUTS_FOR_SECTION_2_OF_MODEL!N65</f>
        <v>901.3064146959357</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852.85137326431857</v>
      </c>
      <c r="D44" s="447">
        <f t="shared" si="4"/>
        <v>845.83575316606584</v>
      </c>
      <c r="E44" s="447">
        <f t="shared" si="4"/>
        <v>831.15768715276624</v>
      </c>
      <c r="F44" s="447">
        <f t="shared" si="4"/>
        <v>812.0411367659616</v>
      </c>
      <c r="G44" s="447">
        <f t="shared" si="4"/>
        <v>857.05581670618085</v>
      </c>
      <c r="H44" s="447">
        <f t="shared" si="4"/>
        <v>886.3161970428215</v>
      </c>
      <c r="I44" s="447">
        <f t="shared" si="4"/>
        <v>844.08201383989137</v>
      </c>
      <c r="J44" s="447">
        <f t="shared" si="4"/>
        <v>817.54184272020291</v>
      </c>
      <c r="K44" s="447">
        <f t="shared" si="4"/>
        <v>833.82043648114552</v>
      </c>
      <c r="L44" s="447">
        <f t="shared" si="4"/>
        <v>839.11627208191624</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9.0107800660747728</v>
      </c>
      <c r="D58" s="447">
        <f t="shared" ref="D58:L58" si="7">D44/$J$51</f>
        <v>8.9366567056461825</v>
      </c>
      <c r="E58" s="447">
        <f t="shared" si="7"/>
        <v>8.7815759626382448</v>
      </c>
      <c r="F58" s="447">
        <f t="shared" si="7"/>
        <v>8.5796005228869774</v>
      </c>
      <c r="G58" s="447">
        <f t="shared" si="7"/>
        <v>9.0552020091501095</v>
      </c>
      <c r="H58" s="447">
        <f t="shared" si="7"/>
        <v>9.3643518330567126</v>
      </c>
      <c r="I58" s="447">
        <f t="shared" si="7"/>
        <v>8.9181276162212573</v>
      </c>
      <c r="J58" s="447">
        <f t="shared" si="7"/>
        <v>8.6377180954390411</v>
      </c>
      <c r="K58" s="447">
        <f t="shared" si="7"/>
        <v>8.8097091747327259</v>
      </c>
      <c r="L58" s="447">
        <f t="shared" si="7"/>
        <v>8.8656621946381584</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0">
        <f>100*C65</f>
        <v>12.684612446257185</v>
      </c>
      <c r="D66" s="670">
        <f t="shared" ref="D66:L66" si="10">100*D65</f>
        <v>12.684612446257185</v>
      </c>
      <c r="E66" s="670">
        <f t="shared" si="10"/>
        <v>12.684612446257185</v>
      </c>
      <c r="F66" s="670">
        <f t="shared" si="10"/>
        <v>12.684612446257185</v>
      </c>
      <c r="G66" s="670">
        <f t="shared" si="10"/>
        <v>12.684612446257185</v>
      </c>
      <c r="H66" s="670">
        <f t="shared" si="10"/>
        <v>12.684612446257185</v>
      </c>
      <c r="I66" s="670">
        <f t="shared" si="10"/>
        <v>12.684612446257185</v>
      </c>
      <c r="J66" s="670">
        <f t="shared" si="10"/>
        <v>12.684612446257185</v>
      </c>
      <c r="K66" s="670">
        <f t="shared" si="10"/>
        <v>12.684612446257185</v>
      </c>
      <c r="L66" s="670">
        <f t="shared" si="10"/>
        <v>12.684612446257185</v>
      </c>
    </row>
    <row r="67" spans="1:12">
      <c r="A67" s="302"/>
      <c r="B67" s="331" t="s">
        <v>755</v>
      </c>
      <c r="C67" s="670">
        <f>C66-C68</f>
        <v>10.772625816015474</v>
      </c>
      <c r="D67" s="670">
        <f t="shared" ref="D67:L67" si="11">D66-D68</f>
        <v>10.772625816015474</v>
      </c>
      <c r="E67" s="670">
        <f t="shared" si="11"/>
        <v>10.772625816015474</v>
      </c>
      <c r="F67" s="670">
        <f t="shared" si="11"/>
        <v>10.772625816015474</v>
      </c>
      <c r="G67" s="670">
        <f t="shared" si="11"/>
        <v>10.772625816015474</v>
      </c>
      <c r="H67" s="670">
        <f t="shared" si="11"/>
        <v>10.772625816015474</v>
      </c>
      <c r="I67" s="670">
        <f t="shared" si="11"/>
        <v>10.772625816015474</v>
      </c>
      <c r="J67" s="670">
        <f t="shared" si="11"/>
        <v>10.772625816015474</v>
      </c>
      <c r="K67" s="670">
        <f t="shared" si="11"/>
        <v>10.772625816015474</v>
      </c>
      <c r="L67" s="670">
        <f t="shared" si="11"/>
        <v>10.772625816015474</v>
      </c>
    </row>
    <row r="68" spans="1:12">
      <c r="A68" s="302"/>
      <c r="B68" s="331" t="s">
        <v>754</v>
      </c>
      <c r="C68" s="670">
        <f>C66*$C$33</f>
        <v>1.9119866302417126</v>
      </c>
      <c r="D68" s="670">
        <f t="shared" ref="D68:L68" si="12">D66*$C$33</f>
        <v>1.9119866302417126</v>
      </c>
      <c r="E68" s="670">
        <f t="shared" si="12"/>
        <v>1.9119866302417126</v>
      </c>
      <c r="F68" s="670">
        <f t="shared" si="12"/>
        <v>1.9119866302417126</v>
      </c>
      <c r="G68" s="670">
        <f t="shared" si="12"/>
        <v>1.9119866302417126</v>
      </c>
      <c r="H68" s="670">
        <f t="shared" si="12"/>
        <v>1.9119866302417126</v>
      </c>
      <c r="I68" s="670">
        <f t="shared" si="12"/>
        <v>1.9119866302417126</v>
      </c>
      <c r="J68" s="670">
        <f t="shared" si="12"/>
        <v>1.9119866302417126</v>
      </c>
      <c r="K68" s="670">
        <f t="shared" si="12"/>
        <v>1.9119866302417126</v>
      </c>
      <c r="L68" s="670">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0">
        <f>100*C76</f>
        <v>35.907502473279855</v>
      </c>
      <c r="D77" s="670">
        <f t="shared" ref="D77:L77" si="18">100*D76</f>
        <v>35.907502473279855</v>
      </c>
      <c r="E77" s="670">
        <f t="shared" si="18"/>
        <v>35.907502473279855</v>
      </c>
      <c r="F77" s="670">
        <f t="shared" si="18"/>
        <v>35.907502473279855</v>
      </c>
      <c r="G77" s="670">
        <f t="shared" si="18"/>
        <v>35.907502473279855</v>
      </c>
      <c r="H77" s="670">
        <f t="shared" si="18"/>
        <v>35.907502473279855</v>
      </c>
      <c r="I77" s="670">
        <f t="shared" si="18"/>
        <v>35.907502473279855</v>
      </c>
      <c r="J77" s="670">
        <f t="shared" si="18"/>
        <v>35.907502473279855</v>
      </c>
      <c r="K77" s="670">
        <f t="shared" si="18"/>
        <v>35.907502473279855</v>
      </c>
      <c r="L77" s="670">
        <f t="shared" si="18"/>
        <v>35.907502473279855</v>
      </c>
    </row>
    <row r="78" spans="1:12">
      <c r="A78" s="302"/>
      <c r="B78" s="331" t="s">
        <v>755</v>
      </c>
      <c r="C78" s="670">
        <f>C77-C79</f>
        <v>25.459499624925655</v>
      </c>
      <c r="D78" s="670">
        <f t="shared" ref="D78:L78" si="19">D77-D79</f>
        <v>25.459499624925655</v>
      </c>
      <c r="E78" s="670">
        <f t="shared" si="19"/>
        <v>25.459499624925655</v>
      </c>
      <c r="F78" s="670">
        <f t="shared" si="19"/>
        <v>25.459499624925655</v>
      </c>
      <c r="G78" s="670">
        <f t="shared" si="19"/>
        <v>25.459499624925655</v>
      </c>
      <c r="H78" s="670">
        <f t="shared" si="19"/>
        <v>25.459499624925655</v>
      </c>
      <c r="I78" s="670">
        <f t="shared" si="19"/>
        <v>25.459499624925655</v>
      </c>
      <c r="J78" s="670">
        <f t="shared" si="19"/>
        <v>25.459499624925655</v>
      </c>
      <c r="K78" s="670">
        <f t="shared" si="19"/>
        <v>25.459499624925655</v>
      </c>
      <c r="L78" s="670">
        <f t="shared" si="19"/>
        <v>25.459499624925655</v>
      </c>
    </row>
    <row r="79" spans="1:12">
      <c r="A79" s="302"/>
      <c r="B79" s="331" t="s">
        <v>754</v>
      </c>
      <c r="C79" s="670">
        <f>C77*$C$34</f>
        <v>10.448002848354198</v>
      </c>
      <c r="D79" s="670">
        <f t="shared" ref="D79:L79" si="20">D77*$C$34</f>
        <v>10.448002848354198</v>
      </c>
      <c r="E79" s="670">
        <f t="shared" si="20"/>
        <v>10.448002848354198</v>
      </c>
      <c r="F79" s="670">
        <f t="shared" si="20"/>
        <v>10.448002848354198</v>
      </c>
      <c r="G79" s="670">
        <f t="shared" si="20"/>
        <v>10.448002848354198</v>
      </c>
      <c r="H79" s="670">
        <f t="shared" si="20"/>
        <v>10.448002848354198</v>
      </c>
      <c r="I79" s="670">
        <f t="shared" si="20"/>
        <v>10.448002848354198</v>
      </c>
      <c r="J79" s="670">
        <f t="shared" si="20"/>
        <v>10.448002848354198</v>
      </c>
      <c r="K79" s="670">
        <f t="shared" si="20"/>
        <v>10.448002848354198</v>
      </c>
      <c r="L79" s="670">
        <f t="shared" si="20"/>
        <v>10.448002848354198</v>
      </c>
    </row>
    <row r="80" spans="1:12">
      <c r="A80" s="302"/>
      <c r="B80" s="645" t="s">
        <v>753</v>
      </c>
      <c r="C80" s="670">
        <f>C78</f>
        <v>25.459499624925655</v>
      </c>
      <c r="D80" s="670">
        <f t="shared" ref="D80:L80" si="21">D78</f>
        <v>25.459499624925655</v>
      </c>
      <c r="E80" s="670">
        <f t="shared" si="21"/>
        <v>25.459499624925655</v>
      </c>
      <c r="F80" s="670">
        <f t="shared" si="21"/>
        <v>25.459499624925655</v>
      </c>
      <c r="G80" s="670">
        <f t="shared" si="21"/>
        <v>25.459499624925655</v>
      </c>
      <c r="H80" s="670">
        <f t="shared" si="21"/>
        <v>25.459499624925655</v>
      </c>
      <c r="I80" s="670">
        <f t="shared" si="21"/>
        <v>25.459499624925655</v>
      </c>
      <c r="J80" s="670">
        <f t="shared" si="21"/>
        <v>25.459499624925655</v>
      </c>
      <c r="K80" s="670">
        <f t="shared" si="21"/>
        <v>25.459499624925655</v>
      </c>
      <c r="L80" s="670">
        <f t="shared" si="21"/>
        <v>25.459499624925655</v>
      </c>
    </row>
    <row r="81" spans="1:12">
      <c r="A81" s="302"/>
      <c r="B81" s="645" t="s">
        <v>752</v>
      </c>
      <c r="C81" s="670">
        <f>C79*$C$39</f>
        <v>6.5300017802213741</v>
      </c>
      <c r="D81" s="670">
        <f t="shared" ref="D81:L81" si="22">D79*$C$39</f>
        <v>6.5300017802213741</v>
      </c>
      <c r="E81" s="670">
        <f t="shared" si="22"/>
        <v>6.5300017802213741</v>
      </c>
      <c r="F81" s="670">
        <f t="shared" si="22"/>
        <v>6.5300017802213741</v>
      </c>
      <c r="G81" s="670">
        <f t="shared" si="22"/>
        <v>6.5300017802213741</v>
      </c>
      <c r="H81" s="670">
        <f t="shared" si="22"/>
        <v>6.5300017802213741</v>
      </c>
      <c r="I81" s="670">
        <f t="shared" si="22"/>
        <v>6.5300017802213741</v>
      </c>
      <c r="J81" s="670">
        <f t="shared" si="22"/>
        <v>6.5300017802213741</v>
      </c>
      <c r="K81" s="670">
        <f t="shared" si="22"/>
        <v>6.5300017802213741</v>
      </c>
      <c r="L81" s="670">
        <f t="shared" si="22"/>
        <v>6.5300017802213741</v>
      </c>
    </row>
    <row r="82" spans="1:12">
      <c r="A82" s="302"/>
      <c r="B82" s="645" t="s">
        <v>751</v>
      </c>
      <c r="C82" s="670">
        <f>C80+C81</f>
        <v>31.989501405147031</v>
      </c>
      <c r="D82" s="670">
        <f t="shared" ref="D82:L82" si="23">D80+D81</f>
        <v>31.989501405147031</v>
      </c>
      <c r="E82" s="670">
        <f t="shared" si="23"/>
        <v>31.989501405147031</v>
      </c>
      <c r="F82" s="670">
        <f t="shared" si="23"/>
        <v>31.989501405147031</v>
      </c>
      <c r="G82" s="670">
        <f t="shared" si="23"/>
        <v>31.989501405147031</v>
      </c>
      <c r="H82" s="670">
        <f t="shared" si="23"/>
        <v>31.989501405147031</v>
      </c>
      <c r="I82" s="670">
        <f t="shared" si="23"/>
        <v>31.989501405147031</v>
      </c>
      <c r="J82" s="670">
        <f t="shared" si="23"/>
        <v>31.989501405147031</v>
      </c>
      <c r="K82" s="670">
        <f t="shared" si="23"/>
        <v>31.989501405147031</v>
      </c>
      <c r="L82" s="670">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0">
        <f>100*C87</f>
        <v>51.407885080462954</v>
      </c>
      <c r="D88" s="670">
        <f t="shared" ref="D88:L88" si="26">100*D87</f>
        <v>51.407885080462954</v>
      </c>
      <c r="E88" s="670">
        <f t="shared" si="26"/>
        <v>51.407885080462954</v>
      </c>
      <c r="F88" s="670">
        <f t="shared" si="26"/>
        <v>51.407885080462954</v>
      </c>
      <c r="G88" s="670">
        <f t="shared" si="26"/>
        <v>51.407885080462954</v>
      </c>
      <c r="H88" s="670">
        <f t="shared" si="26"/>
        <v>51.407885080462954</v>
      </c>
      <c r="I88" s="670">
        <f t="shared" si="26"/>
        <v>51.407885080462954</v>
      </c>
      <c r="J88" s="670">
        <f t="shared" si="26"/>
        <v>51.407885080462954</v>
      </c>
      <c r="K88" s="670">
        <f t="shared" si="26"/>
        <v>51.407885080462954</v>
      </c>
      <c r="L88" s="670">
        <f t="shared" si="26"/>
        <v>51.407885080462954</v>
      </c>
    </row>
    <row r="89" spans="1:12">
      <c r="A89" s="302"/>
      <c r="B89" s="331" t="s">
        <v>755</v>
      </c>
      <c r="C89" s="670">
        <f>C88-C90</f>
        <v>49.495596838515347</v>
      </c>
      <c r="D89" s="670">
        <f t="shared" ref="D89:L89" si="27">D88-D90</f>
        <v>49.495596838515347</v>
      </c>
      <c r="E89" s="670">
        <f t="shared" si="27"/>
        <v>49.495596838515347</v>
      </c>
      <c r="F89" s="670">
        <f t="shared" si="27"/>
        <v>49.495596838515347</v>
      </c>
      <c r="G89" s="670">
        <f t="shared" si="27"/>
        <v>49.495596838515347</v>
      </c>
      <c r="H89" s="670">
        <f t="shared" si="27"/>
        <v>49.495596838515347</v>
      </c>
      <c r="I89" s="670">
        <f t="shared" si="27"/>
        <v>49.495596838515347</v>
      </c>
      <c r="J89" s="670">
        <f t="shared" si="27"/>
        <v>49.495596838515347</v>
      </c>
      <c r="K89" s="670">
        <f t="shared" si="27"/>
        <v>49.495596838515347</v>
      </c>
      <c r="L89" s="670">
        <f t="shared" si="27"/>
        <v>49.495596838515347</v>
      </c>
    </row>
    <row r="90" spans="1:12">
      <c r="A90" s="302"/>
      <c r="B90" s="331" t="s">
        <v>754</v>
      </c>
      <c r="C90" s="670">
        <f>C88*$C$35</f>
        <v>1.9122882419476073</v>
      </c>
      <c r="D90" s="670">
        <f t="shared" ref="D90:L90" si="28">D88*$C$35</f>
        <v>1.9122882419476073</v>
      </c>
      <c r="E90" s="670">
        <f t="shared" si="28"/>
        <v>1.9122882419476073</v>
      </c>
      <c r="F90" s="670">
        <f t="shared" si="28"/>
        <v>1.9122882419476073</v>
      </c>
      <c r="G90" s="670">
        <f t="shared" si="28"/>
        <v>1.9122882419476073</v>
      </c>
      <c r="H90" s="670">
        <f t="shared" si="28"/>
        <v>1.9122882419476073</v>
      </c>
      <c r="I90" s="670">
        <f t="shared" si="28"/>
        <v>1.9122882419476073</v>
      </c>
      <c r="J90" s="670">
        <f t="shared" si="28"/>
        <v>1.9122882419476073</v>
      </c>
      <c r="K90" s="670">
        <f t="shared" si="28"/>
        <v>1.9122882419476073</v>
      </c>
      <c r="L90" s="670">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0">
        <f>C90*$C$39</f>
        <v>1.1951801512172546</v>
      </c>
      <c r="D92" s="670">
        <f t="shared" ref="D92:L92" si="30">D90*$C$39</f>
        <v>1.1951801512172546</v>
      </c>
      <c r="E92" s="670">
        <f t="shared" si="30"/>
        <v>1.1951801512172546</v>
      </c>
      <c r="F92" s="670">
        <f t="shared" si="30"/>
        <v>1.1951801512172546</v>
      </c>
      <c r="G92" s="670">
        <f t="shared" si="30"/>
        <v>1.1951801512172546</v>
      </c>
      <c r="H92" s="670">
        <f t="shared" si="30"/>
        <v>1.1951801512172546</v>
      </c>
      <c r="I92" s="670">
        <f t="shared" si="30"/>
        <v>1.1951801512172546</v>
      </c>
      <c r="J92" s="670">
        <f t="shared" si="30"/>
        <v>1.1951801512172546</v>
      </c>
      <c r="K92" s="670">
        <f t="shared" si="30"/>
        <v>1.1951801512172546</v>
      </c>
      <c r="L92" s="670">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0">
        <f>C93+C82+C71</f>
        <v>94.647895854796175</v>
      </c>
      <c r="D95" s="670">
        <f t="shared" ref="D95:L95" si="32">D93+D82+D71</f>
        <v>94.647895854796175</v>
      </c>
      <c r="E95" s="670">
        <f t="shared" si="32"/>
        <v>94.647895854796175</v>
      </c>
      <c r="F95" s="670">
        <f t="shared" si="32"/>
        <v>94.647895854796175</v>
      </c>
      <c r="G95" s="670">
        <f t="shared" si="32"/>
        <v>94.647895854796175</v>
      </c>
      <c r="H95" s="670">
        <f t="shared" si="32"/>
        <v>94.647895854796175</v>
      </c>
      <c r="I95" s="670">
        <f t="shared" si="32"/>
        <v>94.647895854796175</v>
      </c>
      <c r="J95" s="670">
        <f t="shared" si="32"/>
        <v>94.647895854796175</v>
      </c>
      <c r="K95" s="670">
        <f t="shared" si="32"/>
        <v>94.647895854796175</v>
      </c>
      <c r="L95" s="670">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9.0107800660747728</v>
      </c>
      <c r="D99" s="447">
        <f t="shared" ref="D99:L99" si="33">D58</f>
        <v>8.9366567056461825</v>
      </c>
      <c r="E99" s="447">
        <f t="shared" si="33"/>
        <v>8.7815759626382448</v>
      </c>
      <c r="F99" s="447">
        <f t="shared" si="33"/>
        <v>8.5796005228869774</v>
      </c>
      <c r="G99" s="447">
        <f t="shared" si="33"/>
        <v>9.0552020091501095</v>
      </c>
      <c r="H99" s="447">
        <f t="shared" si="33"/>
        <v>9.3643518330567126</v>
      </c>
      <c r="I99" s="447">
        <f t="shared" si="33"/>
        <v>8.9181276162212573</v>
      </c>
      <c r="J99" s="447">
        <f t="shared" si="33"/>
        <v>8.6377180954390411</v>
      </c>
      <c r="K99" s="447">
        <f t="shared" si="33"/>
        <v>8.8097091747327259</v>
      </c>
      <c r="L99" s="447">
        <f t="shared" si="33"/>
        <v>8.8656621946381584</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1035</v>
      </c>
      <c r="C104" s="447">
        <f t="shared" ref="C104:L104" si="35">C66*C$99</f>
        <v>114.2982529766182</v>
      </c>
      <c r="D104" s="447">
        <f t="shared" si="35"/>
        <v>113.3580268763673</v>
      </c>
      <c r="E104" s="447">
        <f t="shared" si="35"/>
        <v>111.390887753434</v>
      </c>
      <c r="F104" s="447">
        <f t="shared" si="35"/>
        <v>108.8289075765268</v>
      </c>
      <c r="G104" s="447">
        <f t="shared" si="35"/>
        <v>114.86172810863854</v>
      </c>
      <c r="H104" s="447">
        <f t="shared" si="35"/>
        <v>118.78317381272247</v>
      </c>
      <c r="I104" s="447">
        <f t="shared" si="35"/>
        <v>113.12299255803008</v>
      </c>
      <c r="J104" s="447">
        <f t="shared" si="35"/>
        <v>109.56610646066697</v>
      </c>
      <c r="K104" s="447">
        <f t="shared" si="35"/>
        <v>111.74774664572085</v>
      </c>
      <c r="L104" s="447">
        <f t="shared" si="35"/>
        <v>112.45748901841898</v>
      </c>
    </row>
    <row r="105" spans="1:12">
      <c r="A105" s="302"/>
      <c r="B105" s="319" t="s">
        <v>1036</v>
      </c>
      <c r="C105" s="447">
        <f t="shared" ref="C105:L105" si="36">C77*C$99</f>
        <v>323.55460750876074</v>
      </c>
      <c r="D105" s="447">
        <f t="shared" si="36"/>
        <v>320.89302276084328</v>
      </c>
      <c r="E105" s="447">
        <f t="shared" si="36"/>
        <v>315.32446059772769</v>
      </c>
      <c r="F105" s="447">
        <f t="shared" si="36"/>
        <v>308.07202699531729</v>
      </c>
      <c r="G105" s="447">
        <f t="shared" si="36"/>
        <v>325.14968853960625</v>
      </c>
      <c r="H105" s="447">
        <f t="shared" si="36"/>
        <v>336.25048660614664</v>
      </c>
      <c r="I105" s="447">
        <f t="shared" si="36"/>
        <v>320.22768943649015</v>
      </c>
      <c r="J105" s="447">
        <f t="shared" si="36"/>
        <v>310.15888387547153</v>
      </c>
      <c r="K105" s="447">
        <f t="shared" si="36"/>
        <v>316.33465398059161</v>
      </c>
      <c r="L105" s="447">
        <f t="shared" si="36"/>
        <v>318.34378718123338</v>
      </c>
    </row>
    <row r="106" spans="1:12">
      <c r="A106" s="302"/>
      <c r="B106" s="319" t="s">
        <v>1037</v>
      </c>
      <c r="C106" s="447">
        <f t="shared" ref="C106:L106" si="37">C88*C$99</f>
        <v>463.22514612209829</v>
      </c>
      <c r="D106" s="447">
        <f t="shared" si="37"/>
        <v>459.41462092740761</v>
      </c>
      <c r="E106" s="447">
        <f t="shared" si="37"/>
        <v>451.44224791266271</v>
      </c>
      <c r="F106" s="447">
        <f t="shared" si="37"/>
        <v>441.05911771685362</v>
      </c>
      <c r="G106" s="447">
        <f t="shared" si="37"/>
        <v>465.5087842667661</v>
      </c>
      <c r="H106" s="447">
        <f t="shared" si="37"/>
        <v>481.40152288680207</v>
      </c>
      <c r="I106" s="447">
        <f t="shared" si="37"/>
        <v>458.46207962760542</v>
      </c>
      <c r="J106" s="447">
        <f t="shared" si="37"/>
        <v>444.04681920776557</v>
      </c>
      <c r="K106" s="447">
        <f t="shared" si="37"/>
        <v>452.8885168469601</v>
      </c>
      <c r="L106" s="447">
        <f t="shared" si="37"/>
        <v>455.76494326416343</v>
      </c>
    </row>
    <row r="107" spans="1:12">
      <c r="A107" s="302"/>
      <c r="B107" s="319" t="s">
        <v>8</v>
      </c>
      <c r="C107" s="447">
        <f>SUM(C104:C106)</f>
        <v>901.07800660747716</v>
      </c>
      <c r="D107" s="447">
        <f t="shared" ref="D107:L107" si="38">SUM(D104:D106)</f>
        <v>893.66567056461827</v>
      </c>
      <c r="E107" s="447">
        <f t="shared" si="38"/>
        <v>878.15759626382442</v>
      </c>
      <c r="F107" s="447">
        <f t="shared" si="38"/>
        <v>857.96005228869774</v>
      </c>
      <c r="G107" s="447">
        <f t="shared" si="38"/>
        <v>905.52020091501095</v>
      </c>
      <c r="H107" s="447">
        <f t="shared" si="38"/>
        <v>936.43518330567122</v>
      </c>
      <c r="I107" s="447">
        <f t="shared" si="38"/>
        <v>891.81276162212566</v>
      </c>
      <c r="J107" s="447">
        <f t="shared" si="38"/>
        <v>863.77180954390406</v>
      </c>
      <c r="K107" s="447">
        <f t="shared" si="38"/>
        <v>880.97091747327249</v>
      </c>
      <c r="L107" s="447">
        <f t="shared" si="38"/>
        <v>886.56621946381574</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901.07800660747716</v>
      </c>
      <c r="D112" s="676">
        <f t="shared" ref="D112:L112" si="39">D107</f>
        <v>893.66567056461827</v>
      </c>
      <c r="E112" s="676">
        <f t="shared" si="39"/>
        <v>878.15759626382442</v>
      </c>
      <c r="F112" s="676">
        <f t="shared" si="39"/>
        <v>857.96005228869774</v>
      </c>
      <c r="G112" s="676">
        <f t="shared" si="39"/>
        <v>905.52020091501095</v>
      </c>
      <c r="H112" s="676">
        <f t="shared" si="39"/>
        <v>936.43518330567122</v>
      </c>
      <c r="I112" s="676">
        <f t="shared" si="39"/>
        <v>891.81276162212566</v>
      </c>
      <c r="J112" s="676">
        <f t="shared" si="39"/>
        <v>863.77180954390406</v>
      </c>
      <c r="K112" s="676">
        <f t="shared" si="39"/>
        <v>880.97091747327249</v>
      </c>
      <c r="L112" s="676">
        <f t="shared" si="39"/>
        <v>886.56621946381574</v>
      </c>
    </row>
    <row r="113" spans="1:12">
      <c r="A113" s="302"/>
      <c r="B113" s="676" t="s">
        <v>1754</v>
      </c>
      <c r="C113" s="676">
        <f t="shared" ref="C113:L113" si="40">((C68+C79+C90)/100)*C112</f>
        <v>128.60435558175661</v>
      </c>
      <c r="D113" s="676">
        <f t="shared" si="40"/>
        <v>127.54644639613983</v>
      </c>
      <c r="E113" s="676">
        <f t="shared" si="40"/>
        <v>125.3330909628223</v>
      </c>
      <c r="F113" s="676">
        <f t="shared" si="40"/>
        <v>122.45044139396332</v>
      </c>
      <c r="G113" s="676">
        <f t="shared" si="40"/>
        <v>129.23835789021399</v>
      </c>
      <c r="H113" s="676">
        <f t="shared" si="40"/>
        <v>133.65063003426616</v>
      </c>
      <c r="I113" s="676">
        <f t="shared" si="40"/>
        <v>127.2819940859585</v>
      </c>
      <c r="J113" s="676">
        <f t="shared" si="40"/>
        <v>123.27991152987019</v>
      </c>
      <c r="K113" s="676">
        <f t="shared" si="40"/>
        <v>125.73461597900568</v>
      </c>
      <c r="L113" s="676">
        <f t="shared" si="40"/>
        <v>126.5331930183991</v>
      </c>
    </row>
    <row r="114" spans="1:12">
      <c r="A114" s="302"/>
      <c r="B114" s="676" t="s">
        <v>1755</v>
      </c>
      <c r="C114" s="676">
        <f t="shared" ref="C114:L114" si="41">((C67+C78+C89)/100)*C112</f>
        <v>772.47365102572064</v>
      </c>
      <c r="D114" s="676">
        <f t="shared" si="41"/>
        <v>766.11922416847847</v>
      </c>
      <c r="E114" s="676">
        <f t="shared" si="41"/>
        <v>752.82450530100209</v>
      </c>
      <c r="F114" s="676">
        <f t="shared" si="41"/>
        <v>735.50961089473446</v>
      </c>
      <c r="G114" s="676">
        <f t="shared" si="41"/>
        <v>776.28184302479701</v>
      </c>
      <c r="H114" s="676">
        <f t="shared" si="41"/>
        <v>802.78455327140512</v>
      </c>
      <c r="I114" s="676">
        <f t="shared" si="41"/>
        <v>764.53076753616722</v>
      </c>
      <c r="J114" s="676">
        <f t="shared" si="41"/>
        <v>740.49189801403384</v>
      </c>
      <c r="K114" s="676">
        <f t="shared" si="41"/>
        <v>755.23630149426685</v>
      </c>
      <c r="L114" s="676">
        <f t="shared" si="41"/>
        <v>760.03302644541668</v>
      </c>
    </row>
    <row r="115" spans="1:12">
      <c r="A115" s="302"/>
      <c r="B115" s="676" t="s">
        <v>855</v>
      </c>
      <c r="C115" s="676">
        <f>C113*$C$39</f>
        <v>80.377722238597883</v>
      </c>
      <c r="D115" s="676">
        <f t="shared" ref="D115:L115" si="42">D113*$C$39</f>
        <v>79.716528997587389</v>
      </c>
      <c r="E115" s="676">
        <f t="shared" si="42"/>
        <v>78.333181851763939</v>
      </c>
      <c r="F115" s="676">
        <f t="shared" si="42"/>
        <v>76.531525871227075</v>
      </c>
      <c r="G115" s="676">
        <f t="shared" si="42"/>
        <v>80.773973681383751</v>
      </c>
      <c r="H115" s="676">
        <f t="shared" si="42"/>
        <v>83.531643771416356</v>
      </c>
      <c r="I115" s="676">
        <f t="shared" si="42"/>
        <v>79.551246303724071</v>
      </c>
      <c r="J115" s="676">
        <f t="shared" si="42"/>
        <v>77.049944706168873</v>
      </c>
      <c r="K115" s="676">
        <f t="shared" si="42"/>
        <v>78.584134986878553</v>
      </c>
      <c r="L115" s="676">
        <f t="shared" si="42"/>
        <v>79.083245636499441</v>
      </c>
    </row>
    <row r="116" spans="1:12">
      <c r="A116" s="302"/>
      <c r="B116" s="676" t="s">
        <v>856</v>
      </c>
      <c r="C116" s="676">
        <f>C114</f>
        <v>772.47365102572064</v>
      </c>
      <c r="D116" s="676">
        <f t="shared" ref="D116:L116" si="43">D114</f>
        <v>766.11922416847847</v>
      </c>
      <c r="E116" s="676">
        <f t="shared" si="43"/>
        <v>752.82450530100209</v>
      </c>
      <c r="F116" s="676">
        <f t="shared" si="43"/>
        <v>735.50961089473446</v>
      </c>
      <c r="G116" s="676">
        <f t="shared" si="43"/>
        <v>776.28184302479701</v>
      </c>
      <c r="H116" s="676">
        <f t="shared" si="43"/>
        <v>802.78455327140512</v>
      </c>
      <c r="I116" s="676">
        <f t="shared" si="43"/>
        <v>764.53076753616722</v>
      </c>
      <c r="J116" s="676">
        <f t="shared" si="43"/>
        <v>740.49189801403384</v>
      </c>
      <c r="K116" s="676">
        <f t="shared" si="43"/>
        <v>755.23630149426685</v>
      </c>
      <c r="L116" s="676">
        <f t="shared" si="43"/>
        <v>760.03302644541668</v>
      </c>
    </row>
    <row r="117" spans="1:12">
      <c r="A117" s="302"/>
      <c r="B117" s="676" t="s">
        <v>746</v>
      </c>
      <c r="C117" s="676">
        <f>C116+C115</f>
        <v>852.85137326431857</v>
      </c>
      <c r="D117" s="676">
        <f t="shared" ref="D117:L117" si="44">D116+D115</f>
        <v>845.83575316606584</v>
      </c>
      <c r="E117" s="676">
        <f t="shared" si="44"/>
        <v>831.15768715276602</v>
      </c>
      <c r="F117" s="676">
        <f t="shared" si="44"/>
        <v>812.04113676596148</v>
      </c>
      <c r="G117" s="676">
        <f t="shared" si="44"/>
        <v>857.05581670618074</v>
      </c>
      <c r="H117" s="676">
        <f t="shared" si="44"/>
        <v>886.3161970428215</v>
      </c>
      <c r="I117" s="676">
        <f t="shared" si="44"/>
        <v>844.08201383989126</v>
      </c>
      <c r="J117" s="676">
        <f t="shared" si="44"/>
        <v>817.54184272020268</v>
      </c>
      <c r="K117" s="676">
        <f t="shared" si="44"/>
        <v>833.82043648114541</v>
      </c>
      <c r="L117" s="676">
        <f t="shared" si="44"/>
        <v>839.11627208191612</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row r="233" spans="1:12">
      <c r="A233" s="302"/>
      <c r="B233" s="302"/>
      <c r="C233" s="302"/>
      <c r="D233" s="302"/>
      <c r="E233" s="302"/>
      <c r="F233" s="302"/>
      <c r="G233" s="302"/>
      <c r="H233" s="302"/>
      <c r="I233" s="302"/>
      <c r="J233" s="302"/>
      <c r="K233" s="302"/>
      <c r="L233" s="302"/>
    </row>
    <row r="234" spans="1:12">
      <c r="A234" s="302"/>
      <c r="B234" s="302"/>
      <c r="C234" s="302"/>
      <c r="D234" s="302"/>
      <c r="E234" s="302"/>
      <c r="F234" s="302"/>
      <c r="G234" s="302"/>
      <c r="H234" s="302"/>
      <c r="I234" s="302"/>
      <c r="J234" s="302"/>
      <c r="K234" s="302"/>
      <c r="L234" s="302"/>
    </row>
    <row r="235" spans="1:12">
      <c r="A235" s="302"/>
      <c r="B235" s="302"/>
      <c r="C235" s="302"/>
      <c r="D235" s="302"/>
      <c r="E235" s="302"/>
      <c r="F235" s="302"/>
      <c r="G235" s="302"/>
      <c r="H235" s="302"/>
      <c r="I235" s="302"/>
      <c r="J235" s="302"/>
      <c r="K235" s="302"/>
      <c r="L235" s="302"/>
    </row>
    <row r="236" spans="1:12">
      <c r="A236" s="302"/>
      <c r="B236" s="302"/>
      <c r="C236" s="302"/>
      <c r="D236" s="302"/>
      <c r="E236" s="302"/>
      <c r="F236" s="302"/>
      <c r="G236" s="302"/>
      <c r="H236" s="302"/>
      <c r="I236" s="302"/>
      <c r="J236" s="302"/>
      <c r="K236" s="302"/>
      <c r="L236" s="302"/>
    </row>
    <row r="237" spans="1:12">
      <c r="A237" s="302"/>
      <c r="B237" s="302"/>
      <c r="C237" s="302"/>
      <c r="D237" s="302"/>
      <c r="E237" s="302"/>
      <c r="F237" s="302"/>
      <c r="G237" s="302"/>
      <c r="H237" s="302"/>
      <c r="I237" s="302"/>
      <c r="J237" s="302"/>
      <c r="K237" s="302"/>
      <c r="L237" s="302"/>
    </row>
    <row r="238" spans="1:12">
      <c r="A238" s="302"/>
      <c r="B238" s="302"/>
      <c r="C238" s="302"/>
      <c r="D238" s="302"/>
      <c r="E238" s="302"/>
      <c r="F238" s="302"/>
      <c r="G238" s="302"/>
      <c r="H238" s="302"/>
      <c r="I238" s="302"/>
      <c r="J238" s="302"/>
      <c r="K238" s="302"/>
      <c r="L238" s="302"/>
    </row>
    <row r="239" spans="1:12">
      <c r="A239" s="302"/>
      <c r="B239" s="302"/>
      <c r="C239" s="302"/>
      <c r="D239" s="302"/>
      <c r="E239" s="302"/>
      <c r="F239" s="302"/>
      <c r="G239" s="302"/>
      <c r="H239" s="302"/>
      <c r="I239" s="302"/>
      <c r="J239" s="302"/>
      <c r="K239" s="302"/>
      <c r="L239" s="302"/>
    </row>
    <row r="240" spans="1:12">
      <c r="A240" s="302"/>
      <c r="B240" s="302"/>
      <c r="C240" s="302"/>
      <c r="D240" s="302"/>
      <c r="E240" s="302"/>
      <c r="F240" s="302"/>
      <c r="G240" s="302"/>
      <c r="H240" s="302"/>
      <c r="I240" s="302"/>
      <c r="J240" s="302"/>
      <c r="K240" s="302"/>
      <c r="L240" s="302"/>
    </row>
    <row r="241" spans="1:12">
      <c r="A241" s="302"/>
      <c r="B241" s="302"/>
      <c r="C241" s="302"/>
      <c r="D241" s="302"/>
      <c r="E241" s="302"/>
      <c r="F241" s="302"/>
      <c r="G241" s="302"/>
      <c r="H241" s="302"/>
      <c r="I241" s="302"/>
      <c r="J241" s="302"/>
      <c r="K241" s="302"/>
      <c r="L241" s="302"/>
    </row>
    <row r="242" spans="1:12">
      <c r="A242" s="302"/>
      <c r="B242" s="302"/>
      <c r="C242" s="302"/>
      <c r="D242" s="302"/>
      <c r="E242" s="302"/>
      <c r="F242" s="302"/>
      <c r="G242" s="302"/>
      <c r="H242" s="302"/>
      <c r="I242" s="302"/>
      <c r="J242" s="302"/>
      <c r="K242" s="302"/>
      <c r="L242" s="302"/>
    </row>
    <row r="243" spans="1:12">
      <c r="A243" s="302"/>
      <c r="B243" s="302"/>
      <c r="C243" s="302"/>
      <c r="D243" s="302"/>
      <c r="E243" s="302"/>
      <c r="F243" s="302"/>
      <c r="G243" s="302"/>
      <c r="H243" s="302"/>
      <c r="I243" s="302"/>
      <c r="J243" s="302"/>
      <c r="K243" s="302"/>
      <c r="L243" s="302"/>
    </row>
    <row r="244" spans="1:12">
      <c r="A244" s="302"/>
      <c r="B244" s="302"/>
      <c r="C244" s="302"/>
      <c r="D244" s="302"/>
      <c r="E244" s="302"/>
      <c r="F244" s="302"/>
      <c r="G244" s="302"/>
      <c r="H244" s="302"/>
      <c r="I244" s="302"/>
      <c r="J244" s="302"/>
      <c r="K244" s="302"/>
      <c r="L244" s="302"/>
    </row>
    <row r="245" spans="1:12">
      <c r="A245" s="302"/>
      <c r="B245" s="302"/>
      <c r="C245" s="302"/>
      <c r="D245" s="302"/>
      <c r="E245" s="302"/>
      <c r="F245" s="302"/>
      <c r="G245" s="302"/>
      <c r="H245" s="302"/>
      <c r="I245" s="302"/>
      <c r="J245" s="302"/>
      <c r="K245" s="302"/>
      <c r="L245" s="302"/>
    </row>
    <row r="246" spans="1:12">
      <c r="A246" s="302"/>
      <c r="B246" s="302"/>
      <c r="C246" s="302"/>
      <c r="D246" s="302"/>
      <c r="E246" s="302"/>
      <c r="F246" s="302"/>
      <c r="G246" s="302"/>
      <c r="H246" s="302"/>
      <c r="I246" s="302"/>
      <c r="J246" s="302"/>
      <c r="K246" s="302"/>
      <c r="L246" s="302"/>
    </row>
    <row r="247" spans="1:12">
      <c r="A247" s="302"/>
      <c r="B247" s="302"/>
      <c r="C247" s="302"/>
      <c r="D247" s="302"/>
      <c r="E247" s="302"/>
      <c r="F247" s="302"/>
      <c r="G247" s="302"/>
      <c r="H247" s="302"/>
      <c r="I247" s="302"/>
      <c r="J247" s="302"/>
      <c r="K247" s="302"/>
      <c r="L247" s="302"/>
    </row>
    <row r="248" spans="1:12">
      <c r="A248" s="302"/>
      <c r="B248" s="302"/>
      <c r="C248" s="302"/>
      <c r="D248" s="302"/>
      <c r="E248" s="302"/>
      <c r="F248" s="302"/>
      <c r="G248" s="302"/>
      <c r="H248" s="302"/>
      <c r="I248" s="302"/>
      <c r="J248" s="302"/>
      <c r="K248" s="302"/>
      <c r="L248" s="302"/>
    </row>
    <row r="249" spans="1:12">
      <c r="A249" s="302"/>
      <c r="B249" s="302"/>
      <c r="C249" s="302"/>
      <c r="D249" s="302"/>
      <c r="E249" s="302"/>
      <c r="F249" s="302"/>
      <c r="G249" s="302"/>
      <c r="H249" s="302"/>
      <c r="I249" s="302"/>
      <c r="J249" s="302"/>
      <c r="K249" s="302"/>
      <c r="L249" s="302"/>
    </row>
    <row r="250" spans="1:12">
      <c r="A250" s="302"/>
      <c r="B250" s="302"/>
      <c r="C250" s="302"/>
      <c r="D250" s="302"/>
      <c r="E250" s="302"/>
      <c r="F250" s="302"/>
      <c r="G250" s="302"/>
      <c r="H250" s="302"/>
      <c r="I250" s="302"/>
      <c r="J250" s="302"/>
      <c r="K250" s="302"/>
      <c r="L250" s="302"/>
    </row>
    <row r="251" spans="1:12">
      <c r="A251" s="302"/>
      <c r="B251" s="302"/>
      <c r="C251" s="302"/>
      <c r="D251" s="302"/>
      <c r="E251" s="302"/>
      <c r="F251" s="302"/>
      <c r="G251" s="302"/>
      <c r="H251" s="302"/>
      <c r="I251" s="302"/>
      <c r="J251" s="302"/>
      <c r="K251" s="302"/>
      <c r="L251" s="302"/>
    </row>
    <row r="252" spans="1:12">
      <c r="A252" s="302"/>
      <c r="B252" s="302"/>
      <c r="C252" s="302"/>
      <c r="D252" s="302"/>
      <c r="E252" s="302"/>
      <c r="F252" s="302"/>
      <c r="G252" s="302"/>
      <c r="H252" s="302"/>
      <c r="I252" s="302"/>
      <c r="J252" s="302"/>
      <c r="K252" s="302"/>
      <c r="L252" s="302"/>
    </row>
    <row r="253" spans="1:12">
      <c r="A253" s="302"/>
      <c r="B253" s="302"/>
      <c r="C253" s="302"/>
      <c r="D253" s="302"/>
      <c r="E253" s="302"/>
      <c r="F253" s="302"/>
      <c r="G253" s="302"/>
      <c r="H253" s="302"/>
      <c r="I253" s="302"/>
      <c r="J253" s="302"/>
      <c r="K253" s="302"/>
      <c r="L253" s="302"/>
    </row>
    <row r="254" spans="1:12">
      <c r="A254" s="302"/>
      <c r="B254" s="302"/>
      <c r="C254" s="302"/>
      <c r="D254" s="302"/>
      <c r="E254" s="302"/>
      <c r="F254" s="302"/>
      <c r="G254" s="302"/>
      <c r="H254" s="302"/>
      <c r="I254" s="302"/>
      <c r="J254" s="302"/>
      <c r="K254" s="302"/>
      <c r="L254" s="302"/>
    </row>
    <row r="255" spans="1:12">
      <c r="A255" s="302"/>
      <c r="B255" s="302"/>
      <c r="C255" s="302"/>
      <c r="D255" s="302"/>
      <c r="E255" s="302"/>
      <c r="F255" s="302"/>
      <c r="G255" s="302"/>
      <c r="H255" s="302"/>
      <c r="I255" s="302"/>
      <c r="J255" s="302"/>
      <c r="K255" s="302"/>
      <c r="L255" s="302"/>
    </row>
    <row r="256" spans="1:12">
      <c r="A256" s="302"/>
      <c r="B256" s="302"/>
      <c r="C256" s="302"/>
      <c r="D256" s="302"/>
      <c r="E256" s="302"/>
      <c r="F256" s="302"/>
      <c r="G256" s="302"/>
      <c r="H256" s="302"/>
      <c r="I256" s="302"/>
      <c r="J256" s="302"/>
      <c r="K256" s="302"/>
      <c r="L256" s="302"/>
    </row>
    <row r="257" spans="1:12">
      <c r="A257" s="302"/>
      <c r="B257" s="302"/>
      <c r="C257" s="302"/>
      <c r="D257" s="302"/>
      <c r="E257" s="302"/>
      <c r="F257" s="302"/>
      <c r="G257" s="302"/>
      <c r="H257" s="302"/>
      <c r="I257" s="302"/>
      <c r="J257" s="302"/>
      <c r="K257" s="302"/>
      <c r="L257" s="302"/>
    </row>
    <row r="258" spans="1:12">
      <c r="A258" s="302"/>
      <c r="B258" s="302"/>
      <c r="C258" s="302"/>
      <c r="D258" s="302"/>
      <c r="E258" s="302"/>
      <c r="F258" s="302"/>
      <c r="G258" s="302"/>
      <c r="H258" s="302"/>
      <c r="I258" s="302"/>
      <c r="J258" s="302"/>
      <c r="K258" s="302"/>
      <c r="L258" s="302"/>
    </row>
    <row r="259" spans="1:12">
      <c r="A259" s="302"/>
      <c r="B259" s="302"/>
      <c r="C259" s="302"/>
      <c r="D259" s="302"/>
      <c r="E259" s="302"/>
      <c r="F259" s="302"/>
      <c r="G259" s="302"/>
      <c r="H259" s="302"/>
      <c r="I259" s="302"/>
      <c r="J259" s="302"/>
      <c r="K259" s="302"/>
      <c r="L259" s="302"/>
    </row>
    <row r="260" spans="1:12">
      <c r="A260" s="302"/>
      <c r="B260" s="302"/>
      <c r="C260" s="302"/>
      <c r="D260" s="302"/>
      <c r="E260" s="302"/>
      <c r="F260" s="302"/>
      <c r="G260" s="302"/>
      <c r="H260" s="302"/>
      <c r="I260" s="302"/>
      <c r="J260" s="302"/>
      <c r="K260" s="302"/>
      <c r="L260" s="302"/>
    </row>
    <row r="261" spans="1:12">
      <c r="A261" s="302"/>
      <c r="B261" s="302"/>
      <c r="C261" s="302"/>
      <c r="D261" s="302"/>
      <c r="E261" s="302"/>
      <c r="F261" s="302"/>
      <c r="G261" s="302"/>
      <c r="H261" s="302"/>
      <c r="I261" s="302"/>
      <c r="J261" s="302"/>
      <c r="K261" s="302"/>
      <c r="L261" s="302"/>
    </row>
    <row r="262" spans="1:12">
      <c r="A262" s="302"/>
      <c r="B262" s="302"/>
      <c r="C262" s="302"/>
      <c r="D262" s="302"/>
      <c r="E262" s="302"/>
      <c r="F262" s="302"/>
      <c r="G262" s="302"/>
      <c r="H262" s="302"/>
      <c r="I262" s="302"/>
      <c r="J262" s="302"/>
      <c r="K262" s="302"/>
      <c r="L262" s="302"/>
    </row>
    <row r="263" spans="1:12">
      <c r="A263" s="302"/>
      <c r="B263" s="302"/>
      <c r="C263" s="302"/>
      <c r="D263" s="302"/>
      <c r="E263" s="302"/>
      <c r="F263" s="302"/>
      <c r="G263" s="302"/>
      <c r="H263" s="302"/>
      <c r="I263" s="302"/>
      <c r="J263" s="302"/>
      <c r="K263" s="302"/>
      <c r="L263" s="302"/>
    </row>
    <row r="264" spans="1:12">
      <c r="A264" s="302"/>
      <c r="B264" s="302"/>
      <c r="C264" s="302"/>
      <c r="D264" s="302"/>
      <c r="E264" s="302"/>
      <c r="F264" s="302"/>
      <c r="G264" s="302"/>
      <c r="H264" s="302"/>
      <c r="I264" s="302"/>
      <c r="J264" s="302"/>
      <c r="K264" s="302"/>
      <c r="L264" s="302"/>
    </row>
    <row r="265" spans="1:12">
      <c r="A265" s="302"/>
      <c r="B265" s="302"/>
      <c r="C265" s="302"/>
      <c r="D265" s="302"/>
      <c r="E265" s="302"/>
      <c r="F265" s="302"/>
      <c r="G265" s="302"/>
      <c r="H265" s="302"/>
      <c r="I265" s="302"/>
      <c r="J265" s="302"/>
      <c r="K265" s="302"/>
      <c r="L265" s="302"/>
    </row>
    <row r="266" spans="1:12">
      <c r="A266" s="302"/>
      <c r="B266" s="302"/>
      <c r="C266" s="302"/>
      <c r="D266" s="302"/>
      <c r="E266" s="302"/>
      <c r="F266" s="302"/>
      <c r="G266" s="302"/>
      <c r="H266" s="302"/>
      <c r="I266" s="302"/>
      <c r="J266" s="302"/>
      <c r="K266" s="302"/>
      <c r="L266" s="302"/>
    </row>
    <row r="267" spans="1:12">
      <c r="A267" s="302"/>
      <c r="B267" s="302"/>
      <c r="C267" s="302"/>
      <c r="D267" s="302"/>
      <c r="E267" s="302"/>
      <c r="F267" s="302"/>
      <c r="G267" s="302"/>
      <c r="H267" s="302"/>
      <c r="I267" s="302"/>
      <c r="J267" s="302"/>
      <c r="K267" s="302"/>
      <c r="L267" s="302"/>
    </row>
    <row r="268" spans="1:12">
      <c r="A268" s="302"/>
      <c r="B268" s="302"/>
      <c r="C268" s="302"/>
      <c r="D268" s="302"/>
      <c r="E268" s="302"/>
      <c r="F268" s="302"/>
      <c r="G268" s="302"/>
      <c r="H268" s="302"/>
      <c r="I268" s="302"/>
      <c r="J268" s="302"/>
      <c r="K268" s="302"/>
      <c r="L268" s="302"/>
    </row>
    <row r="269" spans="1:12">
      <c r="A269" s="302"/>
      <c r="B269" s="302"/>
      <c r="C269" s="302"/>
      <c r="D269" s="302"/>
      <c r="E269" s="302"/>
      <c r="F269" s="302"/>
      <c r="G269" s="302"/>
      <c r="H269" s="302"/>
      <c r="I269" s="302"/>
      <c r="J269" s="302"/>
      <c r="K269" s="302"/>
      <c r="L269" s="302"/>
    </row>
    <row r="270" spans="1:12">
      <c r="A270" s="302"/>
      <c r="B270" s="302"/>
      <c r="C270" s="302"/>
      <c r="D270" s="302"/>
      <c r="E270" s="302"/>
      <c r="F270" s="302"/>
      <c r="G270" s="302"/>
      <c r="H270" s="302"/>
      <c r="I270" s="302"/>
      <c r="J270" s="302"/>
      <c r="K270" s="302"/>
      <c r="L270" s="302"/>
    </row>
    <row r="271" spans="1:12">
      <c r="A271" s="302"/>
      <c r="B271" s="302"/>
      <c r="C271" s="302"/>
      <c r="D271" s="302"/>
      <c r="E271" s="302"/>
      <c r="F271" s="302"/>
      <c r="G271" s="302"/>
      <c r="H271" s="302"/>
      <c r="I271" s="302"/>
      <c r="J271" s="302"/>
      <c r="K271" s="302"/>
      <c r="L271" s="302"/>
    </row>
    <row r="272" spans="1:12">
      <c r="A272" s="302"/>
      <c r="B272" s="302"/>
      <c r="C272" s="302"/>
      <c r="D272" s="302"/>
      <c r="E272" s="302"/>
      <c r="F272" s="302"/>
      <c r="G272" s="302"/>
      <c r="H272" s="302"/>
      <c r="I272" s="302"/>
      <c r="J272" s="302"/>
      <c r="K272" s="302"/>
      <c r="L272" s="302"/>
    </row>
    <row r="273" spans="1:12">
      <c r="A273" s="302"/>
      <c r="B273" s="302"/>
      <c r="C273" s="302"/>
      <c r="D273" s="302"/>
      <c r="E273" s="302"/>
      <c r="F273" s="302"/>
      <c r="G273" s="302"/>
      <c r="H273" s="302"/>
      <c r="I273" s="302"/>
      <c r="J273" s="302"/>
      <c r="K273" s="302"/>
      <c r="L273" s="302"/>
    </row>
    <row r="274" spans="1:12">
      <c r="A274" s="302"/>
      <c r="B274" s="302"/>
      <c r="C274" s="302"/>
      <c r="D274" s="302"/>
      <c r="E274" s="302"/>
      <c r="F274" s="302"/>
      <c r="G274" s="302"/>
      <c r="H274" s="302"/>
      <c r="I274" s="302"/>
      <c r="J274" s="302"/>
      <c r="K274" s="302"/>
      <c r="L274" s="302"/>
    </row>
    <row r="275" spans="1:12">
      <c r="A275" s="302"/>
      <c r="B275" s="302"/>
      <c r="C275" s="302"/>
      <c r="D275" s="302"/>
      <c r="E275" s="302"/>
      <c r="F275" s="302"/>
      <c r="G275" s="302"/>
      <c r="H275" s="302"/>
      <c r="I275" s="302"/>
      <c r="J275" s="302"/>
      <c r="K275" s="302"/>
      <c r="L275" s="302"/>
    </row>
    <row r="276" spans="1:12">
      <c r="A276" s="302"/>
      <c r="B276" s="302"/>
      <c r="C276" s="302"/>
      <c r="D276" s="302"/>
      <c r="E276" s="302"/>
      <c r="F276" s="302"/>
      <c r="G276" s="302"/>
      <c r="H276" s="302"/>
      <c r="I276" s="302"/>
      <c r="J276" s="302"/>
      <c r="K276" s="302"/>
      <c r="L276" s="302"/>
    </row>
    <row r="277" spans="1:12">
      <c r="A277" s="302"/>
      <c r="B277" s="302"/>
      <c r="C277" s="302"/>
      <c r="D277" s="302"/>
      <c r="E277" s="302"/>
      <c r="F277" s="302"/>
      <c r="G277" s="302"/>
      <c r="H277" s="302"/>
      <c r="I277" s="302"/>
      <c r="J277" s="302"/>
      <c r="K277" s="302"/>
      <c r="L277" s="302"/>
    </row>
    <row r="278" spans="1:12">
      <c r="A278" s="302"/>
      <c r="B278" s="302"/>
      <c r="C278" s="302"/>
      <c r="D278" s="302"/>
      <c r="E278" s="302"/>
      <c r="F278" s="302"/>
      <c r="G278" s="302"/>
      <c r="H278" s="302"/>
      <c r="I278" s="302"/>
      <c r="J278" s="302"/>
      <c r="K278" s="302"/>
      <c r="L278" s="302"/>
    </row>
    <row r="279" spans="1:12">
      <c r="A279" s="302"/>
      <c r="B279" s="302"/>
      <c r="C279" s="302"/>
      <c r="D279" s="302"/>
      <c r="E279" s="302"/>
      <c r="F279" s="302"/>
      <c r="G279" s="302"/>
      <c r="H279" s="302"/>
      <c r="I279" s="302"/>
      <c r="J279" s="302"/>
      <c r="K279" s="302"/>
      <c r="L279" s="302"/>
    </row>
    <row r="280" spans="1:12">
      <c r="A280" s="302"/>
      <c r="B280" s="302"/>
      <c r="C280" s="302"/>
      <c r="D280" s="302"/>
      <c r="E280" s="302"/>
      <c r="F280" s="302"/>
      <c r="G280" s="302"/>
      <c r="H280" s="302"/>
      <c r="I280" s="302"/>
      <c r="J280" s="302"/>
      <c r="K280" s="302"/>
      <c r="L280" s="302"/>
    </row>
    <row r="281" spans="1:12">
      <c r="A281" s="302"/>
      <c r="B281" s="302"/>
      <c r="C281" s="302"/>
      <c r="D281" s="302"/>
      <c r="E281" s="302"/>
      <c r="F281" s="302"/>
      <c r="G281" s="302"/>
      <c r="H281" s="302"/>
      <c r="I281" s="302"/>
      <c r="J281" s="302"/>
      <c r="K281" s="302"/>
      <c r="L281" s="302"/>
    </row>
    <row r="282" spans="1:12">
      <c r="A282" s="302"/>
      <c r="B282" s="302"/>
      <c r="C282" s="302"/>
      <c r="D282" s="302"/>
      <c r="E282" s="302"/>
      <c r="F282" s="302"/>
      <c r="G282" s="302"/>
      <c r="H282" s="302"/>
      <c r="I282" s="302"/>
      <c r="J282" s="302"/>
      <c r="K282" s="302"/>
      <c r="L282" s="302"/>
    </row>
    <row r="283" spans="1:12">
      <c r="A283" s="302"/>
      <c r="B283" s="302"/>
      <c r="C283" s="302"/>
      <c r="D283" s="302"/>
      <c r="E283" s="302"/>
      <c r="F283" s="302"/>
      <c r="G283" s="302"/>
      <c r="H283" s="302"/>
      <c r="I283" s="302"/>
      <c r="J283" s="302"/>
      <c r="K283" s="302"/>
      <c r="L283" s="302"/>
    </row>
    <row r="284" spans="1:12">
      <c r="A284" s="302"/>
      <c r="B284" s="302"/>
      <c r="C284" s="302"/>
      <c r="D284" s="302"/>
      <c r="E284" s="302"/>
      <c r="F284" s="302"/>
      <c r="G284" s="302"/>
      <c r="H284" s="302"/>
      <c r="I284" s="302"/>
      <c r="J284" s="302"/>
      <c r="K284" s="302"/>
      <c r="L284" s="302"/>
    </row>
    <row r="285" spans="1:12">
      <c r="A285" s="302"/>
      <c r="B285" s="302"/>
      <c r="C285" s="302"/>
      <c r="D285" s="302"/>
      <c r="E285" s="302"/>
      <c r="F285" s="302"/>
      <c r="G285" s="302"/>
      <c r="H285" s="302"/>
      <c r="I285" s="302"/>
      <c r="J285" s="302"/>
      <c r="K285" s="302"/>
      <c r="L285" s="302"/>
    </row>
    <row r="286" spans="1:12">
      <c r="A286" s="302"/>
      <c r="B286" s="302"/>
      <c r="C286" s="302"/>
      <c r="D286" s="302"/>
      <c r="E286" s="302"/>
      <c r="F286" s="302"/>
      <c r="G286" s="302"/>
      <c r="H286" s="302"/>
      <c r="I286" s="302"/>
      <c r="J286" s="302"/>
      <c r="K286" s="302"/>
      <c r="L286" s="302"/>
    </row>
    <row r="287" spans="1:12">
      <c r="A287" s="302"/>
      <c r="B287" s="302"/>
      <c r="C287" s="302"/>
      <c r="D287" s="302"/>
      <c r="E287" s="302"/>
      <c r="F287" s="302"/>
      <c r="G287" s="302"/>
      <c r="H287" s="302"/>
      <c r="I287" s="302"/>
      <c r="J287" s="302"/>
      <c r="K287" s="302"/>
      <c r="L287" s="302"/>
    </row>
    <row r="288" spans="1:12">
      <c r="A288" s="302"/>
      <c r="B288" s="302"/>
      <c r="C288" s="302"/>
      <c r="D288" s="302"/>
      <c r="E288" s="302"/>
      <c r="F288" s="302"/>
      <c r="G288" s="302"/>
      <c r="H288" s="302"/>
      <c r="I288" s="302"/>
      <c r="J288" s="302"/>
      <c r="K288" s="302"/>
      <c r="L288" s="302"/>
    </row>
    <row r="289" spans="1:12">
      <c r="A289" s="302"/>
      <c r="B289" s="302"/>
      <c r="C289" s="302"/>
      <c r="D289" s="302"/>
      <c r="E289" s="302"/>
      <c r="F289" s="302"/>
      <c r="G289" s="302"/>
      <c r="H289" s="302"/>
      <c r="I289" s="302"/>
      <c r="J289" s="302"/>
      <c r="K289" s="302"/>
      <c r="L289" s="302"/>
    </row>
    <row r="290" spans="1:12">
      <c r="A290" s="302"/>
      <c r="B290" s="302"/>
      <c r="C290" s="302"/>
      <c r="D290" s="302"/>
      <c r="E290" s="302"/>
      <c r="F290" s="302"/>
      <c r="G290" s="302"/>
      <c r="H290" s="302"/>
      <c r="I290" s="302"/>
      <c r="J290" s="302"/>
      <c r="K290" s="302"/>
      <c r="L290" s="302"/>
    </row>
    <row r="291" spans="1:12">
      <c r="A291" s="302"/>
      <c r="B291" s="302"/>
      <c r="C291" s="302"/>
      <c r="D291" s="302"/>
      <c r="E291" s="302"/>
      <c r="F291" s="302"/>
      <c r="G291" s="302"/>
      <c r="H291" s="302"/>
      <c r="I291" s="302"/>
      <c r="J291" s="302"/>
      <c r="K291" s="302"/>
      <c r="L291" s="302"/>
    </row>
    <row r="292" spans="1:12">
      <c r="A292" s="302"/>
      <c r="B292" s="302"/>
      <c r="C292" s="302"/>
      <c r="D292" s="302"/>
      <c r="E292" s="302"/>
      <c r="F292" s="302"/>
      <c r="G292" s="302"/>
      <c r="H292" s="302"/>
      <c r="I292" s="302"/>
      <c r="J292" s="302"/>
      <c r="K292" s="302"/>
      <c r="L292" s="302"/>
    </row>
    <row r="293" spans="1:12">
      <c r="A293" s="302"/>
      <c r="B293" s="302"/>
      <c r="C293" s="302"/>
      <c r="D293" s="302"/>
      <c r="E293" s="302"/>
      <c r="F293" s="302"/>
      <c r="G293" s="302"/>
      <c r="H293" s="302"/>
      <c r="I293" s="302"/>
      <c r="J293" s="302"/>
      <c r="K293" s="302"/>
      <c r="L293" s="302"/>
    </row>
    <row r="294" spans="1:12">
      <c r="A294" s="302"/>
      <c r="B294" s="302"/>
      <c r="C294" s="302"/>
      <c r="D294" s="302"/>
      <c r="E294" s="302"/>
      <c r="F294" s="302"/>
      <c r="G294" s="302"/>
      <c r="H294" s="302"/>
      <c r="I294" s="302"/>
      <c r="J294" s="302"/>
      <c r="K294" s="302"/>
      <c r="L294" s="302"/>
    </row>
    <row r="295" spans="1:12">
      <c r="A295" s="302"/>
      <c r="B295" s="302"/>
      <c r="C295" s="302"/>
      <c r="D295" s="302"/>
      <c r="E295" s="302"/>
      <c r="F295" s="302"/>
      <c r="G295" s="302"/>
      <c r="H295" s="302"/>
      <c r="I295" s="302"/>
      <c r="J295" s="302"/>
      <c r="K295" s="302"/>
      <c r="L295"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showGridLines="0" workbookViewId="0"/>
  </sheetViews>
  <sheetFormatPr defaultRowHeight="12.75"/>
  <cols>
    <col min="2" max="2" width="35.7109375" customWidth="1"/>
    <col min="3" max="12"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 customHeight="1">
      <c r="A5" s="1168" t="s">
        <v>772</v>
      </c>
      <c r="B5" s="1168"/>
      <c r="C5" s="1168"/>
      <c r="D5" s="1168"/>
      <c r="E5" s="1168"/>
      <c r="F5" s="1168"/>
      <c r="G5" s="1168"/>
      <c r="H5" s="1168"/>
      <c r="I5" s="1168"/>
      <c r="J5" s="1168"/>
      <c r="K5" s="1168"/>
      <c r="L5" s="1168"/>
      <c r="M5" s="5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SUM(A11:A1865)</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OUTPUTS_FOR_SECTION_2_OF_MODEL!B66</f>
        <v>Biology</v>
      </c>
      <c r="C15" s="300">
        <f>OUTPUTS_FOR_SECTION_2_OF_MODEL!E66</f>
        <v>1643.3933464178356</v>
      </c>
      <c r="D15" s="300">
        <f>OUTPUTS_FOR_SECTION_2_OF_MODEL!F66</f>
        <v>1616.0614293362378</v>
      </c>
      <c r="E15" s="300">
        <f>OUTPUTS_FOR_SECTION_2_OF_MODEL!G66</f>
        <v>1650.838270229136</v>
      </c>
      <c r="F15" s="300">
        <f>OUTPUTS_FOR_SECTION_2_OF_MODEL!H66</f>
        <v>1690.6853764459115</v>
      </c>
      <c r="G15" s="300">
        <f>OUTPUTS_FOR_SECTION_2_OF_MODEL!I66</f>
        <v>1720.659816706949</v>
      </c>
      <c r="H15" s="300">
        <f>OUTPUTS_FOR_SECTION_2_OF_MODEL!J66</f>
        <v>1694.6486368818987</v>
      </c>
      <c r="I15" s="300">
        <f>OUTPUTS_FOR_SECTION_2_OF_MODEL!K66</f>
        <v>1675.1779829939026</v>
      </c>
      <c r="J15" s="300">
        <f>OUTPUTS_FOR_SECTION_2_OF_MODEL!L66</f>
        <v>1649.5255228022834</v>
      </c>
      <c r="K15" s="300">
        <f>OUTPUTS_FOR_SECTION_2_OF_MODEL!M66</f>
        <v>1609.0943818593339</v>
      </c>
      <c r="L15" s="300">
        <f>OUTPUTS_FOR_SECTION_2_OF_MODEL!N66</f>
        <v>1568.0795073812799</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1529.9992055150051</v>
      </c>
      <c r="D44" s="447">
        <f t="shared" si="4"/>
        <v>1504.5531907120373</v>
      </c>
      <c r="E44" s="447">
        <f t="shared" si="4"/>
        <v>1536.9304295833258</v>
      </c>
      <c r="F44" s="447">
        <f t="shared" si="4"/>
        <v>1574.0280854711436</v>
      </c>
      <c r="G44" s="447">
        <f t="shared" si="4"/>
        <v>1601.9342893541696</v>
      </c>
      <c r="H44" s="447">
        <f t="shared" si="4"/>
        <v>1577.7178809370478</v>
      </c>
      <c r="I44" s="447">
        <f t="shared" si="4"/>
        <v>1559.5907021673233</v>
      </c>
      <c r="J44" s="447">
        <f t="shared" si="4"/>
        <v>1535.7082617289259</v>
      </c>
      <c r="K44" s="447">
        <f t="shared" si="4"/>
        <v>1498.0668695110398</v>
      </c>
      <c r="L44" s="447">
        <f t="shared" si="4"/>
        <v>1459.8820213719716</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16.165168720308891</v>
      </c>
      <c r="D58" s="447">
        <f t="shared" ref="D58:L58" si="7">D44/$J$51</f>
        <v>15.896319480997692</v>
      </c>
      <c r="E58" s="447">
        <f t="shared" si="7"/>
        <v>16.238400396573034</v>
      </c>
      <c r="F58" s="447">
        <f t="shared" si="7"/>
        <v>16.63035476125042</v>
      </c>
      <c r="G58" s="447">
        <f t="shared" si="7"/>
        <v>16.925197067368224</v>
      </c>
      <c r="H58" s="447">
        <f t="shared" si="7"/>
        <v>16.669339203879389</v>
      </c>
      <c r="I58" s="447">
        <f t="shared" si="7"/>
        <v>16.477816945449746</v>
      </c>
      <c r="J58" s="447">
        <f t="shared" si="7"/>
        <v>16.225487612370468</v>
      </c>
      <c r="K58" s="447">
        <f t="shared" si="7"/>
        <v>15.827788414961649</v>
      </c>
      <c r="L58" s="447">
        <f t="shared" si="7"/>
        <v>15.424347347474535</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0">
        <f>100*C65</f>
        <v>12.684612446257185</v>
      </c>
      <c r="D66" s="670">
        <f t="shared" ref="D66:L66" si="10">100*D65</f>
        <v>12.684612446257185</v>
      </c>
      <c r="E66" s="670">
        <f t="shared" si="10"/>
        <v>12.684612446257185</v>
      </c>
      <c r="F66" s="670">
        <f t="shared" si="10"/>
        <v>12.684612446257185</v>
      </c>
      <c r="G66" s="670">
        <f t="shared" si="10"/>
        <v>12.684612446257185</v>
      </c>
      <c r="H66" s="670">
        <f t="shared" si="10"/>
        <v>12.684612446257185</v>
      </c>
      <c r="I66" s="670">
        <f t="shared" si="10"/>
        <v>12.684612446257185</v>
      </c>
      <c r="J66" s="670">
        <f t="shared" si="10"/>
        <v>12.684612446257185</v>
      </c>
      <c r="K66" s="670">
        <f t="shared" si="10"/>
        <v>12.684612446257185</v>
      </c>
      <c r="L66" s="670">
        <f t="shared" si="10"/>
        <v>12.684612446257185</v>
      </c>
    </row>
    <row r="67" spans="1:12" ht="25.5">
      <c r="A67" s="302"/>
      <c r="B67" s="331" t="s">
        <v>755</v>
      </c>
      <c r="C67" s="670">
        <f>C66-C68</f>
        <v>10.772625816015474</v>
      </c>
      <c r="D67" s="670">
        <f t="shared" ref="D67:L67" si="11">D66-D68</f>
        <v>10.772625816015474</v>
      </c>
      <c r="E67" s="670">
        <f t="shared" si="11"/>
        <v>10.772625816015474</v>
      </c>
      <c r="F67" s="670">
        <f t="shared" si="11"/>
        <v>10.772625816015474</v>
      </c>
      <c r="G67" s="670">
        <f t="shared" si="11"/>
        <v>10.772625816015474</v>
      </c>
      <c r="H67" s="670">
        <f t="shared" si="11"/>
        <v>10.772625816015474</v>
      </c>
      <c r="I67" s="670">
        <f t="shared" si="11"/>
        <v>10.772625816015474</v>
      </c>
      <c r="J67" s="670">
        <f t="shared" si="11"/>
        <v>10.772625816015474</v>
      </c>
      <c r="K67" s="670">
        <f t="shared" si="11"/>
        <v>10.772625816015474</v>
      </c>
      <c r="L67" s="670">
        <f t="shared" si="11"/>
        <v>10.772625816015474</v>
      </c>
    </row>
    <row r="68" spans="1:12" ht="25.5">
      <c r="A68" s="302"/>
      <c r="B68" s="331" t="s">
        <v>754</v>
      </c>
      <c r="C68" s="670">
        <f>C66*$C$33</f>
        <v>1.9119866302417126</v>
      </c>
      <c r="D68" s="670">
        <f t="shared" ref="D68:L68" si="12">D66*$C$33</f>
        <v>1.9119866302417126</v>
      </c>
      <c r="E68" s="670">
        <f t="shared" si="12"/>
        <v>1.9119866302417126</v>
      </c>
      <c r="F68" s="670">
        <f t="shared" si="12"/>
        <v>1.9119866302417126</v>
      </c>
      <c r="G68" s="670">
        <f t="shared" si="12"/>
        <v>1.9119866302417126</v>
      </c>
      <c r="H68" s="670">
        <f t="shared" si="12"/>
        <v>1.9119866302417126</v>
      </c>
      <c r="I68" s="670">
        <f t="shared" si="12"/>
        <v>1.9119866302417126</v>
      </c>
      <c r="J68" s="670">
        <f t="shared" si="12"/>
        <v>1.9119866302417126</v>
      </c>
      <c r="K68" s="670">
        <f t="shared" si="12"/>
        <v>1.9119866302417126</v>
      </c>
      <c r="L68" s="670">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0">
        <f>100*C76</f>
        <v>35.907502473279855</v>
      </c>
      <c r="D77" s="670">
        <f t="shared" ref="D77:L77" si="18">100*D76</f>
        <v>35.907502473279855</v>
      </c>
      <c r="E77" s="670">
        <f t="shared" si="18"/>
        <v>35.907502473279855</v>
      </c>
      <c r="F77" s="670">
        <f t="shared" si="18"/>
        <v>35.907502473279855</v>
      </c>
      <c r="G77" s="670">
        <f t="shared" si="18"/>
        <v>35.907502473279855</v>
      </c>
      <c r="H77" s="670">
        <f t="shared" si="18"/>
        <v>35.907502473279855</v>
      </c>
      <c r="I77" s="670">
        <f t="shared" si="18"/>
        <v>35.907502473279855</v>
      </c>
      <c r="J77" s="670">
        <f t="shared" si="18"/>
        <v>35.907502473279855</v>
      </c>
      <c r="K77" s="670">
        <f t="shared" si="18"/>
        <v>35.907502473279855</v>
      </c>
      <c r="L77" s="670">
        <f t="shared" si="18"/>
        <v>35.907502473279855</v>
      </c>
    </row>
    <row r="78" spans="1:12" ht="25.5">
      <c r="A78" s="302"/>
      <c r="B78" s="331" t="s">
        <v>755</v>
      </c>
      <c r="C78" s="670">
        <f>C77-C79</f>
        <v>25.459499624925655</v>
      </c>
      <c r="D78" s="670">
        <f t="shared" ref="D78:L78" si="19">D77-D79</f>
        <v>25.459499624925655</v>
      </c>
      <c r="E78" s="670">
        <f t="shared" si="19"/>
        <v>25.459499624925655</v>
      </c>
      <c r="F78" s="670">
        <f t="shared" si="19"/>
        <v>25.459499624925655</v>
      </c>
      <c r="G78" s="670">
        <f t="shared" si="19"/>
        <v>25.459499624925655</v>
      </c>
      <c r="H78" s="670">
        <f t="shared" si="19"/>
        <v>25.459499624925655</v>
      </c>
      <c r="I78" s="670">
        <f t="shared" si="19"/>
        <v>25.459499624925655</v>
      </c>
      <c r="J78" s="670">
        <f t="shared" si="19"/>
        <v>25.459499624925655</v>
      </c>
      <c r="K78" s="670">
        <f t="shared" si="19"/>
        <v>25.459499624925655</v>
      </c>
      <c r="L78" s="670">
        <f t="shared" si="19"/>
        <v>25.459499624925655</v>
      </c>
    </row>
    <row r="79" spans="1:12" ht="25.5">
      <c r="A79" s="302"/>
      <c r="B79" s="331" t="s">
        <v>754</v>
      </c>
      <c r="C79" s="670">
        <f>C77*$C$34</f>
        <v>10.448002848354198</v>
      </c>
      <c r="D79" s="670">
        <f t="shared" ref="D79:L79" si="20">D77*$C$34</f>
        <v>10.448002848354198</v>
      </c>
      <c r="E79" s="670">
        <f t="shared" si="20"/>
        <v>10.448002848354198</v>
      </c>
      <c r="F79" s="670">
        <f t="shared" si="20"/>
        <v>10.448002848354198</v>
      </c>
      <c r="G79" s="670">
        <f t="shared" si="20"/>
        <v>10.448002848354198</v>
      </c>
      <c r="H79" s="670">
        <f t="shared" si="20"/>
        <v>10.448002848354198</v>
      </c>
      <c r="I79" s="670">
        <f t="shared" si="20"/>
        <v>10.448002848354198</v>
      </c>
      <c r="J79" s="670">
        <f t="shared" si="20"/>
        <v>10.448002848354198</v>
      </c>
      <c r="K79" s="670">
        <f t="shared" si="20"/>
        <v>10.448002848354198</v>
      </c>
      <c r="L79" s="670">
        <f t="shared" si="20"/>
        <v>10.448002848354198</v>
      </c>
    </row>
    <row r="80" spans="1:12">
      <c r="A80" s="302"/>
      <c r="B80" s="645" t="s">
        <v>753</v>
      </c>
      <c r="C80" s="670">
        <f>C78</f>
        <v>25.459499624925655</v>
      </c>
      <c r="D80" s="670">
        <f t="shared" ref="D80:L80" si="21">D78</f>
        <v>25.459499624925655</v>
      </c>
      <c r="E80" s="670">
        <f t="shared" si="21"/>
        <v>25.459499624925655</v>
      </c>
      <c r="F80" s="670">
        <f t="shared" si="21"/>
        <v>25.459499624925655</v>
      </c>
      <c r="G80" s="670">
        <f t="shared" si="21"/>
        <v>25.459499624925655</v>
      </c>
      <c r="H80" s="670">
        <f t="shared" si="21"/>
        <v>25.459499624925655</v>
      </c>
      <c r="I80" s="670">
        <f t="shared" si="21"/>
        <v>25.459499624925655</v>
      </c>
      <c r="J80" s="670">
        <f t="shared" si="21"/>
        <v>25.459499624925655</v>
      </c>
      <c r="K80" s="670">
        <f t="shared" si="21"/>
        <v>25.459499624925655</v>
      </c>
      <c r="L80" s="670">
        <f t="shared" si="21"/>
        <v>25.459499624925655</v>
      </c>
    </row>
    <row r="81" spans="1:12">
      <c r="A81" s="302"/>
      <c r="B81" s="645" t="s">
        <v>752</v>
      </c>
      <c r="C81" s="670">
        <f>C79*$C$39</f>
        <v>6.5300017802213741</v>
      </c>
      <c r="D81" s="670">
        <f t="shared" ref="D81:L81" si="22">D79*$C$39</f>
        <v>6.5300017802213741</v>
      </c>
      <c r="E81" s="670">
        <f t="shared" si="22"/>
        <v>6.5300017802213741</v>
      </c>
      <c r="F81" s="670">
        <f t="shared" si="22"/>
        <v>6.5300017802213741</v>
      </c>
      <c r="G81" s="670">
        <f t="shared" si="22"/>
        <v>6.5300017802213741</v>
      </c>
      <c r="H81" s="670">
        <f t="shared" si="22"/>
        <v>6.5300017802213741</v>
      </c>
      <c r="I81" s="670">
        <f t="shared" si="22"/>
        <v>6.5300017802213741</v>
      </c>
      <c r="J81" s="670">
        <f t="shared" si="22"/>
        <v>6.5300017802213741</v>
      </c>
      <c r="K81" s="670">
        <f t="shared" si="22"/>
        <v>6.5300017802213741</v>
      </c>
      <c r="L81" s="670">
        <f t="shared" si="22"/>
        <v>6.5300017802213741</v>
      </c>
    </row>
    <row r="82" spans="1:12">
      <c r="A82" s="302"/>
      <c r="B82" s="645" t="s">
        <v>751</v>
      </c>
      <c r="C82" s="670">
        <f>C80+C81</f>
        <v>31.989501405147031</v>
      </c>
      <c r="D82" s="670">
        <f t="shared" ref="D82:L82" si="23">D80+D81</f>
        <v>31.989501405147031</v>
      </c>
      <c r="E82" s="670">
        <f t="shared" si="23"/>
        <v>31.989501405147031</v>
      </c>
      <c r="F82" s="670">
        <f t="shared" si="23"/>
        <v>31.989501405147031</v>
      </c>
      <c r="G82" s="670">
        <f t="shared" si="23"/>
        <v>31.989501405147031</v>
      </c>
      <c r="H82" s="670">
        <f t="shared" si="23"/>
        <v>31.989501405147031</v>
      </c>
      <c r="I82" s="670">
        <f t="shared" si="23"/>
        <v>31.989501405147031</v>
      </c>
      <c r="J82" s="670">
        <f t="shared" si="23"/>
        <v>31.989501405147031</v>
      </c>
      <c r="K82" s="670">
        <f t="shared" si="23"/>
        <v>31.989501405147031</v>
      </c>
      <c r="L82" s="670">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0">
        <f>100*C87</f>
        <v>51.407885080462954</v>
      </c>
      <c r="D88" s="670">
        <f t="shared" ref="D88:L88" si="26">100*D87</f>
        <v>51.407885080462954</v>
      </c>
      <c r="E88" s="670">
        <f t="shared" si="26"/>
        <v>51.407885080462954</v>
      </c>
      <c r="F88" s="670">
        <f t="shared" si="26"/>
        <v>51.407885080462954</v>
      </c>
      <c r="G88" s="670">
        <f t="shared" si="26"/>
        <v>51.407885080462954</v>
      </c>
      <c r="H88" s="670">
        <f t="shared" si="26"/>
        <v>51.407885080462954</v>
      </c>
      <c r="I88" s="670">
        <f t="shared" si="26"/>
        <v>51.407885080462954</v>
      </c>
      <c r="J88" s="670">
        <f t="shared" si="26"/>
        <v>51.407885080462954</v>
      </c>
      <c r="K88" s="670">
        <f t="shared" si="26"/>
        <v>51.407885080462954</v>
      </c>
      <c r="L88" s="670">
        <f t="shared" si="26"/>
        <v>51.407885080462954</v>
      </c>
    </row>
    <row r="89" spans="1:12" ht="25.5">
      <c r="A89" s="302"/>
      <c r="B89" s="331" t="s">
        <v>755</v>
      </c>
      <c r="C89" s="670">
        <f>C88-C90</f>
        <v>49.495596838515347</v>
      </c>
      <c r="D89" s="670">
        <f t="shared" ref="D89:L89" si="27">D88-D90</f>
        <v>49.495596838515347</v>
      </c>
      <c r="E89" s="670">
        <f t="shared" si="27"/>
        <v>49.495596838515347</v>
      </c>
      <c r="F89" s="670">
        <f t="shared" si="27"/>
        <v>49.495596838515347</v>
      </c>
      <c r="G89" s="670">
        <f t="shared" si="27"/>
        <v>49.495596838515347</v>
      </c>
      <c r="H89" s="670">
        <f t="shared" si="27"/>
        <v>49.495596838515347</v>
      </c>
      <c r="I89" s="670">
        <f t="shared" si="27"/>
        <v>49.495596838515347</v>
      </c>
      <c r="J89" s="670">
        <f t="shared" si="27"/>
        <v>49.495596838515347</v>
      </c>
      <c r="K89" s="670">
        <f t="shared" si="27"/>
        <v>49.495596838515347</v>
      </c>
      <c r="L89" s="670">
        <f t="shared" si="27"/>
        <v>49.495596838515347</v>
      </c>
    </row>
    <row r="90" spans="1:12" ht="25.5">
      <c r="A90" s="302"/>
      <c r="B90" s="331" t="s">
        <v>754</v>
      </c>
      <c r="C90" s="670">
        <f>C88*$C$35</f>
        <v>1.9122882419476073</v>
      </c>
      <c r="D90" s="670">
        <f t="shared" ref="D90:L90" si="28">D88*$C$35</f>
        <v>1.9122882419476073</v>
      </c>
      <c r="E90" s="670">
        <f t="shared" si="28"/>
        <v>1.9122882419476073</v>
      </c>
      <c r="F90" s="670">
        <f t="shared" si="28"/>
        <v>1.9122882419476073</v>
      </c>
      <c r="G90" s="670">
        <f t="shared" si="28"/>
        <v>1.9122882419476073</v>
      </c>
      <c r="H90" s="670">
        <f t="shared" si="28"/>
        <v>1.9122882419476073</v>
      </c>
      <c r="I90" s="670">
        <f t="shared" si="28"/>
        <v>1.9122882419476073</v>
      </c>
      <c r="J90" s="670">
        <f t="shared" si="28"/>
        <v>1.9122882419476073</v>
      </c>
      <c r="K90" s="670">
        <f t="shared" si="28"/>
        <v>1.9122882419476073</v>
      </c>
      <c r="L90" s="670">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0">
        <f>C90*$C$39</f>
        <v>1.1951801512172546</v>
      </c>
      <c r="D92" s="670">
        <f t="shared" ref="D92:L92" si="30">D90*$C$39</f>
        <v>1.1951801512172546</v>
      </c>
      <c r="E92" s="670">
        <f t="shared" si="30"/>
        <v>1.1951801512172546</v>
      </c>
      <c r="F92" s="670">
        <f t="shared" si="30"/>
        <v>1.1951801512172546</v>
      </c>
      <c r="G92" s="670">
        <f t="shared" si="30"/>
        <v>1.1951801512172546</v>
      </c>
      <c r="H92" s="670">
        <f t="shared" si="30"/>
        <v>1.1951801512172546</v>
      </c>
      <c r="I92" s="670">
        <f t="shared" si="30"/>
        <v>1.1951801512172546</v>
      </c>
      <c r="J92" s="670">
        <f t="shared" si="30"/>
        <v>1.1951801512172546</v>
      </c>
      <c r="K92" s="670">
        <f t="shared" si="30"/>
        <v>1.1951801512172546</v>
      </c>
      <c r="L92" s="670">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0">
        <f>C93+C82+C71</f>
        <v>94.647895854796175</v>
      </c>
      <c r="D95" s="670">
        <f t="shared" ref="D95:L95" si="32">D93+D82+D71</f>
        <v>94.647895854796175</v>
      </c>
      <c r="E95" s="670">
        <f t="shared" si="32"/>
        <v>94.647895854796175</v>
      </c>
      <c r="F95" s="670">
        <f t="shared" si="32"/>
        <v>94.647895854796175</v>
      </c>
      <c r="G95" s="670">
        <f t="shared" si="32"/>
        <v>94.647895854796175</v>
      </c>
      <c r="H95" s="670">
        <f t="shared" si="32"/>
        <v>94.647895854796175</v>
      </c>
      <c r="I95" s="670">
        <f t="shared" si="32"/>
        <v>94.647895854796175</v>
      </c>
      <c r="J95" s="670">
        <f t="shared" si="32"/>
        <v>94.647895854796175</v>
      </c>
      <c r="K95" s="670">
        <f t="shared" si="32"/>
        <v>94.647895854796175</v>
      </c>
      <c r="L95" s="670">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16.165168720308891</v>
      </c>
      <c r="D99" s="447">
        <f t="shared" ref="D99:L99" si="33">D58</f>
        <v>15.896319480997692</v>
      </c>
      <c r="E99" s="447">
        <f t="shared" si="33"/>
        <v>16.238400396573034</v>
      </c>
      <c r="F99" s="447">
        <f t="shared" si="33"/>
        <v>16.63035476125042</v>
      </c>
      <c r="G99" s="447">
        <f t="shared" si="33"/>
        <v>16.925197067368224</v>
      </c>
      <c r="H99" s="447">
        <f t="shared" si="33"/>
        <v>16.669339203879389</v>
      </c>
      <c r="I99" s="447">
        <f t="shared" si="33"/>
        <v>16.477816945449746</v>
      </c>
      <c r="J99" s="447">
        <f t="shared" si="33"/>
        <v>16.225487612370468</v>
      </c>
      <c r="K99" s="447">
        <f t="shared" si="33"/>
        <v>15.827788414961649</v>
      </c>
      <c r="L99" s="447">
        <f t="shared" si="33"/>
        <v>15.424347347474535</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874</v>
      </c>
      <c r="C104" s="447">
        <f t="shared" ref="C104:L104" si="35">C66*C$99</f>
        <v>205.04890034547751</v>
      </c>
      <c r="D104" s="447">
        <f t="shared" si="35"/>
        <v>201.63865193834388</v>
      </c>
      <c r="E104" s="447">
        <f t="shared" si="35"/>
        <v>205.97781577767793</v>
      </c>
      <c r="F104" s="447">
        <f t="shared" si="35"/>
        <v>210.94960499022952</v>
      </c>
      <c r="G104" s="447">
        <f t="shared" si="35"/>
        <v>214.68956537609458</v>
      </c>
      <c r="H104" s="447">
        <f t="shared" si="35"/>
        <v>211.44410753641134</v>
      </c>
      <c r="I104" s="447">
        <f t="shared" si="35"/>
        <v>209.0147219133994</v>
      </c>
      <c r="J104" s="447">
        <f t="shared" si="35"/>
        <v>205.81402211446621</v>
      </c>
      <c r="K104" s="447">
        <f t="shared" si="35"/>
        <v>200.76936192514782</v>
      </c>
      <c r="L104" s="447">
        <f t="shared" si="35"/>
        <v>195.65186833916948</v>
      </c>
    </row>
    <row r="105" spans="1:12">
      <c r="A105" s="302"/>
      <c r="B105" s="319" t="s">
        <v>875</v>
      </c>
      <c r="C105" s="447">
        <f t="shared" ref="C105:L105" si="36">C77*C$99</f>
        <v>580.45083580547771</v>
      </c>
      <c r="D105" s="447">
        <f t="shared" si="36"/>
        <v>570.79713107997134</v>
      </c>
      <c r="E105" s="447">
        <f t="shared" si="36"/>
        <v>583.0804024020548</v>
      </c>
      <c r="F105" s="447">
        <f t="shared" si="36"/>
        <v>597.15450472112082</v>
      </c>
      <c r="G105" s="447">
        <f t="shared" si="36"/>
        <v>607.7415555572735</v>
      </c>
      <c r="H105" s="447">
        <f t="shared" si="36"/>
        <v>598.55433869123999</v>
      </c>
      <c r="I105" s="447">
        <f t="shared" si="36"/>
        <v>591.67725272298946</v>
      </c>
      <c r="J105" s="447">
        <f t="shared" si="36"/>
        <v>582.6167365713643</v>
      </c>
      <c r="K105" s="447">
        <f t="shared" si="36"/>
        <v>568.33635165678561</v>
      </c>
      <c r="L105" s="447">
        <f t="shared" si="36"/>
        <v>553.84979052816948</v>
      </c>
    </row>
    <row r="106" spans="1:12">
      <c r="A106" s="302"/>
      <c r="B106" s="319" t="s">
        <v>876</v>
      </c>
      <c r="C106" s="447">
        <f t="shared" ref="C106:L106" si="37">C88*C$99</f>
        <v>831.0171358799339</v>
      </c>
      <c r="D106" s="447">
        <f t="shared" si="37"/>
        <v>817.19616508145384</v>
      </c>
      <c r="E106" s="447">
        <f t="shared" si="37"/>
        <v>834.78182147757059</v>
      </c>
      <c r="F106" s="447">
        <f t="shared" si="37"/>
        <v>854.93136641369153</v>
      </c>
      <c r="G106" s="447">
        <f t="shared" si="37"/>
        <v>870.08858580345429</v>
      </c>
      <c r="H106" s="447">
        <f t="shared" si="37"/>
        <v>856.93547416028741</v>
      </c>
      <c r="I106" s="447">
        <f t="shared" si="37"/>
        <v>847.08971990858561</v>
      </c>
      <c r="J106" s="447">
        <f t="shared" si="37"/>
        <v>834.11800255121625</v>
      </c>
      <c r="K106" s="447">
        <f t="shared" si="37"/>
        <v>813.67312791423137</v>
      </c>
      <c r="L106" s="447">
        <f t="shared" si="37"/>
        <v>792.93307588011453</v>
      </c>
    </row>
    <row r="107" spans="1:12">
      <c r="A107" s="302"/>
      <c r="B107" s="319" t="s">
        <v>8</v>
      </c>
      <c r="C107" s="447">
        <f>SUM(C104:C106)</f>
        <v>1616.5168720308891</v>
      </c>
      <c r="D107" s="447">
        <f t="shared" ref="D107:L107" si="38">SUM(D104:D106)</f>
        <v>1589.631948099769</v>
      </c>
      <c r="E107" s="447">
        <f t="shared" si="38"/>
        <v>1623.8400396573034</v>
      </c>
      <c r="F107" s="447">
        <f t="shared" si="38"/>
        <v>1663.0354761250419</v>
      </c>
      <c r="G107" s="447">
        <f t="shared" si="38"/>
        <v>1692.5197067368224</v>
      </c>
      <c r="H107" s="447">
        <f t="shared" si="38"/>
        <v>1666.9339203879388</v>
      </c>
      <c r="I107" s="447">
        <f t="shared" si="38"/>
        <v>1647.7816945449745</v>
      </c>
      <c r="J107" s="447">
        <f t="shared" si="38"/>
        <v>1622.5487612370466</v>
      </c>
      <c r="K107" s="447">
        <f t="shared" si="38"/>
        <v>1582.7788414961647</v>
      </c>
      <c r="L107" s="447">
        <f t="shared" si="38"/>
        <v>1542.4347347474536</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1616.5168720308891</v>
      </c>
      <c r="D112" s="676">
        <f t="shared" ref="D112:L112" si="39">D107</f>
        <v>1589.631948099769</v>
      </c>
      <c r="E112" s="676">
        <f t="shared" si="39"/>
        <v>1623.8400396573034</v>
      </c>
      <c r="F112" s="676">
        <f t="shared" si="39"/>
        <v>1663.0354761250419</v>
      </c>
      <c r="G112" s="676">
        <f t="shared" si="39"/>
        <v>1692.5197067368224</v>
      </c>
      <c r="H112" s="676">
        <f t="shared" si="39"/>
        <v>1666.9339203879388</v>
      </c>
      <c r="I112" s="676">
        <f t="shared" si="39"/>
        <v>1647.7816945449745</v>
      </c>
      <c r="J112" s="676">
        <f t="shared" si="39"/>
        <v>1622.5487612370466</v>
      </c>
      <c r="K112" s="676">
        <f t="shared" si="39"/>
        <v>1582.7788414961647</v>
      </c>
      <c r="L112" s="676">
        <f t="shared" si="39"/>
        <v>1542.4347347474536</v>
      </c>
    </row>
    <row r="113" spans="1:12">
      <c r="A113" s="302"/>
      <c r="B113" s="676" t="s">
        <v>1754</v>
      </c>
      <c r="C113" s="676">
        <f t="shared" ref="C113:L113" si="40">((C68+C79+C90)/100)*C112</f>
        <v>230.71377737569154</v>
      </c>
      <c r="D113" s="676">
        <f t="shared" si="40"/>
        <v>226.8766863672852</v>
      </c>
      <c r="E113" s="676">
        <f t="shared" si="40"/>
        <v>231.75896019727432</v>
      </c>
      <c r="F113" s="676">
        <f t="shared" si="40"/>
        <v>237.35304174372914</v>
      </c>
      <c r="G113" s="676">
        <f t="shared" si="40"/>
        <v>241.56111302040796</v>
      </c>
      <c r="H113" s="676">
        <f t="shared" si="40"/>
        <v>237.90943853571039</v>
      </c>
      <c r="I113" s="676">
        <f t="shared" si="40"/>
        <v>235.1759796737368</v>
      </c>
      <c r="J113" s="676">
        <f t="shared" si="40"/>
        <v>231.57466535498983</v>
      </c>
      <c r="K113" s="676">
        <f t="shared" si="40"/>
        <v>225.89859196033387</v>
      </c>
      <c r="L113" s="676">
        <f t="shared" si="40"/>
        <v>220.14056900128531</v>
      </c>
    </row>
    <row r="114" spans="1:12">
      <c r="A114" s="302"/>
      <c r="B114" s="676" t="s">
        <v>1755</v>
      </c>
      <c r="C114" s="676">
        <f t="shared" ref="C114:L114" si="41">((C67+C78+C89)/100)*C112</f>
        <v>1385.8030946551976</v>
      </c>
      <c r="D114" s="676">
        <f t="shared" si="41"/>
        <v>1362.7552617324839</v>
      </c>
      <c r="E114" s="676">
        <f t="shared" si="41"/>
        <v>1392.0810794600291</v>
      </c>
      <c r="F114" s="676">
        <f t="shared" si="41"/>
        <v>1425.6824343813128</v>
      </c>
      <c r="G114" s="676">
        <f t="shared" si="41"/>
        <v>1450.9585937164145</v>
      </c>
      <c r="H114" s="676">
        <f t="shared" si="41"/>
        <v>1429.0244818522285</v>
      </c>
      <c r="I114" s="676">
        <f t="shared" si="41"/>
        <v>1412.6057148712378</v>
      </c>
      <c r="J114" s="676">
        <f t="shared" si="41"/>
        <v>1390.9740958820569</v>
      </c>
      <c r="K114" s="676">
        <f t="shared" si="41"/>
        <v>1356.8802495358309</v>
      </c>
      <c r="L114" s="676">
        <f t="shared" si="41"/>
        <v>1322.2941657461683</v>
      </c>
    </row>
    <row r="115" spans="1:12">
      <c r="A115" s="302"/>
      <c r="B115" s="676" t="s">
        <v>855</v>
      </c>
      <c r="C115" s="676">
        <f>C113*$C$39</f>
        <v>144.19611085980722</v>
      </c>
      <c r="D115" s="676">
        <f t="shared" ref="D115:L115" si="42">D113*$C$39</f>
        <v>141.79792897955326</v>
      </c>
      <c r="E115" s="676">
        <f t="shared" si="42"/>
        <v>144.84935012329646</v>
      </c>
      <c r="F115" s="676">
        <f t="shared" si="42"/>
        <v>148.34565108983071</v>
      </c>
      <c r="G115" s="676">
        <f t="shared" si="42"/>
        <v>150.97569563775497</v>
      </c>
      <c r="H115" s="676">
        <f t="shared" si="42"/>
        <v>148.69339908481899</v>
      </c>
      <c r="I115" s="676">
        <f t="shared" si="42"/>
        <v>146.98498729608551</v>
      </c>
      <c r="J115" s="676">
        <f t="shared" si="42"/>
        <v>144.73416584686865</v>
      </c>
      <c r="K115" s="676">
        <f t="shared" si="42"/>
        <v>141.18661997520866</v>
      </c>
      <c r="L115" s="676">
        <f t="shared" si="42"/>
        <v>137.58785562580331</v>
      </c>
    </row>
    <row r="116" spans="1:12">
      <c r="A116" s="302"/>
      <c r="B116" s="676" t="s">
        <v>856</v>
      </c>
      <c r="C116" s="676">
        <f>C114</f>
        <v>1385.8030946551976</v>
      </c>
      <c r="D116" s="676">
        <f t="shared" ref="D116:L116" si="43">D114</f>
        <v>1362.7552617324839</v>
      </c>
      <c r="E116" s="676">
        <f t="shared" si="43"/>
        <v>1392.0810794600291</v>
      </c>
      <c r="F116" s="676">
        <f t="shared" si="43"/>
        <v>1425.6824343813128</v>
      </c>
      <c r="G116" s="676">
        <f t="shared" si="43"/>
        <v>1450.9585937164145</v>
      </c>
      <c r="H116" s="676">
        <f t="shared" si="43"/>
        <v>1429.0244818522285</v>
      </c>
      <c r="I116" s="676">
        <f t="shared" si="43"/>
        <v>1412.6057148712378</v>
      </c>
      <c r="J116" s="676">
        <f t="shared" si="43"/>
        <v>1390.9740958820569</v>
      </c>
      <c r="K116" s="676">
        <f t="shared" si="43"/>
        <v>1356.8802495358309</v>
      </c>
      <c r="L116" s="676">
        <f t="shared" si="43"/>
        <v>1322.2941657461683</v>
      </c>
    </row>
    <row r="117" spans="1:12">
      <c r="A117" s="302"/>
      <c r="B117" s="676" t="s">
        <v>746</v>
      </c>
      <c r="C117" s="676">
        <f>C116+C115</f>
        <v>1529.9992055150049</v>
      </c>
      <c r="D117" s="676">
        <f t="shared" ref="D117:L117" si="44">D116+D115</f>
        <v>1504.5531907120371</v>
      </c>
      <c r="E117" s="676">
        <f t="shared" si="44"/>
        <v>1536.9304295833256</v>
      </c>
      <c r="F117" s="676">
        <f t="shared" si="44"/>
        <v>1574.0280854711434</v>
      </c>
      <c r="G117" s="676">
        <f t="shared" si="44"/>
        <v>1601.9342893541696</v>
      </c>
      <c r="H117" s="676">
        <f t="shared" si="44"/>
        <v>1577.7178809370475</v>
      </c>
      <c r="I117" s="676">
        <f t="shared" si="44"/>
        <v>1559.5907021673233</v>
      </c>
      <c r="J117" s="676">
        <f t="shared" si="44"/>
        <v>1535.7082617289254</v>
      </c>
      <c r="K117" s="676">
        <f t="shared" si="44"/>
        <v>1498.0668695110396</v>
      </c>
      <c r="L117" s="676">
        <f t="shared" si="44"/>
        <v>1459.8820213719716</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row r="233" spans="1:12">
      <c r="A233" s="302"/>
      <c r="B233" s="302"/>
      <c r="C233" s="302"/>
      <c r="D233" s="302"/>
      <c r="E233" s="302"/>
      <c r="F233" s="302"/>
      <c r="G233" s="302"/>
      <c r="H233" s="302"/>
      <c r="I233" s="302"/>
      <c r="J233" s="302"/>
      <c r="K233" s="302"/>
      <c r="L233" s="302"/>
    </row>
    <row r="234" spans="1:12">
      <c r="A234" s="302"/>
      <c r="B234" s="302"/>
      <c r="C234" s="302"/>
      <c r="D234" s="302"/>
      <c r="E234" s="302"/>
      <c r="F234" s="302"/>
      <c r="G234" s="302"/>
      <c r="H234" s="302"/>
      <c r="I234" s="302"/>
      <c r="J234" s="302"/>
      <c r="K234" s="302"/>
      <c r="L234" s="302"/>
    </row>
    <row r="235" spans="1:12">
      <c r="A235" s="302"/>
      <c r="B235" s="302"/>
      <c r="C235" s="302"/>
      <c r="D235" s="302"/>
      <c r="E235" s="302"/>
      <c r="F235" s="302"/>
      <c r="G235" s="302"/>
      <c r="H235" s="302"/>
      <c r="I235" s="302"/>
      <c r="J235" s="302"/>
      <c r="K235" s="302"/>
      <c r="L235" s="302"/>
    </row>
    <row r="236" spans="1:12">
      <c r="A236" s="302"/>
      <c r="B236" s="302"/>
      <c r="C236" s="302"/>
      <c r="D236" s="302"/>
      <c r="E236" s="302"/>
      <c r="F236" s="302"/>
      <c r="G236" s="302"/>
      <c r="H236" s="302"/>
      <c r="I236" s="302"/>
      <c r="J236" s="302"/>
      <c r="K236" s="302"/>
      <c r="L236" s="302"/>
    </row>
    <row r="237" spans="1:12">
      <c r="A237" s="302"/>
      <c r="B237" s="302"/>
      <c r="C237" s="302"/>
      <c r="D237" s="302"/>
      <c r="E237" s="302"/>
      <c r="F237" s="302"/>
      <c r="G237" s="302"/>
      <c r="H237" s="302"/>
      <c r="I237" s="302"/>
      <c r="J237" s="302"/>
      <c r="K237" s="302"/>
      <c r="L237" s="302"/>
    </row>
    <row r="238" spans="1:12">
      <c r="A238" s="302"/>
      <c r="B238" s="302"/>
      <c r="C238" s="302"/>
      <c r="D238" s="302"/>
      <c r="E238" s="302"/>
      <c r="F238" s="302"/>
      <c r="G238" s="302"/>
      <c r="H238" s="302"/>
      <c r="I238" s="302"/>
      <c r="J238" s="302"/>
      <c r="K238" s="302"/>
      <c r="L238" s="302"/>
    </row>
    <row r="239" spans="1:12">
      <c r="A239" s="302"/>
      <c r="B239" s="302"/>
      <c r="C239" s="302"/>
      <c r="D239" s="302"/>
      <c r="E239" s="302"/>
      <c r="F239" s="302"/>
      <c r="G239" s="302"/>
      <c r="H239" s="302"/>
      <c r="I239" s="302"/>
      <c r="J239" s="302"/>
      <c r="K239" s="302"/>
      <c r="L239" s="302"/>
    </row>
    <row r="240" spans="1:12">
      <c r="A240" s="302"/>
      <c r="B240" s="302"/>
      <c r="C240" s="302"/>
      <c r="D240" s="302"/>
      <c r="E240" s="302"/>
      <c r="F240" s="302"/>
      <c r="G240" s="302"/>
      <c r="H240" s="302"/>
      <c r="I240" s="302"/>
      <c r="J240" s="302"/>
      <c r="K240" s="302"/>
      <c r="L240" s="302"/>
    </row>
    <row r="241" spans="1:12">
      <c r="A241" s="302"/>
      <c r="B241" s="302"/>
      <c r="C241" s="302"/>
      <c r="D241" s="302"/>
      <c r="E241" s="302"/>
      <c r="F241" s="302"/>
      <c r="G241" s="302"/>
      <c r="H241" s="302"/>
      <c r="I241" s="302"/>
      <c r="J241" s="302"/>
      <c r="K241" s="302"/>
      <c r="L241" s="302"/>
    </row>
    <row r="242" spans="1:12">
      <c r="A242" s="302"/>
      <c r="B242" s="302"/>
      <c r="C242" s="302"/>
      <c r="D242" s="302"/>
      <c r="E242" s="302"/>
      <c r="F242" s="302"/>
      <c r="G242" s="302"/>
      <c r="H242" s="302"/>
      <c r="I242" s="302"/>
      <c r="J242" s="302"/>
      <c r="K242" s="302"/>
      <c r="L242" s="302"/>
    </row>
    <row r="243" spans="1:12">
      <c r="A243" s="302"/>
      <c r="B243" s="302"/>
      <c r="C243" s="302"/>
      <c r="D243" s="302"/>
      <c r="E243" s="302"/>
      <c r="F243" s="302"/>
      <c r="G243" s="302"/>
      <c r="H243" s="302"/>
      <c r="I243" s="302"/>
      <c r="J243" s="302"/>
      <c r="K243" s="302"/>
      <c r="L243" s="302"/>
    </row>
    <row r="244" spans="1:12">
      <c r="A244" s="302"/>
      <c r="B244" s="302"/>
      <c r="C244" s="302"/>
      <c r="D244" s="302"/>
      <c r="E244" s="302"/>
      <c r="F244" s="302"/>
      <c r="G244" s="302"/>
      <c r="H244" s="302"/>
      <c r="I244" s="302"/>
      <c r="J244" s="302"/>
      <c r="K244" s="302"/>
      <c r="L244" s="302"/>
    </row>
    <row r="245" spans="1:12">
      <c r="A245" s="302"/>
      <c r="B245" s="302"/>
      <c r="C245" s="302"/>
      <c r="D245" s="302"/>
      <c r="E245" s="302"/>
      <c r="F245" s="302"/>
      <c r="G245" s="302"/>
      <c r="H245" s="302"/>
      <c r="I245" s="302"/>
      <c r="J245" s="302"/>
      <c r="K245" s="302"/>
      <c r="L245" s="302"/>
    </row>
    <row r="246" spans="1:12">
      <c r="A246" s="302"/>
      <c r="B246" s="302"/>
      <c r="C246" s="302"/>
      <c r="D246" s="302"/>
      <c r="E246" s="302"/>
      <c r="F246" s="302"/>
      <c r="G246" s="302"/>
      <c r="H246" s="302"/>
      <c r="I246" s="302"/>
      <c r="J246" s="302"/>
      <c r="K246" s="302"/>
      <c r="L246" s="302"/>
    </row>
    <row r="247" spans="1:12">
      <c r="A247" s="302"/>
      <c r="B247" s="302"/>
      <c r="C247" s="302"/>
      <c r="D247" s="302"/>
      <c r="E247" s="302"/>
      <c r="F247" s="302"/>
      <c r="G247" s="302"/>
      <c r="H247" s="302"/>
      <c r="I247" s="302"/>
      <c r="J247" s="302"/>
      <c r="K247" s="302"/>
      <c r="L247" s="302"/>
    </row>
    <row r="248" spans="1:12">
      <c r="A248" s="302"/>
      <c r="B248" s="302"/>
      <c r="C248" s="302"/>
      <c r="D248" s="302"/>
      <c r="E248" s="302"/>
      <c r="F248" s="302"/>
      <c r="G248" s="302"/>
      <c r="H248" s="302"/>
      <c r="I248" s="302"/>
      <c r="J248" s="302"/>
      <c r="K248" s="302"/>
      <c r="L248" s="302"/>
    </row>
    <row r="249" spans="1:12">
      <c r="A249" s="302"/>
      <c r="B249" s="302"/>
      <c r="C249" s="302"/>
      <c r="D249" s="302"/>
      <c r="E249" s="302"/>
      <c r="F249" s="302"/>
      <c r="G249" s="302"/>
      <c r="H249" s="302"/>
      <c r="I249" s="302"/>
      <c r="J249" s="302"/>
      <c r="K249" s="302"/>
      <c r="L249" s="302"/>
    </row>
    <row r="250" spans="1:12">
      <c r="A250" s="302"/>
      <c r="B250" s="302"/>
      <c r="C250" s="302"/>
      <c r="D250" s="302"/>
      <c r="E250" s="302"/>
      <c r="F250" s="302"/>
      <c r="G250" s="302"/>
      <c r="H250" s="302"/>
      <c r="I250" s="302"/>
      <c r="J250" s="302"/>
      <c r="K250" s="302"/>
      <c r="L250" s="302"/>
    </row>
    <row r="251" spans="1:12">
      <c r="A251" s="302"/>
      <c r="B251" s="302"/>
      <c r="C251" s="302"/>
      <c r="D251" s="302"/>
      <c r="E251" s="302"/>
      <c r="F251" s="302"/>
      <c r="G251" s="302"/>
      <c r="H251" s="302"/>
      <c r="I251" s="302"/>
      <c r="J251" s="302"/>
      <c r="K251" s="302"/>
      <c r="L251" s="302"/>
    </row>
    <row r="252" spans="1:12">
      <c r="A252" s="302"/>
      <c r="B252" s="302"/>
      <c r="C252" s="302"/>
      <c r="D252" s="302"/>
      <c r="E252" s="302"/>
      <c r="F252" s="302"/>
      <c r="G252" s="302"/>
      <c r="H252" s="302"/>
      <c r="I252" s="302"/>
      <c r="J252" s="302"/>
      <c r="K252" s="302"/>
      <c r="L252" s="302"/>
    </row>
    <row r="253" spans="1:12">
      <c r="A253" s="302"/>
      <c r="B253" s="302"/>
      <c r="C253" s="302"/>
      <c r="D253" s="302"/>
      <c r="E253" s="302"/>
      <c r="F253" s="302"/>
      <c r="G253" s="302"/>
      <c r="H253" s="302"/>
      <c r="I253" s="302"/>
      <c r="J253" s="302"/>
      <c r="K253" s="302"/>
      <c r="L253" s="302"/>
    </row>
    <row r="254" spans="1:12">
      <c r="A254" s="302"/>
      <c r="B254" s="302"/>
      <c r="C254" s="302"/>
      <c r="D254" s="302"/>
      <c r="E254" s="302"/>
      <c r="F254" s="302"/>
      <c r="G254" s="302"/>
      <c r="H254" s="302"/>
      <c r="I254" s="302"/>
      <c r="J254" s="302"/>
      <c r="K254" s="302"/>
      <c r="L254" s="302"/>
    </row>
    <row r="255" spans="1:12">
      <c r="A255" s="302"/>
      <c r="B255" s="302"/>
      <c r="C255" s="302"/>
      <c r="D255" s="302"/>
      <c r="E255" s="302"/>
      <c r="F255" s="302"/>
      <c r="G255" s="302"/>
      <c r="H255" s="302"/>
      <c r="I255" s="302"/>
      <c r="J255" s="302"/>
      <c r="K255" s="302"/>
      <c r="L255" s="302"/>
    </row>
    <row r="256" spans="1:12">
      <c r="A256" s="302"/>
      <c r="B256" s="302"/>
      <c r="C256" s="302"/>
      <c r="D256" s="302"/>
      <c r="E256" s="302"/>
      <c r="F256" s="302"/>
      <c r="G256" s="302"/>
      <c r="H256" s="302"/>
      <c r="I256" s="302"/>
      <c r="J256" s="302"/>
      <c r="K256" s="302"/>
      <c r="L256" s="302"/>
    </row>
    <row r="257" spans="1:12">
      <c r="A257" s="302"/>
      <c r="B257" s="302"/>
      <c r="C257" s="302"/>
      <c r="D257" s="302"/>
      <c r="E257" s="302"/>
      <c r="F257" s="302"/>
      <c r="G257" s="302"/>
      <c r="H257" s="302"/>
      <c r="I257" s="302"/>
      <c r="J257" s="302"/>
      <c r="K257" s="302"/>
      <c r="L257" s="302"/>
    </row>
    <row r="258" spans="1:12">
      <c r="A258" s="302"/>
      <c r="B258" s="302"/>
      <c r="C258" s="302"/>
      <c r="D258" s="302"/>
      <c r="E258" s="302"/>
      <c r="F258" s="302"/>
      <c r="G258" s="302"/>
      <c r="H258" s="302"/>
      <c r="I258" s="302"/>
      <c r="J258" s="302"/>
      <c r="K258" s="302"/>
      <c r="L258" s="302"/>
    </row>
    <row r="259" spans="1:12">
      <c r="A259" s="302"/>
      <c r="B259" s="302"/>
      <c r="C259" s="302"/>
      <c r="D259" s="302"/>
      <c r="E259" s="302"/>
      <c r="F259" s="302"/>
      <c r="G259" s="302"/>
      <c r="H259" s="302"/>
      <c r="I259" s="302"/>
      <c r="J259" s="302"/>
      <c r="K259" s="302"/>
      <c r="L259" s="302"/>
    </row>
    <row r="260" spans="1:12">
      <c r="A260" s="302"/>
      <c r="B260" s="302"/>
      <c r="C260" s="302"/>
      <c r="D260" s="302"/>
      <c r="E260" s="302"/>
      <c r="F260" s="302"/>
      <c r="G260" s="302"/>
      <c r="H260" s="302"/>
      <c r="I260" s="302"/>
      <c r="J260" s="302"/>
      <c r="K260" s="302"/>
      <c r="L260" s="302"/>
    </row>
    <row r="261" spans="1:12">
      <c r="A261" s="302"/>
      <c r="B261" s="302"/>
      <c r="C261" s="302"/>
      <c r="D261" s="302"/>
      <c r="E261" s="302"/>
      <c r="F261" s="302"/>
      <c r="G261" s="302"/>
      <c r="H261" s="302"/>
      <c r="I261" s="302"/>
      <c r="J261" s="302"/>
      <c r="K261" s="302"/>
      <c r="L261" s="302"/>
    </row>
    <row r="262" spans="1:12">
      <c r="A262" s="302"/>
      <c r="B262" s="302"/>
      <c r="C262" s="302"/>
      <c r="D262" s="302"/>
      <c r="E262" s="302"/>
      <c r="F262" s="302"/>
      <c r="G262" s="302"/>
      <c r="H262" s="302"/>
      <c r="I262" s="302"/>
      <c r="J262" s="302"/>
      <c r="K262" s="302"/>
      <c r="L262" s="302"/>
    </row>
    <row r="263" spans="1:12">
      <c r="A263" s="302"/>
      <c r="B263" s="302"/>
      <c r="C263" s="302"/>
      <c r="D263" s="302"/>
      <c r="E263" s="302"/>
      <c r="F263" s="302"/>
      <c r="G263" s="302"/>
      <c r="H263" s="302"/>
      <c r="I263" s="302"/>
      <c r="J263" s="302"/>
      <c r="K263" s="302"/>
      <c r="L263" s="302"/>
    </row>
    <row r="264" spans="1:12">
      <c r="A264" s="302"/>
      <c r="B264" s="302"/>
      <c r="C264" s="302"/>
      <c r="D264" s="302"/>
      <c r="E264" s="302"/>
      <c r="F264" s="302"/>
      <c r="G264" s="302"/>
      <c r="H264" s="302"/>
      <c r="I264" s="302"/>
      <c r="J264" s="302"/>
      <c r="K264" s="302"/>
      <c r="L264" s="302"/>
    </row>
    <row r="265" spans="1:12">
      <c r="A265" s="302"/>
      <c r="B265" s="302"/>
      <c r="C265" s="302"/>
      <c r="D265" s="302"/>
      <c r="E265" s="302"/>
      <c r="F265" s="302"/>
      <c r="G265" s="302"/>
      <c r="H265" s="302"/>
      <c r="I265" s="302"/>
      <c r="J265" s="302"/>
      <c r="K265" s="302"/>
      <c r="L265" s="302"/>
    </row>
    <row r="266" spans="1:12">
      <c r="A266" s="302"/>
      <c r="B266" s="302"/>
      <c r="C266" s="302"/>
      <c r="D266" s="302"/>
      <c r="E266" s="302"/>
      <c r="F266" s="302"/>
      <c r="G266" s="302"/>
      <c r="H266" s="302"/>
      <c r="I266" s="302"/>
      <c r="J266" s="302"/>
      <c r="K266" s="302"/>
      <c r="L266" s="302"/>
    </row>
    <row r="267" spans="1:12">
      <c r="A267" s="302"/>
      <c r="B267" s="302"/>
      <c r="C267" s="302"/>
      <c r="D267" s="302"/>
      <c r="E267" s="302"/>
      <c r="F267" s="302"/>
      <c r="G267" s="302"/>
      <c r="H267" s="302"/>
      <c r="I267" s="302"/>
      <c r="J267" s="302"/>
      <c r="K267" s="302"/>
      <c r="L267" s="302"/>
    </row>
    <row r="268" spans="1:12">
      <c r="A268" s="302"/>
      <c r="B268" s="302"/>
      <c r="C268" s="302"/>
      <c r="D268" s="302"/>
      <c r="E268" s="302"/>
      <c r="F268" s="302"/>
      <c r="G268" s="302"/>
      <c r="H268" s="302"/>
      <c r="I268" s="302"/>
      <c r="J268" s="302"/>
      <c r="K268" s="302"/>
      <c r="L268" s="302"/>
    </row>
    <row r="269" spans="1:12">
      <c r="A269" s="302"/>
      <c r="B269" s="302"/>
      <c r="C269" s="302"/>
      <c r="D269" s="302"/>
      <c r="E269" s="302"/>
      <c r="F269" s="302"/>
      <c r="G269" s="302"/>
      <c r="H269" s="302"/>
      <c r="I269" s="302"/>
      <c r="J269" s="302"/>
      <c r="K269" s="302"/>
      <c r="L269" s="302"/>
    </row>
    <row r="270" spans="1:12">
      <c r="A270" s="302"/>
      <c r="B270" s="302"/>
      <c r="C270" s="302"/>
      <c r="D270" s="302"/>
      <c r="E270" s="302"/>
      <c r="F270" s="302"/>
      <c r="G270" s="302"/>
      <c r="H270" s="302"/>
      <c r="I270" s="302"/>
      <c r="J270" s="302"/>
      <c r="K270" s="302"/>
      <c r="L270" s="302"/>
    </row>
    <row r="271" spans="1:12">
      <c r="A271" s="302"/>
      <c r="B271" s="302"/>
      <c r="C271" s="302"/>
      <c r="D271" s="302"/>
      <c r="E271" s="302"/>
      <c r="F271" s="302"/>
      <c r="G271" s="302"/>
      <c r="H271" s="302"/>
      <c r="I271" s="302"/>
      <c r="J271" s="302"/>
      <c r="K271" s="302"/>
      <c r="L271" s="302"/>
    </row>
    <row r="272" spans="1:12">
      <c r="A272" s="302"/>
      <c r="B272" s="302"/>
      <c r="C272" s="302"/>
      <c r="D272" s="302"/>
      <c r="E272" s="302"/>
      <c r="F272" s="302"/>
      <c r="G272" s="302"/>
      <c r="H272" s="302"/>
      <c r="I272" s="302"/>
      <c r="J272" s="302"/>
      <c r="K272" s="302"/>
      <c r="L272" s="302"/>
    </row>
    <row r="273" spans="1:12">
      <c r="A273" s="302"/>
      <c r="B273" s="302"/>
      <c r="C273" s="302"/>
      <c r="D273" s="302"/>
      <c r="E273" s="302"/>
      <c r="F273" s="302"/>
      <c r="G273" s="302"/>
      <c r="H273" s="302"/>
      <c r="I273" s="302"/>
      <c r="J273" s="302"/>
      <c r="K273" s="302"/>
      <c r="L273" s="302"/>
    </row>
    <row r="274" spans="1:12">
      <c r="A274" s="302"/>
      <c r="B274" s="302"/>
      <c r="C274" s="302"/>
      <c r="D274" s="302"/>
      <c r="E274" s="302"/>
      <c r="F274" s="302"/>
      <c r="G274" s="302"/>
      <c r="H274" s="302"/>
      <c r="I274" s="302"/>
      <c r="J274" s="302"/>
      <c r="K274" s="302"/>
      <c r="L274" s="302"/>
    </row>
    <row r="275" spans="1:12">
      <c r="A275" s="302"/>
      <c r="B275" s="302"/>
      <c r="C275" s="302"/>
      <c r="D275" s="302"/>
      <c r="E275" s="302"/>
      <c r="F275" s="302"/>
      <c r="G275" s="302"/>
      <c r="H275" s="302"/>
      <c r="I275" s="302"/>
      <c r="J275" s="302"/>
      <c r="K275" s="302"/>
      <c r="L275" s="302"/>
    </row>
    <row r="276" spans="1:12">
      <c r="A276" s="302"/>
      <c r="B276" s="302"/>
      <c r="C276" s="302"/>
      <c r="D276" s="302"/>
      <c r="E276" s="302"/>
      <c r="F276" s="302"/>
      <c r="G276" s="302"/>
      <c r="H276" s="302"/>
      <c r="I276" s="302"/>
      <c r="J276" s="302"/>
      <c r="K276" s="302"/>
      <c r="L276" s="302"/>
    </row>
    <row r="277" spans="1:12">
      <c r="A277" s="302"/>
      <c r="B277" s="302"/>
      <c r="C277" s="302"/>
      <c r="D277" s="302"/>
      <c r="E277" s="302"/>
      <c r="F277" s="302"/>
      <c r="G277" s="302"/>
      <c r="H277" s="302"/>
      <c r="I277" s="302"/>
      <c r="J277" s="302"/>
      <c r="K277" s="302"/>
      <c r="L277" s="302"/>
    </row>
    <row r="278" spans="1:12">
      <c r="A278" s="302"/>
      <c r="B278" s="302"/>
      <c r="C278" s="302"/>
      <c r="D278" s="302"/>
      <c r="E278" s="302"/>
      <c r="F278" s="302"/>
      <c r="G278" s="302"/>
      <c r="H278" s="302"/>
      <c r="I278" s="302"/>
      <c r="J278" s="302"/>
      <c r="K278" s="302"/>
      <c r="L278" s="302"/>
    </row>
    <row r="279" spans="1:12">
      <c r="A279" s="302"/>
      <c r="B279" s="302"/>
      <c r="C279" s="302"/>
      <c r="D279" s="302"/>
      <c r="E279" s="302"/>
      <c r="F279" s="302"/>
      <c r="G279" s="302"/>
      <c r="H279" s="302"/>
      <c r="I279" s="302"/>
      <c r="J279" s="302"/>
      <c r="K279" s="302"/>
      <c r="L279" s="302"/>
    </row>
    <row r="280" spans="1:12">
      <c r="A280" s="302"/>
      <c r="B280" s="302"/>
      <c r="C280" s="302"/>
      <c r="D280" s="302"/>
      <c r="E280" s="302"/>
      <c r="F280" s="302"/>
      <c r="G280" s="302"/>
      <c r="H280" s="302"/>
      <c r="I280" s="302"/>
      <c r="J280" s="302"/>
      <c r="K280" s="302"/>
      <c r="L280" s="302"/>
    </row>
    <row r="281" spans="1:12">
      <c r="A281" s="302"/>
      <c r="B281" s="302"/>
      <c r="C281" s="302"/>
      <c r="D281" s="302"/>
      <c r="E281" s="302"/>
      <c r="F281" s="302"/>
      <c r="G281" s="302"/>
      <c r="H281" s="302"/>
      <c r="I281" s="302"/>
      <c r="J281" s="302"/>
      <c r="K281" s="302"/>
      <c r="L281" s="302"/>
    </row>
    <row r="282" spans="1:12">
      <c r="A282" s="302"/>
      <c r="B282" s="302"/>
      <c r="C282" s="302"/>
      <c r="D282" s="302"/>
      <c r="E282" s="302"/>
      <c r="F282" s="302"/>
      <c r="G282" s="302"/>
      <c r="H282" s="302"/>
      <c r="I282" s="302"/>
      <c r="J282" s="302"/>
      <c r="K282" s="302"/>
      <c r="L282" s="302"/>
    </row>
    <row r="283" spans="1:12">
      <c r="A283" s="302"/>
      <c r="B283" s="302"/>
      <c r="C283" s="302"/>
      <c r="D283" s="302"/>
      <c r="E283" s="302"/>
      <c r="F283" s="302"/>
      <c r="G283" s="302"/>
      <c r="H283" s="302"/>
      <c r="I283" s="302"/>
      <c r="J283" s="302"/>
      <c r="K283" s="302"/>
      <c r="L283" s="302"/>
    </row>
    <row r="284" spans="1:12">
      <c r="A284" s="302"/>
      <c r="B284" s="302"/>
      <c r="C284" s="302"/>
      <c r="D284" s="302"/>
      <c r="E284" s="302"/>
      <c r="F284" s="302"/>
      <c r="G284" s="302"/>
      <c r="H284" s="302"/>
      <c r="I284" s="302"/>
      <c r="J284" s="302"/>
      <c r="K284" s="302"/>
      <c r="L284" s="302"/>
    </row>
    <row r="285" spans="1:12">
      <c r="A285" s="302"/>
      <c r="B285" s="302"/>
      <c r="C285" s="302"/>
      <c r="D285" s="302"/>
      <c r="E285" s="302"/>
      <c r="F285" s="302"/>
      <c r="G285" s="302"/>
      <c r="H285" s="302"/>
      <c r="I285" s="302"/>
      <c r="J285" s="302"/>
      <c r="K285" s="302"/>
      <c r="L285" s="302"/>
    </row>
    <row r="286" spans="1:12">
      <c r="A286" s="302"/>
      <c r="B286" s="302"/>
      <c r="C286" s="302"/>
      <c r="D286" s="302"/>
      <c r="E286" s="302"/>
      <c r="F286" s="302"/>
      <c r="G286" s="302"/>
      <c r="H286" s="302"/>
      <c r="I286" s="302"/>
      <c r="J286" s="302"/>
      <c r="K286" s="302"/>
      <c r="L286" s="302"/>
    </row>
    <row r="287" spans="1:12">
      <c r="A287" s="302"/>
      <c r="B287" s="302"/>
      <c r="C287" s="302"/>
      <c r="D287" s="302"/>
      <c r="E287" s="302"/>
      <c r="F287" s="302"/>
      <c r="G287" s="302"/>
      <c r="H287" s="302"/>
      <c r="I287" s="302"/>
      <c r="J287" s="302"/>
      <c r="K287" s="302"/>
      <c r="L287" s="302"/>
    </row>
    <row r="288" spans="1:12">
      <c r="A288" s="302"/>
      <c r="B288" s="302"/>
      <c r="C288" s="302"/>
      <c r="D288" s="302"/>
      <c r="E288" s="302"/>
      <c r="F288" s="302"/>
      <c r="G288" s="302"/>
      <c r="H288" s="302"/>
      <c r="I288" s="302"/>
      <c r="J288" s="302"/>
      <c r="K288" s="302"/>
      <c r="L288" s="302"/>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2"/>
  <sheetViews>
    <sheetView showGridLines="0" workbookViewId="0"/>
  </sheetViews>
  <sheetFormatPr defaultRowHeight="12.75"/>
  <cols>
    <col min="2" max="2" width="40.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6" customHeight="1">
      <c r="A5" s="1168" t="s">
        <v>773</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SUM(A12:A1641)</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OUTPUTS_FOR_SECTION_2_OF_MODEL!B67</f>
        <v>Business Studies</v>
      </c>
      <c r="C15" s="300">
        <f>OUTPUTS_FOR_SECTION_2_OF_MODEL!E67</f>
        <v>356.13893037343132</v>
      </c>
      <c r="D15" s="300">
        <f>OUTPUTS_FOR_SECTION_2_OF_MODEL!F67</f>
        <v>396.84543079395735</v>
      </c>
      <c r="E15" s="300">
        <f>OUTPUTS_FOR_SECTION_2_OF_MODEL!G67</f>
        <v>418.28067325923951</v>
      </c>
      <c r="F15" s="300">
        <f>OUTPUTS_FOR_SECTION_2_OF_MODEL!H67</f>
        <v>445.65230907873359</v>
      </c>
      <c r="G15" s="300">
        <f>OUTPUTS_FOR_SECTION_2_OF_MODEL!I67</f>
        <v>455.1496460672837</v>
      </c>
      <c r="H15" s="300">
        <f>OUTPUTS_FOR_SECTION_2_OF_MODEL!J67</f>
        <v>482.04819396629557</v>
      </c>
      <c r="I15" s="300">
        <f>OUTPUTS_FOR_SECTION_2_OF_MODEL!K67</f>
        <v>486.91858506129347</v>
      </c>
      <c r="J15" s="300">
        <f>OUTPUTS_FOR_SECTION_2_OF_MODEL!L67</f>
        <v>486.58542683867825</v>
      </c>
      <c r="K15" s="300">
        <f>OUTPUTS_FOR_SECTION_2_OF_MODEL!M67</f>
        <v>459.06752555166088</v>
      </c>
      <c r="L15" s="300">
        <f>OUTPUTS_FOR_SECTION_2_OF_MODEL!N67</f>
        <v>428.65506057230527</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331.5653441776646</v>
      </c>
      <c r="D44" s="447">
        <f t="shared" si="4"/>
        <v>369.4630960691743</v>
      </c>
      <c r="E44" s="447">
        <f t="shared" si="4"/>
        <v>389.419306804352</v>
      </c>
      <c r="F44" s="447">
        <f t="shared" si="4"/>
        <v>414.90229975230102</v>
      </c>
      <c r="G44" s="447">
        <f t="shared" si="4"/>
        <v>423.74432048864116</v>
      </c>
      <c r="H44" s="447">
        <f t="shared" si="4"/>
        <v>448.7868685826212</v>
      </c>
      <c r="I44" s="447">
        <f t="shared" si="4"/>
        <v>453.32120269206422</v>
      </c>
      <c r="J44" s="447">
        <f t="shared" si="4"/>
        <v>453.01103238680946</v>
      </c>
      <c r="K44" s="447">
        <f t="shared" si="4"/>
        <v>427.3918662885963</v>
      </c>
      <c r="L44" s="447">
        <f t="shared" si="4"/>
        <v>399.0778613928162</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3.5031454337488355</v>
      </c>
      <c r="D58" s="447">
        <f t="shared" ref="D58:L58" si="7">D44/$J$51</f>
        <v>3.9035531929413949</v>
      </c>
      <c r="E58" s="447">
        <f t="shared" si="7"/>
        <v>4.1144000433118828</v>
      </c>
      <c r="F58" s="447">
        <f t="shared" si="7"/>
        <v>4.3836399742982373</v>
      </c>
      <c r="G58" s="447">
        <f t="shared" si="7"/>
        <v>4.4770601254435425</v>
      </c>
      <c r="H58" s="447">
        <f t="shared" si="7"/>
        <v>4.7416465472315021</v>
      </c>
      <c r="I58" s="447">
        <f t="shared" si="7"/>
        <v>4.7895539419864726</v>
      </c>
      <c r="J58" s="447">
        <f t="shared" si="7"/>
        <v>4.7862768453066842</v>
      </c>
      <c r="K58" s="447">
        <f t="shared" si="7"/>
        <v>4.5155981802731082</v>
      </c>
      <c r="L58" s="447">
        <f t="shared" si="7"/>
        <v>4.2164472626529426</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0">
        <f>100*C65</f>
        <v>12.684612446257185</v>
      </c>
      <c r="D66" s="670">
        <f t="shared" ref="D66:L66" si="10">100*D65</f>
        <v>12.684612446257185</v>
      </c>
      <c r="E66" s="670">
        <f t="shared" si="10"/>
        <v>12.684612446257185</v>
      </c>
      <c r="F66" s="670">
        <f t="shared" si="10"/>
        <v>12.684612446257185</v>
      </c>
      <c r="G66" s="670">
        <f t="shared" si="10"/>
        <v>12.684612446257185</v>
      </c>
      <c r="H66" s="670">
        <f t="shared" si="10"/>
        <v>12.684612446257185</v>
      </c>
      <c r="I66" s="670">
        <f t="shared" si="10"/>
        <v>12.684612446257185</v>
      </c>
      <c r="J66" s="670">
        <f t="shared" si="10"/>
        <v>12.684612446257185</v>
      </c>
      <c r="K66" s="670">
        <f t="shared" si="10"/>
        <v>12.684612446257185</v>
      </c>
      <c r="L66" s="670">
        <f t="shared" si="10"/>
        <v>12.684612446257185</v>
      </c>
    </row>
    <row r="67" spans="1:12">
      <c r="A67" s="302"/>
      <c r="B67" s="331" t="s">
        <v>755</v>
      </c>
      <c r="C67" s="670">
        <f>C66-C68</f>
        <v>10.772625816015474</v>
      </c>
      <c r="D67" s="670">
        <f t="shared" ref="D67:L67" si="11">D66-D68</f>
        <v>10.772625816015474</v>
      </c>
      <c r="E67" s="670">
        <f t="shared" si="11"/>
        <v>10.772625816015474</v>
      </c>
      <c r="F67" s="670">
        <f t="shared" si="11"/>
        <v>10.772625816015474</v>
      </c>
      <c r="G67" s="670">
        <f t="shared" si="11"/>
        <v>10.772625816015474</v>
      </c>
      <c r="H67" s="670">
        <f t="shared" si="11"/>
        <v>10.772625816015474</v>
      </c>
      <c r="I67" s="670">
        <f t="shared" si="11"/>
        <v>10.772625816015474</v>
      </c>
      <c r="J67" s="670">
        <f t="shared" si="11"/>
        <v>10.772625816015474</v>
      </c>
      <c r="K67" s="670">
        <f t="shared" si="11"/>
        <v>10.772625816015474</v>
      </c>
      <c r="L67" s="670">
        <f t="shared" si="11"/>
        <v>10.772625816015474</v>
      </c>
    </row>
    <row r="68" spans="1:12">
      <c r="A68" s="302"/>
      <c r="B68" s="331" t="s">
        <v>754</v>
      </c>
      <c r="C68" s="670">
        <f>C66*$C$33</f>
        <v>1.9119866302417126</v>
      </c>
      <c r="D68" s="670">
        <f t="shared" ref="D68:L68" si="12">D66*$C$33</f>
        <v>1.9119866302417126</v>
      </c>
      <c r="E68" s="670">
        <f t="shared" si="12"/>
        <v>1.9119866302417126</v>
      </c>
      <c r="F68" s="670">
        <f t="shared" si="12"/>
        <v>1.9119866302417126</v>
      </c>
      <c r="G68" s="670">
        <f t="shared" si="12"/>
        <v>1.9119866302417126</v>
      </c>
      <c r="H68" s="670">
        <f t="shared" si="12"/>
        <v>1.9119866302417126</v>
      </c>
      <c r="I68" s="670">
        <f t="shared" si="12"/>
        <v>1.9119866302417126</v>
      </c>
      <c r="J68" s="670">
        <f t="shared" si="12"/>
        <v>1.9119866302417126</v>
      </c>
      <c r="K68" s="670">
        <f t="shared" si="12"/>
        <v>1.9119866302417126</v>
      </c>
      <c r="L68" s="670">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0">
        <f>100*C76</f>
        <v>35.907502473279855</v>
      </c>
      <c r="D77" s="670">
        <f t="shared" ref="D77:L77" si="18">100*D76</f>
        <v>35.907502473279855</v>
      </c>
      <c r="E77" s="670">
        <f t="shared" si="18"/>
        <v>35.907502473279855</v>
      </c>
      <c r="F77" s="670">
        <f t="shared" si="18"/>
        <v>35.907502473279855</v>
      </c>
      <c r="G77" s="670">
        <f t="shared" si="18"/>
        <v>35.907502473279855</v>
      </c>
      <c r="H77" s="670">
        <f t="shared" si="18"/>
        <v>35.907502473279855</v>
      </c>
      <c r="I77" s="670">
        <f t="shared" si="18"/>
        <v>35.907502473279855</v>
      </c>
      <c r="J77" s="670">
        <f t="shared" si="18"/>
        <v>35.907502473279855</v>
      </c>
      <c r="K77" s="670">
        <f t="shared" si="18"/>
        <v>35.907502473279855</v>
      </c>
      <c r="L77" s="670">
        <f t="shared" si="18"/>
        <v>35.907502473279855</v>
      </c>
    </row>
    <row r="78" spans="1:12">
      <c r="A78" s="302"/>
      <c r="B78" s="331" t="s">
        <v>755</v>
      </c>
      <c r="C78" s="670">
        <f>C77-C79</f>
        <v>25.459499624925655</v>
      </c>
      <c r="D78" s="670">
        <f t="shared" ref="D78:L78" si="19">D77-D79</f>
        <v>25.459499624925655</v>
      </c>
      <c r="E78" s="670">
        <f t="shared" si="19"/>
        <v>25.459499624925655</v>
      </c>
      <c r="F78" s="670">
        <f t="shared" si="19"/>
        <v>25.459499624925655</v>
      </c>
      <c r="G78" s="670">
        <f t="shared" si="19"/>
        <v>25.459499624925655</v>
      </c>
      <c r="H78" s="670">
        <f t="shared" si="19"/>
        <v>25.459499624925655</v>
      </c>
      <c r="I78" s="670">
        <f t="shared" si="19"/>
        <v>25.459499624925655</v>
      </c>
      <c r="J78" s="670">
        <f t="shared" si="19"/>
        <v>25.459499624925655</v>
      </c>
      <c r="K78" s="670">
        <f t="shared" si="19"/>
        <v>25.459499624925655</v>
      </c>
      <c r="L78" s="670">
        <f t="shared" si="19"/>
        <v>25.459499624925655</v>
      </c>
    </row>
    <row r="79" spans="1:12">
      <c r="A79" s="302"/>
      <c r="B79" s="331" t="s">
        <v>754</v>
      </c>
      <c r="C79" s="670">
        <f>C77*$C$34</f>
        <v>10.448002848354198</v>
      </c>
      <c r="D79" s="670">
        <f t="shared" ref="D79:L79" si="20">D77*$C$34</f>
        <v>10.448002848354198</v>
      </c>
      <c r="E79" s="670">
        <f t="shared" si="20"/>
        <v>10.448002848354198</v>
      </c>
      <c r="F79" s="670">
        <f t="shared" si="20"/>
        <v>10.448002848354198</v>
      </c>
      <c r="G79" s="670">
        <f t="shared" si="20"/>
        <v>10.448002848354198</v>
      </c>
      <c r="H79" s="670">
        <f t="shared" si="20"/>
        <v>10.448002848354198</v>
      </c>
      <c r="I79" s="670">
        <f t="shared" si="20"/>
        <v>10.448002848354198</v>
      </c>
      <c r="J79" s="670">
        <f t="shared" si="20"/>
        <v>10.448002848354198</v>
      </c>
      <c r="K79" s="670">
        <f t="shared" si="20"/>
        <v>10.448002848354198</v>
      </c>
      <c r="L79" s="670">
        <f t="shared" si="20"/>
        <v>10.448002848354198</v>
      </c>
    </row>
    <row r="80" spans="1:12">
      <c r="A80" s="302"/>
      <c r="B80" s="645" t="s">
        <v>753</v>
      </c>
      <c r="C80" s="670">
        <f>C78</f>
        <v>25.459499624925655</v>
      </c>
      <c r="D80" s="670">
        <f t="shared" ref="D80:L80" si="21">D78</f>
        <v>25.459499624925655</v>
      </c>
      <c r="E80" s="670">
        <f t="shared" si="21"/>
        <v>25.459499624925655</v>
      </c>
      <c r="F80" s="670">
        <f t="shared" si="21"/>
        <v>25.459499624925655</v>
      </c>
      <c r="G80" s="670">
        <f t="shared" si="21"/>
        <v>25.459499624925655</v>
      </c>
      <c r="H80" s="670">
        <f t="shared" si="21"/>
        <v>25.459499624925655</v>
      </c>
      <c r="I80" s="670">
        <f t="shared" si="21"/>
        <v>25.459499624925655</v>
      </c>
      <c r="J80" s="670">
        <f t="shared" si="21"/>
        <v>25.459499624925655</v>
      </c>
      <c r="K80" s="670">
        <f t="shared" si="21"/>
        <v>25.459499624925655</v>
      </c>
      <c r="L80" s="670">
        <f t="shared" si="21"/>
        <v>25.459499624925655</v>
      </c>
    </row>
    <row r="81" spans="1:12">
      <c r="A81" s="302"/>
      <c r="B81" s="645" t="s">
        <v>752</v>
      </c>
      <c r="C81" s="670">
        <f>C79*$C$39</f>
        <v>6.5300017802213741</v>
      </c>
      <c r="D81" s="670">
        <f t="shared" ref="D81:L81" si="22">D79*$C$39</f>
        <v>6.5300017802213741</v>
      </c>
      <c r="E81" s="670">
        <f t="shared" si="22"/>
        <v>6.5300017802213741</v>
      </c>
      <c r="F81" s="670">
        <f t="shared" si="22"/>
        <v>6.5300017802213741</v>
      </c>
      <c r="G81" s="670">
        <f t="shared" si="22"/>
        <v>6.5300017802213741</v>
      </c>
      <c r="H81" s="670">
        <f t="shared" si="22"/>
        <v>6.5300017802213741</v>
      </c>
      <c r="I81" s="670">
        <f t="shared" si="22"/>
        <v>6.5300017802213741</v>
      </c>
      <c r="J81" s="670">
        <f t="shared" si="22"/>
        <v>6.5300017802213741</v>
      </c>
      <c r="K81" s="670">
        <f t="shared" si="22"/>
        <v>6.5300017802213741</v>
      </c>
      <c r="L81" s="670">
        <f t="shared" si="22"/>
        <v>6.5300017802213741</v>
      </c>
    </row>
    <row r="82" spans="1:12">
      <c r="A82" s="302"/>
      <c r="B82" s="645" t="s">
        <v>751</v>
      </c>
      <c r="C82" s="670">
        <f>C80+C81</f>
        <v>31.989501405147031</v>
      </c>
      <c r="D82" s="670">
        <f t="shared" ref="D82:L82" si="23">D80+D81</f>
        <v>31.989501405147031</v>
      </c>
      <c r="E82" s="670">
        <f t="shared" si="23"/>
        <v>31.989501405147031</v>
      </c>
      <c r="F82" s="670">
        <f t="shared" si="23"/>
        <v>31.989501405147031</v>
      </c>
      <c r="G82" s="670">
        <f t="shared" si="23"/>
        <v>31.989501405147031</v>
      </c>
      <c r="H82" s="670">
        <f t="shared" si="23"/>
        <v>31.989501405147031</v>
      </c>
      <c r="I82" s="670">
        <f t="shared" si="23"/>
        <v>31.989501405147031</v>
      </c>
      <c r="J82" s="670">
        <f t="shared" si="23"/>
        <v>31.989501405147031</v>
      </c>
      <c r="K82" s="670">
        <f t="shared" si="23"/>
        <v>31.989501405147031</v>
      </c>
      <c r="L82" s="670">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0">
        <f>100*C87</f>
        <v>51.407885080462954</v>
      </c>
      <c r="D88" s="670">
        <f t="shared" ref="D88:L88" si="26">100*D87</f>
        <v>51.407885080462954</v>
      </c>
      <c r="E88" s="670">
        <f t="shared" si="26"/>
        <v>51.407885080462954</v>
      </c>
      <c r="F88" s="670">
        <f t="shared" si="26"/>
        <v>51.407885080462954</v>
      </c>
      <c r="G88" s="670">
        <f t="shared" si="26"/>
        <v>51.407885080462954</v>
      </c>
      <c r="H88" s="670">
        <f t="shared" si="26"/>
        <v>51.407885080462954</v>
      </c>
      <c r="I88" s="670">
        <f t="shared" si="26"/>
        <v>51.407885080462954</v>
      </c>
      <c r="J88" s="670">
        <f t="shared" si="26"/>
        <v>51.407885080462954</v>
      </c>
      <c r="K88" s="670">
        <f t="shared" si="26"/>
        <v>51.407885080462954</v>
      </c>
      <c r="L88" s="670">
        <f t="shared" si="26"/>
        <v>51.407885080462954</v>
      </c>
    </row>
    <row r="89" spans="1:12">
      <c r="A89" s="302"/>
      <c r="B89" s="331" t="s">
        <v>755</v>
      </c>
      <c r="C89" s="670">
        <f>C88-C90</f>
        <v>49.495596838515347</v>
      </c>
      <c r="D89" s="670">
        <f t="shared" ref="D89:L89" si="27">D88-D90</f>
        <v>49.495596838515347</v>
      </c>
      <c r="E89" s="670">
        <f t="shared" si="27"/>
        <v>49.495596838515347</v>
      </c>
      <c r="F89" s="670">
        <f t="shared" si="27"/>
        <v>49.495596838515347</v>
      </c>
      <c r="G89" s="670">
        <f t="shared" si="27"/>
        <v>49.495596838515347</v>
      </c>
      <c r="H89" s="670">
        <f t="shared" si="27"/>
        <v>49.495596838515347</v>
      </c>
      <c r="I89" s="670">
        <f t="shared" si="27"/>
        <v>49.495596838515347</v>
      </c>
      <c r="J89" s="670">
        <f t="shared" si="27"/>
        <v>49.495596838515347</v>
      </c>
      <c r="K89" s="670">
        <f t="shared" si="27"/>
        <v>49.495596838515347</v>
      </c>
      <c r="L89" s="670">
        <f t="shared" si="27"/>
        <v>49.495596838515347</v>
      </c>
    </row>
    <row r="90" spans="1:12">
      <c r="A90" s="302"/>
      <c r="B90" s="331" t="s">
        <v>754</v>
      </c>
      <c r="C90" s="670">
        <f>C88*$C$35</f>
        <v>1.9122882419476073</v>
      </c>
      <c r="D90" s="670">
        <f t="shared" ref="D90:L90" si="28">D88*$C$35</f>
        <v>1.9122882419476073</v>
      </c>
      <c r="E90" s="670">
        <f t="shared" si="28"/>
        <v>1.9122882419476073</v>
      </c>
      <c r="F90" s="670">
        <f t="shared" si="28"/>
        <v>1.9122882419476073</v>
      </c>
      <c r="G90" s="670">
        <f t="shared" si="28"/>
        <v>1.9122882419476073</v>
      </c>
      <c r="H90" s="670">
        <f t="shared" si="28"/>
        <v>1.9122882419476073</v>
      </c>
      <c r="I90" s="670">
        <f t="shared" si="28"/>
        <v>1.9122882419476073</v>
      </c>
      <c r="J90" s="670">
        <f t="shared" si="28"/>
        <v>1.9122882419476073</v>
      </c>
      <c r="K90" s="670">
        <f t="shared" si="28"/>
        <v>1.9122882419476073</v>
      </c>
      <c r="L90" s="670">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0">
        <f>C90*$C$39</f>
        <v>1.1951801512172546</v>
      </c>
      <c r="D92" s="670">
        <f t="shared" ref="D92:L92" si="30">D90*$C$39</f>
        <v>1.1951801512172546</v>
      </c>
      <c r="E92" s="670">
        <f t="shared" si="30"/>
        <v>1.1951801512172546</v>
      </c>
      <c r="F92" s="670">
        <f t="shared" si="30"/>
        <v>1.1951801512172546</v>
      </c>
      <c r="G92" s="670">
        <f t="shared" si="30"/>
        <v>1.1951801512172546</v>
      </c>
      <c r="H92" s="670">
        <f t="shared" si="30"/>
        <v>1.1951801512172546</v>
      </c>
      <c r="I92" s="670">
        <f t="shared" si="30"/>
        <v>1.1951801512172546</v>
      </c>
      <c r="J92" s="670">
        <f t="shared" si="30"/>
        <v>1.1951801512172546</v>
      </c>
      <c r="K92" s="670">
        <f t="shared" si="30"/>
        <v>1.1951801512172546</v>
      </c>
      <c r="L92" s="670">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0">
        <f>C93+C82+C71</f>
        <v>94.647895854796175</v>
      </c>
      <c r="D95" s="670">
        <f t="shared" ref="D95:L95" si="32">D93+D82+D71</f>
        <v>94.647895854796175</v>
      </c>
      <c r="E95" s="670">
        <f t="shared" si="32"/>
        <v>94.647895854796175</v>
      </c>
      <c r="F95" s="670">
        <f t="shared" si="32"/>
        <v>94.647895854796175</v>
      </c>
      <c r="G95" s="670">
        <f t="shared" si="32"/>
        <v>94.647895854796175</v>
      </c>
      <c r="H95" s="670">
        <f t="shared" si="32"/>
        <v>94.647895854796175</v>
      </c>
      <c r="I95" s="670">
        <f t="shared" si="32"/>
        <v>94.647895854796175</v>
      </c>
      <c r="J95" s="670">
        <f t="shared" si="32"/>
        <v>94.647895854796175</v>
      </c>
      <c r="K95" s="670">
        <f t="shared" si="32"/>
        <v>94.647895854796175</v>
      </c>
      <c r="L95" s="670">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3.5031454337488355</v>
      </c>
      <c r="D99" s="447">
        <f t="shared" ref="D99:L99" si="33">D58</f>
        <v>3.9035531929413949</v>
      </c>
      <c r="E99" s="447">
        <f t="shared" si="33"/>
        <v>4.1144000433118828</v>
      </c>
      <c r="F99" s="447">
        <f t="shared" si="33"/>
        <v>4.3836399742982373</v>
      </c>
      <c r="G99" s="447">
        <f t="shared" si="33"/>
        <v>4.4770601254435425</v>
      </c>
      <c r="H99" s="447">
        <f t="shared" si="33"/>
        <v>4.7416465472315021</v>
      </c>
      <c r="I99" s="447">
        <f t="shared" si="33"/>
        <v>4.7895539419864726</v>
      </c>
      <c r="J99" s="447">
        <f t="shared" si="33"/>
        <v>4.7862768453066842</v>
      </c>
      <c r="K99" s="447">
        <f t="shared" si="33"/>
        <v>4.5155981802731082</v>
      </c>
      <c r="L99" s="447">
        <f t="shared" si="33"/>
        <v>4.2164472626529426</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877</v>
      </c>
      <c r="C104" s="447">
        <f t="shared" ref="C104:L104" si="35">C66*C$99</f>
        <v>44.436042169979508</v>
      </c>
      <c r="D104" s="447">
        <f t="shared" si="35"/>
        <v>49.515059415811393</v>
      </c>
      <c r="E104" s="447">
        <f t="shared" si="35"/>
        <v>52.189569998275012</v>
      </c>
      <c r="F104" s="447">
        <f t="shared" si="35"/>
        <v>55.604774177893951</v>
      </c>
      <c r="G104" s="447">
        <f t="shared" si="35"/>
        <v>56.789772589842912</v>
      </c>
      <c r="H104" s="447">
        <f t="shared" si="35"/>
        <v>60.14594880876512</v>
      </c>
      <c r="I104" s="447">
        <f t="shared" si="35"/>
        <v>60.753635544541773</v>
      </c>
      <c r="J104" s="447">
        <f t="shared" si="35"/>
        <v>60.71206684320974</v>
      </c>
      <c r="K104" s="447">
        <f t="shared" si="35"/>
        <v>57.278612879788568</v>
      </c>
      <c r="L104" s="447">
        <f t="shared" si="35"/>
        <v>53.483999426834558</v>
      </c>
    </row>
    <row r="105" spans="1:12">
      <c r="A105" s="302"/>
      <c r="B105" s="319" t="s">
        <v>878</v>
      </c>
      <c r="C105" s="447">
        <f t="shared" ref="C105:L105" si="36">C77*C$99</f>
        <v>125.78920332659534</v>
      </c>
      <c r="D105" s="447">
        <f t="shared" si="36"/>
        <v>140.16684593012261</v>
      </c>
      <c r="E105" s="447">
        <f t="shared" si="36"/>
        <v>147.73782973128417</v>
      </c>
      <c r="F105" s="447">
        <f t="shared" si="36"/>
        <v>157.40556321908241</v>
      </c>
      <c r="G105" s="447">
        <f t="shared" si="36"/>
        <v>160.76004752738663</v>
      </c>
      <c r="H105" s="447">
        <f t="shared" si="36"/>
        <v>170.26068512213405</v>
      </c>
      <c r="I105" s="447">
        <f t="shared" si="36"/>
        <v>171.98092001778653</v>
      </c>
      <c r="J105" s="447">
        <f t="shared" si="36"/>
        <v>171.86324766065187</v>
      </c>
      <c r="K105" s="447">
        <f t="shared" si="36"/>
        <v>162.14385282649465</v>
      </c>
      <c r="L105" s="447">
        <f t="shared" si="36"/>
        <v>151.40209051216462</v>
      </c>
    </row>
    <row r="106" spans="1:12">
      <c r="A106" s="302"/>
      <c r="B106" s="319" t="s">
        <v>879</v>
      </c>
      <c r="C106" s="447">
        <f t="shared" ref="C106:L106" si="37">C88*C$99</f>
        <v>180.08929787830868</v>
      </c>
      <c r="D106" s="447">
        <f t="shared" si="37"/>
        <v>200.67341394820545</v>
      </c>
      <c r="E106" s="447">
        <f t="shared" si="37"/>
        <v>211.51260460162908</v>
      </c>
      <c r="F106" s="447">
        <f t="shared" si="37"/>
        <v>225.35366003284736</v>
      </c>
      <c r="G106" s="447">
        <f t="shared" si="37"/>
        <v>230.15619242712469</v>
      </c>
      <c r="H106" s="447">
        <f t="shared" si="37"/>
        <v>243.75802079225102</v>
      </c>
      <c r="I106" s="447">
        <f t="shared" si="37"/>
        <v>246.22083863631892</v>
      </c>
      <c r="J106" s="447">
        <f t="shared" si="37"/>
        <v>246.05237002680678</v>
      </c>
      <c r="K106" s="447">
        <f t="shared" si="37"/>
        <v>232.13735232102758</v>
      </c>
      <c r="L106" s="447">
        <f t="shared" si="37"/>
        <v>216.75863632629506</v>
      </c>
    </row>
    <row r="107" spans="1:12">
      <c r="A107" s="302"/>
      <c r="B107" s="319" t="s">
        <v>8</v>
      </c>
      <c r="C107" s="447">
        <f>SUM(C104:C106)</f>
        <v>350.31454337488356</v>
      </c>
      <c r="D107" s="447">
        <f t="shared" ref="D107:L107" si="38">SUM(D104:D106)</f>
        <v>390.35531929413946</v>
      </c>
      <c r="E107" s="447">
        <f t="shared" si="38"/>
        <v>411.44000433118822</v>
      </c>
      <c r="F107" s="447">
        <f t="shared" si="38"/>
        <v>438.36399742982371</v>
      </c>
      <c r="G107" s="447">
        <f t="shared" si="38"/>
        <v>447.70601254435428</v>
      </c>
      <c r="H107" s="447">
        <f t="shared" si="38"/>
        <v>474.16465472315019</v>
      </c>
      <c r="I107" s="447">
        <f t="shared" si="38"/>
        <v>478.95539419864724</v>
      </c>
      <c r="J107" s="447">
        <f t="shared" si="38"/>
        <v>478.62768453066838</v>
      </c>
      <c r="K107" s="447">
        <f t="shared" si="38"/>
        <v>451.55981802731083</v>
      </c>
      <c r="L107" s="447">
        <f t="shared" si="38"/>
        <v>421.64472626529425</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350.31454337488356</v>
      </c>
      <c r="D112" s="676">
        <f t="shared" ref="D112:L112" si="39">D107</f>
        <v>390.35531929413946</v>
      </c>
      <c r="E112" s="676">
        <f t="shared" si="39"/>
        <v>411.44000433118822</v>
      </c>
      <c r="F112" s="676">
        <f t="shared" si="39"/>
        <v>438.36399742982371</v>
      </c>
      <c r="G112" s="676">
        <f t="shared" si="39"/>
        <v>447.70601254435428</v>
      </c>
      <c r="H112" s="676">
        <f t="shared" si="39"/>
        <v>474.16465472315019</v>
      </c>
      <c r="I112" s="676">
        <f t="shared" si="39"/>
        <v>478.95539419864724</v>
      </c>
      <c r="J112" s="676">
        <f t="shared" si="39"/>
        <v>478.62768453066838</v>
      </c>
      <c r="K112" s="676">
        <f t="shared" si="39"/>
        <v>451.55981802731083</v>
      </c>
      <c r="L112" s="676">
        <f t="shared" si="39"/>
        <v>421.64472626529425</v>
      </c>
    </row>
    <row r="113" spans="1:12">
      <c r="A113" s="302"/>
      <c r="B113" s="676" t="s">
        <v>1754</v>
      </c>
      <c r="C113" s="676">
        <f t="shared" ref="C113:L113" si="40">((C68+C79+C90)/100)*C112</f>
        <v>49.997864525917258</v>
      </c>
      <c r="D113" s="676">
        <f t="shared" si="40"/>
        <v>55.71259526657397</v>
      </c>
      <c r="E113" s="676">
        <f t="shared" si="40"/>
        <v>58.721860071563455</v>
      </c>
      <c r="F113" s="676">
        <f t="shared" si="40"/>
        <v>62.564527140060683</v>
      </c>
      <c r="G113" s="676">
        <f t="shared" si="40"/>
        <v>63.897845481901633</v>
      </c>
      <c r="H113" s="676">
        <f t="shared" si="40"/>
        <v>67.674096374744252</v>
      </c>
      <c r="I113" s="676">
        <f t="shared" si="40"/>
        <v>68.35784401755491</v>
      </c>
      <c r="J113" s="676">
        <f t="shared" si="40"/>
        <v>68.311072383623895</v>
      </c>
      <c r="K113" s="676">
        <f t="shared" si="40"/>
        <v>64.447871303238728</v>
      </c>
      <c r="L113" s="676">
        <f t="shared" si="40"/>
        <v>60.178306326608286</v>
      </c>
    </row>
    <row r="114" spans="1:12">
      <c r="A114" s="302"/>
      <c r="B114" s="676" t="s">
        <v>1755</v>
      </c>
      <c r="C114" s="676">
        <f t="shared" ref="C114:L114" si="41">((C67+C78+C89)/100)*C112</f>
        <v>300.31667884896632</v>
      </c>
      <c r="D114" s="676">
        <f t="shared" si="41"/>
        <v>334.64272402756552</v>
      </c>
      <c r="E114" s="676">
        <f t="shared" si="41"/>
        <v>352.71814425962475</v>
      </c>
      <c r="F114" s="676">
        <f t="shared" si="41"/>
        <v>375.79947028976306</v>
      </c>
      <c r="G114" s="676">
        <f t="shared" si="41"/>
        <v>383.80816706245264</v>
      </c>
      <c r="H114" s="676">
        <f t="shared" si="41"/>
        <v>406.49055834840595</v>
      </c>
      <c r="I114" s="676">
        <f t="shared" si="41"/>
        <v>410.59755018109234</v>
      </c>
      <c r="J114" s="676">
        <f t="shared" si="41"/>
        <v>410.31661214704451</v>
      </c>
      <c r="K114" s="676">
        <f t="shared" si="41"/>
        <v>387.11194672407208</v>
      </c>
      <c r="L114" s="676">
        <f t="shared" si="41"/>
        <v>361.46641993868599</v>
      </c>
    </row>
    <row r="115" spans="1:12">
      <c r="A115" s="302"/>
      <c r="B115" s="676" t="s">
        <v>855</v>
      </c>
      <c r="C115" s="676">
        <f>C113*$C$39</f>
        <v>31.248665328698287</v>
      </c>
      <c r="D115" s="676">
        <f t="shared" ref="D115:L115" si="42">D113*$C$39</f>
        <v>34.820372041608735</v>
      </c>
      <c r="E115" s="676">
        <f t="shared" si="42"/>
        <v>36.701162544727161</v>
      </c>
      <c r="F115" s="676">
        <f t="shared" si="42"/>
        <v>39.102829462537926</v>
      </c>
      <c r="G115" s="676">
        <f t="shared" si="42"/>
        <v>39.936153426188518</v>
      </c>
      <c r="H115" s="676">
        <f t="shared" si="42"/>
        <v>42.296310234215156</v>
      </c>
      <c r="I115" s="676">
        <f t="shared" si="42"/>
        <v>42.723652510971817</v>
      </c>
      <c r="J115" s="676">
        <f t="shared" si="42"/>
        <v>42.694420239764938</v>
      </c>
      <c r="K115" s="676">
        <f t="shared" si="42"/>
        <v>40.279919564524207</v>
      </c>
      <c r="L115" s="676">
        <f t="shared" si="42"/>
        <v>37.61144145413018</v>
      </c>
    </row>
    <row r="116" spans="1:12">
      <c r="A116" s="302"/>
      <c r="B116" s="676" t="s">
        <v>856</v>
      </c>
      <c r="C116" s="676">
        <f>C114</f>
        <v>300.31667884896632</v>
      </c>
      <c r="D116" s="676">
        <f t="shared" ref="D116:L116" si="43">D114</f>
        <v>334.64272402756552</v>
      </c>
      <c r="E116" s="676">
        <f t="shared" si="43"/>
        <v>352.71814425962475</v>
      </c>
      <c r="F116" s="676">
        <f t="shared" si="43"/>
        <v>375.79947028976306</v>
      </c>
      <c r="G116" s="676">
        <f t="shared" si="43"/>
        <v>383.80816706245264</v>
      </c>
      <c r="H116" s="676">
        <f t="shared" si="43"/>
        <v>406.49055834840595</v>
      </c>
      <c r="I116" s="676">
        <f t="shared" si="43"/>
        <v>410.59755018109234</v>
      </c>
      <c r="J116" s="676">
        <f t="shared" si="43"/>
        <v>410.31661214704451</v>
      </c>
      <c r="K116" s="676">
        <f t="shared" si="43"/>
        <v>387.11194672407208</v>
      </c>
      <c r="L116" s="676">
        <f t="shared" si="43"/>
        <v>361.46641993868599</v>
      </c>
    </row>
    <row r="117" spans="1:12">
      <c r="A117" s="302"/>
      <c r="B117" s="676" t="s">
        <v>746</v>
      </c>
      <c r="C117" s="676">
        <f>C116+C115</f>
        <v>331.5653441776646</v>
      </c>
      <c r="D117" s="676">
        <f t="shared" ref="D117:L117" si="44">D116+D115</f>
        <v>369.46309606917424</v>
      </c>
      <c r="E117" s="676">
        <f t="shared" si="44"/>
        <v>389.41930680435189</v>
      </c>
      <c r="F117" s="676">
        <f t="shared" si="44"/>
        <v>414.90229975230102</v>
      </c>
      <c r="G117" s="676">
        <f t="shared" si="44"/>
        <v>423.74432048864116</v>
      </c>
      <c r="H117" s="676">
        <f t="shared" si="44"/>
        <v>448.78686858262108</v>
      </c>
      <c r="I117" s="676">
        <f t="shared" si="44"/>
        <v>453.32120269206416</v>
      </c>
      <c r="J117" s="676">
        <f t="shared" si="44"/>
        <v>453.01103238680946</v>
      </c>
      <c r="K117" s="676">
        <f t="shared" si="44"/>
        <v>427.3918662885963</v>
      </c>
      <c r="L117" s="676">
        <f t="shared" si="44"/>
        <v>399.07786139281615</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2"/>
  <sheetViews>
    <sheetView showGridLines="0" workbookViewId="0"/>
  </sheetViews>
  <sheetFormatPr defaultRowHeight="12.75"/>
  <cols>
    <col min="2" max="2" width="35.7109375" customWidth="1"/>
    <col min="3" max="12"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6.45" customHeight="1">
      <c r="A5" s="1168" t="s">
        <v>774</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SUM(A12:A1747)</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OUTPUTS_FOR_SECTION_2_OF_MODEL!B68</f>
        <v>Chemistry</v>
      </c>
      <c r="C15" s="300">
        <f>OUTPUTS_FOR_SECTION_2_OF_MODEL!E68</f>
        <v>1470.9643367195131</v>
      </c>
      <c r="D15" s="300">
        <f>OUTPUTS_FOR_SECTION_2_OF_MODEL!F68</f>
        <v>1471.6763382019715</v>
      </c>
      <c r="E15" s="300">
        <f>OUTPUTS_FOR_SECTION_2_OF_MODEL!G68</f>
        <v>1501.419623896096</v>
      </c>
      <c r="F15" s="300">
        <f>OUTPUTS_FOR_SECTION_2_OF_MODEL!H68</f>
        <v>1536.7350649750842</v>
      </c>
      <c r="G15" s="300">
        <f>OUTPUTS_FOR_SECTION_2_OF_MODEL!I68</f>
        <v>1550.0030314060627</v>
      </c>
      <c r="H15" s="300">
        <f>OUTPUTS_FOR_SECTION_2_OF_MODEL!J68</f>
        <v>1523.4057098363203</v>
      </c>
      <c r="I15" s="300">
        <f>OUTPUTS_FOR_SECTION_2_OF_MODEL!K68</f>
        <v>1511.4443139010427</v>
      </c>
      <c r="J15" s="300">
        <f>OUTPUTS_FOR_SECTION_2_OF_MODEL!L68</f>
        <v>1488.4773584551654</v>
      </c>
      <c r="K15" s="300">
        <f>OUTPUTS_FOR_SECTION_2_OF_MODEL!M68</f>
        <v>1436.7552866249198</v>
      </c>
      <c r="L15" s="300">
        <f>OUTPUTS_FOR_SECTION_2_OF_MODEL!N68</f>
        <v>1386.4881934041705</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1369.4677974858669</v>
      </c>
      <c r="D44" s="447">
        <f t="shared" si="4"/>
        <v>1370.1306708660354</v>
      </c>
      <c r="E44" s="447">
        <f t="shared" si="4"/>
        <v>1397.8216698472654</v>
      </c>
      <c r="F44" s="447">
        <f t="shared" si="4"/>
        <v>1430.7003454918035</v>
      </c>
      <c r="G44" s="447">
        <f t="shared" si="4"/>
        <v>1443.0528222390444</v>
      </c>
      <c r="H44" s="447">
        <f t="shared" si="4"/>
        <v>1418.2907158576143</v>
      </c>
      <c r="I44" s="447">
        <f t="shared" si="4"/>
        <v>1407.154656241871</v>
      </c>
      <c r="J44" s="447">
        <f t="shared" si="4"/>
        <v>1385.7724207217591</v>
      </c>
      <c r="K44" s="447">
        <f t="shared" si="4"/>
        <v>1337.6191718478003</v>
      </c>
      <c r="L44" s="447">
        <f t="shared" si="4"/>
        <v>1290.8205080592827</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14.469078103826336</v>
      </c>
      <c r="D58" s="447">
        <f t="shared" ref="D58:L58" si="7">D44/$J$51</f>
        <v>14.476081676110557</v>
      </c>
      <c r="E58" s="447">
        <f t="shared" si="7"/>
        <v>14.7686502401673</v>
      </c>
      <c r="F58" s="447">
        <f t="shared" si="7"/>
        <v>15.116029073553928</v>
      </c>
      <c r="G58" s="447">
        <f t="shared" si="7"/>
        <v>15.246538860757136</v>
      </c>
      <c r="H58" s="447">
        <f t="shared" si="7"/>
        <v>14.984915438938875</v>
      </c>
      <c r="I58" s="447">
        <f t="shared" si="7"/>
        <v>14.867257676817808</v>
      </c>
      <c r="J58" s="447">
        <f t="shared" si="7"/>
        <v>14.641344196893062</v>
      </c>
      <c r="K58" s="447">
        <f t="shared" si="7"/>
        <v>14.132582238277173</v>
      </c>
      <c r="L58" s="447">
        <f t="shared" si="7"/>
        <v>13.638132114839525</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14.469078103826336</v>
      </c>
      <c r="D99" s="447">
        <f t="shared" ref="D99:L99" si="33">D58</f>
        <v>14.476081676110557</v>
      </c>
      <c r="E99" s="447">
        <f t="shared" si="33"/>
        <v>14.7686502401673</v>
      </c>
      <c r="F99" s="447">
        <f t="shared" si="33"/>
        <v>15.116029073553928</v>
      </c>
      <c r="G99" s="447">
        <f t="shared" si="33"/>
        <v>15.246538860757136</v>
      </c>
      <c r="H99" s="447">
        <f t="shared" si="33"/>
        <v>14.984915438938875</v>
      </c>
      <c r="I99" s="447">
        <f t="shared" si="33"/>
        <v>14.867257676817808</v>
      </c>
      <c r="J99" s="447">
        <f t="shared" si="33"/>
        <v>14.641344196893062</v>
      </c>
      <c r="K99" s="447">
        <f t="shared" si="33"/>
        <v>14.132582238277173</v>
      </c>
      <c r="L99" s="447">
        <f t="shared" si="33"/>
        <v>13.638132114839525</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898</v>
      </c>
      <c r="C104" s="447">
        <f t="shared" ref="C104:L104" si="35">C66*C$99</f>
        <v>183.53464820166286</v>
      </c>
      <c r="D104" s="447">
        <f t="shared" si="35"/>
        <v>183.62348580182754</v>
      </c>
      <c r="E104" s="447">
        <f t="shared" si="35"/>
        <v>187.33460465084531</v>
      </c>
      <c r="F104" s="447">
        <f t="shared" si="35"/>
        <v>191.74097052438762</v>
      </c>
      <c r="G104" s="447">
        <f t="shared" si="35"/>
        <v>193.39643659550381</v>
      </c>
      <c r="H104" s="447">
        <f t="shared" si="35"/>
        <v>190.07784488287552</v>
      </c>
      <c r="I104" s="447">
        <f t="shared" si="35"/>
        <v>188.58540176907584</v>
      </c>
      <c r="J104" s="447">
        <f t="shared" si="35"/>
        <v>185.71977682984516</v>
      </c>
      <c r="K104" s="447">
        <f t="shared" si="35"/>
        <v>179.26632855740385</v>
      </c>
      <c r="L104" s="447">
        <f t="shared" si="35"/>
        <v>172.99442036759328</v>
      </c>
    </row>
    <row r="105" spans="1:12">
      <c r="A105" s="302"/>
      <c r="B105" s="319" t="s">
        <v>899</v>
      </c>
      <c r="C105" s="447">
        <f t="shared" ref="C105:L105" si="36">C77*C$99</f>
        <v>519.54845779922357</v>
      </c>
      <c r="D105" s="447">
        <f t="shared" si="36"/>
        <v>519.79993858834098</v>
      </c>
      <c r="E105" s="447">
        <f t="shared" si="36"/>
        <v>530.30534502581247</v>
      </c>
      <c r="F105" s="447">
        <f t="shared" si="36"/>
        <v>542.77885134480789</v>
      </c>
      <c r="G105" s="447">
        <f t="shared" si="36"/>
        <v>547.46513185159426</v>
      </c>
      <c r="H105" s="447">
        <f t="shared" si="36"/>
        <v>538.07088818558714</v>
      </c>
      <c r="I105" s="447">
        <f t="shared" si="36"/>
        <v>533.84609180122436</v>
      </c>
      <c r="J105" s="447">
        <f t="shared" si="36"/>
        <v>525.73410296207931</v>
      </c>
      <c r="K105" s="447">
        <f t="shared" si="36"/>
        <v>507.46573167476856</v>
      </c>
      <c r="L105" s="447">
        <f t="shared" si="36"/>
        <v>489.71126264451766</v>
      </c>
    </row>
    <row r="106" spans="1:12">
      <c r="A106" s="302"/>
      <c r="B106" s="319" t="s">
        <v>900</v>
      </c>
      <c r="C106" s="447">
        <f t="shared" ref="C106:L106" si="37">C88*C$99</f>
        <v>743.8247043817471</v>
      </c>
      <c r="D106" s="447">
        <f t="shared" si="37"/>
        <v>744.18474322088707</v>
      </c>
      <c r="E106" s="447">
        <f t="shared" si="37"/>
        <v>759.22507434007218</v>
      </c>
      <c r="F106" s="447">
        <f t="shared" si="37"/>
        <v>777.08308548619721</v>
      </c>
      <c r="G106" s="447">
        <f t="shared" si="37"/>
        <v>783.79231762861536</v>
      </c>
      <c r="H106" s="447">
        <f t="shared" si="37"/>
        <v>770.34281082542475</v>
      </c>
      <c r="I106" s="447">
        <f t="shared" si="37"/>
        <v>764.29427411148049</v>
      </c>
      <c r="J106" s="447">
        <f t="shared" si="37"/>
        <v>752.68053989738166</v>
      </c>
      <c r="K106" s="447">
        <f t="shared" si="37"/>
        <v>726.52616359554486</v>
      </c>
      <c r="L106" s="447">
        <f t="shared" si="37"/>
        <v>701.10752847184153</v>
      </c>
    </row>
    <row r="107" spans="1:12">
      <c r="A107" s="302"/>
      <c r="B107" s="319" t="s">
        <v>8</v>
      </c>
      <c r="C107" s="447">
        <f>SUM(C104:C106)</f>
        <v>1446.9078103826337</v>
      </c>
      <c r="D107" s="447">
        <f t="shared" ref="D107:L107" si="38">SUM(D104:D106)</f>
        <v>1447.6081676110557</v>
      </c>
      <c r="E107" s="447">
        <f t="shared" si="38"/>
        <v>1476.8650240167299</v>
      </c>
      <c r="F107" s="447">
        <f t="shared" si="38"/>
        <v>1511.6029073553927</v>
      </c>
      <c r="G107" s="447">
        <f t="shared" si="38"/>
        <v>1524.6538860757134</v>
      </c>
      <c r="H107" s="447">
        <f t="shared" si="38"/>
        <v>1498.4915438938874</v>
      </c>
      <c r="I107" s="447">
        <f t="shared" si="38"/>
        <v>1486.7257676817808</v>
      </c>
      <c r="J107" s="447">
        <f t="shared" si="38"/>
        <v>1464.134419689306</v>
      </c>
      <c r="K107" s="447">
        <f t="shared" si="38"/>
        <v>1413.2582238277173</v>
      </c>
      <c r="L107" s="447">
        <f t="shared" si="38"/>
        <v>1363.8132114839525</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1446.9078103826337</v>
      </c>
      <c r="D112" s="676">
        <f t="shared" ref="D112:L112" si="39">D107</f>
        <v>1447.6081676110557</v>
      </c>
      <c r="E112" s="676">
        <f t="shared" si="39"/>
        <v>1476.8650240167299</v>
      </c>
      <c r="F112" s="676">
        <f t="shared" si="39"/>
        <v>1511.6029073553927</v>
      </c>
      <c r="G112" s="676">
        <f t="shared" si="39"/>
        <v>1524.6538860757134</v>
      </c>
      <c r="H112" s="676">
        <f t="shared" si="39"/>
        <v>1498.4915438938874</v>
      </c>
      <c r="I112" s="676">
        <f t="shared" si="39"/>
        <v>1486.7257676817808</v>
      </c>
      <c r="J112" s="676">
        <f t="shared" si="39"/>
        <v>1464.134419689306</v>
      </c>
      <c r="K112" s="676">
        <f t="shared" si="39"/>
        <v>1413.2582238277173</v>
      </c>
      <c r="L112" s="676">
        <f t="shared" si="39"/>
        <v>1363.8132114839525</v>
      </c>
    </row>
    <row r="113" spans="1:12">
      <c r="A113" s="302"/>
      <c r="B113" s="676" t="s">
        <v>1754</v>
      </c>
      <c r="C113" s="676">
        <f t="shared" ref="C113:L113" si="40">((C68+C79+C90)/100)*C112</f>
        <v>206.50670105804465</v>
      </c>
      <c r="D113" s="676">
        <f t="shared" si="40"/>
        <v>206.60665798672096</v>
      </c>
      <c r="E113" s="676">
        <f t="shared" si="40"/>
        <v>210.78227778523939</v>
      </c>
      <c r="F113" s="676">
        <f t="shared" si="40"/>
        <v>215.74016496957177</v>
      </c>
      <c r="G113" s="676">
        <f t="shared" si="40"/>
        <v>217.60283689778498</v>
      </c>
      <c r="H113" s="676">
        <f t="shared" si="40"/>
        <v>213.86887476339587</v>
      </c>
      <c r="I113" s="676">
        <f t="shared" si="40"/>
        <v>212.18963050642637</v>
      </c>
      <c r="J113" s="676">
        <f t="shared" si="40"/>
        <v>208.96533058012594</v>
      </c>
      <c r="K113" s="676">
        <f t="shared" si="40"/>
        <v>201.70413861311232</v>
      </c>
      <c r="L113" s="676">
        <f t="shared" si="40"/>
        <v>194.64720913245318</v>
      </c>
    </row>
    <row r="114" spans="1:12">
      <c r="A114" s="302"/>
      <c r="B114" s="676" t="s">
        <v>1755</v>
      </c>
      <c r="C114" s="676">
        <f t="shared" ref="C114:L114" si="41">((C67+C78+C89)/100)*C112</f>
        <v>1240.401109324589</v>
      </c>
      <c r="D114" s="676">
        <f t="shared" si="41"/>
        <v>1241.0015096243349</v>
      </c>
      <c r="E114" s="676">
        <f t="shared" si="41"/>
        <v>1266.0827462314905</v>
      </c>
      <c r="F114" s="676">
        <f t="shared" si="41"/>
        <v>1295.8627423858211</v>
      </c>
      <c r="G114" s="676">
        <f t="shared" si="41"/>
        <v>1307.0510491779285</v>
      </c>
      <c r="H114" s="676">
        <f t="shared" si="41"/>
        <v>1284.6226691304917</v>
      </c>
      <c r="I114" s="676">
        <f t="shared" si="41"/>
        <v>1274.5361371753545</v>
      </c>
      <c r="J114" s="676">
        <f t="shared" si="41"/>
        <v>1255.16908910918</v>
      </c>
      <c r="K114" s="676">
        <f t="shared" si="41"/>
        <v>1211.554085214605</v>
      </c>
      <c r="L114" s="676">
        <f t="shared" si="41"/>
        <v>1169.1660023514994</v>
      </c>
    </row>
    <row r="115" spans="1:12">
      <c r="A115" s="302"/>
      <c r="B115" s="676" t="s">
        <v>855</v>
      </c>
      <c r="C115" s="676">
        <f>C113*$C$39</f>
        <v>129.06668816127791</v>
      </c>
      <c r="D115" s="676">
        <f t="shared" ref="D115:L115" si="42">D113*$C$39</f>
        <v>129.12916124170061</v>
      </c>
      <c r="E115" s="676">
        <f t="shared" si="42"/>
        <v>131.73892361577461</v>
      </c>
      <c r="F115" s="676">
        <f t="shared" si="42"/>
        <v>134.83760310598234</v>
      </c>
      <c r="G115" s="676">
        <f t="shared" si="42"/>
        <v>136.00177306111561</v>
      </c>
      <c r="H115" s="676">
        <f t="shared" si="42"/>
        <v>133.66804672712243</v>
      </c>
      <c r="I115" s="676">
        <f t="shared" si="42"/>
        <v>132.61851906651648</v>
      </c>
      <c r="J115" s="676">
        <f t="shared" si="42"/>
        <v>130.6033316125787</v>
      </c>
      <c r="K115" s="676">
        <f t="shared" si="42"/>
        <v>126.06508663319519</v>
      </c>
      <c r="L115" s="676">
        <f t="shared" si="42"/>
        <v>121.65450570778324</v>
      </c>
    </row>
    <row r="116" spans="1:12">
      <c r="A116" s="302"/>
      <c r="B116" s="676" t="s">
        <v>856</v>
      </c>
      <c r="C116" s="676">
        <f>C114</f>
        <v>1240.401109324589</v>
      </c>
      <c r="D116" s="676">
        <f t="shared" ref="D116:L116" si="43">D114</f>
        <v>1241.0015096243349</v>
      </c>
      <c r="E116" s="676">
        <f t="shared" si="43"/>
        <v>1266.0827462314905</v>
      </c>
      <c r="F116" s="676">
        <f t="shared" si="43"/>
        <v>1295.8627423858211</v>
      </c>
      <c r="G116" s="676">
        <f t="shared" si="43"/>
        <v>1307.0510491779285</v>
      </c>
      <c r="H116" s="676">
        <f t="shared" si="43"/>
        <v>1284.6226691304917</v>
      </c>
      <c r="I116" s="676">
        <f t="shared" si="43"/>
        <v>1274.5361371753545</v>
      </c>
      <c r="J116" s="676">
        <f t="shared" si="43"/>
        <v>1255.16908910918</v>
      </c>
      <c r="K116" s="676">
        <f t="shared" si="43"/>
        <v>1211.554085214605</v>
      </c>
      <c r="L116" s="676">
        <f t="shared" si="43"/>
        <v>1169.1660023514994</v>
      </c>
    </row>
    <row r="117" spans="1:12">
      <c r="A117" s="302"/>
      <c r="B117" s="676" t="s">
        <v>746</v>
      </c>
      <c r="C117" s="676">
        <f>C116+C115</f>
        <v>1369.4677974858669</v>
      </c>
      <c r="D117" s="676">
        <f t="shared" ref="D117:L117" si="44">D116+D115</f>
        <v>1370.1306708660354</v>
      </c>
      <c r="E117" s="676">
        <f t="shared" si="44"/>
        <v>1397.8216698472652</v>
      </c>
      <c r="F117" s="676">
        <f t="shared" si="44"/>
        <v>1430.7003454918035</v>
      </c>
      <c r="G117" s="676">
        <f t="shared" si="44"/>
        <v>1443.052822239044</v>
      </c>
      <c r="H117" s="676">
        <f t="shared" si="44"/>
        <v>1418.290715857614</v>
      </c>
      <c r="I117" s="676">
        <f t="shared" si="44"/>
        <v>1407.154656241871</v>
      </c>
      <c r="J117" s="676">
        <f t="shared" si="44"/>
        <v>1385.7724207217589</v>
      </c>
      <c r="K117" s="676">
        <f t="shared" si="44"/>
        <v>1337.6191718478003</v>
      </c>
      <c r="L117" s="676">
        <f t="shared" si="44"/>
        <v>1290.8205080592827</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2"/>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5.9" customHeight="1">
      <c r="A5" s="1168" t="s">
        <v>775</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SUM(A12:A1859)</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OUTPUTS_FOR_SECTION_2_OF_MODEL!B69</f>
        <v>Classics</v>
      </c>
      <c r="C15" s="300">
        <f>OUTPUTS_FOR_SECTION_2_OF_MODEL!E69</f>
        <v>37.35592016437618</v>
      </c>
      <c r="D15" s="300">
        <f>OUTPUTS_FOR_SECTION_2_OF_MODEL!F69</f>
        <v>38.011785158859475</v>
      </c>
      <c r="E15" s="300">
        <f>OUTPUTS_FOR_SECTION_2_OF_MODEL!G69</f>
        <v>38.18790728513477</v>
      </c>
      <c r="F15" s="300">
        <f>OUTPUTS_FOR_SECTION_2_OF_MODEL!H69</f>
        <v>38.740600690767856</v>
      </c>
      <c r="G15" s="300">
        <f>OUTPUTS_FOR_SECTION_2_OF_MODEL!I69</f>
        <v>39.677527535553914</v>
      </c>
      <c r="H15" s="300">
        <f>OUTPUTS_FOR_SECTION_2_OF_MODEL!J69</f>
        <v>39.409194428426616</v>
      </c>
      <c r="I15" s="300">
        <f>OUTPUTS_FOR_SECTION_2_OF_MODEL!K69</f>
        <v>37.931307439058898</v>
      </c>
      <c r="J15" s="300">
        <f>OUTPUTS_FOR_SECTION_2_OF_MODEL!L69</f>
        <v>36.999550006162941</v>
      </c>
      <c r="K15" s="300">
        <f>OUTPUTS_FOR_SECTION_2_OF_MODEL!M69</f>
        <v>36.917790027062196</v>
      </c>
      <c r="L15" s="300">
        <f>OUTPUTS_FOR_SECTION_2_OF_MODEL!N69</f>
        <v>36.633541807779352</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34.778361673034226</v>
      </c>
      <c r="D44" s="447">
        <f t="shared" si="4"/>
        <v>35.38897198289817</v>
      </c>
      <c r="E44" s="447">
        <f t="shared" si="4"/>
        <v>35.552941682460471</v>
      </c>
      <c r="F44" s="447">
        <f t="shared" si="4"/>
        <v>36.067499243104876</v>
      </c>
      <c r="G44" s="447">
        <f t="shared" si="4"/>
        <v>36.939778135600697</v>
      </c>
      <c r="H44" s="447">
        <f t="shared" si="4"/>
        <v>36.689960012865178</v>
      </c>
      <c r="I44" s="447">
        <f t="shared" si="4"/>
        <v>35.314047225763836</v>
      </c>
      <c r="J44" s="447">
        <f t="shared" si="4"/>
        <v>34.446581055737703</v>
      </c>
      <c r="K44" s="447">
        <f t="shared" si="4"/>
        <v>34.370462515194909</v>
      </c>
      <c r="L44" s="447">
        <f t="shared" si="4"/>
        <v>34.105827423042577</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0.36744991908102592</v>
      </c>
      <c r="D58" s="447">
        <f t="shared" ref="D58:L58" si="7">D44/$J$51</f>
        <v>0.37390130719007281</v>
      </c>
      <c r="E58" s="447">
        <f t="shared" si="7"/>
        <v>0.37563372499061065</v>
      </c>
      <c r="F58" s="447">
        <f t="shared" si="7"/>
        <v>0.38107027015621914</v>
      </c>
      <c r="G58" s="447">
        <f t="shared" si="7"/>
        <v>0.39028631119567364</v>
      </c>
      <c r="H58" s="447">
        <f t="shared" si="7"/>
        <v>0.38764686400586212</v>
      </c>
      <c r="I58" s="447">
        <f t="shared" si="7"/>
        <v>0.3731096915238431</v>
      </c>
      <c r="J58" s="447">
        <f t="shared" si="7"/>
        <v>0.3639444991844703</v>
      </c>
      <c r="K58" s="447">
        <f t="shared" si="7"/>
        <v>0.36314027062919879</v>
      </c>
      <c r="L58" s="447">
        <f t="shared" si="7"/>
        <v>0.36034427511590894</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0.36744991908102592</v>
      </c>
      <c r="D99" s="447">
        <f t="shared" ref="D99:L99" si="33">D58</f>
        <v>0.37390130719007281</v>
      </c>
      <c r="E99" s="447">
        <f t="shared" si="33"/>
        <v>0.37563372499061065</v>
      </c>
      <c r="F99" s="447">
        <f t="shared" si="33"/>
        <v>0.38107027015621914</v>
      </c>
      <c r="G99" s="447">
        <f t="shared" si="33"/>
        <v>0.39028631119567364</v>
      </c>
      <c r="H99" s="447">
        <f t="shared" si="33"/>
        <v>0.38764686400586212</v>
      </c>
      <c r="I99" s="447">
        <f t="shared" si="33"/>
        <v>0.3731096915238431</v>
      </c>
      <c r="J99" s="447">
        <f t="shared" si="33"/>
        <v>0.3639444991844703</v>
      </c>
      <c r="K99" s="447">
        <f t="shared" si="33"/>
        <v>0.36314027062919879</v>
      </c>
      <c r="L99" s="447">
        <f t="shared" si="33"/>
        <v>0.36034427511590894</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901</v>
      </c>
      <c r="C104" s="447">
        <f t="shared" ref="C104:L104" si="35">C66*C$99</f>
        <v>4.6609598169513768</v>
      </c>
      <c r="D104" s="447">
        <f t="shared" si="35"/>
        <v>4.7427931748550289</v>
      </c>
      <c r="E104" s="447">
        <f t="shared" si="35"/>
        <v>4.7647682232498489</v>
      </c>
      <c r="F104" s="447">
        <f t="shared" si="35"/>
        <v>4.8337286917221656</v>
      </c>
      <c r="G104" s="447">
        <f t="shared" si="35"/>
        <v>4.9506306005964467</v>
      </c>
      <c r="H104" s="447">
        <f t="shared" si="35"/>
        <v>4.9171502359213255</v>
      </c>
      <c r="I104" s="447">
        <f t="shared" si="35"/>
        <v>4.7327518369225192</v>
      </c>
      <c r="J104" s="447">
        <f t="shared" si="35"/>
        <v>4.6164949241021702</v>
      </c>
      <c r="K104" s="447">
        <f t="shared" si="35"/>
        <v>4.606293596560338</v>
      </c>
      <c r="L104" s="447">
        <f t="shared" si="35"/>
        <v>4.5708274770727817</v>
      </c>
    </row>
    <row r="105" spans="1:12">
      <c r="A105" s="302"/>
      <c r="B105" s="319" t="s">
        <v>902</v>
      </c>
      <c r="C105" s="447">
        <f t="shared" ref="C105:L105" si="36">C77*C$99</f>
        <v>13.194208878208421</v>
      </c>
      <c r="D105" s="447">
        <f t="shared" si="36"/>
        <v>13.42586211269011</v>
      </c>
      <c r="E105" s="447">
        <f t="shared" si="36"/>
        <v>13.488068909147676</v>
      </c>
      <c r="F105" s="447">
        <f t="shared" si="36"/>
        <v>13.683281668127862</v>
      </c>
      <c r="G105" s="447">
        <f t="shared" si="36"/>
        <v>14.014206684545922</v>
      </c>
      <c r="H105" s="447">
        <f t="shared" si="36"/>
        <v>13.919430728049674</v>
      </c>
      <c r="I105" s="447">
        <f t="shared" si="36"/>
        <v>13.39743717119708</v>
      </c>
      <c r="J105" s="447">
        <f t="shared" si="36"/>
        <v>13.068338004602966</v>
      </c>
      <c r="K105" s="447">
        <f t="shared" si="36"/>
        <v>13.039460165765471</v>
      </c>
      <c r="L105" s="447">
        <f t="shared" si="36"/>
        <v>12.939062949956737</v>
      </c>
    </row>
    <row r="106" spans="1:12">
      <c r="A106" s="302"/>
      <c r="B106" s="319" t="s">
        <v>903</v>
      </c>
      <c r="C106" s="447">
        <f t="shared" ref="C106:L106" si="37">C88*C$99</f>
        <v>18.889823212942794</v>
      </c>
      <c r="D106" s="447">
        <f t="shared" si="37"/>
        <v>19.221475431462139</v>
      </c>
      <c r="E106" s="447">
        <f t="shared" si="37"/>
        <v>19.310535366663537</v>
      </c>
      <c r="F106" s="447">
        <f t="shared" si="37"/>
        <v>19.590016655771883</v>
      </c>
      <c r="G106" s="447">
        <f t="shared" si="37"/>
        <v>20.063793834424992</v>
      </c>
      <c r="H106" s="447">
        <f t="shared" si="37"/>
        <v>19.928105436615212</v>
      </c>
      <c r="I106" s="447">
        <f t="shared" si="37"/>
        <v>19.180780144264709</v>
      </c>
      <c r="J106" s="447">
        <f t="shared" si="37"/>
        <v>18.709616989741892</v>
      </c>
      <c r="K106" s="447">
        <f t="shared" si="37"/>
        <v>18.668273300594066</v>
      </c>
      <c r="L106" s="447">
        <f t="shared" si="37"/>
        <v>18.524537084561373</v>
      </c>
    </row>
    <row r="107" spans="1:12">
      <c r="A107" s="302"/>
      <c r="B107" s="319" t="s">
        <v>8</v>
      </c>
      <c r="C107" s="447">
        <f>SUM(C104:C106)</f>
        <v>36.744991908102591</v>
      </c>
      <c r="D107" s="447">
        <f t="shared" ref="D107:L107" si="38">SUM(D104:D106)</f>
        <v>37.390130719007274</v>
      </c>
      <c r="E107" s="447">
        <f t="shared" si="38"/>
        <v>37.56337249906106</v>
      </c>
      <c r="F107" s="447">
        <f t="shared" si="38"/>
        <v>38.10702701562191</v>
      </c>
      <c r="G107" s="447">
        <f t="shared" si="38"/>
        <v>39.028631119567365</v>
      </c>
      <c r="H107" s="447">
        <f t="shared" si="38"/>
        <v>38.764686400586214</v>
      </c>
      <c r="I107" s="447">
        <f t="shared" si="38"/>
        <v>37.31096915238431</v>
      </c>
      <c r="J107" s="447">
        <f t="shared" si="38"/>
        <v>36.394449918447023</v>
      </c>
      <c r="K107" s="447">
        <f t="shared" si="38"/>
        <v>36.314027062919877</v>
      </c>
      <c r="L107" s="447">
        <f t="shared" si="38"/>
        <v>36.034427511590891</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36.744991908102591</v>
      </c>
      <c r="D112" s="676">
        <f t="shared" ref="D112:L112" si="39">D107</f>
        <v>37.390130719007274</v>
      </c>
      <c r="E112" s="676">
        <f t="shared" si="39"/>
        <v>37.56337249906106</v>
      </c>
      <c r="F112" s="676">
        <f t="shared" si="39"/>
        <v>38.10702701562191</v>
      </c>
      <c r="G112" s="676">
        <f t="shared" si="39"/>
        <v>39.028631119567365</v>
      </c>
      <c r="H112" s="676">
        <f t="shared" si="39"/>
        <v>38.764686400586214</v>
      </c>
      <c r="I112" s="676">
        <f t="shared" si="39"/>
        <v>37.31096915238431</v>
      </c>
      <c r="J112" s="676">
        <f t="shared" si="39"/>
        <v>36.394449918447023</v>
      </c>
      <c r="K112" s="676">
        <f t="shared" si="39"/>
        <v>36.314027062919877</v>
      </c>
      <c r="L112" s="676">
        <f t="shared" si="39"/>
        <v>36.034427511590891</v>
      </c>
    </row>
    <row r="113" spans="1:12">
      <c r="A113" s="302"/>
      <c r="B113" s="676" t="s">
        <v>1754</v>
      </c>
      <c r="C113" s="676">
        <f t="shared" ref="C113:L113" si="40">((C68+C79+C90)/100)*C112</f>
        <v>5.2443472935156441</v>
      </c>
      <c r="D113" s="676">
        <f t="shared" si="40"/>
        <v>5.3364232962909721</v>
      </c>
      <c r="E113" s="676">
        <f t="shared" si="40"/>
        <v>5.3611488442682624</v>
      </c>
      <c r="F113" s="676">
        <f t="shared" si="40"/>
        <v>5.4387407267121048</v>
      </c>
      <c r="G113" s="676">
        <f t="shared" si="40"/>
        <v>5.5702746239111267</v>
      </c>
      <c r="H113" s="676">
        <f t="shared" si="40"/>
        <v>5.5326037005894282</v>
      </c>
      <c r="I113" s="676">
        <f t="shared" si="40"/>
        <v>5.3251251376546103</v>
      </c>
      <c r="J113" s="676">
        <f t="shared" si="40"/>
        <v>5.1943169672248821</v>
      </c>
      <c r="K113" s="676">
        <f t="shared" si="40"/>
        <v>5.1828387939332563</v>
      </c>
      <c r="L113" s="676">
        <f t="shared" si="40"/>
        <v>5.1429335694621905</v>
      </c>
    </row>
    <row r="114" spans="1:12">
      <c r="A114" s="302"/>
      <c r="B114" s="676" t="s">
        <v>1755</v>
      </c>
      <c r="C114" s="676">
        <f t="shared" ref="C114:L114" si="41">((C67+C78+C89)/100)*C112</f>
        <v>31.50064461458695</v>
      </c>
      <c r="D114" s="676">
        <f t="shared" si="41"/>
        <v>32.0537074227163</v>
      </c>
      <c r="E114" s="676">
        <f t="shared" si="41"/>
        <v>32.202223654792796</v>
      </c>
      <c r="F114" s="676">
        <f t="shared" si="41"/>
        <v>32.668286288909805</v>
      </c>
      <c r="G114" s="676">
        <f t="shared" si="41"/>
        <v>33.45835649565624</v>
      </c>
      <c r="H114" s="676">
        <f t="shared" si="41"/>
        <v>33.232082699996788</v>
      </c>
      <c r="I114" s="676">
        <f t="shared" si="41"/>
        <v>31.9858440147297</v>
      </c>
      <c r="J114" s="676">
        <f t="shared" si="41"/>
        <v>31.200132951222141</v>
      </c>
      <c r="K114" s="676">
        <f t="shared" si="41"/>
        <v>31.13118826898662</v>
      </c>
      <c r="L114" s="676">
        <f t="shared" si="41"/>
        <v>30.891493942128701</v>
      </c>
    </row>
    <row r="115" spans="1:12">
      <c r="A115" s="302"/>
      <c r="B115" s="676" t="s">
        <v>855</v>
      </c>
      <c r="C115" s="676">
        <f>C113*$C$39</f>
        <v>3.2777170584472777</v>
      </c>
      <c r="D115" s="676">
        <f t="shared" ref="D115:L115" si="42">D113*$C$39</f>
        <v>3.3352645601818578</v>
      </c>
      <c r="E115" s="676">
        <f t="shared" si="42"/>
        <v>3.3507180276676642</v>
      </c>
      <c r="F115" s="676">
        <f t="shared" si="42"/>
        <v>3.3992129541950655</v>
      </c>
      <c r="G115" s="676">
        <f t="shared" si="42"/>
        <v>3.481421639944454</v>
      </c>
      <c r="H115" s="676">
        <f t="shared" si="42"/>
        <v>3.4578773128683924</v>
      </c>
      <c r="I115" s="676">
        <f t="shared" si="42"/>
        <v>3.3282032110341313</v>
      </c>
      <c r="J115" s="676">
        <f t="shared" si="42"/>
        <v>3.2464481045155513</v>
      </c>
      <c r="K115" s="676">
        <f t="shared" si="42"/>
        <v>3.2392742462082853</v>
      </c>
      <c r="L115" s="676">
        <f t="shared" si="42"/>
        <v>3.2143334809138691</v>
      </c>
    </row>
    <row r="116" spans="1:12">
      <c r="A116" s="302"/>
      <c r="B116" s="676" t="s">
        <v>856</v>
      </c>
      <c r="C116" s="676">
        <f>C114</f>
        <v>31.50064461458695</v>
      </c>
      <c r="D116" s="676">
        <f t="shared" ref="D116:L116" si="43">D114</f>
        <v>32.0537074227163</v>
      </c>
      <c r="E116" s="676">
        <f t="shared" si="43"/>
        <v>32.202223654792796</v>
      </c>
      <c r="F116" s="676">
        <f t="shared" si="43"/>
        <v>32.668286288909805</v>
      </c>
      <c r="G116" s="676">
        <f t="shared" si="43"/>
        <v>33.45835649565624</v>
      </c>
      <c r="H116" s="676">
        <f t="shared" si="43"/>
        <v>33.232082699996788</v>
      </c>
      <c r="I116" s="676">
        <f t="shared" si="43"/>
        <v>31.9858440147297</v>
      </c>
      <c r="J116" s="676">
        <f t="shared" si="43"/>
        <v>31.200132951222141</v>
      </c>
      <c r="K116" s="676">
        <f t="shared" si="43"/>
        <v>31.13118826898662</v>
      </c>
      <c r="L116" s="676">
        <f t="shared" si="43"/>
        <v>30.891493942128701</v>
      </c>
    </row>
    <row r="117" spans="1:12">
      <c r="A117" s="302"/>
      <c r="B117" s="676" t="s">
        <v>746</v>
      </c>
      <c r="C117" s="676">
        <f>C116+C115</f>
        <v>34.778361673034226</v>
      </c>
      <c r="D117" s="676">
        <f t="shared" ref="D117:L117" si="44">D116+D115</f>
        <v>35.388971982898155</v>
      </c>
      <c r="E117" s="676">
        <f t="shared" si="44"/>
        <v>35.552941682460457</v>
      </c>
      <c r="F117" s="676">
        <f t="shared" si="44"/>
        <v>36.067499243104869</v>
      </c>
      <c r="G117" s="676">
        <f t="shared" si="44"/>
        <v>36.93977813560069</v>
      </c>
      <c r="H117" s="676">
        <f t="shared" si="44"/>
        <v>36.689960012865178</v>
      </c>
      <c r="I117" s="676">
        <f t="shared" si="44"/>
        <v>35.314047225763829</v>
      </c>
      <c r="J117" s="676">
        <f t="shared" si="44"/>
        <v>34.446581055737695</v>
      </c>
      <c r="K117" s="676">
        <f t="shared" si="44"/>
        <v>34.370462515194902</v>
      </c>
      <c r="L117" s="676">
        <f t="shared" si="44"/>
        <v>34.10582742304257</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2"/>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9.45" customHeight="1">
      <c r="A5" s="1168" t="s">
        <v>776</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SUM(A12:A1874)</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OUTPUTS_FOR_SECTION_2_OF_MODEL!B70</f>
        <v>Computing</v>
      </c>
      <c r="C15" s="300">
        <f>OUTPUTS_FOR_SECTION_2_OF_MODEL!E70</f>
        <v>863.67789279291742</v>
      </c>
      <c r="D15" s="300">
        <f>OUTPUTS_FOR_SECTION_2_OF_MODEL!F70</f>
        <v>858.9792121844614</v>
      </c>
      <c r="E15" s="300">
        <f>OUTPUTS_FOR_SECTION_2_OF_MODEL!G70</f>
        <v>853.05623139619593</v>
      </c>
      <c r="F15" s="300">
        <f>OUTPUTS_FOR_SECTION_2_OF_MODEL!H70</f>
        <v>844.24096678780847</v>
      </c>
      <c r="G15" s="300">
        <f>OUTPUTS_FOR_SECTION_2_OF_MODEL!I70</f>
        <v>880.60980387152154</v>
      </c>
      <c r="H15" s="300">
        <f>OUTPUTS_FOR_SECTION_2_OF_MODEL!J70</f>
        <v>910.66420014363166</v>
      </c>
      <c r="I15" s="300">
        <f>OUTPUTS_FOR_SECTION_2_OF_MODEL!K70</f>
        <v>885.79312321106693</v>
      </c>
      <c r="J15" s="300">
        <f>OUTPUTS_FOR_SECTION_2_OF_MODEL!L70</f>
        <v>867.37733034142661</v>
      </c>
      <c r="K15" s="300">
        <f>OUTPUTS_FOR_SECTION_2_OF_MODEL!M70</f>
        <v>868.25838545086049</v>
      </c>
      <c r="L15" s="300">
        <f>OUTPUTS_FOR_SECTION_2_OF_MODEL!N70</f>
        <v>860.84071320300791</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804.08411819020614</v>
      </c>
      <c r="D44" s="447">
        <f t="shared" si="4"/>
        <v>799.70964654373358</v>
      </c>
      <c r="E44" s="447">
        <f t="shared" si="4"/>
        <v>794.19535142985842</v>
      </c>
      <c r="F44" s="447">
        <f t="shared" si="4"/>
        <v>785.9883400794497</v>
      </c>
      <c r="G44" s="447">
        <f t="shared" si="4"/>
        <v>819.84772740438655</v>
      </c>
      <c r="H44" s="447">
        <f t="shared" si="4"/>
        <v>847.82837033372107</v>
      </c>
      <c r="I44" s="447">
        <f t="shared" si="4"/>
        <v>824.67339770950332</v>
      </c>
      <c r="J44" s="447">
        <f t="shared" si="4"/>
        <v>807.5282945478682</v>
      </c>
      <c r="K44" s="447">
        <f t="shared" si="4"/>
        <v>808.34855685475111</v>
      </c>
      <c r="L44" s="447">
        <f t="shared" si="4"/>
        <v>801.44270399200036</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8.4955308401550695</v>
      </c>
      <c r="D58" s="447">
        <f t="shared" ref="D58:L58" si="7">D44/$J$51</f>
        <v>8.4493124682941279</v>
      </c>
      <c r="E58" s="447">
        <f t="shared" si="7"/>
        <v>8.3910513198124459</v>
      </c>
      <c r="F58" s="447">
        <f t="shared" si="7"/>
        <v>8.3043403446102122</v>
      </c>
      <c r="G58" s="447">
        <f t="shared" si="7"/>
        <v>8.6620808629718908</v>
      </c>
      <c r="H58" s="447">
        <f t="shared" si="7"/>
        <v>8.9577096529902214</v>
      </c>
      <c r="I58" s="447">
        <f t="shared" si="7"/>
        <v>8.7130663630882381</v>
      </c>
      <c r="J58" s="447">
        <f t="shared" si="7"/>
        <v>8.5319202001778844</v>
      </c>
      <c r="K58" s="447">
        <f t="shared" si="7"/>
        <v>8.5405866612700709</v>
      </c>
      <c r="L58" s="447">
        <f t="shared" si="7"/>
        <v>8.4676230438501392</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8.4955308401550695</v>
      </c>
      <c r="D99" s="447">
        <f t="shared" ref="D99:L99" si="33">D58</f>
        <v>8.4493124682941279</v>
      </c>
      <c r="E99" s="447">
        <f t="shared" si="33"/>
        <v>8.3910513198124459</v>
      </c>
      <c r="F99" s="447">
        <f t="shared" si="33"/>
        <v>8.3043403446102122</v>
      </c>
      <c r="G99" s="447">
        <f t="shared" si="33"/>
        <v>8.6620808629718908</v>
      </c>
      <c r="H99" s="447">
        <f t="shared" si="33"/>
        <v>8.9577096529902214</v>
      </c>
      <c r="I99" s="447">
        <f t="shared" si="33"/>
        <v>8.7130663630882381</v>
      </c>
      <c r="J99" s="447">
        <f t="shared" si="33"/>
        <v>8.5319202001778844</v>
      </c>
      <c r="K99" s="447">
        <f t="shared" si="33"/>
        <v>8.5405866612700709</v>
      </c>
      <c r="L99" s="447">
        <f t="shared" si="33"/>
        <v>8.4676230438501392</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904</v>
      </c>
      <c r="C104" s="447">
        <f t="shared" ref="C104:L104" si="35">C66*C$99</f>
        <v>107.76251623259276</v>
      </c>
      <c r="D104" s="447">
        <f t="shared" si="35"/>
        <v>107.17625409763971</v>
      </c>
      <c r="E104" s="447">
        <f t="shared" si="35"/>
        <v>106.43723400847573</v>
      </c>
      <c r="F104" s="447">
        <f t="shared" si="35"/>
        <v>105.33733889319838</v>
      </c>
      <c r="G104" s="447">
        <f t="shared" si="35"/>
        <v>109.87513872493943</v>
      </c>
      <c r="H104" s="447">
        <f t="shared" si="35"/>
        <v>113.6250753542779</v>
      </c>
      <c r="I104" s="447">
        <f t="shared" si="35"/>
        <v>110.5218700342939</v>
      </c>
      <c r="J104" s="447">
        <f t="shared" si="35"/>
        <v>108.22410116164949</v>
      </c>
      <c r="K104" s="447">
        <f t="shared" si="35"/>
        <v>108.33403186188444</v>
      </c>
      <c r="L104" s="447">
        <f t="shared" si="35"/>
        <v>107.40851665223563</v>
      </c>
    </row>
    <row r="105" spans="1:12">
      <c r="A105" s="302"/>
      <c r="B105" s="319" t="s">
        <v>905</v>
      </c>
      <c r="C105" s="447">
        <f t="shared" ref="C105:L105" si="36">C77*C$99</f>
        <v>305.05329465469345</v>
      </c>
      <c r="D105" s="447">
        <f t="shared" si="36"/>
        <v>303.39370835278572</v>
      </c>
      <c r="E105" s="447">
        <f t="shared" si="36"/>
        <v>301.30169601958357</v>
      </c>
      <c r="F105" s="447">
        <f t="shared" si="36"/>
        <v>298.1881214630489</v>
      </c>
      <c r="G105" s="447">
        <f t="shared" si="36"/>
        <v>311.03369001091329</v>
      </c>
      <c r="H105" s="447">
        <f t="shared" si="36"/>
        <v>321.64898151966923</v>
      </c>
      <c r="I105" s="447">
        <f t="shared" si="36"/>
        <v>312.8644519824424</v>
      </c>
      <c r="J105" s="447">
        <f t="shared" si="36"/>
        <v>306.35994568971375</v>
      </c>
      <c r="K105" s="447">
        <f t="shared" si="36"/>
        <v>306.67113666281602</v>
      </c>
      <c r="L105" s="447">
        <f t="shared" si="36"/>
        <v>304.05119538985036</v>
      </c>
    </row>
    <row r="106" spans="1:12">
      <c r="A106" s="302"/>
      <c r="B106" s="319" t="s">
        <v>906</v>
      </c>
      <c r="C106" s="447">
        <f t="shared" ref="C106:L106" si="37">C88*C$99</f>
        <v>436.73727312822069</v>
      </c>
      <c r="D106" s="447">
        <f t="shared" si="37"/>
        <v>434.36128437898731</v>
      </c>
      <c r="E106" s="447">
        <f t="shared" si="37"/>
        <v>431.36620195318523</v>
      </c>
      <c r="F106" s="447">
        <f t="shared" si="37"/>
        <v>426.90857410477389</v>
      </c>
      <c r="G106" s="447">
        <f t="shared" si="37"/>
        <v>445.29925756133633</v>
      </c>
      <c r="H106" s="447">
        <f t="shared" si="37"/>
        <v>460.49690842507499</v>
      </c>
      <c r="I106" s="447">
        <f t="shared" si="37"/>
        <v>447.92031429208743</v>
      </c>
      <c r="J106" s="447">
        <f t="shared" si="37"/>
        <v>438.60797316642515</v>
      </c>
      <c r="K106" s="447">
        <f t="shared" si="37"/>
        <v>439.05349760230661</v>
      </c>
      <c r="L106" s="447">
        <f t="shared" si="37"/>
        <v>435.30259234292788</v>
      </c>
    </row>
    <row r="107" spans="1:12">
      <c r="A107" s="302"/>
      <c r="B107" s="319" t="s">
        <v>8</v>
      </c>
      <c r="C107" s="447">
        <f>SUM(C104:C106)</f>
        <v>849.5530840155069</v>
      </c>
      <c r="D107" s="447">
        <f t="shared" ref="D107:L107" si="38">SUM(D104:D106)</f>
        <v>844.93124682941277</v>
      </c>
      <c r="E107" s="447">
        <f t="shared" si="38"/>
        <v>839.10513198124454</v>
      </c>
      <c r="F107" s="447">
        <f t="shared" si="38"/>
        <v>830.43403446102116</v>
      </c>
      <c r="G107" s="447">
        <f t="shared" si="38"/>
        <v>866.20808629718908</v>
      </c>
      <c r="H107" s="447">
        <f t="shared" si="38"/>
        <v>895.77096529902212</v>
      </c>
      <c r="I107" s="447">
        <f t="shared" si="38"/>
        <v>871.30663630882373</v>
      </c>
      <c r="J107" s="447">
        <f t="shared" si="38"/>
        <v>853.19202001778842</v>
      </c>
      <c r="K107" s="447">
        <f t="shared" si="38"/>
        <v>854.05866612700709</v>
      </c>
      <c r="L107" s="447">
        <f t="shared" si="38"/>
        <v>846.76230438501386</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849.5530840155069</v>
      </c>
      <c r="D112" s="676">
        <f t="shared" ref="D112:L112" si="39">D107</f>
        <v>844.93124682941277</v>
      </c>
      <c r="E112" s="676">
        <f t="shared" si="39"/>
        <v>839.10513198124454</v>
      </c>
      <c r="F112" s="676">
        <f t="shared" si="39"/>
        <v>830.43403446102116</v>
      </c>
      <c r="G112" s="676">
        <f t="shared" si="39"/>
        <v>866.20808629718908</v>
      </c>
      <c r="H112" s="676">
        <f t="shared" si="39"/>
        <v>895.77096529902212</v>
      </c>
      <c r="I112" s="676">
        <f t="shared" si="39"/>
        <v>871.30663630882373</v>
      </c>
      <c r="J112" s="676">
        <f t="shared" si="39"/>
        <v>853.19202001778842</v>
      </c>
      <c r="K112" s="676">
        <f t="shared" si="39"/>
        <v>854.05866612700709</v>
      </c>
      <c r="L112" s="676">
        <f t="shared" si="39"/>
        <v>846.76230438501386</v>
      </c>
    </row>
    <row r="113" spans="1:12">
      <c r="A113" s="302"/>
      <c r="B113" s="676" t="s">
        <v>1754</v>
      </c>
      <c r="C113" s="676">
        <f t="shared" ref="C113:L113" si="40">((C68+C79+C90)/100)*C112</f>
        <v>121.25057553413554</v>
      </c>
      <c r="D113" s="676">
        <f t="shared" si="40"/>
        <v>120.59093409514483</v>
      </c>
      <c r="E113" s="676">
        <f t="shared" si="40"/>
        <v>119.75941480369643</v>
      </c>
      <c r="F113" s="676">
        <f t="shared" si="40"/>
        <v>118.52185168419099</v>
      </c>
      <c r="G113" s="676">
        <f t="shared" si="40"/>
        <v>123.62762371414007</v>
      </c>
      <c r="H113" s="676">
        <f t="shared" si="40"/>
        <v>127.84691990746992</v>
      </c>
      <c r="I113" s="676">
        <f t="shared" si="40"/>
        <v>124.35530293152138</v>
      </c>
      <c r="J113" s="676">
        <f t="shared" si="40"/>
        <v>121.769934586454</v>
      </c>
      <c r="K113" s="676">
        <f t="shared" si="40"/>
        <v>121.89362472601597</v>
      </c>
      <c r="L113" s="676">
        <f t="shared" si="40"/>
        <v>120.8522677147032</v>
      </c>
    </row>
    <row r="114" spans="1:12">
      <c r="A114" s="302"/>
      <c r="B114" s="676" t="s">
        <v>1755</v>
      </c>
      <c r="C114" s="676">
        <f t="shared" ref="C114:L114" si="41">((C67+C78+C89)/100)*C112</f>
        <v>728.30250848137143</v>
      </c>
      <c r="D114" s="676">
        <f t="shared" si="41"/>
        <v>724.34031273426797</v>
      </c>
      <c r="E114" s="676">
        <f t="shared" si="41"/>
        <v>719.34571717754818</v>
      </c>
      <c r="F114" s="676">
        <f t="shared" si="41"/>
        <v>711.91218277683015</v>
      </c>
      <c r="G114" s="676">
        <f t="shared" si="41"/>
        <v>742.58046258304898</v>
      </c>
      <c r="H114" s="676">
        <f t="shared" si="41"/>
        <v>767.92404539155223</v>
      </c>
      <c r="I114" s="676">
        <f t="shared" si="41"/>
        <v>746.95133337730238</v>
      </c>
      <c r="J114" s="676">
        <f t="shared" si="41"/>
        <v>731.42208543133449</v>
      </c>
      <c r="K114" s="676">
        <f t="shared" si="41"/>
        <v>732.16504140099119</v>
      </c>
      <c r="L114" s="676">
        <f t="shared" si="41"/>
        <v>725.91003667031066</v>
      </c>
    </row>
    <row r="115" spans="1:12">
      <c r="A115" s="302"/>
      <c r="B115" s="676" t="s">
        <v>855</v>
      </c>
      <c r="C115" s="676">
        <f>C113*$C$39</f>
        <v>75.781609708834708</v>
      </c>
      <c r="D115" s="676">
        <f t="shared" ref="D115:L115" si="42">D113*$C$39</f>
        <v>75.369333809465516</v>
      </c>
      <c r="E115" s="676">
        <f t="shared" si="42"/>
        <v>74.849634252310267</v>
      </c>
      <c r="F115" s="676">
        <f t="shared" si="42"/>
        <v>74.076157302619364</v>
      </c>
      <c r="G115" s="676">
        <f t="shared" si="42"/>
        <v>77.267264821337548</v>
      </c>
      <c r="H115" s="676">
        <f t="shared" si="42"/>
        <v>79.904324942168699</v>
      </c>
      <c r="I115" s="676">
        <f t="shared" si="42"/>
        <v>77.722064332200858</v>
      </c>
      <c r="J115" s="676">
        <f t="shared" si="42"/>
        <v>76.106209116533748</v>
      </c>
      <c r="K115" s="676">
        <f t="shared" si="42"/>
        <v>76.183515453759981</v>
      </c>
      <c r="L115" s="676">
        <f t="shared" si="42"/>
        <v>75.532667321689502</v>
      </c>
    </row>
    <row r="116" spans="1:12">
      <c r="A116" s="302"/>
      <c r="B116" s="676" t="s">
        <v>856</v>
      </c>
      <c r="C116" s="676">
        <f>C114</f>
        <v>728.30250848137143</v>
      </c>
      <c r="D116" s="676">
        <f t="shared" ref="D116:L116" si="43">D114</f>
        <v>724.34031273426797</v>
      </c>
      <c r="E116" s="676">
        <f t="shared" si="43"/>
        <v>719.34571717754818</v>
      </c>
      <c r="F116" s="676">
        <f t="shared" si="43"/>
        <v>711.91218277683015</v>
      </c>
      <c r="G116" s="676">
        <f t="shared" si="43"/>
        <v>742.58046258304898</v>
      </c>
      <c r="H116" s="676">
        <f t="shared" si="43"/>
        <v>767.92404539155223</v>
      </c>
      <c r="I116" s="676">
        <f t="shared" si="43"/>
        <v>746.95133337730238</v>
      </c>
      <c r="J116" s="676">
        <f t="shared" si="43"/>
        <v>731.42208543133449</v>
      </c>
      <c r="K116" s="676">
        <f t="shared" si="43"/>
        <v>732.16504140099119</v>
      </c>
      <c r="L116" s="676">
        <f t="shared" si="43"/>
        <v>725.91003667031066</v>
      </c>
    </row>
    <row r="117" spans="1:12">
      <c r="A117" s="302"/>
      <c r="B117" s="676" t="s">
        <v>746</v>
      </c>
      <c r="C117" s="676">
        <f>C116+C115</f>
        <v>804.08411819020614</v>
      </c>
      <c r="D117" s="676">
        <f t="shared" ref="D117:L117" si="44">D116+D115</f>
        <v>799.70964654373347</v>
      </c>
      <c r="E117" s="676">
        <f t="shared" si="44"/>
        <v>794.19535142985842</v>
      </c>
      <c r="F117" s="676">
        <f t="shared" si="44"/>
        <v>785.98834007944947</v>
      </c>
      <c r="G117" s="676">
        <f t="shared" si="44"/>
        <v>819.84772740438655</v>
      </c>
      <c r="H117" s="676">
        <f t="shared" si="44"/>
        <v>847.82837033372095</v>
      </c>
      <c r="I117" s="676">
        <f t="shared" si="44"/>
        <v>824.67339770950321</v>
      </c>
      <c r="J117" s="676">
        <f t="shared" si="44"/>
        <v>807.5282945478682</v>
      </c>
      <c r="K117" s="676">
        <f t="shared" si="44"/>
        <v>808.34855685475122</v>
      </c>
      <c r="L117" s="676">
        <f t="shared" si="44"/>
        <v>801.44270399200013</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2"/>
  <sheetViews>
    <sheetView showGridLines="0" workbookViewId="0"/>
  </sheetViews>
  <sheetFormatPr defaultRowHeight="12.75"/>
  <cols>
    <col min="2" max="2" width="45.7109375" customWidth="1"/>
    <col min="3" max="12"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6" customHeight="1">
      <c r="A5" s="1168" t="s">
        <v>777</v>
      </c>
      <c r="B5" s="1168"/>
      <c r="C5" s="1168"/>
      <c r="D5" s="1168"/>
      <c r="E5" s="1168"/>
      <c r="F5" s="1168"/>
      <c r="G5" s="1168"/>
      <c r="H5" s="1168"/>
      <c r="I5" s="1168"/>
      <c r="J5" s="1168"/>
      <c r="K5" s="1168"/>
      <c r="L5" s="1168"/>
      <c r="M5" s="5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SUM(A12:A1873)</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OUTPUTS_FOR_SECTION_2_OF_MODEL!B71</f>
        <v>Design &amp; Technology</v>
      </c>
      <c r="C15" s="300">
        <f>OUTPUTS_FOR_SECTION_2_OF_MODEL!E71</f>
        <v>1247.5334877762843</v>
      </c>
      <c r="D15" s="300">
        <f>OUTPUTS_FOR_SECTION_2_OF_MODEL!F71</f>
        <v>1151.5297501158616</v>
      </c>
      <c r="E15" s="300">
        <f>OUTPUTS_FOR_SECTION_2_OF_MODEL!G71</f>
        <v>1104.0135268593774</v>
      </c>
      <c r="F15" s="300">
        <f>OUTPUTS_FOR_SECTION_2_OF_MODEL!H71</f>
        <v>1048.4847283327263</v>
      </c>
      <c r="G15" s="300">
        <f>OUTPUTS_FOR_SECTION_2_OF_MODEL!I71</f>
        <v>1103.8798661895696</v>
      </c>
      <c r="H15" s="300">
        <f>OUTPUTS_FOR_SECTION_2_OF_MODEL!J71</f>
        <v>1127.7068782784741</v>
      </c>
      <c r="I15" s="300">
        <f>OUTPUTS_FOR_SECTION_2_OF_MODEL!K71</f>
        <v>1055.4413862648635</v>
      </c>
      <c r="J15" s="300">
        <f>OUTPUTS_FOR_SECTION_2_OF_MODEL!L71</f>
        <v>1010.4215015686082</v>
      </c>
      <c r="K15" s="300">
        <f>OUTPUTS_FOR_SECTION_2_OF_MODEL!M71</f>
        <v>1044.8871931105132</v>
      </c>
      <c r="L15" s="300">
        <f>OUTPUTS_FOR_SECTION_2_OF_MODEL!N71</f>
        <v>1065.0351341220417</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1161.4536771197209</v>
      </c>
      <c r="D44" s="447">
        <f t="shared" si="4"/>
        <v>1072.0741973578672</v>
      </c>
      <c r="E44" s="447">
        <f t="shared" si="4"/>
        <v>1027.8365935060804</v>
      </c>
      <c r="F44" s="447">
        <f t="shared" si="4"/>
        <v>976.13928207776826</v>
      </c>
      <c r="G44" s="447">
        <f t="shared" si="4"/>
        <v>1027.7121554224893</v>
      </c>
      <c r="H44" s="447">
        <f t="shared" si="4"/>
        <v>1049.8951036772594</v>
      </c>
      <c r="I44" s="447">
        <f t="shared" si="4"/>
        <v>982.61593061258793</v>
      </c>
      <c r="J44" s="447">
        <f t="shared" si="4"/>
        <v>940.70241796037431</v>
      </c>
      <c r="K44" s="447">
        <f t="shared" si="4"/>
        <v>972.7899767858878</v>
      </c>
      <c r="L44" s="447">
        <f t="shared" si="4"/>
        <v>991.54770986762082</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12.271310065905341</v>
      </c>
      <c r="D58" s="447">
        <f t="shared" ref="D58:L58" si="7">D44/$J$51</f>
        <v>11.326973385679771</v>
      </c>
      <c r="E58" s="447">
        <f t="shared" si="7"/>
        <v>10.859582077587156</v>
      </c>
      <c r="F58" s="447">
        <f t="shared" si="7"/>
        <v>10.313375413810673</v>
      </c>
      <c r="G58" s="447">
        <f t="shared" si="7"/>
        <v>10.858267330096288</v>
      </c>
      <c r="H58" s="447">
        <f t="shared" si="7"/>
        <v>11.092640720591962</v>
      </c>
      <c r="I58" s="447">
        <f t="shared" si="7"/>
        <v>10.381804283531727</v>
      </c>
      <c r="J58" s="447">
        <f t="shared" si="7"/>
        <v>9.9389681034594819</v>
      </c>
      <c r="K58" s="447">
        <f t="shared" si="7"/>
        <v>10.277988411684195</v>
      </c>
      <c r="L58" s="447">
        <f t="shared" si="7"/>
        <v>10.476172776083697</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12.271310065905341</v>
      </c>
      <c r="D99" s="447">
        <f t="shared" ref="D99:L99" si="33">D58</f>
        <v>11.326973385679771</v>
      </c>
      <c r="E99" s="447">
        <f t="shared" si="33"/>
        <v>10.859582077587156</v>
      </c>
      <c r="F99" s="447">
        <f t="shared" si="33"/>
        <v>10.313375413810673</v>
      </c>
      <c r="G99" s="447">
        <f t="shared" si="33"/>
        <v>10.858267330096288</v>
      </c>
      <c r="H99" s="447">
        <f t="shared" si="33"/>
        <v>11.092640720591962</v>
      </c>
      <c r="I99" s="447">
        <f t="shared" si="33"/>
        <v>10.381804283531727</v>
      </c>
      <c r="J99" s="447">
        <f t="shared" si="33"/>
        <v>9.9389681034594819</v>
      </c>
      <c r="K99" s="447">
        <f t="shared" si="33"/>
        <v>10.277988411684195</v>
      </c>
      <c r="L99" s="447">
        <f t="shared" si="33"/>
        <v>10.476172776083697</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907</v>
      </c>
      <c r="C104" s="447">
        <f t="shared" ref="C104:L104" si="35">C66*C$99</f>
        <v>155.65681239386399</v>
      </c>
      <c r="D104" s="447">
        <f t="shared" si="35"/>
        <v>143.67826758641752</v>
      </c>
      <c r="E104" s="447">
        <f t="shared" si="35"/>
        <v>137.7495899825135</v>
      </c>
      <c r="F104" s="447">
        <f t="shared" si="35"/>
        <v>130.82117013694571</v>
      </c>
      <c r="G104" s="447">
        <f t="shared" si="35"/>
        <v>137.73291292012715</v>
      </c>
      <c r="H104" s="447">
        <f t="shared" si="35"/>
        <v>140.70584854628007</v>
      </c>
      <c r="I104" s="447">
        <f t="shared" si="35"/>
        <v>131.68916382949271</v>
      </c>
      <c r="J104" s="447">
        <f t="shared" si="35"/>
        <v>126.07195850809532</v>
      </c>
      <c r="K104" s="447">
        <f t="shared" si="35"/>
        <v>130.37229972933645</v>
      </c>
      <c r="L104" s="447">
        <f t="shared" si="35"/>
        <v>132.88619158465195</v>
      </c>
    </row>
    <row r="105" spans="1:12">
      <c r="A105" s="302"/>
      <c r="B105" s="319" t="s">
        <v>908</v>
      </c>
      <c r="C105" s="447">
        <f t="shared" ref="C105:L105" si="36">C77*C$99</f>
        <v>440.63209654188</v>
      </c>
      <c r="D105" s="447">
        <f t="shared" si="36"/>
        <v>406.72332486107149</v>
      </c>
      <c r="E105" s="447">
        <f t="shared" si="36"/>
        <v>389.94047030974639</v>
      </c>
      <c r="F105" s="447">
        <f t="shared" si="36"/>
        <v>370.32755317927041</v>
      </c>
      <c r="G105" s="447">
        <f t="shared" si="36"/>
        <v>389.89326101096628</v>
      </c>
      <c r="H105" s="447">
        <f t="shared" si="36"/>
        <v>398.30902410986073</v>
      </c>
      <c r="I105" s="447">
        <f t="shared" si="36"/>
        <v>372.78466298802289</v>
      </c>
      <c r="J105" s="447">
        <f t="shared" si="36"/>
        <v>356.88352175682093</v>
      </c>
      <c r="K105" s="447">
        <f t="shared" si="36"/>
        <v>369.05689431289193</v>
      </c>
      <c r="L105" s="447">
        <f t="shared" si="36"/>
        <v>376.17319986773242</v>
      </c>
    </row>
    <row r="106" spans="1:12">
      <c r="A106" s="302"/>
      <c r="B106" s="319" t="s">
        <v>909</v>
      </c>
      <c r="C106" s="447">
        <f t="shared" ref="C106:L106" si="37">C88*C$99</f>
        <v>630.84209765479011</v>
      </c>
      <c r="D106" s="447">
        <f t="shared" si="37"/>
        <v>582.29574612048805</v>
      </c>
      <c r="E106" s="447">
        <f t="shared" si="37"/>
        <v>558.26814746645562</v>
      </c>
      <c r="F106" s="447">
        <f t="shared" si="37"/>
        <v>530.18881806485115</v>
      </c>
      <c r="G106" s="447">
        <f t="shared" si="37"/>
        <v>558.20055907853521</v>
      </c>
      <c r="H106" s="447">
        <f t="shared" si="37"/>
        <v>570.2491994030554</v>
      </c>
      <c r="I106" s="447">
        <f t="shared" si="37"/>
        <v>533.706601535657</v>
      </c>
      <c r="J106" s="447">
        <f t="shared" si="37"/>
        <v>510.94133008103188</v>
      </c>
      <c r="K106" s="447">
        <f t="shared" si="37"/>
        <v>528.36964712619101</v>
      </c>
      <c r="L106" s="447">
        <f t="shared" si="37"/>
        <v>538.55788615598522</v>
      </c>
    </row>
    <row r="107" spans="1:12">
      <c r="A107" s="302"/>
      <c r="B107" s="319" t="s">
        <v>8</v>
      </c>
      <c r="C107" s="447">
        <f>SUM(C104:C106)</f>
        <v>1227.1310065905341</v>
      </c>
      <c r="D107" s="447">
        <f t="shared" ref="D107:L107" si="38">SUM(D104:D106)</f>
        <v>1132.6973385679771</v>
      </c>
      <c r="E107" s="447">
        <f t="shared" si="38"/>
        <v>1085.9582077587156</v>
      </c>
      <c r="F107" s="447">
        <f t="shared" si="38"/>
        <v>1031.3375413810672</v>
      </c>
      <c r="G107" s="447">
        <f t="shared" si="38"/>
        <v>1085.8267330096287</v>
      </c>
      <c r="H107" s="447">
        <f t="shared" si="38"/>
        <v>1109.2640720591962</v>
      </c>
      <c r="I107" s="447">
        <f t="shared" si="38"/>
        <v>1038.1804283531726</v>
      </c>
      <c r="J107" s="447">
        <f t="shared" si="38"/>
        <v>993.8968103459481</v>
      </c>
      <c r="K107" s="447">
        <f t="shared" si="38"/>
        <v>1027.7988411684194</v>
      </c>
      <c r="L107" s="447">
        <f t="shared" si="38"/>
        <v>1047.6172776083695</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1227.1310065905341</v>
      </c>
      <c r="D112" s="676">
        <f t="shared" ref="D112:L112" si="39">D107</f>
        <v>1132.6973385679771</v>
      </c>
      <c r="E112" s="676">
        <f t="shared" si="39"/>
        <v>1085.9582077587156</v>
      </c>
      <c r="F112" s="676">
        <f t="shared" si="39"/>
        <v>1031.3375413810672</v>
      </c>
      <c r="G112" s="676">
        <f t="shared" si="39"/>
        <v>1085.8267330096287</v>
      </c>
      <c r="H112" s="676">
        <f t="shared" si="39"/>
        <v>1109.2640720591962</v>
      </c>
      <c r="I112" s="676">
        <f t="shared" si="39"/>
        <v>1038.1804283531726</v>
      </c>
      <c r="J112" s="676">
        <f t="shared" si="39"/>
        <v>993.8968103459481</v>
      </c>
      <c r="K112" s="676">
        <f t="shared" si="39"/>
        <v>1027.7988411684194</v>
      </c>
      <c r="L112" s="676">
        <f t="shared" si="39"/>
        <v>1047.6172776083695</v>
      </c>
    </row>
    <row r="113" spans="1:12">
      <c r="A113" s="302"/>
      <c r="B113" s="676" t="s">
        <v>1754</v>
      </c>
      <c r="C113" s="676">
        <f t="shared" ref="C113:L113" si="40">((C68+C79+C90)/100)*C112</f>
        <v>175.13954525550218</v>
      </c>
      <c r="D113" s="676">
        <f t="shared" si="40"/>
        <v>161.66170989362675</v>
      </c>
      <c r="E113" s="676">
        <f t="shared" si="40"/>
        <v>154.99097134036083</v>
      </c>
      <c r="F113" s="676">
        <f t="shared" si="40"/>
        <v>147.19535814213134</v>
      </c>
      <c r="G113" s="676">
        <f t="shared" si="40"/>
        <v>154.97220689903878</v>
      </c>
      <c r="H113" s="676">
        <f t="shared" si="40"/>
        <v>158.31724901849844</v>
      </c>
      <c r="I113" s="676">
        <f t="shared" si="40"/>
        <v>148.1719939748931</v>
      </c>
      <c r="J113" s="676">
        <f t="shared" si="40"/>
        <v>141.85171302819739</v>
      </c>
      <c r="K113" s="676">
        <f t="shared" si="40"/>
        <v>146.69030502008476</v>
      </c>
      <c r="L113" s="676">
        <f t="shared" si="40"/>
        <v>149.51884730866385</v>
      </c>
    </row>
    <row r="114" spans="1:12">
      <c r="A114" s="302"/>
      <c r="B114" s="676" t="s">
        <v>1755</v>
      </c>
      <c r="C114" s="676">
        <f t="shared" ref="C114:L114" si="41">((C67+C78+C89)/100)*C112</f>
        <v>1051.991461335032</v>
      </c>
      <c r="D114" s="676">
        <f t="shared" si="41"/>
        <v>971.03562867435039</v>
      </c>
      <c r="E114" s="676">
        <f t="shared" si="41"/>
        <v>930.96723641835479</v>
      </c>
      <c r="F114" s="676">
        <f t="shared" si="41"/>
        <v>884.1421832389359</v>
      </c>
      <c r="G114" s="676">
        <f t="shared" si="41"/>
        <v>930.85452611058997</v>
      </c>
      <c r="H114" s="676">
        <f t="shared" si="41"/>
        <v>950.94682304069784</v>
      </c>
      <c r="I114" s="676">
        <f t="shared" si="41"/>
        <v>890.0084343782795</v>
      </c>
      <c r="J114" s="676">
        <f t="shared" si="41"/>
        <v>852.04509731775067</v>
      </c>
      <c r="K114" s="676">
        <f t="shared" si="41"/>
        <v>881.10853614833468</v>
      </c>
      <c r="L114" s="676">
        <f t="shared" si="41"/>
        <v>898.09843029970568</v>
      </c>
    </row>
    <row r="115" spans="1:12">
      <c r="A115" s="302"/>
      <c r="B115" s="676" t="s">
        <v>855</v>
      </c>
      <c r="C115" s="676">
        <f>C113*$C$39</f>
        <v>109.46221578468887</v>
      </c>
      <c r="D115" s="676">
        <f t="shared" ref="D115:L115" si="42">D113*$C$39</f>
        <v>101.03856868351671</v>
      </c>
      <c r="E115" s="676">
        <f t="shared" si="42"/>
        <v>96.869357087725518</v>
      </c>
      <c r="F115" s="676">
        <f t="shared" si="42"/>
        <v>91.997098838832088</v>
      </c>
      <c r="G115" s="676">
        <f t="shared" si="42"/>
        <v>96.857629311899245</v>
      </c>
      <c r="H115" s="676">
        <f t="shared" si="42"/>
        <v>98.94828063656152</v>
      </c>
      <c r="I115" s="676">
        <f t="shared" si="42"/>
        <v>92.607496234308186</v>
      </c>
      <c r="J115" s="676">
        <f t="shared" si="42"/>
        <v>88.657320642623375</v>
      </c>
      <c r="K115" s="676">
        <f t="shared" si="42"/>
        <v>91.681440637552981</v>
      </c>
      <c r="L115" s="676">
        <f t="shared" si="42"/>
        <v>93.449279567914914</v>
      </c>
    </row>
    <row r="116" spans="1:12">
      <c r="A116" s="302"/>
      <c r="B116" s="676" t="s">
        <v>856</v>
      </c>
      <c r="C116" s="676">
        <f>C114</f>
        <v>1051.991461335032</v>
      </c>
      <c r="D116" s="676">
        <f t="shared" ref="D116:L116" si="43">D114</f>
        <v>971.03562867435039</v>
      </c>
      <c r="E116" s="676">
        <f t="shared" si="43"/>
        <v>930.96723641835479</v>
      </c>
      <c r="F116" s="676">
        <f t="shared" si="43"/>
        <v>884.1421832389359</v>
      </c>
      <c r="G116" s="676">
        <f t="shared" si="43"/>
        <v>930.85452611058997</v>
      </c>
      <c r="H116" s="676">
        <f t="shared" si="43"/>
        <v>950.94682304069784</v>
      </c>
      <c r="I116" s="676">
        <f t="shared" si="43"/>
        <v>890.0084343782795</v>
      </c>
      <c r="J116" s="676">
        <f t="shared" si="43"/>
        <v>852.04509731775067</v>
      </c>
      <c r="K116" s="676">
        <f t="shared" si="43"/>
        <v>881.10853614833468</v>
      </c>
      <c r="L116" s="676">
        <f t="shared" si="43"/>
        <v>898.09843029970568</v>
      </c>
    </row>
    <row r="117" spans="1:12">
      <c r="A117" s="302"/>
      <c r="B117" s="676" t="s">
        <v>746</v>
      </c>
      <c r="C117" s="676">
        <f>C116+C115</f>
        <v>1161.4536771197209</v>
      </c>
      <c r="D117" s="676">
        <f t="shared" ref="D117:L117" si="44">D116+D115</f>
        <v>1072.0741973578672</v>
      </c>
      <c r="E117" s="676">
        <f t="shared" si="44"/>
        <v>1027.8365935060804</v>
      </c>
      <c r="F117" s="676">
        <f t="shared" si="44"/>
        <v>976.13928207776803</v>
      </c>
      <c r="G117" s="676">
        <f t="shared" si="44"/>
        <v>1027.7121554224891</v>
      </c>
      <c r="H117" s="676">
        <f t="shared" si="44"/>
        <v>1049.8951036772594</v>
      </c>
      <c r="I117" s="676">
        <f t="shared" si="44"/>
        <v>982.6159306125877</v>
      </c>
      <c r="J117" s="676">
        <f t="shared" si="44"/>
        <v>940.70241796037408</v>
      </c>
      <c r="K117" s="676">
        <f t="shared" si="44"/>
        <v>972.78997678588769</v>
      </c>
      <c r="L117" s="676">
        <f t="shared" si="44"/>
        <v>991.5477098676206</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row r="134" spans="1:12">
      <c r="A134" s="302"/>
      <c r="B134" s="302"/>
      <c r="C134" s="302"/>
      <c r="D134" s="302"/>
      <c r="E134" s="302"/>
      <c r="F134" s="302"/>
      <c r="G134" s="302"/>
      <c r="H134" s="302"/>
      <c r="I134" s="302"/>
      <c r="J134" s="302"/>
      <c r="K134" s="302"/>
      <c r="L134" s="302"/>
    </row>
    <row r="135" spans="1:12">
      <c r="A135" s="302"/>
      <c r="B135" s="302"/>
      <c r="C135" s="302"/>
      <c r="D135" s="302"/>
      <c r="E135" s="302"/>
      <c r="F135" s="302"/>
      <c r="G135" s="302"/>
      <c r="H135" s="302"/>
      <c r="I135" s="302"/>
      <c r="J135" s="302"/>
      <c r="K135" s="302"/>
      <c r="L135" s="302"/>
    </row>
    <row r="136" spans="1:12">
      <c r="A136" s="302"/>
      <c r="B136" s="302"/>
      <c r="C136" s="302"/>
      <c r="D136" s="302"/>
      <c r="E136" s="302"/>
      <c r="F136" s="302"/>
      <c r="G136" s="302"/>
      <c r="H136" s="302"/>
      <c r="I136" s="302"/>
      <c r="J136" s="302"/>
      <c r="K136" s="302"/>
      <c r="L136" s="302"/>
    </row>
    <row r="137" spans="1:12">
      <c r="A137" s="302"/>
      <c r="B137" s="302"/>
      <c r="C137" s="302"/>
      <c r="D137" s="302"/>
      <c r="E137" s="302"/>
      <c r="F137" s="302"/>
      <c r="G137" s="302"/>
      <c r="H137" s="302"/>
      <c r="I137" s="302"/>
      <c r="J137" s="302"/>
      <c r="K137" s="302"/>
      <c r="L137" s="302"/>
    </row>
    <row r="138" spans="1:12">
      <c r="A138" s="302"/>
      <c r="B138" s="302"/>
      <c r="C138" s="302"/>
      <c r="D138" s="302"/>
      <c r="E138" s="302"/>
      <c r="F138" s="302"/>
      <c r="G138" s="302"/>
      <c r="H138" s="302"/>
      <c r="I138" s="302"/>
      <c r="J138" s="302"/>
      <c r="K138" s="302"/>
      <c r="L138" s="302"/>
    </row>
    <row r="139" spans="1:12">
      <c r="A139" s="302"/>
      <c r="B139" s="302"/>
      <c r="C139" s="302"/>
      <c r="D139" s="302"/>
      <c r="E139" s="302"/>
      <c r="F139" s="302"/>
      <c r="G139" s="302"/>
      <c r="H139" s="302"/>
      <c r="I139" s="302"/>
      <c r="J139" s="302"/>
      <c r="K139" s="302"/>
      <c r="L139" s="302"/>
    </row>
    <row r="140" spans="1:12">
      <c r="A140" s="302"/>
      <c r="B140" s="302"/>
      <c r="C140" s="302"/>
      <c r="D140" s="302"/>
      <c r="E140" s="302"/>
      <c r="F140" s="302"/>
      <c r="G140" s="302"/>
      <c r="H140" s="302"/>
      <c r="I140" s="302"/>
      <c r="J140" s="302"/>
      <c r="K140" s="302"/>
      <c r="L140" s="302"/>
    </row>
    <row r="141" spans="1:12">
      <c r="A141" s="302"/>
      <c r="B141" s="302"/>
      <c r="C141" s="302"/>
      <c r="D141" s="302"/>
      <c r="E141" s="302"/>
      <c r="F141" s="302"/>
      <c r="G141" s="302"/>
      <c r="H141" s="302"/>
      <c r="I141" s="302"/>
      <c r="J141" s="302"/>
      <c r="K141" s="302"/>
      <c r="L141" s="302"/>
    </row>
    <row r="142" spans="1:12">
      <c r="A142" s="302"/>
      <c r="B142" s="302"/>
      <c r="C142" s="302"/>
      <c r="D142" s="302"/>
      <c r="E142" s="302"/>
      <c r="F142" s="302"/>
      <c r="G142" s="302"/>
      <c r="H142" s="302"/>
      <c r="I142" s="302"/>
      <c r="J142" s="302"/>
      <c r="K142" s="302"/>
      <c r="L142" s="302"/>
    </row>
    <row r="143" spans="1:12">
      <c r="A143" s="302"/>
      <c r="B143" s="302"/>
      <c r="C143" s="302"/>
      <c r="D143" s="302"/>
      <c r="E143" s="302"/>
      <c r="F143" s="302"/>
      <c r="G143" s="302"/>
      <c r="H143" s="302"/>
      <c r="I143" s="302"/>
      <c r="J143" s="302"/>
      <c r="K143" s="302"/>
      <c r="L143" s="302"/>
    </row>
    <row r="144" spans="1:12">
      <c r="A144" s="302"/>
      <c r="B144" s="302"/>
      <c r="C144" s="302"/>
      <c r="D144" s="302"/>
      <c r="E144" s="302"/>
      <c r="F144" s="302"/>
      <c r="G144" s="302"/>
      <c r="H144" s="302"/>
      <c r="I144" s="302"/>
      <c r="J144" s="302"/>
      <c r="K144" s="302"/>
      <c r="L144" s="302"/>
    </row>
    <row r="145" spans="1:12">
      <c r="A145" s="302"/>
      <c r="B145" s="302"/>
      <c r="C145" s="302"/>
      <c r="D145" s="302"/>
      <c r="E145" s="302"/>
      <c r="F145" s="302"/>
      <c r="G145" s="302"/>
      <c r="H145" s="302"/>
      <c r="I145" s="302"/>
      <c r="J145" s="302"/>
      <c r="K145" s="302"/>
      <c r="L145" s="302"/>
    </row>
    <row r="146" spans="1:12">
      <c r="A146" s="302"/>
      <c r="B146" s="302"/>
      <c r="C146" s="302"/>
      <c r="D146" s="302"/>
      <c r="E146" s="302"/>
      <c r="F146" s="302"/>
      <c r="G146" s="302"/>
      <c r="H146" s="302"/>
      <c r="I146" s="302"/>
      <c r="J146" s="302"/>
      <c r="K146" s="302"/>
      <c r="L146" s="302"/>
    </row>
    <row r="147" spans="1:12">
      <c r="A147" s="302"/>
      <c r="B147" s="302"/>
      <c r="C147" s="302"/>
      <c r="D147" s="302"/>
      <c r="E147" s="302"/>
      <c r="F147" s="302"/>
      <c r="G147" s="302"/>
      <c r="H147" s="302"/>
      <c r="I147" s="302"/>
      <c r="J147" s="302"/>
      <c r="K147" s="302"/>
      <c r="L147" s="302"/>
    </row>
    <row r="148" spans="1:12">
      <c r="A148" s="302"/>
      <c r="B148" s="302"/>
      <c r="C148" s="302"/>
      <c r="D148" s="302"/>
      <c r="E148" s="302"/>
      <c r="F148" s="302"/>
      <c r="G148" s="302"/>
      <c r="H148" s="302"/>
      <c r="I148" s="302"/>
      <c r="J148" s="302"/>
      <c r="K148" s="302"/>
      <c r="L148" s="302"/>
    </row>
    <row r="149" spans="1:12">
      <c r="A149" s="302"/>
      <c r="B149" s="302"/>
      <c r="C149" s="302"/>
      <c r="D149" s="302"/>
      <c r="E149" s="302"/>
      <c r="F149" s="302"/>
      <c r="G149" s="302"/>
      <c r="H149" s="302"/>
      <c r="I149" s="302"/>
      <c r="J149" s="302"/>
      <c r="K149" s="302"/>
      <c r="L149" s="302"/>
    </row>
    <row r="150" spans="1:12">
      <c r="A150" s="302"/>
      <c r="B150" s="302"/>
      <c r="C150" s="302"/>
      <c r="D150" s="302"/>
      <c r="E150" s="302"/>
      <c r="F150" s="302"/>
      <c r="G150" s="302"/>
      <c r="H150" s="302"/>
      <c r="I150" s="302"/>
      <c r="J150" s="302"/>
      <c r="K150" s="302"/>
      <c r="L150" s="302"/>
    </row>
    <row r="151" spans="1:12">
      <c r="A151" s="302"/>
      <c r="B151" s="302"/>
      <c r="C151" s="302"/>
      <c r="D151" s="302"/>
      <c r="E151" s="302"/>
      <c r="F151" s="302"/>
      <c r="G151" s="302"/>
      <c r="H151" s="302"/>
      <c r="I151" s="302"/>
      <c r="J151" s="302"/>
      <c r="K151" s="302"/>
      <c r="L151" s="302"/>
    </row>
    <row r="152" spans="1:12">
      <c r="A152" s="302"/>
      <c r="B152" s="302"/>
      <c r="C152" s="302"/>
      <c r="D152" s="302"/>
      <c r="E152" s="302"/>
      <c r="F152" s="302"/>
      <c r="G152" s="302"/>
      <c r="H152" s="302"/>
      <c r="I152" s="302"/>
      <c r="J152" s="302"/>
      <c r="K152" s="302"/>
      <c r="L152" s="302"/>
    </row>
    <row r="153" spans="1:12">
      <c r="A153" s="302"/>
      <c r="B153" s="302"/>
      <c r="C153" s="302"/>
      <c r="D153" s="302"/>
      <c r="E153" s="302"/>
      <c r="F153" s="302"/>
      <c r="G153" s="302"/>
      <c r="H153" s="302"/>
      <c r="I153" s="302"/>
      <c r="J153" s="302"/>
      <c r="K153" s="302"/>
      <c r="L153" s="302"/>
    </row>
    <row r="154" spans="1:12">
      <c r="A154" s="302"/>
      <c r="B154" s="302"/>
      <c r="C154" s="302"/>
      <c r="D154" s="302"/>
      <c r="E154" s="302"/>
      <c r="F154" s="302"/>
      <c r="G154" s="302"/>
      <c r="H154" s="302"/>
      <c r="I154" s="302"/>
      <c r="J154" s="302"/>
      <c r="K154" s="302"/>
      <c r="L154" s="302"/>
    </row>
    <row r="155" spans="1:12">
      <c r="A155" s="302"/>
      <c r="B155" s="302"/>
      <c r="C155" s="302"/>
      <c r="D155" s="302"/>
      <c r="E155" s="302"/>
      <c r="F155" s="302"/>
      <c r="G155" s="302"/>
      <c r="H155" s="302"/>
      <c r="I155" s="302"/>
      <c r="J155" s="302"/>
      <c r="K155" s="302"/>
      <c r="L155" s="302"/>
    </row>
    <row r="156" spans="1:12">
      <c r="A156" s="302"/>
      <c r="B156" s="302"/>
      <c r="C156" s="302"/>
      <c r="D156" s="302"/>
      <c r="E156" s="302"/>
      <c r="F156" s="302"/>
      <c r="G156" s="302"/>
      <c r="H156" s="302"/>
      <c r="I156" s="302"/>
      <c r="J156" s="302"/>
      <c r="K156" s="302"/>
      <c r="L156" s="302"/>
    </row>
    <row r="157" spans="1:12">
      <c r="A157" s="302"/>
      <c r="B157" s="302"/>
      <c r="C157" s="302"/>
      <c r="D157" s="302"/>
      <c r="E157" s="302"/>
      <c r="F157" s="302"/>
      <c r="G157" s="302"/>
      <c r="H157" s="302"/>
      <c r="I157" s="302"/>
      <c r="J157" s="302"/>
      <c r="K157" s="302"/>
      <c r="L157" s="302"/>
    </row>
    <row r="158" spans="1:12">
      <c r="A158" s="302"/>
      <c r="B158" s="302"/>
      <c r="C158" s="302"/>
      <c r="D158" s="302"/>
      <c r="E158" s="302"/>
      <c r="F158" s="302"/>
      <c r="G158" s="302"/>
      <c r="H158" s="302"/>
      <c r="I158" s="302"/>
      <c r="J158" s="302"/>
      <c r="K158" s="302"/>
      <c r="L158" s="302"/>
    </row>
    <row r="159" spans="1:12">
      <c r="A159" s="302"/>
      <c r="B159" s="302"/>
      <c r="C159" s="302"/>
      <c r="D159" s="302"/>
      <c r="E159" s="302"/>
      <c r="F159" s="302"/>
      <c r="G159" s="302"/>
      <c r="H159" s="302"/>
      <c r="I159" s="302"/>
      <c r="J159" s="302"/>
      <c r="K159" s="302"/>
      <c r="L159" s="302"/>
    </row>
    <row r="160" spans="1:12">
      <c r="A160" s="302"/>
      <c r="B160" s="302"/>
      <c r="C160" s="302"/>
      <c r="D160" s="302"/>
      <c r="E160" s="302"/>
      <c r="F160" s="302"/>
      <c r="G160" s="302"/>
      <c r="H160" s="302"/>
      <c r="I160" s="302"/>
      <c r="J160" s="302"/>
      <c r="K160" s="302"/>
      <c r="L160" s="302"/>
    </row>
    <row r="161" spans="1:12">
      <c r="A161" s="302"/>
      <c r="B161" s="302"/>
      <c r="C161" s="302"/>
      <c r="D161" s="302"/>
      <c r="E161" s="302"/>
      <c r="F161" s="302"/>
      <c r="G161" s="302"/>
      <c r="H161" s="302"/>
      <c r="I161" s="302"/>
      <c r="J161" s="302"/>
      <c r="K161" s="302"/>
      <c r="L161" s="302"/>
    </row>
    <row r="162" spans="1:12">
      <c r="A162" s="302"/>
      <c r="B162" s="302"/>
      <c r="C162" s="302"/>
      <c r="D162" s="302"/>
      <c r="E162" s="302"/>
      <c r="F162" s="302"/>
      <c r="G162" s="302"/>
      <c r="H162" s="302"/>
      <c r="I162" s="302"/>
      <c r="J162" s="302"/>
      <c r="K162" s="302"/>
      <c r="L162" s="302"/>
    </row>
    <row r="163" spans="1:12">
      <c r="A163" s="302"/>
      <c r="B163" s="302"/>
      <c r="C163" s="302"/>
      <c r="D163" s="302"/>
      <c r="E163" s="302"/>
      <c r="F163" s="302"/>
      <c r="G163" s="302"/>
      <c r="H163" s="302"/>
      <c r="I163" s="302"/>
      <c r="J163" s="302"/>
      <c r="K163" s="302"/>
      <c r="L163" s="302"/>
    </row>
    <row r="164" spans="1:12">
      <c r="A164" s="302"/>
      <c r="B164" s="302"/>
      <c r="C164" s="302"/>
      <c r="D164" s="302"/>
      <c r="E164" s="302"/>
      <c r="F164" s="302"/>
      <c r="G164" s="302"/>
      <c r="H164" s="302"/>
      <c r="I164" s="302"/>
      <c r="J164" s="302"/>
      <c r="K164" s="302"/>
      <c r="L164" s="302"/>
    </row>
    <row r="165" spans="1:12">
      <c r="A165" s="302"/>
      <c r="B165" s="302"/>
      <c r="C165" s="302"/>
      <c r="D165" s="302"/>
      <c r="E165" s="302"/>
      <c r="F165" s="302"/>
      <c r="G165" s="302"/>
      <c r="H165" s="302"/>
      <c r="I165" s="302"/>
      <c r="J165" s="302"/>
      <c r="K165" s="302"/>
      <c r="L165" s="302"/>
    </row>
    <row r="166" spans="1:12">
      <c r="A166" s="302"/>
      <c r="B166" s="302"/>
      <c r="C166" s="302"/>
      <c r="D166" s="302"/>
      <c r="E166" s="302"/>
      <c r="F166" s="302"/>
      <c r="G166" s="302"/>
      <c r="H166" s="302"/>
      <c r="I166" s="302"/>
      <c r="J166" s="302"/>
      <c r="K166" s="302"/>
      <c r="L166" s="302"/>
    </row>
    <row r="167" spans="1:12">
      <c r="A167" s="302"/>
      <c r="B167" s="302"/>
      <c r="C167" s="302"/>
      <c r="D167" s="302"/>
      <c r="E167" s="302"/>
      <c r="F167" s="302"/>
      <c r="G167" s="302"/>
      <c r="H167" s="302"/>
      <c r="I167" s="302"/>
      <c r="J167" s="302"/>
      <c r="K167" s="302"/>
      <c r="L167" s="302"/>
    </row>
    <row r="168" spans="1:12">
      <c r="A168" s="302"/>
      <c r="B168" s="302"/>
      <c r="C168" s="302"/>
      <c r="D168" s="302"/>
      <c r="E168" s="302"/>
      <c r="F168" s="302"/>
      <c r="G168" s="302"/>
      <c r="H168" s="302"/>
      <c r="I168" s="302"/>
      <c r="J168" s="302"/>
      <c r="K168" s="302"/>
      <c r="L168" s="302"/>
    </row>
    <row r="169" spans="1:12">
      <c r="A169" s="302"/>
      <c r="B169" s="302"/>
      <c r="C169" s="302"/>
      <c r="D169" s="302"/>
      <c r="E169" s="302"/>
      <c r="F169" s="302"/>
      <c r="G169" s="302"/>
      <c r="H169" s="302"/>
      <c r="I169" s="302"/>
      <c r="J169" s="302"/>
      <c r="K169" s="302"/>
      <c r="L169" s="302"/>
    </row>
    <row r="170" spans="1:12">
      <c r="A170" s="302"/>
      <c r="B170" s="302"/>
      <c r="C170" s="302"/>
      <c r="D170" s="302"/>
      <c r="E170" s="302"/>
      <c r="F170" s="302"/>
      <c r="G170" s="302"/>
      <c r="H170" s="302"/>
      <c r="I170" s="302"/>
      <c r="J170" s="302"/>
      <c r="K170" s="302"/>
      <c r="L170" s="302"/>
    </row>
    <row r="171" spans="1:12">
      <c r="A171" s="302"/>
      <c r="B171" s="302"/>
      <c r="C171" s="302"/>
      <c r="D171" s="302"/>
      <c r="E171" s="302"/>
      <c r="F171" s="302"/>
      <c r="G171" s="302"/>
      <c r="H171" s="302"/>
      <c r="I171" s="302"/>
      <c r="J171" s="302"/>
      <c r="K171" s="302"/>
      <c r="L171" s="302"/>
    </row>
    <row r="172" spans="1:12">
      <c r="A172" s="302"/>
      <c r="B172" s="302"/>
      <c r="C172" s="302"/>
      <c r="D172" s="302"/>
      <c r="E172" s="302"/>
      <c r="F172" s="302"/>
      <c r="G172" s="302"/>
      <c r="H172" s="302"/>
      <c r="I172" s="302"/>
      <c r="J172" s="302"/>
      <c r="K172" s="302"/>
      <c r="L172" s="302"/>
    </row>
    <row r="173" spans="1:12">
      <c r="A173" s="302"/>
      <c r="B173" s="302"/>
      <c r="C173" s="302"/>
      <c r="D173" s="302"/>
      <c r="E173" s="302"/>
      <c r="F173" s="302"/>
      <c r="G173" s="302"/>
      <c r="H173" s="302"/>
      <c r="I173" s="302"/>
      <c r="J173" s="302"/>
      <c r="K173" s="302"/>
      <c r="L173" s="302"/>
    </row>
    <row r="174" spans="1:12">
      <c r="A174" s="302"/>
      <c r="B174" s="302"/>
      <c r="C174" s="302"/>
      <c r="D174" s="302"/>
      <c r="E174" s="302"/>
      <c r="F174" s="302"/>
      <c r="G174" s="302"/>
      <c r="H174" s="302"/>
      <c r="I174" s="302"/>
      <c r="J174" s="302"/>
      <c r="K174" s="302"/>
      <c r="L174" s="302"/>
    </row>
    <row r="175" spans="1:12">
      <c r="A175" s="302"/>
      <c r="B175" s="302"/>
      <c r="C175" s="302"/>
      <c r="D175" s="302"/>
      <c r="E175" s="302"/>
      <c r="F175" s="302"/>
      <c r="G175" s="302"/>
      <c r="H175" s="302"/>
      <c r="I175" s="302"/>
      <c r="J175" s="302"/>
      <c r="K175" s="302"/>
      <c r="L175" s="302"/>
    </row>
    <row r="176" spans="1:12">
      <c r="A176" s="302"/>
      <c r="B176" s="302"/>
      <c r="C176" s="302"/>
      <c r="D176" s="302"/>
      <c r="E176" s="302"/>
      <c r="F176" s="302"/>
      <c r="G176" s="302"/>
      <c r="H176" s="302"/>
      <c r="I176" s="302"/>
      <c r="J176" s="302"/>
      <c r="K176" s="302"/>
      <c r="L176" s="302"/>
    </row>
    <row r="177" spans="1:12">
      <c r="A177" s="302"/>
      <c r="B177" s="302"/>
      <c r="C177" s="302"/>
      <c r="D177" s="302"/>
      <c r="E177" s="302"/>
      <c r="F177" s="302"/>
      <c r="G177" s="302"/>
      <c r="H177" s="302"/>
      <c r="I177" s="302"/>
      <c r="J177" s="302"/>
      <c r="K177" s="302"/>
      <c r="L177" s="302"/>
    </row>
    <row r="178" spans="1:12">
      <c r="A178" s="302"/>
      <c r="B178" s="302"/>
      <c r="C178" s="302"/>
      <c r="D178" s="302"/>
      <c r="E178" s="302"/>
      <c r="F178" s="302"/>
      <c r="G178" s="302"/>
      <c r="H178" s="302"/>
      <c r="I178" s="302"/>
      <c r="J178" s="302"/>
      <c r="K178" s="302"/>
      <c r="L178" s="302"/>
    </row>
    <row r="179" spans="1:12">
      <c r="A179" s="302"/>
      <c r="B179" s="302"/>
      <c r="C179" s="302"/>
      <c r="D179" s="302"/>
      <c r="E179" s="302"/>
      <c r="F179" s="302"/>
      <c r="G179" s="302"/>
      <c r="H179" s="302"/>
      <c r="I179" s="302"/>
      <c r="J179" s="302"/>
      <c r="K179" s="302"/>
      <c r="L179" s="302"/>
    </row>
    <row r="180" spans="1:12">
      <c r="A180" s="302"/>
      <c r="B180" s="302"/>
      <c r="C180" s="302"/>
      <c r="D180" s="302"/>
      <c r="E180" s="302"/>
      <c r="F180" s="302"/>
      <c r="G180" s="302"/>
      <c r="H180" s="302"/>
      <c r="I180" s="302"/>
      <c r="J180" s="302"/>
      <c r="K180" s="302"/>
      <c r="L180" s="302"/>
    </row>
    <row r="181" spans="1:12">
      <c r="A181" s="302"/>
      <c r="B181" s="302"/>
      <c r="C181" s="302"/>
      <c r="D181" s="302"/>
      <c r="E181" s="302"/>
      <c r="F181" s="302"/>
      <c r="G181" s="302"/>
      <c r="H181" s="302"/>
      <c r="I181" s="302"/>
      <c r="J181" s="302"/>
      <c r="K181" s="302"/>
      <c r="L181" s="302"/>
    </row>
    <row r="182" spans="1:12">
      <c r="A182" s="302"/>
      <c r="B182" s="302"/>
      <c r="C182" s="302"/>
      <c r="D182" s="302"/>
      <c r="E182" s="302"/>
      <c r="F182" s="302"/>
      <c r="G182" s="302"/>
      <c r="H182" s="302"/>
      <c r="I182" s="302"/>
      <c r="J182" s="302"/>
      <c r="K182" s="302"/>
      <c r="L182" s="302"/>
    </row>
    <row r="183" spans="1:12">
      <c r="A183" s="302"/>
      <c r="B183" s="302"/>
      <c r="C183" s="302"/>
      <c r="D183" s="302"/>
      <c r="E183" s="302"/>
      <c r="F183" s="302"/>
      <c r="G183" s="302"/>
      <c r="H183" s="302"/>
      <c r="I183" s="302"/>
      <c r="J183" s="302"/>
      <c r="K183" s="302"/>
      <c r="L183" s="302"/>
    </row>
    <row r="184" spans="1:12">
      <c r="A184" s="302"/>
      <c r="B184" s="302"/>
      <c r="C184" s="302"/>
      <c r="D184" s="302"/>
      <c r="E184" s="302"/>
      <c r="F184" s="302"/>
      <c r="G184" s="302"/>
      <c r="H184" s="302"/>
      <c r="I184" s="302"/>
      <c r="J184" s="302"/>
      <c r="K184" s="302"/>
      <c r="L184" s="302"/>
    </row>
    <row r="185" spans="1:12">
      <c r="A185" s="302"/>
      <c r="B185" s="302"/>
      <c r="C185" s="302"/>
      <c r="D185" s="302"/>
      <c r="E185" s="302"/>
      <c r="F185" s="302"/>
      <c r="G185" s="302"/>
      <c r="H185" s="302"/>
      <c r="I185" s="302"/>
      <c r="J185" s="302"/>
      <c r="K185" s="302"/>
      <c r="L185" s="302"/>
    </row>
    <row r="186" spans="1:12">
      <c r="A186" s="302"/>
      <c r="B186" s="302"/>
      <c r="C186" s="302"/>
      <c r="D186" s="302"/>
      <c r="E186" s="302"/>
      <c r="F186" s="302"/>
      <c r="G186" s="302"/>
      <c r="H186" s="302"/>
      <c r="I186" s="302"/>
      <c r="J186" s="302"/>
      <c r="K186" s="302"/>
      <c r="L186" s="302"/>
    </row>
    <row r="187" spans="1:12">
      <c r="A187" s="302"/>
      <c r="B187" s="302"/>
      <c r="C187" s="302"/>
      <c r="D187" s="302"/>
      <c r="E187" s="302"/>
      <c r="F187" s="302"/>
      <c r="G187" s="302"/>
      <c r="H187" s="302"/>
      <c r="I187" s="302"/>
      <c r="J187" s="302"/>
      <c r="K187" s="302"/>
      <c r="L187" s="302"/>
    </row>
    <row r="188" spans="1:12">
      <c r="A188" s="302"/>
      <c r="B188" s="302"/>
      <c r="C188" s="302"/>
      <c r="D188" s="302"/>
      <c r="E188" s="302"/>
      <c r="F188" s="302"/>
      <c r="G188" s="302"/>
      <c r="H188" s="302"/>
      <c r="I188" s="302"/>
      <c r="J188" s="302"/>
      <c r="K188" s="302"/>
      <c r="L188" s="302"/>
    </row>
    <row r="189" spans="1:12">
      <c r="A189" s="302"/>
      <c r="B189" s="302"/>
      <c r="C189" s="302"/>
      <c r="D189" s="302"/>
      <c r="E189" s="302"/>
      <c r="F189" s="302"/>
      <c r="G189" s="302"/>
      <c r="H189" s="302"/>
      <c r="I189" s="302"/>
      <c r="J189" s="302"/>
      <c r="K189" s="302"/>
      <c r="L189" s="302"/>
    </row>
    <row r="190" spans="1:12">
      <c r="A190" s="302"/>
      <c r="B190" s="302"/>
      <c r="C190" s="302"/>
      <c r="D190" s="302"/>
      <c r="E190" s="302"/>
      <c r="F190" s="302"/>
      <c r="G190" s="302"/>
      <c r="H190" s="302"/>
      <c r="I190" s="302"/>
      <c r="J190" s="302"/>
      <c r="K190" s="302"/>
      <c r="L190" s="302"/>
    </row>
    <row r="191" spans="1:12">
      <c r="A191" s="302"/>
      <c r="B191" s="302"/>
      <c r="C191" s="302"/>
      <c r="D191" s="302"/>
      <c r="E191" s="302"/>
      <c r="F191" s="302"/>
      <c r="G191" s="302"/>
      <c r="H191" s="302"/>
      <c r="I191" s="302"/>
      <c r="J191" s="302"/>
      <c r="K191" s="302"/>
      <c r="L191" s="302"/>
    </row>
    <row r="192" spans="1:12">
      <c r="A192" s="302"/>
      <c r="B192" s="302"/>
      <c r="C192" s="302"/>
      <c r="D192" s="302"/>
      <c r="E192" s="302"/>
      <c r="F192" s="302"/>
      <c r="G192" s="302"/>
      <c r="H192" s="302"/>
      <c r="I192" s="302"/>
      <c r="J192" s="302"/>
      <c r="K192" s="302"/>
      <c r="L192" s="302"/>
    </row>
    <row r="193" spans="1:12">
      <c r="A193" s="302"/>
      <c r="B193" s="302"/>
      <c r="C193" s="302"/>
      <c r="D193" s="302"/>
      <c r="E193" s="302"/>
      <c r="F193" s="302"/>
      <c r="G193" s="302"/>
      <c r="H193" s="302"/>
      <c r="I193" s="302"/>
      <c r="J193" s="302"/>
      <c r="K193" s="302"/>
      <c r="L193" s="302"/>
    </row>
    <row r="194" spans="1:12">
      <c r="A194" s="302"/>
      <c r="B194" s="302"/>
      <c r="C194" s="302"/>
      <c r="D194" s="302"/>
      <c r="E194" s="302"/>
      <c r="F194" s="302"/>
      <c r="G194" s="302"/>
      <c r="H194" s="302"/>
      <c r="I194" s="302"/>
      <c r="J194" s="302"/>
      <c r="K194" s="302"/>
      <c r="L194" s="302"/>
    </row>
    <row r="195" spans="1:12">
      <c r="A195" s="302"/>
      <c r="B195" s="302"/>
      <c r="C195" s="302"/>
      <c r="D195" s="302"/>
      <c r="E195" s="302"/>
      <c r="F195" s="302"/>
      <c r="G195" s="302"/>
      <c r="H195" s="302"/>
      <c r="I195" s="302"/>
      <c r="J195" s="302"/>
      <c r="K195" s="302"/>
      <c r="L195" s="302"/>
    </row>
    <row r="196" spans="1:12">
      <c r="A196" s="302"/>
      <c r="B196" s="302"/>
      <c r="C196" s="302"/>
      <c r="D196" s="302"/>
      <c r="E196" s="302"/>
      <c r="F196" s="302"/>
      <c r="G196" s="302"/>
      <c r="H196" s="302"/>
      <c r="I196" s="302"/>
      <c r="J196" s="302"/>
      <c r="K196" s="302"/>
      <c r="L196" s="302"/>
    </row>
    <row r="197" spans="1:12">
      <c r="A197" s="302"/>
      <c r="B197" s="302"/>
      <c r="C197" s="302"/>
      <c r="D197" s="302"/>
      <c r="E197" s="302"/>
      <c r="F197" s="302"/>
      <c r="G197" s="302"/>
      <c r="H197" s="302"/>
      <c r="I197" s="302"/>
      <c r="J197" s="302"/>
      <c r="K197" s="302"/>
      <c r="L197" s="302"/>
    </row>
    <row r="198" spans="1:12">
      <c r="A198" s="302"/>
      <c r="B198" s="302"/>
      <c r="C198" s="302"/>
      <c r="D198" s="302"/>
      <c r="E198" s="302"/>
      <c r="F198" s="302"/>
      <c r="G198" s="302"/>
      <c r="H198" s="302"/>
      <c r="I198" s="302"/>
      <c r="J198" s="302"/>
      <c r="K198" s="302"/>
      <c r="L198" s="302"/>
    </row>
    <row r="199" spans="1:12">
      <c r="A199" s="302"/>
      <c r="B199" s="302"/>
      <c r="C199" s="302"/>
      <c r="D199" s="302"/>
      <c r="E199" s="302"/>
      <c r="F199" s="302"/>
      <c r="G199" s="302"/>
      <c r="H199" s="302"/>
      <c r="I199" s="302"/>
      <c r="J199" s="302"/>
      <c r="K199" s="302"/>
      <c r="L199" s="302"/>
    </row>
    <row r="200" spans="1:12">
      <c r="A200" s="302"/>
      <c r="B200" s="302"/>
      <c r="C200" s="302"/>
      <c r="D200" s="302"/>
      <c r="E200" s="302"/>
      <c r="F200" s="302"/>
      <c r="G200" s="302"/>
      <c r="H200" s="302"/>
      <c r="I200" s="302"/>
      <c r="J200" s="302"/>
      <c r="K200" s="302"/>
      <c r="L200" s="302"/>
    </row>
    <row r="201" spans="1:12">
      <c r="A201" s="302"/>
      <c r="B201" s="302"/>
      <c r="C201" s="302"/>
      <c r="D201" s="302"/>
      <c r="E201" s="302"/>
      <c r="F201" s="302"/>
      <c r="G201" s="302"/>
      <c r="H201" s="302"/>
      <c r="I201" s="302"/>
      <c r="J201" s="302"/>
      <c r="K201" s="302"/>
      <c r="L201" s="302"/>
    </row>
    <row r="202" spans="1:12">
      <c r="A202" s="302"/>
      <c r="B202" s="302"/>
      <c r="C202" s="302"/>
      <c r="D202" s="302"/>
      <c r="E202" s="302"/>
      <c r="F202" s="302"/>
      <c r="G202" s="302"/>
      <c r="H202" s="302"/>
      <c r="I202" s="302"/>
      <c r="J202" s="302"/>
      <c r="K202" s="302"/>
      <c r="L202" s="302"/>
    </row>
    <row r="203" spans="1:12">
      <c r="A203" s="302"/>
      <c r="B203" s="302"/>
      <c r="C203" s="302"/>
      <c r="D203" s="302"/>
      <c r="E203" s="302"/>
      <c r="F203" s="302"/>
      <c r="G203" s="302"/>
      <c r="H203" s="302"/>
      <c r="I203" s="302"/>
      <c r="J203" s="302"/>
      <c r="K203" s="302"/>
      <c r="L203" s="302"/>
    </row>
    <row r="204" spans="1:12">
      <c r="A204" s="302"/>
      <c r="B204" s="302"/>
      <c r="C204" s="302"/>
      <c r="D204" s="302"/>
      <c r="E204" s="302"/>
      <c r="F204" s="302"/>
      <c r="G204" s="302"/>
      <c r="H204" s="302"/>
      <c r="I204" s="302"/>
      <c r="J204" s="302"/>
      <c r="K204" s="302"/>
      <c r="L204" s="302"/>
    </row>
    <row r="205" spans="1:12">
      <c r="A205" s="302"/>
      <c r="B205" s="302"/>
      <c r="C205" s="302"/>
      <c r="D205" s="302"/>
      <c r="E205" s="302"/>
      <c r="F205" s="302"/>
      <c r="G205" s="302"/>
      <c r="H205" s="302"/>
      <c r="I205" s="302"/>
      <c r="J205" s="302"/>
      <c r="K205" s="302"/>
      <c r="L205" s="302"/>
    </row>
    <row r="206" spans="1:12">
      <c r="A206" s="302"/>
      <c r="B206" s="302"/>
      <c r="C206" s="302"/>
      <c r="D206" s="302"/>
      <c r="E206" s="302"/>
      <c r="F206" s="302"/>
      <c r="G206" s="302"/>
      <c r="H206" s="302"/>
      <c r="I206" s="302"/>
      <c r="J206" s="302"/>
      <c r="K206" s="302"/>
      <c r="L206" s="302"/>
    </row>
    <row r="207" spans="1:12">
      <c r="A207" s="302"/>
      <c r="B207" s="302"/>
      <c r="C207" s="302"/>
      <c r="D207" s="302"/>
      <c r="E207" s="302"/>
      <c r="F207" s="302"/>
      <c r="G207" s="302"/>
      <c r="H207" s="302"/>
      <c r="I207" s="302"/>
      <c r="J207" s="302"/>
      <c r="K207" s="302"/>
      <c r="L207" s="302"/>
    </row>
    <row r="208" spans="1:12">
      <c r="A208" s="302"/>
      <c r="B208" s="302"/>
      <c r="C208" s="302"/>
      <c r="D208" s="302"/>
      <c r="E208" s="302"/>
      <c r="F208" s="302"/>
      <c r="G208" s="302"/>
      <c r="H208" s="302"/>
      <c r="I208" s="302"/>
      <c r="J208" s="302"/>
      <c r="K208" s="302"/>
      <c r="L208" s="302"/>
    </row>
    <row r="209" spans="1:12">
      <c r="A209" s="302"/>
      <c r="B209" s="302"/>
      <c r="C209" s="302"/>
      <c r="D209" s="302"/>
      <c r="E209" s="302"/>
      <c r="F209" s="302"/>
      <c r="G209" s="302"/>
      <c r="H209" s="302"/>
      <c r="I209" s="302"/>
      <c r="J209" s="302"/>
      <c r="K209" s="302"/>
      <c r="L209" s="302"/>
    </row>
    <row r="210" spans="1:12">
      <c r="A210" s="302"/>
      <c r="B210" s="302"/>
      <c r="C210" s="302"/>
      <c r="D210" s="302"/>
      <c r="E210" s="302"/>
      <c r="F210" s="302"/>
      <c r="G210" s="302"/>
      <c r="H210" s="302"/>
      <c r="I210" s="302"/>
      <c r="J210" s="302"/>
      <c r="K210" s="302"/>
      <c r="L210" s="302"/>
    </row>
    <row r="211" spans="1:12">
      <c r="A211" s="302"/>
      <c r="B211" s="302"/>
      <c r="C211" s="302"/>
      <c r="D211" s="302"/>
      <c r="E211" s="302"/>
      <c r="F211" s="302"/>
      <c r="G211" s="302"/>
      <c r="H211" s="302"/>
      <c r="I211" s="302"/>
      <c r="J211" s="302"/>
      <c r="K211" s="302"/>
      <c r="L211" s="302"/>
    </row>
    <row r="212" spans="1:12">
      <c r="A212" s="302"/>
      <c r="B212" s="302"/>
      <c r="C212" s="302"/>
      <c r="D212" s="302"/>
      <c r="E212" s="302"/>
      <c r="F212" s="302"/>
      <c r="G212" s="302"/>
      <c r="H212" s="302"/>
      <c r="I212" s="302"/>
      <c r="J212" s="302"/>
      <c r="K212" s="302"/>
      <c r="L212" s="302"/>
    </row>
    <row r="213" spans="1:12">
      <c r="A213" s="302"/>
      <c r="B213" s="302"/>
      <c r="C213" s="302"/>
      <c r="D213" s="302"/>
      <c r="E213" s="302"/>
      <c r="F213" s="302"/>
      <c r="G213" s="302"/>
      <c r="H213" s="302"/>
      <c r="I213" s="302"/>
      <c r="J213" s="302"/>
      <c r="K213" s="302"/>
      <c r="L213" s="302"/>
    </row>
    <row r="214" spans="1:12">
      <c r="A214" s="302"/>
      <c r="B214" s="302"/>
      <c r="C214" s="302"/>
      <c r="D214" s="302"/>
      <c r="E214" s="302"/>
      <c r="F214" s="302"/>
      <c r="G214" s="302"/>
      <c r="H214" s="302"/>
      <c r="I214" s="302"/>
      <c r="J214" s="302"/>
      <c r="K214" s="302"/>
      <c r="L214" s="302"/>
    </row>
    <row r="215" spans="1:12">
      <c r="A215" s="302"/>
      <c r="B215" s="302"/>
      <c r="C215" s="302"/>
      <c r="D215" s="302"/>
      <c r="E215" s="302"/>
      <c r="F215" s="302"/>
      <c r="G215" s="302"/>
      <c r="H215" s="302"/>
      <c r="I215" s="302"/>
      <c r="J215" s="302"/>
      <c r="K215" s="302"/>
      <c r="L215" s="302"/>
    </row>
    <row r="216" spans="1:12">
      <c r="A216" s="302"/>
      <c r="B216" s="302"/>
      <c r="C216" s="302"/>
      <c r="D216" s="302"/>
      <c r="E216" s="302"/>
      <c r="F216" s="302"/>
      <c r="G216" s="302"/>
      <c r="H216" s="302"/>
      <c r="I216" s="302"/>
      <c r="J216" s="302"/>
      <c r="K216" s="302"/>
      <c r="L216" s="302"/>
    </row>
    <row r="217" spans="1:12">
      <c r="A217" s="302"/>
      <c r="B217" s="302"/>
      <c r="C217" s="302"/>
      <c r="D217" s="302"/>
      <c r="E217" s="302"/>
      <c r="F217" s="302"/>
      <c r="G217" s="302"/>
      <c r="H217" s="302"/>
      <c r="I217" s="302"/>
      <c r="J217" s="302"/>
      <c r="K217" s="302"/>
      <c r="L217" s="302"/>
    </row>
    <row r="218" spans="1:12">
      <c r="A218" s="302"/>
      <c r="B218" s="302"/>
      <c r="C218" s="302"/>
      <c r="D218" s="302"/>
      <c r="E218" s="302"/>
      <c r="F218" s="302"/>
      <c r="G218" s="302"/>
      <c r="H218" s="302"/>
      <c r="I218" s="302"/>
      <c r="J218" s="302"/>
      <c r="K218" s="302"/>
      <c r="L218" s="302"/>
    </row>
    <row r="219" spans="1:12">
      <c r="A219" s="302"/>
      <c r="B219" s="302"/>
      <c r="C219" s="302"/>
      <c r="D219" s="302"/>
      <c r="E219" s="302"/>
      <c r="F219" s="302"/>
      <c r="G219" s="302"/>
      <c r="H219" s="302"/>
      <c r="I219" s="302"/>
      <c r="J219" s="302"/>
      <c r="K219" s="302"/>
      <c r="L219" s="302"/>
    </row>
    <row r="220" spans="1:12">
      <c r="A220" s="302"/>
      <c r="B220" s="302"/>
      <c r="C220" s="302"/>
      <c r="D220" s="302"/>
      <c r="E220" s="302"/>
      <c r="F220" s="302"/>
      <c r="G220" s="302"/>
      <c r="H220" s="302"/>
      <c r="I220" s="302"/>
      <c r="J220" s="302"/>
      <c r="K220" s="302"/>
      <c r="L220" s="302"/>
    </row>
    <row r="221" spans="1:12">
      <c r="A221" s="302"/>
      <c r="B221" s="302"/>
      <c r="C221" s="302"/>
      <c r="D221" s="302"/>
      <c r="E221" s="302"/>
      <c r="F221" s="302"/>
      <c r="G221" s="302"/>
      <c r="H221" s="302"/>
      <c r="I221" s="302"/>
      <c r="J221" s="302"/>
      <c r="K221" s="302"/>
      <c r="L221" s="302"/>
    </row>
    <row r="222" spans="1:12">
      <c r="A222" s="302"/>
      <c r="B222" s="302"/>
      <c r="C222" s="302"/>
      <c r="D222" s="302"/>
      <c r="E222" s="302"/>
      <c r="F222" s="302"/>
      <c r="G222" s="302"/>
      <c r="H222" s="302"/>
      <c r="I222" s="302"/>
      <c r="J222" s="302"/>
      <c r="K222" s="302"/>
      <c r="L222" s="302"/>
    </row>
    <row r="223" spans="1:12">
      <c r="A223" s="302"/>
      <c r="B223" s="302"/>
      <c r="C223" s="302"/>
      <c r="D223" s="302"/>
      <c r="E223" s="302"/>
      <c r="F223" s="302"/>
      <c r="G223" s="302"/>
      <c r="H223" s="302"/>
      <c r="I223" s="302"/>
      <c r="J223" s="302"/>
      <c r="K223" s="302"/>
      <c r="L223" s="302"/>
    </row>
    <row r="224" spans="1:12">
      <c r="A224" s="302"/>
      <c r="B224" s="302"/>
      <c r="C224" s="302"/>
      <c r="D224" s="302"/>
      <c r="E224" s="302"/>
      <c r="F224" s="302"/>
      <c r="G224" s="302"/>
      <c r="H224" s="302"/>
      <c r="I224" s="302"/>
      <c r="J224" s="302"/>
      <c r="K224" s="302"/>
      <c r="L224" s="302"/>
    </row>
    <row r="225" spans="1:12">
      <c r="A225" s="302"/>
      <c r="B225" s="302"/>
      <c r="C225" s="302"/>
      <c r="D225" s="302"/>
      <c r="E225" s="302"/>
      <c r="F225" s="302"/>
      <c r="G225" s="302"/>
      <c r="H225" s="302"/>
      <c r="I225" s="302"/>
      <c r="J225" s="302"/>
      <c r="K225" s="302"/>
      <c r="L225" s="302"/>
    </row>
    <row r="226" spans="1:12">
      <c r="A226" s="302"/>
      <c r="B226" s="302"/>
      <c r="C226" s="302"/>
      <c r="D226" s="302"/>
      <c r="E226" s="302"/>
      <c r="F226" s="302"/>
      <c r="G226" s="302"/>
      <c r="H226" s="302"/>
      <c r="I226" s="302"/>
      <c r="J226" s="302"/>
      <c r="K226" s="302"/>
      <c r="L226" s="302"/>
    </row>
    <row r="227" spans="1:12">
      <c r="A227" s="302"/>
      <c r="B227" s="302"/>
      <c r="C227" s="302"/>
      <c r="D227" s="302"/>
      <c r="E227" s="302"/>
      <c r="F227" s="302"/>
      <c r="G227" s="302"/>
      <c r="H227" s="302"/>
      <c r="I227" s="302"/>
      <c r="J227" s="302"/>
      <c r="K227" s="302"/>
      <c r="L227" s="302"/>
    </row>
    <row r="228" spans="1:12">
      <c r="A228" s="302"/>
      <c r="B228" s="302"/>
      <c r="C228" s="302"/>
      <c r="D228" s="302"/>
      <c r="E228" s="302"/>
      <c r="F228" s="302"/>
      <c r="G228" s="302"/>
      <c r="H228" s="302"/>
      <c r="I228" s="302"/>
      <c r="J228" s="302"/>
      <c r="K228" s="302"/>
      <c r="L228" s="302"/>
    </row>
    <row r="229" spans="1:12">
      <c r="A229" s="302"/>
      <c r="B229" s="302"/>
      <c r="C229" s="302"/>
      <c r="D229" s="302"/>
      <c r="E229" s="302"/>
      <c r="F229" s="302"/>
      <c r="G229" s="302"/>
      <c r="H229" s="302"/>
      <c r="I229" s="302"/>
      <c r="J229" s="302"/>
      <c r="K229" s="302"/>
      <c r="L229" s="302"/>
    </row>
    <row r="230" spans="1:12">
      <c r="A230" s="302"/>
      <c r="B230" s="302"/>
      <c r="C230" s="302"/>
      <c r="D230" s="302"/>
      <c r="E230" s="302"/>
      <c r="F230" s="302"/>
      <c r="G230" s="302"/>
      <c r="H230" s="302"/>
      <c r="I230" s="302"/>
      <c r="J230" s="302"/>
      <c r="K230" s="302"/>
      <c r="L230" s="302"/>
    </row>
    <row r="231" spans="1:12">
      <c r="A231" s="302"/>
      <c r="B231" s="302"/>
      <c r="C231" s="302"/>
      <c r="D231" s="302"/>
      <c r="E231" s="302"/>
      <c r="F231" s="302"/>
      <c r="G231" s="302"/>
      <c r="H231" s="302"/>
      <c r="I231" s="302"/>
      <c r="J231" s="302"/>
      <c r="K231" s="302"/>
      <c r="L231" s="302"/>
    </row>
    <row r="232" spans="1:12">
      <c r="A232" s="302"/>
      <c r="B232" s="302"/>
      <c r="C232" s="302"/>
      <c r="D232" s="302"/>
      <c r="E232" s="302"/>
      <c r="F232" s="302"/>
      <c r="G232" s="302"/>
      <c r="H232" s="302"/>
      <c r="I232" s="302"/>
      <c r="J232" s="302"/>
      <c r="K232" s="302"/>
      <c r="L232" s="302"/>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9.45" customHeight="1">
      <c r="A5" s="1168" t="s">
        <v>778</v>
      </c>
      <c r="B5" s="1168"/>
      <c r="C5" s="1168"/>
      <c r="D5" s="1168"/>
      <c r="E5" s="1168"/>
      <c r="F5" s="1168"/>
      <c r="G5" s="1168"/>
      <c r="H5" s="1168"/>
      <c r="I5" s="1168"/>
      <c r="J5" s="1168"/>
      <c r="K5" s="1168"/>
      <c r="L5" s="1168"/>
      <c r="M5" s="5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SUM(A12:A1859)</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OUTPUTS_FOR_SECTION_2_OF_MODEL!B72</f>
        <v>Drama</v>
      </c>
      <c r="C15" s="300">
        <f>OUTPUTS_FOR_SECTION_2_OF_MODEL!E72</f>
        <v>540.48155143743566</v>
      </c>
      <c r="D15" s="300">
        <f>OUTPUTS_FOR_SECTION_2_OF_MODEL!F72</f>
        <v>508.9564821067587</v>
      </c>
      <c r="E15" s="300">
        <f>OUTPUTS_FOR_SECTION_2_OF_MODEL!G72</f>
        <v>497.49914786373063</v>
      </c>
      <c r="F15" s="300">
        <f>OUTPUTS_FOR_SECTION_2_OF_MODEL!H72</f>
        <v>482.57546524310476</v>
      </c>
      <c r="G15" s="300">
        <f>OUTPUTS_FOR_SECTION_2_OF_MODEL!I72</f>
        <v>516.61910389095897</v>
      </c>
      <c r="H15" s="300">
        <f>OUTPUTS_FOR_SECTION_2_OF_MODEL!J72</f>
        <v>536.53435003899631</v>
      </c>
      <c r="I15" s="300">
        <f>OUTPUTS_FOR_SECTION_2_OF_MODEL!K72</f>
        <v>507.7480532230112</v>
      </c>
      <c r="J15" s="300">
        <f>OUTPUTS_FOR_SECTION_2_OF_MODEL!L72</f>
        <v>491.65207959071995</v>
      </c>
      <c r="K15" s="300">
        <f>OUTPUTS_FOR_SECTION_2_OF_MODEL!M72</f>
        <v>511.59981676510779</v>
      </c>
      <c r="L15" s="300">
        <f>OUTPUTS_FOR_SECTION_2_OF_MODEL!N72</f>
        <v>523.75023107301433</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503.18832438825262</v>
      </c>
      <c r="D44" s="447">
        <f t="shared" si="4"/>
        <v>473.83848484139236</v>
      </c>
      <c r="E44" s="447">
        <f t="shared" si="4"/>
        <v>463.17170666113321</v>
      </c>
      <c r="F44" s="447">
        <f t="shared" si="4"/>
        <v>449.27775814133054</v>
      </c>
      <c r="G44" s="447">
        <f t="shared" si="4"/>
        <v>480.97238572248284</v>
      </c>
      <c r="H44" s="447">
        <f t="shared" si="4"/>
        <v>499.51347988630562</v>
      </c>
      <c r="I44" s="447">
        <f t="shared" si="4"/>
        <v>472.71343755062344</v>
      </c>
      <c r="J44" s="447">
        <f t="shared" si="4"/>
        <v>457.72808609896032</v>
      </c>
      <c r="K44" s="447">
        <f t="shared" si="4"/>
        <v>476.2994294083154</v>
      </c>
      <c r="L44" s="447">
        <f t="shared" si="4"/>
        <v>487.61146512897636</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5.3164237814670239</v>
      </c>
      <c r="D58" s="447">
        <f t="shared" ref="D58:L58" si="7">D44/$J$51</f>
        <v>5.006328778490019</v>
      </c>
      <c r="E58" s="447">
        <f t="shared" si="7"/>
        <v>4.8936291977552973</v>
      </c>
      <c r="F58" s="447">
        <f t="shared" si="7"/>
        <v>4.7468330287087293</v>
      </c>
      <c r="G58" s="447">
        <f t="shared" si="7"/>
        <v>5.0817018316008342</v>
      </c>
      <c r="H58" s="447">
        <f t="shared" si="7"/>
        <v>5.2775973028775285</v>
      </c>
      <c r="I58" s="447">
        <f t="shared" si="7"/>
        <v>4.9944421191976147</v>
      </c>
      <c r="J58" s="447">
        <f t="shared" si="7"/>
        <v>4.8361147594995941</v>
      </c>
      <c r="K58" s="447">
        <f t="shared" si="7"/>
        <v>5.0323298273743866</v>
      </c>
      <c r="L58" s="447">
        <f t="shared" si="7"/>
        <v>5.1518468606744747</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5.3164237814670239</v>
      </c>
      <c r="D99" s="447">
        <f t="shared" ref="D99:L99" si="33">D58</f>
        <v>5.006328778490019</v>
      </c>
      <c r="E99" s="447">
        <f t="shared" si="33"/>
        <v>4.8936291977552973</v>
      </c>
      <c r="F99" s="447">
        <f t="shared" si="33"/>
        <v>4.7468330287087293</v>
      </c>
      <c r="G99" s="447">
        <f t="shared" si="33"/>
        <v>5.0817018316008342</v>
      </c>
      <c r="H99" s="447">
        <f t="shared" si="33"/>
        <v>5.2775973028775285</v>
      </c>
      <c r="I99" s="447">
        <f t="shared" si="33"/>
        <v>4.9944421191976147</v>
      </c>
      <c r="J99" s="447">
        <f t="shared" si="33"/>
        <v>4.8361147594995941</v>
      </c>
      <c r="K99" s="447">
        <f t="shared" si="33"/>
        <v>5.0323298273743866</v>
      </c>
      <c r="L99" s="447">
        <f t="shared" si="33"/>
        <v>5.1518468606744747</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910</v>
      </c>
      <c r="C104" s="447">
        <f t="shared" ref="C104:L104" si="35">C66*C$99</f>
        <v>67.436775267974298</v>
      </c>
      <c r="D104" s="447">
        <f t="shared" si="35"/>
        <v>63.503340333690026</v>
      </c>
      <c r="E104" s="447">
        <f t="shared" si="35"/>
        <v>62.073789829214412</v>
      </c>
      <c r="F104" s="447">
        <f t="shared" si="35"/>
        <v>60.211737316263438</v>
      </c>
      <c r="G104" s="447">
        <f t="shared" si="35"/>
        <v>64.459418301291876</v>
      </c>
      <c r="H104" s="447">
        <f t="shared" si="35"/>
        <v>66.944276434413652</v>
      </c>
      <c r="I104" s="447">
        <f t="shared" si="35"/>
        <v>63.352562667285177</v>
      </c>
      <c r="J104" s="447">
        <f t="shared" si="35"/>
        <v>61.344241469876629</v>
      </c>
      <c r="K104" s="447">
        <f t="shared" si="35"/>
        <v>63.833153561984417</v>
      </c>
      <c r="L104" s="447">
        <f t="shared" si="35"/>
        <v>65.349180810122448</v>
      </c>
    </row>
    <row r="105" spans="1:12">
      <c r="A105" s="302"/>
      <c r="B105" s="319" t="s">
        <v>912</v>
      </c>
      <c r="C105" s="447">
        <f t="shared" ref="C105:L105" si="36">C77*C$99</f>
        <v>190.89950008203101</v>
      </c>
      <c r="D105" s="447">
        <f t="shared" si="36"/>
        <v>179.76476299568247</v>
      </c>
      <c r="E105" s="447">
        <f t="shared" si="36"/>
        <v>175.71800252171286</v>
      </c>
      <c r="F105" s="447">
        <f t="shared" si="36"/>
        <v>170.44691871860519</v>
      </c>
      <c r="G105" s="447">
        <f t="shared" si="36"/>
        <v>182.47122108667773</v>
      </c>
      <c r="H105" s="447">
        <f t="shared" si="36"/>
        <v>189.50533820604994</v>
      </c>
      <c r="I105" s="447">
        <f t="shared" si="36"/>
        <v>179.33794274774144</v>
      </c>
      <c r="J105" s="447">
        <f t="shared" si="36"/>
        <v>173.65280268779688</v>
      </c>
      <c r="K105" s="447">
        <f t="shared" si="36"/>
        <v>180.69839572280577</v>
      </c>
      <c r="L105" s="447">
        <f t="shared" si="36"/>
        <v>184.98995389162775</v>
      </c>
    </row>
    <row r="106" spans="1:12">
      <c r="A106" s="302"/>
      <c r="B106" s="319" t="s">
        <v>911</v>
      </c>
      <c r="C106" s="447">
        <f t="shared" ref="C106:L106" si="37">C88*C$99</f>
        <v>273.30610279669708</v>
      </c>
      <c r="D106" s="447">
        <f t="shared" si="37"/>
        <v>257.36477451962935</v>
      </c>
      <c r="E106" s="447">
        <f t="shared" si="37"/>
        <v>251.57112742460245</v>
      </c>
      <c r="F106" s="447">
        <f t="shared" si="37"/>
        <v>244.02464683600425</v>
      </c>
      <c r="G106" s="447">
        <f t="shared" si="37"/>
        <v>261.23954377211379</v>
      </c>
      <c r="H106" s="447">
        <f t="shared" si="37"/>
        <v>271.31011564728919</v>
      </c>
      <c r="I106" s="447">
        <f t="shared" si="37"/>
        <v>256.75370650473485</v>
      </c>
      <c r="J106" s="447">
        <f t="shared" si="37"/>
        <v>248.61443179228587</v>
      </c>
      <c r="K106" s="447">
        <f t="shared" si="37"/>
        <v>258.70143345264842</v>
      </c>
      <c r="L106" s="447">
        <f t="shared" si="37"/>
        <v>264.84555136569725</v>
      </c>
    </row>
    <row r="107" spans="1:12">
      <c r="A107" s="302"/>
      <c r="B107" s="319" t="s">
        <v>8</v>
      </c>
      <c r="C107" s="447">
        <f>SUM(C104:C106)</f>
        <v>531.64237814670241</v>
      </c>
      <c r="D107" s="447">
        <f t="shared" ref="D107:L107" si="38">SUM(D104:D106)</f>
        <v>500.63287784900183</v>
      </c>
      <c r="E107" s="447">
        <f t="shared" si="38"/>
        <v>489.36291977552969</v>
      </c>
      <c r="F107" s="447">
        <f t="shared" si="38"/>
        <v>474.68330287087286</v>
      </c>
      <c r="G107" s="447">
        <f t="shared" si="38"/>
        <v>508.17018316008341</v>
      </c>
      <c r="H107" s="447">
        <f t="shared" si="38"/>
        <v>527.75973028775275</v>
      </c>
      <c r="I107" s="447">
        <f t="shared" si="38"/>
        <v>499.44421191976147</v>
      </c>
      <c r="J107" s="447">
        <f t="shared" si="38"/>
        <v>483.61147594995941</v>
      </c>
      <c r="K107" s="447">
        <f t="shared" si="38"/>
        <v>503.23298273743859</v>
      </c>
      <c r="L107" s="447">
        <f t="shared" si="38"/>
        <v>515.1846860674475</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531.64237814670241</v>
      </c>
      <c r="D112" s="676">
        <f t="shared" ref="D112:L112" si="39">D107</f>
        <v>500.63287784900183</v>
      </c>
      <c r="E112" s="676">
        <f t="shared" si="39"/>
        <v>489.36291977552969</v>
      </c>
      <c r="F112" s="676">
        <f t="shared" si="39"/>
        <v>474.68330287087286</v>
      </c>
      <c r="G112" s="676">
        <f t="shared" si="39"/>
        <v>508.17018316008341</v>
      </c>
      <c r="H112" s="676">
        <f t="shared" si="39"/>
        <v>527.75973028775275</v>
      </c>
      <c r="I112" s="676">
        <f t="shared" si="39"/>
        <v>499.44421191976147</v>
      </c>
      <c r="J112" s="676">
        <f t="shared" si="39"/>
        <v>483.61147594995941</v>
      </c>
      <c r="K112" s="676">
        <f t="shared" si="39"/>
        <v>503.23298273743859</v>
      </c>
      <c r="L112" s="676">
        <f t="shared" si="39"/>
        <v>515.1846860674475</v>
      </c>
    </row>
    <row r="113" spans="1:12">
      <c r="A113" s="302"/>
      <c r="B113" s="676" t="s">
        <v>1754</v>
      </c>
      <c r="C113" s="676">
        <f t="shared" ref="C113:L113" si="40">((C68+C79+C90)/100)*C112</f>
        <v>75.877476689199526</v>
      </c>
      <c r="D113" s="676">
        <f t="shared" si="40"/>
        <v>71.451714686958923</v>
      </c>
      <c r="E113" s="676">
        <f t="shared" si="40"/>
        <v>69.843234971724172</v>
      </c>
      <c r="F113" s="676">
        <f t="shared" si="40"/>
        <v>67.748119278779683</v>
      </c>
      <c r="G113" s="676">
        <f t="shared" si="40"/>
        <v>72.527459833601768</v>
      </c>
      <c r="H113" s="676">
        <f t="shared" si="40"/>
        <v>75.323334403859491</v>
      </c>
      <c r="I113" s="676">
        <f t="shared" si="40"/>
        <v>71.282064984368262</v>
      </c>
      <c r="J113" s="676">
        <f t="shared" si="40"/>
        <v>69.022372935997723</v>
      </c>
      <c r="K113" s="676">
        <f t="shared" si="40"/>
        <v>71.822808877662041</v>
      </c>
      <c r="L113" s="676">
        <f t="shared" si="40"/>
        <v>73.528589169256364</v>
      </c>
    </row>
    <row r="114" spans="1:12">
      <c r="A114" s="302"/>
      <c r="B114" s="676" t="s">
        <v>1755</v>
      </c>
      <c r="C114" s="676">
        <f t="shared" ref="C114:L114" si="41">((C67+C78+C89)/100)*C112</f>
        <v>455.7649014575029</v>
      </c>
      <c r="D114" s="676">
        <f t="shared" si="41"/>
        <v>429.18116316204294</v>
      </c>
      <c r="E114" s="676">
        <f t="shared" si="41"/>
        <v>419.51968480380555</v>
      </c>
      <c r="F114" s="676">
        <f t="shared" si="41"/>
        <v>406.93518359209321</v>
      </c>
      <c r="G114" s="676">
        <f t="shared" si="41"/>
        <v>435.64272332648164</v>
      </c>
      <c r="H114" s="676">
        <f t="shared" si="41"/>
        <v>452.43639588389328</v>
      </c>
      <c r="I114" s="676">
        <f t="shared" si="41"/>
        <v>428.1621469353932</v>
      </c>
      <c r="J114" s="676">
        <f t="shared" si="41"/>
        <v>414.58910301396168</v>
      </c>
      <c r="K114" s="676">
        <f t="shared" si="41"/>
        <v>431.41017385977653</v>
      </c>
      <c r="L114" s="676">
        <f t="shared" si="41"/>
        <v>441.65609689819115</v>
      </c>
    </row>
    <row r="115" spans="1:12">
      <c r="A115" s="302"/>
      <c r="B115" s="676" t="s">
        <v>855</v>
      </c>
      <c r="C115" s="676">
        <f>C113*$C$39</f>
        <v>47.423422930749702</v>
      </c>
      <c r="D115" s="676">
        <f t="shared" ref="D115:L115" si="42">D113*$C$39</f>
        <v>44.657321679349323</v>
      </c>
      <c r="E115" s="676">
        <f t="shared" si="42"/>
        <v>43.652021857327611</v>
      </c>
      <c r="F115" s="676">
        <f t="shared" si="42"/>
        <v>42.342574549237298</v>
      </c>
      <c r="G115" s="676">
        <f t="shared" si="42"/>
        <v>45.329662396001105</v>
      </c>
      <c r="H115" s="676">
        <f t="shared" si="42"/>
        <v>47.077084002412178</v>
      </c>
      <c r="I115" s="676">
        <f t="shared" si="42"/>
        <v>44.551290615230165</v>
      </c>
      <c r="J115" s="676">
        <f t="shared" si="42"/>
        <v>43.138983084998578</v>
      </c>
      <c r="K115" s="676">
        <f t="shared" si="42"/>
        <v>44.889255548538777</v>
      </c>
      <c r="L115" s="676">
        <f t="shared" si="42"/>
        <v>45.955368230785226</v>
      </c>
    </row>
    <row r="116" spans="1:12">
      <c r="A116" s="302"/>
      <c r="B116" s="676" t="s">
        <v>856</v>
      </c>
      <c r="C116" s="676">
        <f>C114</f>
        <v>455.7649014575029</v>
      </c>
      <c r="D116" s="676">
        <f t="shared" ref="D116:L116" si="43">D114</f>
        <v>429.18116316204294</v>
      </c>
      <c r="E116" s="676">
        <f t="shared" si="43"/>
        <v>419.51968480380555</v>
      </c>
      <c r="F116" s="676">
        <f t="shared" si="43"/>
        <v>406.93518359209321</v>
      </c>
      <c r="G116" s="676">
        <f t="shared" si="43"/>
        <v>435.64272332648164</v>
      </c>
      <c r="H116" s="676">
        <f t="shared" si="43"/>
        <v>452.43639588389328</v>
      </c>
      <c r="I116" s="676">
        <f t="shared" si="43"/>
        <v>428.1621469353932</v>
      </c>
      <c r="J116" s="676">
        <f t="shared" si="43"/>
        <v>414.58910301396168</v>
      </c>
      <c r="K116" s="676">
        <f t="shared" si="43"/>
        <v>431.41017385977653</v>
      </c>
      <c r="L116" s="676">
        <f t="shared" si="43"/>
        <v>441.65609689819115</v>
      </c>
    </row>
    <row r="117" spans="1:12">
      <c r="A117" s="302"/>
      <c r="B117" s="676" t="s">
        <v>746</v>
      </c>
      <c r="C117" s="676">
        <f>C116+C115</f>
        <v>503.18832438825262</v>
      </c>
      <c r="D117" s="676">
        <f t="shared" ref="D117:L117" si="44">D116+D115</f>
        <v>473.83848484139224</v>
      </c>
      <c r="E117" s="676">
        <f t="shared" si="44"/>
        <v>463.17170666113316</v>
      </c>
      <c r="F117" s="676">
        <f t="shared" si="44"/>
        <v>449.27775814133054</v>
      </c>
      <c r="G117" s="676">
        <f t="shared" si="44"/>
        <v>480.97238572248273</v>
      </c>
      <c r="H117" s="676">
        <f t="shared" si="44"/>
        <v>499.51347988630545</v>
      </c>
      <c r="I117" s="676">
        <f t="shared" si="44"/>
        <v>472.71343755062338</v>
      </c>
      <c r="J117" s="676">
        <f t="shared" si="44"/>
        <v>457.72808609896026</v>
      </c>
      <c r="K117" s="676">
        <f t="shared" si="44"/>
        <v>476.29942940831529</v>
      </c>
      <c r="L117" s="676">
        <f t="shared" si="44"/>
        <v>487.61146512897636</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6.45" customHeight="1">
      <c r="A5" s="1168" t="s">
        <v>779</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SUM(A12:A1875)</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OUTPUTS_FOR_SECTION_2_OF_MODEL!B73</f>
        <v>English</v>
      </c>
      <c r="C15" s="300">
        <f>OUTPUTS_FOR_SECTION_2_OF_MODEL!E73</f>
        <v>3977.9708800519511</v>
      </c>
      <c r="D15" s="300">
        <f>OUTPUTS_FOR_SECTION_2_OF_MODEL!F73</f>
        <v>3922.7594693874084</v>
      </c>
      <c r="E15" s="300">
        <f>OUTPUTS_FOR_SECTION_2_OF_MODEL!G73</f>
        <v>3951.0519163174613</v>
      </c>
      <c r="F15" s="300">
        <f>OUTPUTS_FOR_SECTION_2_OF_MODEL!H73</f>
        <v>3980.7719631029331</v>
      </c>
      <c r="G15" s="300">
        <f>OUTPUTS_FOR_SECTION_2_OF_MODEL!I73</f>
        <v>4062.2464165660172</v>
      </c>
      <c r="H15" s="300">
        <f>OUTPUTS_FOR_SECTION_2_OF_MODEL!J73</f>
        <v>3930.7638872047251</v>
      </c>
      <c r="I15" s="300">
        <f>OUTPUTS_FOR_SECTION_2_OF_MODEL!K73</f>
        <v>3845.6856195819669</v>
      </c>
      <c r="J15" s="300">
        <f>OUTPUTS_FOR_SECTION_2_OF_MODEL!L73</f>
        <v>3756.7373151821294</v>
      </c>
      <c r="K15" s="300">
        <f>OUTPUTS_FOR_SECTION_2_OF_MODEL!M73</f>
        <v>3687.4443487823951</v>
      </c>
      <c r="L15" s="300">
        <f>OUTPUTS_FOR_SECTION_2_OF_MODEL!N73</f>
        <v>3621.4300321380124</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3703.4908893283668</v>
      </c>
      <c r="D44" s="447">
        <f t="shared" si="4"/>
        <v>3652.0890659996776</v>
      </c>
      <c r="E44" s="447">
        <f t="shared" si="4"/>
        <v>3678.4293340915565</v>
      </c>
      <c r="F44" s="447">
        <f t="shared" si="4"/>
        <v>3706.0986976488311</v>
      </c>
      <c r="G44" s="447">
        <f t="shared" si="4"/>
        <v>3781.951413822962</v>
      </c>
      <c r="H44" s="447">
        <f t="shared" si="4"/>
        <v>3659.5411789875993</v>
      </c>
      <c r="I44" s="447">
        <f t="shared" si="4"/>
        <v>3580.3333118308115</v>
      </c>
      <c r="J44" s="447">
        <f t="shared" si="4"/>
        <v>3497.5224404345627</v>
      </c>
      <c r="K44" s="447">
        <f t="shared" si="4"/>
        <v>3433.0106887164102</v>
      </c>
      <c r="L44" s="447">
        <f t="shared" si="4"/>
        <v>3371.5513599204896</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39.129141286036273</v>
      </c>
      <c r="D58" s="447">
        <f t="shared" ref="D58:L58" si="7">D44/$J$51</f>
        <v>38.586056594459535</v>
      </c>
      <c r="E58" s="447">
        <f t="shared" si="7"/>
        <v>38.864354044751387</v>
      </c>
      <c r="F58" s="447">
        <f t="shared" si="7"/>
        <v>39.156694020272063</v>
      </c>
      <c r="G58" s="447">
        <f t="shared" si="7"/>
        <v>39.958114014758792</v>
      </c>
      <c r="H58" s="447">
        <f t="shared" si="7"/>
        <v>38.664791709705561</v>
      </c>
      <c r="I58" s="447">
        <f t="shared" si="7"/>
        <v>37.827922950591208</v>
      </c>
      <c r="J58" s="447">
        <f t="shared" si="7"/>
        <v>36.952986739401766</v>
      </c>
      <c r="K58" s="447">
        <f t="shared" si="7"/>
        <v>36.271389424051797</v>
      </c>
      <c r="L58" s="447">
        <f t="shared" si="7"/>
        <v>35.62204240750313</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39.129141286036273</v>
      </c>
      <c r="D99" s="447">
        <f t="shared" ref="D99:L99" si="33">D58</f>
        <v>38.586056594459535</v>
      </c>
      <c r="E99" s="447">
        <f t="shared" si="33"/>
        <v>38.864354044751387</v>
      </c>
      <c r="F99" s="447">
        <f t="shared" si="33"/>
        <v>39.156694020272063</v>
      </c>
      <c r="G99" s="447">
        <f t="shared" si="33"/>
        <v>39.958114014758792</v>
      </c>
      <c r="H99" s="447">
        <f t="shared" si="33"/>
        <v>38.664791709705561</v>
      </c>
      <c r="I99" s="447">
        <f t="shared" si="33"/>
        <v>37.827922950591208</v>
      </c>
      <c r="J99" s="447">
        <f t="shared" si="33"/>
        <v>36.952986739401766</v>
      </c>
      <c r="K99" s="447">
        <f t="shared" si="33"/>
        <v>36.271389424051797</v>
      </c>
      <c r="L99" s="447">
        <f t="shared" si="33"/>
        <v>35.62204240750313</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913</v>
      </c>
      <c r="C104" s="447">
        <f t="shared" ref="C104:L104" si="35">C66*C$99</f>
        <v>496.33799256821158</v>
      </c>
      <c r="D104" s="447">
        <f t="shared" si="35"/>
        <v>489.44917373006558</v>
      </c>
      <c r="E104" s="447">
        <f t="shared" si="35"/>
        <v>492.97926903179922</v>
      </c>
      <c r="F104" s="447">
        <f t="shared" si="35"/>
        <v>496.68748832382732</v>
      </c>
      <c r="G104" s="447">
        <f t="shared" si="35"/>
        <v>506.85319036057302</v>
      </c>
      <c r="H104" s="447">
        <f t="shared" si="35"/>
        <v>490.44789815287282</v>
      </c>
      <c r="I104" s="447">
        <f t="shared" si="35"/>
        <v>479.83254227512708</v>
      </c>
      <c r="J104" s="447">
        <f t="shared" si="35"/>
        <v>468.73431552099237</v>
      </c>
      <c r="K104" s="447">
        <f t="shared" si="35"/>
        <v>460.08851773136865</v>
      </c>
      <c r="L104" s="447">
        <f t="shared" si="35"/>
        <v>451.85180248331545</v>
      </c>
    </row>
    <row r="105" spans="1:12">
      <c r="A105" s="302"/>
      <c r="B105" s="319" t="s">
        <v>914</v>
      </c>
      <c r="C105" s="447">
        <f t="shared" ref="C105:L105" si="36">C77*C$99</f>
        <v>1405.0297375056643</v>
      </c>
      <c r="D105" s="447">
        <f t="shared" si="36"/>
        <v>1385.5289225996721</v>
      </c>
      <c r="E105" s="447">
        <f t="shared" si="36"/>
        <v>1395.5218889843343</v>
      </c>
      <c r="F105" s="447">
        <f t="shared" si="36"/>
        <v>1406.0190873783815</v>
      </c>
      <c r="G105" s="447">
        <f t="shared" si="36"/>
        <v>1434.7960778125498</v>
      </c>
      <c r="H105" s="447">
        <f t="shared" si="36"/>
        <v>1388.3561039451029</v>
      </c>
      <c r="I105" s="447">
        <f t="shared" si="36"/>
        <v>1358.3062369073937</v>
      </c>
      <c r="J105" s="447">
        <f t="shared" si="36"/>
        <v>1326.8894627401467</v>
      </c>
      <c r="K105" s="447">
        <f t="shared" si="36"/>
        <v>1302.4150054534366</v>
      </c>
      <c r="L105" s="447">
        <f t="shared" si="36"/>
        <v>1279.0985758506986</v>
      </c>
    </row>
    <row r="106" spans="1:12">
      <c r="A106" s="302"/>
      <c r="B106" s="319" t="s">
        <v>915</v>
      </c>
      <c r="C106" s="447">
        <f t="shared" ref="C106:L106" si="37">C88*C$99</f>
        <v>2011.5463985297511</v>
      </c>
      <c r="D106" s="447">
        <f t="shared" si="37"/>
        <v>1983.6275631162155</v>
      </c>
      <c r="E106" s="447">
        <f t="shared" si="37"/>
        <v>1997.934246459005</v>
      </c>
      <c r="F106" s="447">
        <f t="shared" si="37"/>
        <v>2012.9628263249972</v>
      </c>
      <c r="G106" s="447">
        <f t="shared" si="37"/>
        <v>2054.162133302756</v>
      </c>
      <c r="H106" s="447">
        <f t="shared" si="37"/>
        <v>1987.6751688725801</v>
      </c>
      <c r="I106" s="447">
        <f t="shared" si="37"/>
        <v>1944.6535158765998</v>
      </c>
      <c r="J106" s="447">
        <f t="shared" si="37"/>
        <v>1899.6748956790375</v>
      </c>
      <c r="K106" s="447">
        <f t="shared" si="37"/>
        <v>1864.6354192203742</v>
      </c>
      <c r="L106" s="447">
        <f t="shared" si="37"/>
        <v>1831.2538624162987</v>
      </c>
    </row>
    <row r="107" spans="1:12">
      <c r="A107" s="302"/>
      <c r="B107" s="319" t="s">
        <v>8</v>
      </c>
      <c r="C107" s="447">
        <f>SUM(C104:C106)</f>
        <v>3912.914128603627</v>
      </c>
      <c r="D107" s="447">
        <f t="shared" ref="D107:L107" si="38">SUM(D104:D106)</f>
        <v>3858.6056594459533</v>
      </c>
      <c r="E107" s="447">
        <f t="shared" si="38"/>
        <v>3886.4354044751385</v>
      </c>
      <c r="F107" s="447">
        <f t="shared" si="38"/>
        <v>3915.6694020272062</v>
      </c>
      <c r="G107" s="447">
        <f t="shared" si="38"/>
        <v>3995.8114014758789</v>
      </c>
      <c r="H107" s="447">
        <f t="shared" si="38"/>
        <v>3866.479170970556</v>
      </c>
      <c r="I107" s="447">
        <f t="shared" si="38"/>
        <v>3782.7922950591205</v>
      </c>
      <c r="J107" s="447">
        <f t="shared" si="38"/>
        <v>3695.2986739401767</v>
      </c>
      <c r="K107" s="447">
        <f t="shared" si="38"/>
        <v>3627.1389424051795</v>
      </c>
      <c r="L107" s="447">
        <f t="shared" si="38"/>
        <v>3562.2042407503127</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3912.914128603627</v>
      </c>
      <c r="D112" s="676">
        <f t="shared" ref="D112:L112" si="39">D107</f>
        <v>3858.6056594459533</v>
      </c>
      <c r="E112" s="676">
        <f t="shared" si="39"/>
        <v>3886.4354044751385</v>
      </c>
      <c r="F112" s="676">
        <f t="shared" si="39"/>
        <v>3915.6694020272062</v>
      </c>
      <c r="G112" s="676">
        <f t="shared" si="39"/>
        <v>3995.8114014758789</v>
      </c>
      <c r="H112" s="676">
        <f t="shared" si="39"/>
        <v>3866.479170970556</v>
      </c>
      <c r="I112" s="676">
        <f t="shared" si="39"/>
        <v>3782.7922950591205</v>
      </c>
      <c r="J112" s="676">
        <f t="shared" si="39"/>
        <v>3695.2986739401767</v>
      </c>
      <c r="K112" s="676">
        <f t="shared" si="39"/>
        <v>3627.1389424051795</v>
      </c>
      <c r="L112" s="676">
        <f t="shared" si="39"/>
        <v>3562.2042407503127</v>
      </c>
    </row>
    <row r="113" spans="1:12">
      <c r="A113" s="302"/>
      <c r="B113" s="676" t="s">
        <v>1754</v>
      </c>
      <c r="C113" s="676">
        <f t="shared" ref="C113:L113" si="40">((C68+C79+C90)/100)*C112</f>
        <v>558.46197140069489</v>
      </c>
      <c r="D113" s="676">
        <f t="shared" si="40"/>
        <v>550.71091585673605</v>
      </c>
      <c r="E113" s="676">
        <f t="shared" si="40"/>
        <v>554.68285435622045</v>
      </c>
      <c r="F113" s="676">
        <f t="shared" si="40"/>
        <v>558.85521167566844</v>
      </c>
      <c r="G113" s="676">
        <f t="shared" si="40"/>
        <v>570.2933004077795</v>
      </c>
      <c r="H113" s="676">
        <f t="shared" si="40"/>
        <v>551.83464528788636</v>
      </c>
      <c r="I113" s="676">
        <f t="shared" si="40"/>
        <v>539.89062194215967</v>
      </c>
      <c r="J113" s="676">
        <f t="shared" si="40"/>
        <v>527.40328934830382</v>
      </c>
      <c r="K113" s="676">
        <f t="shared" si="40"/>
        <v>517.6753431700522</v>
      </c>
      <c r="L113" s="676">
        <f t="shared" si="40"/>
        <v>508.40768221286322</v>
      </c>
    </row>
    <row r="114" spans="1:12">
      <c r="A114" s="302"/>
      <c r="B114" s="676" t="s">
        <v>1755</v>
      </c>
      <c r="C114" s="676">
        <f t="shared" ref="C114:L114" si="41">((C67+C78+C89)/100)*C112</f>
        <v>3354.4521572029321</v>
      </c>
      <c r="D114" s="676">
        <f t="shared" si="41"/>
        <v>3307.8947435892173</v>
      </c>
      <c r="E114" s="676">
        <f t="shared" si="41"/>
        <v>3331.752550118918</v>
      </c>
      <c r="F114" s="676">
        <f t="shared" si="41"/>
        <v>3356.8141903515379</v>
      </c>
      <c r="G114" s="676">
        <f t="shared" si="41"/>
        <v>3425.5181010680994</v>
      </c>
      <c r="H114" s="676">
        <f t="shared" si="41"/>
        <v>3314.6445256826696</v>
      </c>
      <c r="I114" s="676">
        <f t="shared" si="41"/>
        <v>3242.9016731169609</v>
      </c>
      <c r="J114" s="676">
        <f t="shared" si="41"/>
        <v>3167.8953845918732</v>
      </c>
      <c r="K114" s="676">
        <f t="shared" si="41"/>
        <v>3109.4635992351273</v>
      </c>
      <c r="L114" s="676">
        <f t="shared" si="41"/>
        <v>3053.7965585374495</v>
      </c>
    </row>
    <row r="115" spans="1:12">
      <c r="A115" s="302"/>
      <c r="B115" s="676" t="s">
        <v>855</v>
      </c>
      <c r="C115" s="676">
        <f>C113*$C$39</f>
        <v>349.03873212543431</v>
      </c>
      <c r="D115" s="676">
        <f t="shared" ref="D115:L115" si="42">D113*$C$39</f>
        <v>344.19432241046002</v>
      </c>
      <c r="E115" s="676">
        <f t="shared" si="42"/>
        <v>346.67678397263779</v>
      </c>
      <c r="F115" s="676">
        <f t="shared" si="42"/>
        <v>349.28450729729275</v>
      </c>
      <c r="G115" s="676">
        <f t="shared" si="42"/>
        <v>356.43331275486219</v>
      </c>
      <c r="H115" s="676">
        <f t="shared" si="42"/>
        <v>344.89665330492898</v>
      </c>
      <c r="I115" s="676">
        <f t="shared" si="42"/>
        <v>337.43163871384979</v>
      </c>
      <c r="J115" s="676">
        <f t="shared" si="42"/>
        <v>329.62705584268986</v>
      </c>
      <c r="K115" s="676">
        <f t="shared" si="42"/>
        <v>323.54708948128263</v>
      </c>
      <c r="L115" s="676">
        <f t="shared" si="42"/>
        <v>317.75480138303953</v>
      </c>
    </row>
    <row r="116" spans="1:12">
      <c r="A116" s="302"/>
      <c r="B116" s="676" t="s">
        <v>856</v>
      </c>
      <c r="C116" s="676">
        <f>C114</f>
        <v>3354.4521572029321</v>
      </c>
      <c r="D116" s="676">
        <f t="shared" ref="D116:L116" si="43">D114</f>
        <v>3307.8947435892173</v>
      </c>
      <c r="E116" s="676">
        <f t="shared" si="43"/>
        <v>3331.752550118918</v>
      </c>
      <c r="F116" s="676">
        <f t="shared" si="43"/>
        <v>3356.8141903515379</v>
      </c>
      <c r="G116" s="676">
        <f t="shared" si="43"/>
        <v>3425.5181010680994</v>
      </c>
      <c r="H116" s="676">
        <f t="shared" si="43"/>
        <v>3314.6445256826696</v>
      </c>
      <c r="I116" s="676">
        <f t="shared" si="43"/>
        <v>3242.9016731169609</v>
      </c>
      <c r="J116" s="676">
        <f t="shared" si="43"/>
        <v>3167.8953845918732</v>
      </c>
      <c r="K116" s="676">
        <f t="shared" si="43"/>
        <v>3109.4635992351273</v>
      </c>
      <c r="L116" s="676">
        <f t="shared" si="43"/>
        <v>3053.7965585374495</v>
      </c>
    </row>
    <row r="117" spans="1:12">
      <c r="A117" s="302"/>
      <c r="B117" s="676" t="s">
        <v>746</v>
      </c>
      <c r="C117" s="676">
        <f>C116+C115</f>
        <v>3703.4908893283664</v>
      </c>
      <c r="D117" s="676">
        <f t="shared" ref="D117:L117" si="44">D116+D115</f>
        <v>3652.0890659996776</v>
      </c>
      <c r="E117" s="676">
        <f t="shared" si="44"/>
        <v>3678.4293340915556</v>
      </c>
      <c r="F117" s="676">
        <f t="shared" si="44"/>
        <v>3706.0986976488307</v>
      </c>
      <c r="G117" s="676">
        <f t="shared" si="44"/>
        <v>3781.9514138229615</v>
      </c>
      <c r="H117" s="676">
        <f t="shared" si="44"/>
        <v>3659.5411789875984</v>
      </c>
      <c r="I117" s="676">
        <f t="shared" si="44"/>
        <v>3580.3333118308105</v>
      </c>
      <c r="J117" s="676">
        <f t="shared" si="44"/>
        <v>3497.5224404345631</v>
      </c>
      <c r="K117" s="676">
        <f t="shared" si="44"/>
        <v>3433.0106887164097</v>
      </c>
      <c r="L117" s="676">
        <f t="shared" si="44"/>
        <v>3371.5513599204892</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C83"/>
  <sheetViews>
    <sheetView workbookViewId="0"/>
  </sheetViews>
  <sheetFormatPr defaultRowHeight="12.75"/>
  <cols>
    <col min="1" max="1" width="9.140625" style="957"/>
    <col min="2" max="2" width="23.5703125" style="957" customWidth="1"/>
    <col min="3" max="12" width="8.7109375" style="957" customWidth="1"/>
    <col min="13" max="13" width="3.5703125" style="957" customWidth="1"/>
    <col min="14" max="23" width="8.7109375" style="957" customWidth="1"/>
    <col min="24" max="257" width="9.140625" style="957"/>
    <col min="258" max="258" width="23.5703125" style="957" customWidth="1"/>
    <col min="259" max="268" width="8.7109375" style="957" customWidth="1"/>
    <col min="269" max="269" width="3.5703125" style="957" customWidth="1"/>
    <col min="270" max="279" width="8.7109375" style="957" customWidth="1"/>
    <col min="280" max="513" width="9.140625" style="957"/>
    <col min="514" max="514" width="23.5703125" style="957" customWidth="1"/>
    <col min="515" max="524" width="8.7109375" style="957" customWidth="1"/>
    <col min="525" max="525" width="3.5703125" style="957" customWidth="1"/>
    <col min="526" max="535" width="8.7109375" style="957" customWidth="1"/>
    <col min="536" max="769" width="9.140625" style="957"/>
    <col min="770" max="770" width="23.5703125" style="957" customWidth="1"/>
    <col min="771" max="780" width="8.7109375" style="957" customWidth="1"/>
    <col min="781" max="781" width="3.5703125" style="957" customWidth="1"/>
    <col min="782" max="791" width="8.7109375" style="957" customWidth="1"/>
    <col min="792" max="1025" width="9.140625" style="957"/>
    <col min="1026" max="1026" width="23.5703125" style="957" customWidth="1"/>
    <col min="1027" max="1036" width="8.7109375" style="957" customWidth="1"/>
    <col min="1037" max="1037" width="3.5703125" style="957" customWidth="1"/>
    <col min="1038" max="1047" width="8.7109375" style="957" customWidth="1"/>
    <col min="1048" max="1281" width="9.140625" style="957"/>
    <col min="1282" max="1282" width="23.5703125" style="957" customWidth="1"/>
    <col min="1283" max="1292" width="8.7109375" style="957" customWidth="1"/>
    <col min="1293" max="1293" width="3.5703125" style="957" customWidth="1"/>
    <col min="1294" max="1303" width="8.7109375" style="957" customWidth="1"/>
    <col min="1304" max="1537" width="9.140625" style="957"/>
    <col min="1538" max="1538" width="23.5703125" style="957" customWidth="1"/>
    <col min="1539" max="1548" width="8.7109375" style="957" customWidth="1"/>
    <col min="1549" max="1549" width="3.5703125" style="957" customWidth="1"/>
    <col min="1550" max="1559" width="8.7109375" style="957" customWidth="1"/>
    <col min="1560" max="1793" width="9.140625" style="957"/>
    <col min="1794" max="1794" width="23.5703125" style="957" customWidth="1"/>
    <col min="1795" max="1804" width="8.7109375" style="957" customWidth="1"/>
    <col min="1805" max="1805" width="3.5703125" style="957" customWidth="1"/>
    <col min="1806" max="1815" width="8.7109375" style="957" customWidth="1"/>
    <col min="1816" max="2049" width="9.140625" style="957"/>
    <col min="2050" max="2050" width="23.5703125" style="957" customWidth="1"/>
    <col min="2051" max="2060" width="8.7109375" style="957" customWidth="1"/>
    <col min="2061" max="2061" width="3.5703125" style="957" customWidth="1"/>
    <col min="2062" max="2071" width="8.7109375" style="957" customWidth="1"/>
    <col min="2072" max="2305" width="9.140625" style="957"/>
    <col min="2306" max="2306" width="23.5703125" style="957" customWidth="1"/>
    <col min="2307" max="2316" width="8.7109375" style="957" customWidth="1"/>
    <col min="2317" max="2317" width="3.5703125" style="957" customWidth="1"/>
    <col min="2318" max="2327" width="8.7109375" style="957" customWidth="1"/>
    <col min="2328" max="2561" width="9.140625" style="957"/>
    <col min="2562" max="2562" width="23.5703125" style="957" customWidth="1"/>
    <col min="2563" max="2572" width="8.7109375" style="957" customWidth="1"/>
    <col min="2573" max="2573" width="3.5703125" style="957" customWidth="1"/>
    <col min="2574" max="2583" width="8.7109375" style="957" customWidth="1"/>
    <col min="2584" max="2817" width="9.140625" style="957"/>
    <col min="2818" max="2818" width="23.5703125" style="957" customWidth="1"/>
    <col min="2819" max="2828" width="8.7109375" style="957" customWidth="1"/>
    <col min="2829" max="2829" width="3.5703125" style="957" customWidth="1"/>
    <col min="2830" max="2839" width="8.7109375" style="957" customWidth="1"/>
    <col min="2840" max="3073" width="9.140625" style="957"/>
    <col min="3074" max="3074" width="23.5703125" style="957" customWidth="1"/>
    <col min="3075" max="3084" width="8.7109375" style="957" customWidth="1"/>
    <col min="3085" max="3085" width="3.5703125" style="957" customWidth="1"/>
    <col min="3086" max="3095" width="8.7109375" style="957" customWidth="1"/>
    <col min="3096" max="3329" width="9.140625" style="957"/>
    <col min="3330" max="3330" width="23.5703125" style="957" customWidth="1"/>
    <col min="3331" max="3340" width="8.7109375" style="957" customWidth="1"/>
    <col min="3341" max="3341" width="3.5703125" style="957" customWidth="1"/>
    <col min="3342" max="3351" width="8.7109375" style="957" customWidth="1"/>
    <col min="3352" max="3585" width="9.140625" style="957"/>
    <col min="3586" max="3586" width="23.5703125" style="957" customWidth="1"/>
    <col min="3587" max="3596" width="8.7109375" style="957" customWidth="1"/>
    <col min="3597" max="3597" width="3.5703125" style="957" customWidth="1"/>
    <col min="3598" max="3607" width="8.7109375" style="957" customWidth="1"/>
    <col min="3608" max="3841" width="9.140625" style="957"/>
    <col min="3842" max="3842" width="23.5703125" style="957" customWidth="1"/>
    <col min="3843" max="3852" width="8.7109375" style="957" customWidth="1"/>
    <col min="3853" max="3853" width="3.5703125" style="957" customWidth="1"/>
    <col min="3854" max="3863" width="8.7109375" style="957" customWidth="1"/>
    <col min="3864" max="4097" width="9.140625" style="957"/>
    <col min="4098" max="4098" width="23.5703125" style="957" customWidth="1"/>
    <col min="4099" max="4108" width="8.7109375" style="957" customWidth="1"/>
    <col min="4109" max="4109" width="3.5703125" style="957" customWidth="1"/>
    <col min="4110" max="4119" width="8.7109375" style="957" customWidth="1"/>
    <col min="4120" max="4353" width="9.140625" style="957"/>
    <col min="4354" max="4354" width="23.5703125" style="957" customWidth="1"/>
    <col min="4355" max="4364" width="8.7109375" style="957" customWidth="1"/>
    <col min="4365" max="4365" width="3.5703125" style="957" customWidth="1"/>
    <col min="4366" max="4375" width="8.7109375" style="957" customWidth="1"/>
    <col min="4376" max="4609" width="9.140625" style="957"/>
    <col min="4610" max="4610" width="23.5703125" style="957" customWidth="1"/>
    <col min="4611" max="4620" width="8.7109375" style="957" customWidth="1"/>
    <col min="4621" max="4621" width="3.5703125" style="957" customWidth="1"/>
    <col min="4622" max="4631" width="8.7109375" style="957" customWidth="1"/>
    <col min="4632" max="4865" width="9.140625" style="957"/>
    <col min="4866" max="4866" width="23.5703125" style="957" customWidth="1"/>
    <col min="4867" max="4876" width="8.7109375" style="957" customWidth="1"/>
    <col min="4877" max="4877" width="3.5703125" style="957" customWidth="1"/>
    <col min="4878" max="4887" width="8.7109375" style="957" customWidth="1"/>
    <col min="4888" max="5121" width="9.140625" style="957"/>
    <col min="5122" max="5122" width="23.5703125" style="957" customWidth="1"/>
    <col min="5123" max="5132" width="8.7109375" style="957" customWidth="1"/>
    <col min="5133" max="5133" width="3.5703125" style="957" customWidth="1"/>
    <col min="5134" max="5143" width="8.7109375" style="957" customWidth="1"/>
    <col min="5144" max="5377" width="9.140625" style="957"/>
    <col min="5378" max="5378" width="23.5703125" style="957" customWidth="1"/>
    <col min="5379" max="5388" width="8.7109375" style="957" customWidth="1"/>
    <col min="5389" max="5389" width="3.5703125" style="957" customWidth="1"/>
    <col min="5390" max="5399" width="8.7109375" style="957" customWidth="1"/>
    <col min="5400" max="5633" width="9.140625" style="957"/>
    <col min="5634" max="5634" width="23.5703125" style="957" customWidth="1"/>
    <col min="5635" max="5644" width="8.7109375" style="957" customWidth="1"/>
    <col min="5645" max="5645" width="3.5703125" style="957" customWidth="1"/>
    <col min="5646" max="5655" width="8.7109375" style="957" customWidth="1"/>
    <col min="5656" max="5889" width="9.140625" style="957"/>
    <col min="5890" max="5890" width="23.5703125" style="957" customWidth="1"/>
    <col min="5891" max="5900" width="8.7109375" style="957" customWidth="1"/>
    <col min="5901" max="5901" width="3.5703125" style="957" customWidth="1"/>
    <col min="5902" max="5911" width="8.7109375" style="957" customWidth="1"/>
    <col min="5912" max="6145" width="9.140625" style="957"/>
    <col min="6146" max="6146" width="23.5703125" style="957" customWidth="1"/>
    <col min="6147" max="6156" width="8.7109375" style="957" customWidth="1"/>
    <col min="6157" max="6157" width="3.5703125" style="957" customWidth="1"/>
    <col min="6158" max="6167" width="8.7109375" style="957" customWidth="1"/>
    <col min="6168" max="6401" width="9.140625" style="957"/>
    <col min="6402" max="6402" width="23.5703125" style="957" customWidth="1"/>
    <col min="6403" max="6412" width="8.7109375" style="957" customWidth="1"/>
    <col min="6413" max="6413" width="3.5703125" style="957" customWidth="1"/>
    <col min="6414" max="6423" width="8.7109375" style="957" customWidth="1"/>
    <col min="6424" max="6657" width="9.140625" style="957"/>
    <col min="6658" max="6658" width="23.5703125" style="957" customWidth="1"/>
    <col min="6659" max="6668" width="8.7109375" style="957" customWidth="1"/>
    <col min="6669" max="6669" width="3.5703125" style="957" customWidth="1"/>
    <col min="6670" max="6679" width="8.7109375" style="957" customWidth="1"/>
    <col min="6680" max="6913" width="9.140625" style="957"/>
    <col min="6914" max="6914" width="23.5703125" style="957" customWidth="1"/>
    <col min="6915" max="6924" width="8.7109375" style="957" customWidth="1"/>
    <col min="6925" max="6925" width="3.5703125" style="957" customWidth="1"/>
    <col min="6926" max="6935" width="8.7109375" style="957" customWidth="1"/>
    <col min="6936" max="7169" width="9.140625" style="957"/>
    <col min="7170" max="7170" width="23.5703125" style="957" customWidth="1"/>
    <col min="7171" max="7180" width="8.7109375" style="957" customWidth="1"/>
    <col min="7181" max="7181" width="3.5703125" style="957" customWidth="1"/>
    <col min="7182" max="7191" width="8.7109375" style="957" customWidth="1"/>
    <col min="7192" max="7425" width="9.140625" style="957"/>
    <col min="7426" max="7426" width="23.5703125" style="957" customWidth="1"/>
    <col min="7427" max="7436" width="8.7109375" style="957" customWidth="1"/>
    <col min="7437" max="7437" width="3.5703125" style="957" customWidth="1"/>
    <col min="7438" max="7447" width="8.7109375" style="957" customWidth="1"/>
    <col min="7448" max="7681" width="9.140625" style="957"/>
    <col min="7682" max="7682" width="23.5703125" style="957" customWidth="1"/>
    <col min="7683" max="7692" width="8.7109375" style="957" customWidth="1"/>
    <col min="7693" max="7693" width="3.5703125" style="957" customWidth="1"/>
    <col min="7694" max="7703" width="8.7109375" style="957" customWidth="1"/>
    <col min="7704" max="7937" width="9.140625" style="957"/>
    <col min="7938" max="7938" width="23.5703125" style="957" customWidth="1"/>
    <col min="7939" max="7948" width="8.7109375" style="957" customWidth="1"/>
    <col min="7949" max="7949" width="3.5703125" style="957" customWidth="1"/>
    <col min="7950" max="7959" width="8.7109375" style="957" customWidth="1"/>
    <col min="7960" max="8193" width="9.140625" style="957"/>
    <col min="8194" max="8194" width="23.5703125" style="957" customWidth="1"/>
    <col min="8195" max="8204" width="8.7109375" style="957" customWidth="1"/>
    <col min="8205" max="8205" width="3.5703125" style="957" customWidth="1"/>
    <col min="8206" max="8215" width="8.7109375" style="957" customWidth="1"/>
    <col min="8216" max="8449" width="9.140625" style="957"/>
    <col min="8450" max="8450" width="23.5703125" style="957" customWidth="1"/>
    <col min="8451" max="8460" width="8.7109375" style="957" customWidth="1"/>
    <col min="8461" max="8461" width="3.5703125" style="957" customWidth="1"/>
    <col min="8462" max="8471" width="8.7109375" style="957" customWidth="1"/>
    <col min="8472" max="8705" width="9.140625" style="957"/>
    <col min="8706" max="8706" width="23.5703125" style="957" customWidth="1"/>
    <col min="8707" max="8716" width="8.7109375" style="957" customWidth="1"/>
    <col min="8717" max="8717" width="3.5703125" style="957" customWidth="1"/>
    <col min="8718" max="8727" width="8.7109375" style="957" customWidth="1"/>
    <col min="8728" max="8961" width="9.140625" style="957"/>
    <col min="8962" max="8962" width="23.5703125" style="957" customWidth="1"/>
    <col min="8963" max="8972" width="8.7109375" style="957" customWidth="1"/>
    <col min="8973" max="8973" width="3.5703125" style="957" customWidth="1"/>
    <col min="8974" max="8983" width="8.7109375" style="957" customWidth="1"/>
    <col min="8984" max="9217" width="9.140625" style="957"/>
    <col min="9218" max="9218" width="23.5703125" style="957" customWidth="1"/>
    <col min="9219" max="9228" width="8.7109375" style="957" customWidth="1"/>
    <col min="9229" max="9229" width="3.5703125" style="957" customWidth="1"/>
    <col min="9230" max="9239" width="8.7109375" style="957" customWidth="1"/>
    <col min="9240" max="9473" width="9.140625" style="957"/>
    <col min="9474" max="9474" width="23.5703125" style="957" customWidth="1"/>
    <col min="9475" max="9484" width="8.7109375" style="957" customWidth="1"/>
    <col min="9485" max="9485" width="3.5703125" style="957" customWidth="1"/>
    <col min="9486" max="9495" width="8.7109375" style="957" customWidth="1"/>
    <col min="9496" max="9729" width="9.140625" style="957"/>
    <col min="9730" max="9730" width="23.5703125" style="957" customWidth="1"/>
    <col min="9731" max="9740" width="8.7109375" style="957" customWidth="1"/>
    <col min="9741" max="9741" width="3.5703125" style="957" customWidth="1"/>
    <col min="9742" max="9751" width="8.7109375" style="957" customWidth="1"/>
    <col min="9752" max="9985" width="9.140625" style="957"/>
    <col min="9986" max="9986" width="23.5703125" style="957" customWidth="1"/>
    <col min="9987" max="9996" width="8.7109375" style="957" customWidth="1"/>
    <col min="9997" max="9997" width="3.5703125" style="957" customWidth="1"/>
    <col min="9998" max="10007" width="8.7109375" style="957" customWidth="1"/>
    <col min="10008" max="10241" width="9.140625" style="957"/>
    <col min="10242" max="10242" width="23.5703125" style="957" customWidth="1"/>
    <col min="10243" max="10252" width="8.7109375" style="957" customWidth="1"/>
    <col min="10253" max="10253" width="3.5703125" style="957" customWidth="1"/>
    <col min="10254" max="10263" width="8.7109375" style="957" customWidth="1"/>
    <col min="10264" max="10497" width="9.140625" style="957"/>
    <col min="10498" max="10498" width="23.5703125" style="957" customWidth="1"/>
    <col min="10499" max="10508" width="8.7109375" style="957" customWidth="1"/>
    <col min="10509" max="10509" width="3.5703125" style="957" customWidth="1"/>
    <col min="10510" max="10519" width="8.7109375" style="957" customWidth="1"/>
    <col min="10520" max="10753" width="9.140625" style="957"/>
    <col min="10754" max="10754" width="23.5703125" style="957" customWidth="1"/>
    <col min="10755" max="10764" width="8.7109375" style="957" customWidth="1"/>
    <col min="10765" max="10765" width="3.5703125" style="957" customWidth="1"/>
    <col min="10766" max="10775" width="8.7109375" style="957" customWidth="1"/>
    <col min="10776" max="11009" width="9.140625" style="957"/>
    <col min="11010" max="11010" width="23.5703125" style="957" customWidth="1"/>
    <col min="11011" max="11020" width="8.7109375" style="957" customWidth="1"/>
    <col min="11021" max="11021" width="3.5703125" style="957" customWidth="1"/>
    <col min="11022" max="11031" width="8.7109375" style="957" customWidth="1"/>
    <col min="11032" max="11265" width="9.140625" style="957"/>
    <col min="11266" max="11266" width="23.5703125" style="957" customWidth="1"/>
    <col min="11267" max="11276" width="8.7109375" style="957" customWidth="1"/>
    <col min="11277" max="11277" width="3.5703125" style="957" customWidth="1"/>
    <col min="11278" max="11287" width="8.7109375" style="957" customWidth="1"/>
    <col min="11288" max="11521" width="9.140625" style="957"/>
    <col min="11522" max="11522" width="23.5703125" style="957" customWidth="1"/>
    <col min="11523" max="11532" width="8.7109375" style="957" customWidth="1"/>
    <col min="11533" max="11533" width="3.5703125" style="957" customWidth="1"/>
    <col min="11534" max="11543" width="8.7109375" style="957" customWidth="1"/>
    <col min="11544" max="11777" width="9.140625" style="957"/>
    <col min="11778" max="11778" width="23.5703125" style="957" customWidth="1"/>
    <col min="11779" max="11788" width="8.7109375" style="957" customWidth="1"/>
    <col min="11789" max="11789" width="3.5703125" style="957" customWidth="1"/>
    <col min="11790" max="11799" width="8.7109375" style="957" customWidth="1"/>
    <col min="11800" max="12033" width="9.140625" style="957"/>
    <col min="12034" max="12034" width="23.5703125" style="957" customWidth="1"/>
    <col min="12035" max="12044" width="8.7109375" style="957" customWidth="1"/>
    <col min="12045" max="12045" width="3.5703125" style="957" customWidth="1"/>
    <col min="12046" max="12055" width="8.7109375" style="957" customWidth="1"/>
    <col min="12056" max="12289" width="9.140625" style="957"/>
    <col min="12290" max="12290" width="23.5703125" style="957" customWidth="1"/>
    <col min="12291" max="12300" width="8.7109375" style="957" customWidth="1"/>
    <col min="12301" max="12301" width="3.5703125" style="957" customWidth="1"/>
    <col min="12302" max="12311" width="8.7109375" style="957" customWidth="1"/>
    <col min="12312" max="12545" width="9.140625" style="957"/>
    <col min="12546" max="12546" width="23.5703125" style="957" customWidth="1"/>
    <col min="12547" max="12556" width="8.7109375" style="957" customWidth="1"/>
    <col min="12557" max="12557" width="3.5703125" style="957" customWidth="1"/>
    <col min="12558" max="12567" width="8.7109375" style="957" customWidth="1"/>
    <col min="12568" max="12801" width="9.140625" style="957"/>
    <col min="12802" max="12802" width="23.5703125" style="957" customWidth="1"/>
    <col min="12803" max="12812" width="8.7109375" style="957" customWidth="1"/>
    <col min="12813" max="12813" width="3.5703125" style="957" customWidth="1"/>
    <col min="12814" max="12823" width="8.7109375" style="957" customWidth="1"/>
    <col min="12824" max="13057" width="9.140625" style="957"/>
    <col min="13058" max="13058" width="23.5703125" style="957" customWidth="1"/>
    <col min="13059" max="13068" width="8.7109375" style="957" customWidth="1"/>
    <col min="13069" max="13069" width="3.5703125" style="957" customWidth="1"/>
    <col min="13070" max="13079" width="8.7109375" style="957" customWidth="1"/>
    <col min="13080" max="13313" width="9.140625" style="957"/>
    <col min="13314" max="13314" width="23.5703125" style="957" customWidth="1"/>
    <col min="13315" max="13324" width="8.7109375" style="957" customWidth="1"/>
    <col min="13325" max="13325" width="3.5703125" style="957" customWidth="1"/>
    <col min="13326" max="13335" width="8.7109375" style="957" customWidth="1"/>
    <col min="13336" max="13569" width="9.140625" style="957"/>
    <col min="13570" max="13570" width="23.5703125" style="957" customWidth="1"/>
    <col min="13571" max="13580" width="8.7109375" style="957" customWidth="1"/>
    <col min="13581" max="13581" width="3.5703125" style="957" customWidth="1"/>
    <col min="13582" max="13591" width="8.7109375" style="957" customWidth="1"/>
    <col min="13592" max="13825" width="9.140625" style="957"/>
    <col min="13826" max="13826" width="23.5703125" style="957" customWidth="1"/>
    <col min="13827" max="13836" width="8.7109375" style="957" customWidth="1"/>
    <col min="13837" max="13837" width="3.5703125" style="957" customWidth="1"/>
    <col min="13838" max="13847" width="8.7109375" style="957" customWidth="1"/>
    <col min="13848" max="14081" width="9.140625" style="957"/>
    <col min="14082" max="14082" width="23.5703125" style="957" customWidth="1"/>
    <col min="14083" max="14092" width="8.7109375" style="957" customWidth="1"/>
    <col min="14093" max="14093" width="3.5703125" style="957" customWidth="1"/>
    <col min="14094" max="14103" width="8.7109375" style="957" customWidth="1"/>
    <col min="14104" max="14337" width="9.140625" style="957"/>
    <col min="14338" max="14338" width="23.5703125" style="957" customWidth="1"/>
    <col min="14339" max="14348" width="8.7109375" style="957" customWidth="1"/>
    <col min="14349" max="14349" width="3.5703125" style="957" customWidth="1"/>
    <col min="14350" max="14359" width="8.7109375" style="957" customWidth="1"/>
    <col min="14360" max="14593" width="9.140625" style="957"/>
    <col min="14594" max="14594" width="23.5703125" style="957" customWidth="1"/>
    <col min="14595" max="14604" width="8.7109375" style="957" customWidth="1"/>
    <col min="14605" max="14605" width="3.5703125" style="957" customWidth="1"/>
    <col min="14606" max="14615" width="8.7109375" style="957" customWidth="1"/>
    <col min="14616" max="14849" width="9.140625" style="957"/>
    <col min="14850" max="14850" width="23.5703125" style="957" customWidth="1"/>
    <col min="14851" max="14860" width="8.7109375" style="957" customWidth="1"/>
    <col min="14861" max="14861" width="3.5703125" style="957" customWidth="1"/>
    <col min="14862" max="14871" width="8.7109375" style="957" customWidth="1"/>
    <col min="14872" max="15105" width="9.140625" style="957"/>
    <col min="15106" max="15106" width="23.5703125" style="957" customWidth="1"/>
    <col min="15107" max="15116" width="8.7109375" style="957" customWidth="1"/>
    <col min="15117" max="15117" width="3.5703125" style="957" customWidth="1"/>
    <col min="15118" max="15127" width="8.7109375" style="957" customWidth="1"/>
    <col min="15128" max="15361" width="9.140625" style="957"/>
    <col min="15362" max="15362" width="23.5703125" style="957" customWidth="1"/>
    <col min="15363" max="15372" width="8.7109375" style="957" customWidth="1"/>
    <col min="15373" max="15373" width="3.5703125" style="957" customWidth="1"/>
    <col min="15374" max="15383" width="8.7109375" style="957" customWidth="1"/>
    <col min="15384" max="15617" width="9.140625" style="957"/>
    <col min="15618" max="15618" width="23.5703125" style="957" customWidth="1"/>
    <col min="15619" max="15628" width="8.7109375" style="957" customWidth="1"/>
    <col min="15629" max="15629" width="3.5703125" style="957" customWidth="1"/>
    <col min="15630" max="15639" width="8.7109375" style="957" customWidth="1"/>
    <col min="15640" max="15873" width="9.140625" style="957"/>
    <col min="15874" max="15874" width="23.5703125" style="957" customWidth="1"/>
    <col min="15875" max="15884" width="8.7109375" style="957" customWidth="1"/>
    <col min="15885" max="15885" width="3.5703125" style="957" customWidth="1"/>
    <col min="15886" max="15895" width="8.7109375" style="957" customWidth="1"/>
    <col min="15896" max="16129" width="9.140625" style="957"/>
    <col min="16130" max="16130" width="23.5703125" style="957" customWidth="1"/>
    <col min="16131" max="16140" width="8.7109375" style="957" customWidth="1"/>
    <col min="16141" max="16141" width="3.5703125" style="957" customWidth="1"/>
    <col min="16142" max="16151" width="8.7109375" style="957" customWidth="1"/>
    <col min="16152" max="16384" width="9.140625" style="957"/>
  </cols>
  <sheetData>
    <row r="1" spans="1:29" s="712" customFormat="1" ht="15">
      <c r="A1" s="64" t="str">
        <f>ModelBanner</f>
        <v>TSM_201819 Publication</v>
      </c>
    </row>
    <row r="2" spans="1:29" s="712" customFormat="1" ht="15">
      <c r="A2" s="940" t="s">
        <v>13</v>
      </c>
      <c r="B2" s="940" t="s">
        <v>30</v>
      </c>
    </row>
    <row r="3" spans="1:29" s="712" customFormat="1" ht="15">
      <c r="A3" s="66"/>
    </row>
    <row r="4" spans="1:29" s="56" customFormat="1" ht="15">
      <c r="A4" s="953" t="s">
        <v>26</v>
      </c>
      <c r="B4" s="953"/>
      <c r="E4" s="712"/>
    </row>
    <row r="5" spans="1:29" s="46" customFormat="1" ht="19.5" customHeight="1">
      <c r="A5" s="59" t="s">
        <v>1508</v>
      </c>
      <c r="C5" s="58"/>
      <c r="D5" s="58"/>
      <c r="E5" s="712"/>
      <c r="F5" s="58"/>
      <c r="G5" s="58"/>
      <c r="H5" s="58"/>
      <c r="I5" s="58"/>
      <c r="J5" s="58"/>
      <c r="K5" s="58"/>
      <c r="L5" s="58"/>
      <c r="M5" s="58"/>
      <c r="N5" s="58"/>
    </row>
    <row r="6" spans="1:29" s="45" customFormat="1" ht="13.5" customHeight="1">
      <c r="A6" s="954" t="s">
        <v>24</v>
      </c>
      <c r="B6" s="955"/>
      <c r="C6" s="44"/>
      <c r="D6" s="44"/>
      <c r="E6" s="712"/>
      <c r="F6" s="44"/>
      <c r="G6" s="44"/>
      <c r="H6" s="44"/>
      <c r="I6" s="44"/>
      <c r="J6" s="44"/>
      <c r="K6" s="44"/>
      <c r="L6" s="44"/>
      <c r="M6" s="44"/>
      <c r="N6" s="44"/>
    </row>
    <row r="7" spans="1:29" s="45" customFormat="1" ht="15">
      <c r="A7" s="53" t="s">
        <v>124</v>
      </c>
      <c r="C7" s="44"/>
      <c r="D7" s="44"/>
      <c r="E7" s="712"/>
      <c r="F7" s="44"/>
      <c r="G7" s="44"/>
      <c r="H7" s="44"/>
      <c r="I7" s="44"/>
      <c r="J7" s="44"/>
      <c r="K7" s="44"/>
      <c r="L7" s="44"/>
      <c r="M7" s="44"/>
      <c r="N7" s="44"/>
    </row>
    <row r="8" spans="1:29" s="45" customFormat="1" ht="15.75" customHeight="1">
      <c r="B8" s="955"/>
      <c r="C8" s="44"/>
      <c r="D8" s="44"/>
      <c r="E8" s="712"/>
      <c r="F8" s="44"/>
      <c r="G8" s="44"/>
      <c r="H8" s="44"/>
      <c r="I8" s="44"/>
      <c r="J8" s="44"/>
      <c r="K8" s="44"/>
      <c r="L8" s="44"/>
      <c r="M8" s="44"/>
      <c r="N8" s="44"/>
    </row>
    <row r="9" spans="1:29" s="49" customFormat="1" ht="13.5" customHeight="1">
      <c r="A9" s="54"/>
      <c r="B9" s="72"/>
      <c r="C9" s="70"/>
      <c r="D9" s="711"/>
      <c r="E9" s="711"/>
      <c r="F9" s="711"/>
      <c r="G9" s="71"/>
      <c r="H9" s="711"/>
      <c r="I9" s="711"/>
      <c r="J9" s="71"/>
      <c r="K9" s="48"/>
      <c r="L9" s="48"/>
      <c r="M9" s="48"/>
      <c r="N9" s="48"/>
    </row>
    <row r="10" spans="1:29" s="956" customFormat="1"/>
    <row r="11" spans="1:29">
      <c r="B11" s="958" t="s">
        <v>1499</v>
      </c>
    </row>
    <row r="12" spans="1:29" ht="12.75" customHeight="1">
      <c r="B12" s="1206" t="s">
        <v>1512</v>
      </c>
      <c r="C12" s="1207"/>
      <c r="D12" s="1207"/>
      <c r="E12" s="1207"/>
      <c r="F12" s="1207"/>
      <c r="G12" s="1207"/>
      <c r="H12" s="1207"/>
      <c r="I12" s="1207"/>
      <c r="J12" s="1207"/>
      <c r="K12" s="1207"/>
      <c r="L12" s="1207"/>
      <c r="M12" s="1207"/>
      <c r="N12" s="1207"/>
      <c r="O12" s="1207"/>
      <c r="P12" s="1207"/>
      <c r="Q12" s="1207"/>
      <c r="R12" s="1207"/>
      <c r="S12" s="1207"/>
      <c r="T12" s="1207"/>
      <c r="U12" s="959"/>
      <c r="V12" s="959"/>
      <c r="W12" s="959"/>
      <c r="X12" s="959"/>
      <c r="Y12" s="959"/>
      <c r="Z12" s="959"/>
      <c r="AA12" s="959"/>
      <c r="AB12" s="960"/>
      <c r="AC12" s="960"/>
    </row>
    <row r="13" spans="1:29">
      <c r="B13" s="1208"/>
      <c r="C13" s="1209"/>
      <c r="D13" s="1209"/>
      <c r="E13" s="1209"/>
      <c r="F13" s="1209"/>
      <c r="G13" s="1209"/>
      <c r="H13" s="1209"/>
      <c r="I13" s="1209"/>
      <c r="J13" s="1209"/>
      <c r="K13" s="1209"/>
      <c r="L13" s="1209"/>
      <c r="M13" s="1209"/>
      <c r="N13" s="1209"/>
      <c r="O13" s="1209"/>
      <c r="P13" s="1209"/>
      <c r="Q13" s="1209"/>
      <c r="R13" s="1209"/>
      <c r="S13" s="1209"/>
      <c r="T13" s="1209"/>
      <c r="U13" s="959"/>
      <c r="V13" s="959"/>
      <c r="W13" s="959"/>
      <c r="X13" s="959"/>
      <c r="Y13" s="959"/>
      <c r="Z13" s="959"/>
      <c r="AA13" s="959"/>
      <c r="AB13" s="960"/>
      <c r="AC13" s="960"/>
    </row>
    <row r="14" spans="1:29" ht="6" customHeight="1"/>
    <row r="15" spans="1:29" ht="12.75" customHeight="1">
      <c r="B15" s="1223" t="s">
        <v>1649</v>
      </c>
      <c r="C15" s="1224"/>
      <c r="D15" s="1224"/>
      <c r="E15" s="1224"/>
      <c r="F15" s="1224"/>
      <c r="G15" s="1225"/>
    </row>
    <row r="16" spans="1:29" ht="12" customHeight="1">
      <c r="B16" s="1226"/>
      <c r="C16" s="1227"/>
      <c r="D16" s="1227"/>
      <c r="E16" s="1227"/>
      <c r="F16" s="1227"/>
      <c r="G16" s="1228"/>
      <c r="N16" s="961"/>
    </row>
    <row r="17" spans="1:14" ht="12" customHeight="1">
      <c r="B17" s="1226"/>
      <c r="C17" s="1227"/>
      <c r="D17" s="1227"/>
      <c r="E17" s="1227"/>
      <c r="F17" s="1227"/>
      <c r="G17" s="1228"/>
    </row>
    <row r="18" spans="1:14" ht="12" customHeight="1">
      <c r="B18" s="1226"/>
      <c r="C18" s="1227"/>
      <c r="D18" s="1227"/>
      <c r="E18" s="1227"/>
      <c r="F18" s="1227"/>
      <c r="G18" s="1228"/>
      <c r="N18" s="961" t="s">
        <v>1514</v>
      </c>
    </row>
    <row r="19" spans="1:14" ht="12" customHeight="1">
      <c r="B19" s="980" t="s">
        <v>1515</v>
      </c>
      <c r="C19" s="979"/>
      <c r="D19" s="979"/>
      <c r="E19" s="979"/>
      <c r="F19" s="979"/>
      <c r="G19" s="978"/>
      <c r="H19" s="971"/>
      <c r="I19" s="971"/>
      <c r="J19" s="971"/>
      <c r="K19" s="971"/>
      <c r="L19" s="971"/>
    </row>
    <row r="20" spans="1:14" s="962" customFormat="1" ht="28.5" customHeight="1">
      <c r="C20" s="1210" t="s">
        <v>1500</v>
      </c>
      <c r="D20" s="1211"/>
      <c r="E20" s="1211"/>
      <c r="F20" s="1211"/>
      <c r="G20" s="1212"/>
      <c r="H20" s="1213" t="s">
        <v>1501</v>
      </c>
      <c r="I20" s="1214"/>
      <c r="J20" s="1214"/>
      <c r="K20" s="1214"/>
      <c r="L20" s="1215"/>
    </row>
    <row r="21" spans="1:14" ht="12" customHeight="1">
      <c r="A21" s="963"/>
      <c r="B21" s="944"/>
      <c r="C21" s="1003" t="str">
        <f>Teacher_need_figures!C13</f>
        <v>2017/18</v>
      </c>
      <c r="D21" s="1003" t="str">
        <f>Teacher_need_figures!D13</f>
        <v>2018/19</v>
      </c>
      <c r="E21" s="1003" t="str">
        <f>Teacher_need_figures!E13</f>
        <v>2019/20</v>
      </c>
      <c r="F21" s="1003" t="str">
        <f>Teacher_need_figures!F13</f>
        <v>2020/21</v>
      </c>
      <c r="G21" s="1003" t="str">
        <f>Teacher_need_figures!G13</f>
        <v>2021/22</v>
      </c>
      <c r="H21" s="942" t="str">
        <f>C21</f>
        <v>2017/18</v>
      </c>
      <c r="I21" s="1002" t="str">
        <f>D21</f>
        <v>2018/19</v>
      </c>
      <c r="J21" s="1002" t="str">
        <f>E21</f>
        <v>2019/20</v>
      </c>
      <c r="K21" s="1002" t="str">
        <f>F21</f>
        <v>2020/21</v>
      </c>
      <c r="L21" s="1002" t="str">
        <f>G21</f>
        <v>2021/22</v>
      </c>
      <c r="M21" s="964"/>
    </row>
    <row r="22" spans="1:14" ht="12" customHeight="1">
      <c r="A22" s="963"/>
      <c r="B22" s="943" t="s">
        <v>40</v>
      </c>
      <c r="C22" s="420">
        <f>IF($G$69=1,Teacher_need_figures!C14,IF($G$69=2,Entrant_need_figures!C15,"-"))</f>
        <v>243605.32104784102</v>
      </c>
      <c r="D22" s="420">
        <f>IF($G$69=1,Teacher_need_figures!D14,IF($G$69=2,Entrant_need_figures!D15,IF($G$69=3,FINAL_OUTPUTS_OF_ITT_PLACES!G44,"-")))</f>
        <v>244269.7542551799</v>
      </c>
      <c r="E22" s="420">
        <f>IF($G$69=1,Teacher_need_figures!E14,IF($G$69=2,Entrant_need_figures!E15,"-"))</f>
        <v>244274.82192656255</v>
      </c>
      <c r="F22" s="420">
        <f>IF($G$69=1,Teacher_need_figures!F14,IF($G$69=2,Entrant_need_figures!F15,"-"))</f>
        <v>244504.52764222646</v>
      </c>
      <c r="G22" s="965">
        <f>IF($G$69=1,Teacher_need_figures!G14,IF($G$69=2,Entrant_need_figures!G15,"-"))</f>
        <v>244565.62003293994</v>
      </c>
      <c r="H22" s="966">
        <f>IF($G$69=1,C22-Teacher_need_figures!C39,IF($G$69=2,C22-Entrant_need_figures!C43,"-"))</f>
        <v>0</v>
      </c>
      <c r="I22" s="544">
        <f>IF($G$69=1,D22-Teacher_need_figures!D39,IF($G$69=2,D22-Entrant_need_figures!D43,IF($G$69=3,D22-FINAL_OUTPUTS_OF_ITT_PLACES!H44,"-")))</f>
        <v>0</v>
      </c>
      <c r="J22" s="544">
        <f>IF($G$69=1,E22-Teacher_need_figures!E39,IF($G$69=2,E22-Entrant_need_figures!E43,"-"))</f>
        <v>0</v>
      </c>
      <c r="K22" s="544">
        <f>IF($G$69=1,F22-Teacher_need_figures!F39,IF($G$69=2,F22-Entrant_need_figures!F43,"-"))</f>
        <v>0</v>
      </c>
      <c r="L22" s="544">
        <f>IF($G$69=1,G22-Teacher_need_figures!G39,IF($G$69=2,G22-Entrant_need_figures!G43,"-"))</f>
        <v>0</v>
      </c>
      <c r="M22" s="964"/>
    </row>
    <row r="23" spans="1:14" ht="12" customHeight="1">
      <c r="A23" s="963"/>
      <c r="B23" s="943" t="s">
        <v>571</v>
      </c>
      <c r="C23" s="420">
        <f>IF($G$69=1,Teacher_need_figures!C15,IF($G$69=2,Entrant_need_figures!C16,"-"))</f>
        <v>8089.5540643163376</v>
      </c>
      <c r="D23" s="420">
        <f>IF($G$69=1,Teacher_need_figures!D15,IF($G$69=2,Entrant_need_figures!D16,IF($G$69=3,FINAL_OUTPUTS_OF_ITT_PLACES!G45,"-")))</f>
        <v>8060.7474464650004</v>
      </c>
      <c r="E23" s="420">
        <f>IF($G$69=1,Teacher_need_figures!E15,IF($G$69=2,Entrant_need_figures!E16,"-"))</f>
        <v>8082.7517622230034</v>
      </c>
      <c r="F23" s="420">
        <f>IF($G$69=1,Teacher_need_figures!F15,IF($G$69=2,Entrant_need_figures!F16,"-"))</f>
        <v>8093.4095363281858</v>
      </c>
      <c r="G23" s="965">
        <f>IF($G$69=1,Teacher_need_figures!G15,IF($G$69=2,Entrant_need_figures!G16,"-"))</f>
        <v>8086.7132472732837</v>
      </c>
      <c r="H23" s="966">
        <f>IF($G$69=1,C23-Teacher_need_figures!C40,IF($G$69=2,C23-Entrant_need_figures!C44,"-"))</f>
        <v>0</v>
      </c>
      <c r="I23" s="544">
        <f>IF($G$69=1,D23-Teacher_need_figures!D40,IF($G$69=2,D23-Entrant_need_figures!D44,IF($G$69=3,D23-FINAL_OUTPUTS_OF_ITT_PLACES!H45,"-")))</f>
        <v>0</v>
      </c>
      <c r="J23" s="544">
        <f>IF($G$69=1,E23-Teacher_need_figures!E40,IF($G$69=2,E23-Entrant_need_figures!E44,"-"))</f>
        <v>0</v>
      </c>
      <c r="K23" s="544">
        <f>IF($G$69=1,F23-Teacher_need_figures!F40,IF($G$69=2,F23-Entrant_need_figures!F44,"-"))</f>
        <v>0</v>
      </c>
      <c r="L23" s="544">
        <f>IF($G$69=1,G23-Teacher_need_figures!G40,IF($G$69=2,G23-Entrant_need_figures!G44,"-"))</f>
        <v>0</v>
      </c>
      <c r="M23" s="964"/>
    </row>
    <row r="24" spans="1:14" ht="12" customHeight="1">
      <c r="A24" s="963"/>
      <c r="B24" s="943" t="s">
        <v>7</v>
      </c>
      <c r="C24" s="420">
        <f>IF($G$69=1,Teacher_need_figures!C16,IF($G$69=2,Entrant_need_figures!C17,"-"))</f>
        <v>12318.6629831685</v>
      </c>
      <c r="D24" s="420">
        <f>IF($G$69=1,Teacher_need_figures!D16,IF($G$69=2,Entrant_need_figures!D17,IF($G$69=3,FINAL_OUTPUTS_OF_ITT_PLACES!G46,"-")))</f>
        <v>12430.855335898372</v>
      </c>
      <c r="E24" s="420">
        <f>IF($G$69=1,Teacher_need_figures!E16,IF($G$69=2,Entrant_need_figures!E17,"-"))</f>
        <v>12542.486134861922</v>
      </c>
      <c r="F24" s="420">
        <f>IF($G$69=1,Teacher_need_figures!F16,IF($G$69=2,Entrant_need_figures!F17,"-"))</f>
        <v>12643.543720995483</v>
      </c>
      <c r="G24" s="965">
        <f>IF($G$69=1,Teacher_need_figures!G16,IF($G$69=2,Entrant_need_figures!G17,"-"))</f>
        <v>12764.282686945471</v>
      </c>
      <c r="H24" s="966">
        <f>IF($G$69=1,C24-Teacher_need_figures!C41,IF($G$69=2,C24-Entrant_need_figures!C45,"-"))</f>
        <v>0</v>
      </c>
      <c r="I24" s="544">
        <f>IF($G$69=1,D24-Teacher_need_figures!D41,IF($G$69=2,D24-Entrant_need_figures!D45,IF($G$69=3,D24-FINAL_OUTPUTS_OF_ITT_PLACES!H46,"-")))</f>
        <v>0</v>
      </c>
      <c r="J24" s="544">
        <f>IF($G$69=1,E24-Teacher_need_figures!E41,IF($G$69=2,E24-Entrant_need_figures!E45,"-"))</f>
        <v>0</v>
      </c>
      <c r="K24" s="544">
        <f>IF($G$69=1,F24-Teacher_need_figures!F41,IF($G$69=2,F24-Entrant_need_figures!F45,"-"))</f>
        <v>0</v>
      </c>
      <c r="L24" s="544">
        <f>IF($G$69=1,G24-Teacher_need_figures!G41,IF($G$69=2,G24-Entrant_need_figures!G45,"-"))</f>
        <v>0</v>
      </c>
      <c r="M24" s="964"/>
    </row>
    <row r="25" spans="1:14" ht="12" customHeight="1">
      <c r="A25" s="963"/>
      <c r="B25" s="943" t="s">
        <v>429</v>
      </c>
      <c r="C25" s="420">
        <f>IF($G$69=1,Teacher_need_figures!C17,IF($G$69=2,Entrant_need_figures!C18,"-"))</f>
        <v>3881.3803858866468</v>
      </c>
      <c r="D25" s="420">
        <f>IF($G$69=1,Teacher_need_figures!D17,IF($G$69=2,Entrant_need_figures!D18,IF($G$69=3,FINAL_OUTPUTS_OF_ITT_PLACES!G47,"-")))</f>
        <v>3797.8888289148053</v>
      </c>
      <c r="E25" s="420">
        <f>IF($G$69=1,Teacher_need_figures!E17,IF($G$69=2,Entrant_need_figures!E18,"-"))</f>
        <v>3742.9101835736583</v>
      </c>
      <c r="F25" s="420">
        <f>IF($G$69=1,Teacher_need_figures!F17,IF($G$69=2,Entrant_need_figures!F18,"-"))</f>
        <v>3732.6662022919718</v>
      </c>
      <c r="G25" s="965">
        <f>IF($G$69=1,Teacher_need_figures!G17,IF($G$69=2,Entrant_need_figures!G18,"-"))</f>
        <v>3743.6928729263068</v>
      </c>
      <c r="H25" s="966">
        <f>IF($G$69=1,C25-Teacher_need_figures!C42,IF($G$69=2,C25-Entrant_need_figures!C46,"-"))</f>
        <v>0</v>
      </c>
      <c r="I25" s="544">
        <f>IF($G$69=1,D25-Teacher_need_figures!D42,IF($G$69=2,D25-Entrant_need_figures!D46,IF($G$69=3,D25-FINAL_OUTPUTS_OF_ITT_PLACES!H47,"-")))</f>
        <v>0</v>
      </c>
      <c r="J25" s="544">
        <f>IF($G$69=1,E25-Teacher_need_figures!E42,IF($G$69=2,E25-Entrant_need_figures!E46,"-"))</f>
        <v>0</v>
      </c>
      <c r="K25" s="544">
        <f>IF($G$69=1,F25-Teacher_need_figures!F42,IF($G$69=2,F25-Entrant_need_figures!F46,"-"))</f>
        <v>0</v>
      </c>
      <c r="L25" s="544">
        <f>IF($G$69=1,G25-Teacher_need_figures!G42,IF($G$69=2,G25-Entrant_need_figures!G46,"-"))</f>
        <v>0</v>
      </c>
      <c r="M25" s="964"/>
    </row>
    <row r="26" spans="1:14" ht="12" customHeight="1">
      <c r="A26" s="963"/>
      <c r="B26" s="943" t="s">
        <v>3</v>
      </c>
      <c r="C26" s="420">
        <f>IF($G$69=1,Teacher_need_figures!C18,IF($G$69=2,Entrant_need_figures!C19,"-"))</f>
        <v>10896.284169016637</v>
      </c>
      <c r="D26" s="420">
        <f>IF($G$69=1,Teacher_need_figures!D18,IF($G$69=2,Entrant_need_figures!D19,IF($G$69=3,FINAL_OUTPUTS_OF_ITT_PLACES!G48,"-")))</f>
        <v>11002.935829109545</v>
      </c>
      <c r="E26" s="420">
        <f>IF($G$69=1,Teacher_need_figures!E18,IF($G$69=2,Entrant_need_figures!E19,"-"))</f>
        <v>11103.173296540359</v>
      </c>
      <c r="F26" s="420">
        <f>IF($G$69=1,Teacher_need_figures!F18,IF($G$69=2,Entrant_need_figures!F19,"-"))</f>
        <v>11193.803782266205</v>
      </c>
      <c r="G26" s="965">
        <f>IF($G$69=1,Teacher_need_figures!G18,IF($G$69=2,Entrant_need_figures!G19,"-"))</f>
        <v>11305.034003721705</v>
      </c>
      <c r="H26" s="966">
        <f>IF($G$69=1,C26-Teacher_need_figures!C43,IF($G$69=2,C26-Entrant_need_figures!C47,"-"))</f>
        <v>0</v>
      </c>
      <c r="I26" s="544">
        <f>IF($G$69=1,D26-Teacher_need_figures!D43,IF($G$69=2,D26-Entrant_need_figures!D47,IF($G$69=3,D26-FINAL_OUTPUTS_OF_ITT_PLACES!H48,"-")))</f>
        <v>0</v>
      </c>
      <c r="J26" s="544">
        <f>IF($G$69=1,E26-Teacher_need_figures!E43,IF($G$69=2,E26-Entrant_need_figures!E47,"-"))</f>
        <v>0</v>
      </c>
      <c r="K26" s="544">
        <f>IF($G$69=1,F26-Teacher_need_figures!F43,IF($G$69=2,F26-Entrant_need_figures!F47,"-"))</f>
        <v>0</v>
      </c>
      <c r="L26" s="544">
        <f>IF($G$69=1,G26-Teacher_need_figures!G43,IF($G$69=2,G26-Entrant_need_figures!G47,"-"))</f>
        <v>0</v>
      </c>
      <c r="M26" s="964"/>
    </row>
    <row r="27" spans="1:14" ht="12" customHeight="1">
      <c r="A27" s="963"/>
      <c r="B27" s="943" t="s">
        <v>80</v>
      </c>
      <c r="C27" s="420">
        <f>IF($G$69=1,Teacher_need_figures!C19,IF($G$69=2,Entrant_need_figures!C20,"-"))</f>
        <v>299.02120443268882</v>
      </c>
      <c r="D27" s="420">
        <f>IF($G$69=1,Teacher_need_figures!D19,IF($G$69=2,Entrant_need_figures!D20,IF($G$69=3,FINAL_OUTPUTS_OF_ITT_PLACES!G49,"-")))</f>
        <v>296.23168899349145</v>
      </c>
      <c r="E27" s="420">
        <f>IF($G$69=1,Teacher_need_figures!E19,IF($G$69=2,Entrant_need_figures!E20,"-"))</f>
        <v>295.6987372940045</v>
      </c>
      <c r="F27" s="420">
        <f>IF($G$69=1,Teacher_need_figures!F19,IF($G$69=2,Entrant_need_figures!F20,"-"))</f>
        <v>297.1058104636557</v>
      </c>
      <c r="G27" s="965">
        <f>IF($G$69=1,Teacher_need_figures!G19,IF($G$69=2,Entrant_need_figures!G20,"-"))</f>
        <v>299.34681810002053</v>
      </c>
      <c r="H27" s="966">
        <f>IF($G$69=1,C27-Teacher_need_figures!C44,IF($G$69=2,C27-Entrant_need_figures!C48,"-"))</f>
        <v>0</v>
      </c>
      <c r="I27" s="544">
        <f>IF($G$69=1,D27-Teacher_need_figures!D44,IF($G$69=2,D27-Entrant_need_figures!D48,IF($G$69=3,D27-FINAL_OUTPUTS_OF_ITT_PLACES!H49,"-")))</f>
        <v>0</v>
      </c>
      <c r="J27" s="544">
        <f>IF($G$69=1,E27-Teacher_need_figures!E44,IF($G$69=2,E27-Entrant_need_figures!E48,"-"))</f>
        <v>0</v>
      </c>
      <c r="K27" s="544">
        <f>IF($G$69=1,F27-Teacher_need_figures!F44,IF($G$69=2,F27-Entrant_need_figures!F48,"-"))</f>
        <v>0</v>
      </c>
      <c r="L27" s="544">
        <f>IF($G$69=1,G27-Teacher_need_figures!G44,IF($G$69=2,G27-Entrant_need_figures!G48,"-"))</f>
        <v>0</v>
      </c>
      <c r="M27" s="964"/>
    </row>
    <row r="28" spans="1:14" ht="12" customHeight="1">
      <c r="A28" s="963"/>
      <c r="B28" s="943" t="s">
        <v>108</v>
      </c>
      <c r="C28" s="420">
        <f>IF($G$69=1,Teacher_need_figures!C20,IF($G$69=2,Entrant_need_figures!C21,"-"))</f>
        <v>6886.2117410603414</v>
      </c>
      <c r="D28" s="420">
        <f>IF($G$69=1,Teacher_need_figures!D20,IF($G$69=2,Entrant_need_figures!D21,IF($G$69=3,FINAL_OUTPUTS_OF_ITT_PLACES!G50,"-")))</f>
        <v>6858.8559812158583</v>
      </c>
      <c r="E28" s="420">
        <f>IF($G$69=1,Teacher_need_figures!E20,IF($G$69=2,Entrant_need_figures!E21,"-"))</f>
        <v>6873.8926369224801</v>
      </c>
      <c r="F28" s="420">
        <f>IF($G$69=1,Teacher_need_figures!F20,IF($G$69=2,Entrant_need_figures!F21,"-"))</f>
        <v>6881.6845608980666</v>
      </c>
      <c r="G28" s="965">
        <f>IF($G$69=1,Teacher_need_figures!G20,IF($G$69=2,Entrant_need_figures!G21,"-"))</f>
        <v>6879.4126362278994</v>
      </c>
      <c r="H28" s="966">
        <f>IF($G$69=1,C28-Teacher_need_figures!C45,IF($G$69=2,C28-Entrant_need_figures!C49,"-"))</f>
        <v>0</v>
      </c>
      <c r="I28" s="544">
        <f>IF($G$69=1,D28-Teacher_need_figures!D45,IF($G$69=2,D28-Entrant_need_figures!D49,IF($G$69=3,D28-FINAL_OUTPUTS_OF_ITT_PLACES!H50,"-")))</f>
        <v>0</v>
      </c>
      <c r="J28" s="544">
        <f>IF($G$69=1,E28-Teacher_need_figures!E45,IF($G$69=2,E28-Entrant_need_figures!E49,"-"))</f>
        <v>0</v>
      </c>
      <c r="K28" s="544">
        <f>IF($G$69=1,F28-Teacher_need_figures!F45,IF($G$69=2,F28-Entrant_need_figures!F49,"-"))</f>
        <v>0</v>
      </c>
      <c r="L28" s="544">
        <f>IF($G$69=1,G28-Teacher_need_figures!G45,IF($G$69=2,G28-Entrant_need_figures!G49,"-"))</f>
        <v>0</v>
      </c>
      <c r="M28" s="964"/>
    </row>
    <row r="29" spans="1:14" ht="12" customHeight="1">
      <c r="A29" s="963"/>
      <c r="B29" s="943" t="s">
        <v>572</v>
      </c>
      <c r="C29" s="420">
        <f>IF($G$69=1,Teacher_need_figures!C21,IF($G$69=2,Entrant_need_figures!C22,"-"))</f>
        <v>9723.9372735583838</v>
      </c>
      <c r="D29" s="420">
        <f>IF($G$69=1,Teacher_need_figures!D21,IF($G$69=2,Entrant_need_figures!D22,IF($G$69=3,FINAL_OUTPUTS_OF_ITT_PLACES!G51,"-")))</f>
        <v>9730.713572541621</v>
      </c>
      <c r="E29" s="420">
        <f>IF($G$69=1,Teacher_need_figures!E21,IF($G$69=2,Entrant_need_figures!E22,"-"))</f>
        <v>9795.7800392161698</v>
      </c>
      <c r="F29" s="420">
        <f>IF($G$69=1,Teacher_need_figures!F21,IF($G$69=2,Entrant_need_figures!F22,"-"))</f>
        <v>9817.6475451427996</v>
      </c>
      <c r="G29" s="965">
        <f>IF($G$69=1,Teacher_need_figures!G21,IF($G$69=2,Entrant_need_figures!G22,"-"))</f>
        <v>9802.422714787177</v>
      </c>
      <c r="H29" s="966">
        <f>IF($G$69=1,C29-Teacher_need_figures!C46,IF($G$69=2,C29-Entrant_need_figures!C50,"-"))</f>
        <v>0</v>
      </c>
      <c r="I29" s="544">
        <f>IF($G$69=1,D29-Teacher_need_figures!D46,IF($G$69=2,D29-Entrant_need_figures!D50,IF($G$69=3,D29-FINAL_OUTPUTS_OF_ITT_PLACES!H51,"-")))</f>
        <v>0</v>
      </c>
      <c r="J29" s="544">
        <f>IF($G$69=1,E29-Teacher_need_figures!E46,IF($G$69=2,E29-Entrant_need_figures!E50,"-"))</f>
        <v>0</v>
      </c>
      <c r="K29" s="544">
        <f>IF($G$69=1,F29-Teacher_need_figures!F46,IF($G$69=2,F29-Entrant_need_figures!F50,"-"))</f>
        <v>0</v>
      </c>
      <c r="L29" s="544">
        <f>IF($G$69=1,G29-Teacher_need_figures!G46,IF($G$69=2,G29-Entrant_need_figures!G50,"-"))</f>
        <v>0</v>
      </c>
      <c r="M29" s="964"/>
    </row>
    <row r="30" spans="1:14" ht="12" customHeight="1">
      <c r="A30" s="963"/>
      <c r="B30" s="943" t="s">
        <v>6</v>
      </c>
      <c r="C30" s="420">
        <f>IF($G$69=1,Teacher_need_figures!C22,IF($G$69=2,Entrant_need_figures!C23,"-"))</f>
        <v>4794.803353271901</v>
      </c>
      <c r="D30" s="420">
        <f>IF($G$69=1,Teacher_need_figures!D22,IF($G$69=2,Entrant_need_figures!D23,IF($G$69=3,FINAL_OUTPUTS_OF_ITT_PLACES!G52,"-")))</f>
        <v>4785.8628625012416</v>
      </c>
      <c r="E30" s="420">
        <f>IF($G$69=1,Teacher_need_figures!E22,IF($G$69=2,Entrant_need_figures!E23,"-"))</f>
        <v>4806.7824513610158</v>
      </c>
      <c r="F30" s="420">
        <f>IF($G$69=1,Teacher_need_figures!F22,IF($G$69=2,Entrant_need_figures!F23,"-"))</f>
        <v>4815.2135337316658</v>
      </c>
      <c r="G30" s="965">
        <f>IF($G$69=1,Teacher_need_figures!G22,IF($G$69=2,Entrant_need_figures!G23,"-"))</f>
        <v>4809.377669292955</v>
      </c>
      <c r="H30" s="966">
        <f>IF($G$69=1,C30-Teacher_need_figures!C47,IF($G$69=2,C30-Entrant_need_figures!C51,"-"))</f>
        <v>0</v>
      </c>
      <c r="I30" s="544">
        <f>IF($G$69=1,D30-Teacher_need_figures!D47,IF($G$69=2,D30-Entrant_need_figures!D51,IF($G$69=3,D30-FINAL_OUTPUTS_OF_ITT_PLACES!H52,"-")))</f>
        <v>0</v>
      </c>
      <c r="J30" s="544">
        <f>IF($G$69=1,E30-Teacher_need_figures!E47,IF($G$69=2,E30-Entrant_need_figures!E51,"-"))</f>
        <v>0</v>
      </c>
      <c r="K30" s="544">
        <f>IF($G$69=1,F30-Teacher_need_figures!F47,IF($G$69=2,F30-Entrant_need_figures!F51,"-"))</f>
        <v>0</v>
      </c>
      <c r="L30" s="544">
        <f>IF($G$69=1,G30-Teacher_need_figures!G47,IF($G$69=2,G30-Entrant_need_figures!G51,"-"))</f>
        <v>0</v>
      </c>
      <c r="M30" s="964"/>
    </row>
    <row r="31" spans="1:14" ht="12" customHeight="1">
      <c r="A31" s="963"/>
      <c r="B31" s="943" t="s">
        <v>1</v>
      </c>
      <c r="C31" s="420">
        <f>IF($G$69=1,Teacher_need_figures!C23,IF($G$69=2,Entrant_need_figures!C24,"-"))</f>
        <v>30334.045422360272</v>
      </c>
      <c r="D31" s="420">
        <f>IF($G$69=1,Teacher_need_figures!D23,IF($G$69=2,Entrant_need_figures!D24,IF($G$69=3,FINAL_OUTPUTS_OF_ITT_PLACES!G53,"-")))</f>
        <v>31134.668074249341</v>
      </c>
      <c r="E31" s="420">
        <f>IF($G$69=1,Teacher_need_figures!E23,IF($G$69=2,Entrant_need_figures!E24,"-"))</f>
        <v>31550.424741367737</v>
      </c>
      <c r="F31" s="420">
        <f>IF($G$69=1,Teacher_need_figures!F23,IF($G$69=2,Entrant_need_figures!F24,"-"))</f>
        <v>31856.821512469844</v>
      </c>
      <c r="G31" s="965">
        <f>IF($G$69=1,Teacher_need_figures!G23,IF($G$69=2,Entrant_need_figures!G24,"-"))</f>
        <v>32164.831007781457</v>
      </c>
      <c r="H31" s="966">
        <f>IF($G$69=1,C31-Teacher_need_figures!C48,IF($G$69=2,C31-Entrant_need_figures!C52,"-"))</f>
        <v>0</v>
      </c>
      <c r="I31" s="544">
        <f>IF($G$69=1,D31-Teacher_need_figures!D48,IF($G$69=2,D31-Entrant_need_figures!D52,IF($G$69=3,D31-FINAL_OUTPUTS_OF_ITT_PLACES!H53,"-")))</f>
        <v>0</v>
      </c>
      <c r="J31" s="544">
        <f>IF($G$69=1,E31-Teacher_need_figures!E48,IF($G$69=2,E31-Entrant_need_figures!E52,"-"))</f>
        <v>0</v>
      </c>
      <c r="K31" s="544">
        <f>IF($G$69=1,F31-Teacher_need_figures!F48,IF($G$69=2,F31-Entrant_need_figures!F52,"-"))</f>
        <v>0</v>
      </c>
      <c r="L31" s="544">
        <f>IF($G$69=1,G31-Teacher_need_figures!G48,IF($G$69=2,G31-Entrant_need_figures!G52,"-"))</f>
        <v>0</v>
      </c>
      <c r="M31" s="964"/>
    </row>
    <row r="32" spans="1:14" ht="12" customHeight="1">
      <c r="A32" s="963"/>
      <c r="B32" s="943" t="s">
        <v>397</v>
      </c>
      <c r="C32" s="420">
        <f>IF($G$69=1,Teacher_need_figures!C24,IF($G$69=2,Entrant_need_figures!C25,"-"))</f>
        <v>1956.2535049672433</v>
      </c>
      <c r="D32" s="420">
        <f>IF($G$69=1,Teacher_need_figures!D24,IF($G$69=2,Entrant_need_figures!D25,IF($G$69=3,FINAL_OUTPUTS_OF_ITT_PLACES!G54,"-")))</f>
        <v>1959.5361842003301</v>
      </c>
      <c r="E32" s="420">
        <f>IF($G$69=1,Teacher_need_figures!E24,IF($G$69=2,Entrant_need_figures!E25,"-"))</f>
        <v>1973.050169889354</v>
      </c>
      <c r="F32" s="420">
        <f>IF($G$69=1,Teacher_need_figures!F24,IF($G$69=2,Entrant_need_figures!F25,"-"))</f>
        <v>1977.0348444722242</v>
      </c>
      <c r="G32" s="965">
        <f>IF($G$69=1,Teacher_need_figures!G24,IF($G$69=2,Entrant_need_figures!G25,"-"))</f>
        <v>1977.4852088545217</v>
      </c>
      <c r="H32" s="966">
        <f>IF($G$69=1,C32-Teacher_need_figures!C49,IF($G$69=2,C32-Entrant_need_figures!C53,"-"))</f>
        <v>0</v>
      </c>
      <c r="I32" s="544">
        <f>IF($G$69=1,D32-Teacher_need_figures!D49,IF($G$69=2,D32-Entrant_need_figures!D53,IF($G$69=3,D32-FINAL_OUTPUTS_OF_ITT_PLACES!H54,"-")))</f>
        <v>0</v>
      </c>
      <c r="J32" s="544">
        <f>IF($G$69=1,E32-Teacher_need_figures!E49,IF($G$69=2,E32-Entrant_need_figures!E53,"-"))</f>
        <v>0</v>
      </c>
      <c r="K32" s="544">
        <f>IF($G$69=1,F32-Teacher_need_figures!F49,IF($G$69=2,F32-Entrant_need_figures!F53,"-"))</f>
        <v>0</v>
      </c>
      <c r="L32" s="544">
        <f>IF($G$69=1,G32-Teacher_need_figures!G49,IF($G$69=2,G32-Entrant_need_figures!G53,"-"))</f>
        <v>0</v>
      </c>
      <c r="M32" s="964"/>
    </row>
    <row r="33" spans="1:26" ht="12" customHeight="1">
      <c r="A33" s="963"/>
      <c r="B33" s="943" t="s">
        <v>4</v>
      </c>
      <c r="C33" s="420">
        <f>IF($G$69=1,Teacher_need_figures!C25,IF($G$69=2,Entrant_need_figures!C26,"-"))</f>
        <v>10803.079082425373</v>
      </c>
      <c r="D33" s="420">
        <f>IF($G$69=1,Teacher_need_figures!D25,IF($G$69=2,Entrant_need_figures!D26,IF($G$69=3,FINAL_OUTPUTS_OF_ITT_PLACES!G55,"-")))</f>
        <v>10913.97383137792</v>
      </c>
      <c r="E33" s="420">
        <f>IF($G$69=1,Teacher_need_figures!E25,IF($G$69=2,Entrant_need_figures!E26,"-"))</f>
        <v>11040.073537517266</v>
      </c>
      <c r="F33" s="420">
        <f>IF($G$69=1,Teacher_need_figures!F25,IF($G$69=2,Entrant_need_figures!F26,"-"))</f>
        <v>11141.835814652577</v>
      </c>
      <c r="G33" s="965">
        <f>IF($G$69=1,Teacher_need_figures!G25,IF($G$69=2,Entrant_need_figures!G26,"-"))</f>
        <v>11235.812997276715</v>
      </c>
      <c r="H33" s="966">
        <f>IF($G$69=1,C33-Teacher_need_figures!C50,IF($G$69=2,C33-Entrant_need_figures!C54,"-"))</f>
        <v>0</v>
      </c>
      <c r="I33" s="544">
        <f>IF($G$69=1,D33-Teacher_need_figures!D50,IF($G$69=2,D33-Entrant_need_figures!D54,IF($G$69=3,D33-FINAL_OUTPUTS_OF_ITT_PLACES!H55,"-")))</f>
        <v>0</v>
      </c>
      <c r="J33" s="544">
        <f>IF($G$69=1,E33-Teacher_need_figures!E50,IF($G$69=2,E33-Entrant_need_figures!E54,"-"))</f>
        <v>0</v>
      </c>
      <c r="K33" s="544">
        <f>IF($G$69=1,F33-Teacher_need_figures!F50,IF($G$69=2,F33-Entrant_need_figures!F54,"-"))</f>
        <v>0</v>
      </c>
      <c r="L33" s="544">
        <f>IF($G$69=1,G33-Teacher_need_figures!G50,IF($G$69=2,G33-Entrant_need_figures!G54,"-"))</f>
        <v>0</v>
      </c>
      <c r="M33" s="964"/>
    </row>
    <row r="34" spans="1:26" ht="12" customHeight="1">
      <c r="A34" s="963"/>
      <c r="B34" s="943" t="s">
        <v>0</v>
      </c>
      <c r="C34" s="420">
        <f>IF($G$69=1,Teacher_need_figures!C26,IF($G$69=2,Entrant_need_figures!C27,"-"))</f>
        <v>11478.78528353108</v>
      </c>
      <c r="D34" s="420">
        <f>IF($G$69=1,Teacher_need_figures!D26,IF($G$69=2,Entrant_need_figures!D27,IF($G$69=3,FINAL_OUTPUTS_OF_ITT_PLACES!G56,"-")))</f>
        <v>11581.968504481012</v>
      </c>
      <c r="E34" s="420">
        <f>IF($G$69=1,Teacher_need_figures!E26,IF($G$69=2,Entrant_need_figures!E27,"-"))</f>
        <v>11702.36853693105</v>
      </c>
      <c r="F34" s="420">
        <f>IF($G$69=1,Teacher_need_figures!F26,IF($G$69=2,Entrant_need_figures!F27,"-"))</f>
        <v>11805.823561991971</v>
      </c>
      <c r="G34" s="965">
        <f>IF($G$69=1,Teacher_need_figures!G26,IF($G$69=2,Entrant_need_figures!G27,"-"))</f>
        <v>11905.04406842778</v>
      </c>
      <c r="H34" s="966">
        <f>IF($G$69=1,C34-Teacher_need_figures!C51,IF($G$69=2,C34-Entrant_need_figures!C55,"-"))</f>
        <v>0</v>
      </c>
      <c r="I34" s="544">
        <f>IF($G$69=1,D34-Teacher_need_figures!D51,IF($G$69=2,D34-Entrant_need_figures!D55,IF($G$69=3,D34-FINAL_OUTPUTS_OF_ITT_PLACES!H56,"-")))</f>
        <v>0</v>
      </c>
      <c r="J34" s="544">
        <f>IF($G$69=1,E34-Teacher_need_figures!E51,IF($G$69=2,E34-Entrant_need_figures!E55,"-"))</f>
        <v>0</v>
      </c>
      <c r="K34" s="544">
        <f>IF($G$69=1,F34-Teacher_need_figures!F51,IF($G$69=2,F34-Entrant_need_figures!F55,"-"))</f>
        <v>0</v>
      </c>
      <c r="L34" s="544">
        <f>IF($G$69=1,G34-Teacher_need_figures!G51,IF($G$69=2,G34-Entrant_need_figures!G55,"-"))</f>
        <v>0</v>
      </c>
      <c r="M34" s="964"/>
    </row>
    <row r="35" spans="1:26" ht="12" customHeight="1">
      <c r="A35" s="963"/>
      <c r="B35" s="943" t="s">
        <v>573</v>
      </c>
      <c r="C35" s="420">
        <f>IF($G$69=1,Teacher_need_figures!C27,IF($G$69=2,Entrant_need_figures!C28,"-"))</f>
        <v>31263.995988909792</v>
      </c>
      <c r="D35" s="420">
        <f>IF($G$69=1,Teacher_need_figures!D27,IF($G$69=2,Entrant_need_figures!D28,IF($G$69=3,FINAL_OUTPUTS_OF_ITT_PLACES!G57,"-")))</f>
        <v>31800.404380466622</v>
      </c>
      <c r="E35" s="420">
        <f>IF($G$69=1,Teacher_need_figures!E27,IF($G$69=2,Entrant_need_figures!E28,"-"))</f>
        <v>32332.887872631094</v>
      </c>
      <c r="F35" s="420">
        <f>IF($G$69=1,Teacher_need_figures!F27,IF($G$69=2,Entrant_need_figures!F28,"-"))</f>
        <v>32621.070537865755</v>
      </c>
      <c r="G35" s="965">
        <f>IF($G$69=1,Teacher_need_figures!G27,IF($G$69=2,Entrant_need_figures!G28,"-"))</f>
        <v>32924.224090463504</v>
      </c>
      <c r="H35" s="966">
        <f>IF($G$69=1,C35-Teacher_need_figures!C52,IF($G$69=2,C35-Entrant_need_figures!C56,"-"))</f>
        <v>0</v>
      </c>
      <c r="I35" s="544">
        <f>IF($G$69=1,D35-Teacher_need_figures!D52,IF($G$69=2,D35-Entrant_need_figures!D56,IF($G$69=3,D35-FINAL_OUTPUTS_OF_ITT_PLACES!H57,"-")))</f>
        <v>0</v>
      </c>
      <c r="J35" s="544">
        <f>IF($G$69=1,E35-Teacher_need_figures!E52,IF($G$69=2,E35-Entrant_need_figures!E56,"-"))</f>
        <v>0</v>
      </c>
      <c r="K35" s="544">
        <f>IF($G$69=1,F35-Teacher_need_figures!F52,IF($G$69=2,F35-Entrant_need_figures!F56,"-"))</f>
        <v>0</v>
      </c>
      <c r="L35" s="544">
        <f>IF($G$69=1,G35-Teacher_need_figures!G52,IF($G$69=2,G35-Entrant_need_figures!G56,"-"))</f>
        <v>0</v>
      </c>
      <c r="M35" s="964"/>
    </row>
    <row r="36" spans="1:26" ht="12" customHeight="1">
      <c r="A36" s="963"/>
      <c r="B36" s="943" t="s">
        <v>574</v>
      </c>
      <c r="C36" s="420">
        <f>IF($G$69=1,Teacher_need_figures!C28,IF($G$69=2,Entrant_need_figures!C29,"-"))</f>
        <v>14971.501798068488</v>
      </c>
      <c r="D36" s="420">
        <f>IF($G$69=1,Teacher_need_figures!D28,IF($G$69=2,Entrant_need_figures!D29,IF($G$69=3,FINAL_OUTPUTS_OF_ITT_PLACES!G58,"-")))</f>
        <v>15518.448326772366</v>
      </c>
      <c r="E36" s="420">
        <f>IF($G$69=1,Teacher_need_figures!E28,IF($G$69=2,Entrant_need_figures!E29,"-"))</f>
        <v>16134.071227593558</v>
      </c>
      <c r="F36" s="420">
        <f>IF($G$69=1,Teacher_need_figures!F28,IF($G$69=2,Entrant_need_figures!F29,"-"))</f>
        <v>16812.756948289185</v>
      </c>
      <c r="G36" s="965">
        <f>IF($G$69=1,Teacher_need_figures!G28,IF($G$69=2,Entrant_need_figures!G29,"-"))</f>
        <v>17630.402554431716</v>
      </c>
      <c r="H36" s="966">
        <f>IF($G$69=1,C36-Teacher_need_figures!C53,IF($G$69=2,C36-Entrant_need_figures!C57,"-"))</f>
        <v>0</v>
      </c>
      <c r="I36" s="544">
        <f>IF($G$69=1,D36-Teacher_need_figures!D53,IF($G$69=2,D36-Entrant_need_figures!D57,IF($G$69=3,D36-FINAL_OUTPUTS_OF_ITT_PLACES!H58,"-")))</f>
        <v>0</v>
      </c>
      <c r="J36" s="544">
        <f>IF($G$69=1,E36-Teacher_need_figures!E53,IF($G$69=2,E36-Entrant_need_figures!E57,"-"))</f>
        <v>0</v>
      </c>
      <c r="K36" s="544">
        <f>IF($G$69=1,F36-Teacher_need_figures!F53,IF($G$69=2,F36-Entrant_need_figures!F57,"-"))</f>
        <v>0</v>
      </c>
      <c r="L36" s="544">
        <f>IF($G$69=1,G36-Teacher_need_figures!G53,IF($G$69=2,G36-Entrant_need_figures!G57,"-"))</f>
        <v>0</v>
      </c>
      <c r="M36" s="964"/>
    </row>
    <row r="37" spans="1:26" ht="12" customHeight="1">
      <c r="A37" s="963"/>
      <c r="B37" s="943" t="s">
        <v>5</v>
      </c>
      <c r="C37" s="420">
        <f>IF($G$69=1,Teacher_need_figures!C29,IF($G$69=2,Entrant_need_figures!C30,"-"))</f>
        <v>5031.0938936371076</v>
      </c>
      <c r="D37" s="420">
        <f>IF($G$69=1,Teacher_need_figures!D29,IF($G$69=2,Entrant_need_figures!D30,IF($G$69=3,FINAL_OUTPUTS_OF_ITT_PLACES!G59,"-")))</f>
        <v>5031.8745371214309</v>
      </c>
      <c r="E37" s="420">
        <f>IF($G$69=1,Teacher_need_figures!E29,IF($G$69=2,Entrant_need_figures!E30,"-"))</f>
        <v>5063.8831159871925</v>
      </c>
      <c r="F37" s="420">
        <f>IF($G$69=1,Teacher_need_figures!F29,IF($G$69=2,Entrant_need_figures!F30,"-"))</f>
        <v>5075.1545133812051</v>
      </c>
      <c r="G37" s="965">
        <f>IF($G$69=1,Teacher_need_figures!G29,IF($G$69=2,Entrant_need_figures!G30,"-"))</f>
        <v>5065.2937855486989</v>
      </c>
      <c r="H37" s="966">
        <f>IF($G$69=1,C37-Teacher_need_figures!C54,IF($G$69=2,C37-Entrant_need_figures!C58,"-"))</f>
        <v>0</v>
      </c>
      <c r="I37" s="544">
        <f>IF($G$69=1,D37-Teacher_need_figures!D54,IF($G$69=2,D37-Entrant_need_figures!D58,IF($G$69=3,D37-FINAL_OUTPUTS_OF_ITT_PLACES!H59,"-")))</f>
        <v>0</v>
      </c>
      <c r="J37" s="544">
        <f>IF($G$69=1,E37-Teacher_need_figures!E54,IF($G$69=2,E37-Entrant_need_figures!E58,"-"))</f>
        <v>0</v>
      </c>
      <c r="K37" s="544">
        <f>IF($G$69=1,F37-Teacher_need_figures!F54,IF($G$69=2,F37-Entrant_need_figures!F58,"-"))</f>
        <v>0</v>
      </c>
      <c r="L37" s="544">
        <f>IF($G$69=1,G37-Teacher_need_figures!G54,IF($G$69=2,G37-Entrant_need_figures!G58,"-"))</f>
        <v>0</v>
      </c>
      <c r="M37" s="964"/>
    </row>
    <row r="38" spans="1:26" ht="12" customHeight="1">
      <c r="A38" s="963"/>
      <c r="B38" s="943" t="s">
        <v>41</v>
      </c>
      <c r="C38" s="420">
        <f>IF($G$69=1,Teacher_need_figures!C30,IF($G$69=2,Entrant_need_figures!C31,"-"))</f>
        <v>13467.698732576104</v>
      </c>
      <c r="D38" s="420">
        <f>IF($G$69=1,Teacher_need_figures!D30,IF($G$69=2,Entrant_need_figures!D31,IF($G$69=3,FINAL_OUTPUTS_OF_ITT_PLACES!G60,"-")))</f>
        <v>13191.52552967619</v>
      </c>
      <c r="E38" s="420">
        <f>IF($G$69=1,Teacher_need_figures!E30,IF($G$69=2,Entrant_need_figures!E31,"-"))</f>
        <v>13018.58476788241</v>
      </c>
      <c r="F38" s="420">
        <f>IF($G$69=1,Teacher_need_figures!F30,IF($G$69=2,Entrant_need_figures!F31,"-"))</f>
        <v>12986.409988305681</v>
      </c>
      <c r="G38" s="965">
        <f>IF($G$69=1,Teacher_need_figures!G30,IF($G$69=2,Entrant_need_figures!G31,"-"))</f>
        <v>13000.806126678135</v>
      </c>
      <c r="H38" s="966">
        <f>IF($G$69=1,C38-Teacher_need_figures!C55,IF($G$69=2,C38-Entrant_need_figures!C59,"-"))</f>
        <v>0</v>
      </c>
      <c r="I38" s="544">
        <f>IF($G$69=1,D38-Teacher_need_figures!D55,IF($G$69=2,D38-Entrant_need_figures!D59,IF($G$69=3,D38-FINAL_OUTPUTS_OF_ITT_PLACES!H60,"-")))</f>
        <v>0</v>
      </c>
      <c r="J38" s="544">
        <f>IF($G$69=1,E38-Teacher_need_figures!E55,IF($G$69=2,E38-Entrant_need_figures!E59,"-"))</f>
        <v>0</v>
      </c>
      <c r="K38" s="544">
        <f>IF($G$69=1,F38-Teacher_need_figures!F55,IF($G$69=2,F38-Entrant_need_figures!F59,"-"))</f>
        <v>0</v>
      </c>
      <c r="L38" s="544">
        <f>IF($G$69=1,G38-Teacher_need_figures!G55,IF($G$69=2,G38-Entrant_need_figures!G59,"-"))</f>
        <v>0</v>
      </c>
      <c r="M38" s="964"/>
    </row>
    <row r="39" spans="1:26" ht="12" customHeight="1">
      <c r="A39" s="963"/>
      <c r="B39" s="943" t="s">
        <v>575</v>
      </c>
      <c r="C39" s="420">
        <f>IF($G$69=1,Teacher_need_figures!C31,IF($G$69=2,Entrant_need_figures!C32,"-"))</f>
        <v>16467.262477428438</v>
      </c>
      <c r="D39" s="420">
        <f>IF($G$69=1,Teacher_need_figures!D31,IF($G$69=2,Entrant_need_figures!D32,IF($G$69=3,FINAL_OUTPUTS_OF_ITT_PLACES!G61,"-")))</f>
        <v>16482.014449636485</v>
      </c>
      <c r="E39" s="420">
        <f>IF($G$69=1,Teacher_need_figures!E31,IF($G$69=2,Entrant_need_figures!E32,"-"))</f>
        <v>16590.416376455454</v>
      </c>
      <c r="F39" s="420">
        <f>IF($G$69=1,Teacher_need_figures!F31,IF($G$69=2,Entrant_need_figures!F32,"-"))</f>
        <v>16626.361766054804</v>
      </c>
      <c r="G39" s="965">
        <f>IF($G$69=1,Teacher_need_figures!G31,IF($G$69=2,Entrant_need_figures!G32,"-"))</f>
        <v>16616.544724022035</v>
      </c>
      <c r="H39" s="966">
        <f>IF($G$69=1,C39-Teacher_need_figures!C56,IF($G$69=2,C39-Entrant_need_figures!C60,"-"))</f>
        <v>0</v>
      </c>
      <c r="I39" s="544">
        <f>IF($G$69=1,D39-Teacher_need_figures!D56,IF($G$69=2,D39-Entrant_need_figures!D60,IF($G$69=3,D39-FINAL_OUTPUTS_OF_ITT_PLACES!H61,"-")))</f>
        <v>0</v>
      </c>
      <c r="J39" s="544">
        <f>IF($G$69=1,E39-Teacher_need_figures!E56,IF($G$69=2,E39-Entrant_need_figures!E60,"-"))</f>
        <v>0</v>
      </c>
      <c r="K39" s="544">
        <f>IF($G$69=1,F39-Teacher_need_figures!F56,IF($G$69=2,F39-Entrant_need_figures!F60,"-"))</f>
        <v>0</v>
      </c>
      <c r="L39" s="544">
        <f>IF($G$69=1,G39-Teacher_need_figures!G56,IF($G$69=2,G39-Entrant_need_figures!G60,"-"))</f>
        <v>0</v>
      </c>
      <c r="M39" s="964"/>
    </row>
    <row r="40" spans="1:26">
      <c r="A40" s="963"/>
      <c r="B40" s="943" t="s">
        <v>2</v>
      </c>
      <c r="C40" s="420">
        <f>IF($G$69=1,Teacher_need_figures!C32,IF($G$69=2,Entrant_need_figures!C33,"-"))</f>
        <v>10747.938420584598</v>
      </c>
      <c r="D40" s="420">
        <f>IF($G$69=1,Teacher_need_figures!D32,IF($G$69=2,Entrant_need_figures!D33,IF($G$69=3,FINAL_OUTPUTS_OF_ITT_PLACES!G62,"-")))</f>
        <v>10870.436031513067</v>
      </c>
      <c r="E40" s="420">
        <f>IF($G$69=1,Teacher_need_figures!E32,IF($G$69=2,Entrant_need_figures!E33,"-"))</f>
        <v>10983.264747183021</v>
      </c>
      <c r="F40" s="420">
        <f>IF($G$69=1,Teacher_need_figures!F32,IF($G$69=2,Entrant_need_figures!F33,"-"))</f>
        <v>11078.439550324605</v>
      </c>
      <c r="G40" s="965">
        <f>IF($G$69=1,Teacher_need_figures!G32,IF($G$69=2,Entrant_need_figures!G33,"-"))</f>
        <v>11190.530438833801</v>
      </c>
      <c r="H40" s="966">
        <f>IF($G$69=1,C40-Teacher_need_figures!C57,IF($G$69=2,C40-Entrant_need_figures!C61,"-"))</f>
        <v>0</v>
      </c>
      <c r="I40" s="544">
        <f>IF($G$69=1,D40-Teacher_need_figures!D57,IF($G$69=2,D40-Entrant_need_figures!D61,IF($G$69=3,D40-FINAL_OUTPUTS_OF_ITT_PLACES!H62,"-")))</f>
        <v>0</v>
      </c>
      <c r="J40" s="544">
        <f>IF($G$69=1,E40-Teacher_need_figures!E57,IF($G$69=2,E40-Entrant_need_figures!E61,"-"))</f>
        <v>0</v>
      </c>
      <c r="K40" s="544">
        <f>IF($G$69=1,F40-Teacher_need_figures!F57,IF($G$69=2,F40-Entrant_need_figures!F61,"-"))</f>
        <v>0</v>
      </c>
      <c r="L40" s="544">
        <f>IF($G$69=1,G40-Teacher_need_figures!G57,IF($G$69=2,G40-Entrant_need_figures!G61,"-"))</f>
        <v>0</v>
      </c>
      <c r="M40" s="964"/>
    </row>
    <row r="41" spans="1:26">
      <c r="A41" s="963"/>
      <c r="B41" s="943" t="s">
        <v>576</v>
      </c>
      <c r="C41" s="420">
        <f>IF($G$69=1,Teacher_need_figures!C33,IF($G$69=2,Entrant_need_figures!C34,"-"))</f>
        <v>7253.8944869877287</v>
      </c>
      <c r="D41" s="420">
        <f>IF($G$69=1,Teacher_need_figures!D33,IF($G$69=2,Entrant_need_figures!D34,IF($G$69=3,FINAL_OUTPUTS_OF_ITT_PLACES!G63,"-")))</f>
        <v>7249.5624630229613</v>
      </c>
      <c r="E41" s="420">
        <f>IF($G$69=1,Teacher_need_figures!E33,IF($G$69=2,Entrant_need_figures!E34,"-"))</f>
        <v>7287.7369741211323</v>
      </c>
      <c r="F41" s="420">
        <f>IF($G$69=1,Teacher_need_figures!F33,IF($G$69=2,Entrant_need_figures!F34,"-"))</f>
        <v>7301.1702138647452</v>
      </c>
      <c r="G41" s="965">
        <f>IF($G$69=1,Teacher_need_figures!G33,IF($G$69=2,Entrant_need_figures!G34,"-"))</f>
        <v>7296.432424840199</v>
      </c>
      <c r="H41" s="966">
        <f>IF($G$69=1,C41-Teacher_need_figures!C58,IF($G$69=2,C41-Entrant_need_figures!C62,"-"))</f>
        <v>0</v>
      </c>
      <c r="I41" s="544">
        <f>IF($G$69=1,D41-Teacher_need_figures!D58,IF($G$69=2,D41-Entrant_need_figures!D62,IF($G$69=3,D41-FINAL_OUTPUTS_OF_ITT_PLACES!H63,"-")))</f>
        <v>0</v>
      </c>
      <c r="J41" s="544">
        <f>IF($G$69=1,E41-Teacher_need_figures!E58,IF($G$69=2,E41-Entrant_need_figures!E62,"-"))</f>
        <v>0</v>
      </c>
      <c r="K41" s="544">
        <f>IF($G$69=1,F41-Teacher_need_figures!F58,IF($G$69=2,F41-Entrant_need_figures!F62,"-"))</f>
        <v>0</v>
      </c>
      <c r="L41" s="544">
        <f>IF($G$69=1,G41-Teacher_need_figures!G58,IF($G$69=2,G41-Entrant_need_figures!G62,"-"))</f>
        <v>0</v>
      </c>
      <c r="M41" s="964"/>
    </row>
    <row r="42" spans="1:26">
      <c r="A42" s="963"/>
      <c r="B42" s="943" t="s">
        <v>249</v>
      </c>
      <c r="C42" s="420">
        <f>IF($G$69=1,Teacher_need_figures!C34,IF($G$69=2,Entrant_need_figures!C35,"-"))</f>
        <v>210665.40426618766</v>
      </c>
      <c r="D42" s="420">
        <f>IF($G$69=1,Teacher_need_figures!D34,IF($G$69=2,Entrant_need_figures!D35,IF($G$69=3,FINAL_OUTPUTS_OF_ITT_PLACES!G64,"-")))</f>
        <v>212698.50385815764</v>
      </c>
      <c r="E42" s="420">
        <f>IF($G$69=1,Teacher_need_figures!E34,IF($G$69=2,Entrant_need_figures!E35,"-"))</f>
        <v>214920.23730955189</v>
      </c>
      <c r="F42" s="420">
        <f>IF($G$69=1,Teacher_need_figures!F34,IF($G$69=2,Entrant_need_figures!F35,"-"))</f>
        <v>216757.95394379064</v>
      </c>
      <c r="G42" s="965">
        <f>IF($G$69=1,Teacher_need_figures!G34,IF($G$69=2,Entrant_need_figures!G35,"-"))</f>
        <v>218697.69007643341</v>
      </c>
      <c r="H42" s="966">
        <f>IF($G$69=1,C42-Teacher_need_figures!C59,IF($G$69=2,C42-Entrant_need_figures!C63,"-"))</f>
        <v>0</v>
      </c>
      <c r="I42" s="544">
        <f>IF($G$69=1,D42-Teacher_need_figures!D59,IF($G$69=2,D42-Entrant_need_figures!D63,IF($G$69=3,D42-FINAL_OUTPUTS_OF_ITT_PLACES!H64,"-")))</f>
        <v>0</v>
      </c>
      <c r="J42" s="544">
        <f>IF($G$69=1,E42-Teacher_need_figures!E59,IF($G$69=2,E42-Entrant_need_figures!E63,"-"))</f>
        <v>0</v>
      </c>
      <c r="K42" s="544">
        <f>IF($G$69=1,F42-Teacher_need_figures!F59,IF($G$69=2,F42-Entrant_need_figures!F63,"-"))</f>
        <v>0</v>
      </c>
      <c r="L42" s="544">
        <f>IF($G$69=1,G42-Teacher_need_figures!G59,IF($G$69=2,G42-Entrant_need_figures!G63,"-"))</f>
        <v>0</v>
      </c>
      <c r="M42" s="964"/>
    </row>
    <row r="43" spans="1:26" s="967" customFormat="1"/>
    <row r="44" spans="1:26" ht="20.25">
      <c r="B44" s="1216" t="s">
        <v>1502</v>
      </c>
      <c r="C44" s="1217"/>
      <c r="D44" s="1218"/>
      <c r="E44" s="968"/>
      <c r="F44" s="969"/>
      <c r="G44" s="1219" t="s">
        <v>1511</v>
      </c>
      <c r="H44" s="1220"/>
      <c r="I44" s="1220"/>
      <c r="J44" s="1220"/>
      <c r="K44" s="1221"/>
      <c r="N44" s="1222" t="s">
        <v>1503</v>
      </c>
      <c r="O44" s="1222"/>
      <c r="P44" s="1222"/>
      <c r="Q44" s="1222"/>
      <c r="R44" s="1222"/>
      <c r="S44" s="970"/>
      <c r="T44" s="1222" t="s">
        <v>1504</v>
      </c>
      <c r="U44" s="1222"/>
      <c r="V44" s="1222"/>
      <c r="W44" s="1222"/>
      <c r="X44" s="1222"/>
      <c r="Y44" s="970"/>
      <c r="Z44" s="969"/>
    </row>
    <row r="45" spans="1:26">
      <c r="C45" s="971"/>
      <c r="D45" s="971"/>
      <c r="E45" s="971"/>
      <c r="F45" s="971"/>
      <c r="N45" s="969"/>
      <c r="O45" s="969"/>
      <c r="P45" s="969"/>
      <c r="Q45" s="969"/>
      <c r="R45" s="969"/>
      <c r="S45" s="969"/>
      <c r="T45" s="971"/>
      <c r="U45" s="969"/>
      <c r="V45" s="969"/>
      <c r="W45" s="969"/>
      <c r="X45" s="969"/>
      <c r="Y45" s="969"/>
      <c r="Z45" s="969"/>
    </row>
    <row r="69" spans="2:14">
      <c r="B69" s="957" t="str">
        <f>INDEX($B$22:$B$42,C69,1)</f>
        <v>Modern Foreign Languages</v>
      </c>
      <c r="C69" s="957">
        <v>15</v>
      </c>
      <c r="E69" s="972" t="s">
        <v>1505</v>
      </c>
      <c r="G69" s="957">
        <v>1</v>
      </c>
    </row>
    <row r="70" spans="2:14">
      <c r="B70" s="957" t="str">
        <f>INDEX($B$22:$B$42,C70,1)</f>
        <v>Geography</v>
      </c>
      <c r="C70" s="957">
        <v>12</v>
      </c>
      <c r="E70" s="972" t="s">
        <v>857</v>
      </c>
    </row>
    <row r="71" spans="2:14">
      <c r="B71" s="957" t="str">
        <f>INDEX($B$22:$B$42,C71,1)</f>
        <v>History</v>
      </c>
      <c r="C71" s="957">
        <v>13</v>
      </c>
      <c r="E71" s="972" t="s">
        <v>1510</v>
      </c>
    </row>
    <row r="74" spans="2:14">
      <c r="C74" s="973">
        <v>1</v>
      </c>
      <c r="D74" s="973">
        <v>2</v>
      </c>
      <c r="E74" s="973">
        <v>3</v>
      </c>
      <c r="F74" s="973">
        <v>4</v>
      </c>
      <c r="G74" s="973">
        <v>5</v>
      </c>
      <c r="H74" s="973">
        <v>6</v>
      </c>
      <c r="I74" s="973">
        <v>7</v>
      </c>
      <c r="J74" s="973">
        <v>8</v>
      </c>
      <c r="K74" s="973">
        <v>9</v>
      </c>
      <c r="L74" s="973">
        <v>10</v>
      </c>
      <c r="M74" s="973">
        <v>11</v>
      </c>
      <c r="N74" s="973">
        <v>12</v>
      </c>
    </row>
    <row r="75" spans="2:14">
      <c r="C75" s="974" t="str">
        <f>Entrant_need_figures!C$14</f>
        <v>2017/18</v>
      </c>
      <c r="D75" s="974" t="str">
        <f>Entrant_need_figures!D$14</f>
        <v>2018/19</v>
      </c>
      <c r="E75" s="974" t="str">
        <f>Entrant_need_figures!E$14</f>
        <v>2019/20</v>
      </c>
      <c r="F75" s="974" t="str">
        <f>Entrant_need_figures!F$14</f>
        <v>2020/21</v>
      </c>
      <c r="G75" s="974" t="str">
        <f>Entrant_need_figures!G$14</f>
        <v>2021/22</v>
      </c>
      <c r="H75" s="974" t="str">
        <f>Entrant_need_figures!H$14</f>
        <v>2022/23</v>
      </c>
      <c r="I75" s="974" t="str">
        <f>Entrant_need_figures!I$14</f>
        <v>2023/24</v>
      </c>
      <c r="J75" s="974" t="str">
        <f>Entrant_need_figures!J$14</f>
        <v>2024/25</v>
      </c>
      <c r="K75" s="974" t="str">
        <f>Entrant_need_figures!K$14</f>
        <v>2025/26</v>
      </c>
      <c r="L75" s="974" t="str">
        <f>Entrant_need_figures!L$14</f>
        <v>2026/27</v>
      </c>
      <c r="M75" s="974" t="str">
        <f>Entrant_need_figures!M$14</f>
        <v>2027/28</v>
      </c>
      <c r="N75" s="974" t="str">
        <f>Entrant_need_figures!N$14</f>
        <v>2028/29</v>
      </c>
    </row>
    <row r="76" spans="2:14">
      <c r="B76" s="957" t="str">
        <f>IF(ISBLANK(B69),,CONCATENATE(B69," Scenario Selected"))</f>
        <v>Modern Foreign Languages Scenario Selected</v>
      </c>
      <c r="C76" s="975">
        <f>IF($G$69=1,IF($B76=" ","-",INDEX(Teacher_need_figures!$C$14:$N$59,MATCH($B76,Teacher_need_figures!$B$14:$B$59,0),C$74)),IF($G$69=2,IF($B76=" ","-",INDEX(Entrant_need_figures!$C$88:$N$129,MATCH($B76,Entrant_need_figures!$B$88:$B$129,0),C$74)),NA()))</f>
        <v>14971.501798068488</v>
      </c>
      <c r="D76" s="975">
        <f>IF($G$69=1,IF($B76=" ","-",INDEX(Teacher_need_figures!$C$14:$N$59,MATCH($B76,Teacher_need_figures!$B$14:$B$59,0),D$74)),IF($G$69=2,IF($B76=" ","-",INDEX(Entrant_need_figures!$C$88:$N$129,MATCH($B76,Entrant_need_figures!$B$88:$B$129,0),D$74)),IF($G$69=3,VLOOKUP($B69,FINAL_OUTPUTS_OF_ITT_PLACES!$A$44:$K$66,7,FALSE),"-")))</f>
        <v>15518.448326772366</v>
      </c>
      <c r="E76" s="975">
        <f>IF($G$69=1,IF($B76=" ","-",INDEX(Teacher_need_figures!$C$14:$N$59,MATCH($B76,Teacher_need_figures!$B$14:$B$59,0),E$74)),IF($G$69=2,IF($B76=" ","-",INDEX(Entrant_need_figures!$C$88:$N$129,MATCH($B76,Entrant_need_figures!$B$88:$B$129,0),E$74)),NA()))</f>
        <v>16134.071227593558</v>
      </c>
      <c r="F76" s="975">
        <f>IF($G$69=1,IF($B76=" ","-",INDEX(Teacher_need_figures!$C$14:$N$59,MATCH($B76,Teacher_need_figures!$B$14:$B$59,0),F$74)),IF($G$69=2,IF($B76=" ","-",INDEX(Entrant_need_figures!$C$88:$N$129,MATCH($B76,Entrant_need_figures!$B$88:$B$129,0),F$74)),NA()))</f>
        <v>16812.756948289185</v>
      </c>
      <c r="G76" s="975">
        <f>IF($G$69=1,IF($B76=" ","-",INDEX(Teacher_need_figures!$C$14:$N$59,MATCH($B76,Teacher_need_figures!$B$14:$B$59,0),G$74)),IF($G$69=2,IF($B76=" ","-",INDEX(Entrant_need_figures!$C$88:$N$129,MATCH($B76,Entrant_need_figures!$B$88:$B$129,0),G$74)),NA()))</f>
        <v>17630.402554431716</v>
      </c>
      <c r="H76" s="975">
        <f>IF($G$69=1,IF($B76=" ","-",INDEX(Teacher_need_figures!$C$14:$N$59,MATCH($B76,Teacher_need_figures!$B$14:$B$59,0),H$74)),IF($G$69=2,IF($B76=" ","-",INDEX(Entrant_need_figures!$C$88:$N$129,MATCH($B76,Entrant_need_figures!$B$88:$B$129,0),H$74)),NA()))</f>
        <v>18578.0202666437</v>
      </c>
      <c r="I76" s="975">
        <f>IF($G$69=1,IF($B76=" ","-",INDEX(Teacher_need_figures!$C$14:$N$59,MATCH($B76,Teacher_need_figures!$B$14:$B$59,0),I$74)),IF($G$69=2,IF($B76=" ","-",INDEX(Entrant_need_figures!$C$88:$N$129,MATCH($B76,Entrant_need_figures!$B$88:$B$129,0),I$74)),NA()))</f>
        <v>19452.46551534941</v>
      </c>
      <c r="J76" s="975">
        <f>IF($G$69=1,IF($B76=" ","-",INDEX(Teacher_need_figures!$C$14:$N$59,MATCH($B76,Teacher_need_figures!$B$14:$B$59,0),J$74)),IF($G$69=2,IF($B76=" ","-",INDEX(Entrant_need_figures!$C$88:$N$129,MATCH($B76,Entrant_need_figures!$B$88:$B$129,0),J$74)),NA()))</f>
        <v>19600.61185016208</v>
      </c>
      <c r="K76" s="975">
        <f>IF($G$69=1,IF($B76=" ","-",INDEX(Teacher_need_figures!$C$14:$N$59,MATCH($B76,Teacher_need_figures!$B$14:$B$59,0),K$74)),IF($G$69=2,IF($B76=" ","-",INDEX(Entrant_need_figures!$C$88:$N$129,MATCH($B76,Entrant_need_figures!$B$88:$B$129,0),K$74)),NA()))</f>
        <v>19598.097876335123</v>
      </c>
      <c r="L76" s="975">
        <f>IF($G$69=1,IF($B76=" ","-",INDEX(Teacher_need_figures!$C$14:$N$59,MATCH($B76,Teacher_need_figures!$B$14:$B$59,0),L$74)),IF($G$69=2,IF($B76=" ","-",INDEX(Entrant_need_figures!$C$88:$N$129,MATCH($B76,Entrant_need_figures!$B$88:$B$129,0),L$74)),NA()))</f>
        <v>19497.170074560905</v>
      </c>
      <c r="M76" s="975">
        <f>IF($G$69=1,IF($B76=" ","-",INDEX(Teacher_need_figures!$C$14:$N$59,MATCH($B76,Teacher_need_figures!$B$14:$B$59,0),M$74)),IF($G$69=2,IF($B76=" ","-",INDEX(Entrant_need_figures!$C$88:$N$129,MATCH($B76,Entrant_need_figures!$B$88:$B$129,0),M$74)),NA()))</f>
        <v>19427.392336902663</v>
      </c>
      <c r="N76" s="975">
        <f>IF($G$69=1,IF($B76=" ","-",INDEX(Teacher_need_figures!$C$14:$N$59,MATCH($B76,Teacher_need_figures!$B$14:$B$59,0),N$74)),IF($G$69=2,IF($B76=" ","-",INDEX(Entrant_need_figures!$C$88:$N$129,MATCH($B76,Entrant_need_figures!$B$88:$B$129,0),N$74)),NA()))</f>
        <v>19438.746388143565</v>
      </c>
    </row>
    <row r="77" spans="2:14">
      <c r="B77" s="957" t="str">
        <f>IF(ISBLANK(B70),,CONCATENATE(B70," Scenario Selected"))</f>
        <v>Geography Scenario Selected</v>
      </c>
      <c r="C77" s="975">
        <f>IF($G$69=1,IF($B77=" ","-",INDEX(Teacher_need_figures!$C$14:$N$59,MATCH($B77,Teacher_need_figures!$B$14:$B$59,0),C$74)),IF($G$69=2,IF($B77=" ","-",INDEX(Entrant_need_figures!$C$88:$N$129,MATCH($B77,Entrant_need_figures!$B$88:$B$129,0),C$74)),NA()))</f>
        <v>10803.079082425373</v>
      </c>
      <c r="D77" s="975">
        <f>IF($G$69=1,IF($B77=" ","-",INDEX(Teacher_need_figures!$C$14:$N$59,MATCH($B77,Teacher_need_figures!$B$14:$B$59,0),D$74)),IF($G$69=2,IF($B77=" ","-",INDEX(Entrant_need_figures!$C$88:$N$129,MATCH($B77,Entrant_need_figures!$B$88:$B$129,0),D$74)),IF($G$69=3,VLOOKUP($B70,FINAL_OUTPUTS_OF_ITT_PLACES!$A$44:$K$66,7,FALSE),"-")))</f>
        <v>10913.97383137792</v>
      </c>
      <c r="E77" s="975">
        <f>IF($G$69=1,IF($B77=" ","-",INDEX(Teacher_need_figures!$C$14:$N$59,MATCH($B77,Teacher_need_figures!$B$14:$B$59,0),E$74)),IF($G$69=2,IF($B77=" ","-",INDEX(Entrant_need_figures!$C$88:$N$129,MATCH($B77,Entrant_need_figures!$B$88:$B$129,0),E$74)),NA()))</f>
        <v>11040.073537517266</v>
      </c>
      <c r="F77" s="975">
        <f>IF($G$69=1,IF($B77=" ","-",INDEX(Teacher_need_figures!$C$14:$N$59,MATCH($B77,Teacher_need_figures!$B$14:$B$59,0),F$74)),IF($G$69=2,IF($B77=" ","-",INDEX(Entrant_need_figures!$C$88:$N$129,MATCH($B77,Entrant_need_figures!$B$88:$B$129,0),F$74)),NA()))</f>
        <v>11141.835814652577</v>
      </c>
      <c r="G77" s="975">
        <f>IF($G$69=1,IF($B77=" ","-",INDEX(Teacher_need_figures!$C$14:$N$59,MATCH($B77,Teacher_need_figures!$B$14:$B$59,0),G$74)),IF($G$69=2,IF($B77=" ","-",INDEX(Entrant_need_figures!$C$88:$N$129,MATCH($B77,Entrant_need_figures!$B$88:$B$129,0),G$74)),NA()))</f>
        <v>11235.812997276715</v>
      </c>
      <c r="H77" s="975">
        <f>IF($G$69=1,IF($B77=" ","-",INDEX(Teacher_need_figures!$C$14:$N$59,MATCH($B77,Teacher_need_figures!$B$14:$B$59,0),H$74)),IF($G$69=2,IF($B77=" ","-",INDEX(Entrant_need_figures!$C$88:$N$129,MATCH($B77,Entrant_need_figures!$B$88:$B$129,0),H$74)),NA()))</f>
        <v>11318.429527654655</v>
      </c>
      <c r="I77" s="975">
        <f>IF($G$69=1,IF($B77=" ","-",INDEX(Teacher_need_figures!$C$14:$N$59,MATCH($B77,Teacher_need_figures!$B$14:$B$59,0),I$74)),IF($G$69=2,IF($B77=" ","-",INDEX(Entrant_need_figures!$C$88:$N$129,MATCH($B77,Entrant_need_figures!$B$88:$B$129,0),I$74)),NA()))</f>
        <v>11447.571971044999</v>
      </c>
      <c r="J77" s="975">
        <f>IF($G$69=1,IF($B77=" ","-",INDEX(Teacher_need_figures!$C$14:$N$59,MATCH($B77,Teacher_need_figures!$B$14:$B$59,0),J$74)),IF($G$69=2,IF($B77=" ","-",INDEX(Entrant_need_figures!$C$88:$N$129,MATCH($B77,Entrant_need_figures!$B$88:$B$129,0),J$74)),NA()))</f>
        <v>11514.819044284342</v>
      </c>
      <c r="K77" s="975">
        <f>IF($G$69=1,IF($B77=" ","-",INDEX(Teacher_need_figures!$C$14:$N$59,MATCH($B77,Teacher_need_figures!$B$14:$B$59,0),K$74)),IF($G$69=2,IF($B77=" ","-",INDEX(Entrant_need_figures!$C$88:$N$129,MATCH($B77,Entrant_need_figures!$B$88:$B$129,0),K$74)),NA()))</f>
        <v>11515.740365562662</v>
      </c>
      <c r="L77" s="975">
        <f>IF($G$69=1,IF($B77=" ","-",INDEX(Teacher_need_figures!$C$14:$N$59,MATCH($B77,Teacher_need_figures!$B$14:$B$59,0),L$74)),IF($G$69=2,IF($B77=" ","-",INDEX(Entrant_need_figures!$C$88:$N$129,MATCH($B77,Entrant_need_figures!$B$88:$B$129,0),L$74)),NA()))</f>
        <v>11475.359015980936</v>
      </c>
      <c r="M77" s="975">
        <f>IF($G$69=1,IF($B77=" ","-",INDEX(Teacher_need_figures!$C$14:$N$59,MATCH($B77,Teacher_need_figures!$B$14:$B$59,0),M$74)),IF($G$69=2,IF($B77=" ","-",INDEX(Entrant_need_figures!$C$88:$N$129,MATCH($B77,Entrant_need_figures!$B$88:$B$129,0),M$74)),NA()))</f>
        <v>11454.130023559828</v>
      </c>
      <c r="N77" s="975">
        <f>IF($G$69=1,IF($B77=" ","-",INDEX(Teacher_need_figures!$C$14:$N$59,MATCH($B77,Teacher_need_figures!$B$14:$B$59,0),N$74)),IF($G$69=2,IF($B77=" ","-",INDEX(Entrant_need_figures!$C$88:$N$129,MATCH($B77,Entrant_need_figures!$B$88:$B$129,0),N$74)),NA()))</f>
        <v>11445.395839009616</v>
      </c>
    </row>
    <row r="78" spans="2:14">
      <c r="B78" s="957" t="str">
        <f>IF(ISBLANK(B71),,CONCATENATE(B71," Scenario Selected"))</f>
        <v>History Scenario Selected</v>
      </c>
      <c r="C78" s="975">
        <f>IF($G$69=1,IF($B78=" ","-",INDEX(Teacher_need_figures!$C$14:$N$59,MATCH($B78,Teacher_need_figures!$B$14:$B$59,0),C$74)),IF($G$69=2,IF($B78=" ","-",INDEX(Entrant_need_figures!$C$88:$N$129,MATCH($B78,Entrant_need_figures!$B$88:$B$129,0),C$74)),NA()))</f>
        <v>11478.78528353108</v>
      </c>
      <c r="D78" s="975">
        <f>IF($G$69=1,IF($B78=" ","-",INDEX(Teacher_need_figures!$C$14:$N$59,MATCH($B78,Teacher_need_figures!$B$14:$B$59,0),D$74)),IF($G$69=2,IF($B78=" ","-",INDEX(Entrant_need_figures!$C$88:$N$129,MATCH($B78,Entrant_need_figures!$B$88:$B$129,0),D$74)),IF($G$69=3,VLOOKUP($B71,FINAL_OUTPUTS_OF_ITT_PLACES!$A$44:$K$66,7,FALSE),"-")))</f>
        <v>11581.968504481012</v>
      </c>
      <c r="E78" s="975">
        <f>IF($G$69=1,IF($B78=" ","-",INDEX(Teacher_need_figures!$C$14:$N$59,MATCH($B78,Teacher_need_figures!$B$14:$B$59,0),E$74)),IF($G$69=2,IF($B78=" ","-",INDEX(Entrant_need_figures!$C$88:$N$129,MATCH($B78,Entrant_need_figures!$B$88:$B$129,0),E$74)),NA()))</f>
        <v>11702.36853693105</v>
      </c>
      <c r="F78" s="975">
        <f>IF($G$69=1,IF($B78=" ","-",INDEX(Teacher_need_figures!$C$14:$N$59,MATCH($B78,Teacher_need_figures!$B$14:$B$59,0),F$74)),IF($G$69=2,IF($B78=" ","-",INDEX(Entrant_need_figures!$C$88:$N$129,MATCH($B78,Entrant_need_figures!$B$88:$B$129,0),F$74)),NA()))</f>
        <v>11805.823561991971</v>
      </c>
      <c r="G78" s="975">
        <f>IF($G$69=1,IF($B78=" ","-",INDEX(Teacher_need_figures!$C$14:$N$59,MATCH($B78,Teacher_need_figures!$B$14:$B$59,0),G$74)),IF($G$69=2,IF($B78=" ","-",INDEX(Entrant_need_figures!$C$88:$N$129,MATCH($B78,Entrant_need_figures!$B$88:$B$129,0),G$74)),NA()))</f>
        <v>11905.04406842778</v>
      </c>
      <c r="H78" s="975">
        <f>IF($G$69=1,IF($B78=" ","-",INDEX(Teacher_need_figures!$C$14:$N$59,MATCH($B78,Teacher_need_figures!$B$14:$B$59,0),H$74)),IF($G$69=2,IF($B78=" ","-",INDEX(Entrant_need_figures!$C$88:$N$129,MATCH($B78,Entrant_need_figures!$B$88:$B$129,0),H$74)),NA()))</f>
        <v>11996.878419563651</v>
      </c>
      <c r="I78" s="975">
        <f>IF($G$69=1,IF($B78=" ","-",INDEX(Teacher_need_figures!$C$14:$N$59,MATCH($B78,Teacher_need_figures!$B$14:$B$59,0),I$74)),IF($G$69=2,IF($B78=" ","-",INDEX(Entrant_need_figures!$C$88:$N$129,MATCH($B78,Entrant_need_figures!$B$88:$B$129,0),I$74)),NA()))</f>
        <v>12135.936933273137</v>
      </c>
      <c r="J78" s="975">
        <f>IF($G$69=1,IF($B78=" ","-",INDEX(Teacher_need_figures!$C$14:$N$59,MATCH($B78,Teacher_need_figures!$B$14:$B$59,0),J$74)),IF($G$69=2,IF($B78=" ","-",INDEX(Entrant_need_figures!$C$88:$N$129,MATCH($B78,Entrant_need_figures!$B$88:$B$129,0),J$74)),NA()))</f>
        <v>12213.749991184312</v>
      </c>
      <c r="K78" s="975">
        <f>IF($G$69=1,IF($B78=" ","-",INDEX(Teacher_need_figures!$C$14:$N$59,MATCH($B78,Teacher_need_figures!$B$14:$B$59,0),K$74)),IF($G$69=2,IF($B78=" ","-",INDEX(Entrant_need_figures!$C$88:$N$129,MATCH($B78,Entrant_need_figures!$B$88:$B$129,0),K$74)),NA()))</f>
        <v>12222.822653396182</v>
      </c>
      <c r="L78" s="975">
        <f>IF($G$69=1,IF($B78=" ","-",INDEX(Teacher_need_figures!$C$14:$N$59,MATCH($B78,Teacher_need_figures!$B$14:$B$59,0),L$74)),IF($G$69=2,IF($B78=" ","-",INDEX(Entrant_need_figures!$C$88:$N$129,MATCH($B78,Entrant_need_figures!$B$88:$B$129,0),L$74)),NA()))</f>
        <v>12188.797624594896</v>
      </c>
      <c r="M78" s="975">
        <f>IF($G$69=1,IF($B78=" ","-",INDEX(Teacher_need_figures!$C$14:$N$59,MATCH($B78,Teacher_need_figures!$B$14:$B$59,0),M$74)),IF($G$69=2,IF($B78=" ","-",INDEX(Entrant_need_figures!$C$88:$N$129,MATCH($B78,Entrant_need_figures!$B$88:$B$129,0),M$74)),NA()))</f>
        <v>12171.21671946704</v>
      </c>
      <c r="N78" s="975">
        <f>IF($G$69=1,IF($B78=" ","-",INDEX(Teacher_need_figures!$C$14:$N$59,MATCH($B78,Teacher_need_figures!$B$14:$B$59,0),N$74)),IF($G$69=2,IF($B78=" ","-",INDEX(Entrant_need_figures!$C$88:$N$129,MATCH($B78,Entrant_need_figures!$B$88:$B$129,0),N$74)),NA()))</f>
        <v>12163.2752523872</v>
      </c>
    </row>
    <row r="80" spans="2:14">
      <c r="C80" s="974" t="str">
        <f>Entrant_need_figures!C$14</f>
        <v>2017/18</v>
      </c>
      <c r="D80" s="974" t="str">
        <f>Entrant_need_figures!D$14</f>
        <v>2018/19</v>
      </c>
      <c r="E80" s="974" t="str">
        <f>Entrant_need_figures!E$14</f>
        <v>2019/20</v>
      </c>
      <c r="F80" s="974" t="str">
        <f>Entrant_need_figures!F$14</f>
        <v>2020/21</v>
      </c>
      <c r="G80" s="974" t="str">
        <f>Entrant_need_figures!G$14</f>
        <v>2021/22</v>
      </c>
      <c r="H80" s="974" t="str">
        <f>Entrant_need_figures!H$14</f>
        <v>2022/23</v>
      </c>
      <c r="I80" s="974" t="str">
        <f>Entrant_need_figures!I$14</f>
        <v>2023/24</v>
      </c>
      <c r="J80" s="974" t="str">
        <f>Entrant_need_figures!J$14</f>
        <v>2024/25</v>
      </c>
      <c r="K80" s="974" t="str">
        <f>Entrant_need_figures!K$14</f>
        <v>2025/26</v>
      </c>
      <c r="L80" s="974" t="str">
        <f>Entrant_need_figures!L$14</f>
        <v>2026/27</v>
      </c>
      <c r="M80" s="974" t="str">
        <f>Entrant_need_figures!M$14</f>
        <v>2027/28</v>
      </c>
      <c r="N80" s="974" t="str">
        <f>Entrant_need_figures!N$14</f>
        <v>2028/29</v>
      </c>
    </row>
    <row r="81" spans="2:14">
      <c r="B81" s="957" t="str">
        <f>IF(ISBLANK(B69)," ",CONCATENATE(B69," All Central Scenario"))</f>
        <v>Modern Foreign Languages All Central Scenario</v>
      </c>
      <c r="C81" s="975">
        <f>IF($G$69=1,IF($B81=" ","-",INDEX(Teacher_need_figures!$C$14:$N$59,MATCH($B81,Teacher_need_figures!$B$14:$B$59,0),C$74)),IF($G$69=2,IF($B81=" ","-",INDEX(Entrant_need_figures!$C$88:$N$129,MATCH($B81,Entrant_need_figures!$B$88:$B$129,0),C$74)),NA()))</f>
        <v>14971.501798068488</v>
      </c>
      <c r="D81" s="975">
        <f>IF($G$69=1,IF($B81=" ","-",INDEX(Teacher_need_figures!$C$14:$N$59,MATCH($B81,Teacher_need_figures!$B$14:$B$59,0),D$74)),IF($G$69=2,IF($B81=" ","-",INDEX(Entrant_need_figures!$C$88:$N$129,MATCH($B81,Entrant_need_figures!$B$88:$B$129,0),D$74)),IF($G$69=3,VLOOKUP($B69,FINAL_OUTPUTS_OF_ITT_PLACES!$A$44:$K$66,11,FALSE),"-")))</f>
        <v>15518.448326772366</v>
      </c>
      <c r="E81" s="975">
        <f>IF($G$69=1,IF($B81=" ","-",INDEX(Teacher_need_figures!$C$14:$N$59,MATCH($B81,Teacher_need_figures!$B$14:$B$59,0),E$74)),IF($G$69=2,IF($B81=" ","-",INDEX(Entrant_need_figures!$C$88:$N$129,MATCH($B81,Entrant_need_figures!$B$88:$B$129,0),E$74)),NA()))</f>
        <v>16134.071227593558</v>
      </c>
      <c r="F81" s="975">
        <f>IF($G$69=1,IF($B81=" ","-",INDEX(Teacher_need_figures!$C$14:$N$59,MATCH($B81,Teacher_need_figures!$B$14:$B$59,0),F$74)),IF($G$69=2,IF($B81=" ","-",INDEX(Entrant_need_figures!$C$88:$N$129,MATCH($B81,Entrant_need_figures!$B$88:$B$129,0),F$74)),NA()))</f>
        <v>16812.756948289185</v>
      </c>
      <c r="G81" s="975">
        <f>IF($G$69=1,IF($B81=" ","-",INDEX(Teacher_need_figures!$C$14:$N$59,MATCH($B81,Teacher_need_figures!$B$14:$B$59,0),G$74)),IF($G$69=2,IF($B81=" ","-",INDEX(Entrant_need_figures!$C$88:$N$129,MATCH($B81,Entrant_need_figures!$B$88:$B$129,0),G$74)),NA()))</f>
        <v>17630.402554431716</v>
      </c>
      <c r="H81" s="975">
        <f>IF($G$69=1,IF($B81=" ","-",INDEX(Teacher_need_figures!$C$14:$N$59,MATCH($B81,Teacher_need_figures!$B$14:$B$59,0),H$74)),IF($G$69=2,IF($B81=" ","-",INDEX(Entrant_need_figures!$C$88:$N$129,MATCH($B81,Entrant_need_figures!$B$88:$B$129,0),H$74)),NA()))</f>
        <v>18578.0202666437</v>
      </c>
      <c r="I81" s="975">
        <f>IF($G$69=1,IF($B81=" ","-",INDEX(Teacher_need_figures!$C$14:$N$59,MATCH($B81,Teacher_need_figures!$B$14:$B$59,0),I$74)),IF($G$69=2,IF($B81=" ","-",INDEX(Entrant_need_figures!$C$88:$N$129,MATCH($B81,Entrant_need_figures!$B$88:$B$129,0),I$74)),NA()))</f>
        <v>19452.46551534941</v>
      </c>
      <c r="J81" s="975">
        <f>IF($G$69=1,IF($B81=" ","-",INDEX(Teacher_need_figures!$C$14:$N$59,MATCH($B81,Teacher_need_figures!$B$14:$B$59,0),J$74)),IF($G$69=2,IF($B81=" ","-",INDEX(Entrant_need_figures!$C$88:$N$129,MATCH($B81,Entrant_need_figures!$B$88:$B$129,0),J$74)),NA()))</f>
        <v>19600.61185016208</v>
      </c>
      <c r="K81" s="975">
        <f>IF($G$69=1,IF($B81=" ","-",INDEX(Teacher_need_figures!$C$14:$N$59,MATCH($B81,Teacher_need_figures!$B$14:$B$59,0),K$74)),IF($G$69=2,IF($B81=" ","-",INDEX(Entrant_need_figures!$C$88:$N$129,MATCH($B81,Entrant_need_figures!$B$88:$B$129,0),K$74)),NA()))</f>
        <v>19598.097876335123</v>
      </c>
      <c r="L81" s="975">
        <f>IF($G$69=1,IF($B81=" ","-",INDEX(Teacher_need_figures!$C$14:$N$59,MATCH($B81,Teacher_need_figures!$B$14:$B$59,0),L$74)),IF($G$69=2,IF($B81=" ","-",INDEX(Entrant_need_figures!$C$88:$N$129,MATCH($B81,Entrant_need_figures!$B$88:$B$129,0),L$74)),NA()))</f>
        <v>19497.170074560905</v>
      </c>
      <c r="M81" s="975">
        <f>IF($G$69=1,IF($B81=" ","-",INDEX(Teacher_need_figures!$C$14:$N$59,MATCH($B81,Teacher_need_figures!$B$14:$B$59,0),M$74)),IF($G$69=2,IF($B81=" ","-",INDEX(Entrant_need_figures!$C$88:$N$129,MATCH($B81,Entrant_need_figures!$B$88:$B$129,0),M$74)),NA()))</f>
        <v>19427.392336902663</v>
      </c>
      <c r="N81" s="975">
        <f>IF($G$69=1,IF($B81=" ","-",INDEX(Teacher_need_figures!$C$14:$N$59,MATCH($B81,Teacher_need_figures!$B$14:$B$59,0),N$74)),IF($G$69=2,IF($B81=" ","-",INDEX(Entrant_need_figures!$C$88:$N$129,MATCH($B81,Entrant_need_figures!$B$88:$B$129,0),N$74)),NA()))</f>
        <v>19438.746388143565</v>
      </c>
    </row>
    <row r="82" spans="2:14">
      <c r="B82" s="957" t="str">
        <f>IF(ISBLANK(B70)," ",CONCATENATE(B70," All Central Scenario"))</f>
        <v>Geography All Central Scenario</v>
      </c>
      <c r="C82" s="975">
        <f>IF($G$69=1,IF($B82=" ","-",INDEX(Teacher_need_figures!$C$14:$N$59,MATCH($B82,Teacher_need_figures!$B$14:$B$59,0),C$74)),IF($G$69=2,IF($B82=" ","-",INDEX(Entrant_need_figures!$C$88:$N$129,MATCH($B82,Entrant_need_figures!$B$88:$B$129,0),C$74)),NA()))</f>
        <v>10803.079082425373</v>
      </c>
      <c r="D82" s="975">
        <f>IF($G$69=1,IF($B82=" ","-",INDEX(Teacher_need_figures!$C$14:$N$59,MATCH($B82,Teacher_need_figures!$B$14:$B$59,0),D$74)),IF($G$69=2,IF($B82=" ","-",INDEX(Entrant_need_figures!$C$88:$N$129,MATCH($B82,Entrant_need_figures!$B$88:$B$129,0),D$74)),IF($G$69=3,VLOOKUP($B70,FINAL_OUTPUTS_OF_ITT_PLACES!$A$44:$K$66,11,FALSE),"-")))</f>
        <v>10913.97383137792</v>
      </c>
      <c r="E82" s="975">
        <f>IF($G$69=1,IF($B82=" ","-",INDEX(Teacher_need_figures!$C$14:$N$59,MATCH($B82,Teacher_need_figures!$B$14:$B$59,0),E$74)),IF($G$69=2,IF($B82=" ","-",INDEX(Entrant_need_figures!$C$88:$N$129,MATCH($B82,Entrant_need_figures!$B$88:$B$129,0),E$74)),NA()))</f>
        <v>11040.073537517266</v>
      </c>
      <c r="F82" s="975">
        <f>IF($G$69=1,IF($B82=" ","-",INDEX(Teacher_need_figures!$C$14:$N$59,MATCH($B82,Teacher_need_figures!$B$14:$B$59,0),F$74)),IF($G$69=2,IF($B82=" ","-",INDEX(Entrant_need_figures!$C$88:$N$129,MATCH($B82,Entrant_need_figures!$B$88:$B$129,0),F$74)),NA()))</f>
        <v>11141.835814652577</v>
      </c>
      <c r="G82" s="975">
        <f>IF($G$69=1,IF($B82=" ","-",INDEX(Teacher_need_figures!$C$14:$N$59,MATCH($B82,Teacher_need_figures!$B$14:$B$59,0),G$74)),IF($G$69=2,IF($B82=" ","-",INDEX(Entrant_need_figures!$C$88:$N$129,MATCH($B82,Entrant_need_figures!$B$88:$B$129,0),G$74)),NA()))</f>
        <v>11235.812997276715</v>
      </c>
      <c r="H82" s="975">
        <f>IF($G$69=1,IF($B82=" ","-",INDEX(Teacher_need_figures!$C$14:$N$59,MATCH($B82,Teacher_need_figures!$B$14:$B$59,0),H$74)),IF($G$69=2,IF($B82=" ","-",INDEX(Entrant_need_figures!$C$88:$N$129,MATCH($B82,Entrant_need_figures!$B$88:$B$129,0),H$74)),NA()))</f>
        <v>11318.429527654655</v>
      </c>
      <c r="I82" s="975">
        <f>IF($G$69=1,IF($B82=" ","-",INDEX(Teacher_need_figures!$C$14:$N$59,MATCH($B82,Teacher_need_figures!$B$14:$B$59,0),I$74)),IF($G$69=2,IF($B82=" ","-",INDEX(Entrant_need_figures!$C$88:$N$129,MATCH($B82,Entrant_need_figures!$B$88:$B$129,0),I$74)),NA()))</f>
        <v>11447.571971044999</v>
      </c>
      <c r="J82" s="975">
        <f>IF($G$69=1,IF($B82=" ","-",INDEX(Teacher_need_figures!$C$14:$N$59,MATCH($B82,Teacher_need_figures!$B$14:$B$59,0),J$74)),IF($G$69=2,IF($B82=" ","-",INDEX(Entrant_need_figures!$C$88:$N$129,MATCH($B82,Entrant_need_figures!$B$88:$B$129,0),J$74)),NA()))</f>
        <v>11514.819044284342</v>
      </c>
      <c r="K82" s="975">
        <f>IF($G$69=1,IF($B82=" ","-",INDEX(Teacher_need_figures!$C$14:$N$59,MATCH($B82,Teacher_need_figures!$B$14:$B$59,0),K$74)),IF($G$69=2,IF($B82=" ","-",INDEX(Entrant_need_figures!$C$88:$N$129,MATCH($B82,Entrant_need_figures!$B$88:$B$129,0),K$74)),NA()))</f>
        <v>11515.740365562662</v>
      </c>
      <c r="L82" s="975">
        <f>IF($G$69=1,IF($B82=" ","-",INDEX(Teacher_need_figures!$C$14:$N$59,MATCH($B82,Teacher_need_figures!$B$14:$B$59,0),L$74)),IF($G$69=2,IF($B82=" ","-",INDEX(Entrant_need_figures!$C$88:$N$129,MATCH($B82,Entrant_need_figures!$B$88:$B$129,0),L$74)),NA()))</f>
        <v>11475.359015980936</v>
      </c>
      <c r="M82" s="975">
        <f>IF($G$69=1,IF($B82=" ","-",INDEX(Teacher_need_figures!$C$14:$N$59,MATCH($B82,Teacher_need_figures!$B$14:$B$59,0),M$74)),IF($G$69=2,IF($B82=" ","-",INDEX(Entrant_need_figures!$C$88:$N$129,MATCH($B82,Entrant_need_figures!$B$88:$B$129,0),M$74)),NA()))</f>
        <v>11454.130023559828</v>
      </c>
      <c r="N82" s="975">
        <f>IF($G$69=1,IF($B82=" ","-",INDEX(Teacher_need_figures!$C$14:$N$59,MATCH($B82,Teacher_need_figures!$B$14:$B$59,0),N$74)),IF($G$69=2,IF($B82=" ","-",INDEX(Entrant_need_figures!$C$88:$N$129,MATCH($B82,Entrant_need_figures!$B$88:$B$129,0),N$74)),NA()))</f>
        <v>11445.395839009616</v>
      </c>
    </row>
    <row r="83" spans="2:14">
      <c r="B83" s="957" t="str">
        <f>IF(ISBLANK(B71)," ",CONCATENATE(B71," All Central Scenario"))</f>
        <v>History All Central Scenario</v>
      </c>
      <c r="C83" s="975">
        <f>IF($G$69=1,IF($B83=" ","-",INDEX(Teacher_need_figures!$C$14:$N$59,MATCH($B83,Teacher_need_figures!$B$14:$B$59,0),C$74)),IF($G$69=2,IF($B83=" ","-",INDEX(Entrant_need_figures!$C$88:$N$129,MATCH($B83,Entrant_need_figures!$B$88:$B$129,0),C$74)),NA()))</f>
        <v>11478.78528353108</v>
      </c>
      <c r="D83" s="975">
        <f>IF($G$69=1,IF($B83=" ","-",INDEX(Teacher_need_figures!$C$14:$N$59,MATCH($B83,Teacher_need_figures!$B$14:$B$59,0),D$74)),IF($G$69=2,IF($B83=" ","-",INDEX(Entrant_need_figures!$C$88:$N$129,MATCH($B83,Entrant_need_figures!$B$88:$B$129,0),D$74)),IF($G$69=3,VLOOKUP($B71,FINAL_OUTPUTS_OF_ITT_PLACES!$A$44:$K$66,11,FALSE),"-")))</f>
        <v>11581.968504481012</v>
      </c>
      <c r="E83" s="975">
        <f>IF($G$69=1,IF($B83=" ","-",INDEX(Teacher_need_figures!$C$14:$N$59,MATCH($B83,Teacher_need_figures!$B$14:$B$59,0),E$74)),IF($G$69=2,IF($B83=" ","-",INDEX(Entrant_need_figures!$C$88:$N$129,MATCH($B83,Entrant_need_figures!$B$88:$B$129,0),E$74)),NA()))</f>
        <v>11702.36853693105</v>
      </c>
      <c r="F83" s="975">
        <f>IF($G$69=1,IF($B83=" ","-",INDEX(Teacher_need_figures!$C$14:$N$59,MATCH($B83,Teacher_need_figures!$B$14:$B$59,0),F$74)),IF($G$69=2,IF($B83=" ","-",INDEX(Entrant_need_figures!$C$88:$N$129,MATCH($B83,Entrant_need_figures!$B$88:$B$129,0),F$74)),NA()))</f>
        <v>11805.823561991971</v>
      </c>
      <c r="G83" s="975">
        <f>IF($G$69=1,IF($B83=" ","-",INDEX(Teacher_need_figures!$C$14:$N$59,MATCH($B83,Teacher_need_figures!$B$14:$B$59,0),G$74)),IF($G$69=2,IF($B83=" ","-",INDEX(Entrant_need_figures!$C$88:$N$129,MATCH($B83,Entrant_need_figures!$B$88:$B$129,0),G$74)),NA()))</f>
        <v>11905.04406842778</v>
      </c>
      <c r="H83" s="975">
        <f>IF($G$69=1,IF($B83=" ","-",INDEX(Teacher_need_figures!$C$14:$N$59,MATCH($B83,Teacher_need_figures!$B$14:$B$59,0),H$74)),IF($G$69=2,IF($B83=" ","-",INDEX(Entrant_need_figures!$C$88:$N$129,MATCH($B83,Entrant_need_figures!$B$88:$B$129,0),H$74)),NA()))</f>
        <v>11996.878419563651</v>
      </c>
      <c r="I83" s="975">
        <f>IF($G$69=1,IF($B83=" ","-",INDEX(Teacher_need_figures!$C$14:$N$59,MATCH($B83,Teacher_need_figures!$B$14:$B$59,0),I$74)),IF($G$69=2,IF($B83=" ","-",INDEX(Entrant_need_figures!$C$88:$N$129,MATCH($B83,Entrant_need_figures!$B$88:$B$129,0),I$74)),NA()))</f>
        <v>12135.936933273137</v>
      </c>
      <c r="J83" s="975">
        <f>IF($G$69=1,IF($B83=" ","-",INDEX(Teacher_need_figures!$C$14:$N$59,MATCH($B83,Teacher_need_figures!$B$14:$B$59,0),J$74)),IF($G$69=2,IF($B83=" ","-",INDEX(Entrant_need_figures!$C$88:$N$129,MATCH($B83,Entrant_need_figures!$B$88:$B$129,0),J$74)),NA()))</f>
        <v>12213.749991184312</v>
      </c>
      <c r="K83" s="975">
        <f>IF($G$69=1,IF($B83=" ","-",INDEX(Teacher_need_figures!$C$14:$N$59,MATCH($B83,Teacher_need_figures!$B$14:$B$59,0),K$74)),IF($G$69=2,IF($B83=" ","-",INDEX(Entrant_need_figures!$C$88:$N$129,MATCH($B83,Entrant_need_figures!$B$88:$B$129,0),K$74)),NA()))</f>
        <v>12222.822653396182</v>
      </c>
      <c r="L83" s="975">
        <f>IF($G$69=1,IF($B83=" ","-",INDEX(Teacher_need_figures!$C$14:$N$59,MATCH($B83,Teacher_need_figures!$B$14:$B$59,0),L$74)),IF($G$69=2,IF($B83=" ","-",INDEX(Entrant_need_figures!$C$88:$N$129,MATCH($B83,Entrant_need_figures!$B$88:$B$129,0),L$74)),NA()))</f>
        <v>12188.797624594896</v>
      </c>
      <c r="M83" s="975">
        <f>IF($G$69=1,IF($B83=" ","-",INDEX(Teacher_need_figures!$C$14:$N$59,MATCH($B83,Teacher_need_figures!$B$14:$B$59,0),M$74)),IF($G$69=2,IF($B83=" ","-",INDEX(Entrant_need_figures!$C$88:$N$129,MATCH($B83,Entrant_need_figures!$B$88:$B$129,0),M$74)),NA()))</f>
        <v>12171.21671946704</v>
      </c>
      <c r="N83" s="975">
        <f>IF($G$69=1,IF($B83=" ","-",INDEX(Teacher_need_figures!$C$14:$N$59,MATCH($B83,Teacher_need_figures!$B$14:$B$59,0),N$74)),IF($G$69=2,IF($B83=" ","-",INDEX(Entrant_need_figures!$C$88:$N$129,MATCH($B83,Entrant_need_figures!$B$88:$B$129,0),N$74)),NA()))</f>
        <v>12163.2752523872</v>
      </c>
    </row>
  </sheetData>
  <mergeCells count="8">
    <mergeCell ref="B12:T13"/>
    <mergeCell ref="C20:G20"/>
    <mergeCell ref="H20:L20"/>
    <mergeCell ref="B44:D44"/>
    <mergeCell ref="G44:K44"/>
    <mergeCell ref="N44:R44"/>
    <mergeCell ref="T44:X44"/>
    <mergeCell ref="B15:G18"/>
  </mergeCells>
  <hyperlinks>
    <hyperlink ref="A2" location="'Title_&amp;_Contents'!A1" display="Contents"/>
    <hyperlink ref="B2" location="Map_of_sheets!A1" display="Map of sheets"/>
    <hyperlink ref="B44" location="USER_TESTING_TAB!B141" display="Back to scenario selection"/>
    <hyperlink ref="G44" location="FINAL_OUTPUTS_OF_ITT_PLACES!A1" display="See detailed allocation results"/>
    <hyperlink ref="N44" location="Teacher_need_charts_over_time!A1" display="See all teacher need charts"/>
    <hyperlink ref="T44" location="Entrant_need_charts_over_time!A1" display="See all entrant need charts"/>
    <hyperlink ref="B44:D44" location="USER_TESTING_TAB!B141" display="Back to scenario selection"/>
    <hyperlink ref="G44:K44" location="FINAL_OUTPUTS_OF_ITT_PLACES!A1" display="See detailed ITT place outpu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79457" r:id="rId4" name="Drop Down 1">
              <controlPr defaultSize="0" autoLine="0" autoPict="0">
                <anchor moveWithCells="1">
                  <from>
                    <xdr:col>7</xdr:col>
                    <xdr:colOff>161925</xdr:colOff>
                    <xdr:row>14</xdr:row>
                    <xdr:rowOff>28575</xdr:rowOff>
                  </from>
                  <to>
                    <xdr:col>11</xdr:col>
                    <xdr:colOff>552450</xdr:colOff>
                    <xdr:row>16</xdr:row>
                    <xdr:rowOff>66675</xdr:rowOff>
                  </to>
                </anchor>
              </controlPr>
            </control>
          </mc:Choice>
        </mc:AlternateContent>
        <mc:AlternateContent xmlns:mc="http://schemas.openxmlformats.org/markup-compatibility/2006">
          <mc:Choice Requires="x14">
            <control shapeId="12179458" r:id="rId5" name="Drop Down 2">
              <controlPr defaultSize="0" autoLine="0" autoPict="0">
                <anchor moveWithCells="1">
                  <from>
                    <xdr:col>13</xdr:col>
                    <xdr:colOff>9525</xdr:colOff>
                    <xdr:row>18</xdr:row>
                    <xdr:rowOff>66675</xdr:rowOff>
                  </from>
                  <to>
                    <xdr:col>16</xdr:col>
                    <xdr:colOff>219075</xdr:colOff>
                    <xdr:row>20</xdr:row>
                    <xdr:rowOff>0</xdr:rowOff>
                  </to>
                </anchor>
              </controlPr>
            </control>
          </mc:Choice>
        </mc:AlternateContent>
        <mc:AlternateContent xmlns:mc="http://schemas.openxmlformats.org/markup-compatibility/2006">
          <mc:Choice Requires="x14">
            <control shapeId="12179459" r:id="rId6" name="Drop Down 3">
              <controlPr defaultSize="0" autoLine="0" autoPict="0">
                <anchor moveWithCells="1">
                  <from>
                    <xdr:col>16</xdr:col>
                    <xdr:colOff>266700</xdr:colOff>
                    <xdr:row>18</xdr:row>
                    <xdr:rowOff>57150</xdr:rowOff>
                  </from>
                  <to>
                    <xdr:col>19</xdr:col>
                    <xdr:colOff>428625</xdr:colOff>
                    <xdr:row>20</xdr:row>
                    <xdr:rowOff>0</xdr:rowOff>
                  </to>
                </anchor>
              </controlPr>
            </control>
          </mc:Choice>
        </mc:AlternateContent>
        <mc:AlternateContent xmlns:mc="http://schemas.openxmlformats.org/markup-compatibility/2006">
          <mc:Choice Requires="x14">
            <control shapeId="12179460" r:id="rId7" name="Drop Down 4">
              <controlPr defaultSize="0" autoLine="0" autoPict="0">
                <anchor moveWithCells="1">
                  <from>
                    <xdr:col>19</xdr:col>
                    <xdr:colOff>504825</xdr:colOff>
                    <xdr:row>18</xdr:row>
                    <xdr:rowOff>57150</xdr:rowOff>
                  </from>
                  <to>
                    <xdr:col>23</xdr:col>
                    <xdr:colOff>66675</xdr:colOff>
                    <xdr:row>20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2"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6" customHeight="1">
      <c r="A5" s="1168" t="s">
        <v>780</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SUM(A12:A1531)</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OUTPUTS_FOR_SECTION_2_OF_MODEL!B74</f>
        <v>Food</v>
      </c>
      <c r="C15" s="300">
        <f>OUTPUTS_FOR_SECTION_2_OF_MODEL!E74</f>
        <v>255.9304537238533</v>
      </c>
      <c r="D15" s="300">
        <f>OUTPUTS_FOR_SECTION_2_OF_MODEL!F74</f>
        <v>244.61702561467663</v>
      </c>
      <c r="E15" s="300">
        <f>OUTPUTS_FOR_SECTION_2_OF_MODEL!G74</f>
        <v>237.13402080456851</v>
      </c>
      <c r="F15" s="300">
        <f>OUTPUTS_FOR_SECTION_2_OF_MODEL!H74</f>
        <v>230.19786470703878</v>
      </c>
      <c r="G15" s="300">
        <f>OUTPUTS_FOR_SECTION_2_OF_MODEL!I74</f>
        <v>232.60959451307721</v>
      </c>
      <c r="H15" s="300">
        <f>OUTPUTS_FOR_SECTION_2_OF_MODEL!J74</f>
        <v>236.63399321553331</v>
      </c>
      <c r="I15" s="300">
        <f>OUTPUTS_FOR_SECTION_2_OF_MODEL!K74</f>
        <v>233.84406257594242</v>
      </c>
      <c r="J15" s="300">
        <f>OUTPUTS_FOR_SECTION_2_OF_MODEL!L74</f>
        <v>228.44436116322385</v>
      </c>
      <c r="K15" s="300">
        <f>OUTPUTS_FOR_SECTION_2_OF_MODEL!M74</f>
        <v>217.31856544349847</v>
      </c>
      <c r="L15" s="300">
        <f>OUTPUTS_FOR_SECTION_2_OF_MODEL!N74</f>
        <v>205.61031024153573</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238.27125241690743</v>
      </c>
      <c r="D44" s="447">
        <f t="shared" si="4"/>
        <v>227.73845084726395</v>
      </c>
      <c r="E44" s="447">
        <f t="shared" si="4"/>
        <v>220.77177336905328</v>
      </c>
      <c r="F44" s="447">
        <f t="shared" si="4"/>
        <v>214.3142120422531</v>
      </c>
      <c r="G44" s="447">
        <f t="shared" si="4"/>
        <v>216.5595324916749</v>
      </c>
      <c r="H44" s="447">
        <f t="shared" si="4"/>
        <v>220.30624768366152</v>
      </c>
      <c r="I44" s="447">
        <f t="shared" si="4"/>
        <v>217.70882225820239</v>
      </c>
      <c r="J44" s="447">
        <f t="shared" si="4"/>
        <v>212.6817002429614</v>
      </c>
      <c r="K44" s="447">
        <f t="shared" si="4"/>
        <v>202.32358442789709</v>
      </c>
      <c r="L44" s="447">
        <f t="shared" si="4"/>
        <v>191.42319883486977</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2.5174490173817556</v>
      </c>
      <c r="D58" s="447">
        <f t="shared" ref="D58:L58" si="7">D44/$J$51</f>
        <v>2.4061649632089894</v>
      </c>
      <c r="E58" s="447">
        <f t="shared" si="7"/>
        <v>2.3325587048205456</v>
      </c>
      <c r="F58" s="447">
        <f t="shared" si="7"/>
        <v>2.2643315005231881</v>
      </c>
      <c r="G58" s="447">
        <f t="shared" si="7"/>
        <v>2.2880543781333409</v>
      </c>
      <c r="H58" s="447">
        <f t="shared" si="7"/>
        <v>2.3276402047188007</v>
      </c>
      <c r="I58" s="447">
        <f t="shared" si="7"/>
        <v>2.3001971707030844</v>
      </c>
      <c r="J58" s="447">
        <f t="shared" si="7"/>
        <v>2.2470832375317298</v>
      </c>
      <c r="K58" s="447">
        <f t="shared" si="7"/>
        <v>2.1376448213734331</v>
      </c>
      <c r="L58" s="447">
        <f t="shared" si="7"/>
        <v>2.0224770673036527</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2.5174490173817556</v>
      </c>
      <c r="D99" s="447">
        <f t="shared" ref="D99:L99" si="33">D58</f>
        <v>2.4061649632089894</v>
      </c>
      <c r="E99" s="447">
        <f t="shared" si="33"/>
        <v>2.3325587048205456</v>
      </c>
      <c r="F99" s="447">
        <f t="shared" si="33"/>
        <v>2.2643315005231881</v>
      </c>
      <c r="G99" s="447">
        <f t="shared" si="33"/>
        <v>2.2880543781333409</v>
      </c>
      <c r="H99" s="447">
        <f t="shared" si="33"/>
        <v>2.3276402047188007</v>
      </c>
      <c r="I99" s="447">
        <f t="shared" si="33"/>
        <v>2.3001971707030844</v>
      </c>
      <c r="J99" s="447">
        <f t="shared" si="33"/>
        <v>2.2470832375317298</v>
      </c>
      <c r="K99" s="447">
        <f t="shared" si="33"/>
        <v>2.1376448213734331</v>
      </c>
      <c r="L99" s="447">
        <f t="shared" si="33"/>
        <v>2.0224770673036527</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916</v>
      </c>
      <c r="C104" s="447">
        <f t="shared" ref="C104:L104" si="35">C66*C$99</f>
        <v>31.932865138698538</v>
      </c>
      <c r="D104" s="447">
        <f t="shared" si="35"/>
        <v>30.52127004006871</v>
      </c>
      <c r="E104" s="447">
        <f t="shared" si="35"/>
        <v>29.587603178792232</v>
      </c>
      <c r="F104" s="447">
        <f t="shared" si="35"/>
        <v>28.722167533988639</v>
      </c>
      <c r="G104" s="447">
        <f t="shared" si="35"/>
        <v>29.023083042583419</v>
      </c>
      <c r="H104" s="447">
        <f t="shared" si="35"/>
        <v>29.525213911184721</v>
      </c>
      <c r="I104" s="447">
        <f t="shared" si="35"/>
        <v>29.177109660345909</v>
      </c>
      <c r="J104" s="447">
        <f t="shared" si="35"/>
        <v>28.503380002570871</v>
      </c>
      <c r="K104" s="447">
        <f t="shared" si="35"/>
        <v>27.11519610687067</v>
      </c>
      <c r="L104" s="447">
        <f t="shared" si="35"/>
        <v>25.654337780189646</v>
      </c>
    </row>
    <row r="105" spans="1:12">
      <c r="A105" s="302"/>
      <c r="B105" s="319" t="s">
        <v>917</v>
      </c>
      <c r="C105" s="447">
        <f t="shared" ref="C105:L105" si="36">C77*C$99</f>
        <v>90.395306817991326</v>
      </c>
      <c r="D105" s="447">
        <f t="shared" si="36"/>
        <v>86.399374367546116</v>
      </c>
      <c r="E105" s="447">
        <f t="shared" si="36"/>
        <v>83.756357462414201</v>
      </c>
      <c r="F105" s="447">
        <f t="shared" si="36"/>
        <v>81.306488955361857</v>
      </c>
      <c r="G105" s="447">
        <f t="shared" si="36"/>
        <v>82.158318241821746</v>
      </c>
      <c r="H105" s="447">
        <f t="shared" si="36"/>
        <v>83.57974640784596</v>
      </c>
      <c r="I105" s="447">
        <f t="shared" si="36"/>
        <v>82.594335596052332</v>
      </c>
      <c r="J105" s="447">
        <f t="shared" si="36"/>
        <v>80.687146909336292</v>
      </c>
      <c r="K105" s="447">
        <f t="shared" si="36"/>
        <v>76.757486710460427</v>
      </c>
      <c r="L105" s="447">
        <f t="shared" si="36"/>
        <v>72.622100296357701</v>
      </c>
    </row>
    <row r="106" spans="1:12">
      <c r="A106" s="302"/>
      <c r="B106" s="319" t="s">
        <v>918</v>
      </c>
      <c r="C106" s="447">
        <f t="shared" ref="C106:L106" si="37">C88*C$99</f>
        <v>129.41672978148569</v>
      </c>
      <c r="D106" s="447">
        <f t="shared" si="37"/>
        <v>123.6958519132841</v>
      </c>
      <c r="E106" s="447">
        <f t="shared" si="37"/>
        <v>119.91190984084812</v>
      </c>
      <c r="F106" s="447">
        <f t="shared" si="37"/>
        <v>116.4044935629683</v>
      </c>
      <c r="G106" s="447">
        <f t="shared" si="37"/>
        <v>117.62403652892891</v>
      </c>
      <c r="H106" s="447">
        <f t="shared" si="37"/>
        <v>119.65906015284938</v>
      </c>
      <c r="I106" s="447">
        <f t="shared" si="37"/>
        <v>118.24827181391019</v>
      </c>
      <c r="J106" s="447">
        <f t="shared" si="37"/>
        <v>115.51779684126581</v>
      </c>
      <c r="K106" s="447">
        <f t="shared" si="37"/>
        <v>109.89179932001221</v>
      </c>
      <c r="L106" s="447">
        <f t="shared" si="37"/>
        <v>103.97126865381792</v>
      </c>
    </row>
    <row r="107" spans="1:12">
      <c r="A107" s="302"/>
      <c r="B107" s="319" t="s">
        <v>8</v>
      </c>
      <c r="C107" s="447">
        <f>SUM(C104:C106)</f>
        <v>251.74490173817554</v>
      </c>
      <c r="D107" s="447">
        <f t="shared" ref="D107:L107" si="38">SUM(D104:D106)</f>
        <v>240.61649632089893</v>
      </c>
      <c r="E107" s="447">
        <f t="shared" si="38"/>
        <v>233.25587048205455</v>
      </c>
      <c r="F107" s="447">
        <f t="shared" si="38"/>
        <v>226.43315005231881</v>
      </c>
      <c r="G107" s="447">
        <f t="shared" si="38"/>
        <v>228.80543781333409</v>
      </c>
      <c r="H107" s="447">
        <f t="shared" si="38"/>
        <v>232.76402047188006</v>
      </c>
      <c r="I107" s="447">
        <f t="shared" si="38"/>
        <v>230.01971707030845</v>
      </c>
      <c r="J107" s="447">
        <f t="shared" si="38"/>
        <v>224.70832375317298</v>
      </c>
      <c r="K107" s="447">
        <f t="shared" si="38"/>
        <v>213.76448213734329</v>
      </c>
      <c r="L107" s="447">
        <f t="shared" si="38"/>
        <v>202.24770673036528</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251.74490173817554</v>
      </c>
      <c r="D112" s="676">
        <f t="shared" ref="D112:L112" si="39">D107</f>
        <v>240.61649632089893</v>
      </c>
      <c r="E112" s="676">
        <f t="shared" si="39"/>
        <v>233.25587048205455</v>
      </c>
      <c r="F112" s="676">
        <f t="shared" si="39"/>
        <v>226.43315005231881</v>
      </c>
      <c r="G112" s="676">
        <f t="shared" si="39"/>
        <v>228.80543781333409</v>
      </c>
      <c r="H112" s="676">
        <f t="shared" si="39"/>
        <v>232.76402047188006</v>
      </c>
      <c r="I112" s="676">
        <f t="shared" si="39"/>
        <v>230.01971707030845</v>
      </c>
      <c r="J112" s="676">
        <f t="shared" si="39"/>
        <v>224.70832375317298</v>
      </c>
      <c r="K112" s="676">
        <f t="shared" si="39"/>
        <v>213.76448213734329</v>
      </c>
      <c r="L112" s="676">
        <f t="shared" si="39"/>
        <v>202.24770673036528</v>
      </c>
    </row>
    <row r="113" spans="1:12">
      <c r="A113" s="302"/>
      <c r="B113" s="676" t="s">
        <v>1754</v>
      </c>
      <c r="C113" s="676">
        <f t="shared" ref="C113:L113" si="40">((C68+C79+C90)/100)*C112</f>
        <v>35.929731523381797</v>
      </c>
      <c r="D113" s="676">
        <f t="shared" si="40"/>
        <v>34.341454596360066</v>
      </c>
      <c r="E113" s="676">
        <f t="shared" si="40"/>
        <v>33.29092563467011</v>
      </c>
      <c r="F113" s="676">
        <f t="shared" si="40"/>
        <v>32.317168026841969</v>
      </c>
      <c r="G113" s="676">
        <f t="shared" si="40"/>
        <v>32.655747524424534</v>
      </c>
      <c r="H113" s="676">
        <f t="shared" si="40"/>
        <v>33.220727435249486</v>
      </c>
      <c r="I113" s="676">
        <f t="shared" si="40"/>
        <v>32.829052832282862</v>
      </c>
      <c r="J113" s="676">
        <f t="shared" si="40"/>
        <v>32.070996027230898</v>
      </c>
      <c r="K113" s="676">
        <f t="shared" si="40"/>
        <v>30.50906055852327</v>
      </c>
      <c r="L113" s="676">
        <f t="shared" si="40"/>
        <v>28.865354387988113</v>
      </c>
    </row>
    <row r="114" spans="1:12">
      <c r="A114" s="302"/>
      <c r="B114" s="676" t="s">
        <v>1755</v>
      </c>
      <c r="C114" s="676">
        <f t="shared" ref="C114:L114" si="41">((C67+C78+C89)/100)*C112</f>
        <v>215.81517021479377</v>
      </c>
      <c r="D114" s="676">
        <f t="shared" si="41"/>
        <v>206.27504172453888</v>
      </c>
      <c r="E114" s="676">
        <f t="shared" si="41"/>
        <v>199.96494484738443</v>
      </c>
      <c r="F114" s="676">
        <f t="shared" si="41"/>
        <v>194.11598202547685</v>
      </c>
      <c r="G114" s="676">
        <f t="shared" si="41"/>
        <v>196.14969028890957</v>
      </c>
      <c r="H114" s="676">
        <f t="shared" si="41"/>
        <v>199.54329303663059</v>
      </c>
      <c r="I114" s="676">
        <f t="shared" si="41"/>
        <v>197.19066423802559</v>
      </c>
      <c r="J114" s="676">
        <f t="shared" si="41"/>
        <v>192.63732772594207</v>
      </c>
      <c r="K114" s="676">
        <f t="shared" si="41"/>
        <v>183.25542157882003</v>
      </c>
      <c r="L114" s="676">
        <f t="shared" si="41"/>
        <v>173.38235234237717</v>
      </c>
    </row>
    <row r="115" spans="1:12">
      <c r="A115" s="302"/>
      <c r="B115" s="676" t="s">
        <v>855</v>
      </c>
      <c r="C115" s="676">
        <f>C113*$C$39</f>
        <v>22.456082202113624</v>
      </c>
      <c r="D115" s="676">
        <f t="shared" ref="D115:L115" si="42">D113*$C$39</f>
        <v>21.463409122725039</v>
      </c>
      <c r="E115" s="676">
        <f t="shared" si="42"/>
        <v>20.80682852166882</v>
      </c>
      <c r="F115" s="676">
        <f t="shared" si="42"/>
        <v>20.198230016776229</v>
      </c>
      <c r="G115" s="676">
        <f t="shared" si="42"/>
        <v>20.409842202765333</v>
      </c>
      <c r="H115" s="676">
        <f t="shared" si="42"/>
        <v>20.762954647030931</v>
      </c>
      <c r="I115" s="676">
        <f t="shared" si="42"/>
        <v>20.518158020176788</v>
      </c>
      <c r="J115" s="676">
        <f t="shared" si="42"/>
        <v>20.044372517019312</v>
      </c>
      <c r="K115" s="676">
        <f t="shared" si="42"/>
        <v>19.068162849077044</v>
      </c>
      <c r="L115" s="676">
        <f t="shared" si="42"/>
        <v>18.04084649249257</v>
      </c>
    </row>
    <row r="116" spans="1:12">
      <c r="A116" s="302"/>
      <c r="B116" s="676" t="s">
        <v>856</v>
      </c>
      <c r="C116" s="676">
        <f>C114</f>
        <v>215.81517021479377</v>
      </c>
      <c r="D116" s="676">
        <f t="shared" ref="D116:L116" si="43">D114</f>
        <v>206.27504172453888</v>
      </c>
      <c r="E116" s="676">
        <f t="shared" si="43"/>
        <v>199.96494484738443</v>
      </c>
      <c r="F116" s="676">
        <f t="shared" si="43"/>
        <v>194.11598202547685</v>
      </c>
      <c r="G116" s="676">
        <f t="shared" si="43"/>
        <v>196.14969028890957</v>
      </c>
      <c r="H116" s="676">
        <f t="shared" si="43"/>
        <v>199.54329303663059</v>
      </c>
      <c r="I116" s="676">
        <f t="shared" si="43"/>
        <v>197.19066423802559</v>
      </c>
      <c r="J116" s="676">
        <f t="shared" si="43"/>
        <v>192.63732772594207</v>
      </c>
      <c r="K116" s="676">
        <f t="shared" si="43"/>
        <v>183.25542157882003</v>
      </c>
      <c r="L116" s="676">
        <f t="shared" si="43"/>
        <v>173.38235234237717</v>
      </c>
    </row>
    <row r="117" spans="1:12">
      <c r="A117" s="302"/>
      <c r="B117" s="676" t="s">
        <v>746</v>
      </c>
      <c r="C117" s="676">
        <f>C116+C115</f>
        <v>238.2712524169074</v>
      </c>
      <c r="D117" s="676">
        <f t="shared" ref="D117:L117" si="44">D116+D115</f>
        <v>227.73845084726392</v>
      </c>
      <c r="E117" s="676">
        <f t="shared" si="44"/>
        <v>220.77177336905325</v>
      </c>
      <c r="F117" s="676">
        <f t="shared" si="44"/>
        <v>214.31421204225308</v>
      </c>
      <c r="G117" s="676">
        <f t="shared" si="44"/>
        <v>216.5595324916749</v>
      </c>
      <c r="H117" s="676">
        <f t="shared" si="44"/>
        <v>220.30624768366152</v>
      </c>
      <c r="I117" s="676">
        <f t="shared" si="44"/>
        <v>217.70882225820239</v>
      </c>
      <c r="J117" s="676">
        <f t="shared" si="44"/>
        <v>212.68170024296137</v>
      </c>
      <c r="K117" s="676">
        <f t="shared" si="44"/>
        <v>202.32358442789709</v>
      </c>
      <c r="L117" s="676">
        <f t="shared" si="44"/>
        <v>191.42319883486974</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59"/>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5.9" customHeight="1">
      <c r="A5" s="1168" t="s">
        <v>781</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SUM(A12:A1745)</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OUTPUTS_FOR_SECTION_2_OF_MODEL!B75</f>
        <v>Geography</v>
      </c>
      <c r="C15" s="300">
        <f>OUTPUTS_FOR_SECTION_2_OF_MODEL!E75</f>
        <v>1379.9489218590882</v>
      </c>
      <c r="D15" s="300">
        <f>OUTPUTS_FOR_SECTION_2_OF_MODEL!F75</f>
        <v>1326.9385392363606</v>
      </c>
      <c r="E15" s="300">
        <f>OUTPUTS_FOR_SECTION_2_OF_MODEL!G75</f>
        <v>1334.5495213649326</v>
      </c>
      <c r="F15" s="300">
        <f>OUTPUTS_FOR_SECTION_2_OF_MODEL!H75</f>
        <v>1337.9789026452224</v>
      </c>
      <c r="G15" s="300">
        <f>OUTPUTS_FOR_SECTION_2_OF_MODEL!I75</f>
        <v>1398.0730147735271</v>
      </c>
      <c r="H15" s="300">
        <f>OUTPUTS_FOR_SECTION_2_OF_MODEL!J75</f>
        <v>1355.1816399663992</v>
      </c>
      <c r="I15" s="300">
        <f>OUTPUTS_FOR_SECTION_2_OF_MODEL!K75</f>
        <v>1300.1385354763884</v>
      </c>
      <c r="J15" s="300">
        <f>OUTPUTS_FOR_SECTION_2_OF_MODEL!L75</f>
        <v>1261.9075385295355</v>
      </c>
      <c r="K15" s="300">
        <f>OUTPUTS_FOR_SECTION_2_OF_MODEL!M75</f>
        <v>1278.9550554877867</v>
      </c>
      <c r="L15" s="300">
        <f>OUTPUTS_FOR_SECTION_2_OF_MODEL!N75</f>
        <v>1291.3575788385963</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4">
      <c r="A33" s="302"/>
      <c r="B33" s="319" t="str">
        <f>B27</f>
        <v>New to state-funded sector</v>
      </c>
      <c r="C33" s="628">
        <f>'Calc_SEC_part-time_entrants'!G47</f>
        <v>0.15073275895046184</v>
      </c>
      <c r="D33" s="302"/>
      <c r="E33" s="302"/>
      <c r="F33" s="302"/>
      <c r="G33" s="302"/>
      <c r="H33" s="302"/>
      <c r="I33" s="302"/>
      <c r="J33" s="302"/>
      <c r="K33" s="302"/>
      <c r="L33" s="302"/>
    </row>
    <row r="34" spans="1:14">
      <c r="A34" s="302"/>
      <c r="B34" s="319" t="str">
        <f>B28</f>
        <v>Re-entrants</v>
      </c>
      <c r="C34" s="628">
        <f>'Calc_SEC_part-time_entrants'!G48</f>
        <v>0.29096991237775327</v>
      </c>
      <c r="D34" s="302"/>
      <c r="E34" s="302"/>
      <c r="F34" s="302"/>
      <c r="G34" s="302"/>
      <c r="H34" s="302"/>
      <c r="I34" s="302"/>
      <c r="J34" s="302"/>
      <c r="K34" s="302"/>
      <c r="L34" s="302"/>
    </row>
    <row r="35" spans="1:14">
      <c r="A35" s="302"/>
      <c r="B35" s="319" t="str">
        <f>B29</f>
        <v>NQTs</v>
      </c>
      <c r="C35" s="628">
        <f>'Calc_SEC_part-time_entrants'!G49</f>
        <v>3.7198344941724769E-2</v>
      </c>
      <c r="D35" s="302"/>
      <c r="E35" s="302"/>
      <c r="F35" s="302"/>
      <c r="G35" s="302"/>
      <c r="H35" s="302"/>
      <c r="I35" s="302"/>
      <c r="J35" s="302"/>
      <c r="K35" s="302"/>
      <c r="L35" s="302"/>
    </row>
    <row r="36" spans="1:14">
      <c r="A36" s="302"/>
      <c r="B36" s="302"/>
      <c r="C36" s="320"/>
      <c r="D36" s="302"/>
      <c r="E36" s="302"/>
      <c r="F36" s="302"/>
      <c r="G36" s="302"/>
      <c r="H36" s="302"/>
      <c r="I36" s="302"/>
      <c r="J36" s="302"/>
      <c r="K36" s="302"/>
      <c r="L36" s="302"/>
    </row>
    <row r="37" spans="1:14">
      <c r="A37" s="302"/>
      <c r="B37" s="334" t="s">
        <v>1489</v>
      </c>
      <c r="C37" s="320"/>
      <c r="D37" s="357" t="s">
        <v>761</v>
      </c>
      <c r="E37" s="302"/>
      <c r="F37" s="302"/>
      <c r="G37" s="302"/>
      <c r="H37" s="302"/>
      <c r="I37" s="302"/>
      <c r="J37" s="302"/>
      <c r="K37" s="302"/>
      <c r="L37" s="302"/>
    </row>
    <row r="38" spans="1:14">
      <c r="A38" s="302"/>
      <c r="B38" s="302"/>
      <c r="C38" s="320"/>
      <c r="D38" s="302"/>
      <c r="E38" s="302"/>
      <c r="F38" s="302"/>
      <c r="G38" s="302"/>
      <c r="H38" s="302"/>
      <c r="I38" s="302"/>
      <c r="J38" s="302"/>
      <c r="K38" s="302"/>
      <c r="L38" s="302"/>
    </row>
    <row r="39" spans="1:14">
      <c r="A39" s="302"/>
      <c r="B39" s="319" t="s">
        <v>760</v>
      </c>
      <c r="C39" s="539">
        <f>RAW_DATA_INPUTS!C425</f>
        <v>0.625</v>
      </c>
      <c r="D39" s="302"/>
      <c r="E39" s="302"/>
      <c r="F39" s="302"/>
      <c r="G39" s="302"/>
      <c r="H39" s="302"/>
      <c r="I39" s="302"/>
      <c r="J39" s="302"/>
      <c r="K39" s="302"/>
      <c r="L39" s="302"/>
    </row>
    <row r="40" spans="1:14">
      <c r="A40" s="302"/>
      <c r="B40" s="302"/>
      <c r="C40" s="302"/>
      <c r="D40" s="302"/>
      <c r="E40" s="302"/>
      <c r="F40" s="302"/>
      <c r="G40" s="302"/>
      <c r="H40" s="302"/>
      <c r="I40" s="302"/>
      <c r="J40" s="302"/>
      <c r="K40" s="302"/>
      <c r="L40" s="302"/>
    </row>
    <row r="41" spans="1:14">
      <c r="A41" s="302"/>
      <c r="B41" s="357" t="s">
        <v>769</v>
      </c>
      <c r="C41" s="302"/>
      <c r="D41" s="646">
        <f>C20</f>
        <v>0.93100000000000005</v>
      </c>
      <c r="E41" s="357" t="s">
        <v>758</v>
      </c>
      <c r="F41" s="302"/>
      <c r="G41" s="302"/>
      <c r="H41" s="302"/>
      <c r="I41" s="302"/>
      <c r="J41" s="302"/>
      <c r="K41" s="302"/>
      <c r="L41" s="302"/>
    </row>
    <row r="42" spans="1:14">
      <c r="A42" s="302"/>
      <c r="B42" s="357"/>
      <c r="C42" s="302"/>
      <c r="D42" s="646"/>
      <c r="E42" s="357"/>
      <c r="F42" s="302"/>
      <c r="G42" s="302"/>
      <c r="H42" s="302"/>
      <c r="I42" s="302"/>
      <c r="J42" s="302"/>
      <c r="K42" s="302"/>
      <c r="L42" s="302"/>
    </row>
    <row r="43" spans="1:14">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4">
      <c r="A44" s="302"/>
      <c r="B44" s="319" t="s">
        <v>857</v>
      </c>
      <c r="C44" s="447">
        <f t="shared" ref="C44:L44" si="4">C15*$C$20</f>
        <v>1284.7324462508111</v>
      </c>
      <c r="D44" s="447">
        <f t="shared" si="4"/>
        <v>1235.3797800290517</v>
      </c>
      <c r="E44" s="447">
        <f t="shared" si="4"/>
        <v>1242.4656043907523</v>
      </c>
      <c r="F44" s="447">
        <f t="shared" si="4"/>
        <v>1245.6583583627021</v>
      </c>
      <c r="G44" s="447">
        <f t="shared" si="4"/>
        <v>1301.6059767541537</v>
      </c>
      <c r="H44" s="447">
        <f t="shared" si="4"/>
        <v>1261.6741068087176</v>
      </c>
      <c r="I44" s="447">
        <f t="shared" si="4"/>
        <v>1210.4289765285175</v>
      </c>
      <c r="J44" s="447">
        <f t="shared" si="4"/>
        <v>1174.8359183709977</v>
      </c>
      <c r="K44" s="447">
        <f t="shared" si="4"/>
        <v>1190.7071566591294</v>
      </c>
      <c r="L44" s="447">
        <f t="shared" si="4"/>
        <v>1202.2539058987331</v>
      </c>
    </row>
    <row r="45" spans="1:14">
      <c r="A45" s="302"/>
      <c r="B45" s="302"/>
      <c r="C45" s="302"/>
      <c r="D45" s="302"/>
      <c r="E45" s="302"/>
      <c r="F45" s="302"/>
      <c r="G45" s="302"/>
      <c r="H45" s="302"/>
      <c r="I45" s="302"/>
      <c r="J45" s="302"/>
      <c r="K45" s="302"/>
      <c r="L45" s="302"/>
    </row>
    <row r="46" spans="1:14" ht="12.75" customHeight="1">
      <c r="A46" s="302"/>
      <c r="B46" s="1337" t="s">
        <v>1753</v>
      </c>
      <c r="C46" s="1337"/>
      <c r="D46" s="1337"/>
      <c r="E46" s="1337"/>
      <c r="F46" s="1337"/>
      <c r="G46" s="1337"/>
      <c r="H46" s="1337"/>
      <c r="I46" s="1337"/>
      <c r="J46" s="1337"/>
      <c r="K46" s="1337"/>
      <c r="L46" s="1337"/>
      <c r="M46" s="1337"/>
      <c r="N46" s="1337"/>
    </row>
    <row r="47" spans="1:14">
      <c r="A47" s="302"/>
      <c r="B47" s="1337"/>
      <c r="C47" s="1337"/>
      <c r="D47" s="1337"/>
      <c r="E47" s="1337"/>
      <c r="F47" s="1337"/>
      <c r="G47" s="1337"/>
      <c r="H47" s="1337"/>
      <c r="I47" s="1337"/>
      <c r="J47" s="1337"/>
      <c r="K47" s="1337"/>
      <c r="L47" s="1337"/>
      <c r="M47" s="1337"/>
      <c r="N47" s="1337"/>
    </row>
    <row r="48" spans="1:14">
      <c r="A48" s="302"/>
      <c r="B48" s="1337"/>
      <c r="C48" s="1337"/>
      <c r="D48" s="1337"/>
      <c r="E48" s="1337"/>
      <c r="F48" s="1337"/>
      <c r="G48" s="1337"/>
      <c r="H48" s="1337"/>
      <c r="I48" s="1337"/>
      <c r="J48" s="1337"/>
      <c r="K48" s="1337"/>
      <c r="L48" s="1337"/>
      <c r="M48" s="1337"/>
      <c r="N48" s="1337"/>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13.57380884855359</v>
      </c>
      <c r="D58" s="447">
        <f t="shared" ref="D58:L58" si="7">D44/$J$51</f>
        <v>13.052374475649266</v>
      </c>
      <c r="E58" s="447">
        <f t="shared" si="7"/>
        <v>13.127239577484929</v>
      </c>
      <c r="F58" s="447">
        <f t="shared" si="7"/>
        <v>13.160972540517175</v>
      </c>
      <c r="G58" s="447">
        <f t="shared" si="7"/>
        <v>13.752085717267386</v>
      </c>
      <c r="H58" s="447">
        <f t="shared" si="7"/>
        <v>13.330186534144525</v>
      </c>
      <c r="I58" s="447">
        <f t="shared" si="7"/>
        <v>12.788757379091594</v>
      </c>
      <c r="J58" s="447">
        <f t="shared" si="7"/>
        <v>12.4126998044771</v>
      </c>
      <c r="K58" s="447">
        <f t="shared" si="7"/>
        <v>12.580386979609663</v>
      </c>
      <c r="L58" s="447">
        <f t="shared" si="7"/>
        <v>12.702383872782208</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13.57380884855359</v>
      </c>
      <c r="D99" s="447">
        <f t="shared" ref="D99:L99" si="33">D58</f>
        <v>13.052374475649266</v>
      </c>
      <c r="E99" s="447">
        <f t="shared" si="33"/>
        <v>13.127239577484929</v>
      </c>
      <c r="F99" s="447">
        <f t="shared" si="33"/>
        <v>13.160972540517175</v>
      </c>
      <c r="G99" s="447">
        <f t="shared" si="33"/>
        <v>13.752085717267386</v>
      </c>
      <c r="H99" s="447">
        <f t="shared" si="33"/>
        <v>13.330186534144525</v>
      </c>
      <c r="I99" s="447">
        <f t="shared" si="33"/>
        <v>12.788757379091594</v>
      </c>
      <c r="J99" s="447">
        <f t="shared" si="33"/>
        <v>12.4126998044771</v>
      </c>
      <c r="K99" s="447">
        <f t="shared" si="33"/>
        <v>12.580386979609663</v>
      </c>
      <c r="L99" s="447">
        <f t="shared" si="33"/>
        <v>12.702383872782208</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919</v>
      </c>
      <c r="C104" s="447">
        <f t="shared" ref="C104:L104" si="35">C66*C$99</f>
        <v>172.17850466347878</v>
      </c>
      <c r="D104" s="447">
        <f t="shared" si="35"/>
        <v>165.56431172703029</v>
      </c>
      <c r="E104" s="447">
        <f t="shared" si="35"/>
        <v>166.51394652956523</v>
      </c>
      <c r="F104" s="447">
        <f t="shared" si="35"/>
        <v>166.94183609229322</v>
      </c>
      <c r="G104" s="447">
        <f t="shared" si="35"/>
        <v>174.43987765124555</v>
      </c>
      <c r="H104" s="447">
        <f t="shared" si="35"/>
        <v>169.08825002193959</v>
      </c>
      <c r="I104" s="447">
        <f t="shared" si="35"/>
        <v>162.22043102298866</v>
      </c>
      <c r="J104" s="447">
        <f t="shared" si="35"/>
        <v>157.45028643152435</v>
      </c>
      <c r="K104" s="447">
        <f t="shared" si="35"/>
        <v>159.57733326028858</v>
      </c>
      <c r="L104" s="447">
        <f t="shared" si="35"/>
        <v>161.12481656982976</v>
      </c>
    </row>
    <row r="105" spans="1:12">
      <c r="A105" s="302"/>
      <c r="B105" s="319" t="s">
        <v>920</v>
      </c>
      <c r="C105" s="447">
        <f t="shared" ref="C105:L105" si="36">C77*C$99</f>
        <v>487.40157480126601</v>
      </c>
      <c r="D105" s="447">
        <f t="shared" si="36"/>
        <v>468.67816876655087</v>
      </c>
      <c r="E105" s="447">
        <f t="shared" si="36"/>
        <v>471.36638759587726</v>
      </c>
      <c r="F105" s="447">
        <f t="shared" si="36"/>
        <v>472.57765404938874</v>
      </c>
      <c r="G105" s="447">
        <f t="shared" si="36"/>
        <v>493.80305190553526</v>
      </c>
      <c r="H105" s="447">
        <f t="shared" si="36"/>
        <v>478.65370594407636</v>
      </c>
      <c r="I105" s="447">
        <f t="shared" si="36"/>
        <v>459.2123372199074</v>
      </c>
      <c r="J105" s="447">
        <f t="shared" si="36"/>
        <v>445.70904892934186</v>
      </c>
      <c r="K105" s="447">
        <f t="shared" si="36"/>
        <v>451.73027658515167</v>
      </c>
      <c r="L105" s="447">
        <f t="shared" si="36"/>
        <v>456.11088032847732</v>
      </c>
    </row>
    <row r="106" spans="1:12">
      <c r="A106" s="302"/>
      <c r="B106" s="319" t="s">
        <v>921</v>
      </c>
      <c r="C106" s="447">
        <f t="shared" ref="C106:L106" si="37">C88*C$99</f>
        <v>697.80080539061407</v>
      </c>
      <c r="D106" s="447">
        <f t="shared" si="37"/>
        <v>670.9949670713454</v>
      </c>
      <c r="E106" s="447">
        <f t="shared" si="37"/>
        <v>674.84362362305023</v>
      </c>
      <c r="F106" s="447">
        <f t="shared" si="37"/>
        <v>676.57776391003551</v>
      </c>
      <c r="G106" s="447">
        <f t="shared" si="37"/>
        <v>706.96564216995773</v>
      </c>
      <c r="H106" s="447">
        <f t="shared" si="37"/>
        <v>685.27669744843649</v>
      </c>
      <c r="I106" s="447">
        <f t="shared" si="37"/>
        <v>657.44296966626325</v>
      </c>
      <c r="J106" s="447">
        <f t="shared" si="37"/>
        <v>638.11064508684376</v>
      </c>
      <c r="K106" s="447">
        <f t="shared" si="37"/>
        <v>646.73108811552606</v>
      </c>
      <c r="L106" s="447">
        <f t="shared" si="37"/>
        <v>653.0026903799137</v>
      </c>
    </row>
    <row r="107" spans="1:12">
      <c r="A107" s="302"/>
      <c r="B107" s="319" t="s">
        <v>8</v>
      </c>
      <c r="C107" s="447">
        <f>SUM(C104:C106)</f>
        <v>1357.380884855359</v>
      </c>
      <c r="D107" s="447">
        <f t="shared" ref="D107:L107" si="38">SUM(D104:D106)</f>
        <v>1305.2374475649267</v>
      </c>
      <c r="E107" s="447">
        <f t="shared" si="38"/>
        <v>1312.7239577484927</v>
      </c>
      <c r="F107" s="447">
        <f t="shared" si="38"/>
        <v>1316.0972540517173</v>
      </c>
      <c r="G107" s="447">
        <f t="shared" si="38"/>
        <v>1375.2085717267387</v>
      </c>
      <c r="H107" s="447">
        <f t="shared" si="38"/>
        <v>1333.0186534144523</v>
      </c>
      <c r="I107" s="447">
        <f t="shared" si="38"/>
        <v>1278.8757379091594</v>
      </c>
      <c r="J107" s="447">
        <f t="shared" si="38"/>
        <v>1241.2699804477099</v>
      </c>
      <c r="K107" s="447">
        <f t="shared" si="38"/>
        <v>1258.0386979609664</v>
      </c>
      <c r="L107" s="447">
        <f t="shared" si="38"/>
        <v>1270.2383872782207</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1357.380884855359</v>
      </c>
      <c r="D112" s="676">
        <f t="shared" ref="D112:L112" si="39">D107</f>
        <v>1305.2374475649267</v>
      </c>
      <c r="E112" s="676">
        <f t="shared" si="39"/>
        <v>1312.7239577484927</v>
      </c>
      <c r="F112" s="676">
        <f t="shared" si="39"/>
        <v>1316.0972540517173</v>
      </c>
      <c r="G112" s="676">
        <f t="shared" si="39"/>
        <v>1375.2085717267387</v>
      </c>
      <c r="H112" s="676">
        <f t="shared" si="39"/>
        <v>1333.0186534144523</v>
      </c>
      <c r="I112" s="676">
        <f t="shared" si="39"/>
        <v>1278.8757379091594</v>
      </c>
      <c r="J112" s="676">
        <f t="shared" si="39"/>
        <v>1241.2699804477099</v>
      </c>
      <c r="K112" s="676">
        <f t="shared" si="39"/>
        <v>1258.0386979609664</v>
      </c>
      <c r="L112" s="676">
        <f t="shared" si="39"/>
        <v>1270.2383872782207</v>
      </c>
    </row>
    <row r="113" spans="1:12">
      <c r="A113" s="302"/>
      <c r="B113" s="676" t="s">
        <v>1754</v>
      </c>
      <c r="C113" s="676">
        <f t="shared" ref="C113:L113" si="40">((C68+C79+C90)/100)*C112</f>
        <v>193.72916961212783</v>
      </c>
      <c r="D113" s="676">
        <f t="shared" si="40"/>
        <v>186.2871134289999</v>
      </c>
      <c r="E113" s="676">
        <f t="shared" si="40"/>
        <v>187.35560895397521</v>
      </c>
      <c r="F113" s="676">
        <f t="shared" si="40"/>
        <v>187.83705517070825</v>
      </c>
      <c r="G113" s="676">
        <f t="shared" si="40"/>
        <v>196.27358659356003</v>
      </c>
      <c r="H113" s="676">
        <f t="shared" si="40"/>
        <v>190.25212428196008</v>
      </c>
      <c r="I113" s="676">
        <f t="shared" si="40"/>
        <v>182.52469701504546</v>
      </c>
      <c r="J113" s="676">
        <f t="shared" si="40"/>
        <v>177.15749887123337</v>
      </c>
      <c r="K113" s="676">
        <f t="shared" si="40"/>
        <v>179.55077680489873</v>
      </c>
      <c r="L113" s="676">
        <f t="shared" si="40"/>
        <v>181.29195034530076</v>
      </c>
    </row>
    <row r="114" spans="1:12">
      <c r="A114" s="302"/>
      <c r="B114" s="676" t="s">
        <v>1755</v>
      </c>
      <c r="C114" s="676">
        <f t="shared" ref="C114:L114" si="41">((C67+C78+C89)/100)*C112</f>
        <v>1163.6517152432311</v>
      </c>
      <c r="D114" s="676">
        <f t="shared" si="41"/>
        <v>1118.9503341359268</v>
      </c>
      <c r="E114" s="676">
        <f t="shared" si="41"/>
        <v>1125.3683487945175</v>
      </c>
      <c r="F114" s="676">
        <f t="shared" si="41"/>
        <v>1128.260198881009</v>
      </c>
      <c r="G114" s="676">
        <f t="shared" si="41"/>
        <v>1178.9349851331788</v>
      </c>
      <c r="H114" s="676">
        <f t="shared" si="41"/>
        <v>1142.7665291324922</v>
      </c>
      <c r="I114" s="676">
        <f t="shared" si="41"/>
        <v>1096.351040894114</v>
      </c>
      <c r="J114" s="676">
        <f t="shared" si="41"/>
        <v>1064.1124815764765</v>
      </c>
      <c r="K114" s="676">
        <f t="shared" si="41"/>
        <v>1078.4879211560676</v>
      </c>
      <c r="L114" s="676">
        <f t="shared" si="41"/>
        <v>1088.9464369329201</v>
      </c>
    </row>
    <row r="115" spans="1:12">
      <c r="A115" s="302"/>
      <c r="B115" s="676" t="s">
        <v>855</v>
      </c>
      <c r="C115" s="676">
        <f>C113*$C$39</f>
        <v>121.0807310075799</v>
      </c>
      <c r="D115" s="676">
        <f t="shared" ref="D115:L115" si="42">D113*$C$39</f>
        <v>116.42944589312494</v>
      </c>
      <c r="E115" s="676">
        <f t="shared" si="42"/>
        <v>117.0972555962345</v>
      </c>
      <c r="F115" s="676">
        <f t="shared" si="42"/>
        <v>117.39815948169266</v>
      </c>
      <c r="G115" s="676">
        <f t="shared" si="42"/>
        <v>122.67099162097502</v>
      </c>
      <c r="H115" s="676">
        <f t="shared" si="42"/>
        <v>118.90757767622505</v>
      </c>
      <c r="I115" s="676">
        <f t="shared" si="42"/>
        <v>114.07793563440342</v>
      </c>
      <c r="J115" s="676">
        <f t="shared" si="42"/>
        <v>110.72343679452086</v>
      </c>
      <c r="K115" s="676">
        <f t="shared" si="42"/>
        <v>112.21923550306171</v>
      </c>
      <c r="L115" s="676">
        <f t="shared" si="42"/>
        <v>113.30746896581297</v>
      </c>
    </row>
    <row r="116" spans="1:12">
      <c r="A116" s="302"/>
      <c r="B116" s="676" t="s">
        <v>856</v>
      </c>
      <c r="C116" s="676">
        <f>C114</f>
        <v>1163.6517152432311</v>
      </c>
      <c r="D116" s="676">
        <f t="shared" ref="D116:L116" si="43">D114</f>
        <v>1118.9503341359268</v>
      </c>
      <c r="E116" s="676">
        <f t="shared" si="43"/>
        <v>1125.3683487945175</v>
      </c>
      <c r="F116" s="676">
        <f t="shared" si="43"/>
        <v>1128.260198881009</v>
      </c>
      <c r="G116" s="676">
        <f t="shared" si="43"/>
        <v>1178.9349851331788</v>
      </c>
      <c r="H116" s="676">
        <f t="shared" si="43"/>
        <v>1142.7665291324922</v>
      </c>
      <c r="I116" s="676">
        <f t="shared" si="43"/>
        <v>1096.351040894114</v>
      </c>
      <c r="J116" s="676">
        <f t="shared" si="43"/>
        <v>1064.1124815764765</v>
      </c>
      <c r="K116" s="676">
        <f t="shared" si="43"/>
        <v>1078.4879211560676</v>
      </c>
      <c r="L116" s="676">
        <f t="shared" si="43"/>
        <v>1088.9464369329201</v>
      </c>
    </row>
    <row r="117" spans="1:12">
      <c r="A117" s="302"/>
      <c r="B117" s="676" t="s">
        <v>746</v>
      </c>
      <c r="C117" s="676">
        <f>C116+C115</f>
        <v>1284.7324462508111</v>
      </c>
      <c r="D117" s="676">
        <f t="shared" ref="D117:L117" si="44">D116+D115</f>
        <v>1235.3797800290517</v>
      </c>
      <c r="E117" s="676">
        <f t="shared" si="44"/>
        <v>1242.4656043907521</v>
      </c>
      <c r="F117" s="676">
        <f t="shared" si="44"/>
        <v>1245.6583583627016</v>
      </c>
      <c r="G117" s="676">
        <f t="shared" si="44"/>
        <v>1301.6059767541537</v>
      </c>
      <c r="H117" s="676">
        <f t="shared" si="44"/>
        <v>1261.6741068087172</v>
      </c>
      <c r="I117" s="676">
        <f t="shared" si="44"/>
        <v>1210.4289765285175</v>
      </c>
      <c r="J117" s="676">
        <f t="shared" si="44"/>
        <v>1174.8359183709974</v>
      </c>
      <c r="K117" s="676">
        <f t="shared" si="44"/>
        <v>1190.7071566591294</v>
      </c>
      <c r="L117" s="676">
        <f t="shared" si="44"/>
        <v>1202.2539058987331</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1108" t="s">
        <v>1705</v>
      </c>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1027" t="s">
        <v>1520</v>
      </c>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18" t="s">
        <v>1315</v>
      </c>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18" t="s">
        <v>1228</v>
      </c>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18" t="s">
        <v>1229</v>
      </c>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1027" t="s">
        <v>1658</v>
      </c>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34" t="s">
        <v>1234</v>
      </c>
      <c r="C133" s="302"/>
      <c r="E133" s="302"/>
      <c r="F133" s="681"/>
      <c r="G133" s="302"/>
      <c r="H133" s="302"/>
      <c r="I133" s="302"/>
      <c r="J133" s="302"/>
      <c r="K133" s="302"/>
      <c r="L133" s="302"/>
    </row>
    <row r="135" spans="1:12">
      <c r="B135" s="1028" t="s">
        <v>1645</v>
      </c>
      <c r="D135" s="12" t="s">
        <v>1240</v>
      </c>
      <c r="F135" s="837">
        <v>109.94199999999999</v>
      </c>
    </row>
    <row r="136" spans="1:12">
      <c r="B136" s="147"/>
      <c r="D136" s="12" t="s">
        <v>716</v>
      </c>
      <c r="F136" s="837">
        <v>378.30900000000003</v>
      </c>
    </row>
    <row r="137" spans="1:12">
      <c r="B137" s="147" t="s">
        <v>1241</v>
      </c>
      <c r="D137" s="12" t="s">
        <v>1240</v>
      </c>
      <c r="F137" s="838">
        <f>F135</f>
        <v>109.94199999999999</v>
      </c>
      <c r="G137" s="416">
        <v>0</v>
      </c>
      <c r="H137" s="256" t="s">
        <v>1660</v>
      </c>
    </row>
    <row r="138" spans="1:12">
      <c r="B138" s="147"/>
      <c r="D138" s="12" t="s">
        <v>716</v>
      </c>
      <c r="F138" s="838">
        <f>F136+G137</f>
        <v>378.30900000000003</v>
      </c>
      <c r="G138" s="256"/>
    </row>
    <row r="140" spans="1:12">
      <c r="B140" s="319"/>
      <c r="C140" s="319" t="str">
        <f t="shared" ref="C140:L140" si="47">C103</f>
        <v>2019/20</v>
      </c>
      <c r="D140" s="319" t="str">
        <f t="shared" si="47"/>
        <v>2020/21</v>
      </c>
      <c r="E140" s="319" t="str">
        <f t="shared" si="47"/>
        <v>2021/22</v>
      </c>
      <c r="F140" s="319" t="str">
        <f t="shared" si="47"/>
        <v>2022/23</v>
      </c>
      <c r="G140" s="319" t="str">
        <f t="shared" si="47"/>
        <v>2023/24</v>
      </c>
      <c r="H140" s="319" t="str">
        <f t="shared" si="47"/>
        <v>2024/25</v>
      </c>
      <c r="I140" s="319" t="str">
        <f t="shared" si="47"/>
        <v>2025/26</v>
      </c>
      <c r="J140" s="319" t="str">
        <f t="shared" si="47"/>
        <v>2026/27</v>
      </c>
      <c r="K140" s="319" t="str">
        <f t="shared" si="47"/>
        <v>2027/28</v>
      </c>
      <c r="L140" s="319" t="str">
        <f t="shared" si="47"/>
        <v>2028/29</v>
      </c>
    </row>
    <row r="141" spans="1:12">
      <c r="B141" s="319" t="str">
        <f>B104</f>
        <v xml:space="preserve">Geography New to SF Sector </v>
      </c>
      <c r="C141" s="300">
        <f>IF(C104&gt;$F$137,$F$137,C104)</f>
        <v>109.94199999999999</v>
      </c>
      <c r="D141" s="300">
        <f t="shared" ref="D141:L141" si="48">IF(D104&gt;$F$137,$F$137,D104)</f>
        <v>109.94199999999999</v>
      </c>
      <c r="E141" s="300">
        <f t="shared" si="48"/>
        <v>109.94199999999999</v>
      </c>
      <c r="F141" s="300">
        <f t="shared" si="48"/>
        <v>109.94199999999999</v>
      </c>
      <c r="G141" s="300">
        <f t="shared" si="48"/>
        <v>109.94199999999999</v>
      </c>
      <c r="H141" s="300">
        <f t="shared" si="48"/>
        <v>109.94199999999999</v>
      </c>
      <c r="I141" s="300">
        <f t="shared" si="48"/>
        <v>109.94199999999999</v>
      </c>
      <c r="J141" s="300">
        <f t="shared" si="48"/>
        <v>109.94199999999999</v>
      </c>
      <c r="K141" s="300">
        <f t="shared" si="48"/>
        <v>109.94199999999999</v>
      </c>
      <c r="L141" s="300">
        <f t="shared" si="48"/>
        <v>109.94199999999999</v>
      </c>
    </row>
    <row r="142" spans="1:12">
      <c r="B142" s="319" t="str">
        <f>B105</f>
        <v>Geography Re-entrants</v>
      </c>
      <c r="C142" s="300">
        <f>IF(C105&gt;$F$138,$F$138,C105)</f>
        <v>378.30900000000003</v>
      </c>
      <c r="D142" s="300">
        <f t="shared" ref="D142:L142" si="49">IF(D105&gt;$F$138,$F$138,D105)</f>
        <v>378.30900000000003</v>
      </c>
      <c r="E142" s="300">
        <f t="shared" si="49"/>
        <v>378.30900000000003</v>
      </c>
      <c r="F142" s="300">
        <f t="shared" si="49"/>
        <v>378.30900000000003</v>
      </c>
      <c r="G142" s="300">
        <f t="shared" si="49"/>
        <v>378.30900000000003</v>
      </c>
      <c r="H142" s="300">
        <f t="shared" si="49"/>
        <v>378.30900000000003</v>
      </c>
      <c r="I142" s="300">
        <f t="shared" si="49"/>
        <v>378.30900000000003</v>
      </c>
      <c r="J142" s="300">
        <f t="shared" si="49"/>
        <v>378.30900000000003</v>
      </c>
      <c r="K142" s="300">
        <f t="shared" si="49"/>
        <v>378.30900000000003</v>
      </c>
      <c r="L142" s="300">
        <f t="shared" si="49"/>
        <v>378.30900000000003</v>
      </c>
    </row>
    <row r="144" spans="1:12">
      <c r="B144" s="75" t="s">
        <v>1230</v>
      </c>
      <c r="C144" s="302"/>
    </row>
    <row r="146" spans="1:12">
      <c r="B146" s="319"/>
      <c r="C146" s="319" t="str">
        <f t="shared" ref="C146:L146" si="50">C140</f>
        <v>2019/20</v>
      </c>
      <c r="D146" s="319" t="str">
        <f t="shared" si="50"/>
        <v>2020/21</v>
      </c>
      <c r="E146" s="319" t="str">
        <f t="shared" si="50"/>
        <v>2021/22</v>
      </c>
      <c r="F146" s="319" t="str">
        <f t="shared" si="50"/>
        <v>2022/23</v>
      </c>
      <c r="G146" s="319" t="str">
        <f t="shared" si="50"/>
        <v>2023/24</v>
      </c>
      <c r="H146" s="319" t="str">
        <f t="shared" si="50"/>
        <v>2024/25</v>
      </c>
      <c r="I146" s="319" t="str">
        <f t="shared" si="50"/>
        <v>2025/26</v>
      </c>
      <c r="J146" s="319" t="str">
        <f t="shared" si="50"/>
        <v>2026/27</v>
      </c>
      <c r="K146" s="319" t="str">
        <f t="shared" si="50"/>
        <v>2027/28</v>
      </c>
      <c r="L146" s="319" t="str">
        <f t="shared" si="50"/>
        <v>2028/29</v>
      </c>
    </row>
    <row r="147" spans="1:12">
      <c r="B147" s="227" t="s">
        <v>1231</v>
      </c>
      <c r="C147" s="820"/>
      <c r="D147" s="820"/>
      <c r="E147" s="820"/>
      <c r="F147" s="820"/>
      <c r="G147" s="820"/>
      <c r="H147" s="820"/>
      <c r="I147" s="820"/>
      <c r="J147" s="820"/>
      <c r="K147" s="820"/>
      <c r="L147" s="820"/>
    </row>
    <row r="148" spans="1:12">
      <c r="B148" s="319" t="str">
        <f>B104</f>
        <v xml:space="preserve">Geography New to SF Sector </v>
      </c>
      <c r="C148" s="300">
        <f t="shared" ref="C148:L148" si="51">C104</f>
        <v>172.17850466347878</v>
      </c>
      <c r="D148" s="300">
        <f t="shared" si="51"/>
        <v>165.56431172703029</v>
      </c>
      <c r="E148" s="300">
        <f t="shared" si="51"/>
        <v>166.51394652956523</v>
      </c>
      <c r="F148" s="300">
        <f t="shared" si="51"/>
        <v>166.94183609229322</v>
      </c>
      <c r="G148" s="300">
        <f t="shared" si="51"/>
        <v>174.43987765124555</v>
      </c>
      <c r="H148" s="300">
        <f t="shared" si="51"/>
        <v>169.08825002193959</v>
      </c>
      <c r="I148" s="300">
        <f t="shared" si="51"/>
        <v>162.22043102298866</v>
      </c>
      <c r="J148" s="300">
        <f t="shared" si="51"/>
        <v>157.45028643152435</v>
      </c>
      <c r="K148" s="300">
        <f t="shared" si="51"/>
        <v>159.57733326028858</v>
      </c>
      <c r="L148" s="300">
        <f t="shared" si="51"/>
        <v>161.12481656982976</v>
      </c>
    </row>
    <row r="149" spans="1:12">
      <c r="B149" s="319" t="str">
        <f>B105</f>
        <v>Geography Re-entrants</v>
      </c>
      <c r="C149" s="300">
        <f t="shared" ref="C149:L149" si="52">C105</f>
        <v>487.40157480126601</v>
      </c>
      <c r="D149" s="300">
        <f t="shared" si="52"/>
        <v>468.67816876655087</v>
      </c>
      <c r="E149" s="300">
        <f t="shared" si="52"/>
        <v>471.36638759587726</v>
      </c>
      <c r="F149" s="300">
        <f t="shared" si="52"/>
        <v>472.57765404938874</v>
      </c>
      <c r="G149" s="300">
        <f t="shared" si="52"/>
        <v>493.80305190553526</v>
      </c>
      <c r="H149" s="300">
        <f t="shared" si="52"/>
        <v>478.65370594407636</v>
      </c>
      <c r="I149" s="300">
        <f t="shared" si="52"/>
        <v>459.2123372199074</v>
      </c>
      <c r="J149" s="300">
        <f t="shared" si="52"/>
        <v>445.70904892934186</v>
      </c>
      <c r="K149" s="300">
        <f t="shared" si="52"/>
        <v>451.73027658515167</v>
      </c>
      <c r="L149" s="300">
        <f t="shared" si="52"/>
        <v>456.11088032847732</v>
      </c>
    </row>
    <row r="150" spans="1:12">
      <c r="B150" s="319" t="str">
        <f>B106</f>
        <v>Geography NQTs</v>
      </c>
      <c r="C150" s="300">
        <f t="shared" ref="C150:L150" si="53">C106</f>
        <v>697.80080539061407</v>
      </c>
      <c r="D150" s="300">
        <f t="shared" si="53"/>
        <v>670.9949670713454</v>
      </c>
      <c r="E150" s="300">
        <f t="shared" si="53"/>
        <v>674.84362362305023</v>
      </c>
      <c r="F150" s="300">
        <f t="shared" si="53"/>
        <v>676.57776391003551</v>
      </c>
      <c r="G150" s="300">
        <f t="shared" si="53"/>
        <v>706.96564216995773</v>
      </c>
      <c r="H150" s="300">
        <f t="shared" si="53"/>
        <v>685.27669744843649</v>
      </c>
      <c r="I150" s="300">
        <f t="shared" si="53"/>
        <v>657.44296966626325</v>
      </c>
      <c r="J150" s="300">
        <f t="shared" si="53"/>
        <v>638.11064508684376</v>
      </c>
      <c r="K150" s="300">
        <f t="shared" si="53"/>
        <v>646.73108811552606</v>
      </c>
      <c r="L150" s="300">
        <f t="shared" si="53"/>
        <v>653.0026903799137</v>
      </c>
    </row>
    <row r="151" spans="1:12">
      <c r="B151" s="319" t="str">
        <f>B107</f>
        <v>Total</v>
      </c>
      <c r="C151" s="300">
        <f t="shared" ref="C151:L151" si="54">C107</f>
        <v>1357.380884855359</v>
      </c>
      <c r="D151" s="300">
        <f t="shared" si="54"/>
        <v>1305.2374475649267</v>
      </c>
      <c r="E151" s="300">
        <f t="shared" si="54"/>
        <v>1312.7239577484927</v>
      </c>
      <c r="F151" s="300">
        <f t="shared" si="54"/>
        <v>1316.0972540517173</v>
      </c>
      <c r="G151" s="300">
        <f t="shared" si="54"/>
        <v>1375.2085717267387</v>
      </c>
      <c r="H151" s="300">
        <f t="shared" si="54"/>
        <v>1333.0186534144523</v>
      </c>
      <c r="I151" s="300">
        <f t="shared" si="54"/>
        <v>1278.8757379091594</v>
      </c>
      <c r="J151" s="300">
        <f t="shared" si="54"/>
        <v>1241.2699804477099</v>
      </c>
      <c r="K151" s="300">
        <f t="shared" si="54"/>
        <v>1258.0386979609664</v>
      </c>
      <c r="L151" s="300">
        <f t="shared" si="54"/>
        <v>1270.2383872782207</v>
      </c>
    </row>
    <row r="152" spans="1:12">
      <c r="B152" s="227" t="s">
        <v>1232</v>
      </c>
      <c r="C152" s="825"/>
      <c r="D152" s="825"/>
      <c r="E152" s="825"/>
      <c r="F152" s="825"/>
      <c r="G152" s="825"/>
      <c r="H152" s="825"/>
      <c r="I152" s="825"/>
      <c r="J152" s="825"/>
      <c r="K152" s="825"/>
      <c r="L152" s="825"/>
    </row>
    <row r="153" spans="1:12">
      <c r="B153" s="319" t="str">
        <f>B148</f>
        <v xml:space="preserve">Geography New to SF Sector </v>
      </c>
      <c r="C153" s="447">
        <f>IF(C141&gt;0,C141,C148)</f>
        <v>109.94199999999999</v>
      </c>
      <c r="D153" s="447">
        <f t="shared" ref="D153:L154" si="55">IF(D141&gt;0,D141,D148)</f>
        <v>109.94199999999999</v>
      </c>
      <c r="E153" s="447">
        <f t="shared" si="55"/>
        <v>109.94199999999999</v>
      </c>
      <c r="F153" s="447">
        <f t="shared" si="55"/>
        <v>109.94199999999999</v>
      </c>
      <c r="G153" s="447">
        <f t="shared" si="55"/>
        <v>109.94199999999999</v>
      </c>
      <c r="H153" s="447">
        <f t="shared" si="55"/>
        <v>109.94199999999999</v>
      </c>
      <c r="I153" s="447">
        <f t="shared" si="55"/>
        <v>109.94199999999999</v>
      </c>
      <c r="J153" s="447">
        <f t="shared" si="55"/>
        <v>109.94199999999999</v>
      </c>
      <c r="K153" s="447">
        <f t="shared" si="55"/>
        <v>109.94199999999999</v>
      </c>
      <c r="L153" s="447">
        <f t="shared" si="55"/>
        <v>109.94199999999999</v>
      </c>
    </row>
    <row r="154" spans="1:12">
      <c r="B154" s="319" t="str">
        <f>B149</f>
        <v>Geography Re-entrants</v>
      </c>
      <c r="C154" s="447">
        <f>IF(C142&gt;0,C142,C149)</f>
        <v>378.30900000000003</v>
      </c>
      <c r="D154" s="447">
        <f t="shared" si="55"/>
        <v>378.30900000000003</v>
      </c>
      <c r="E154" s="447">
        <f t="shared" si="55"/>
        <v>378.30900000000003</v>
      </c>
      <c r="F154" s="447">
        <f t="shared" si="55"/>
        <v>378.30900000000003</v>
      </c>
      <c r="G154" s="447">
        <f t="shared" si="55"/>
        <v>378.30900000000003</v>
      </c>
      <c r="H154" s="447">
        <f t="shared" si="55"/>
        <v>378.30900000000003</v>
      </c>
      <c r="I154" s="447">
        <f t="shared" si="55"/>
        <v>378.30900000000003</v>
      </c>
      <c r="J154" s="447">
        <f t="shared" si="55"/>
        <v>378.30900000000003</v>
      </c>
      <c r="K154" s="447">
        <f t="shared" si="55"/>
        <v>378.30900000000003</v>
      </c>
      <c r="L154" s="447">
        <f t="shared" si="55"/>
        <v>378.30900000000003</v>
      </c>
    </row>
    <row r="155" spans="1:12">
      <c r="B155" s="319" t="str">
        <f>B150</f>
        <v>Geography NQTs</v>
      </c>
      <c r="C155" s="447">
        <f>C150+(C148-C153)+(C149-C154)</f>
        <v>869.1298848553588</v>
      </c>
      <c r="D155" s="447">
        <f t="shared" ref="D155:L155" si="56">D150+(D148-D153)+(D149-D154)</f>
        <v>816.98644756492649</v>
      </c>
      <c r="E155" s="447">
        <f t="shared" si="56"/>
        <v>824.47295774849272</v>
      </c>
      <c r="F155" s="447">
        <f t="shared" si="56"/>
        <v>827.84625405171744</v>
      </c>
      <c r="G155" s="447">
        <f t="shared" si="56"/>
        <v>886.95757172673848</v>
      </c>
      <c r="H155" s="447">
        <f t="shared" si="56"/>
        <v>844.76765341445252</v>
      </c>
      <c r="I155" s="447">
        <f t="shared" si="56"/>
        <v>790.62473790915931</v>
      </c>
      <c r="J155" s="447">
        <f t="shared" si="56"/>
        <v>753.01898044770996</v>
      </c>
      <c r="K155" s="447">
        <f t="shared" si="56"/>
        <v>769.78769796096628</v>
      </c>
      <c r="L155" s="447">
        <f t="shared" si="56"/>
        <v>781.98738727822081</v>
      </c>
    </row>
    <row r="156" spans="1:12">
      <c r="B156" s="319" t="str">
        <f>B151</f>
        <v>Total</v>
      </c>
      <c r="C156" s="826">
        <f>SUM(C153:C155)</f>
        <v>1357.3808848553588</v>
      </c>
      <c r="D156" s="447">
        <f t="shared" ref="D156:L156" si="57">SUM(D153:D155)</f>
        <v>1305.2374475649265</v>
      </c>
      <c r="E156" s="447">
        <f t="shared" si="57"/>
        <v>1312.7239577484927</v>
      </c>
      <c r="F156" s="447">
        <f t="shared" si="57"/>
        <v>1316.0972540517175</v>
      </c>
      <c r="G156" s="447">
        <f t="shared" si="57"/>
        <v>1375.2085717267385</v>
      </c>
      <c r="H156" s="447">
        <f t="shared" si="57"/>
        <v>1333.0186534144525</v>
      </c>
      <c r="I156" s="447">
        <f t="shared" si="57"/>
        <v>1278.8757379091594</v>
      </c>
      <c r="J156" s="447">
        <f t="shared" si="57"/>
        <v>1241.2699804477099</v>
      </c>
      <c r="K156" s="447">
        <f t="shared" si="57"/>
        <v>1258.0386979609664</v>
      </c>
      <c r="L156" s="447">
        <f t="shared" si="57"/>
        <v>1270.2383872782209</v>
      </c>
    </row>
    <row r="157" spans="1:12">
      <c r="A157" s="302">
        <f>SUM(C157:L157)</f>
        <v>0</v>
      </c>
      <c r="C157" s="322">
        <f>C156-C151</f>
        <v>0</v>
      </c>
      <c r="D157" s="322">
        <f t="shared" ref="D157:L157" si="58">D156-D151</f>
        <v>0</v>
      </c>
      <c r="E157" s="322">
        <f t="shared" si="58"/>
        <v>0</v>
      </c>
      <c r="F157" s="322">
        <f t="shared" si="58"/>
        <v>0</v>
      </c>
      <c r="G157" s="322">
        <f t="shared" si="58"/>
        <v>0</v>
      </c>
      <c r="H157" s="322">
        <f t="shared" si="58"/>
        <v>0</v>
      </c>
      <c r="I157" s="322">
        <f t="shared" si="58"/>
        <v>0</v>
      </c>
      <c r="J157" s="322">
        <f t="shared" si="58"/>
        <v>0</v>
      </c>
      <c r="K157" s="322">
        <f t="shared" si="58"/>
        <v>0</v>
      </c>
      <c r="L157" s="322">
        <f t="shared" si="58"/>
        <v>0</v>
      </c>
    </row>
    <row r="159" spans="1:12">
      <c r="B159" s="8" t="s">
        <v>1235</v>
      </c>
      <c r="C159" s="631" t="b">
        <f>IF(C155=C150,FALSE, TRUE)</f>
        <v>1</v>
      </c>
      <c r="D159" s="631" t="b">
        <f t="shared" ref="D159:L159" si="59">IF(D155=D150,FALSE, TRUE)</f>
        <v>1</v>
      </c>
      <c r="E159" s="631" t="b">
        <f t="shared" si="59"/>
        <v>1</v>
      </c>
      <c r="F159" s="631" t="b">
        <f t="shared" si="59"/>
        <v>1</v>
      </c>
      <c r="G159" s="631" t="b">
        <f t="shared" si="59"/>
        <v>1</v>
      </c>
      <c r="H159" s="631" t="b">
        <f t="shared" si="59"/>
        <v>1</v>
      </c>
      <c r="I159" s="631" t="b">
        <f t="shared" si="59"/>
        <v>1</v>
      </c>
      <c r="J159" s="631" t="b">
        <f t="shared" si="59"/>
        <v>1</v>
      </c>
      <c r="K159" s="631" t="b">
        <f t="shared" si="59"/>
        <v>1</v>
      </c>
      <c r="L159" s="631" t="b">
        <f t="shared" si="59"/>
        <v>1</v>
      </c>
    </row>
  </sheetData>
  <mergeCells count="4">
    <mergeCell ref="D17:L18"/>
    <mergeCell ref="J51:J53"/>
    <mergeCell ref="A5:M5"/>
    <mergeCell ref="B46:N48"/>
  </mergeCells>
  <conditionalFormatting sqref="C159:L159">
    <cfRule type="cellIs" dxfId="5" priority="1" stopIfTrue="1" operator="equal">
      <formula>TRUE</formula>
    </cfRule>
    <cfRule type="cellIs" dxfId="4"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59"/>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6" customHeight="1">
      <c r="A5" s="1168" t="s">
        <v>782</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SUM(A12:A1820)</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OUTPUTS_FOR_SECTION_2_OF_MODEL!B76</f>
        <v>History</v>
      </c>
      <c r="C15" s="300">
        <f>OUTPUTS_FOR_SECTION_2_OF_MODEL!E76</f>
        <v>1453.6994293053085</v>
      </c>
      <c r="D15" s="300">
        <f>OUTPUTS_FOR_SECTION_2_OF_MODEL!F76</f>
        <v>1405.2986902079674</v>
      </c>
      <c r="E15" s="300">
        <f>OUTPUTS_FOR_SECTION_2_OF_MODEL!G76</f>
        <v>1415.8934456737647</v>
      </c>
      <c r="F15" s="300">
        <f>OUTPUTS_FOR_SECTION_2_OF_MODEL!H76</f>
        <v>1423.1531405668202</v>
      </c>
      <c r="G15" s="300">
        <f>OUTPUTS_FOR_SECTION_2_OF_MODEL!I76</f>
        <v>1484.3072768959455</v>
      </c>
      <c r="H15" s="300">
        <f>OUTPUTS_FOR_SECTION_2_OF_MODEL!J76</f>
        <v>1442.582639065382</v>
      </c>
      <c r="I15" s="300">
        <f>OUTPUTS_FOR_SECTION_2_OF_MODEL!K76</f>
        <v>1385.8260693521245</v>
      </c>
      <c r="J15" s="300">
        <f>OUTPUTS_FOR_SECTION_2_OF_MODEL!L76</f>
        <v>1346.3437167591787</v>
      </c>
      <c r="K15" s="300">
        <f>OUTPUTS_FOR_SECTION_2_OF_MODEL!M76</f>
        <v>1361.1555290030012</v>
      </c>
      <c r="L15" s="300">
        <f>OUTPUTS_FOR_SECTION_2_OF_MODEL!N76</f>
        <v>1370.9924203509631</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4">
      <c r="A33" s="302"/>
      <c r="B33" s="319" t="str">
        <f>B27</f>
        <v>New to state-funded sector</v>
      </c>
      <c r="C33" s="628">
        <f>'Calc_SEC_part-time_entrants'!G47</f>
        <v>0.15073275895046184</v>
      </c>
      <c r="D33" s="302"/>
      <c r="E33" s="302"/>
      <c r="F33" s="302"/>
      <c r="G33" s="302"/>
      <c r="H33" s="302"/>
      <c r="I33" s="302"/>
      <c r="J33" s="302"/>
      <c r="K33" s="302"/>
      <c r="L33" s="302"/>
    </row>
    <row r="34" spans="1:14">
      <c r="A34" s="302"/>
      <c r="B34" s="319" t="str">
        <f>B28</f>
        <v>Re-entrants</v>
      </c>
      <c r="C34" s="628">
        <f>'Calc_SEC_part-time_entrants'!G48</f>
        <v>0.29096991237775327</v>
      </c>
      <c r="D34" s="302"/>
      <c r="E34" s="302"/>
      <c r="F34" s="302"/>
      <c r="G34" s="302"/>
      <c r="H34" s="302"/>
      <c r="I34" s="302"/>
      <c r="J34" s="302"/>
      <c r="K34" s="302"/>
      <c r="L34" s="302"/>
    </row>
    <row r="35" spans="1:14">
      <c r="A35" s="302"/>
      <c r="B35" s="319" t="str">
        <f>B29</f>
        <v>NQTs</v>
      </c>
      <c r="C35" s="628">
        <f>'Calc_SEC_part-time_entrants'!G49</f>
        <v>3.7198344941724769E-2</v>
      </c>
      <c r="D35" s="302"/>
      <c r="E35" s="302"/>
      <c r="F35" s="302"/>
      <c r="G35" s="302"/>
      <c r="H35" s="302"/>
      <c r="I35" s="302"/>
      <c r="J35" s="302"/>
      <c r="K35" s="302"/>
      <c r="L35" s="302"/>
    </row>
    <row r="36" spans="1:14">
      <c r="A36" s="302"/>
      <c r="B36" s="302"/>
      <c r="C36" s="320"/>
      <c r="D36" s="302"/>
      <c r="E36" s="302"/>
      <c r="F36" s="302"/>
      <c r="G36" s="302"/>
      <c r="H36" s="302"/>
      <c r="I36" s="302"/>
      <c r="J36" s="302"/>
      <c r="K36" s="302"/>
      <c r="L36" s="302"/>
    </row>
    <row r="37" spans="1:14">
      <c r="A37" s="302"/>
      <c r="B37" s="334" t="s">
        <v>1489</v>
      </c>
      <c r="C37" s="320"/>
      <c r="D37" s="357" t="s">
        <v>761</v>
      </c>
      <c r="E37" s="302"/>
      <c r="F37" s="302"/>
      <c r="G37" s="302"/>
      <c r="H37" s="302"/>
      <c r="I37" s="302"/>
      <c r="J37" s="302"/>
      <c r="K37" s="302"/>
      <c r="L37" s="302"/>
    </row>
    <row r="38" spans="1:14">
      <c r="A38" s="302"/>
      <c r="B38" s="302"/>
      <c r="C38" s="320"/>
      <c r="D38" s="302"/>
      <c r="E38" s="302"/>
      <c r="F38" s="302"/>
      <c r="G38" s="302"/>
      <c r="H38" s="302"/>
      <c r="I38" s="302"/>
      <c r="J38" s="302"/>
      <c r="K38" s="302"/>
      <c r="L38" s="302"/>
    </row>
    <row r="39" spans="1:14">
      <c r="A39" s="302"/>
      <c r="B39" s="319" t="s">
        <v>760</v>
      </c>
      <c r="C39" s="539">
        <f>RAW_DATA_INPUTS!C425</f>
        <v>0.625</v>
      </c>
      <c r="D39" s="302"/>
      <c r="E39" s="302"/>
      <c r="F39" s="302"/>
      <c r="G39" s="302"/>
      <c r="H39" s="302"/>
      <c r="I39" s="302"/>
      <c r="J39" s="302"/>
      <c r="K39" s="302"/>
      <c r="L39" s="302"/>
    </row>
    <row r="40" spans="1:14">
      <c r="A40" s="302"/>
      <c r="B40" s="302"/>
      <c r="C40" s="302"/>
      <c r="D40" s="302"/>
      <c r="E40" s="302"/>
      <c r="F40" s="302"/>
      <c r="G40" s="302"/>
      <c r="H40" s="302"/>
      <c r="I40" s="302"/>
      <c r="J40" s="302"/>
      <c r="K40" s="302"/>
      <c r="L40" s="302"/>
    </row>
    <row r="41" spans="1:14">
      <c r="A41" s="302"/>
      <c r="B41" s="357" t="s">
        <v>769</v>
      </c>
      <c r="C41" s="302"/>
      <c r="D41" s="646">
        <f>C20</f>
        <v>0.93100000000000005</v>
      </c>
      <c r="E41" s="357" t="s">
        <v>758</v>
      </c>
      <c r="F41" s="302"/>
      <c r="G41" s="302"/>
      <c r="H41" s="302"/>
      <c r="I41" s="302"/>
      <c r="J41" s="302"/>
      <c r="K41" s="302"/>
      <c r="L41" s="302"/>
    </row>
    <row r="42" spans="1:14">
      <c r="A42" s="302"/>
      <c r="B42" s="357"/>
      <c r="C42" s="302"/>
      <c r="D42" s="646"/>
      <c r="E42" s="357"/>
      <c r="F42" s="302"/>
      <c r="G42" s="302"/>
      <c r="H42" s="302"/>
      <c r="I42" s="302"/>
      <c r="J42" s="302"/>
      <c r="K42" s="302"/>
      <c r="L42" s="302"/>
    </row>
    <row r="43" spans="1:14">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4">
      <c r="A44" s="302"/>
      <c r="B44" s="319" t="s">
        <v>857</v>
      </c>
      <c r="C44" s="447">
        <f t="shared" ref="C44:L44" si="4">C15*$C$20</f>
        <v>1353.3941686832422</v>
      </c>
      <c r="D44" s="447">
        <f t="shared" si="4"/>
        <v>1308.3330805836176</v>
      </c>
      <c r="E44" s="447">
        <f t="shared" si="4"/>
        <v>1318.196797922275</v>
      </c>
      <c r="F44" s="447">
        <f t="shared" si="4"/>
        <v>1324.9555738677097</v>
      </c>
      <c r="G44" s="447">
        <f t="shared" si="4"/>
        <v>1381.8900747901253</v>
      </c>
      <c r="H44" s="447">
        <f t="shared" si="4"/>
        <v>1343.0444369698707</v>
      </c>
      <c r="I44" s="447">
        <f t="shared" si="4"/>
        <v>1290.204070566828</v>
      </c>
      <c r="J44" s="447">
        <f t="shared" si="4"/>
        <v>1253.4460003027955</v>
      </c>
      <c r="K44" s="447">
        <f t="shared" si="4"/>
        <v>1267.2357975017942</v>
      </c>
      <c r="L44" s="447">
        <f t="shared" si="4"/>
        <v>1276.3939433467467</v>
      </c>
    </row>
    <row r="45" spans="1:14">
      <c r="A45" s="302"/>
      <c r="B45" s="302"/>
      <c r="C45" s="302"/>
      <c r="D45" s="302"/>
      <c r="E45" s="302"/>
      <c r="F45" s="302"/>
      <c r="G45" s="302"/>
      <c r="H45" s="302"/>
      <c r="I45" s="302"/>
      <c r="J45" s="302"/>
      <c r="K45" s="302"/>
      <c r="L45" s="302"/>
    </row>
    <row r="46" spans="1:14" ht="12.75" customHeight="1">
      <c r="A46" s="302"/>
      <c r="B46" s="1337" t="s">
        <v>1753</v>
      </c>
      <c r="C46" s="1337"/>
      <c r="D46" s="1337"/>
      <c r="E46" s="1337"/>
      <c r="F46" s="1337"/>
      <c r="G46" s="1337"/>
      <c r="H46" s="1337"/>
      <c r="I46" s="1337"/>
      <c r="J46" s="1337"/>
      <c r="K46" s="1337"/>
      <c r="L46" s="1337"/>
      <c r="M46" s="1337"/>
      <c r="N46" s="1337"/>
    </row>
    <row r="47" spans="1:14">
      <c r="A47" s="302"/>
      <c r="B47" s="1337"/>
      <c r="C47" s="1337"/>
      <c r="D47" s="1337"/>
      <c r="E47" s="1337"/>
      <c r="F47" s="1337"/>
      <c r="G47" s="1337"/>
      <c r="H47" s="1337"/>
      <c r="I47" s="1337"/>
      <c r="J47" s="1337"/>
      <c r="K47" s="1337"/>
      <c r="L47" s="1337"/>
      <c r="M47" s="1337"/>
      <c r="N47" s="1337"/>
    </row>
    <row r="48" spans="1:14">
      <c r="A48" s="302"/>
      <c r="B48" s="1337"/>
      <c r="C48" s="1337"/>
      <c r="D48" s="1337"/>
      <c r="E48" s="1337"/>
      <c r="F48" s="1337"/>
      <c r="G48" s="1337"/>
      <c r="H48" s="1337"/>
      <c r="I48" s="1337"/>
      <c r="J48" s="1337"/>
      <c r="K48" s="1337"/>
      <c r="L48" s="1337"/>
      <c r="M48" s="1337"/>
      <c r="N48" s="1337"/>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14.299252576724454</v>
      </c>
      <c r="D58" s="447">
        <f t="shared" ref="D58:L58" si="7">D44/$J$51</f>
        <v>13.823160766202275</v>
      </c>
      <c r="E58" s="447">
        <f t="shared" si="7"/>
        <v>13.927375627500298</v>
      </c>
      <c r="F58" s="447">
        <f t="shared" si="7"/>
        <v>13.998785307392218</v>
      </c>
      <c r="G58" s="447">
        <f t="shared" si="7"/>
        <v>14.600325367086324</v>
      </c>
      <c r="H58" s="447">
        <f t="shared" si="7"/>
        <v>14.189902742584987</v>
      </c>
      <c r="I58" s="447">
        <f t="shared" si="7"/>
        <v>13.631619159777108</v>
      </c>
      <c r="J58" s="447">
        <f t="shared" si="7"/>
        <v>13.24325267859907</v>
      </c>
      <c r="K58" s="447">
        <f t="shared" si="7"/>
        <v>13.388948439444661</v>
      </c>
      <c r="L58" s="447">
        <f t="shared" si="7"/>
        <v>13.485708602597178</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14.299252576724454</v>
      </c>
      <c r="D99" s="447">
        <f t="shared" ref="D99:L99" si="33">D58</f>
        <v>13.823160766202275</v>
      </c>
      <c r="E99" s="447">
        <f t="shared" si="33"/>
        <v>13.927375627500298</v>
      </c>
      <c r="F99" s="447">
        <f t="shared" si="33"/>
        <v>13.998785307392218</v>
      </c>
      <c r="G99" s="447">
        <f t="shared" si="33"/>
        <v>14.600325367086324</v>
      </c>
      <c r="H99" s="447">
        <f t="shared" si="33"/>
        <v>14.189902742584987</v>
      </c>
      <c r="I99" s="447">
        <f t="shared" si="33"/>
        <v>13.631619159777108</v>
      </c>
      <c r="J99" s="447">
        <f t="shared" si="33"/>
        <v>13.24325267859907</v>
      </c>
      <c r="K99" s="447">
        <f t="shared" si="33"/>
        <v>13.388948439444661</v>
      </c>
      <c r="L99" s="447">
        <f t="shared" si="33"/>
        <v>13.485708602597178</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922</v>
      </c>
      <c r="C104" s="447">
        <f t="shared" ref="C104:L104" si="35">C66*C$99</f>
        <v>181.38047720689414</v>
      </c>
      <c r="D104" s="447">
        <f t="shared" si="35"/>
        <v>175.34143710158338</v>
      </c>
      <c r="E104" s="447">
        <f t="shared" si="35"/>
        <v>176.66336222828926</v>
      </c>
      <c r="F104" s="447">
        <f t="shared" si="35"/>
        <v>177.56916634262956</v>
      </c>
      <c r="G104" s="447">
        <f t="shared" si="35"/>
        <v>185.19946887074769</v>
      </c>
      <c r="H104" s="447">
        <f t="shared" si="35"/>
        <v>179.99341693977249</v>
      </c>
      <c r="I104" s="447">
        <f t="shared" si="35"/>
        <v>172.91180605674663</v>
      </c>
      <c r="J104" s="447">
        <f t="shared" si="35"/>
        <v>167.98552775588658</v>
      </c>
      <c r="K104" s="447">
        <f t="shared" si="35"/>
        <v>169.83362201727547</v>
      </c>
      <c r="L104" s="447">
        <f t="shared" si="35"/>
        <v>171.06098718710177</v>
      </c>
    </row>
    <row r="105" spans="1:12">
      <c r="A105" s="302"/>
      <c r="B105" s="319" t="s">
        <v>923</v>
      </c>
      <c r="C105" s="447">
        <f t="shared" ref="C105:L105" si="36">C77*C$99</f>
        <v>513.4504472647867</v>
      </c>
      <c r="D105" s="447">
        <f t="shared" si="36"/>
        <v>496.35517940095326</v>
      </c>
      <c r="E105" s="447">
        <f t="shared" si="36"/>
        <v>500.09727479076452</v>
      </c>
      <c r="F105" s="447">
        <f t="shared" si="36"/>
        <v>502.66141804809979</v>
      </c>
      <c r="G105" s="447">
        <f t="shared" si="36"/>
        <v>524.26121922934283</v>
      </c>
      <c r="H105" s="447">
        <f t="shared" si="36"/>
        <v>509.52396782497101</v>
      </c>
      <c r="I105" s="447">
        <f t="shared" si="36"/>
        <v>489.47739869450555</v>
      </c>
      <c r="J105" s="447">
        <f t="shared" si="36"/>
        <v>475.53212831106617</v>
      </c>
      <c r="K105" s="447">
        <f t="shared" si="36"/>
        <v>480.76369920397565</v>
      </c>
      <c r="L105" s="447">
        <f t="shared" si="36"/>
        <v>484.23811500168961</v>
      </c>
    </row>
    <row r="106" spans="1:12">
      <c r="A106" s="302"/>
      <c r="B106" s="319" t="s">
        <v>924</v>
      </c>
      <c r="C106" s="447">
        <f t="shared" ref="C106:L106" si="37">C88*C$99</f>
        <v>735.09433320076448</v>
      </c>
      <c r="D106" s="447">
        <f t="shared" si="37"/>
        <v>710.61946011769078</v>
      </c>
      <c r="E106" s="447">
        <f t="shared" si="37"/>
        <v>715.97692573097595</v>
      </c>
      <c r="F106" s="447">
        <f t="shared" si="37"/>
        <v>719.64794634849238</v>
      </c>
      <c r="G106" s="447">
        <f t="shared" si="37"/>
        <v>750.57184860854181</v>
      </c>
      <c r="H106" s="447">
        <f t="shared" si="37"/>
        <v>729.47288949375513</v>
      </c>
      <c r="I106" s="447">
        <f t="shared" si="37"/>
        <v>700.77271122645857</v>
      </c>
      <c r="J106" s="447">
        <f t="shared" si="37"/>
        <v>680.80761179295416</v>
      </c>
      <c r="K106" s="447">
        <f t="shared" si="37"/>
        <v>688.29752272321491</v>
      </c>
      <c r="L106" s="447">
        <f t="shared" si="37"/>
        <v>693.27175807092635</v>
      </c>
    </row>
    <row r="107" spans="1:12">
      <c r="A107" s="302"/>
      <c r="B107" s="319" t="s">
        <v>8</v>
      </c>
      <c r="C107" s="447">
        <f>SUM(C104:C106)</f>
        <v>1429.9252576724452</v>
      </c>
      <c r="D107" s="447">
        <f t="shared" ref="D107:L107" si="38">SUM(D104:D106)</f>
        <v>1382.3160766202275</v>
      </c>
      <c r="E107" s="447">
        <f t="shared" si="38"/>
        <v>1392.7375627500296</v>
      </c>
      <c r="F107" s="447">
        <f t="shared" si="38"/>
        <v>1399.8785307392218</v>
      </c>
      <c r="G107" s="447">
        <f t="shared" si="38"/>
        <v>1460.0325367086323</v>
      </c>
      <c r="H107" s="447">
        <f t="shared" si="38"/>
        <v>1418.9902742584986</v>
      </c>
      <c r="I107" s="447">
        <f t="shared" si="38"/>
        <v>1363.1619159777108</v>
      </c>
      <c r="J107" s="447">
        <f t="shared" si="38"/>
        <v>1324.3252678599069</v>
      </c>
      <c r="K107" s="447">
        <f t="shared" si="38"/>
        <v>1338.8948439444662</v>
      </c>
      <c r="L107" s="447">
        <f t="shared" si="38"/>
        <v>1348.5708602597178</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1429.9252576724452</v>
      </c>
      <c r="D112" s="676">
        <f t="shared" ref="D112:L112" si="39">D107</f>
        <v>1382.3160766202275</v>
      </c>
      <c r="E112" s="676">
        <f t="shared" si="39"/>
        <v>1392.7375627500296</v>
      </c>
      <c r="F112" s="676">
        <f t="shared" si="39"/>
        <v>1399.8785307392218</v>
      </c>
      <c r="G112" s="676">
        <f t="shared" si="39"/>
        <v>1460.0325367086323</v>
      </c>
      <c r="H112" s="676">
        <f t="shared" si="39"/>
        <v>1418.9902742584986</v>
      </c>
      <c r="I112" s="676">
        <f t="shared" si="39"/>
        <v>1363.1619159777108</v>
      </c>
      <c r="J112" s="676">
        <f t="shared" si="39"/>
        <v>1324.3252678599069</v>
      </c>
      <c r="K112" s="676">
        <f t="shared" si="39"/>
        <v>1338.8948439444662</v>
      </c>
      <c r="L112" s="676">
        <f t="shared" si="39"/>
        <v>1348.5708602597178</v>
      </c>
    </row>
    <row r="113" spans="1:12">
      <c r="A113" s="302"/>
      <c r="B113" s="676" t="s">
        <v>1754</v>
      </c>
      <c r="C113" s="676">
        <f t="shared" ref="C113:L113" si="40">((C68+C79+C90)/100)*C112</f>
        <v>204.08290397120888</v>
      </c>
      <c r="D113" s="676">
        <f t="shared" si="40"/>
        <v>197.28798943095998</v>
      </c>
      <c r="E113" s="676">
        <f t="shared" si="40"/>
        <v>198.77537287401324</v>
      </c>
      <c r="F113" s="676">
        <f t="shared" si="40"/>
        <v>199.79455165736587</v>
      </c>
      <c r="G113" s="676">
        <f t="shared" si="40"/>
        <v>208.37989844935245</v>
      </c>
      <c r="H113" s="676">
        <f t="shared" si="40"/>
        <v>202.52223276967504</v>
      </c>
      <c r="I113" s="676">
        <f t="shared" si="40"/>
        <v>194.55425442902094</v>
      </c>
      <c r="J113" s="676">
        <f t="shared" si="40"/>
        <v>189.01138015229773</v>
      </c>
      <c r="K113" s="676">
        <f t="shared" si="40"/>
        <v>191.09079051379192</v>
      </c>
      <c r="L113" s="676">
        <f t="shared" si="40"/>
        <v>192.47177843458974</v>
      </c>
    </row>
    <row r="114" spans="1:12">
      <c r="A114" s="302"/>
      <c r="B114" s="676" t="s">
        <v>1755</v>
      </c>
      <c r="C114" s="676">
        <f t="shared" ref="C114:L114" si="41">((C67+C78+C89)/100)*C112</f>
        <v>1225.8423537012363</v>
      </c>
      <c r="D114" s="676">
        <f t="shared" si="41"/>
        <v>1185.0280871892676</v>
      </c>
      <c r="E114" s="676">
        <f t="shared" si="41"/>
        <v>1193.9621898760165</v>
      </c>
      <c r="F114" s="676">
        <f t="shared" si="41"/>
        <v>1200.0839790818559</v>
      </c>
      <c r="G114" s="676">
        <f t="shared" si="41"/>
        <v>1251.6526382592799</v>
      </c>
      <c r="H114" s="676">
        <f t="shared" si="41"/>
        <v>1216.4680414888237</v>
      </c>
      <c r="I114" s="676">
        <f t="shared" si="41"/>
        <v>1168.60766154869</v>
      </c>
      <c r="J114" s="676">
        <f t="shared" si="41"/>
        <v>1135.3138877076092</v>
      </c>
      <c r="K114" s="676">
        <f t="shared" si="41"/>
        <v>1147.8040534306742</v>
      </c>
      <c r="L114" s="676">
        <f t="shared" si="41"/>
        <v>1156.0990818251282</v>
      </c>
    </row>
    <row r="115" spans="1:12">
      <c r="A115" s="302"/>
      <c r="B115" s="676" t="s">
        <v>855</v>
      </c>
      <c r="C115" s="676">
        <f>C113*$C$39</f>
        <v>127.55181498200555</v>
      </c>
      <c r="D115" s="676">
        <f t="shared" ref="D115:L115" si="42">D113*$C$39</f>
        <v>123.30499339434999</v>
      </c>
      <c r="E115" s="676">
        <f t="shared" si="42"/>
        <v>124.23460804625827</v>
      </c>
      <c r="F115" s="676">
        <f t="shared" si="42"/>
        <v>124.87159478585367</v>
      </c>
      <c r="G115" s="676">
        <f t="shared" si="42"/>
        <v>130.23743653084529</v>
      </c>
      <c r="H115" s="676">
        <f t="shared" si="42"/>
        <v>126.5763954810469</v>
      </c>
      <c r="I115" s="676">
        <f t="shared" si="42"/>
        <v>121.59640901813809</v>
      </c>
      <c r="J115" s="676">
        <f t="shared" si="42"/>
        <v>118.13211259518609</v>
      </c>
      <c r="K115" s="676">
        <f t="shared" si="42"/>
        <v>119.43174407111995</v>
      </c>
      <c r="L115" s="676">
        <f t="shared" si="42"/>
        <v>120.29486152161859</v>
      </c>
    </row>
    <row r="116" spans="1:12">
      <c r="A116" s="302"/>
      <c r="B116" s="676" t="s">
        <v>856</v>
      </c>
      <c r="C116" s="676">
        <f>C114</f>
        <v>1225.8423537012363</v>
      </c>
      <c r="D116" s="676">
        <f t="shared" ref="D116:L116" si="43">D114</f>
        <v>1185.0280871892676</v>
      </c>
      <c r="E116" s="676">
        <f t="shared" si="43"/>
        <v>1193.9621898760165</v>
      </c>
      <c r="F116" s="676">
        <f t="shared" si="43"/>
        <v>1200.0839790818559</v>
      </c>
      <c r="G116" s="676">
        <f t="shared" si="43"/>
        <v>1251.6526382592799</v>
      </c>
      <c r="H116" s="676">
        <f t="shared" si="43"/>
        <v>1216.4680414888237</v>
      </c>
      <c r="I116" s="676">
        <f t="shared" si="43"/>
        <v>1168.60766154869</v>
      </c>
      <c r="J116" s="676">
        <f t="shared" si="43"/>
        <v>1135.3138877076092</v>
      </c>
      <c r="K116" s="676">
        <f t="shared" si="43"/>
        <v>1147.8040534306742</v>
      </c>
      <c r="L116" s="676">
        <f t="shared" si="43"/>
        <v>1156.0990818251282</v>
      </c>
    </row>
    <row r="117" spans="1:12">
      <c r="A117" s="302"/>
      <c r="B117" s="676" t="s">
        <v>746</v>
      </c>
      <c r="C117" s="676">
        <f>C116+C115</f>
        <v>1353.3941686832418</v>
      </c>
      <c r="D117" s="676">
        <f t="shared" ref="D117:L117" si="44">D116+D115</f>
        <v>1308.3330805836176</v>
      </c>
      <c r="E117" s="676">
        <f t="shared" si="44"/>
        <v>1318.1967979222748</v>
      </c>
      <c r="F117" s="676">
        <f t="shared" si="44"/>
        <v>1324.9555738677095</v>
      </c>
      <c r="G117" s="676">
        <f t="shared" si="44"/>
        <v>1381.8900747901253</v>
      </c>
      <c r="H117" s="676">
        <f t="shared" si="44"/>
        <v>1343.0444369698705</v>
      </c>
      <c r="I117" s="676">
        <f t="shared" si="44"/>
        <v>1290.204070566828</v>
      </c>
      <c r="J117" s="676">
        <f t="shared" si="44"/>
        <v>1253.4460003027953</v>
      </c>
      <c r="K117" s="676">
        <f t="shared" si="44"/>
        <v>1267.2357975017942</v>
      </c>
      <c r="L117" s="676">
        <f t="shared" si="44"/>
        <v>1276.3939433467467</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1108" t="s">
        <v>1705</v>
      </c>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992" t="s">
        <v>1521</v>
      </c>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18" t="s">
        <v>1315</v>
      </c>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18" t="s">
        <v>1228</v>
      </c>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18" t="s">
        <v>1229</v>
      </c>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1027" t="s">
        <v>1659</v>
      </c>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34" t="s">
        <v>1234</v>
      </c>
      <c r="C133" s="302"/>
      <c r="E133" s="302"/>
      <c r="F133" s="681"/>
      <c r="G133" s="302"/>
      <c r="H133" s="302"/>
      <c r="I133" s="302"/>
      <c r="J133" s="302"/>
      <c r="K133" s="302"/>
      <c r="L133" s="302"/>
    </row>
    <row r="135" spans="1:12">
      <c r="B135" s="1028" t="s">
        <v>1645</v>
      </c>
      <c r="D135" s="12" t="s">
        <v>1240</v>
      </c>
      <c r="F135" s="837">
        <v>115.697</v>
      </c>
    </row>
    <row r="136" spans="1:12">
      <c r="B136" s="147"/>
      <c r="D136" s="12" t="s">
        <v>716</v>
      </c>
      <c r="F136" s="837">
        <v>360.80799999999999</v>
      </c>
    </row>
    <row r="137" spans="1:12">
      <c r="B137" s="147" t="s">
        <v>1241</v>
      </c>
      <c r="D137" s="12" t="s">
        <v>1240</v>
      </c>
      <c r="F137" s="838">
        <f>F135</f>
        <v>115.697</v>
      </c>
      <c r="G137" s="416">
        <v>0</v>
      </c>
      <c r="H137" s="256" t="s">
        <v>1660</v>
      </c>
    </row>
    <row r="138" spans="1:12">
      <c r="B138" s="147"/>
      <c r="D138" s="12" t="s">
        <v>716</v>
      </c>
      <c r="F138" s="838">
        <f>F136+G137</f>
        <v>360.80799999999999</v>
      </c>
      <c r="G138" s="256"/>
    </row>
    <row r="140" spans="1:12">
      <c r="B140" s="319"/>
      <c r="C140" s="319" t="str">
        <f t="shared" ref="C140:L140" si="47">C103</f>
        <v>2019/20</v>
      </c>
      <c r="D140" s="319" t="str">
        <f t="shared" si="47"/>
        <v>2020/21</v>
      </c>
      <c r="E140" s="319" t="str">
        <f t="shared" si="47"/>
        <v>2021/22</v>
      </c>
      <c r="F140" s="319" t="str">
        <f t="shared" si="47"/>
        <v>2022/23</v>
      </c>
      <c r="G140" s="319" t="str">
        <f t="shared" si="47"/>
        <v>2023/24</v>
      </c>
      <c r="H140" s="319" t="str">
        <f t="shared" si="47"/>
        <v>2024/25</v>
      </c>
      <c r="I140" s="319" t="str">
        <f t="shared" si="47"/>
        <v>2025/26</v>
      </c>
      <c r="J140" s="319" t="str">
        <f t="shared" si="47"/>
        <v>2026/27</v>
      </c>
      <c r="K140" s="319" t="str">
        <f t="shared" si="47"/>
        <v>2027/28</v>
      </c>
      <c r="L140" s="319" t="str">
        <f t="shared" si="47"/>
        <v>2028/29</v>
      </c>
    </row>
    <row r="141" spans="1:12">
      <c r="B141" s="319" t="str">
        <f>B104</f>
        <v xml:space="preserve">History New to SF Sector </v>
      </c>
      <c r="C141" s="300">
        <f>IF(C104&gt;$F$137,$F$137,C104)</f>
        <v>115.697</v>
      </c>
      <c r="D141" s="300">
        <f t="shared" ref="D141:L141" si="48">IF(D104&gt;$F$137,$F$137,D104)</f>
        <v>115.697</v>
      </c>
      <c r="E141" s="300">
        <f t="shared" si="48"/>
        <v>115.697</v>
      </c>
      <c r="F141" s="300">
        <f t="shared" si="48"/>
        <v>115.697</v>
      </c>
      <c r="G141" s="300">
        <f t="shared" si="48"/>
        <v>115.697</v>
      </c>
      <c r="H141" s="300">
        <f t="shared" si="48"/>
        <v>115.697</v>
      </c>
      <c r="I141" s="300">
        <f t="shared" si="48"/>
        <v>115.697</v>
      </c>
      <c r="J141" s="300">
        <f t="shared" si="48"/>
        <v>115.697</v>
      </c>
      <c r="K141" s="300">
        <f t="shared" si="48"/>
        <v>115.697</v>
      </c>
      <c r="L141" s="300">
        <f t="shared" si="48"/>
        <v>115.697</v>
      </c>
    </row>
    <row r="142" spans="1:12">
      <c r="B142" s="319" t="str">
        <f>B105</f>
        <v>History Re-entrants</v>
      </c>
      <c r="C142" s="300">
        <f>IF(C105&gt;$F$138,$F$138,C105)</f>
        <v>360.80799999999999</v>
      </c>
      <c r="D142" s="300">
        <f t="shared" ref="D142:L142" si="49">IF(D105&gt;$F$138,$F$138,D105)</f>
        <v>360.80799999999999</v>
      </c>
      <c r="E142" s="300">
        <f t="shared" si="49"/>
        <v>360.80799999999999</v>
      </c>
      <c r="F142" s="300">
        <f t="shared" si="49"/>
        <v>360.80799999999999</v>
      </c>
      <c r="G142" s="300">
        <f t="shared" si="49"/>
        <v>360.80799999999999</v>
      </c>
      <c r="H142" s="300">
        <f t="shared" si="49"/>
        <v>360.80799999999999</v>
      </c>
      <c r="I142" s="300">
        <f t="shared" si="49"/>
        <v>360.80799999999999</v>
      </c>
      <c r="J142" s="300">
        <f t="shared" si="49"/>
        <v>360.80799999999999</v>
      </c>
      <c r="K142" s="300">
        <f t="shared" si="49"/>
        <v>360.80799999999999</v>
      </c>
      <c r="L142" s="300">
        <f t="shared" si="49"/>
        <v>360.80799999999999</v>
      </c>
    </row>
    <row r="144" spans="1:12">
      <c r="B144" s="75" t="s">
        <v>1230</v>
      </c>
      <c r="C144" s="302"/>
    </row>
    <row r="146" spans="1:12">
      <c r="B146" s="319"/>
      <c r="C146" s="319" t="str">
        <f t="shared" ref="C146:L146" si="50">C140</f>
        <v>2019/20</v>
      </c>
      <c r="D146" s="319" t="str">
        <f t="shared" si="50"/>
        <v>2020/21</v>
      </c>
      <c r="E146" s="319" t="str">
        <f t="shared" si="50"/>
        <v>2021/22</v>
      </c>
      <c r="F146" s="319" t="str">
        <f t="shared" si="50"/>
        <v>2022/23</v>
      </c>
      <c r="G146" s="319" t="str">
        <f t="shared" si="50"/>
        <v>2023/24</v>
      </c>
      <c r="H146" s="319" t="str">
        <f t="shared" si="50"/>
        <v>2024/25</v>
      </c>
      <c r="I146" s="319" t="str">
        <f t="shared" si="50"/>
        <v>2025/26</v>
      </c>
      <c r="J146" s="319" t="str">
        <f t="shared" si="50"/>
        <v>2026/27</v>
      </c>
      <c r="K146" s="319" t="str">
        <f t="shared" si="50"/>
        <v>2027/28</v>
      </c>
      <c r="L146" s="319" t="str">
        <f t="shared" si="50"/>
        <v>2028/29</v>
      </c>
    </row>
    <row r="147" spans="1:12">
      <c r="B147" s="227" t="s">
        <v>1231</v>
      </c>
      <c r="C147" s="820"/>
      <c r="D147" s="820"/>
      <c r="E147" s="820"/>
      <c r="F147" s="820"/>
      <c r="G147" s="820"/>
      <c r="H147" s="820"/>
      <c r="I147" s="820"/>
      <c r="J147" s="820"/>
      <c r="K147" s="820"/>
      <c r="L147" s="820"/>
    </row>
    <row r="148" spans="1:12">
      <c r="B148" s="319" t="str">
        <f>B104</f>
        <v xml:space="preserve">History New to SF Sector </v>
      </c>
      <c r="C148" s="300">
        <f t="shared" ref="C148:L148" si="51">C104</f>
        <v>181.38047720689414</v>
      </c>
      <c r="D148" s="300">
        <f t="shared" si="51"/>
        <v>175.34143710158338</v>
      </c>
      <c r="E148" s="300">
        <f t="shared" si="51"/>
        <v>176.66336222828926</v>
      </c>
      <c r="F148" s="300">
        <f t="shared" si="51"/>
        <v>177.56916634262956</v>
      </c>
      <c r="G148" s="300">
        <f t="shared" si="51"/>
        <v>185.19946887074769</v>
      </c>
      <c r="H148" s="300">
        <f t="shared" si="51"/>
        <v>179.99341693977249</v>
      </c>
      <c r="I148" s="300">
        <f t="shared" si="51"/>
        <v>172.91180605674663</v>
      </c>
      <c r="J148" s="300">
        <f t="shared" si="51"/>
        <v>167.98552775588658</v>
      </c>
      <c r="K148" s="300">
        <f t="shared" si="51"/>
        <v>169.83362201727547</v>
      </c>
      <c r="L148" s="300">
        <f t="shared" si="51"/>
        <v>171.06098718710177</v>
      </c>
    </row>
    <row r="149" spans="1:12">
      <c r="B149" s="319" t="str">
        <f>B105</f>
        <v>History Re-entrants</v>
      </c>
      <c r="C149" s="300">
        <f t="shared" ref="C149:L149" si="52">C105</f>
        <v>513.4504472647867</v>
      </c>
      <c r="D149" s="300">
        <f t="shared" si="52"/>
        <v>496.35517940095326</v>
      </c>
      <c r="E149" s="300">
        <f t="shared" si="52"/>
        <v>500.09727479076452</v>
      </c>
      <c r="F149" s="300">
        <f t="shared" si="52"/>
        <v>502.66141804809979</v>
      </c>
      <c r="G149" s="300">
        <f t="shared" si="52"/>
        <v>524.26121922934283</v>
      </c>
      <c r="H149" s="300">
        <f t="shared" si="52"/>
        <v>509.52396782497101</v>
      </c>
      <c r="I149" s="300">
        <f t="shared" si="52"/>
        <v>489.47739869450555</v>
      </c>
      <c r="J149" s="300">
        <f t="shared" si="52"/>
        <v>475.53212831106617</v>
      </c>
      <c r="K149" s="300">
        <f t="shared" si="52"/>
        <v>480.76369920397565</v>
      </c>
      <c r="L149" s="300">
        <f t="shared" si="52"/>
        <v>484.23811500168961</v>
      </c>
    </row>
    <row r="150" spans="1:12">
      <c r="B150" s="319" t="str">
        <f>B106</f>
        <v>History NQTs</v>
      </c>
      <c r="C150" s="300">
        <f t="shared" ref="C150:L150" si="53">C106</f>
        <v>735.09433320076448</v>
      </c>
      <c r="D150" s="300">
        <f t="shared" si="53"/>
        <v>710.61946011769078</v>
      </c>
      <c r="E150" s="300">
        <f t="shared" si="53"/>
        <v>715.97692573097595</v>
      </c>
      <c r="F150" s="300">
        <f t="shared" si="53"/>
        <v>719.64794634849238</v>
      </c>
      <c r="G150" s="300">
        <f t="shared" si="53"/>
        <v>750.57184860854181</v>
      </c>
      <c r="H150" s="300">
        <f t="shared" si="53"/>
        <v>729.47288949375513</v>
      </c>
      <c r="I150" s="300">
        <f t="shared" si="53"/>
        <v>700.77271122645857</v>
      </c>
      <c r="J150" s="300">
        <f t="shared" si="53"/>
        <v>680.80761179295416</v>
      </c>
      <c r="K150" s="300">
        <f t="shared" si="53"/>
        <v>688.29752272321491</v>
      </c>
      <c r="L150" s="300">
        <f t="shared" si="53"/>
        <v>693.27175807092635</v>
      </c>
    </row>
    <row r="151" spans="1:12">
      <c r="B151" s="319" t="str">
        <f>B107</f>
        <v>Total</v>
      </c>
      <c r="C151" s="300">
        <f t="shared" ref="C151:L151" si="54">C107</f>
        <v>1429.9252576724452</v>
      </c>
      <c r="D151" s="300">
        <f t="shared" si="54"/>
        <v>1382.3160766202275</v>
      </c>
      <c r="E151" s="300">
        <f t="shared" si="54"/>
        <v>1392.7375627500296</v>
      </c>
      <c r="F151" s="300">
        <f t="shared" si="54"/>
        <v>1399.8785307392218</v>
      </c>
      <c r="G151" s="300">
        <f t="shared" si="54"/>
        <v>1460.0325367086323</v>
      </c>
      <c r="H151" s="300">
        <f t="shared" si="54"/>
        <v>1418.9902742584986</v>
      </c>
      <c r="I151" s="300">
        <f t="shared" si="54"/>
        <v>1363.1619159777108</v>
      </c>
      <c r="J151" s="300">
        <f t="shared" si="54"/>
        <v>1324.3252678599069</v>
      </c>
      <c r="K151" s="300">
        <f t="shared" si="54"/>
        <v>1338.8948439444662</v>
      </c>
      <c r="L151" s="300">
        <f t="shared" si="54"/>
        <v>1348.5708602597178</v>
      </c>
    </row>
    <row r="152" spans="1:12">
      <c r="B152" s="227" t="s">
        <v>1232</v>
      </c>
      <c r="C152" s="825"/>
      <c r="D152" s="825"/>
      <c r="E152" s="825"/>
      <c r="F152" s="825"/>
      <c r="G152" s="825"/>
      <c r="H152" s="825"/>
      <c r="I152" s="825"/>
      <c r="J152" s="825"/>
      <c r="K152" s="825"/>
      <c r="L152" s="825"/>
    </row>
    <row r="153" spans="1:12">
      <c r="B153" s="319" t="str">
        <f>B148</f>
        <v xml:space="preserve">History New to SF Sector </v>
      </c>
      <c r="C153" s="447">
        <f>IF(C141&gt;0,C141,C148)</f>
        <v>115.697</v>
      </c>
      <c r="D153" s="447">
        <f t="shared" ref="D153:L154" si="55">IF(D141&gt;0,D141,D148)</f>
        <v>115.697</v>
      </c>
      <c r="E153" s="447">
        <f t="shared" si="55"/>
        <v>115.697</v>
      </c>
      <c r="F153" s="447">
        <f t="shared" si="55"/>
        <v>115.697</v>
      </c>
      <c r="G153" s="447">
        <f t="shared" si="55"/>
        <v>115.697</v>
      </c>
      <c r="H153" s="447">
        <f t="shared" si="55"/>
        <v>115.697</v>
      </c>
      <c r="I153" s="447">
        <f t="shared" si="55"/>
        <v>115.697</v>
      </c>
      <c r="J153" s="447">
        <f t="shared" si="55"/>
        <v>115.697</v>
      </c>
      <c r="K153" s="447">
        <f t="shared" si="55"/>
        <v>115.697</v>
      </c>
      <c r="L153" s="447">
        <f t="shared" si="55"/>
        <v>115.697</v>
      </c>
    </row>
    <row r="154" spans="1:12">
      <c r="B154" s="319" t="str">
        <f>B149</f>
        <v>History Re-entrants</v>
      </c>
      <c r="C154" s="447">
        <f>IF(C142&gt;0,C142,C149)</f>
        <v>360.80799999999999</v>
      </c>
      <c r="D154" s="447">
        <f t="shared" si="55"/>
        <v>360.80799999999999</v>
      </c>
      <c r="E154" s="447">
        <f t="shared" si="55"/>
        <v>360.80799999999999</v>
      </c>
      <c r="F154" s="447">
        <f t="shared" si="55"/>
        <v>360.80799999999999</v>
      </c>
      <c r="G154" s="447">
        <f t="shared" si="55"/>
        <v>360.80799999999999</v>
      </c>
      <c r="H154" s="447">
        <f t="shared" si="55"/>
        <v>360.80799999999999</v>
      </c>
      <c r="I154" s="447">
        <f t="shared" si="55"/>
        <v>360.80799999999999</v>
      </c>
      <c r="J154" s="447">
        <f t="shared" si="55"/>
        <v>360.80799999999999</v>
      </c>
      <c r="K154" s="447">
        <f t="shared" si="55"/>
        <v>360.80799999999999</v>
      </c>
      <c r="L154" s="447">
        <f t="shared" si="55"/>
        <v>360.80799999999999</v>
      </c>
    </row>
    <row r="155" spans="1:12">
      <c r="B155" s="319" t="str">
        <f>B150</f>
        <v>History NQTs</v>
      </c>
      <c r="C155" s="447">
        <f>C150+(C148-C153)+(C149-C154)</f>
        <v>953.42025767244536</v>
      </c>
      <c r="D155" s="447">
        <f t="shared" ref="D155:L155" si="56">D150+(D148-D153)+(D149-D154)</f>
        <v>905.81107662022748</v>
      </c>
      <c r="E155" s="447">
        <f t="shared" si="56"/>
        <v>916.23256275002973</v>
      </c>
      <c r="F155" s="447">
        <f t="shared" si="56"/>
        <v>923.37353073922179</v>
      </c>
      <c r="G155" s="447">
        <f t="shared" si="56"/>
        <v>983.52753670863228</v>
      </c>
      <c r="H155" s="447">
        <f t="shared" si="56"/>
        <v>942.48527425849863</v>
      </c>
      <c r="I155" s="447">
        <f t="shared" si="56"/>
        <v>886.6569159777107</v>
      </c>
      <c r="J155" s="447">
        <f t="shared" si="56"/>
        <v>847.82026785990683</v>
      </c>
      <c r="K155" s="447">
        <f t="shared" si="56"/>
        <v>862.38984394446607</v>
      </c>
      <c r="L155" s="447">
        <f t="shared" si="56"/>
        <v>872.06586025971774</v>
      </c>
    </row>
    <row r="156" spans="1:12">
      <c r="B156" s="319" t="str">
        <f>B151</f>
        <v>Total</v>
      </c>
      <c r="C156" s="826">
        <f>SUM(C153:C155)</f>
        <v>1429.9252576724452</v>
      </c>
      <c r="D156" s="447">
        <f t="shared" ref="D156:L156" si="57">SUM(D153:D155)</f>
        <v>1382.3160766202275</v>
      </c>
      <c r="E156" s="447">
        <f t="shared" si="57"/>
        <v>1392.7375627500296</v>
      </c>
      <c r="F156" s="447">
        <f t="shared" si="57"/>
        <v>1399.8785307392218</v>
      </c>
      <c r="G156" s="447">
        <f t="shared" si="57"/>
        <v>1460.0325367086323</v>
      </c>
      <c r="H156" s="447">
        <f t="shared" si="57"/>
        <v>1418.9902742584986</v>
      </c>
      <c r="I156" s="447">
        <f t="shared" si="57"/>
        <v>1363.1619159777106</v>
      </c>
      <c r="J156" s="447">
        <f t="shared" si="57"/>
        <v>1324.3252678599069</v>
      </c>
      <c r="K156" s="447">
        <f t="shared" si="57"/>
        <v>1338.8948439444662</v>
      </c>
      <c r="L156" s="447">
        <f t="shared" si="57"/>
        <v>1348.5708602597178</v>
      </c>
    </row>
    <row r="157" spans="1:12">
      <c r="A157" s="302">
        <f>SUM(C157:L157)</f>
        <v>0</v>
      </c>
      <c r="C157" s="322">
        <f>C156-C151</f>
        <v>0</v>
      </c>
      <c r="D157" s="322">
        <f t="shared" ref="D157:L157" si="58">D156-D151</f>
        <v>0</v>
      </c>
      <c r="E157" s="322">
        <f t="shared" si="58"/>
        <v>0</v>
      </c>
      <c r="F157" s="322">
        <f t="shared" si="58"/>
        <v>0</v>
      </c>
      <c r="G157" s="322">
        <f t="shared" si="58"/>
        <v>0</v>
      </c>
      <c r="H157" s="322">
        <f t="shared" si="58"/>
        <v>0</v>
      </c>
      <c r="I157" s="322">
        <f t="shared" si="58"/>
        <v>0</v>
      </c>
      <c r="J157" s="322">
        <f t="shared" si="58"/>
        <v>0</v>
      </c>
      <c r="K157" s="322">
        <f t="shared" si="58"/>
        <v>0</v>
      </c>
      <c r="L157" s="322">
        <f t="shared" si="58"/>
        <v>0</v>
      </c>
    </row>
    <row r="159" spans="1:12">
      <c r="B159" s="8" t="s">
        <v>1235</v>
      </c>
      <c r="C159" s="631" t="b">
        <f>IF(C155=C150,FALSE, TRUE)</f>
        <v>1</v>
      </c>
      <c r="D159" s="631" t="b">
        <f t="shared" ref="D159:L159" si="59">IF(D155=D150,FALSE, TRUE)</f>
        <v>1</v>
      </c>
      <c r="E159" s="631" t="b">
        <f t="shared" si="59"/>
        <v>1</v>
      </c>
      <c r="F159" s="631" t="b">
        <f t="shared" si="59"/>
        <v>1</v>
      </c>
      <c r="G159" s="631" t="b">
        <f t="shared" si="59"/>
        <v>1</v>
      </c>
      <c r="H159" s="631" t="b">
        <f t="shared" si="59"/>
        <v>1</v>
      </c>
      <c r="I159" s="631" t="b">
        <f t="shared" si="59"/>
        <v>1</v>
      </c>
      <c r="J159" s="631" t="b">
        <f t="shared" si="59"/>
        <v>1</v>
      </c>
      <c r="K159" s="631" t="b">
        <f t="shared" si="59"/>
        <v>1</v>
      </c>
      <c r="L159" s="631" t="b">
        <f t="shared" si="59"/>
        <v>1</v>
      </c>
    </row>
  </sheetData>
  <mergeCells count="4">
    <mergeCell ref="D17:L18"/>
    <mergeCell ref="J51:J53"/>
    <mergeCell ref="A5:M5"/>
    <mergeCell ref="B46:N48"/>
  </mergeCells>
  <conditionalFormatting sqref="C159:L159">
    <cfRule type="cellIs" dxfId="3" priority="1" stopIfTrue="1" operator="equal">
      <formula>TRUE</formula>
    </cfRule>
    <cfRule type="cellIs" dxfId="2"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40.7109375" customWidth="1"/>
    <col min="3" max="12" width="11.7109375" customWidth="1"/>
  </cols>
  <sheetData>
    <row r="1" spans="1:13" s="65" customFormat="1" ht="15">
      <c r="A1" s="64" t="str">
        <f>ModelBanner</f>
        <v>TSM_201819 Publication</v>
      </c>
    </row>
    <row r="2" spans="1:13" s="65" customFormat="1" ht="15">
      <c r="A2" s="940" t="s">
        <v>13</v>
      </c>
      <c r="B2" s="940" t="s">
        <v>30</v>
      </c>
    </row>
    <row r="3" spans="1:13" s="65" customFormat="1" ht="15">
      <c r="A3" s="61"/>
      <c r="B3" s="285"/>
      <c r="C3" s="285"/>
      <c r="D3" s="285"/>
      <c r="E3" s="285"/>
      <c r="F3" s="285"/>
      <c r="G3" s="285"/>
      <c r="H3" s="285"/>
      <c r="I3" s="285"/>
    </row>
    <row r="4" spans="1:13" s="569" customFormat="1">
      <c r="A4" s="570" t="s">
        <v>26</v>
      </c>
      <c r="B4" s="570"/>
      <c r="C4" s="570"/>
      <c r="D4" s="570"/>
      <c r="E4" s="285"/>
      <c r="F4" s="570"/>
      <c r="G4" s="570"/>
      <c r="H4" s="570"/>
      <c r="I4" s="570"/>
    </row>
    <row r="5" spans="1:13" s="568" customFormat="1" ht="26.45" customHeight="1">
      <c r="A5" s="1168" t="s">
        <v>783</v>
      </c>
      <c r="B5" s="1168"/>
      <c r="C5" s="1168"/>
      <c r="D5" s="1168"/>
      <c r="E5" s="1168"/>
      <c r="F5" s="1168"/>
      <c r="G5" s="1168"/>
      <c r="H5" s="1168"/>
      <c r="I5" s="1168"/>
      <c r="J5" s="1168"/>
      <c r="K5" s="1168"/>
      <c r="L5" s="1168"/>
      <c r="M5" s="5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SUM(A12:A1760)</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OUTPUTS_FOR_SECTION_2_OF_MODEL!B77</f>
        <v>Mathematics</v>
      </c>
      <c r="C15" s="300">
        <f>OUTPUTS_FOR_SECTION_2_OF_MODEL!E77</f>
        <v>4609.484908446454</v>
      </c>
      <c r="D15" s="300">
        <f>OUTPUTS_FOR_SECTION_2_OF_MODEL!F77</f>
        <v>4399.4795726291122</v>
      </c>
      <c r="E15" s="300">
        <f>OUTPUTS_FOR_SECTION_2_OF_MODEL!G77</f>
        <v>4425.5192398265463</v>
      </c>
      <c r="F15" s="300">
        <f>OUTPUTS_FOR_SECTION_2_OF_MODEL!H77</f>
        <v>4455.2936988494585</v>
      </c>
      <c r="G15" s="300">
        <f>OUTPUTS_FOR_SECTION_2_OF_MODEL!I77</f>
        <v>4538.062375607009</v>
      </c>
      <c r="H15" s="300">
        <f>OUTPUTS_FOR_SECTION_2_OF_MODEL!J77</f>
        <v>4413.2069015657735</v>
      </c>
      <c r="I15" s="300">
        <f>OUTPUTS_FOR_SECTION_2_OF_MODEL!K77</f>
        <v>4302.4376709494409</v>
      </c>
      <c r="J15" s="300">
        <f>OUTPUTS_FOR_SECTION_2_OF_MODEL!L77</f>
        <v>4198.5860278726541</v>
      </c>
      <c r="K15" s="300">
        <f>OUTPUTS_FOR_SECTION_2_OF_MODEL!M77</f>
        <v>4130.9793028036638</v>
      </c>
      <c r="L15" s="300">
        <f>OUTPUTS_FOR_SECTION_2_OF_MODEL!N77</f>
        <v>4062.9399983251878</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4291.4304497636485</v>
      </c>
      <c r="D44" s="447">
        <f t="shared" si="4"/>
        <v>4095.9154821177035</v>
      </c>
      <c r="E44" s="447">
        <f t="shared" si="4"/>
        <v>4120.1584122785143</v>
      </c>
      <c r="F44" s="447">
        <f t="shared" si="4"/>
        <v>4147.8784336288463</v>
      </c>
      <c r="G44" s="447">
        <f t="shared" si="4"/>
        <v>4224.9360716901256</v>
      </c>
      <c r="H44" s="447">
        <f t="shared" si="4"/>
        <v>4108.6956253577355</v>
      </c>
      <c r="I44" s="447">
        <f t="shared" si="4"/>
        <v>4005.5694716539297</v>
      </c>
      <c r="J44" s="447">
        <f t="shared" si="4"/>
        <v>3908.8835919494413</v>
      </c>
      <c r="K44" s="447">
        <f t="shared" si="4"/>
        <v>3845.9417309102114</v>
      </c>
      <c r="L44" s="447">
        <f t="shared" si="4"/>
        <v>3782.5971384407499</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45.341002153363611</v>
      </c>
      <c r="D58" s="447">
        <f t="shared" ref="D58:L58" si="7">D44/$J$51</f>
        <v>43.275293604006166</v>
      </c>
      <c r="E58" s="447">
        <f t="shared" si="7"/>
        <v>43.53143168232122</v>
      </c>
      <c r="F58" s="447">
        <f t="shared" si="7"/>
        <v>43.824306881500064</v>
      </c>
      <c r="G58" s="447">
        <f t="shared" si="7"/>
        <v>44.638457448349406</v>
      </c>
      <c r="H58" s="447">
        <f t="shared" si="7"/>
        <v>43.410321890949163</v>
      </c>
      <c r="I58" s="447">
        <f t="shared" si="7"/>
        <v>42.320745067582514</v>
      </c>
      <c r="J58" s="447">
        <f t="shared" si="7"/>
        <v>41.299212799682778</v>
      </c>
      <c r="K58" s="447">
        <f t="shared" si="7"/>
        <v>40.63420212542762</v>
      </c>
      <c r="L58" s="447">
        <f t="shared" si="7"/>
        <v>39.964936402218711</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45.341002153363611</v>
      </c>
      <c r="D99" s="447">
        <f t="shared" ref="D99:L99" si="33">D58</f>
        <v>43.275293604006166</v>
      </c>
      <c r="E99" s="447">
        <f t="shared" si="33"/>
        <v>43.53143168232122</v>
      </c>
      <c r="F99" s="447">
        <f t="shared" si="33"/>
        <v>43.824306881500064</v>
      </c>
      <c r="G99" s="447">
        <f t="shared" si="33"/>
        <v>44.638457448349406</v>
      </c>
      <c r="H99" s="447">
        <f t="shared" si="33"/>
        <v>43.410321890949163</v>
      </c>
      <c r="I99" s="447">
        <f t="shared" si="33"/>
        <v>42.320745067582514</v>
      </c>
      <c r="J99" s="447">
        <f t="shared" si="33"/>
        <v>41.299212799682778</v>
      </c>
      <c r="K99" s="447">
        <f t="shared" si="33"/>
        <v>40.63420212542762</v>
      </c>
      <c r="L99" s="447">
        <f t="shared" si="33"/>
        <v>39.964936402218711</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925</v>
      </c>
      <c r="C104" s="447">
        <f t="shared" ref="C104:L104" si="35">C66*C$99</f>
        <v>575.13304024032993</v>
      </c>
      <c r="D104" s="447">
        <f t="shared" si="35"/>
        <v>548.93032786481058</v>
      </c>
      <c r="E104" s="447">
        <f t="shared" si="35"/>
        <v>552.17934012096612</v>
      </c>
      <c r="F104" s="447">
        <f t="shared" si="35"/>
        <v>555.8943485176701</v>
      </c>
      <c r="G104" s="447">
        <f t="shared" si="35"/>
        <v>566.22153293105464</v>
      </c>
      <c r="H104" s="447">
        <f t="shared" si="35"/>
        <v>550.64310935396452</v>
      </c>
      <c r="I104" s="447">
        <f t="shared" si="35"/>
        <v>536.8222496191346</v>
      </c>
      <c r="J104" s="447">
        <f t="shared" si="35"/>
        <v>523.86450869948021</v>
      </c>
      <c r="K104" s="447">
        <f t="shared" si="35"/>
        <v>515.42910602392942</v>
      </c>
      <c r="L104" s="447">
        <f t="shared" si="35"/>
        <v>506.93972970146035</v>
      </c>
    </row>
    <row r="105" spans="1:12">
      <c r="A105" s="302"/>
      <c r="B105" s="319" t="s">
        <v>926</v>
      </c>
      <c r="C105" s="447">
        <f t="shared" ref="C105:L105" si="36">C77*C$99</f>
        <v>1628.0821469628911</v>
      </c>
      <c r="D105" s="447">
        <f t="shared" si="36"/>
        <v>1553.9077121177634</v>
      </c>
      <c r="E105" s="447">
        <f t="shared" si="36"/>
        <v>1563.1049907983622</v>
      </c>
      <c r="F105" s="447">
        <f t="shared" si="36"/>
        <v>1573.621407737239</v>
      </c>
      <c r="G105" s="447">
        <f t="shared" si="36"/>
        <v>1602.8555212300039</v>
      </c>
      <c r="H105" s="447">
        <f t="shared" si="36"/>
        <v>1558.7562406651318</v>
      </c>
      <c r="I105" s="447">
        <f t="shared" si="36"/>
        <v>1519.6322581852653</v>
      </c>
      <c r="J105" s="447">
        <f t="shared" si="36"/>
        <v>1482.9515857491203</v>
      </c>
      <c r="K105" s="447">
        <f t="shared" si="36"/>
        <v>1459.0727133185458</v>
      </c>
      <c r="L105" s="447">
        <f t="shared" si="36"/>
        <v>1435.0410527071406</v>
      </c>
    </row>
    <row r="106" spans="1:12">
      <c r="A106" s="302"/>
      <c r="B106" s="319" t="s">
        <v>927</v>
      </c>
      <c r="C106" s="447">
        <f t="shared" ref="C106:L106" si="37">C88*C$99</f>
        <v>2330.8850281331397</v>
      </c>
      <c r="D106" s="447">
        <f t="shared" si="37"/>
        <v>2224.6913204180423</v>
      </c>
      <c r="E106" s="447">
        <f t="shared" si="37"/>
        <v>2237.8588373127932</v>
      </c>
      <c r="F106" s="447">
        <f t="shared" si="37"/>
        <v>2252.9149318950972</v>
      </c>
      <c r="G106" s="447">
        <f t="shared" si="37"/>
        <v>2294.7686906738818</v>
      </c>
      <c r="H106" s="447">
        <f t="shared" si="37"/>
        <v>2231.6328390758199</v>
      </c>
      <c r="I106" s="447">
        <f t="shared" si="37"/>
        <v>2175.6199989538513</v>
      </c>
      <c r="J106" s="447">
        <f t="shared" si="37"/>
        <v>2123.105185519677</v>
      </c>
      <c r="K106" s="447">
        <f t="shared" si="37"/>
        <v>2088.9183932002866</v>
      </c>
      <c r="L106" s="447">
        <f t="shared" si="37"/>
        <v>2054.5128578132699</v>
      </c>
    </row>
    <row r="107" spans="1:12">
      <c r="A107" s="302"/>
      <c r="B107" s="319" t="s">
        <v>8</v>
      </c>
      <c r="C107" s="447">
        <f>SUM(C104:C106)</f>
        <v>4534.1002153363606</v>
      </c>
      <c r="D107" s="447">
        <f t="shared" ref="D107:L107" si="38">SUM(D104:D106)</f>
        <v>4327.5293604006165</v>
      </c>
      <c r="E107" s="447">
        <f t="shared" si="38"/>
        <v>4353.1431682321218</v>
      </c>
      <c r="F107" s="447">
        <f t="shared" si="38"/>
        <v>4382.430688150007</v>
      </c>
      <c r="G107" s="447">
        <f t="shared" si="38"/>
        <v>4463.84574483494</v>
      </c>
      <c r="H107" s="447">
        <f t="shared" si="38"/>
        <v>4341.0321890949162</v>
      </c>
      <c r="I107" s="447">
        <f t="shared" si="38"/>
        <v>4232.0745067582511</v>
      </c>
      <c r="J107" s="447">
        <f t="shared" si="38"/>
        <v>4129.9212799682773</v>
      </c>
      <c r="K107" s="447">
        <f t="shared" si="38"/>
        <v>4063.4202125427619</v>
      </c>
      <c r="L107" s="447">
        <f t="shared" si="38"/>
        <v>3996.4936402218709</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4534.1002153363606</v>
      </c>
      <c r="D112" s="676">
        <f t="shared" ref="D112:L112" si="39">D107</f>
        <v>4327.5293604006165</v>
      </c>
      <c r="E112" s="676">
        <f t="shared" si="39"/>
        <v>4353.1431682321218</v>
      </c>
      <c r="F112" s="676">
        <f t="shared" si="39"/>
        <v>4382.430688150007</v>
      </c>
      <c r="G112" s="676">
        <f t="shared" si="39"/>
        <v>4463.84574483494</v>
      </c>
      <c r="H112" s="676">
        <f t="shared" si="39"/>
        <v>4341.0321890949162</v>
      </c>
      <c r="I112" s="676">
        <f t="shared" si="39"/>
        <v>4232.0745067582511</v>
      </c>
      <c r="J112" s="676">
        <f t="shared" si="39"/>
        <v>4129.9212799682773</v>
      </c>
      <c r="K112" s="676">
        <f t="shared" si="39"/>
        <v>4063.4202125427619</v>
      </c>
      <c r="L112" s="676">
        <f t="shared" si="39"/>
        <v>3996.4936402218709</v>
      </c>
    </row>
    <row r="113" spans="1:12">
      <c r="A113" s="302"/>
      <c r="B113" s="676" t="s">
        <v>1754</v>
      </c>
      <c r="C113" s="676">
        <f t="shared" ref="C113:L113" si="40">((C68+C79+C90)/100)*C112</f>
        <v>647.11937486056695</v>
      </c>
      <c r="D113" s="676">
        <f t="shared" si="40"/>
        <v>617.63700875443658</v>
      </c>
      <c r="E113" s="676">
        <f t="shared" si="40"/>
        <v>621.29268254295528</v>
      </c>
      <c r="F113" s="676">
        <f t="shared" si="40"/>
        <v>625.47267872309533</v>
      </c>
      <c r="G113" s="676">
        <f t="shared" si="40"/>
        <v>637.0924617195069</v>
      </c>
      <c r="H113" s="676">
        <f t="shared" si="40"/>
        <v>619.56416996581618</v>
      </c>
      <c r="I113" s="676">
        <f t="shared" si="40"/>
        <v>604.01342694485982</v>
      </c>
      <c r="J113" s="676">
        <f t="shared" si="40"/>
        <v>589.4338347168981</v>
      </c>
      <c r="K113" s="676">
        <f t="shared" si="40"/>
        <v>579.94261768680258</v>
      </c>
      <c r="L113" s="676">
        <f t="shared" si="40"/>
        <v>570.39067141632461</v>
      </c>
    </row>
    <row r="114" spans="1:12">
      <c r="A114" s="302"/>
      <c r="B114" s="676" t="s">
        <v>1755</v>
      </c>
      <c r="C114" s="676">
        <f t="shared" ref="C114:L114" si="41">((C67+C78+C89)/100)*C112</f>
        <v>3886.9808404757937</v>
      </c>
      <c r="D114" s="676">
        <f t="shared" si="41"/>
        <v>3709.89235164618</v>
      </c>
      <c r="E114" s="676">
        <f t="shared" si="41"/>
        <v>3731.8504856891668</v>
      </c>
      <c r="F114" s="676">
        <f t="shared" si="41"/>
        <v>3756.9580094269118</v>
      </c>
      <c r="G114" s="676">
        <f t="shared" si="41"/>
        <v>3826.7532831154331</v>
      </c>
      <c r="H114" s="676">
        <f t="shared" si="41"/>
        <v>3721.4680191291</v>
      </c>
      <c r="I114" s="676">
        <f t="shared" si="41"/>
        <v>3628.0610798133916</v>
      </c>
      <c r="J114" s="676">
        <f t="shared" si="41"/>
        <v>3540.4874452513795</v>
      </c>
      <c r="K114" s="676">
        <f t="shared" si="41"/>
        <v>3483.4775948559595</v>
      </c>
      <c r="L114" s="676">
        <f t="shared" si="41"/>
        <v>3426.1029688055464</v>
      </c>
    </row>
    <row r="115" spans="1:12">
      <c r="A115" s="302"/>
      <c r="B115" s="676" t="s">
        <v>855</v>
      </c>
      <c r="C115" s="676">
        <f>C113*$C$39</f>
        <v>404.44960928785434</v>
      </c>
      <c r="D115" s="676">
        <f t="shared" ref="D115:L115" si="42">D113*$C$39</f>
        <v>386.02313047152285</v>
      </c>
      <c r="E115" s="676">
        <f t="shared" si="42"/>
        <v>388.30792658934706</v>
      </c>
      <c r="F115" s="676">
        <f t="shared" si="42"/>
        <v>390.92042420193457</v>
      </c>
      <c r="G115" s="676">
        <f t="shared" si="42"/>
        <v>398.18278857469181</v>
      </c>
      <c r="H115" s="676">
        <f t="shared" si="42"/>
        <v>387.22760622863512</v>
      </c>
      <c r="I115" s="676">
        <f t="shared" si="42"/>
        <v>377.5083918405374</v>
      </c>
      <c r="J115" s="676">
        <f t="shared" si="42"/>
        <v>368.39614669806133</v>
      </c>
      <c r="K115" s="676">
        <f t="shared" si="42"/>
        <v>362.46413605425164</v>
      </c>
      <c r="L115" s="676">
        <f t="shared" si="42"/>
        <v>356.49416963520287</v>
      </c>
    </row>
    <row r="116" spans="1:12">
      <c r="A116" s="302"/>
      <c r="B116" s="676" t="s">
        <v>856</v>
      </c>
      <c r="C116" s="676">
        <f>C114</f>
        <v>3886.9808404757937</v>
      </c>
      <c r="D116" s="676">
        <f t="shared" ref="D116:L116" si="43">D114</f>
        <v>3709.89235164618</v>
      </c>
      <c r="E116" s="676">
        <f t="shared" si="43"/>
        <v>3731.8504856891668</v>
      </c>
      <c r="F116" s="676">
        <f t="shared" si="43"/>
        <v>3756.9580094269118</v>
      </c>
      <c r="G116" s="676">
        <f t="shared" si="43"/>
        <v>3826.7532831154331</v>
      </c>
      <c r="H116" s="676">
        <f t="shared" si="43"/>
        <v>3721.4680191291</v>
      </c>
      <c r="I116" s="676">
        <f t="shared" si="43"/>
        <v>3628.0610798133916</v>
      </c>
      <c r="J116" s="676">
        <f t="shared" si="43"/>
        <v>3540.4874452513795</v>
      </c>
      <c r="K116" s="676">
        <f t="shared" si="43"/>
        <v>3483.4775948559595</v>
      </c>
      <c r="L116" s="676">
        <f t="shared" si="43"/>
        <v>3426.1029688055464</v>
      </c>
    </row>
    <row r="117" spans="1:12">
      <c r="A117" s="302"/>
      <c r="B117" s="676" t="s">
        <v>746</v>
      </c>
      <c r="C117" s="676">
        <f>C116+C115</f>
        <v>4291.4304497636476</v>
      </c>
      <c r="D117" s="676">
        <f t="shared" ref="D117:L117" si="44">D116+D115</f>
        <v>4095.915482117703</v>
      </c>
      <c r="E117" s="676">
        <f t="shared" si="44"/>
        <v>4120.1584122785134</v>
      </c>
      <c r="F117" s="676">
        <f t="shared" si="44"/>
        <v>4147.8784336288463</v>
      </c>
      <c r="G117" s="676">
        <f t="shared" si="44"/>
        <v>4224.9360716901247</v>
      </c>
      <c r="H117" s="676">
        <f t="shared" si="44"/>
        <v>4108.6956253577355</v>
      </c>
      <c r="I117" s="676">
        <f t="shared" si="44"/>
        <v>4005.5694716539292</v>
      </c>
      <c r="J117" s="676">
        <f t="shared" si="44"/>
        <v>3908.8835919494409</v>
      </c>
      <c r="K117" s="676">
        <f t="shared" si="44"/>
        <v>3845.9417309102109</v>
      </c>
      <c r="L117" s="676">
        <f t="shared" si="44"/>
        <v>3782.5971384407494</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74"/>
  <sheetViews>
    <sheetView showGridLines="0" workbookViewId="0"/>
  </sheetViews>
  <sheetFormatPr defaultRowHeight="12.75"/>
  <cols>
    <col min="2" max="2" width="4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6" customHeight="1">
      <c r="A5" s="1168" t="s">
        <v>784</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SUM(A12:A1881)</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OUTPUTS_FOR_SECTION_2_OF_MODEL!B78</f>
        <v>Modern Foreign Languages</v>
      </c>
      <c r="C15" s="300">
        <f>OUTPUTS_FOR_SECTION_2_OF_MODEL!E78</f>
        <v>2436.9639073138974</v>
      </c>
      <c r="D15" s="300">
        <f>OUTPUTS_FOR_SECTION_2_OF_MODEL!F78</f>
        <v>2581.3764716736596</v>
      </c>
      <c r="E15" s="300">
        <f>OUTPUTS_FOR_SECTION_2_OF_MODEL!G78</f>
        <v>2797.6578381647087</v>
      </c>
      <c r="F15" s="300">
        <f>OUTPUTS_FOR_SECTION_2_OF_MODEL!H78</f>
        <v>3020.0844173738324</v>
      </c>
      <c r="G15" s="300">
        <f>OUTPUTS_FOR_SECTION_2_OF_MODEL!I78</f>
        <v>3053.4215476249406</v>
      </c>
      <c r="H15" s="300">
        <f>OUTPUTS_FOR_SECTION_2_OF_MODEL!J78</f>
        <v>2423.6617342895406</v>
      </c>
      <c r="I15" s="300">
        <f>OUTPUTS_FOR_SECTION_2_OF_MODEL!K78</f>
        <v>2282.7896593347796</v>
      </c>
      <c r="J15" s="300">
        <f>OUTPUTS_FOR_SECTION_2_OF_MODEL!L78</f>
        <v>2177.201978623752</v>
      </c>
      <c r="K15" s="300">
        <f>OUTPUTS_FOR_SECTION_2_OF_MODEL!M78</f>
        <v>2190.5975001801526</v>
      </c>
      <c r="L15" s="300">
        <f>OUTPUTS_FOR_SECTION_2_OF_MODEL!N78</f>
        <v>2258.7731976159389</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
        <v>1606</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 and entrants via other, new initiatives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2268.8133977092384</v>
      </c>
      <c r="D44" s="447">
        <f t="shared" si="4"/>
        <v>2403.2614951281771</v>
      </c>
      <c r="E44" s="447">
        <f t="shared" si="4"/>
        <v>2604.619447331344</v>
      </c>
      <c r="F44" s="447">
        <f t="shared" si="4"/>
        <v>2811.6985925750382</v>
      </c>
      <c r="G44" s="447">
        <f t="shared" si="4"/>
        <v>2842.73546083882</v>
      </c>
      <c r="H44" s="447">
        <f t="shared" si="4"/>
        <v>2256.4290746235624</v>
      </c>
      <c r="I44" s="447">
        <f t="shared" si="4"/>
        <v>2125.2771728406797</v>
      </c>
      <c r="J44" s="447">
        <f t="shared" si="4"/>
        <v>2026.9750420987132</v>
      </c>
      <c r="K44" s="447">
        <f t="shared" si="4"/>
        <v>2039.446272667722</v>
      </c>
      <c r="L44" s="447">
        <f t="shared" si="4"/>
        <v>2102.9178469804392</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 and entrants via other, new initiatives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23.971091773555454</v>
      </c>
      <c r="D58" s="447">
        <f t="shared" ref="D58:L58" si="7">D44/$J$51</f>
        <v>25.391599817656108</v>
      </c>
      <c r="E58" s="447">
        <f t="shared" si="7"/>
        <v>27.51904227566996</v>
      </c>
      <c r="F58" s="447">
        <f t="shared" si="7"/>
        <v>29.706931857086374</v>
      </c>
      <c r="G58" s="447">
        <f t="shared" si="7"/>
        <v>30.034851120198116</v>
      </c>
      <c r="H58" s="447">
        <f t="shared" si="7"/>
        <v>23.840245514652086</v>
      </c>
      <c r="I58" s="447">
        <f t="shared" si="7"/>
        <v>22.454563343924388</v>
      </c>
      <c r="J58" s="447">
        <f t="shared" si="7"/>
        <v>21.415954615709484</v>
      </c>
      <c r="K58" s="447">
        <f t="shared" si="7"/>
        <v>21.547719093476022</v>
      </c>
      <c r="L58" s="447">
        <f t="shared" si="7"/>
        <v>22.218326440205548</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1606</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23.971091773555454</v>
      </c>
      <c r="D99" s="447">
        <f t="shared" ref="D99:L99" si="33">D58</f>
        <v>25.391599817656108</v>
      </c>
      <c r="E99" s="447">
        <f t="shared" si="33"/>
        <v>27.51904227566996</v>
      </c>
      <c r="F99" s="447">
        <f t="shared" si="33"/>
        <v>29.706931857086374</v>
      </c>
      <c r="G99" s="447">
        <f t="shared" si="33"/>
        <v>30.034851120198116</v>
      </c>
      <c r="H99" s="447">
        <f t="shared" si="33"/>
        <v>23.840245514652086</v>
      </c>
      <c r="I99" s="447">
        <f t="shared" si="33"/>
        <v>22.454563343924388</v>
      </c>
      <c r="J99" s="447">
        <f t="shared" si="33"/>
        <v>21.415954615709484</v>
      </c>
      <c r="K99" s="447">
        <f t="shared" si="33"/>
        <v>21.547719093476022</v>
      </c>
      <c r="L99" s="447">
        <f t="shared" si="33"/>
        <v>22.218326440205548</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928</v>
      </c>
      <c r="C104" s="447">
        <f t="shared" ref="C104:L104" si="35">C66*C$99</f>
        <v>304.06400906121473</v>
      </c>
      <c r="D104" s="447">
        <f t="shared" si="35"/>
        <v>322.08260307742233</v>
      </c>
      <c r="E104" s="447">
        <f t="shared" si="35"/>
        <v>349.06838615904081</v>
      </c>
      <c r="F104" s="447">
        <f t="shared" si="35"/>
        <v>376.8209175745119</v>
      </c>
      <c r="G104" s="447">
        <f t="shared" si="35"/>
        <v>380.9804463407466</v>
      </c>
      <c r="H104" s="447">
        <f t="shared" si="35"/>
        <v>302.40427497698289</v>
      </c>
      <c r="I104" s="447">
        <f t="shared" si="35"/>
        <v>284.82743366761366</v>
      </c>
      <c r="J104" s="447">
        <f t="shared" si="35"/>
        <v>271.65308446690756</v>
      </c>
      <c r="K104" s="447">
        <f t="shared" si="35"/>
        <v>273.32446580155954</v>
      </c>
      <c r="L104" s="447">
        <f t="shared" si="35"/>
        <v>281.8308600984364</v>
      </c>
    </row>
    <row r="105" spans="1:12">
      <c r="A105" s="302"/>
      <c r="B105" s="319" t="s">
        <v>929</v>
      </c>
      <c r="C105" s="447">
        <f t="shared" ref="C105:L105" si="36">C77*C$99</f>
        <v>860.7420371461609</v>
      </c>
      <c r="D105" s="447">
        <f t="shared" si="36"/>
        <v>911.748933253019</v>
      </c>
      <c r="E105" s="447">
        <f t="shared" si="36"/>
        <v>988.14007857591196</v>
      </c>
      <c r="F105" s="447">
        <f t="shared" si="36"/>
        <v>1066.701729131885</v>
      </c>
      <c r="G105" s="447">
        <f t="shared" si="36"/>
        <v>1078.4764908831062</v>
      </c>
      <c r="H105" s="447">
        <f t="shared" si="36"/>
        <v>856.04367478096879</v>
      </c>
      <c r="I105" s="447">
        <f t="shared" si="36"/>
        <v>806.28728880838412</v>
      </c>
      <c r="J105" s="447">
        <f t="shared" si="36"/>
        <v>768.99344333123747</v>
      </c>
      <c r="K105" s="447">
        <f t="shared" si="36"/>
        <v>773.72477664252983</v>
      </c>
      <c r="L105" s="447">
        <f t="shared" si="36"/>
        <v>797.80461160381992</v>
      </c>
    </row>
    <row r="106" spans="1:12" ht="25.5">
      <c r="A106" s="302"/>
      <c r="B106" s="315" t="s">
        <v>1607</v>
      </c>
      <c r="C106" s="1014">
        <f t="shared" ref="C106:L106" si="37">C88*C$99</f>
        <v>1232.3031311481698</v>
      </c>
      <c r="D106" s="1014">
        <f t="shared" si="37"/>
        <v>1305.3284454351692</v>
      </c>
      <c r="E106" s="1014">
        <f t="shared" si="37"/>
        <v>1414.6957628320431</v>
      </c>
      <c r="F106" s="1014">
        <f t="shared" si="37"/>
        <v>1527.1705390022403</v>
      </c>
      <c r="G106" s="1014">
        <f t="shared" si="37"/>
        <v>1544.0281747959589</v>
      </c>
      <c r="H106" s="1014">
        <f t="shared" si="37"/>
        <v>1225.5766017072567</v>
      </c>
      <c r="I106" s="1014">
        <f t="shared" si="37"/>
        <v>1154.3416119164408</v>
      </c>
      <c r="J106" s="1014">
        <f t="shared" si="37"/>
        <v>1100.9489337728032</v>
      </c>
      <c r="K106" s="1014">
        <f t="shared" si="37"/>
        <v>1107.7226669035128</v>
      </c>
      <c r="L106" s="1014">
        <f t="shared" si="37"/>
        <v>1142.1971723182983</v>
      </c>
    </row>
    <row r="107" spans="1:12">
      <c r="A107" s="302"/>
      <c r="B107" s="319" t="s">
        <v>8</v>
      </c>
      <c r="C107" s="447">
        <f>SUM(C104:C106)</f>
        <v>2397.1091773555454</v>
      </c>
      <c r="D107" s="447">
        <f t="shared" ref="D107:L107" si="38">SUM(D104:D106)</f>
        <v>2539.1599817656106</v>
      </c>
      <c r="E107" s="447">
        <f t="shared" si="38"/>
        <v>2751.9042275669958</v>
      </c>
      <c r="F107" s="447">
        <f t="shared" si="38"/>
        <v>2970.6931857086374</v>
      </c>
      <c r="G107" s="447">
        <f t="shared" si="38"/>
        <v>3003.4851120198118</v>
      </c>
      <c r="H107" s="447">
        <f t="shared" si="38"/>
        <v>2384.0245514652083</v>
      </c>
      <c r="I107" s="447">
        <f t="shared" si="38"/>
        <v>2245.4563343924383</v>
      </c>
      <c r="J107" s="447">
        <f t="shared" si="38"/>
        <v>2141.5954615709484</v>
      </c>
      <c r="K107" s="447">
        <f t="shared" si="38"/>
        <v>2154.7719093476026</v>
      </c>
      <c r="L107" s="447">
        <f t="shared" si="38"/>
        <v>2221.8326440205547</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2397.1091773555454</v>
      </c>
      <c r="D112" s="676">
        <f t="shared" ref="D112:L112" si="39">D107</f>
        <v>2539.1599817656106</v>
      </c>
      <c r="E112" s="676">
        <f t="shared" si="39"/>
        <v>2751.9042275669958</v>
      </c>
      <c r="F112" s="676">
        <f t="shared" si="39"/>
        <v>2970.6931857086374</v>
      </c>
      <c r="G112" s="676">
        <f t="shared" si="39"/>
        <v>3003.4851120198118</v>
      </c>
      <c r="H112" s="676">
        <f t="shared" si="39"/>
        <v>2384.0245514652083</v>
      </c>
      <c r="I112" s="676">
        <f t="shared" si="39"/>
        <v>2245.4563343924383</v>
      </c>
      <c r="J112" s="676">
        <f t="shared" si="39"/>
        <v>2141.5954615709484</v>
      </c>
      <c r="K112" s="676">
        <f t="shared" si="39"/>
        <v>2154.7719093476026</v>
      </c>
      <c r="L112" s="676">
        <f t="shared" si="39"/>
        <v>2221.8326440205547</v>
      </c>
    </row>
    <row r="113" spans="1:12">
      <c r="A113" s="302"/>
      <c r="B113" s="676" t="s">
        <v>1754</v>
      </c>
      <c r="C113" s="676">
        <f t="shared" ref="C113:L113" si="40">((C68+C79+C90)/100)*C112</f>
        <v>342.12207905681947</v>
      </c>
      <c r="D113" s="676">
        <f t="shared" si="40"/>
        <v>362.39596436649003</v>
      </c>
      <c r="E113" s="676">
        <f t="shared" si="40"/>
        <v>392.75941396173948</v>
      </c>
      <c r="F113" s="676">
        <f t="shared" si="40"/>
        <v>423.98558168959829</v>
      </c>
      <c r="G113" s="676">
        <f t="shared" si="40"/>
        <v>428.66573648264506</v>
      </c>
      <c r="H113" s="676">
        <f t="shared" si="40"/>
        <v>340.25460491105645</v>
      </c>
      <c r="I113" s="676">
        <f t="shared" si="40"/>
        <v>320.47776413802507</v>
      </c>
      <c r="J113" s="676">
        <f t="shared" si="40"/>
        <v>305.65445192596155</v>
      </c>
      <c r="K113" s="676">
        <f t="shared" si="40"/>
        <v>307.53503114634799</v>
      </c>
      <c r="L113" s="676">
        <f t="shared" si="40"/>
        <v>317.10612544030857</v>
      </c>
    </row>
    <row r="114" spans="1:12">
      <c r="A114" s="302"/>
      <c r="B114" s="676" t="s">
        <v>1755</v>
      </c>
      <c r="C114" s="676">
        <f t="shared" ref="C114:L114" si="41">((C67+C78+C89)/100)*C112</f>
        <v>2054.9870982987259</v>
      </c>
      <c r="D114" s="676">
        <f t="shared" si="41"/>
        <v>2176.7640173991208</v>
      </c>
      <c r="E114" s="676">
        <f t="shared" si="41"/>
        <v>2359.1448136052563</v>
      </c>
      <c r="F114" s="676">
        <f t="shared" si="41"/>
        <v>2546.7076040190391</v>
      </c>
      <c r="G114" s="676">
        <f t="shared" si="41"/>
        <v>2574.8193755371667</v>
      </c>
      <c r="H114" s="676">
        <f t="shared" si="41"/>
        <v>2043.7699465541521</v>
      </c>
      <c r="I114" s="676">
        <f t="shared" si="41"/>
        <v>1924.9785702544132</v>
      </c>
      <c r="J114" s="676">
        <f t="shared" si="41"/>
        <v>1835.9410096449869</v>
      </c>
      <c r="K114" s="676">
        <f t="shared" si="41"/>
        <v>1847.2368782012545</v>
      </c>
      <c r="L114" s="676">
        <f t="shared" si="41"/>
        <v>1904.7265185802462</v>
      </c>
    </row>
    <row r="115" spans="1:12">
      <c r="A115" s="302"/>
      <c r="B115" s="676" t="s">
        <v>855</v>
      </c>
      <c r="C115" s="676">
        <f>C113*$C$39</f>
        <v>213.82629941051218</v>
      </c>
      <c r="D115" s="676">
        <f t="shared" ref="D115:L115" si="42">D113*$C$39</f>
        <v>226.49747772905627</v>
      </c>
      <c r="E115" s="676">
        <f t="shared" si="42"/>
        <v>245.47463372608718</v>
      </c>
      <c r="F115" s="676">
        <f t="shared" si="42"/>
        <v>264.99098855599891</v>
      </c>
      <c r="G115" s="676">
        <f t="shared" si="42"/>
        <v>267.91608530165314</v>
      </c>
      <c r="H115" s="676">
        <f t="shared" si="42"/>
        <v>212.65912806941029</v>
      </c>
      <c r="I115" s="676">
        <f t="shared" si="42"/>
        <v>200.29860258626567</v>
      </c>
      <c r="J115" s="676">
        <f t="shared" si="42"/>
        <v>191.03403245372596</v>
      </c>
      <c r="K115" s="676">
        <f t="shared" si="42"/>
        <v>192.2093944664675</v>
      </c>
      <c r="L115" s="676">
        <f t="shared" si="42"/>
        <v>198.19132840019284</v>
      </c>
    </row>
    <row r="116" spans="1:12">
      <c r="A116" s="302"/>
      <c r="B116" s="676" t="s">
        <v>856</v>
      </c>
      <c r="C116" s="676">
        <f>C114</f>
        <v>2054.9870982987259</v>
      </c>
      <c r="D116" s="676">
        <f t="shared" ref="D116:L116" si="43">D114</f>
        <v>2176.7640173991208</v>
      </c>
      <c r="E116" s="676">
        <f t="shared" si="43"/>
        <v>2359.1448136052563</v>
      </c>
      <c r="F116" s="676">
        <f t="shared" si="43"/>
        <v>2546.7076040190391</v>
      </c>
      <c r="G116" s="676">
        <f t="shared" si="43"/>
        <v>2574.8193755371667</v>
      </c>
      <c r="H116" s="676">
        <f t="shared" si="43"/>
        <v>2043.7699465541521</v>
      </c>
      <c r="I116" s="676">
        <f t="shared" si="43"/>
        <v>1924.9785702544132</v>
      </c>
      <c r="J116" s="676">
        <f t="shared" si="43"/>
        <v>1835.9410096449869</v>
      </c>
      <c r="K116" s="676">
        <f t="shared" si="43"/>
        <v>1847.2368782012545</v>
      </c>
      <c r="L116" s="676">
        <f t="shared" si="43"/>
        <v>1904.7265185802462</v>
      </c>
    </row>
    <row r="117" spans="1:12">
      <c r="A117" s="302"/>
      <c r="B117" s="676" t="s">
        <v>746</v>
      </c>
      <c r="C117" s="676">
        <f>C116+C115</f>
        <v>2268.813397709238</v>
      </c>
      <c r="D117" s="676">
        <f t="shared" ref="D117:L117" si="44">D116+D115</f>
        <v>2403.2614951281771</v>
      </c>
      <c r="E117" s="676">
        <f t="shared" si="44"/>
        <v>2604.6194473313435</v>
      </c>
      <c r="F117" s="676">
        <f t="shared" si="44"/>
        <v>2811.6985925750378</v>
      </c>
      <c r="G117" s="676">
        <f t="shared" si="44"/>
        <v>2842.73546083882</v>
      </c>
      <c r="H117" s="676">
        <f t="shared" si="44"/>
        <v>2256.4290746235624</v>
      </c>
      <c r="I117" s="676">
        <f t="shared" si="44"/>
        <v>2125.2771728406788</v>
      </c>
      <c r="J117" s="676">
        <f t="shared" si="44"/>
        <v>2026.9750420987129</v>
      </c>
      <c r="K117" s="676">
        <f t="shared" si="44"/>
        <v>2039.446272667722</v>
      </c>
      <c r="L117" s="676">
        <f t="shared" si="44"/>
        <v>2102.9178469804392</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1108" t="s">
        <v>1705</v>
      </c>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1027" t="s">
        <v>1522</v>
      </c>
      <c r="C123" s="302"/>
      <c r="D123" s="302"/>
      <c r="E123" s="302"/>
      <c r="F123" s="302"/>
      <c r="G123" s="302"/>
      <c r="H123" s="302"/>
      <c r="I123" s="302"/>
      <c r="J123" s="302"/>
      <c r="K123" s="302"/>
      <c r="L123" s="302"/>
    </row>
    <row r="124" spans="1:12">
      <c r="A124" s="302"/>
      <c r="B124" s="681"/>
      <c r="C124" s="302"/>
      <c r="D124" s="302"/>
      <c r="E124" s="302"/>
      <c r="F124" s="302"/>
      <c r="G124" s="302"/>
      <c r="H124" s="302"/>
      <c r="I124" s="302"/>
      <c r="J124" s="302"/>
      <c r="K124" s="302"/>
      <c r="L124" s="302"/>
    </row>
    <row r="125" spans="1:12">
      <c r="A125" s="302"/>
      <c r="B125" s="992" t="s">
        <v>1608</v>
      </c>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992" t="s">
        <v>1609</v>
      </c>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18" t="s">
        <v>1229</v>
      </c>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1027" t="s">
        <v>1661</v>
      </c>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34" t="s">
        <v>1234</v>
      </c>
      <c r="C133" s="302"/>
      <c r="E133" s="302"/>
      <c r="F133" s="681" t="s">
        <v>1233</v>
      </c>
      <c r="G133" s="302"/>
      <c r="H133" s="302"/>
      <c r="I133" s="302"/>
      <c r="J133" s="302"/>
      <c r="K133" s="302"/>
      <c r="L133" s="302"/>
    </row>
    <row r="135" spans="1:12">
      <c r="B135" s="1028" t="s">
        <v>1645</v>
      </c>
      <c r="D135" s="12" t="s">
        <v>1240</v>
      </c>
      <c r="F135" s="837">
        <v>232.2</v>
      </c>
    </row>
    <row r="136" spans="1:12">
      <c r="B136" s="147"/>
      <c r="D136" s="12" t="s">
        <v>716</v>
      </c>
      <c r="F136" s="837">
        <v>592.23199999999997</v>
      </c>
    </row>
    <row r="137" spans="1:12">
      <c r="B137" s="147" t="s">
        <v>1241</v>
      </c>
      <c r="D137" s="12" t="s">
        <v>1240</v>
      </c>
      <c r="F137" s="838">
        <f>F135</f>
        <v>232.2</v>
      </c>
      <c r="G137" s="416">
        <v>50</v>
      </c>
      <c r="H137" s="256" t="s">
        <v>1662</v>
      </c>
    </row>
    <row r="138" spans="1:12">
      <c r="B138" s="147"/>
      <c r="D138" s="12" t="s">
        <v>716</v>
      </c>
      <c r="F138" s="838">
        <f>F136+G137</f>
        <v>642.23199999999997</v>
      </c>
      <c r="G138" s="256"/>
    </row>
    <row r="140" spans="1:12">
      <c r="B140" s="319"/>
      <c r="C140" s="319" t="str">
        <f t="shared" ref="C140:L140" si="47">C103</f>
        <v>2019/20</v>
      </c>
      <c r="D140" s="319" t="str">
        <f t="shared" si="47"/>
        <v>2020/21</v>
      </c>
      <c r="E140" s="319" t="str">
        <f t="shared" si="47"/>
        <v>2021/22</v>
      </c>
      <c r="F140" s="319" t="str">
        <f t="shared" si="47"/>
        <v>2022/23</v>
      </c>
      <c r="G140" s="319" t="str">
        <f t="shared" si="47"/>
        <v>2023/24</v>
      </c>
      <c r="H140" s="319" t="str">
        <f t="shared" si="47"/>
        <v>2024/25</v>
      </c>
      <c r="I140" s="319" t="str">
        <f t="shared" si="47"/>
        <v>2025/26</v>
      </c>
      <c r="J140" s="319" t="str">
        <f t="shared" si="47"/>
        <v>2026/27</v>
      </c>
      <c r="K140" s="319" t="str">
        <f t="shared" si="47"/>
        <v>2027/28</v>
      </c>
      <c r="L140" s="319" t="str">
        <f t="shared" si="47"/>
        <v>2028/29</v>
      </c>
    </row>
    <row r="141" spans="1:12">
      <c r="B141" s="319" t="str">
        <f>B104</f>
        <v xml:space="preserve">Modern Foreign Languages New to SF Sector </v>
      </c>
      <c r="C141" s="300">
        <f>IF(C104&gt;$F$137,$F$137,C104)</f>
        <v>232.2</v>
      </c>
      <c r="D141" s="300">
        <f t="shared" ref="D141:L141" si="48">IF(D104&gt;$F$137,$F$137,D104)</f>
        <v>232.2</v>
      </c>
      <c r="E141" s="300">
        <f t="shared" si="48"/>
        <v>232.2</v>
      </c>
      <c r="F141" s="300">
        <f t="shared" si="48"/>
        <v>232.2</v>
      </c>
      <c r="G141" s="300">
        <f t="shared" si="48"/>
        <v>232.2</v>
      </c>
      <c r="H141" s="300">
        <f t="shared" si="48"/>
        <v>232.2</v>
      </c>
      <c r="I141" s="300">
        <f t="shared" si="48"/>
        <v>232.2</v>
      </c>
      <c r="J141" s="300">
        <f t="shared" si="48"/>
        <v>232.2</v>
      </c>
      <c r="K141" s="300">
        <f t="shared" si="48"/>
        <v>232.2</v>
      </c>
      <c r="L141" s="300">
        <f t="shared" si="48"/>
        <v>232.2</v>
      </c>
    </row>
    <row r="142" spans="1:12">
      <c r="B142" s="319" t="str">
        <f>B105</f>
        <v>Modern Foreign Languages Re-entrants</v>
      </c>
      <c r="C142" s="300">
        <f>IF(C105&gt;$F$138,$F$138,C105)</f>
        <v>642.23199999999997</v>
      </c>
      <c r="D142" s="300">
        <f t="shared" ref="D142:L142" si="49">IF(D105&gt;$F$138,$F$138,D105)</f>
        <v>642.23199999999997</v>
      </c>
      <c r="E142" s="300">
        <f t="shared" si="49"/>
        <v>642.23199999999997</v>
      </c>
      <c r="F142" s="300">
        <f t="shared" si="49"/>
        <v>642.23199999999997</v>
      </c>
      <c r="G142" s="300">
        <f t="shared" si="49"/>
        <v>642.23199999999997</v>
      </c>
      <c r="H142" s="300">
        <f t="shared" si="49"/>
        <v>642.23199999999997</v>
      </c>
      <c r="I142" s="300">
        <f t="shared" si="49"/>
        <v>642.23199999999997</v>
      </c>
      <c r="J142" s="300">
        <f t="shared" si="49"/>
        <v>642.23199999999997</v>
      </c>
      <c r="K142" s="300">
        <f t="shared" si="49"/>
        <v>642.23199999999997</v>
      </c>
      <c r="L142" s="300">
        <f t="shared" si="49"/>
        <v>642.23199999999997</v>
      </c>
    </row>
    <row r="144" spans="1:12">
      <c r="B144" s="75" t="s">
        <v>1230</v>
      </c>
      <c r="C144" s="302"/>
    </row>
    <row r="146" spans="1:12">
      <c r="B146" s="319"/>
      <c r="C146" s="319" t="str">
        <f t="shared" ref="C146:L146" si="50">C140</f>
        <v>2019/20</v>
      </c>
      <c r="D146" s="319" t="str">
        <f t="shared" si="50"/>
        <v>2020/21</v>
      </c>
      <c r="E146" s="319" t="str">
        <f t="shared" si="50"/>
        <v>2021/22</v>
      </c>
      <c r="F146" s="319" t="str">
        <f t="shared" si="50"/>
        <v>2022/23</v>
      </c>
      <c r="G146" s="319" t="str">
        <f t="shared" si="50"/>
        <v>2023/24</v>
      </c>
      <c r="H146" s="319" t="str">
        <f t="shared" si="50"/>
        <v>2024/25</v>
      </c>
      <c r="I146" s="319" t="str">
        <f t="shared" si="50"/>
        <v>2025/26</v>
      </c>
      <c r="J146" s="319" t="str">
        <f t="shared" si="50"/>
        <v>2026/27</v>
      </c>
      <c r="K146" s="319" t="str">
        <f t="shared" si="50"/>
        <v>2027/28</v>
      </c>
      <c r="L146" s="319" t="str">
        <f t="shared" si="50"/>
        <v>2028/29</v>
      </c>
    </row>
    <row r="147" spans="1:12">
      <c r="B147" s="227" t="s">
        <v>1231</v>
      </c>
      <c r="C147" s="820"/>
      <c r="D147" s="820"/>
      <c r="E147" s="820"/>
      <c r="F147" s="820"/>
      <c r="G147" s="820"/>
      <c r="H147" s="820"/>
      <c r="I147" s="820"/>
      <c r="J147" s="820"/>
      <c r="K147" s="820"/>
      <c r="L147" s="820"/>
    </row>
    <row r="148" spans="1:12">
      <c r="B148" s="319" t="str">
        <f>B104</f>
        <v xml:space="preserve">Modern Foreign Languages New to SF Sector </v>
      </c>
      <c r="C148" s="300">
        <f t="shared" ref="C148:L148" si="51">C104</f>
        <v>304.06400906121473</v>
      </c>
      <c r="D148" s="300">
        <f t="shared" si="51"/>
        <v>322.08260307742233</v>
      </c>
      <c r="E148" s="300">
        <f t="shared" si="51"/>
        <v>349.06838615904081</v>
      </c>
      <c r="F148" s="300">
        <f t="shared" si="51"/>
        <v>376.8209175745119</v>
      </c>
      <c r="G148" s="300">
        <f t="shared" si="51"/>
        <v>380.9804463407466</v>
      </c>
      <c r="H148" s="300">
        <f t="shared" si="51"/>
        <v>302.40427497698289</v>
      </c>
      <c r="I148" s="300">
        <f t="shared" si="51"/>
        <v>284.82743366761366</v>
      </c>
      <c r="J148" s="300">
        <f t="shared" si="51"/>
        <v>271.65308446690756</v>
      </c>
      <c r="K148" s="300">
        <f t="shared" si="51"/>
        <v>273.32446580155954</v>
      </c>
      <c r="L148" s="300">
        <f t="shared" si="51"/>
        <v>281.8308600984364</v>
      </c>
    </row>
    <row r="149" spans="1:12">
      <c r="B149" s="319" t="str">
        <f>B105</f>
        <v>Modern Foreign Languages Re-entrants</v>
      </c>
      <c r="C149" s="300">
        <f t="shared" ref="C149:L149" si="52">C105</f>
        <v>860.7420371461609</v>
      </c>
      <c r="D149" s="300">
        <f t="shared" si="52"/>
        <v>911.748933253019</v>
      </c>
      <c r="E149" s="300">
        <f t="shared" si="52"/>
        <v>988.14007857591196</v>
      </c>
      <c r="F149" s="300">
        <f t="shared" si="52"/>
        <v>1066.701729131885</v>
      </c>
      <c r="G149" s="300">
        <f t="shared" si="52"/>
        <v>1078.4764908831062</v>
      </c>
      <c r="H149" s="300">
        <f t="shared" si="52"/>
        <v>856.04367478096879</v>
      </c>
      <c r="I149" s="300">
        <f t="shared" si="52"/>
        <v>806.28728880838412</v>
      </c>
      <c r="J149" s="300">
        <f t="shared" si="52"/>
        <v>768.99344333123747</v>
      </c>
      <c r="K149" s="300">
        <f t="shared" si="52"/>
        <v>773.72477664252983</v>
      </c>
      <c r="L149" s="300">
        <f t="shared" si="52"/>
        <v>797.80461160381992</v>
      </c>
    </row>
    <row r="150" spans="1:12" ht="25.5">
      <c r="B150" s="315" t="str">
        <f>B106</f>
        <v>Modern Foreign Languages NQTs and entrants via other, new initiatives</v>
      </c>
      <c r="C150" s="405">
        <f t="shared" ref="C150:L150" si="53">C106</f>
        <v>1232.3031311481698</v>
      </c>
      <c r="D150" s="405">
        <f t="shared" si="53"/>
        <v>1305.3284454351692</v>
      </c>
      <c r="E150" s="405">
        <f t="shared" si="53"/>
        <v>1414.6957628320431</v>
      </c>
      <c r="F150" s="405">
        <f t="shared" si="53"/>
        <v>1527.1705390022403</v>
      </c>
      <c r="G150" s="405">
        <f t="shared" si="53"/>
        <v>1544.0281747959589</v>
      </c>
      <c r="H150" s="405">
        <f t="shared" si="53"/>
        <v>1225.5766017072567</v>
      </c>
      <c r="I150" s="405">
        <f t="shared" si="53"/>
        <v>1154.3416119164408</v>
      </c>
      <c r="J150" s="405">
        <f t="shared" si="53"/>
        <v>1100.9489337728032</v>
      </c>
      <c r="K150" s="405">
        <f t="shared" si="53"/>
        <v>1107.7226669035128</v>
      </c>
      <c r="L150" s="405">
        <f t="shared" si="53"/>
        <v>1142.1971723182983</v>
      </c>
    </row>
    <row r="151" spans="1:12">
      <c r="B151" s="319" t="str">
        <f>B107</f>
        <v>Total</v>
      </c>
      <c r="C151" s="300">
        <f t="shared" ref="C151:L151" si="54">C107</f>
        <v>2397.1091773555454</v>
      </c>
      <c r="D151" s="300">
        <f t="shared" si="54"/>
        <v>2539.1599817656106</v>
      </c>
      <c r="E151" s="300">
        <f t="shared" si="54"/>
        <v>2751.9042275669958</v>
      </c>
      <c r="F151" s="300">
        <f t="shared" si="54"/>
        <v>2970.6931857086374</v>
      </c>
      <c r="G151" s="300">
        <f t="shared" si="54"/>
        <v>3003.4851120198118</v>
      </c>
      <c r="H151" s="300">
        <f t="shared" si="54"/>
        <v>2384.0245514652083</v>
      </c>
      <c r="I151" s="300">
        <f t="shared" si="54"/>
        <v>2245.4563343924383</v>
      </c>
      <c r="J151" s="300">
        <f t="shared" si="54"/>
        <v>2141.5954615709484</v>
      </c>
      <c r="K151" s="300">
        <f t="shared" si="54"/>
        <v>2154.7719093476026</v>
      </c>
      <c r="L151" s="300">
        <f t="shared" si="54"/>
        <v>2221.8326440205547</v>
      </c>
    </row>
    <row r="152" spans="1:12">
      <c r="B152" s="227" t="s">
        <v>1232</v>
      </c>
      <c r="C152" s="825"/>
      <c r="D152" s="825"/>
      <c r="E152" s="825"/>
      <c r="F152" s="825"/>
      <c r="G152" s="825"/>
      <c r="H152" s="825"/>
      <c r="I152" s="825"/>
      <c r="J152" s="825"/>
      <c r="K152" s="825"/>
      <c r="L152" s="825"/>
    </row>
    <row r="153" spans="1:12">
      <c r="B153" s="319" t="str">
        <f>B148</f>
        <v xml:space="preserve">Modern Foreign Languages New to SF Sector </v>
      </c>
      <c r="C153" s="447">
        <f>IF(C141&gt;0,C141,C148)</f>
        <v>232.2</v>
      </c>
      <c r="D153" s="447">
        <f t="shared" ref="D153:L153" si="55">IF(D141&gt;0,D141,D148)</f>
        <v>232.2</v>
      </c>
      <c r="E153" s="447">
        <f t="shared" si="55"/>
        <v>232.2</v>
      </c>
      <c r="F153" s="447">
        <f t="shared" si="55"/>
        <v>232.2</v>
      </c>
      <c r="G153" s="447">
        <f t="shared" si="55"/>
        <v>232.2</v>
      </c>
      <c r="H153" s="447">
        <f t="shared" si="55"/>
        <v>232.2</v>
      </c>
      <c r="I153" s="447">
        <f t="shared" si="55"/>
        <v>232.2</v>
      </c>
      <c r="J153" s="447">
        <f t="shared" si="55"/>
        <v>232.2</v>
      </c>
      <c r="K153" s="447">
        <f t="shared" si="55"/>
        <v>232.2</v>
      </c>
      <c r="L153" s="447">
        <f t="shared" si="55"/>
        <v>232.2</v>
      </c>
    </row>
    <row r="154" spans="1:12">
      <c r="B154" s="319" t="str">
        <f>B149</f>
        <v>Modern Foreign Languages Re-entrants</v>
      </c>
      <c r="C154" s="447">
        <f>IF(C142&gt;0,C142,C149)</f>
        <v>642.23199999999997</v>
      </c>
      <c r="D154" s="447">
        <f t="shared" ref="D154:L154" si="56">IF(D142&gt;0,D142,D149)</f>
        <v>642.23199999999997</v>
      </c>
      <c r="E154" s="447">
        <f t="shared" si="56"/>
        <v>642.23199999999997</v>
      </c>
      <c r="F154" s="447">
        <f t="shared" si="56"/>
        <v>642.23199999999997</v>
      </c>
      <c r="G154" s="447">
        <f t="shared" si="56"/>
        <v>642.23199999999997</v>
      </c>
      <c r="H154" s="447">
        <f t="shared" si="56"/>
        <v>642.23199999999997</v>
      </c>
      <c r="I154" s="447">
        <f t="shared" si="56"/>
        <v>642.23199999999997</v>
      </c>
      <c r="J154" s="447">
        <f t="shared" si="56"/>
        <v>642.23199999999997</v>
      </c>
      <c r="K154" s="447">
        <f t="shared" si="56"/>
        <v>642.23199999999997</v>
      </c>
      <c r="L154" s="447">
        <f t="shared" si="56"/>
        <v>642.23199999999997</v>
      </c>
    </row>
    <row r="155" spans="1:12" ht="25.5">
      <c r="B155" s="315" t="str">
        <f>B150</f>
        <v>Modern Foreign Languages NQTs and entrants via other, new initiatives</v>
      </c>
      <c r="C155" s="1014">
        <f>C150+(C148-C153)+(C149-C154)</f>
        <v>1522.6771773555456</v>
      </c>
      <c r="D155" s="1014">
        <f t="shared" ref="D155:L155" si="57">D150+(D148-D153)+(D149-D154)</f>
        <v>1664.7279817656106</v>
      </c>
      <c r="E155" s="1014">
        <f t="shared" si="57"/>
        <v>1877.472227566996</v>
      </c>
      <c r="F155" s="1014">
        <f t="shared" si="57"/>
        <v>2096.2611857086372</v>
      </c>
      <c r="G155" s="1014">
        <f t="shared" si="57"/>
        <v>2129.0531120198116</v>
      </c>
      <c r="H155" s="1014">
        <f t="shared" si="57"/>
        <v>1509.5925514652083</v>
      </c>
      <c r="I155" s="1014">
        <f t="shared" si="57"/>
        <v>1371.0243343924387</v>
      </c>
      <c r="J155" s="1014">
        <f t="shared" si="57"/>
        <v>1267.1634615709481</v>
      </c>
      <c r="K155" s="1014">
        <f t="shared" si="57"/>
        <v>1280.3399093476023</v>
      </c>
      <c r="L155" s="1014">
        <f t="shared" si="57"/>
        <v>1347.4006440205546</v>
      </c>
    </row>
    <row r="156" spans="1:12">
      <c r="B156" s="319" t="str">
        <f>B151</f>
        <v>Total</v>
      </c>
      <c r="C156" s="826">
        <f>SUM(C153:C155)</f>
        <v>2397.1091773555454</v>
      </c>
      <c r="D156" s="447">
        <f t="shared" ref="D156:L156" si="58">SUM(D153:D155)</f>
        <v>2539.1599817656106</v>
      </c>
      <c r="E156" s="447">
        <f t="shared" si="58"/>
        <v>2751.9042275669963</v>
      </c>
      <c r="F156" s="447">
        <f t="shared" si="58"/>
        <v>2970.6931857086374</v>
      </c>
      <c r="G156" s="447">
        <f t="shared" si="58"/>
        <v>3003.4851120198118</v>
      </c>
      <c r="H156" s="447">
        <f t="shared" si="58"/>
        <v>2384.0245514652083</v>
      </c>
      <c r="I156" s="447">
        <f t="shared" si="58"/>
        <v>2245.4563343924387</v>
      </c>
      <c r="J156" s="447">
        <f t="shared" si="58"/>
        <v>2141.5954615709479</v>
      </c>
      <c r="K156" s="447">
        <f t="shared" si="58"/>
        <v>2154.7719093476026</v>
      </c>
      <c r="L156" s="447">
        <f t="shared" si="58"/>
        <v>2221.8326440205547</v>
      </c>
    </row>
    <row r="157" spans="1:12">
      <c r="A157" s="302">
        <f>SUM(C157:L157)</f>
        <v>0</v>
      </c>
      <c r="C157" s="322">
        <f>C156-C151</f>
        <v>0</v>
      </c>
      <c r="D157" s="322">
        <f t="shared" ref="D157:L157" si="59">D156-D151</f>
        <v>0</v>
      </c>
      <c r="E157" s="322">
        <f t="shared" si="59"/>
        <v>0</v>
      </c>
      <c r="F157" s="322">
        <f t="shared" si="59"/>
        <v>0</v>
      </c>
      <c r="G157" s="322">
        <f t="shared" si="59"/>
        <v>0</v>
      </c>
      <c r="H157" s="322">
        <f t="shared" si="59"/>
        <v>0</v>
      </c>
      <c r="I157" s="322">
        <f t="shared" si="59"/>
        <v>0</v>
      </c>
      <c r="J157" s="322">
        <f t="shared" si="59"/>
        <v>0</v>
      </c>
      <c r="K157" s="322">
        <f t="shared" si="59"/>
        <v>0</v>
      </c>
      <c r="L157" s="322">
        <f t="shared" si="59"/>
        <v>0</v>
      </c>
    </row>
    <row r="159" spans="1:12">
      <c r="B159" s="8" t="s">
        <v>1235</v>
      </c>
      <c r="C159" s="631" t="b">
        <f>IF(C155=C150,FALSE, TRUE)</f>
        <v>1</v>
      </c>
      <c r="D159" s="631" t="b">
        <f t="shared" ref="D159:L159" si="60">IF(D155=D150,FALSE, TRUE)</f>
        <v>1</v>
      </c>
      <c r="E159" s="631" t="b">
        <f t="shared" si="60"/>
        <v>1</v>
      </c>
      <c r="F159" s="631" t="b">
        <f t="shared" si="60"/>
        <v>1</v>
      </c>
      <c r="G159" s="631" t="b">
        <f t="shared" si="60"/>
        <v>1</v>
      </c>
      <c r="H159" s="631" t="b">
        <f t="shared" si="60"/>
        <v>1</v>
      </c>
      <c r="I159" s="631" t="b">
        <f t="shared" si="60"/>
        <v>1</v>
      </c>
      <c r="J159" s="631" t="b">
        <f t="shared" si="60"/>
        <v>1</v>
      </c>
      <c r="K159" s="631" t="b">
        <f t="shared" si="60"/>
        <v>1</v>
      </c>
      <c r="L159" s="631" t="b">
        <f t="shared" si="60"/>
        <v>1</v>
      </c>
    </row>
    <row r="161" spans="2:12">
      <c r="B161" s="75" t="s">
        <v>1610</v>
      </c>
    </row>
    <row r="163" spans="2:12">
      <c r="B163" s="1004" t="s">
        <v>1756</v>
      </c>
    </row>
    <row r="165" spans="2:12">
      <c r="B165" s="1004" t="s">
        <v>1611</v>
      </c>
    </row>
    <row r="166" spans="2:12">
      <c r="B166" s="1004"/>
    </row>
    <row r="167" spans="2:12">
      <c r="B167" s="681" t="s">
        <v>1613</v>
      </c>
    </row>
    <row r="168" spans="2:12">
      <c r="B168" s="681"/>
    </row>
    <row r="169" spans="2:12">
      <c r="C169" s="319" t="str">
        <f>C146</f>
        <v>2019/20</v>
      </c>
      <c r="D169" s="319" t="str">
        <f t="shared" ref="D169:L169" si="61">D146</f>
        <v>2020/21</v>
      </c>
      <c r="E169" s="319" t="str">
        <f t="shared" si="61"/>
        <v>2021/22</v>
      </c>
      <c r="F169" s="319" t="str">
        <f t="shared" si="61"/>
        <v>2022/23</v>
      </c>
      <c r="G169" s="319" t="str">
        <f t="shared" si="61"/>
        <v>2023/24</v>
      </c>
      <c r="H169" s="319" t="str">
        <f t="shared" si="61"/>
        <v>2024/25</v>
      </c>
      <c r="I169" s="319" t="str">
        <f t="shared" si="61"/>
        <v>2025/26</v>
      </c>
      <c r="J169" s="319" t="str">
        <f t="shared" si="61"/>
        <v>2026/27</v>
      </c>
      <c r="K169" s="319" t="str">
        <f t="shared" si="61"/>
        <v>2027/28</v>
      </c>
      <c r="L169" s="319" t="str">
        <f t="shared" si="61"/>
        <v>2028/29</v>
      </c>
    </row>
    <row r="170" spans="2:12" ht="25.5">
      <c r="B170" s="315" t="s">
        <v>1614</v>
      </c>
      <c r="C170" s="405">
        <v>410</v>
      </c>
      <c r="D170" s="405">
        <v>410</v>
      </c>
      <c r="E170" s="405">
        <v>410</v>
      </c>
      <c r="F170" s="405">
        <v>410</v>
      </c>
      <c r="G170" s="405">
        <v>410</v>
      </c>
      <c r="H170" s="405">
        <v>410</v>
      </c>
      <c r="I170" s="405">
        <v>410</v>
      </c>
      <c r="J170" s="405">
        <v>410</v>
      </c>
      <c r="K170" s="405">
        <v>410</v>
      </c>
      <c r="L170" s="405">
        <v>410</v>
      </c>
    </row>
    <row r="172" spans="2:12">
      <c r="B172" s="315" t="s">
        <v>930</v>
      </c>
      <c r="C172" s="447">
        <f>C155-C170</f>
        <v>1112.6771773555456</v>
      </c>
      <c r="D172" s="447">
        <f t="shared" ref="D172:L172" si="62">D155-D170</f>
        <v>1254.7279817656106</v>
      </c>
      <c r="E172" s="447">
        <f t="shared" si="62"/>
        <v>1467.472227566996</v>
      </c>
      <c r="F172" s="447">
        <f t="shared" si="62"/>
        <v>1686.2611857086372</v>
      </c>
      <c r="G172" s="447">
        <f t="shared" si="62"/>
        <v>1719.0531120198116</v>
      </c>
      <c r="H172" s="447">
        <f t="shared" si="62"/>
        <v>1099.5925514652083</v>
      </c>
      <c r="I172" s="447">
        <f t="shared" si="62"/>
        <v>961.02433439243873</v>
      </c>
      <c r="J172" s="447">
        <f t="shared" si="62"/>
        <v>857.16346157094813</v>
      </c>
      <c r="K172" s="447">
        <f t="shared" si="62"/>
        <v>870.33990934760232</v>
      </c>
      <c r="L172" s="447">
        <f t="shared" si="62"/>
        <v>937.40064402055464</v>
      </c>
    </row>
    <row r="174" spans="2:12">
      <c r="C174" s="6"/>
    </row>
  </sheetData>
  <mergeCells count="4">
    <mergeCell ref="D17:L18"/>
    <mergeCell ref="J51:J53"/>
    <mergeCell ref="A5:M5"/>
    <mergeCell ref="B46:L48"/>
  </mergeCells>
  <conditionalFormatting sqref="C159:L159">
    <cfRule type="cellIs" dxfId="1" priority="1" stopIfTrue="1" operator="equal">
      <formula>TRUE</formula>
    </cfRule>
    <cfRule type="cellIs" dxfId="0"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8.15" customHeight="1">
      <c r="A5" s="1168" t="s">
        <v>785</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SUM(A12:A1876)</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OUTPUTS_FOR_SECTION_2_OF_MODEL!B79</f>
        <v>Music</v>
      </c>
      <c r="C15" s="300">
        <f>OUTPUTS_FOR_SECTION_2_OF_MODEL!E79</f>
        <v>593.05177874312108</v>
      </c>
      <c r="D15" s="300">
        <f>OUTPUTS_FOR_SECTION_2_OF_MODEL!F79</f>
        <v>538.62424715256395</v>
      </c>
      <c r="E15" s="300">
        <f>OUTPUTS_FOR_SECTION_2_OF_MODEL!G79</f>
        <v>520.37869422956521</v>
      </c>
      <c r="F15" s="300">
        <f>OUTPUTS_FOR_SECTION_2_OF_MODEL!H79</f>
        <v>496.19144727489311</v>
      </c>
      <c r="G15" s="300">
        <f>OUTPUTS_FOR_SECTION_2_OF_MODEL!I79</f>
        <v>536.18078702623006</v>
      </c>
      <c r="H15" s="300">
        <f>OUTPUTS_FOR_SECTION_2_OF_MODEL!J79</f>
        <v>554.55423071186647</v>
      </c>
      <c r="I15" s="300">
        <f>OUTPUTS_FOR_SECTION_2_OF_MODEL!K79</f>
        <v>514.73199151287645</v>
      </c>
      <c r="J15" s="300">
        <f>OUTPUTS_FOR_SECTION_2_OF_MODEL!L79</f>
        <v>493.43392705128872</v>
      </c>
      <c r="K15" s="300">
        <f>OUTPUTS_FOR_SECTION_2_OF_MODEL!M79</f>
        <v>525.87590917368505</v>
      </c>
      <c r="L15" s="300">
        <f>OUTPUTS_FOR_SECTION_2_OF_MODEL!N79</f>
        <v>548.9402543829176</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552.13120600984576</v>
      </c>
      <c r="D44" s="447">
        <f t="shared" si="4"/>
        <v>501.45917409903706</v>
      </c>
      <c r="E44" s="447">
        <f t="shared" si="4"/>
        <v>484.47256432772525</v>
      </c>
      <c r="F44" s="447">
        <f t="shared" si="4"/>
        <v>461.95423741292552</v>
      </c>
      <c r="G44" s="447">
        <f t="shared" si="4"/>
        <v>499.18431272142021</v>
      </c>
      <c r="H44" s="447">
        <f t="shared" si="4"/>
        <v>516.28998879274775</v>
      </c>
      <c r="I44" s="447">
        <f t="shared" si="4"/>
        <v>479.21548409848799</v>
      </c>
      <c r="J44" s="447">
        <f t="shared" si="4"/>
        <v>459.38698608474982</v>
      </c>
      <c r="K44" s="447">
        <f t="shared" si="4"/>
        <v>489.59047144070081</v>
      </c>
      <c r="L44" s="447">
        <f t="shared" si="4"/>
        <v>511.06337683049634</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5.8335285853253023</v>
      </c>
      <c r="D58" s="447">
        <f t="shared" ref="D58:L58" si="7">D44/$J$51</f>
        <v>5.2981544869032193</v>
      </c>
      <c r="E58" s="447">
        <f t="shared" si="7"/>
        <v>5.1186828819837427</v>
      </c>
      <c r="F58" s="447">
        <f t="shared" si="7"/>
        <v>4.880766056560109</v>
      </c>
      <c r="G58" s="447">
        <f t="shared" si="7"/>
        <v>5.2741194953477093</v>
      </c>
      <c r="H58" s="447">
        <f t="shared" si="7"/>
        <v>5.4548490923117043</v>
      </c>
      <c r="I58" s="447">
        <f t="shared" si="7"/>
        <v>5.0631393309965933</v>
      </c>
      <c r="J58" s="447">
        <f t="shared" si="7"/>
        <v>4.8536418262220762</v>
      </c>
      <c r="K58" s="447">
        <f t="shared" si="7"/>
        <v>5.1727560028572075</v>
      </c>
      <c r="L58" s="447">
        <f t="shared" si="7"/>
        <v>5.3996274530449444</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5.8335285853253023</v>
      </c>
      <c r="D99" s="447">
        <f t="shared" ref="D99:L99" si="33">D58</f>
        <v>5.2981544869032193</v>
      </c>
      <c r="E99" s="447">
        <f t="shared" si="33"/>
        <v>5.1186828819837427</v>
      </c>
      <c r="F99" s="447">
        <f t="shared" si="33"/>
        <v>4.880766056560109</v>
      </c>
      <c r="G99" s="447">
        <f t="shared" si="33"/>
        <v>5.2741194953477093</v>
      </c>
      <c r="H99" s="447">
        <f t="shared" si="33"/>
        <v>5.4548490923117043</v>
      </c>
      <c r="I99" s="447">
        <f t="shared" si="33"/>
        <v>5.0631393309965933</v>
      </c>
      <c r="J99" s="447">
        <f t="shared" si="33"/>
        <v>4.8536418262220762</v>
      </c>
      <c r="K99" s="447">
        <f t="shared" si="33"/>
        <v>5.1727560028572075</v>
      </c>
      <c r="L99" s="447">
        <f t="shared" si="33"/>
        <v>5.3996274530449444</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931</v>
      </c>
      <c r="C104" s="447">
        <f t="shared" ref="C104:L104" si="35">C66*C$99</f>
        <v>73.996049299014402</v>
      </c>
      <c r="D104" s="447">
        <f t="shared" si="35"/>
        <v>67.205036346765922</v>
      </c>
      <c r="E104" s="447">
        <f t="shared" si="35"/>
        <v>64.928508593254577</v>
      </c>
      <c r="F104" s="447">
        <f t="shared" si="35"/>
        <v>61.910625868311961</v>
      </c>
      <c r="G104" s="447">
        <f t="shared" si="35"/>
        <v>66.900161793735222</v>
      </c>
      <c r="H104" s="447">
        <f t="shared" si="35"/>
        <v>69.192646688791754</v>
      </c>
      <c r="I104" s="447">
        <f t="shared" si="35"/>
        <v>64.223960175093666</v>
      </c>
      <c r="J104" s="447">
        <f t="shared" si="35"/>
        <v>61.566565518571004</v>
      </c>
      <c r="K104" s="447">
        <f t="shared" si="35"/>
        <v>65.61440517529411</v>
      </c>
      <c r="L104" s="447">
        <f t="shared" si="35"/>
        <v>68.492181596045882</v>
      </c>
    </row>
    <row r="105" spans="1:12">
      <c r="A105" s="302"/>
      <c r="B105" s="319" t="s">
        <v>932</v>
      </c>
      <c r="C105" s="447">
        <f t="shared" ref="C105:L105" si="36">C77*C$99</f>
        <v>209.46744210551702</v>
      </c>
      <c r="D105" s="447">
        <f t="shared" si="36"/>
        <v>190.24349534229611</v>
      </c>
      <c r="E105" s="447">
        <f t="shared" si="36"/>
        <v>183.7991182447665</v>
      </c>
      <c r="F105" s="447">
        <f t="shared" si="36"/>
        <v>175.25611924743248</v>
      </c>
      <c r="G105" s="447">
        <f t="shared" si="36"/>
        <v>189.38045882357139</v>
      </c>
      <c r="H105" s="447">
        <f t="shared" si="36"/>
        <v>195.8700072735509</v>
      </c>
      <c r="I105" s="447">
        <f t="shared" si="36"/>
        <v>181.80468805032069</v>
      </c>
      <c r="J105" s="447">
        <f t="shared" si="36"/>
        <v>174.28215587948375</v>
      </c>
      <c r="K105" s="447">
        <f t="shared" si="36"/>
        <v>185.7407489662684</v>
      </c>
      <c r="L105" s="447">
        <f t="shared" si="36"/>
        <v>193.88713612500115</v>
      </c>
    </row>
    <row r="106" spans="1:12">
      <c r="A106" s="302"/>
      <c r="B106" s="319" t="s">
        <v>933</v>
      </c>
      <c r="C106" s="447">
        <f t="shared" ref="C106:L106" si="37">C88*C$99</f>
        <v>299.88936712799875</v>
      </c>
      <c r="D106" s="447">
        <f t="shared" si="37"/>
        <v>272.36691700125988</v>
      </c>
      <c r="E106" s="447">
        <f t="shared" si="37"/>
        <v>263.14066136035314</v>
      </c>
      <c r="F106" s="447">
        <f t="shared" si="37"/>
        <v>250.90986054026644</v>
      </c>
      <c r="G106" s="447">
        <f t="shared" si="37"/>
        <v>271.13132891746432</v>
      </c>
      <c r="H106" s="447">
        <f t="shared" si="37"/>
        <v>280.42225526882777</v>
      </c>
      <c r="I106" s="447">
        <f t="shared" si="37"/>
        <v>260.28528487424495</v>
      </c>
      <c r="J106" s="447">
        <f t="shared" si="37"/>
        <v>249.51546122415283</v>
      </c>
      <c r="K106" s="447">
        <f t="shared" si="37"/>
        <v>265.92044614415823</v>
      </c>
      <c r="L106" s="447">
        <f t="shared" si="37"/>
        <v>277.58342758344736</v>
      </c>
    </row>
    <row r="107" spans="1:12">
      <c r="A107" s="302"/>
      <c r="B107" s="319" t="s">
        <v>8</v>
      </c>
      <c r="C107" s="447">
        <f>SUM(C104:C106)</f>
        <v>583.35285853253015</v>
      </c>
      <c r="D107" s="447">
        <f t="shared" ref="D107:L107" si="38">SUM(D104:D106)</f>
        <v>529.815448690322</v>
      </c>
      <c r="E107" s="447">
        <f t="shared" si="38"/>
        <v>511.86828819837422</v>
      </c>
      <c r="F107" s="447">
        <f t="shared" si="38"/>
        <v>488.07660565601088</v>
      </c>
      <c r="G107" s="447">
        <f t="shared" si="38"/>
        <v>527.41194953477088</v>
      </c>
      <c r="H107" s="447">
        <f t="shared" si="38"/>
        <v>545.48490923117038</v>
      </c>
      <c r="I107" s="447">
        <f t="shared" si="38"/>
        <v>506.31393309965932</v>
      </c>
      <c r="J107" s="447">
        <f t="shared" si="38"/>
        <v>485.36418262220758</v>
      </c>
      <c r="K107" s="447">
        <f t="shared" si="38"/>
        <v>517.27560028572077</v>
      </c>
      <c r="L107" s="447">
        <f t="shared" si="38"/>
        <v>539.96274530449432</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583.35285853253015</v>
      </c>
      <c r="D112" s="676">
        <f t="shared" ref="D112:L112" si="39">D107</f>
        <v>529.815448690322</v>
      </c>
      <c r="E112" s="676">
        <f t="shared" si="39"/>
        <v>511.86828819837422</v>
      </c>
      <c r="F112" s="676">
        <f t="shared" si="39"/>
        <v>488.07660565601088</v>
      </c>
      <c r="G112" s="676">
        <f t="shared" si="39"/>
        <v>527.41194953477088</v>
      </c>
      <c r="H112" s="676">
        <f t="shared" si="39"/>
        <v>545.48490923117038</v>
      </c>
      <c r="I112" s="676">
        <f t="shared" si="39"/>
        <v>506.31393309965932</v>
      </c>
      <c r="J112" s="676">
        <f t="shared" si="39"/>
        <v>485.36418262220758</v>
      </c>
      <c r="K112" s="676">
        <f t="shared" si="39"/>
        <v>517.27560028572077</v>
      </c>
      <c r="L112" s="676">
        <f t="shared" si="39"/>
        <v>539.96274530449432</v>
      </c>
    </row>
    <row r="113" spans="1:12">
      <c r="A113" s="302"/>
      <c r="B113" s="676" t="s">
        <v>1754</v>
      </c>
      <c r="C113" s="676">
        <f t="shared" ref="C113:L113" si="40">((C68+C79+C90)/100)*C112</f>
        <v>83.25774006049204</v>
      </c>
      <c r="D113" s="676">
        <f t="shared" si="40"/>
        <v>75.616732243426497</v>
      </c>
      <c r="E113" s="676">
        <f t="shared" si="40"/>
        <v>73.055263655064039</v>
      </c>
      <c r="F113" s="676">
        <f t="shared" si="40"/>
        <v>69.659648648227872</v>
      </c>
      <c r="G113" s="676">
        <f t="shared" si="40"/>
        <v>75.273698168935326</v>
      </c>
      <c r="H113" s="676">
        <f t="shared" si="40"/>
        <v>77.853121169127348</v>
      </c>
      <c r="I113" s="676">
        <f t="shared" si="40"/>
        <v>72.26253066979028</v>
      </c>
      <c r="J113" s="676">
        <f t="shared" si="40"/>
        <v>69.272524099887477</v>
      </c>
      <c r="K113" s="676">
        <f t="shared" si="40"/>
        <v>73.827010253386661</v>
      </c>
      <c r="L113" s="676">
        <f t="shared" si="40"/>
        <v>77.064982597328481</v>
      </c>
    </row>
    <row r="114" spans="1:12">
      <c r="A114" s="302"/>
      <c r="B114" s="676" t="s">
        <v>1755</v>
      </c>
      <c r="C114" s="676">
        <f t="shared" ref="C114:L114" si="41">((C67+C78+C89)/100)*C112</f>
        <v>500.09511847203811</v>
      </c>
      <c r="D114" s="676">
        <f t="shared" si="41"/>
        <v>454.1987164468955</v>
      </c>
      <c r="E114" s="676">
        <f t="shared" si="41"/>
        <v>438.81302454331018</v>
      </c>
      <c r="F114" s="676">
        <f t="shared" si="41"/>
        <v>418.41695700778303</v>
      </c>
      <c r="G114" s="676">
        <f t="shared" si="41"/>
        <v>452.13825136583557</v>
      </c>
      <c r="H114" s="676">
        <f t="shared" si="41"/>
        <v>467.63178806204303</v>
      </c>
      <c r="I114" s="676">
        <f t="shared" si="41"/>
        <v>434.05140242986903</v>
      </c>
      <c r="J114" s="676">
        <f t="shared" si="41"/>
        <v>416.09165852232013</v>
      </c>
      <c r="K114" s="676">
        <f t="shared" si="41"/>
        <v>443.44859003233415</v>
      </c>
      <c r="L114" s="676">
        <f t="shared" si="41"/>
        <v>462.89776270716584</v>
      </c>
    </row>
    <row r="115" spans="1:12">
      <c r="A115" s="302"/>
      <c r="B115" s="676" t="s">
        <v>855</v>
      </c>
      <c r="C115" s="676">
        <f>C113*$C$39</f>
        <v>52.036087537807525</v>
      </c>
      <c r="D115" s="676">
        <f t="shared" ref="D115:L115" si="42">D113*$C$39</f>
        <v>47.260457652141561</v>
      </c>
      <c r="E115" s="676">
        <f t="shared" si="42"/>
        <v>45.659539784415024</v>
      </c>
      <c r="F115" s="676">
        <f t="shared" si="42"/>
        <v>43.537280405142418</v>
      </c>
      <c r="G115" s="676">
        <f t="shared" si="42"/>
        <v>47.046061355584577</v>
      </c>
      <c r="H115" s="676">
        <f t="shared" si="42"/>
        <v>48.658200730704593</v>
      </c>
      <c r="I115" s="676">
        <f t="shared" si="42"/>
        <v>45.164081668618927</v>
      </c>
      <c r="J115" s="676">
        <f t="shared" si="42"/>
        <v>43.295327562429677</v>
      </c>
      <c r="K115" s="676">
        <f t="shared" si="42"/>
        <v>46.141881408366665</v>
      </c>
      <c r="L115" s="676">
        <f t="shared" si="42"/>
        <v>48.1656141233303</v>
      </c>
    </row>
    <row r="116" spans="1:12">
      <c r="A116" s="302"/>
      <c r="B116" s="676" t="s">
        <v>856</v>
      </c>
      <c r="C116" s="676">
        <f>C114</f>
        <v>500.09511847203811</v>
      </c>
      <c r="D116" s="676">
        <f t="shared" ref="D116:L116" si="43">D114</f>
        <v>454.1987164468955</v>
      </c>
      <c r="E116" s="676">
        <f t="shared" si="43"/>
        <v>438.81302454331018</v>
      </c>
      <c r="F116" s="676">
        <f t="shared" si="43"/>
        <v>418.41695700778303</v>
      </c>
      <c r="G116" s="676">
        <f t="shared" si="43"/>
        <v>452.13825136583557</v>
      </c>
      <c r="H116" s="676">
        <f t="shared" si="43"/>
        <v>467.63178806204303</v>
      </c>
      <c r="I116" s="676">
        <f t="shared" si="43"/>
        <v>434.05140242986903</v>
      </c>
      <c r="J116" s="676">
        <f t="shared" si="43"/>
        <v>416.09165852232013</v>
      </c>
      <c r="K116" s="676">
        <f t="shared" si="43"/>
        <v>443.44859003233415</v>
      </c>
      <c r="L116" s="676">
        <f t="shared" si="43"/>
        <v>462.89776270716584</v>
      </c>
    </row>
    <row r="117" spans="1:12">
      <c r="A117" s="302"/>
      <c r="B117" s="676" t="s">
        <v>746</v>
      </c>
      <c r="C117" s="676">
        <f>C116+C115</f>
        <v>552.13120600984564</v>
      </c>
      <c r="D117" s="676">
        <f t="shared" ref="D117:L117" si="44">D116+D115</f>
        <v>501.45917409903706</v>
      </c>
      <c r="E117" s="676">
        <f t="shared" si="44"/>
        <v>484.47256432772519</v>
      </c>
      <c r="F117" s="676">
        <f t="shared" si="44"/>
        <v>461.95423741292547</v>
      </c>
      <c r="G117" s="676">
        <f t="shared" si="44"/>
        <v>499.18431272142016</v>
      </c>
      <c r="H117" s="676">
        <f t="shared" si="44"/>
        <v>516.28998879274764</v>
      </c>
      <c r="I117" s="676">
        <f t="shared" si="44"/>
        <v>479.21548409848793</v>
      </c>
      <c r="J117" s="676">
        <f t="shared" si="44"/>
        <v>459.38698608474982</v>
      </c>
      <c r="K117" s="676">
        <f t="shared" si="44"/>
        <v>489.59047144070081</v>
      </c>
      <c r="L117" s="676">
        <f t="shared" si="44"/>
        <v>511.06337683049617</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 customHeight="1">
      <c r="A5" s="1168" t="s">
        <v>786</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SUM(A12:A1874)</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OUTPUTS_FOR_SECTION_2_OF_MODEL!B80</f>
        <v>Others</v>
      </c>
      <c r="C15" s="300">
        <f>OUTPUTS_FOR_SECTION_2_OF_MODEL!E80</f>
        <v>1285.3779463605965</v>
      </c>
      <c r="D15" s="300">
        <f>OUTPUTS_FOR_SECTION_2_OF_MODEL!F80</f>
        <v>1400.8186277862183</v>
      </c>
      <c r="E15" s="300">
        <f>OUTPUTS_FOR_SECTION_2_OF_MODEL!G80</f>
        <v>1437.002863699402</v>
      </c>
      <c r="F15" s="300">
        <f>OUTPUTS_FOR_SECTION_2_OF_MODEL!H80</f>
        <v>1486.8901071760445</v>
      </c>
      <c r="G15" s="300">
        <f>OUTPUTS_FOR_SECTION_2_OF_MODEL!I80</f>
        <v>1551.3539041262441</v>
      </c>
      <c r="H15" s="300">
        <f>OUTPUTS_FOR_SECTION_2_OF_MODEL!J80</f>
        <v>1640.423711095566</v>
      </c>
      <c r="I15" s="300">
        <f>OUTPUTS_FOR_SECTION_2_OF_MODEL!K80</f>
        <v>1596.0873584509113</v>
      </c>
      <c r="J15" s="300">
        <f>OUTPUTS_FOR_SECTION_2_OF_MODEL!L80</f>
        <v>1572.9642373759284</v>
      </c>
      <c r="K15" s="300">
        <f>OUTPUTS_FOR_SECTION_2_OF_MODEL!M80</f>
        <v>1562.1818429578041</v>
      </c>
      <c r="L15" s="300">
        <f>OUTPUTS_FOR_SECTION_2_OF_MODEL!N80</f>
        <v>1531.5114801687128</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1196.6868680617154</v>
      </c>
      <c r="D44" s="447">
        <f t="shared" si="4"/>
        <v>1304.1621424689693</v>
      </c>
      <c r="E44" s="447">
        <f t="shared" si="4"/>
        <v>1337.8496661041434</v>
      </c>
      <c r="F44" s="447">
        <f t="shared" si="4"/>
        <v>1384.2946897808974</v>
      </c>
      <c r="G44" s="447">
        <f t="shared" si="4"/>
        <v>1444.3104847415334</v>
      </c>
      <c r="H44" s="447">
        <f t="shared" si="4"/>
        <v>1527.2344750299719</v>
      </c>
      <c r="I44" s="447">
        <f t="shared" si="4"/>
        <v>1485.9573307177984</v>
      </c>
      <c r="J44" s="447">
        <f t="shared" si="4"/>
        <v>1464.4297049969894</v>
      </c>
      <c r="K44" s="447">
        <f t="shared" si="4"/>
        <v>1454.3912957937157</v>
      </c>
      <c r="L44" s="447">
        <f t="shared" si="4"/>
        <v>1425.8371880370717</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12.643565472365168</v>
      </c>
      <c r="D58" s="447">
        <f t="shared" ref="D58:L58" si="7">D44/$J$51</f>
        <v>13.779092822831963</v>
      </c>
      <c r="E58" s="447">
        <f t="shared" si="7"/>
        <v>14.13501751963511</v>
      </c>
      <c r="F58" s="447">
        <f t="shared" si="7"/>
        <v>14.625731267228691</v>
      </c>
      <c r="G58" s="447">
        <f t="shared" si="7"/>
        <v>15.259826662785176</v>
      </c>
      <c r="H58" s="447">
        <f t="shared" si="7"/>
        <v>16.135958028829023</v>
      </c>
      <c r="I58" s="447">
        <f t="shared" si="7"/>
        <v>15.699845382695838</v>
      </c>
      <c r="J58" s="447">
        <f t="shared" si="7"/>
        <v>15.472395786205752</v>
      </c>
      <c r="K58" s="447">
        <f t="shared" si="7"/>
        <v>15.366335222337812</v>
      </c>
      <c r="L58" s="447">
        <f t="shared" si="7"/>
        <v>15.064647503886572</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12.643565472365168</v>
      </c>
      <c r="D99" s="447">
        <f t="shared" ref="D99:L99" si="33">D58</f>
        <v>13.779092822831963</v>
      </c>
      <c r="E99" s="447">
        <f t="shared" si="33"/>
        <v>14.13501751963511</v>
      </c>
      <c r="F99" s="447">
        <f t="shared" si="33"/>
        <v>14.625731267228691</v>
      </c>
      <c r="G99" s="447">
        <f t="shared" si="33"/>
        <v>15.259826662785176</v>
      </c>
      <c r="H99" s="447">
        <f t="shared" si="33"/>
        <v>16.135958028829023</v>
      </c>
      <c r="I99" s="447">
        <f t="shared" si="33"/>
        <v>15.699845382695838</v>
      </c>
      <c r="J99" s="447">
        <f t="shared" si="33"/>
        <v>15.472395786205752</v>
      </c>
      <c r="K99" s="447">
        <f t="shared" si="33"/>
        <v>15.366335222337812</v>
      </c>
      <c r="L99" s="447">
        <f t="shared" si="33"/>
        <v>15.064647503886572</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934</v>
      </c>
      <c r="C104" s="447">
        <f t="shared" ref="C104:L104" si="35">C66*C$99</f>
        <v>160.37872795583081</v>
      </c>
      <c r="D104" s="447">
        <f t="shared" si="35"/>
        <v>174.78245231862738</v>
      </c>
      <c r="E104" s="447">
        <f t="shared" si="35"/>
        <v>179.29721915762687</v>
      </c>
      <c r="F104" s="447">
        <f t="shared" si="35"/>
        <v>185.52173286790193</v>
      </c>
      <c r="G104" s="447">
        <f t="shared" si="35"/>
        <v>193.56498721449211</v>
      </c>
      <c r="H104" s="447">
        <f t="shared" si="35"/>
        <v>204.67837404476819</v>
      </c>
      <c r="I104" s="447">
        <f t="shared" si="35"/>
        <v>199.14645414565703</v>
      </c>
      <c r="J104" s="447">
        <f t="shared" si="35"/>
        <v>196.26134416312271</v>
      </c>
      <c r="K104" s="447">
        <f t="shared" si="35"/>
        <v>194.91600701462639</v>
      </c>
      <c r="L104" s="447">
        <f t="shared" si="35"/>
        <v>191.08921522627685</v>
      </c>
    </row>
    <row r="105" spans="1:12">
      <c r="A105" s="302"/>
      <c r="B105" s="319" t="s">
        <v>935</v>
      </c>
      <c r="C105" s="447">
        <f t="shared" ref="C105:L105" si="36">C77*C$99</f>
        <v>453.99885847002804</v>
      </c>
      <c r="D105" s="447">
        <f t="shared" si="36"/>
        <v>494.7728096153914</v>
      </c>
      <c r="E105" s="447">
        <f t="shared" si="36"/>
        <v>507.5531765461518</v>
      </c>
      <c r="F105" s="447">
        <f t="shared" si="36"/>
        <v>525.17348165154078</v>
      </c>
      <c r="G105" s="447">
        <f t="shared" si="36"/>
        <v>547.94226363578059</v>
      </c>
      <c r="H105" s="447">
        <f t="shared" si="36"/>
        <v>579.40195282891807</v>
      </c>
      <c r="I105" s="447">
        <f t="shared" si="36"/>
        <v>563.74223690926215</v>
      </c>
      <c r="J105" s="447">
        <f t="shared" si="36"/>
        <v>555.57508996074785</v>
      </c>
      <c r="K105" s="447">
        <f t="shared" si="36"/>
        <v>551.76672000134238</v>
      </c>
      <c r="L105" s="447">
        <f t="shared" si="36"/>
        <v>540.93386750489628</v>
      </c>
    </row>
    <row r="106" spans="1:12">
      <c r="A106" s="302"/>
      <c r="B106" s="319" t="s">
        <v>936</v>
      </c>
      <c r="C106" s="447">
        <f t="shared" ref="C106:L106" si="37">C88*C$99</f>
        <v>649.9789608106579</v>
      </c>
      <c r="D106" s="447">
        <f t="shared" si="37"/>
        <v>708.3540203491774</v>
      </c>
      <c r="E106" s="447">
        <f t="shared" si="37"/>
        <v>726.65135625973221</v>
      </c>
      <c r="F106" s="447">
        <f t="shared" si="37"/>
        <v>751.87791220342638</v>
      </c>
      <c r="G106" s="447">
        <f t="shared" si="37"/>
        <v>784.4754154282449</v>
      </c>
      <c r="H106" s="447">
        <f t="shared" si="37"/>
        <v>829.51547600921594</v>
      </c>
      <c r="I106" s="447">
        <f t="shared" si="37"/>
        <v>807.09584721466456</v>
      </c>
      <c r="J106" s="447">
        <f t="shared" si="37"/>
        <v>795.4031444967045</v>
      </c>
      <c r="K106" s="447">
        <f t="shared" si="37"/>
        <v>789.95079521781236</v>
      </c>
      <c r="L106" s="447">
        <f t="shared" si="37"/>
        <v>774.441667657484</v>
      </c>
    </row>
    <row r="107" spans="1:12">
      <c r="A107" s="302"/>
      <c r="B107" s="319" t="s">
        <v>8</v>
      </c>
      <c r="C107" s="447">
        <f>SUM(C104:C106)</f>
        <v>1264.3565472365167</v>
      </c>
      <c r="D107" s="447">
        <f t="shared" ref="D107:L107" si="38">SUM(D104:D106)</f>
        <v>1377.9092822831963</v>
      </c>
      <c r="E107" s="447">
        <f t="shared" si="38"/>
        <v>1413.5017519635107</v>
      </c>
      <c r="F107" s="447">
        <f t="shared" si="38"/>
        <v>1462.5731267228691</v>
      </c>
      <c r="G107" s="447">
        <f t="shared" si="38"/>
        <v>1525.9826662785176</v>
      </c>
      <c r="H107" s="447">
        <f t="shared" si="38"/>
        <v>1613.5958028829023</v>
      </c>
      <c r="I107" s="447">
        <f t="shared" si="38"/>
        <v>1569.9845382695837</v>
      </c>
      <c r="J107" s="447">
        <f t="shared" si="38"/>
        <v>1547.239578620575</v>
      </c>
      <c r="K107" s="447">
        <f t="shared" si="38"/>
        <v>1536.6335222337812</v>
      </c>
      <c r="L107" s="447">
        <f t="shared" si="38"/>
        <v>1506.4647503886572</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1264.3565472365167</v>
      </c>
      <c r="D112" s="676">
        <f t="shared" ref="D112:L112" si="39">D107</f>
        <v>1377.9092822831963</v>
      </c>
      <c r="E112" s="676">
        <f t="shared" si="39"/>
        <v>1413.5017519635107</v>
      </c>
      <c r="F112" s="676">
        <f t="shared" si="39"/>
        <v>1462.5731267228691</v>
      </c>
      <c r="G112" s="676">
        <f t="shared" si="39"/>
        <v>1525.9826662785176</v>
      </c>
      <c r="H112" s="676">
        <f t="shared" si="39"/>
        <v>1613.5958028829023</v>
      </c>
      <c r="I112" s="676">
        <f t="shared" si="39"/>
        <v>1569.9845382695837</v>
      </c>
      <c r="J112" s="676">
        <f t="shared" si="39"/>
        <v>1547.239578620575</v>
      </c>
      <c r="K112" s="676">
        <f t="shared" si="39"/>
        <v>1536.6335222337812</v>
      </c>
      <c r="L112" s="676">
        <f t="shared" si="39"/>
        <v>1506.4647503886572</v>
      </c>
    </row>
    <row r="113" spans="1:12">
      <c r="A113" s="302"/>
      <c r="B113" s="676" t="s">
        <v>1754</v>
      </c>
      <c r="C113" s="676">
        <f t="shared" ref="C113:L113" si="40">((C68+C79+C90)/100)*C112</f>
        <v>180.45247779947064</v>
      </c>
      <c r="D113" s="676">
        <f t="shared" si="40"/>
        <v>196.65903950460569</v>
      </c>
      <c r="E113" s="676">
        <f t="shared" si="40"/>
        <v>201.73889562498042</v>
      </c>
      <c r="F113" s="676">
        <f t="shared" si="40"/>
        <v>208.74249851192474</v>
      </c>
      <c r="G113" s="676">
        <f t="shared" si="40"/>
        <v>217.79248409862478</v>
      </c>
      <c r="H113" s="676">
        <f t="shared" si="40"/>
        <v>230.29687427448172</v>
      </c>
      <c r="I113" s="676">
        <f t="shared" si="40"/>
        <v>224.0725534714278</v>
      </c>
      <c r="J113" s="676">
        <f t="shared" si="40"/>
        <v>220.82632966289572</v>
      </c>
      <c r="K113" s="676">
        <f t="shared" si="40"/>
        <v>219.31260384017506</v>
      </c>
      <c r="L113" s="676">
        <f t="shared" si="40"/>
        <v>215.00683293756182</v>
      </c>
    </row>
    <row r="114" spans="1:12">
      <c r="A114" s="302"/>
      <c r="B114" s="676" t="s">
        <v>1755</v>
      </c>
      <c r="C114" s="676">
        <f t="shared" ref="C114:L114" si="41">((C67+C78+C89)/100)*C112</f>
        <v>1083.904069437046</v>
      </c>
      <c r="D114" s="676">
        <f t="shared" si="41"/>
        <v>1181.2502427785905</v>
      </c>
      <c r="E114" s="676">
        <f t="shared" si="41"/>
        <v>1211.7628563385304</v>
      </c>
      <c r="F114" s="676">
        <f t="shared" si="41"/>
        <v>1253.8306282109445</v>
      </c>
      <c r="G114" s="676">
        <f t="shared" si="41"/>
        <v>1308.1901821798929</v>
      </c>
      <c r="H114" s="676">
        <f t="shared" si="41"/>
        <v>1383.2989286084205</v>
      </c>
      <c r="I114" s="676">
        <f t="shared" si="41"/>
        <v>1345.911984798156</v>
      </c>
      <c r="J114" s="676">
        <f t="shared" si="41"/>
        <v>1326.4132489576793</v>
      </c>
      <c r="K114" s="676">
        <f t="shared" si="41"/>
        <v>1317.3209183936062</v>
      </c>
      <c r="L114" s="676">
        <f t="shared" si="41"/>
        <v>1291.4579174510955</v>
      </c>
    </row>
    <row r="115" spans="1:12">
      <c r="A115" s="302"/>
      <c r="B115" s="676" t="s">
        <v>855</v>
      </c>
      <c r="C115" s="676">
        <f>C113*$C$39</f>
        <v>112.78279862466916</v>
      </c>
      <c r="D115" s="676">
        <f t="shared" ref="D115:L115" si="42">D113*$C$39</f>
        <v>122.91189969037856</v>
      </c>
      <c r="E115" s="676">
        <f t="shared" si="42"/>
        <v>126.08680976561276</v>
      </c>
      <c r="F115" s="676">
        <f t="shared" si="42"/>
        <v>130.46406156995295</v>
      </c>
      <c r="G115" s="676">
        <f t="shared" si="42"/>
        <v>136.1203025616405</v>
      </c>
      <c r="H115" s="676">
        <f t="shared" si="42"/>
        <v>143.93554642155107</v>
      </c>
      <c r="I115" s="676">
        <f t="shared" si="42"/>
        <v>140.04534591964239</v>
      </c>
      <c r="J115" s="676">
        <f t="shared" si="42"/>
        <v>138.01645603930982</v>
      </c>
      <c r="K115" s="676">
        <f t="shared" si="42"/>
        <v>137.07037740010941</v>
      </c>
      <c r="L115" s="676">
        <f t="shared" si="42"/>
        <v>134.37927058597614</v>
      </c>
    </row>
    <row r="116" spans="1:12">
      <c r="A116" s="302"/>
      <c r="B116" s="676" t="s">
        <v>856</v>
      </c>
      <c r="C116" s="676">
        <f>C114</f>
        <v>1083.904069437046</v>
      </c>
      <c r="D116" s="676">
        <f t="shared" ref="D116:L116" si="43">D114</f>
        <v>1181.2502427785905</v>
      </c>
      <c r="E116" s="676">
        <f t="shared" si="43"/>
        <v>1211.7628563385304</v>
      </c>
      <c r="F116" s="676">
        <f t="shared" si="43"/>
        <v>1253.8306282109445</v>
      </c>
      <c r="G116" s="676">
        <f t="shared" si="43"/>
        <v>1308.1901821798929</v>
      </c>
      <c r="H116" s="676">
        <f t="shared" si="43"/>
        <v>1383.2989286084205</v>
      </c>
      <c r="I116" s="676">
        <f t="shared" si="43"/>
        <v>1345.911984798156</v>
      </c>
      <c r="J116" s="676">
        <f t="shared" si="43"/>
        <v>1326.4132489576793</v>
      </c>
      <c r="K116" s="676">
        <f t="shared" si="43"/>
        <v>1317.3209183936062</v>
      </c>
      <c r="L116" s="676">
        <f t="shared" si="43"/>
        <v>1291.4579174510955</v>
      </c>
    </row>
    <row r="117" spans="1:12">
      <c r="A117" s="302"/>
      <c r="B117" s="676" t="s">
        <v>746</v>
      </c>
      <c r="C117" s="676">
        <f>C116+C115</f>
        <v>1196.6868680617151</v>
      </c>
      <c r="D117" s="676">
        <f t="shared" ref="D117:L117" si="44">D116+D115</f>
        <v>1304.162142468969</v>
      </c>
      <c r="E117" s="676">
        <f t="shared" si="44"/>
        <v>1337.8496661041431</v>
      </c>
      <c r="F117" s="676">
        <f t="shared" si="44"/>
        <v>1384.2946897808974</v>
      </c>
      <c r="G117" s="676">
        <f t="shared" si="44"/>
        <v>1444.3104847415334</v>
      </c>
      <c r="H117" s="676">
        <f t="shared" si="44"/>
        <v>1527.2344750299717</v>
      </c>
      <c r="I117" s="676">
        <f t="shared" si="44"/>
        <v>1485.9573307177984</v>
      </c>
      <c r="J117" s="676">
        <f t="shared" si="44"/>
        <v>1464.4297049969891</v>
      </c>
      <c r="K117" s="676">
        <f t="shared" si="44"/>
        <v>1454.3912957937157</v>
      </c>
      <c r="L117" s="676">
        <f t="shared" si="44"/>
        <v>1425.8371880370717</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40.7109375" customWidth="1"/>
    <col min="3" max="14"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 customHeight="1">
      <c r="A5" s="1168" t="s">
        <v>787</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SUM(A12:A1875)</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OUTPUTS_FOR_SECTION_2_OF_MODEL!B81</f>
        <v>Physical Education</v>
      </c>
      <c r="C15" s="300">
        <f>OUTPUTS_FOR_SECTION_2_OF_MODEL!E81</f>
        <v>1706.948541192171</v>
      </c>
      <c r="D15" s="300">
        <f>OUTPUTS_FOR_SECTION_2_OF_MODEL!F81</f>
        <v>1656.1605126829438</v>
      </c>
      <c r="E15" s="300">
        <f>OUTPUTS_FOR_SECTION_2_OF_MODEL!G81</f>
        <v>1628.9397382808945</v>
      </c>
      <c r="F15" s="300">
        <f>OUTPUTS_FOR_SECTION_2_OF_MODEL!H81</f>
        <v>1594.033445352748</v>
      </c>
      <c r="G15" s="300">
        <f>OUTPUTS_FOR_SECTION_2_OF_MODEL!I81</f>
        <v>1691.2192386976544</v>
      </c>
      <c r="H15" s="300">
        <f>OUTPUTS_FOR_SECTION_2_OF_MODEL!J81</f>
        <v>1761.7877102060295</v>
      </c>
      <c r="I15" s="300">
        <f>OUTPUTS_FOR_SECTION_2_OF_MODEL!K81</f>
        <v>1714.6752398803219</v>
      </c>
      <c r="J15" s="300">
        <f>OUTPUTS_FOR_SECTION_2_OF_MODEL!L81</f>
        <v>1679.3458219250574</v>
      </c>
      <c r="K15" s="300">
        <f>OUTPUTS_FOR_SECTION_2_OF_MODEL!M81</f>
        <v>1691.4712675724204</v>
      </c>
      <c r="L15" s="300">
        <f>OUTPUTS_FOR_SECTION_2_OF_MODEL!N81</f>
        <v>1684.9483172290484</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1589.1690918499112</v>
      </c>
      <c r="D44" s="447">
        <f t="shared" si="4"/>
        <v>1541.8854373078207</v>
      </c>
      <c r="E44" s="447">
        <f t="shared" si="4"/>
        <v>1516.5428963395129</v>
      </c>
      <c r="F44" s="447">
        <f t="shared" si="4"/>
        <v>1484.0451376234084</v>
      </c>
      <c r="G44" s="447">
        <f t="shared" si="4"/>
        <v>1574.5251112275164</v>
      </c>
      <c r="H44" s="447">
        <f t="shared" si="4"/>
        <v>1640.2243582018136</v>
      </c>
      <c r="I44" s="447">
        <f t="shared" si="4"/>
        <v>1596.3626483285798</v>
      </c>
      <c r="J44" s="447">
        <f t="shared" si="4"/>
        <v>1563.4709602122284</v>
      </c>
      <c r="K44" s="447">
        <f t="shared" si="4"/>
        <v>1574.7597501099235</v>
      </c>
      <c r="L44" s="447">
        <f t="shared" si="4"/>
        <v>1568.6868833402441</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16.790326689226465</v>
      </c>
      <c r="D58" s="447">
        <f t="shared" ref="D58:L58" si="7">D44/$J$51</f>
        <v>16.290752407991192</v>
      </c>
      <c r="E58" s="447">
        <f t="shared" si="7"/>
        <v>16.022996418917892</v>
      </c>
      <c r="F58" s="447">
        <f t="shared" si="7"/>
        <v>15.679642153906435</v>
      </c>
      <c r="G58" s="447">
        <f t="shared" si="7"/>
        <v>16.635606074572117</v>
      </c>
      <c r="H58" s="447">
        <f t="shared" si="7"/>
        <v>17.32974984164634</v>
      </c>
      <c r="I58" s="447">
        <f t="shared" si="7"/>
        <v>16.866330032076309</v>
      </c>
      <c r="J58" s="447">
        <f t="shared" si="7"/>
        <v>16.518813715740951</v>
      </c>
      <c r="K58" s="447">
        <f t="shared" si="7"/>
        <v>16.638085145874104</v>
      </c>
      <c r="L58" s="447">
        <f t="shared" si="7"/>
        <v>16.573922422394268</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16.790326689226465</v>
      </c>
      <c r="D99" s="447">
        <f t="shared" ref="D99:L99" si="33">D58</f>
        <v>16.290752407991192</v>
      </c>
      <c r="E99" s="447">
        <f t="shared" si="33"/>
        <v>16.022996418917892</v>
      </c>
      <c r="F99" s="447">
        <f t="shared" si="33"/>
        <v>15.679642153906435</v>
      </c>
      <c r="G99" s="447">
        <f t="shared" si="33"/>
        <v>16.635606074572117</v>
      </c>
      <c r="H99" s="447">
        <f t="shared" si="33"/>
        <v>17.32974984164634</v>
      </c>
      <c r="I99" s="447">
        <f t="shared" si="33"/>
        <v>16.866330032076309</v>
      </c>
      <c r="J99" s="447">
        <f t="shared" si="33"/>
        <v>16.518813715740951</v>
      </c>
      <c r="K99" s="447">
        <f t="shared" si="33"/>
        <v>16.638085145874104</v>
      </c>
      <c r="L99" s="447">
        <f t="shared" si="33"/>
        <v>16.573922422394268</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937</v>
      </c>
      <c r="C104" s="447">
        <f t="shared" ref="C104:L104" si="35">C66*C$99</f>
        <v>212.97878689888623</v>
      </c>
      <c r="D104" s="447">
        <f t="shared" si="35"/>
        <v>206.64188075329929</v>
      </c>
      <c r="E104" s="447">
        <f t="shared" si="35"/>
        <v>203.24549980174021</v>
      </c>
      <c r="F104" s="447">
        <f t="shared" si="35"/>
        <v>198.8901840183004</v>
      </c>
      <c r="G104" s="447">
        <f t="shared" si="35"/>
        <v>211.01621586454911</v>
      </c>
      <c r="H104" s="447">
        <f t="shared" si="35"/>
        <v>219.82116053187065</v>
      </c>
      <c r="I104" s="447">
        <f t="shared" si="35"/>
        <v>213.94285984755649</v>
      </c>
      <c r="J104" s="447">
        <f t="shared" si="35"/>
        <v>209.53475005609155</v>
      </c>
      <c r="K104" s="447">
        <f t="shared" si="35"/>
        <v>211.04766192324146</v>
      </c>
      <c r="L104" s="447">
        <f t="shared" si="35"/>
        <v>210.23378264240338</v>
      </c>
    </row>
    <row r="105" spans="1:12">
      <c r="A105" s="302"/>
      <c r="B105" s="319" t="s">
        <v>938</v>
      </c>
      <c r="C105" s="447">
        <f t="shared" ref="C105:L105" si="36">C77*C$99</f>
        <v>602.898697120576</v>
      </c>
      <c r="D105" s="447">
        <f t="shared" si="36"/>
        <v>584.9602323815335</v>
      </c>
      <c r="E105" s="447">
        <f t="shared" si="36"/>
        <v>575.34578354164842</v>
      </c>
      <c r="F105" s="447">
        <f t="shared" si="36"/>
        <v>563.01678942153842</v>
      </c>
      <c r="G105" s="447">
        <f t="shared" si="36"/>
        <v>597.34306626720763</v>
      </c>
      <c r="H105" s="447">
        <f t="shared" si="36"/>
        <v>622.2680353002371</v>
      </c>
      <c r="I105" s="447">
        <f t="shared" si="36"/>
        <v>605.62778734193432</v>
      </c>
      <c r="J105" s="447">
        <f t="shared" si="36"/>
        <v>593.14934435361738</v>
      </c>
      <c r="K105" s="447">
        <f t="shared" si="36"/>
        <v>597.43208352611521</v>
      </c>
      <c r="L105" s="447">
        <f t="shared" si="36"/>
        <v>595.1281603740706</v>
      </c>
    </row>
    <row r="106" spans="1:12">
      <c r="A106" s="302"/>
      <c r="B106" s="319" t="s">
        <v>939</v>
      </c>
      <c r="C106" s="447">
        <f t="shared" ref="C106:L106" si="37">C88*C$99</f>
        <v>863.15518490318414</v>
      </c>
      <c r="D106" s="447">
        <f t="shared" si="37"/>
        <v>837.47312766428638</v>
      </c>
      <c r="E106" s="447">
        <f t="shared" si="37"/>
        <v>823.70835854840038</v>
      </c>
      <c r="F106" s="447">
        <f t="shared" si="37"/>
        <v>806.05724195080461</v>
      </c>
      <c r="G106" s="447">
        <f t="shared" si="37"/>
        <v>855.20132532545483</v>
      </c>
      <c r="H106" s="447">
        <f t="shared" si="37"/>
        <v>890.88578833252609</v>
      </c>
      <c r="I106" s="447">
        <f t="shared" si="37"/>
        <v>867.06235601813989</v>
      </c>
      <c r="J106" s="447">
        <f t="shared" si="37"/>
        <v>849.19727716438604</v>
      </c>
      <c r="K106" s="447">
        <f t="shared" si="37"/>
        <v>855.32876913805364</v>
      </c>
      <c r="L106" s="447">
        <f t="shared" si="37"/>
        <v>852.03029922295275</v>
      </c>
    </row>
    <row r="107" spans="1:12">
      <c r="A107" s="302"/>
      <c r="B107" s="319" t="s">
        <v>8</v>
      </c>
      <c r="C107" s="447">
        <f>SUM(C104:C106)</f>
        <v>1679.0326689226463</v>
      </c>
      <c r="D107" s="447">
        <f t="shared" ref="D107:L107" si="38">SUM(D104:D106)</f>
        <v>1629.075240799119</v>
      </c>
      <c r="E107" s="447">
        <f t="shared" si="38"/>
        <v>1602.299641891789</v>
      </c>
      <c r="F107" s="447">
        <f t="shared" si="38"/>
        <v>1567.9642153906434</v>
      </c>
      <c r="G107" s="447">
        <f t="shared" si="38"/>
        <v>1663.5606074572115</v>
      </c>
      <c r="H107" s="447">
        <f t="shared" si="38"/>
        <v>1732.974984164634</v>
      </c>
      <c r="I107" s="447">
        <f t="shared" si="38"/>
        <v>1686.6330032076307</v>
      </c>
      <c r="J107" s="447">
        <f t="shared" si="38"/>
        <v>1651.8813715740948</v>
      </c>
      <c r="K107" s="447">
        <f t="shared" si="38"/>
        <v>1663.8085145874102</v>
      </c>
      <c r="L107" s="447">
        <f t="shared" si="38"/>
        <v>1657.3922422394267</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1679.0326689226463</v>
      </c>
      <c r="D112" s="676">
        <f t="shared" ref="D112:L112" si="39">D107</f>
        <v>1629.075240799119</v>
      </c>
      <c r="E112" s="676">
        <f t="shared" si="39"/>
        <v>1602.299641891789</v>
      </c>
      <c r="F112" s="676">
        <f t="shared" si="39"/>
        <v>1567.9642153906434</v>
      </c>
      <c r="G112" s="676">
        <f t="shared" si="39"/>
        <v>1663.5606074572115</v>
      </c>
      <c r="H112" s="676">
        <f t="shared" si="39"/>
        <v>1732.974984164634</v>
      </c>
      <c r="I112" s="676">
        <f t="shared" si="39"/>
        <v>1686.6330032076307</v>
      </c>
      <c r="J112" s="676">
        <f t="shared" si="39"/>
        <v>1651.8813715740948</v>
      </c>
      <c r="K112" s="676">
        <f t="shared" si="39"/>
        <v>1663.8085145874102</v>
      </c>
      <c r="L112" s="676">
        <f t="shared" si="39"/>
        <v>1657.3922422394267</v>
      </c>
    </row>
    <row r="113" spans="1:12">
      <c r="A113" s="302"/>
      <c r="B113" s="676" t="s">
        <v>1754</v>
      </c>
      <c r="C113" s="676">
        <f t="shared" ref="C113:L113" si="40">((C68+C79+C90)/100)*C112</f>
        <v>239.63620552729404</v>
      </c>
      <c r="D113" s="676">
        <f t="shared" si="40"/>
        <v>232.50614264346331</v>
      </c>
      <c r="E113" s="676">
        <f t="shared" si="40"/>
        <v>228.68465480607034</v>
      </c>
      <c r="F113" s="676">
        <f t="shared" si="40"/>
        <v>223.78420737929375</v>
      </c>
      <c r="G113" s="676">
        <f t="shared" si="40"/>
        <v>237.42798994585399</v>
      </c>
      <c r="H113" s="676">
        <f t="shared" si="40"/>
        <v>247.33500256752157</v>
      </c>
      <c r="I113" s="676">
        <f t="shared" si="40"/>
        <v>240.72094634413671</v>
      </c>
      <c r="J113" s="676">
        <f t="shared" si="40"/>
        <v>235.76109696497821</v>
      </c>
      <c r="K113" s="676">
        <f t="shared" si="40"/>
        <v>237.46337193996496</v>
      </c>
      <c r="L113" s="676">
        <f t="shared" si="40"/>
        <v>236.54762373115432</v>
      </c>
    </row>
    <row r="114" spans="1:12">
      <c r="A114" s="302"/>
      <c r="B114" s="676" t="s">
        <v>1755</v>
      </c>
      <c r="C114" s="676">
        <f t="shared" ref="C114:L114" si="41">((C67+C78+C89)/100)*C112</f>
        <v>1439.3964633953524</v>
      </c>
      <c r="D114" s="676">
        <f t="shared" si="41"/>
        <v>1396.5690981556556</v>
      </c>
      <c r="E114" s="676">
        <f t="shared" si="41"/>
        <v>1373.6149870857187</v>
      </c>
      <c r="F114" s="676">
        <f t="shared" si="41"/>
        <v>1344.1800080113496</v>
      </c>
      <c r="G114" s="676">
        <f t="shared" si="41"/>
        <v>1426.1326175113577</v>
      </c>
      <c r="H114" s="676">
        <f t="shared" si="41"/>
        <v>1485.6399815971124</v>
      </c>
      <c r="I114" s="676">
        <f t="shared" si="41"/>
        <v>1445.9120568634942</v>
      </c>
      <c r="J114" s="676">
        <f t="shared" si="41"/>
        <v>1416.1202746091167</v>
      </c>
      <c r="K114" s="676">
        <f t="shared" si="41"/>
        <v>1426.3451426474453</v>
      </c>
      <c r="L114" s="676">
        <f t="shared" si="41"/>
        <v>1420.8446185082723</v>
      </c>
    </row>
    <row r="115" spans="1:12">
      <c r="A115" s="302"/>
      <c r="B115" s="676" t="s">
        <v>855</v>
      </c>
      <c r="C115" s="676">
        <f>C113*$C$39</f>
        <v>149.77262845455877</v>
      </c>
      <c r="D115" s="676">
        <f t="shared" ref="D115:L115" si="42">D113*$C$39</f>
        <v>145.31633915216457</v>
      </c>
      <c r="E115" s="676">
        <f t="shared" si="42"/>
        <v>142.92790925379396</v>
      </c>
      <c r="F115" s="676">
        <f t="shared" si="42"/>
        <v>139.86512961205858</v>
      </c>
      <c r="G115" s="676">
        <f t="shared" si="42"/>
        <v>148.39249371615875</v>
      </c>
      <c r="H115" s="676">
        <f t="shared" si="42"/>
        <v>154.58437660470099</v>
      </c>
      <c r="I115" s="676">
        <f t="shared" si="42"/>
        <v>150.45059146508544</v>
      </c>
      <c r="J115" s="676">
        <f t="shared" si="42"/>
        <v>147.35068560311137</v>
      </c>
      <c r="K115" s="676">
        <f t="shared" si="42"/>
        <v>148.4146074624781</v>
      </c>
      <c r="L115" s="676">
        <f t="shared" si="42"/>
        <v>147.84226483197145</v>
      </c>
    </row>
    <row r="116" spans="1:12">
      <c r="A116" s="302"/>
      <c r="B116" s="676" t="s">
        <v>856</v>
      </c>
      <c r="C116" s="676">
        <f>C114</f>
        <v>1439.3964633953524</v>
      </c>
      <c r="D116" s="676">
        <f t="shared" ref="D116:L116" si="43">D114</f>
        <v>1396.5690981556556</v>
      </c>
      <c r="E116" s="676">
        <f t="shared" si="43"/>
        <v>1373.6149870857187</v>
      </c>
      <c r="F116" s="676">
        <f t="shared" si="43"/>
        <v>1344.1800080113496</v>
      </c>
      <c r="G116" s="676">
        <f t="shared" si="43"/>
        <v>1426.1326175113577</v>
      </c>
      <c r="H116" s="676">
        <f t="shared" si="43"/>
        <v>1485.6399815971124</v>
      </c>
      <c r="I116" s="676">
        <f t="shared" si="43"/>
        <v>1445.9120568634942</v>
      </c>
      <c r="J116" s="676">
        <f t="shared" si="43"/>
        <v>1416.1202746091167</v>
      </c>
      <c r="K116" s="676">
        <f t="shared" si="43"/>
        <v>1426.3451426474453</v>
      </c>
      <c r="L116" s="676">
        <f t="shared" si="43"/>
        <v>1420.8446185082723</v>
      </c>
    </row>
    <row r="117" spans="1:12">
      <c r="A117" s="302"/>
      <c r="B117" s="676" t="s">
        <v>746</v>
      </c>
      <c r="C117" s="676">
        <f>C116+C115</f>
        <v>1589.1690918499112</v>
      </c>
      <c r="D117" s="676">
        <f t="shared" ref="D117:L117" si="44">D116+D115</f>
        <v>1541.8854373078202</v>
      </c>
      <c r="E117" s="676">
        <f t="shared" si="44"/>
        <v>1516.5428963395127</v>
      </c>
      <c r="F117" s="676">
        <f t="shared" si="44"/>
        <v>1484.0451376234082</v>
      </c>
      <c r="G117" s="676">
        <f t="shared" si="44"/>
        <v>1574.5251112275164</v>
      </c>
      <c r="H117" s="676">
        <f t="shared" si="44"/>
        <v>1640.2243582018134</v>
      </c>
      <c r="I117" s="676">
        <f t="shared" si="44"/>
        <v>1596.3626483285796</v>
      </c>
      <c r="J117" s="676">
        <f t="shared" si="44"/>
        <v>1563.470960212228</v>
      </c>
      <c r="K117" s="676">
        <f t="shared" si="44"/>
        <v>1574.7597501099235</v>
      </c>
      <c r="L117" s="676">
        <f t="shared" si="44"/>
        <v>1568.6868833402439</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35.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6.45" customHeight="1">
      <c r="A5" s="1168" t="s">
        <v>788</v>
      </c>
      <c r="B5" s="1168"/>
      <c r="C5" s="1168"/>
      <c r="D5" s="1168"/>
      <c r="E5" s="1168"/>
      <c r="F5" s="1168"/>
      <c r="G5" s="1168"/>
      <c r="H5" s="1168"/>
      <c r="I5" s="1168"/>
      <c r="J5" s="1168"/>
      <c r="K5" s="1168"/>
      <c r="L5" s="1168"/>
      <c r="M5" s="116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SUM(A12:A1875)</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OUTPUTS_FOR_SECTION_2_OF_MODEL!B82</f>
        <v>Physics</v>
      </c>
      <c r="C15" s="300">
        <f>OUTPUTS_FOR_SECTION_2_OF_MODEL!E82</f>
        <v>1576.647302543538</v>
      </c>
      <c r="D15" s="300">
        <f>OUTPUTS_FOR_SECTION_2_OF_MODEL!F82</f>
        <v>1486.9228279603258</v>
      </c>
      <c r="E15" s="300">
        <f>OUTPUTS_FOR_SECTION_2_OF_MODEL!G82</f>
        <v>1511.528717484347</v>
      </c>
      <c r="F15" s="300">
        <f>OUTPUTS_FOR_SECTION_2_OF_MODEL!H82</f>
        <v>1540.5389406557383</v>
      </c>
      <c r="G15" s="300">
        <f>OUTPUTS_FOR_SECTION_2_OF_MODEL!I82</f>
        <v>1549.9248396440018</v>
      </c>
      <c r="H15" s="300">
        <f>OUTPUTS_FOR_SECTION_2_OF_MODEL!J82</f>
        <v>1516.417190398015</v>
      </c>
      <c r="I15" s="300">
        <f>OUTPUTS_FOR_SECTION_2_OF_MODEL!K82</f>
        <v>1503.2781312333523</v>
      </c>
      <c r="J15" s="300">
        <f>OUTPUTS_FOR_SECTION_2_OF_MODEL!L82</f>
        <v>1478.1289993633811</v>
      </c>
      <c r="K15" s="300">
        <f>OUTPUTS_FOR_SECTION_2_OF_MODEL!M82</f>
        <v>1423.9817986848645</v>
      </c>
      <c r="L15" s="300">
        <f>OUTPUTS_FOR_SECTION_2_OF_MODEL!N82</f>
        <v>1372.3227559915913</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1467.858638668034</v>
      </c>
      <c r="D44" s="447">
        <f t="shared" si="4"/>
        <v>1384.3251528310634</v>
      </c>
      <c r="E44" s="447">
        <f t="shared" si="4"/>
        <v>1407.2332359779271</v>
      </c>
      <c r="F44" s="447">
        <f t="shared" si="4"/>
        <v>1434.2417537504925</v>
      </c>
      <c r="G44" s="447">
        <f t="shared" si="4"/>
        <v>1442.9800257085658</v>
      </c>
      <c r="H44" s="447">
        <f t="shared" si="4"/>
        <v>1411.784404260552</v>
      </c>
      <c r="I44" s="447">
        <f t="shared" si="4"/>
        <v>1399.551940178251</v>
      </c>
      <c r="J44" s="447">
        <f t="shared" si="4"/>
        <v>1376.138098407308</v>
      </c>
      <c r="K44" s="447">
        <f t="shared" si="4"/>
        <v>1325.7270545756089</v>
      </c>
      <c r="L44" s="447">
        <f t="shared" si="4"/>
        <v>1277.6324858281716</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15.508624100000546</v>
      </c>
      <c r="D58" s="447">
        <f t="shared" ref="D58:L58" si="7">D44/$J$51</f>
        <v>14.626053123830898</v>
      </c>
      <c r="E58" s="447">
        <f t="shared" si="7"/>
        <v>14.868087909073331</v>
      </c>
      <c r="F58" s="447">
        <f t="shared" si="7"/>
        <v>15.153445734819405</v>
      </c>
      <c r="G58" s="447">
        <f t="shared" si="7"/>
        <v>15.245769730816939</v>
      </c>
      <c r="H58" s="447">
        <f t="shared" si="7"/>
        <v>14.91617316486821</v>
      </c>
      <c r="I58" s="447">
        <f t="shared" si="7"/>
        <v>14.786931368504693</v>
      </c>
      <c r="J58" s="447">
        <f t="shared" si="7"/>
        <v>14.539553003043052</v>
      </c>
      <c r="K58" s="447">
        <f t="shared" si="7"/>
        <v>14.006936367708263</v>
      </c>
      <c r="L58" s="447">
        <f t="shared" si="7"/>
        <v>13.49879439251611</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ht="25.5">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ht="25.5">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ht="25.5">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ht="25.5">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ht="25.5">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ht="25.5">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15.508624100000546</v>
      </c>
      <c r="D99" s="447">
        <f t="shared" ref="D99:L99" si="33">D58</f>
        <v>14.626053123830898</v>
      </c>
      <c r="E99" s="447">
        <f t="shared" si="33"/>
        <v>14.868087909073331</v>
      </c>
      <c r="F99" s="447">
        <f t="shared" si="33"/>
        <v>15.153445734819405</v>
      </c>
      <c r="G99" s="447">
        <f t="shared" si="33"/>
        <v>15.245769730816939</v>
      </c>
      <c r="H99" s="447">
        <f t="shared" si="33"/>
        <v>14.91617316486821</v>
      </c>
      <c r="I99" s="447">
        <f t="shared" si="33"/>
        <v>14.786931368504693</v>
      </c>
      <c r="J99" s="447">
        <f t="shared" si="33"/>
        <v>14.539553003043052</v>
      </c>
      <c r="K99" s="447">
        <f t="shared" si="33"/>
        <v>14.006936367708263</v>
      </c>
      <c r="L99" s="447">
        <f t="shared" si="33"/>
        <v>13.49879439251611</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940</v>
      </c>
      <c r="C104" s="447">
        <f t="shared" ref="C104:L104" si="35">C66*C$99</f>
        <v>196.72088628319108</v>
      </c>
      <c r="D104" s="447">
        <f t="shared" si="35"/>
        <v>185.52581549416419</v>
      </c>
      <c r="E104" s="447">
        <f t="shared" si="35"/>
        <v>188.59593294347755</v>
      </c>
      <c r="F104" s="447">
        <f t="shared" si="35"/>
        <v>192.2155863715731</v>
      </c>
      <c r="G104" s="447">
        <f t="shared" si="35"/>
        <v>193.3866804802916</v>
      </c>
      <c r="H104" s="447">
        <f t="shared" si="35"/>
        <v>189.20587577761472</v>
      </c>
      <c r="I104" s="447">
        <f t="shared" si="35"/>
        <v>187.56649367888542</v>
      </c>
      <c r="J104" s="447">
        <f t="shared" si="35"/>
        <v>184.42859498541594</v>
      </c>
      <c r="K104" s="447">
        <f t="shared" si="35"/>
        <v>177.67255938376465</v>
      </c>
      <c r="L104" s="447">
        <f t="shared" si="35"/>
        <v>171.22697536077655</v>
      </c>
    </row>
    <row r="105" spans="1:12">
      <c r="A105" s="302"/>
      <c r="B105" s="319" t="s">
        <v>941</v>
      </c>
      <c r="C105" s="447">
        <f t="shared" ref="C105:L105" si="36">C77*C$99</f>
        <v>556.87595822793719</v>
      </c>
      <c r="D105" s="447">
        <f t="shared" si="36"/>
        <v>525.18503871828057</v>
      </c>
      <c r="E105" s="447">
        <f t="shared" si="36"/>
        <v>533.87590336799292</v>
      </c>
      <c r="F105" s="447">
        <f t="shared" si="36"/>
        <v>544.1223902017399</v>
      </c>
      <c r="G105" s="447">
        <f t="shared" si="36"/>
        <v>547.4375143163644</v>
      </c>
      <c r="H105" s="447">
        <f t="shared" si="36"/>
        <v>535.60252480937584</v>
      </c>
      <c r="I105" s="447">
        <f t="shared" si="36"/>
        <v>530.96177468680173</v>
      </c>
      <c r="J105" s="447">
        <f t="shared" si="36"/>
        <v>522.07903541715189</v>
      </c>
      <c r="K105" s="447">
        <f t="shared" si="36"/>
        <v>502.95410226655804</v>
      </c>
      <c r="L105" s="447">
        <f t="shared" si="36"/>
        <v>484.70799303556851</v>
      </c>
    </row>
    <row r="106" spans="1:12">
      <c r="A106" s="302"/>
      <c r="B106" s="319" t="s">
        <v>942</v>
      </c>
      <c r="C106" s="447">
        <f t="shared" ref="C106:L106" si="37">C88*C$99</f>
        <v>797.26556548892631</v>
      </c>
      <c r="D106" s="447">
        <f t="shared" si="37"/>
        <v>751.89445817064507</v>
      </c>
      <c r="E106" s="447">
        <f t="shared" si="37"/>
        <v>764.33695459586249</v>
      </c>
      <c r="F106" s="447">
        <f t="shared" si="37"/>
        <v>779.00659690862744</v>
      </c>
      <c r="G106" s="447">
        <f t="shared" si="37"/>
        <v>783.75277828503783</v>
      </c>
      <c r="H106" s="447">
        <f t="shared" si="37"/>
        <v>766.80891589983037</v>
      </c>
      <c r="I106" s="447">
        <f t="shared" si="37"/>
        <v>760.164868484782</v>
      </c>
      <c r="J106" s="447">
        <f t="shared" si="37"/>
        <v>747.44766990173719</v>
      </c>
      <c r="K106" s="447">
        <f t="shared" si="37"/>
        <v>720.06697512050357</v>
      </c>
      <c r="L106" s="447">
        <f t="shared" si="37"/>
        <v>693.94447085526599</v>
      </c>
    </row>
    <row r="107" spans="1:12">
      <c r="A107" s="302"/>
      <c r="B107" s="319" t="s">
        <v>8</v>
      </c>
      <c r="C107" s="447">
        <f>SUM(C104:C106)</f>
        <v>1550.8624100000545</v>
      </c>
      <c r="D107" s="447">
        <f t="shared" ref="D107:L107" si="38">SUM(D104:D106)</f>
        <v>1462.6053123830898</v>
      </c>
      <c r="E107" s="447">
        <f t="shared" si="38"/>
        <v>1486.8087909073329</v>
      </c>
      <c r="F107" s="447">
        <f t="shared" si="38"/>
        <v>1515.3445734819404</v>
      </c>
      <c r="G107" s="447">
        <f t="shared" si="38"/>
        <v>1524.5769730816937</v>
      </c>
      <c r="H107" s="447">
        <f t="shared" si="38"/>
        <v>1491.617316486821</v>
      </c>
      <c r="I107" s="447">
        <f t="shared" si="38"/>
        <v>1478.6931368504693</v>
      </c>
      <c r="J107" s="447">
        <f t="shared" si="38"/>
        <v>1453.9553003043052</v>
      </c>
      <c r="K107" s="447">
        <f t="shared" si="38"/>
        <v>1400.6936367708263</v>
      </c>
      <c r="L107" s="447">
        <f t="shared" si="38"/>
        <v>1349.8794392516111</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1550.8624100000545</v>
      </c>
      <c r="D112" s="676">
        <f t="shared" ref="D112:L112" si="39">D107</f>
        <v>1462.6053123830898</v>
      </c>
      <c r="E112" s="676">
        <f t="shared" si="39"/>
        <v>1486.8087909073329</v>
      </c>
      <c r="F112" s="676">
        <f t="shared" si="39"/>
        <v>1515.3445734819404</v>
      </c>
      <c r="G112" s="676">
        <f t="shared" si="39"/>
        <v>1524.5769730816937</v>
      </c>
      <c r="H112" s="676">
        <f t="shared" si="39"/>
        <v>1491.617316486821</v>
      </c>
      <c r="I112" s="676">
        <f t="shared" si="39"/>
        <v>1478.6931368504693</v>
      </c>
      <c r="J112" s="676">
        <f t="shared" si="39"/>
        <v>1453.9553003043052</v>
      </c>
      <c r="K112" s="676">
        <f t="shared" si="39"/>
        <v>1400.6936367708263</v>
      </c>
      <c r="L112" s="676">
        <f t="shared" si="39"/>
        <v>1349.8794392516111</v>
      </c>
    </row>
    <row r="113" spans="1:12">
      <c r="A113" s="302"/>
      <c r="B113" s="676" t="s">
        <v>1754</v>
      </c>
      <c r="C113" s="676">
        <f t="shared" ref="C113:L113" si="40">((C68+C79+C90)/100)*C112</f>
        <v>221.34339021872202</v>
      </c>
      <c r="D113" s="676">
        <f t="shared" si="40"/>
        <v>208.74709213873763</v>
      </c>
      <c r="E113" s="676">
        <f t="shared" si="40"/>
        <v>212.20147981174969</v>
      </c>
      <c r="F113" s="676">
        <f t="shared" si="40"/>
        <v>216.27418595052816</v>
      </c>
      <c r="G113" s="676">
        <f t="shared" si="40"/>
        <v>217.5918596616753</v>
      </c>
      <c r="H113" s="676">
        <f t="shared" si="40"/>
        <v>212.88776593671761</v>
      </c>
      <c r="I113" s="676">
        <f t="shared" si="40"/>
        <v>211.04319112591557</v>
      </c>
      <c r="J113" s="676">
        <f t="shared" si="40"/>
        <v>207.51253839199293</v>
      </c>
      <c r="K113" s="676">
        <f t="shared" si="40"/>
        <v>199.91088585391336</v>
      </c>
      <c r="L113" s="676">
        <f t="shared" si="40"/>
        <v>192.65854246250544</v>
      </c>
    </row>
    <row r="114" spans="1:12">
      <c r="A114" s="302"/>
      <c r="B114" s="676" t="s">
        <v>1755</v>
      </c>
      <c r="C114" s="676">
        <f t="shared" ref="C114:L114" si="41">((C67+C78+C89)/100)*C112</f>
        <v>1329.5190197813326</v>
      </c>
      <c r="D114" s="676">
        <f t="shared" si="41"/>
        <v>1253.8582202443522</v>
      </c>
      <c r="E114" s="676">
        <f t="shared" si="41"/>
        <v>1274.6073110955831</v>
      </c>
      <c r="F114" s="676">
        <f t="shared" si="41"/>
        <v>1299.0703875314123</v>
      </c>
      <c r="G114" s="676">
        <f t="shared" si="41"/>
        <v>1306.9851134200185</v>
      </c>
      <c r="H114" s="676">
        <f t="shared" si="41"/>
        <v>1278.7295505501033</v>
      </c>
      <c r="I114" s="676">
        <f t="shared" si="41"/>
        <v>1267.6499457245538</v>
      </c>
      <c r="J114" s="676">
        <f t="shared" si="41"/>
        <v>1246.4427619123123</v>
      </c>
      <c r="K114" s="676">
        <f t="shared" si="41"/>
        <v>1200.7827509169128</v>
      </c>
      <c r="L114" s="676">
        <f t="shared" si="41"/>
        <v>1157.2208967891056</v>
      </c>
    </row>
    <row r="115" spans="1:12">
      <c r="A115" s="302"/>
      <c r="B115" s="676" t="s">
        <v>855</v>
      </c>
      <c r="C115" s="676">
        <f>C113*$C$39</f>
        <v>138.33961888670126</v>
      </c>
      <c r="D115" s="676">
        <f t="shared" ref="D115:L115" si="42">D113*$C$39</f>
        <v>130.46693258671101</v>
      </c>
      <c r="E115" s="676">
        <f t="shared" si="42"/>
        <v>132.62592488234355</v>
      </c>
      <c r="F115" s="676">
        <f t="shared" si="42"/>
        <v>135.17136621908011</v>
      </c>
      <c r="G115" s="676">
        <f t="shared" si="42"/>
        <v>135.99491228854706</v>
      </c>
      <c r="H115" s="676">
        <f t="shared" si="42"/>
        <v>133.0548537104485</v>
      </c>
      <c r="I115" s="676">
        <f t="shared" si="42"/>
        <v>131.90199445369723</v>
      </c>
      <c r="J115" s="676">
        <f t="shared" si="42"/>
        <v>129.69533649499559</v>
      </c>
      <c r="K115" s="676">
        <f t="shared" si="42"/>
        <v>124.94430365869584</v>
      </c>
      <c r="L115" s="676">
        <f t="shared" si="42"/>
        <v>120.4115890390659</v>
      </c>
    </row>
    <row r="116" spans="1:12">
      <c r="A116" s="302"/>
      <c r="B116" s="676" t="s">
        <v>856</v>
      </c>
      <c r="C116" s="676">
        <f>C114</f>
        <v>1329.5190197813326</v>
      </c>
      <c r="D116" s="676">
        <f t="shared" ref="D116:L116" si="43">D114</f>
        <v>1253.8582202443522</v>
      </c>
      <c r="E116" s="676">
        <f t="shared" si="43"/>
        <v>1274.6073110955831</v>
      </c>
      <c r="F116" s="676">
        <f t="shared" si="43"/>
        <v>1299.0703875314123</v>
      </c>
      <c r="G116" s="676">
        <f t="shared" si="43"/>
        <v>1306.9851134200185</v>
      </c>
      <c r="H116" s="676">
        <f t="shared" si="43"/>
        <v>1278.7295505501033</v>
      </c>
      <c r="I116" s="676">
        <f t="shared" si="43"/>
        <v>1267.6499457245538</v>
      </c>
      <c r="J116" s="676">
        <f t="shared" si="43"/>
        <v>1246.4427619123123</v>
      </c>
      <c r="K116" s="676">
        <f t="shared" si="43"/>
        <v>1200.7827509169128</v>
      </c>
      <c r="L116" s="676">
        <f t="shared" si="43"/>
        <v>1157.2208967891056</v>
      </c>
    </row>
    <row r="117" spans="1:12">
      <c r="A117" s="302"/>
      <c r="B117" s="676" t="s">
        <v>746</v>
      </c>
      <c r="C117" s="676">
        <f>C116+C115</f>
        <v>1467.858638668034</v>
      </c>
      <c r="D117" s="676">
        <f t="shared" ref="D117:L117" si="44">D116+D115</f>
        <v>1384.3251528310632</v>
      </c>
      <c r="E117" s="676">
        <f t="shared" si="44"/>
        <v>1407.2332359779266</v>
      </c>
      <c r="F117" s="676">
        <f t="shared" si="44"/>
        <v>1434.2417537504923</v>
      </c>
      <c r="G117" s="676">
        <f t="shared" si="44"/>
        <v>1442.9800257085656</v>
      </c>
      <c r="H117" s="676">
        <f t="shared" si="44"/>
        <v>1411.7844042605518</v>
      </c>
      <c r="I117" s="676">
        <f t="shared" si="44"/>
        <v>1399.551940178251</v>
      </c>
      <c r="J117" s="676">
        <f t="shared" si="44"/>
        <v>1376.138098407308</v>
      </c>
      <c r="K117" s="676">
        <f t="shared" si="44"/>
        <v>1325.7270545756087</v>
      </c>
      <c r="L117" s="676">
        <f t="shared" si="44"/>
        <v>1277.6324858281714</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M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3"/>
  <sheetViews>
    <sheetView showGridLines="0" workbookViewId="0"/>
  </sheetViews>
  <sheetFormatPr defaultRowHeight="12.75"/>
  <cols>
    <col min="2" max="2" width="40.7109375" customWidth="1"/>
    <col min="3" max="13" width="11.7109375" customWidth="1"/>
  </cols>
  <sheetData>
    <row r="1" spans="1:13" s="65" customFormat="1" ht="15">
      <c r="A1" s="64" t="str">
        <f>ModelBanner</f>
        <v>TSM_201819 Publication</v>
      </c>
    </row>
    <row r="2" spans="1:13" s="65" customFormat="1" ht="15">
      <c r="A2" s="940" t="s">
        <v>13</v>
      </c>
      <c r="B2" s="940" t="s">
        <v>30</v>
      </c>
    </row>
    <row r="3" spans="1:13" s="65" customFormat="1" ht="15">
      <c r="A3" s="66"/>
    </row>
    <row r="4" spans="1:13" s="569" customFormat="1">
      <c r="A4" s="570" t="s">
        <v>26</v>
      </c>
      <c r="B4" s="570"/>
      <c r="C4" s="570"/>
      <c r="D4" s="570"/>
      <c r="E4" s="285"/>
      <c r="F4" s="570"/>
      <c r="G4" s="570"/>
      <c r="H4" s="570"/>
      <c r="I4" s="570"/>
    </row>
    <row r="5" spans="1:13" s="568" customFormat="1" ht="27" customHeight="1">
      <c r="A5" s="1168" t="s">
        <v>789</v>
      </c>
      <c r="B5" s="1168"/>
      <c r="C5" s="1168"/>
      <c r="D5" s="1168"/>
      <c r="E5" s="1168"/>
      <c r="F5" s="1168"/>
      <c r="G5" s="1168"/>
      <c r="H5" s="1168"/>
      <c r="I5" s="1168"/>
      <c r="J5" s="1168"/>
      <c r="K5" s="1168"/>
      <c r="L5" s="1168"/>
      <c r="M5" s="58"/>
    </row>
    <row r="6" spans="1:13" s="565" customFormat="1">
      <c r="A6" s="567" t="s">
        <v>1392</v>
      </c>
      <c r="B6" s="60"/>
      <c r="C6" s="60"/>
      <c r="D6" s="60"/>
      <c r="E6" s="285"/>
      <c r="F6" s="60"/>
      <c r="G6" s="60"/>
      <c r="H6" s="60"/>
      <c r="I6" s="60"/>
      <c r="J6" s="44"/>
      <c r="K6" s="44"/>
      <c r="L6" s="44"/>
      <c r="M6" s="44"/>
    </row>
    <row r="7" spans="1:13" s="565" customFormat="1">
      <c r="A7" s="652" t="s">
        <v>1386</v>
      </c>
      <c r="B7" s="567"/>
      <c r="C7" s="60"/>
      <c r="D7" s="60"/>
      <c r="E7" s="285"/>
      <c r="F7" s="60"/>
      <c r="G7" s="60"/>
      <c r="H7" s="60"/>
      <c r="I7" s="60"/>
      <c r="J7" s="44"/>
      <c r="K7" s="44"/>
      <c r="L7" s="44"/>
      <c r="M7" s="44"/>
    </row>
    <row r="8" spans="1:13" s="565" customFormat="1">
      <c r="A8" s="567" t="s">
        <v>24</v>
      </c>
      <c r="B8" s="60"/>
      <c r="C8" s="60"/>
      <c r="D8" s="60"/>
      <c r="E8" s="285"/>
      <c r="F8" s="60"/>
      <c r="G8" s="60"/>
      <c r="H8" s="60"/>
      <c r="I8" s="60"/>
      <c r="J8" s="44"/>
      <c r="K8" s="44"/>
      <c r="L8" s="44"/>
      <c r="M8" s="44"/>
    </row>
    <row r="9" spans="1:13" s="565" customFormat="1">
      <c r="A9" s="566" t="s">
        <v>767</v>
      </c>
      <c r="B9" s="60"/>
      <c r="C9" s="60"/>
      <c r="D9" s="60"/>
      <c r="E9" s="285"/>
      <c r="F9" s="60"/>
      <c r="G9" s="60"/>
      <c r="H9" s="60"/>
      <c r="I9" s="60"/>
      <c r="J9" s="44"/>
      <c r="K9" s="44"/>
      <c r="L9" s="44"/>
      <c r="M9" s="44"/>
    </row>
    <row r="10" spans="1:13" s="563" customFormat="1">
      <c r="A10" s="564">
        <f>SUM(A12:A1874)</f>
        <v>0</v>
      </c>
      <c r="B10" s="72"/>
      <c r="C10" s="70"/>
      <c r="D10" s="47"/>
      <c r="E10" s="47"/>
      <c r="F10" s="47"/>
      <c r="G10" s="47"/>
      <c r="H10" s="71"/>
      <c r="I10" s="48"/>
      <c r="J10" s="48"/>
      <c r="K10" s="48"/>
      <c r="L10" s="48"/>
      <c r="M10" s="48"/>
    </row>
    <row r="11" spans="1:13">
      <c r="A11" s="302"/>
      <c r="B11" s="302"/>
      <c r="C11" s="302"/>
      <c r="D11" s="302"/>
      <c r="E11" s="302"/>
      <c r="F11" s="302"/>
      <c r="G11" s="302"/>
      <c r="H11" s="302"/>
      <c r="I11" s="302"/>
      <c r="J11" s="302"/>
      <c r="K11" s="302"/>
      <c r="L11" s="302"/>
    </row>
    <row r="12" spans="1:13" ht="15.75">
      <c r="A12" s="302"/>
      <c r="B12" s="333" t="s">
        <v>1497</v>
      </c>
      <c r="C12" s="302"/>
      <c r="D12" s="302"/>
      <c r="E12" s="302"/>
      <c r="F12" s="302"/>
      <c r="G12" s="302"/>
      <c r="H12" s="302"/>
      <c r="I12" s="302"/>
      <c r="J12" s="302"/>
      <c r="K12" s="302"/>
      <c r="L12" s="302"/>
    </row>
    <row r="13" spans="1:13">
      <c r="A13" s="302"/>
      <c r="B13" s="302"/>
      <c r="C13" s="302"/>
      <c r="D13" s="302"/>
      <c r="E13" s="302"/>
      <c r="F13" s="302"/>
      <c r="G13" s="302"/>
      <c r="H13" s="302"/>
      <c r="I13" s="302"/>
      <c r="J13" s="302"/>
      <c r="K13" s="302"/>
      <c r="L13" s="302"/>
    </row>
    <row r="14" spans="1:13">
      <c r="A14" s="302"/>
      <c r="B14" s="319"/>
      <c r="C14" s="319" t="str">
        <f>OUTPUTS_FOR_SECTION_2_OF_MODEL!E64</f>
        <v>2019/20</v>
      </c>
      <c r="D14" s="319" t="str">
        <f>OUTPUTS_FOR_SECTION_2_OF_MODEL!F64</f>
        <v>2020/21</v>
      </c>
      <c r="E14" s="319" t="str">
        <f>OUTPUTS_FOR_SECTION_2_OF_MODEL!G64</f>
        <v>2021/22</v>
      </c>
      <c r="F14" s="319" t="str">
        <f>OUTPUTS_FOR_SECTION_2_OF_MODEL!H64</f>
        <v>2022/23</v>
      </c>
      <c r="G14" s="319" t="str">
        <f>OUTPUTS_FOR_SECTION_2_OF_MODEL!I64</f>
        <v>2023/24</v>
      </c>
      <c r="H14" s="319" t="str">
        <f>OUTPUTS_FOR_SECTION_2_OF_MODEL!J64</f>
        <v>2024/25</v>
      </c>
      <c r="I14" s="319" t="str">
        <f>OUTPUTS_FOR_SECTION_2_OF_MODEL!K64</f>
        <v>2025/26</v>
      </c>
      <c r="J14" s="319" t="str">
        <f>OUTPUTS_FOR_SECTION_2_OF_MODEL!L64</f>
        <v>2026/27</v>
      </c>
      <c r="K14" s="319" t="str">
        <f>OUTPUTS_FOR_SECTION_2_OF_MODEL!M64</f>
        <v>2027/28</v>
      </c>
      <c r="L14" s="319" t="str">
        <f>OUTPUTS_FOR_SECTION_2_OF_MODEL!N64</f>
        <v>2028/29</v>
      </c>
    </row>
    <row r="15" spans="1:13">
      <c r="A15" s="302"/>
      <c r="B15" s="648" t="str">
        <f>OUTPUTS_FOR_SECTION_2_OF_MODEL!B84</f>
        <v>Religious Education</v>
      </c>
      <c r="C15" s="300">
        <f>OUTPUTS_FOR_SECTION_2_OF_MODEL!E84</f>
        <v>867.04678938031998</v>
      </c>
      <c r="D15" s="300">
        <f>OUTPUTS_FOR_SECTION_2_OF_MODEL!F84</f>
        <v>803.41286876655727</v>
      </c>
      <c r="E15" s="300">
        <f>OUTPUTS_FOR_SECTION_2_OF_MODEL!G84</f>
        <v>783.59414836479846</v>
      </c>
      <c r="F15" s="300">
        <f>OUTPUTS_FOR_SECTION_2_OF_MODEL!H84</f>
        <v>761.34044717295467</v>
      </c>
      <c r="G15" s="300">
        <f>OUTPUTS_FOR_SECTION_2_OF_MODEL!I84</f>
        <v>797.7558971130976</v>
      </c>
      <c r="H15" s="300">
        <f>OUTPUTS_FOR_SECTION_2_OF_MODEL!J84</f>
        <v>823.41797792246564</v>
      </c>
      <c r="I15" s="300">
        <f>OUTPUTS_FOR_SECTION_2_OF_MODEL!K84</f>
        <v>793.55847001304119</v>
      </c>
      <c r="J15" s="300">
        <f>OUTPUTS_FOR_SECTION_2_OF_MODEL!L84</f>
        <v>771.81387867996375</v>
      </c>
      <c r="K15" s="300">
        <f>OUTPUTS_FOR_SECTION_2_OF_MODEL!M84</f>
        <v>775.59123399644454</v>
      </c>
      <c r="L15" s="300">
        <f>OUTPUTS_FOR_SECTION_2_OF_MODEL!N84</f>
        <v>771.13827426105649</v>
      </c>
    </row>
    <row r="16" spans="1:13">
      <c r="A16" s="302"/>
      <c r="B16" s="302"/>
      <c r="C16" s="302"/>
      <c r="D16" s="302"/>
      <c r="E16" s="302"/>
      <c r="F16" s="302"/>
      <c r="G16" s="302"/>
      <c r="H16" s="302"/>
      <c r="I16" s="302"/>
      <c r="J16" s="302"/>
      <c r="K16" s="302"/>
      <c r="L16" s="302"/>
    </row>
    <row r="17" spans="1:12" ht="15.75">
      <c r="A17" s="302"/>
      <c r="B17" s="647" t="s">
        <v>1478</v>
      </c>
      <c r="C17" s="302"/>
      <c r="D17" s="1336" t="s">
        <v>766</v>
      </c>
      <c r="E17" s="1336"/>
      <c r="F17" s="1336"/>
      <c r="G17" s="1336"/>
      <c r="H17" s="1336"/>
      <c r="I17" s="1336"/>
      <c r="J17" s="1336"/>
      <c r="K17" s="1336"/>
      <c r="L17" s="1336"/>
    </row>
    <row r="18" spans="1:12">
      <c r="A18" s="302"/>
      <c r="B18" s="302"/>
      <c r="C18" s="302"/>
      <c r="D18" s="1336"/>
      <c r="E18" s="1336"/>
      <c r="F18" s="1336"/>
      <c r="G18" s="1336"/>
      <c r="H18" s="1336"/>
      <c r="I18" s="1336"/>
      <c r="J18" s="1336"/>
      <c r="K18" s="1336"/>
      <c r="L18" s="1336"/>
    </row>
    <row r="19" spans="1:12">
      <c r="A19" s="302"/>
      <c r="B19" s="319"/>
      <c r="C19" s="319" t="s">
        <v>88</v>
      </c>
      <c r="D19" s="302"/>
      <c r="E19" s="302"/>
      <c r="F19" s="302"/>
      <c r="G19" s="302"/>
      <c r="H19" s="302"/>
      <c r="I19" s="302"/>
      <c r="J19" s="302"/>
      <c r="K19" s="302"/>
      <c r="L19" s="302"/>
    </row>
    <row r="20" spans="1:12">
      <c r="A20" s="302"/>
      <c r="B20" s="319" t="str">
        <f>RAW_DATA_INPUTS!B573</f>
        <v>Secondary</v>
      </c>
      <c r="C20" s="539">
        <f>RAW_DATA_INPUTS!C573</f>
        <v>0.93100000000000005</v>
      </c>
      <c r="D20" s="302"/>
      <c r="E20" s="302"/>
      <c r="F20" s="302"/>
      <c r="G20" s="302"/>
      <c r="H20" s="302"/>
      <c r="I20" s="302"/>
      <c r="J20" s="302"/>
      <c r="K20" s="302"/>
      <c r="L20" s="302"/>
    </row>
    <row r="21" spans="1:12">
      <c r="A21" s="302"/>
      <c r="B21" s="302"/>
      <c r="C21" s="302"/>
      <c r="D21" s="302"/>
      <c r="E21" s="302"/>
      <c r="F21" s="302"/>
      <c r="G21" s="302"/>
      <c r="H21" s="302"/>
      <c r="I21" s="302"/>
      <c r="J21" s="302"/>
      <c r="K21" s="302"/>
      <c r="L21" s="302"/>
    </row>
    <row r="22" spans="1:12" ht="15.75">
      <c r="A22" s="302"/>
      <c r="B22" s="333" t="s">
        <v>765</v>
      </c>
      <c r="C22" s="302"/>
      <c r="D22" s="302"/>
      <c r="E22" s="302"/>
      <c r="F22" s="302"/>
      <c r="G22" s="302"/>
      <c r="H22" s="302"/>
      <c r="I22" s="302"/>
      <c r="J22" s="302"/>
      <c r="K22" s="302"/>
      <c r="L22" s="302"/>
    </row>
    <row r="23" spans="1:12">
      <c r="A23" s="302"/>
      <c r="B23" s="302"/>
      <c r="C23" s="302"/>
      <c r="D23" s="302"/>
      <c r="E23" s="302"/>
      <c r="F23" s="302"/>
      <c r="G23" s="302"/>
      <c r="H23" s="302"/>
      <c r="I23" s="302"/>
      <c r="J23" s="302"/>
      <c r="K23" s="302"/>
      <c r="L23" s="302"/>
    </row>
    <row r="24" spans="1:12">
      <c r="A24" s="302"/>
      <c r="B24" s="334" t="s">
        <v>770</v>
      </c>
      <c r="C24" s="302"/>
      <c r="D24" s="357" t="s">
        <v>763</v>
      </c>
      <c r="E24" s="302"/>
      <c r="F24" s="302"/>
      <c r="G24" s="302"/>
      <c r="H24" s="302"/>
      <c r="I24" s="302"/>
      <c r="J24" s="302"/>
      <c r="K24" s="302"/>
      <c r="L24" s="302"/>
    </row>
    <row r="25" spans="1:12">
      <c r="A25" s="302"/>
      <c r="B25" s="302"/>
      <c r="C25" s="302"/>
      <c r="D25" s="302"/>
      <c r="E25" s="302"/>
      <c r="F25" s="302"/>
      <c r="G25" s="302"/>
      <c r="H25" s="302"/>
      <c r="I25" s="302"/>
      <c r="J25" s="302"/>
      <c r="K25" s="302"/>
      <c r="L25" s="302"/>
    </row>
    <row r="26" spans="1:12">
      <c r="A26" s="302"/>
      <c r="B26" s="302"/>
      <c r="C26" s="319" t="str">
        <f t="shared" ref="C26:L26" si="0">C14</f>
        <v>2019/20</v>
      </c>
      <c r="D26" s="319" t="str">
        <f t="shared" si="0"/>
        <v>2020/21</v>
      </c>
      <c r="E26" s="319" t="str">
        <f t="shared" si="0"/>
        <v>2021/22</v>
      </c>
      <c r="F26" s="319" t="str">
        <f t="shared" si="0"/>
        <v>2022/23</v>
      </c>
      <c r="G26" s="319" t="str">
        <f t="shared" si="0"/>
        <v>2023/24</v>
      </c>
      <c r="H26" s="319" t="str">
        <f t="shared" si="0"/>
        <v>2024/25</v>
      </c>
      <c r="I26" s="319" t="str">
        <f t="shared" si="0"/>
        <v>2025/26</v>
      </c>
      <c r="J26" s="319" t="str">
        <f t="shared" si="0"/>
        <v>2026/27</v>
      </c>
      <c r="K26" s="319" t="str">
        <f t="shared" si="0"/>
        <v>2027/28</v>
      </c>
      <c r="L26" s="319" t="str">
        <f t="shared" si="0"/>
        <v>2028/29</v>
      </c>
    </row>
    <row r="27" spans="1:12">
      <c r="A27" s="302"/>
      <c r="B27" s="319" t="str">
        <f>Data_selected_by_user_testing!C131</f>
        <v>New to state-funded sector</v>
      </c>
      <c r="C27" s="628">
        <f>Data_selected_by_user_testing!D138</f>
        <v>0.12684612446257185</v>
      </c>
      <c r="D27" s="159">
        <f>C27</f>
        <v>0.12684612446257185</v>
      </c>
      <c r="E27" s="159">
        <f t="shared" ref="E27:L27" si="1">D27</f>
        <v>0.12684612446257185</v>
      </c>
      <c r="F27" s="159">
        <f t="shared" si="1"/>
        <v>0.12684612446257185</v>
      </c>
      <c r="G27" s="159">
        <f t="shared" si="1"/>
        <v>0.12684612446257185</v>
      </c>
      <c r="H27" s="159">
        <f t="shared" si="1"/>
        <v>0.12684612446257185</v>
      </c>
      <c r="I27" s="159">
        <f t="shared" si="1"/>
        <v>0.12684612446257185</v>
      </c>
      <c r="J27" s="159">
        <f t="shared" si="1"/>
        <v>0.12684612446257185</v>
      </c>
      <c r="K27" s="159">
        <f t="shared" si="1"/>
        <v>0.12684612446257185</v>
      </c>
      <c r="L27" s="159">
        <f t="shared" si="1"/>
        <v>0.12684612446257185</v>
      </c>
    </row>
    <row r="28" spans="1:12">
      <c r="A28" s="302"/>
      <c r="B28" s="319" t="str">
        <f>Data_selected_by_user_testing!C132</f>
        <v>Re-entrants</v>
      </c>
      <c r="C28" s="628">
        <f>Data_selected_by_user_testing!D139</f>
        <v>0.35907502473279856</v>
      </c>
      <c r="D28" s="159">
        <f t="shared" ref="D28:L29" si="2">C28</f>
        <v>0.35907502473279856</v>
      </c>
      <c r="E28" s="159">
        <f t="shared" si="2"/>
        <v>0.35907502473279856</v>
      </c>
      <c r="F28" s="159">
        <f t="shared" si="2"/>
        <v>0.35907502473279856</v>
      </c>
      <c r="G28" s="159">
        <f t="shared" si="2"/>
        <v>0.35907502473279856</v>
      </c>
      <c r="H28" s="159">
        <f t="shared" si="2"/>
        <v>0.35907502473279856</v>
      </c>
      <c r="I28" s="159">
        <f t="shared" si="2"/>
        <v>0.35907502473279856</v>
      </c>
      <c r="J28" s="159">
        <f t="shared" si="2"/>
        <v>0.35907502473279856</v>
      </c>
      <c r="K28" s="159">
        <f t="shared" si="2"/>
        <v>0.35907502473279856</v>
      </c>
      <c r="L28" s="159">
        <f t="shared" si="2"/>
        <v>0.35907502473279856</v>
      </c>
    </row>
    <row r="29" spans="1:12">
      <c r="A29" s="302"/>
      <c r="B29" s="319" t="str">
        <f>Data_selected_by_user_testing!C133</f>
        <v>NQTs</v>
      </c>
      <c r="C29" s="628">
        <f>Data_selected_by_user_testing!D140</f>
        <v>0.51407885080462956</v>
      </c>
      <c r="D29" s="159">
        <f t="shared" si="2"/>
        <v>0.51407885080462956</v>
      </c>
      <c r="E29" s="159">
        <f t="shared" si="2"/>
        <v>0.51407885080462956</v>
      </c>
      <c r="F29" s="159">
        <f t="shared" si="2"/>
        <v>0.51407885080462956</v>
      </c>
      <c r="G29" s="159">
        <f t="shared" si="2"/>
        <v>0.51407885080462956</v>
      </c>
      <c r="H29" s="159">
        <f t="shared" si="2"/>
        <v>0.51407885080462956</v>
      </c>
      <c r="I29" s="159">
        <f t="shared" si="2"/>
        <v>0.51407885080462956</v>
      </c>
      <c r="J29" s="159">
        <f t="shared" si="2"/>
        <v>0.51407885080462956</v>
      </c>
      <c r="K29" s="159">
        <f t="shared" si="2"/>
        <v>0.51407885080462956</v>
      </c>
      <c r="L29" s="159">
        <f t="shared" si="2"/>
        <v>0.51407885080462956</v>
      </c>
    </row>
    <row r="30" spans="1:12">
      <c r="A30" s="302"/>
      <c r="B30" s="302"/>
      <c r="C30" s="320"/>
      <c r="D30" s="302"/>
      <c r="E30" s="302"/>
      <c r="F30" s="302"/>
      <c r="G30" s="302"/>
      <c r="H30" s="302"/>
      <c r="I30" s="302"/>
      <c r="J30" s="302"/>
      <c r="K30" s="302"/>
      <c r="L30" s="302"/>
    </row>
    <row r="31" spans="1:12">
      <c r="A31" s="302"/>
      <c r="B31" s="334" t="s">
        <v>1488</v>
      </c>
      <c r="C31" s="320"/>
      <c r="D31" s="357" t="s">
        <v>762</v>
      </c>
      <c r="E31" s="302"/>
      <c r="F31" s="302"/>
      <c r="G31" s="302"/>
      <c r="H31" s="302"/>
      <c r="I31" s="302"/>
      <c r="J31" s="302"/>
      <c r="K31" s="302"/>
      <c r="L31" s="302"/>
    </row>
    <row r="32" spans="1:12">
      <c r="A32" s="302"/>
      <c r="B32" s="302"/>
      <c r="C32" s="320"/>
      <c r="D32" s="302"/>
      <c r="E32" s="302"/>
      <c r="F32" s="302"/>
      <c r="G32" s="302"/>
      <c r="H32" s="302"/>
      <c r="I32" s="302"/>
      <c r="J32" s="302"/>
      <c r="K32" s="302"/>
      <c r="L32" s="302"/>
    </row>
    <row r="33" spans="1:12">
      <c r="A33" s="302"/>
      <c r="B33" s="319" t="str">
        <f>B27</f>
        <v>New to state-funded sector</v>
      </c>
      <c r="C33" s="628">
        <f>'Calc_SEC_part-time_entrants'!G47</f>
        <v>0.15073275895046184</v>
      </c>
      <c r="D33" s="302"/>
      <c r="E33" s="302"/>
      <c r="F33" s="302"/>
      <c r="G33" s="302"/>
      <c r="H33" s="302"/>
      <c r="I33" s="302"/>
      <c r="J33" s="302"/>
      <c r="K33" s="302"/>
      <c r="L33" s="302"/>
    </row>
    <row r="34" spans="1:12">
      <c r="A34" s="302"/>
      <c r="B34" s="319" t="str">
        <f>B28</f>
        <v>Re-entrants</v>
      </c>
      <c r="C34" s="628">
        <f>'Calc_SEC_part-time_entrants'!G48</f>
        <v>0.29096991237775327</v>
      </c>
      <c r="D34" s="302"/>
      <c r="E34" s="302"/>
      <c r="F34" s="302"/>
      <c r="G34" s="302"/>
      <c r="H34" s="302"/>
      <c r="I34" s="302"/>
      <c r="J34" s="302"/>
      <c r="K34" s="302"/>
      <c r="L34" s="302"/>
    </row>
    <row r="35" spans="1:12">
      <c r="A35" s="302"/>
      <c r="B35" s="319" t="str">
        <f>B29</f>
        <v>NQTs</v>
      </c>
      <c r="C35" s="628">
        <f>'Calc_SEC_part-time_entrants'!G49</f>
        <v>3.7198344941724769E-2</v>
      </c>
      <c r="D35" s="302"/>
      <c r="E35" s="302"/>
      <c r="F35" s="302"/>
      <c r="G35" s="302"/>
      <c r="H35" s="302"/>
      <c r="I35" s="302"/>
      <c r="J35" s="302"/>
      <c r="K35" s="302"/>
      <c r="L35" s="302"/>
    </row>
    <row r="36" spans="1:12">
      <c r="A36" s="302"/>
      <c r="B36" s="302"/>
      <c r="C36" s="320"/>
      <c r="D36" s="302"/>
      <c r="E36" s="302"/>
      <c r="F36" s="302"/>
      <c r="G36" s="302"/>
      <c r="H36" s="302"/>
      <c r="I36" s="302"/>
      <c r="J36" s="302"/>
      <c r="K36" s="302"/>
      <c r="L36" s="302"/>
    </row>
    <row r="37" spans="1:12">
      <c r="A37" s="302"/>
      <c r="B37" s="334" t="s">
        <v>1489</v>
      </c>
      <c r="C37" s="320"/>
      <c r="D37" s="357" t="s">
        <v>761</v>
      </c>
      <c r="E37" s="302"/>
      <c r="F37" s="302"/>
      <c r="G37" s="302"/>
      <c r="H37" s="302"/>
      <c r="I37" s="302"/>
      <c r="J37" s="302"/>
      <c r="K37" s="302"/>
      <c r="L37" s="302"/>
    </row>
    <row r="38" spans="1:12">
      <c r="A38" s="302"/>
      <c r="B38" s="302"/>
      <c r="C38" s="320"/>
      <c r="D38" s="302"/>
      <c r="E38" s="302"/>
      <c r="F38" s="302"/>
      <c r="G38" s="302"/>
      <c r="H38" s="302"/>
      <c r="I38" s="302"/>
      <c r="J38" s="302"/>
      <c r="K38" s="302"/>
      <c r="L38" s="302"/>
    </row>
    <row r="39" spans="1:12">
      <c r="A39" s="302"/>
      <c r="B39" s="319" t="s">
        <v>760</v>
      </c>
      <c r="C39" s="539">
        <f>RAW_DATA_INPUTS!C425</f>
        <v>0.625</v>
      </c>
      <c r="D39" s="302"/>
      <c r="E39" s="302"/>
      <c r="F39" s="302"/>
      <c r="G39" s="302"/>
      <c r="H39" s="302"/>
      <c r="I39" s="302"/>
      <c r="J39" s="302"/>
      <c r="K39" s="302"/>
      <c r="L39" s="302"/>
    </row>
    <row r="40" spans="1:12">
      <c r="A40" s="302"/>
      <c r="B40" s="302"/>
      <c r="C40" s="302"/>
      <c r="D40" s="302"/>
      <c r="E40" s="302"/>
      <c r="F40" s="302"/>
      <c r="G40" s="302"/>
      <c r="H40" s="302"/>
      <c r="I40" s="302"/>
      <c r="J40" s="302"/>
      <c r="K40" s="302"/>
      <c r="L40" s="302"/>
    </row>
    <row r="41" spans="1:12">
      <c r="A41" s="302"/>
      <c r="B41" s="357" t="s">
        <v>769</v>
      </c>
      <c r="C41" s="302"/>
      <c r="D41" s="646">
        <f>C20</f>
        <v>0.93100000000000005</v>
      </c>
      <c r="E41" s="357" t="s">
        <v>758</v>
      </c>
      <c r="F41" s="302"/>
      <c r="G41" s="302"/>
      <c r="H41" s="302"/>
      <c r="I41" s="302"/>
      <c r="J41" s="302"/>
      <c r="K41" s="302"/>
      <c r="L41" s="302"/>
    </row>
    <row r="42" spans="1:12">
      <c r="A42" s="302"/>
      <c r="B42" s="357"/>
      <c r="C42" s="302"/>
      <c r="D42" s="646"/>
      <c r="E42" s="357"/>
      <c r="F42" s="302"/>
      <c r="G42" s="302"/>
      <c r="H42" s="302"/>
      <c r="I42" s="302"/>
      <c r="J42" s="302"/>
      <c r="K42" s="302"/>
      <c r="L42" s="302"/>
    </row>
    <row r="43" spans="1:12">
      <c r="A43" s="302"/>
      <c r="B43" s="302"/>
      <c r="C43" s="319" t="str">
        <f t="shared" ref="C43:L43" si="3">C14</f>
        <v>2019/20</v>
      </c>
      <c r="D43" s="319" t="str">
        <f t="shared" si="3"/>
        <v>2020/21</v>
      </c>
      <c r="E43" s="319" t="str">
        <f t="shared" si="3"/>
        <v>2021/22</v>
      </c>
      <c r="F43" s="319" t="str">
        <f t="shared" si="3"/>
        <v>2022/23</v>
      </c>
      <c r="G43" s="319" t="str">
        <f t="shared" si="3"/>
        <v>2023/24</v>
      </c>
      <c r="H43" s="319" t="str">
        <f t="shared" si="3"/>
        <v>2024/25</v>
      </c>
      <c r="I43" s="319" t="str">
        <f t="shared" si="3"/>
        <v>2025/26</v>
      </c>
      <c r="J43" s="319" t="str">
        <f t="shared" si="3"/>
        <v>2026/27</v>
      </c>
      <c r="K43" s="319" t="str">
        <f t="shared" si="3"/>
        <v>2027/28</v>
      </c>
      <c r="L43" s="319" t="str">
        <f t="shared" si="3"/>
        <v>2028/29</v>
      </c>
    </row>
    <row r="44" spans="1:12">
      <c r="A44" s="302"/>
      <c r="B44" s="319" t="s">
        <v>857</v>
      </c>
      <c r="C44" s="447">
        <f t="shared" ref="C44:L44" si="4">C15*$C$20</f>
        <v>807.22056091307797</v>
      </c>
      <c r="D44" s="447">
        <f t="shared" si="4"/>
        <v>747.97738082166484</v>
      </c>
      <c r="E44" s="447">
        <f t="shared" si="4"/>
        <v>729.52615212762737</v>
      </c>
      <c r="F44" s="447">
        <f t="shared" si="4"/>
        <v>708.80795631802084</v>
      </c>
      <c r="G44" s="447">
        <f t="shared" si="4"/>
        <v>742.7107402122939</v>
      </c>
      <c r="H44" s="447">
        <f t="shared" si="4"/>
        <v>766.60213744581552</v>
      </c>
      <c r="I44" s="447">
        <f t="shared" si="4"/>
        <v>738.80293558214134</v>
      </c>
      <c r="J44" s="447">
        <f t="shared" si="4"/>
        <v>718.55872105104629</v>
      </c>
      <c r="K44" s="447">
        <f t="shared" si="4"/>
        <v>722.07543885068992</v>
      </c>
      <c r="L44" s="447">
        <f t="shared" si="4"/>
        <v>717.92973333704367</v>
      </c>
    </row>
    <row r="45" spans="1:12">
      <c r="A45" s="302"/>
      <c r="B45" s="302"/>
      <c r="C45" s="302"/>
      <c r="D45" s="302"/>
      <c r="E45" s="302"/>
      <c r="F45" s="302"/>
      <c r="G45" s="302"/>
      <c r="H45" s="302"/>
      <c r="I45" s="302"/>
      <c r="J45" s="302"/>
      <c r="K45" s="302"/>
      <c r="L45" s="302"/>
    </row>
    <row r="46" spans="1:12" ht="12.75" customHeight="1">
      <c r="A46" s="302"/>
      <c r="B46" s="1335" t="s">
        <v>1753</v>
      </c>
      <c r="C46" s="1335"/>
      <c r="D46" s="1335"/>
      <c r="E46" s="1335"/>
      <c r="F46" s="1335"/>
      <c r="G46" s="1335"/>
      <c r="H46" s="1335"/>
      <c r="I46" s="1335"/>
      <c r="J46" s="1335"/>
      <c r="K46" s="1335"/>
      <c r="L46" s="1335"/>
    </row>
    <row r="47" spans="1:12">
      <c r="A47" s="302"/>
      <c r="B47" s="1335"/>
      <c r="C47" s="1335"/>
      <c r="D47" s="1335"/>
      <c r="E47" s="1335"/>
      <c r="F47" s="1335"/>
      <c r="G47" s="1335"/>
      <c r="H47" s="1335"/>
      <c r="I47" s="1335"/>
      <c r="J47" s="1335"/>
      <c r="K47" s="1335"/>
      <c r="L47" s="1335"/>
    </row>
    <row r="48" spans="1:12">
      <c r="A48" s="302"/>
      <c r="B48" s="1335"/>
      <c r="C48" s="1335"/>
      <c r="D48" s="1335"/>
      <c r="E48" s="1335"/>
      <c r="F48" s="1335"/>
      <c r="G48" s="1335"/>
      <c r="H48" s="1335"/>
      <c r="I48" s="1335"/>
      <c r="J48" s="1335"/>
      <c r="K48" s="1335"/>
      <c r="L48" s="1335"/>
    </row>
    <row r="49" spans="1:12">
      <c r="A49" s="302"/>
      <c r="B49" s="302"/>
      <c r="C49" s="302"/>
      <c r="D49" s="302"/>
      <c r="E49" s="302"/>
      <c r="F49" s="302"/>
      <c r="G49" s="302"/>
      <c r="H49" s="302"/>
      <c r="I49" s="302"/>
      <c r="J49" s="302"/>
      <c r="K49" s="302"/>
      <c r="L49" s="302"/>
    </row>
    <row r="50" spans="1:12" ht="89.25">
      <c r="A50" s="302"/>
      <c r="B50" s="302"/>
      <c r="C50" s="331" t="s">
        <v>757</v>
      </c>
      <c r="D50" s="331" t="s">
        <v>756</v>
      </c>
      <c r="E50" s="331" t="s">
        <v>755</v>
      </c>
      <c r="F50" s="331" t="s">
        <v>754</v>
      </c>
      <c r="G50" s="645" t="s">
        <v>753</v>
      </c>
      <c r="H50" s="645" t="s">
        <v>752</v>
      </c>
      <c r="I50" s="645" t="s">
        <v>751</v>
      </c>
      <c r="J50" s="645" t="s">
        <v>750</v>
      </c>
      <c r="K50" s="644"/>
      <c r="L50" s="302"/>
    </row>
    <row r="51" spans="1:12">
      <c r="A51" s="302"/>
      <c r="B51" s="319" t="str">
        <f t="shared" ref="B51:C53" si="5">B27</f>
        <v>New to state-funded sector</v>
      </c>
      <c r="C51" s="628">
        <f t="shared" si="5"/>
        <v>0.12684612446257185</v>
      </c>
      <c r="D51" s="643">
        <f>100*C51</f>
        <v>12.684612446257185</v>
      </c>
      <c r="E51" s="447">
        <f>D51-F51</f>
        <v>10.772625816015474</v>
      </c>
      <c r="F51" s="447">
        <f>D51*C33</f>
        <v>1.9119866302417126</v>
      </c>
      <c r="G51" s="447">
        <f>E51</f>
        <v>10.772625816015474</v>
      </c>
      <c r="H51" s="447">
        <f>F51*$C$39</f>
        <v>1.1949916439010704</v>
      </c>
      <c r="I51" s="447">
        <f>G51+H51</f>
        <v>11.967617459916545</v>
      </c>
      <c r="J51" s="1334">
        <f>SUM(I51:I53)</f>
        <v>94.647895854796189</v>
      </c>
      <c r="K51" s="302"/>
      <c r="L51" s="302"/>
    </row>
    <row r="52" spans="1:12">
      <c r="A52" s="302"/>
      <c r="B52" s="319" t="str">
        <f t="shared" si="5"/>
        <v>Re-entrants</v>
      </c>
      <c r="C52" s="628">
        <f t="shared" si="5"/>
        <v>0.35907502473279856</v>
      </c>
      <c r="D52" s="643">
        <f>100*C52</f>
        <v>35.907502473279855</v>
      </c>
      <c r="E52" s="447">
        <f>D52-F52</f>
        <v>25.459499624925655</v>
      </c>
      <c r="F52" s="447">
        <f>D52*C34</f>
        <v>10.448002848354198</v>
      </c>
      <c r="G52" s="447">
        <f>E52</f>
        <v>25.459499624925655</v>
      </c>
      <c r="H52" s="447">
        <f>F52*$C$39</f>
        <v>6.5300017802213741</v>
      </c>
      <c r="I52" s="447">
        <f>G52+H52</f>
        <v>31.989501405147031</v>
      </c>
      <c r="J52" s="1334"/>
      <c r="K52" s="302"/>
      <c r="L52" s="302"/>
    </row>
    <row r="53" spans="1:12">
      <c r="A53" s="302"/>
      <c r="B53" s="319" t="str">
        <f t="shared" si="5"/>
        <v>NQTs</v>
      </c>
      <c r="C53" s="628">
        <f t="shared" si="5"/>
        <v>0.51407885080462956</v>
      </c>
      <c r="D53" s="643">
        <f>100*C53</f>
        <v>51.407885080462954</v>
      </c>
      <c r="E53" s="447">
        <f>D53-F53</f>
        <v>49.495596838515347</v>
      </c>
      <c r="F53" s="447">
        <f>D53*C35</f>
        <v>1.9122882419476073</v>
      </c>
      <c r="G53" s="447">
        <f>E53</f>
        <v>49.495596838515347</v>
      </c>
      <c r="H53" s="447">
        <f>F53*$C$39</f>
        <v>1.1951801512172546</v>
      </c>
      <c r="I53" s="447">
        <f>G53+H53</f>
        <v>50.690776989732605</v>
      </c>
      <c r="J53" s="1334"/>
      <c r="K53" s="302"/>
      <c r="L53" s="302"/>
    </row>
    <row r="54" spans="1:12">
      <c r="A54" s="302"/>
      <c r="B54" s="302"/>
      <c r="C54" s="302"/>
      <c r="D54" s="302"/>
      <c r="E54" s="302"/>
      <c r="F54" s="302"/>
      <c r="G54" s="302"/>
      <c r="H54" s="302"/>
      <c r="I54" s="302"/>
      <c r="J54" s="302"/>
      <c r="K54" s="302"/>
      <c r="L54" s="302"/>
    </row>
    <row r="55" spans="1:12">
      <c r="A55" s="302"/>
      <c r="B55" s="334" t="s">
        <v>862</v>
      </c>
      <c r="C55" s="302"/>
      <c r="D55" s="302"/>
      <c r="E55" s="302"/>
      <c r="F55" s="302"/>
      <c r="G55" s="302"/>
      <c r="H55" s="302"/>
      <c r="I55" s="302"/>
      <c r="J55" s="302"/>
      <c r="K55" s="302"/>
      <c r="L55" s="302"/>
    </row>
    <row r="56" spans="1:12">
      <c r="A56" s="302"/>
      <c r="B56" s="334"/>
      <c r="C56" s="302"/>
      <c r="D56" s="302"/>
      <c r="E56" s="302"/>
      <c r="F56" s="302"/>
      <c r="G56" s="302"/>
      <c r="H56" s="302"/>
      <c r="I56" s="302"/>
      <c r="J56" s="302"/>
      <c r="K56" s="302"/>
      <c r="L56" s="302"/>
    </row>
    <row r="57" spans="1:12">
      <c r="A57" s="302"/>
      <c r="B57" s="302"/>
      <c r="C57" s="319" t="str">
        <f>C26</f>
        <v>2019/20</v>
      </c>
      <c r="D57" s="319" t="str">
        <f t="shared" ref="D57:L57" si="6">D26</f>
        <v>2020/21</v>
      </c>
      <c r="E57" s="319" t="str">
        <f t="shared" si="6"/>
        <v>2021/22</v>
      </c>
      <c r="F57" s="319" t="str">
        <f t="shared" si="6"/>
        <v>2022/23</v>
      </c>
      <c r="G57" s="319" t="str">
        <f t="shared" si="6"/>
        <v>2023/24</v>
      </c>
      <c r="H57" s="319" t="str">
        <f t="shared" si="6"/>
        <v>2024/25</v>
      </c>
      <c r="I57" s="319" t="str">
        <f t="shared" si="6"/>
        <v>2025/26</v>
      </c>
      <c r="J57" s="319" t="str">
        <f t="shared" si="6"/>
        <v>2026/27</v>
      </c>
      <c r="K57" s="319" t="str">
        <f t="shared" si="6"/>
        <v>2027/28</v>
      </c>
      <c r="L57" s="319" t="str">
        <f t="shared" si="6"/>
        <v>2028/29</v>
      </c>
    </row>
    <row r="58" spans="1:12">
      <c r="A58" s="302"/>
      <c r="B58" s="319" t="s">
        <v>862</v>
      </c>
      <c r="C58" s="447">
        <f>C44/$J$51</f>
        <v>8.5286688480795512</v>
      </c>
      <c r="D58" s="447">
        <f t="shared" ref="D58:L58" si="7">D44/$J$51</f>
        <v>7.9027364957924924</v>
      </c>
      <c r="E58" s="447">
        <f t="shared" si="7"/>
        <v>7.7077904959115831</v>
      </c>
      <c r="F58" s="447">
        <f t="shared" si="7"/>
        <v>7.4888929111053519</v>
      </c>
      <c r="G58" s="447">
        <f t="shared" si="7"/>
        <v>7.8470919348457739</v>
      </c>
      <c r="H58" s="447">
        <f t="shared" si="7"/>
        <v>8.0995159007221478</v>
      </c>
      <c r="I58" s="447">
        <f t="shared" si="7"/>
        <v>7.8058041217902385</v>
      </c>
      <c r="J58" s="447">
        <f t="shared" si="7"/>
        <v>7.5919143744454836</v>
      </c>
      <c r="K58" s="447">
        <f t="shared" si="7"/>
        <v>7.6290701692772966</v>
      </c>
      <c r="L58" s="447">
        <f t="shared" si="7"/>
        <v>7.5852688203280678</v>
      </c>
    </row>
    <row r="59" spans="1:12">
      <c r="A59" s="302"/>
      <c r="B59" s="302"/>
      <c r="C59" s="302"/>
      <c r="D59" s="302"/>
      <c r="E59" s="302"/>
      <c r="F59" s="302"/>
      <c r="G59" s="302"/>
      <c r="H59" s="302"/>
      <c r="I59" s="302"/>
      <c r="J59" s="302"/>
      <c r="K59" s="302"/>
      <c r="L59" s="302"/>
    </row>
    <row r="60" spans="1:12" ht="15.75">
      <c r="A60" s="302"/>
      <c r="B60" s="333" t="s">
        <v>749</v>
      </c>
      <c r="C60" s="302"/>
      <c r="D60" s="302"/>
      <c r="E60" s="302"/>
      <c r="F60" s="302"/>
      <c r="G60" s="302"/>
      <c r="H60" s="302"/>
      <c r="I60" s="302"/>
      <c r="J60" s="302"/>
      <c r="K60" s="302"/>
      <c r="L60" s="302"/>
    </row>
    <row r="61" spans="1:12">
      <c r="A61" s="302"/>
      <c r="B61" s="302"/>
      <c r="C61" s="302"/>
      <c r="D61" s="302"/>
      <c r="E61" s="302"/>
      <c r="F61" s="302"/>
      <c r="G61" s="302"/>
      <c r="H61" s="302"/>
      <c r="I61" s="302"/>
      <c r="J61" s="302"/>
      <c r="K61" s="302"/>
      <c r="L61" s="302"/>
    </row>
    <row r="62" spans="1:12">
      <c r="A62" s="302"/>
      <c r="B62" s="680" t="s">
        <v>717</v>
      </c>
      <c r="C62" s="302"/>
      <c r="D62" s="302"/>
      <c r="E62" s="302"/>
      <c r="F62" s="302"/>
      <c r="G62" s="302"/>
      <c r="H62" s="302"/>
      <c r="I62" s="302"/>
      <c r="J62" s="302"/>
      <c r="K62" s="302"/>
      <c r="L62" s="302"/>
    </row>
    <row r="63" spans="1:12">
      <c r="A63" s="302"/>
      <c r="B63" s="372"/>
      <c r="C63" s="302"/>
      <c r="D63" s="302"/>
      <c r="E63" s="302"/>
      <c r="F63" s="302"/>
      <c r="G63" s="302"/>
      <c r="H63" s="302"/>
      <c r="I63" s="302"/>
      <c r="J63" s="302"/>
      <c r="K63" s="302"/>
      <c r="L63" s="302"/>
    </row>
    <row r="64" spans="1:12">
      <c r="A64" s="302"/>
      <c r="B64" s="372"/>
      <c r="C64" s="319" t="str">
        <f t="shared" ref="C64:L64" si="8">C14</f>
        <v>2019/20</v>
      </c>
      <c r="D64" s="319" t="str">
        <f t="shared" si="8"/>
        <v>2020/21</v>
      </c>
      <c r="E64" s="319" t="str">
        <f t="shared" si="8"/>
        <v>2021/22</v>
      </c>
      <c r="F64" s="319" t="str">
        <f t="shared" si="8"/>
        <v>2022/23</v>
      </c>
      <c r="G64" s="319" t="str">
        <f t="shared" si="8"/>
        <v>2023/24</v>
      </c>
      <c r="H64" s="319" t="str">
        <f t="shared" si="8"/>
        <v>2024/25</v>
      </c>
      <c r="I64" s="319" t="str">
        <f t="shared" si="8"/>
        <v>2025/26</v>
      </c>
      <c r="J64" s="319" t="str">
        <f t="shared" si="8"/>
        <v>2026/27</v>
      </c>
      <c r="K64" s="319" t="str">
        <f t="shared" si="8"/>
        <v>2027/28</v>
      </c>
      <c r="L64" s="319" t="str">
        <f t="shared" si="8"/>
        <v>2028/29</v>
      </c>
    </row>
    <row r="65" spans="1:12">
      <c r="A65" s="302"/>
      <c r="B65" s="331" t="s">
        <v>757</v>
      </c>
      <c r="C65" s="406">
        <f>C27</f>
        <v>0.12684612446257185</v>
      </c>
      <c r="D65" s="406">
        <f t="shared" ref="D65:L65" si="9">D27</f>
        <v>0.12684612446257185</v>
      </c>
      <c r="E65" s="406">
        <f t="shared" si="9"/>
        <v>0.12684612446257185</v>
      </c>
      <c r="F65" s="406">
        <f t="shared" si="9"/>
        <v>0.12684612446257185</v>
      </c>
      <c r="G65" s="406">
        <f t="shared" si="9"/>
        <v>0.12684612446257185</v>
      </c>
      <c r="H65" s="406">
        <f t="shared" si="9"/>
        <v>0.12684612446257185</v>
      </c>
      <c r="I65" s="406">
        <f t="shared" si="9"/>
        <v>0.12684612446257185</v>
      </c>
      <c r="J65" s="406">
        <f t="shared" si="9"/>
        <v>0.12684612446257185</v>
      </c>
      <c r="K65" s="406">
        <f t="shared" si="9"/>
        <v>0.12684612446257185</v>
      </c>
      <c r="L65" s="406">
        <f t="shared" si="9"/>
        <v>0.12684612446257185</v>
      </c>
    </row>
    <row r="66" spans="1:12" ht="25.5">
      <c r="A66" s="302"/>
      <c r="B66" s="331" t="s">
        <v>756</v>
      </c>
      <c r="C66" s="674">
        <f>100*C65</f>
        <v>12.684612446257185</v>
      </c>
      <c r="D66" s="674">
        <f t="shared" ref="D66:L66" si="10">100*D65</f>
        <v>12.684612446257185</v>
      </c>
      <c r="E66" s="674">
        <f t="shared" si="10"/>
        <v>12.684612446257185</v>
      </c>
      <c r="F66" s="674">
        <f t="shared" si="10"/>
        <v>12.684612446257185</v>
      </c>
      <c r="G66" s="674">
        <f t="shared" si="10"/>
        <v>12.684612446257185</v>
      </c>
      <c r="H66" s="674">
        <f t="shared" si="10"/>
        <v>12.684612446257185</v>
      </c>
      <c r="I66" s="674">
        <f t="shared" si="10"/>
        <v>12.684612446257185</v>
      </c>
      <c r="J66" s="674">
        <f t="shared" si="10"/>
        <v>12.684612446257185</v>
      </c>
      <c r="K66" s="674">
        <f t="shared" si="10"/>
        <v>12.684612446257185</v>
      </c>
      <c r="L66" s="674">
        <f t="shared" si="10"/>
        <v>12.684612446257185</v>
      </c>
    </row>
    <row r="67" spans="1:12">
      <c r="A67" s="302"/>
      <c r="B67" s="331" t="s">
        <v>755</v>
      </c>
      <c r="C67" s="674">
        <f>C66-C68</f>
        <v>10.772625816015474</v>
      </c>
      <c r="D67" s="674">
        <f t="shared" ref="D67:L67" si="11">D66-D68</f>
        <v>10.772625816015474</v>
      </c>
      <c r="E67" s="674">
        <f t="shared" si="11"/>
        <v>10.772625816015474</v>
      </c>
      <c r="F67" s="674">
        <f t="shared" si="11"/>
        <v>10.772625816015474</v>
      </c>
      <c r="G67" s="674">
        <f t="shared" si="11"/>
        <v>10.772625816015474</v>
      </c>
      <c r="H67" s="674">
        <f t="shared" si="11"/>
        <v>10.772625816015474</v>
      </c>
      <c r="I67" s="674">
        <f t="shared" si="11"/>
        <v>10.772625816015474</v>
      </c>
      <c r="J67" s="674">
        <f t="shared" si="11"/>
        <v>10.772625816015474</v>
      </c>
      <c r="K67" s="674">
        <f t="shared" si="11"/>
        <v>10.772625816015474</v>
      </c>
      <c r="L67" s="674">
        <f t="shared" si="11"/>
        <v>10.772625816015474</v>
      </c>
    </row>
    <row r="68" spans="1:12">
      <c r="A68" s="302"/>
      <c r="B68" s="331" t="s">
        <v>754</v>
      </c>
      <c r="C68" s="674">
        <f>C66*$C$33</f>
        <v>1.9119866302417126</v>
      </c>
      <c r="D68" s="674">
        <f t="shared" ref="D68:L68" si="12">D66*$C$33</f>
        <v>1.9119866302417126</v>
      </c>
      <c r="E68" s="674">
        <f t="shared" si="12"/>
        <v>1.9119866302417126</v>
      </c>
      <c r="F68" s="674">
        <f t="shared" si="12"/>
        <v>1.9119866302417126</v>
      </c>
      <c r="G68" s="674">
        <f t="shared" si="12"/>
        <v>1.9119866302417126</v>
      </c>
      <c r="H68" s="674">
        <f t="shared" si="12"/>
        <v>1.9119866302417126</v>
      </c>
      <c r="I68" s="674">
        <f t="shared" si="12"/>
        <v>1.9119866302417126</v>
      </c>
      <c r="J68" s="674">
        <f t="shared" si="12"/>
        <v>1.9119866302417126</v>
      </c>
      <c r="K68" s="674">
        <f t="shared" si="12"/>
        <v>1.9119866302417126</v>
      </c>
      <c r="L68" s="674">
        <f t="shared" si="12"/>
        <v>1.9119866302417126</v>
      </c>
    </row>
    <row r="69" spans="1:12">
      <c r="A69" s="302"/>
      <c r="B69" s="645" t="s">
        <v>753</v>
      </c>
      <c r="C69" s="447">
        <f>C67</f>
        <v>10.772625816015474</v>
      </c>
      <c r="D69" s="447">
        <f t="shared" ref="D69:L69" si="13">D67</f>
        <v>10.772625816015474</v>
      </c>
      <c r="E69" s="447">
        <f t="shared" si="13"/>
        <v>10.772625816015474</v>
      </c>
      <c r="F69" s="447">
        <f t="shared" si="13"/>
        <v>10.772625816015474</v>
      </c>
      <c r="G69" s="447">
        <f t="shared" si="13"/>
        <v>10.772625816015474</v>
      </c>
      <c r="H69" s="447">
        <f t="shared" si="13"/>
        <v>10.772625816015474</v>
      </c>
      <c r="I69" s="447">
        <f t="shared" si="13"/>
        <v>10.772625816015474</v>
      </c>
      <c r="J69" s="447">
        <f t="shared" si="13"/>
        <v>10.772625816015474</v>
      </c>
      <c r="K69" s="447">
        <f t="shared" si="13"/>
        <v>10.772625816015474</v>
      </c>
      <c r="L69" s="447">
        <f t="shared" si="13"/>
        <v>10.772625816015474</v>
      </c>
    </row>
    <row r="70" spans="1:12">
      <c r="A70" s="302"/>
      <c r="B70" s="645" t="s">
        <v>752</v>
      </c>
      <c r="C70" s="447">
        <f>C68*$C$39</f>
        <v>1.1949916439010704</v>
      </c>
      <c r="D70" s="447">
        <f t="shared" ref="D70:L70" si="14">D68*$C$39</f>
        <v>1.1949916439010704</v>
      </c>
      <c r="E70" s="447">
        <f t="shared" si="14"/>
        <v>1.1949916439010704</v>
      </c>
      <c r="F70" s="447">
        <f t="shared" si="14"/>
        <v>1.1949916439010704</v>
      </c>
      <c r="G70" s="447">
        <f t="shared" si="14"/>
        <v>1.1949916439010704</v>
      </c>
      <c r="H70" s="447">
        <f t="shared" si="14"/>
        <v>1.1949916439010704</v>
      </c>
      <c r="I70" s="447">
        <f t="shared" si="14"/>
        <v>1.1949916439010704</v>
      </c>
      <c r="J70" s="447">
        <f t="shared" si="14"/>
        <v>1.1949916439010704</v>
      </c>
      <c r="K70" s="447">
        <f t="shared" si="14"/>
        <v>1.1949916439010704</v>
      </c>
      <c r="L70" s="447">
        <f t="shared" si="14"/>
        <v>1.1949916439010704</v>
      </c>
    </row>
    <row r="71" spans="1:12">
      <c r="A71" s="302"/>
      <c r="B71" s="645" t="s">
        <v>751</v>
      </c>
      <c r="C71" s="447">
        <f>C70+C69</f>
        <v>11.967617459916545</v>
      </c>
      <c r="D71" s="447">
        <f t="shared" ref="D71:L71" si="15">D70+D69</f>
        <v>11.967617459916545</v>
      </c>
      <c r="E71" s="447">
        <f t="shared" si="15"/>
        <v>11.967617459916545</v>
      </c>
      <c r="F71" s="447">
        <f t="shared" si="15"/>
        <v>11.967617459916545</v>
      </c>
      <c r="G71" s="447">
        <f t="shared" si="15"/>
        <v>11.967617459916545</v>
      </c>
      <c r="H71" s="447">
        <f t="shared" si="15"/>
        <v>11.967617459916545</v>
      </c>
      <c r="I71" s="447">
        <f t="shared" si="15"/>
        <v>11.967617459916545</v>
      </c>
      <c r="J71" s="447">
        <f t="shared" si="15"/>
        <v>11.967617459916545</v>
      </c>
      <c r="K71" s="447">
        <f t="shared" si="15"/>
        <v>11.967617459916545</v>
      </c>
      <c r="L71" s="447">
        <f t="shared" si="15"/>
        <v>11.967617459916545</v>
      </c>
    </row>
    <row r="72" spans="1:12">
      <c r="A72" s="302"/>
      <c r="B72" s="372"/>
      <c r="C72" s="302"/>
      <c r="D72" s="302"/>
      <c r="E72" s="302"/>
      <c r="F72" s="302"/>
      <c r="G72" s="302"/>
      <c r="H72" s="302"/>
      <c r="I72" s="302"/>
      <c r="J72" s="302"/>
      <c r="K72" s="302"/>
      <c r="L72" s="302"/>
    </row>
    <row r="73" spans="1:12">
      <c r="A73" s="302"/>
      <c r="B73" s="680" t="s">
        <v>716</v>
      </c>
      <c r="C73" s="302"/>
      <c r="D73" s="302"/>
      <c r="E73" s="302"/>
      <c r="F73" s="302"/>
      <c r="G73" s="302"/>
      <c r="H73" s="302"/>
      <c r="I73" s="302"/>
      <c r="J73" s="302"/>
      <c r="K73" s="302"/>
      <c r="L73" s="302"/>
    </row>
    <row r="74" spans="1:12">
      <c r="A74" s="302"/>
      <c r="B74" s="372"/>
      <c r="C74" s="302"/>
      <c r="D74" s="302"/>
      <c r="E74" s="302"/>
      <c r="F74" s="302"/>
      <c r="G74" s="302"/>
      <c r="H74" s="302"/>
      <c r="I74" s="302"/>
      <c r="J74" s="302"/>
      <c r="K74" s="302"/>
      <c r="L74" s="302"/>
    </row>
    <row r="75" spans="1:12">
      <c r="A75" s="302"/>
      <c r="B75" s="372"/>
      <c r="C75" s="319" t="str">
        <f>C64</f>
        <v>2019/20</v>
      </c>
      <c r="D75" s="319" t="str">
        <f t="shared" ref="D75:L75" si="16">D64</f>
        <v>2020/21</v>
      </c>
      <c r="E75" s="319" t="str">
        <f t="shared" si="16"/>
        <v>2021/22</v>
      </c>
      <c r="F75" s="319" t="str">
        <f t="shared" si="16"/>
        <v>2022/23</v>
      </c>
      <c r="G75" s="319" t="str">
        <f t="shared" si="16"/>
        <v>2023/24</v>
      </c>
      <c r="H75" s="319" t="str">
        <f t="shared" si="16"/>
        <v>2024/25</v>
      </c>
      <c r="I75" s="319" t="str">
        <f t="shared" si="16"/>
        <v>2025/26</v>
      </c>
      <c r="J75" s="319" t="str">
        <f t="shared" si="16"/>
        <v>2026/27</v>
      </c>
      <c r="K75" s="319" t="str">
        <f t="shared" si="16"/>
        <v>2027/28</v>
      </c>
      <c r="L75" s="319" t="str">
        <f t="shared" si="16"/>
        <v>2028/29</v>
      </c>
    </row>
    <row r="76" spans="1:12">
      <c r="A76" s="302"/>
      <c r="B76" s="331" t="s">
        <v>757</v>
      </c>
      <c r="C76" s="406">
        <f>C28</f>
        <v>0.35907502473279856</v>
      </c>
      <c r="D76" s="406">
        <f t="shared" ref="D76:L76" si="17">D28</f>
        <v>0.35907502473279856</v>
      </c>
      <c r="E76" s="406">
        <f t="shared" si="17"/>
        <v>0.35907502473279856</v>
      </c>
      <c r="F76" s="406">
        <f t="shared" si="17"/>
        <v>0.35907502473279856</v>
      </c>
      <c r="G76" s="406">
        <f t="shared" si="17"/>
        <v>0.35907502473279856</v>
      </c>
      <c r="H76" s="406">
        <f t="shared" si="17"/>
        <v>0.35907502473279856</v>
      </c>
      <c r="I76" s="406">
        <f t="shared" si="17"/>
        <v>0.35907502473279856</v>
      </c>
      <c r="J76" s="406">
        <f t="shared" si="17"/>
        <v>0.35907502473279856</v>
      </c>
      <c r="K76" s="406">
        <f t="shared" si="17"/>
        <v>0.35907502473279856</v>
      </c>
      <c r="L76" s="406">
        <f t="shared" si="17"/>
        <v>0.35907502473279856</v>
      </c>
    </row>
    <row r="77" spans="1:12" ht="25.5">
      <c r="A77" s="302"/>
      <c r="B77" s="331" t="s">
        <v>756</v>
      </c>
      <c r="C77" s="674">
        <f>100*C76</f>
        <v>35.907502473279855</v>
      </c>
      <c r="D77" s="674">
        <f t="shared" ref="D77:L77" si="18">100*D76</f>
        <v>35.907502473279855</v>
      </c>
      <c r="E77" s="674">
        <f t="shared" si="18"/>
        <v>35.907502473279855</v>
      </c>
      <c r="F77" s="674">
        <f t="shared" si="18"/>
        <v>35.907502473279855</v>
      </c>
      <c r="G77" s="674">
        <f t="shared" si="18"/>
        <v>35.907502473279855</v>
      </c>
      <c r="H77" s="674">
        <f t="shared" si="18"/>
        <v>35.907502473279855</v>
      </c>
      <c r="I77" s="674">
        <f t="shared" si="18"/>
        <v>35.907502473279855</v>
      </c>
      <c r="J77" s="674">
        <f t="shared" si="18"/>
        <v>35.907502473279855</v>
      </c>
      <c r="K77" s="674">
        <f t="shared" si="18"/>
        <v>35.907502473279855</v>
      </c>
      <c r="L77" s="674">
        <f t="shared" si="18"/>
        <v>35.907502473279855</v>
      </c>
    </row>
    <row r="78" spans="1:12">
      <c r="A78" s="302"/>
      <c r="B78" s="331" t="s">
        <v>755</v>
      </c>
      <c r="C78" s="674">
        <f>C77-C79</f>
        <v>25.459499624925655</v>
      </c>
      <c r="D78" s="674">
        <f t="shared" ref="D78:L78" si="19">D77-D79</f>
        <v>25.459499624925655</v>
      </c>
      <c r="E78" s="674">
        <f t="shared" si="19"/>
        <v>25.459499624925655</v>
      </c>
      <c r="F78" s="674">
        <f t="shared" si="19"/>
        <v>25.459499624925655</v>
      </c>
      <c r="G78" s="674">
        <f t="shared" si="19"/>
        <v>25.459499624925655</v>
      </c>
      <c r="H78" s="674">
        <f t="shared" si="19"/>
        <v>25.459499624925655</v>
      </c>
      <c r="I78" s="674">
        <f t="shared" si="19"/>
        <v>25.459499624925655</v>
      </c>
      <c r="J78" s="674">
        <f t="shared" si="19"/>
        <v>25.459499624925655</v>
      </c>
      <c r="K78" s="674">
        <f t="shared" si="19"/>
        <v>25.459499624925655</v>
      </c>
      <c r="L78" s="674">
        <f t="shared" si="19"/>
        <v>25.459499624925655</v>
      </c>
    </row>
    <row r="79" spans="1:12">
      <c r="A79" s="302"/>
      <c r="B79" s="331" t="s">
        <v>754</v>
      </c>
      <c r="C79" s="674">
        <f>C77*$C$34</f>
        <v>10.448002848354198</v>
      </c>
      <c r="D79" s="674">
        <f t="shared" ref="D79:L79" si="20">D77*$C$34</f>
        <v>10.448002848354198</v>
      </c>
      <c r="E79" s="674">
        <f t="shared" si="20"/>
        <v>10.448002848354198</v>
      </c>
      <c r="F79" s="674">
        <f t="shared" si="20"/>
        <v>10.448002848354198</v>
      </c>
      <c r="G79" s="674">
        <f t="shared" si="20"/>
        <v>10.448002848354198</v>
      </c>
      <c r="H79" s="674">
        <f t="shared" si="20"/>
        <v>10.448002848354198</v>
      </c>
      <c r="I79" s="674">
        <f t="shared" si="20"/>
        <v>10.448002848354198</v>
      </c>
      <c r="J79" s="674">
        <f t="shared" si="20"/>
        <v>10.448002848354198</v>
      </c>
      <c r="K79" s="674">
        <f t="shared" si="20"/>
        <v>10.448002848354198</v>
      </c>
      <c r="L79" s="674">
        <f t="shared" si="20"/>
        <v>10.448002848354198</v>
      </c>
    </row>
    <row r="80" spans="1:12">
      <c r="A80" s="302"/>
      <c r="B80" s="645" t="s">
        <v>753</v>
      </c>
      <c r="C80" s="674">
        <f>C78</f>
        <v>25.459499624925655</v>
      </c>
      <c r="D80" s="674">
        <f t="shared" ref="D80:L80" si="21">D78</f>
        <v>25.459499624925655</v>
      </c>
      <c r="E80" s="674">
        <f t="shared" si="21"/>
        <v>25.459499624925655</v>
      </c>
      <c r="F80" s="674">
        <f t="shared" si="21"/>
        <v>25.459499624925655</v>
      </c>
      <c r="G80" s="674">
        <f t="shared" si="21"/>
        <v>25.459499624925655</v>
      </c>
      <c r="H80" s="674">
        <f t="shared" si="21"/>
        <v>25.459499624925655</v>
      </c>
      <c r="I80" s="674">
        <f t="shared" si="21"/>
        <v>25.459499624925655</v>
      </c>
      <c r="J80" s="674">
        <f t="shared" si="21"/>
        <v>25.459499624925655</v>
      </c>
      <c r="K80" s="674">
        <f t="shared" si="21"/>
        <v>25.459499624925655</v>
      </c>
      <c r="L80" s="674">
        <f t="shared" si="21"/>
        <v>25.459499624925655</v>
      </c>
    </row>
    <row r="81" spans="1:12">
      <c r="A81" s="302"/>
      <c r="B81" s="645" t="s">
        <v>752</v>
      </c>
      <c r="C81" s="674">
        <f>C79*$C$39</f>
        <v>6.5300017802213741</v>
      </c>
      <c r="D81" s="674">
        <f t="shared" ref="D81:L81" si="22">D79*$C$39</f>
        <v>6.5300017802213741</v>
      </c>
      <c r="E81" s="674">
        <f t="shared" si="22"/>
        <v>6.5300017802213741</v>
      </c>
      <c r="F81" s="674">
        <f t="shared" si="22"/>
        <v>6.5300017802213741</v>
      </c>
      <c r="G81" s="674">
        <f t="shared" si="22"/>
        <v>6.5300017802213741</v>
      </c>
      <c r="H81" s="674">
        <f t="shared" si="22"/>
        <v>6.5300017802213741</v>
      </c>
      <c r="I81" s="674">
        <f t="shared" si="22"/>
        <v>6.5300017802213741</v>
      </c>
      <c r="J81" s="674">
        <f t="shared" si="22"/>
        <v>6.5300017802213741</v>
      </c>
      <c r="K81" s="674">
        <f t="shared" si="22"/>
        <v>6.5300017802213741</v>
      </c>
      <c r="L81" s="674">
        <f t="shared" si="22"/>
        <v>6.5300017802213741</v>
      </c>
    </row>
    <row r="82" spans="1:12">
      <c r="A82" s="302"/>
      <c r="B82" s="645" t="s">
        <v>751</v>
      </c>
      <c r="C82" s="674">
        <f>C80+C81</f>
        <v>31.989501405147031</v>
      </c>
      <c r="D82" s="674">
        <f t="shared" ref="D82:L82" si="23">D80+D81</f>
        <v>31.989501405147031</v>
      </c>
      <c r="E82" s="674">
        <f t="shared" si="23"/>
        <v>31.989501405147031</v>
      </c>
      <c r="F82" s="674">
        <f t="shared" si="23"/>
        <v>31.989501405147031</v>
      </c>
      <c r="G82" s="674">
        <f t="shared" si="23"/>
        <v>31.989501405147031</v>
      </c>
      <c r="H82" s="674">
        <f t="shared" si="23"/>
        <v>31.989501405147031</v>
      </c>
      <c r="I82" s="674">
        <f t="shared" si="23"/>
        <v>31.989501405147031</v>
      </c>
      <c r="J82" s="674">
        <f t="shared" si="23"/>
        <v>31.989501405147031</v>
      </c>
      <c r="K82" s="674">
        <f t="shared" si="23"/>
        <v>31.989501405147031</v>
      </c>
      <c r="L82" s="674">
        <f t="shared" si="23"/>
        <v>31.989501405147031</v>
      </c>
    </row>
    <row r="83" spans="1:12">
      <c r="A83" s="302"/>
      <c r="B83" s="644"/>
      <c r="C83" s="302"/>
      <c r="D83" s="302"/>
      <c r="E83" s="302"/>
      <c r="F83" s="302"/>
      <c r="G83" s="302"/>
      <c r="H83" s="302"/>
      <c r="I83" s="302"/>
      <c r="J83" s="302"/>
      <c r="K83" s="302"/>
      <c r="L83" s="302"/>
    </row>
    <row r="84" spans="1:12">
      <c r="A84" s="302"/>
      <c r="B84" s="680" t="s">
        <v>859</v>
      </c>
      <c r="C84" s="302"/>
      <c r="D84" s="302"/>
      <c r="E84" s="302"/>
      <c r="F84" s="302"/>
      <c r="G84" s="302"/>
      <c r="H84" s="302"/>
      <c r="I84" s="302"/>
      <c r="J84" s="302"/>
      <c r="K84" s="302"/>
      <c r="L84" s="302"/>
    </row>
    <row r="85" spans="1:12">
      <c r="A85" s="302"/>
      <c r="B85" s="372"/>
      <c r="C85" s="302"/>
      <c r="D85" s="302"/>
      <c r="E85" s="302"/>
      <c r="F85" s="302"/>
      <c r="G85" s="302"/>
      <c r="H85" s="302"/>
      <c r="I85" s="302"/>
      <c r="J85" s="302"/>
      <c r="K85" s="302"/>
      <c r="L85" s="302"/>
    </row>
    <row r="86" spans="1:12">
      <c r="A86" s="302"/>
      <c r="B86" s="372"/>
      <c r="C86" s="319" t="str">
        <f>C75</f>
        <v>2019/20</v>
      </c>
      <c r="D86" s="319" t="str">
        <f t="shared" ref="D86:L86" si="24">D75</f>
        <v>2020/21</v>
      </c>
      <c r="E86" s="319" t="str">
        <f t="shared" si="24"/>
        <v>2021/22</v>
      </c>
      <c r="F86" s="319" t="str">
        <f t="shared" si="24"/>
        <v>2022/23</v>
      </c>
      <c r="G86" s="319" t="str">
        <f t="shared" si="24"/>
        <v>2023/24</v>
      </c>
      <c r="H86" s="319" t="str">
        <f t="shared" si="24"/>
        <v>2024/25</v>
      </c>
      <c r="I86" s="319" t="str">
        <f t="shared" si="24"/>
        <v>2025/26</v>
      </c>
      <c r="J86" s="319" t="str">
        <f t="shared" si="24"/>
        <v>2026/27</v>
      </c>
      <c r="K86" s="319" t="str">
        <f t="shared" si="24"/>
        <v>2027/28</v>
      </c>
      <c r="L86" s="319" t="str">
        <f t="shared" si="24"/>
        <v>2028/29</v>
      </c>
    </row>
    <row r="87" spans="1:12">
      <c r="A87" s="302"/>
      <c r="B87" s="331" t="s">
        <v>757</v>
      </c>
      <c r="C87" s="406">
        <f>C29</f>
        <v>0.51407885080462956</v>
      </c>
      <c r="D87" s="406">
        <f t="shared" ref="D87:L87" si="25">D29</f>
        <v>0.51407885080462956</v>
      </c>
      <c r="E87" s="406">
        <f t="shared" si="25"/>
        <v>0.51407885080462956</v>
      </c>
      <c r="F87" s="406">
        <f t="shared" si="25"/>
        <v>0.51407885080462956</v>
      </c>
      <c r="G87" s="406">
        <f t="shared" si="25"/>
        <v>0.51407885080462956</v>
      </c>
      <c r="H87" s="406">
        <f t="shared" si="25"/>
        <v>0.51407885080462956</v>
      </c>
      <c r="I87" s="406">
        <f t="shared" si="25"/>
        <v>0.51407885080462956</v>
      </c>
      <c r="J87" s="406">
        <f t="shared" si="25"/>
        <v>0.51407885080462956</v>
      </c>
      <c r="K87" s="406">
        <f t="shared" si="25"/>
        <v>0.51407885080462956</v>
      </c>
      <c r="L87" s="406">
        <f t="shared" si="25"/>
        <v>0.51407885080462956</v>
      </c>
    </row>
    <row r="88" spans="1:12" ht="25.5">
      <c r="A88" s="302"/>
      <c r="B88" s="331" t="s">
        <v>756</v>
      </c>
      <c r="C88" s="674">
        <f>100*C87</f>
        <v>51.407885080462954</v>
      </c>
      <c r="D88" s="674">
        <f t="shared" ref="D88:L88" si="26">100*D87</f>
        <v>51.407885080462954</v>
      </c>
      <c r="E88" s="674">
        <f t="shared" si="26"/>
        <v>51.407885080462954</v>
      </c>
      <c r="F88" s="674">
        <f t="shared" si="26"/>
        <v>51.407885080462954</v>
      </c>
      <c r="G88" s="674">
        <f t="shared" si="26"/>
        <v>51.407885080462954</v>
      </c>
      <c r="H88" s="674">
        <f t="shared" si="26"/>
        <v>51.407885080462954</v>
      </c>
      <c r="I88" s="674">
        <f t="shared" si="26"/>
        <v>51.407885080462954</v>
      </c>
      <c r="J88" s="674">
        <f t="shared" si="26"/>
        <v>51.407885080462954</v>
      </c>
      <c r="K88" s="674">
        <f t="shared" si="26"/>
        <v>51.407885080462954</v>
      </c>
      <c r="L88" s="674">
        <f t="shared" si="26"/>
        <v>51.407885080462954</v>
      </c>
    </row>
    <row r="89" spans="1:12">
      <c r="A89" s="302"/>
      <c r="B89" s="331" t="s">
        <v>755</v>
      </c>
      <c r="C89" s="674">
        <f>C88-C90</f>
        <v>49.495596838515347</v>
      </c>
      <c r="D89" s="674">
        <f t="shared" ref="D89:L89" si="27">D88-D90</f>
        <v>49.495596838515347</v>
      </c>
      <c r="E89" s="674">
        <f t="shared" si="27"/>
        <v>49.495596838515347</v>
      </c>
      <c r="F89" s="674">
        <f t="shared" si="27"/>
        <v>49.495596838515347</v>
      </c>
      <c r="G89" s="674">
        <f t="shared" si="27"/>
        <v>49.495596838515347</v>
      </c>
      <c r="H89" s="674">
        <f t="shared" si="27"/>
        <v>49.495596838515347</v>
      </c>
      <c r="I89" s="674">
        <f t="shared" si="27"/>
        <v>49.495596838515347</v>
      </c>
      <c r="J89" s="674">
        <f t="shared" si="27"/>
        <v>49.495596838515347</v>
      </c>
      <c r="K89" s="674">
        <f t="shared" si="27"/>
        <v>49.495596838515347</v>
      </c>
      <c r="L89" s="674">
        <f t="shared" si="27"/>
        <v>49.495596838515347</v>
      </c>
    </row>
    <row r="90" spans="1:12">
      <c r="A90" s="302"/>
      <c r="B90" s="331" t="s">
        <v>754</v>
      </c>
      <c r="C90" s="674">
        <f>C88*$C$35</f>
        <v>1.9122882419476073</v>
      </c>
      <c r="D90" s="674">
        <f t="shared" ref="D90:L90" si="28">D88*$C$35</f>
        <v>1.9122882419476073</v>
      </c>
      <c r="E90" s="674">
        <f t="shared" si="28"/>
        <v>1.9122882419476073</v>
      </c>
      <c r="F90" s="674">
        <f t="shared" si="28"/>
        <v>1.9122882419476073</v>
      </c>
      <c r="G90" s="674">
        <f t="shared" si="28"/>
        <v>1.9122882419476073</v>
      </c>
      <c r="H90" s="674">
        <f t="shared" si="28"/>
        <v>1.9122882419476073</v>
      </c>
      <c r="I90" s="674">
        <f t="shared" si="28"/>
        <v>1.9122882419476073</v>
      </c>
      <c r="J90" s="674">
        <f t="shared" si="28"/>
        <v>1.9122882419476073</v>
      </c>
      <c r="K90" s="674">
        <f t="shared" si="28"/>
        <v>1.9122882419476073</v>
      </c>
      <c r="L90" s="674">
        <f t="shared" si="28"/>
        <v>1.9122882419476073</v>
      </c>
    </row>
    <row r="91" spans="1:12">
      <c r="A91" s="302"/>
      <c r="B91" s="645" t="s">
        <v>753</v>
      </c>
      <c r="C91" s="447">
        <f>C89</f>
        <v>49.495596838515347</v>
      </c>
      <c r="D91" s="447">
        <f t="shared" ref="D91:L91" si="29">D89</f>
        <v>49.495596838515347</v>
      </c>
      <c r="E91" s="447">
        <f t="shared" si="29"/>
        <v>49.495596838515347</v>
      </c>
      <c r="F91" s="447">
        <f t="shared" si="29"/>
        <v>49.495596838515347</v>
      </c>
      <c r="G91" s="447">
        <f t="shared" si="29"/>
        <v>49.495596838515347</v>
      </c>
      <c r="H91" s="447">
        <f t="shared" si="29"/>
        <v>49.495596838515347</v>
      </c>
      <c r="I91" s="447">
        <f t="shared" si="29"/>
        <v>49.495596838515347</v>
      </c>
      <c r="J91" s="447">
        <f t="shared" si="29"/>
        <v>49.495596838515347</v>
      </c>
      <c r="K91" s="447">
        <f t="shared" si="29"/>
        <v>49.495596838515347</v>
      </c>
      <c r="L91" s="447">
        <f t="shared" si="29"/>
        <v>49.495596838515347</v>
      </c>
    </row>
    <row r="92" spans="1:12">
      <c r="A92" s="302"/>
      <c r="B92" s="645" t="s">
        <v>752</v>
      </c>
      <c r="C92" s="674">
        <f>C90*$C$39</f>
        <v>1.1951801512172546</v>
      </c>
      <c r="D92" s="674">
        <f t="shared" ref="D92:L92" si="30">D90*$C$39</f>
        <v>1.1951801512172546</v>
      </c>
      <c r="E92" s="674">
        <f t="shared" si="30"/>
        <v>1.1951801512172546</v>
      </c>
      <c r="F92" s="674">
        <f t="shared" si="30"/>
        <v>1.1951801512172546</v>
      </c>
      <c r="G92" s="674">
        <f t="shared" si="30"/>
        <v>1.1951801512172546</v>
      </c>
      <c r="H92" s="674">
        <f t="shared" si="30"/>
        <v>1.1951801512172546</v>
      </c>
      <c r="I92" s="674">
        <f t="shared" si="30"/>
        <v>1.1951801512172546</v>
      </c>
      <c r="J92" s="674">
        <f t="shared" si="30"/>
        <v>1.1951801512172546</v>
      </c>
      <c r="K92" s="674">
        <f t="shared" si="30"/>
        <v>1.1951801512172546</v>
      </c>
      <c r="L92" s="674">
        <f t="shared" si="30"/>
        <v>1.1951801512172546</v>
      </c>
    </row>
    <row r="93" spans="1:12">
      <c r="A93" s="302"/>
      <c r="B93" s="645" t="s">
        <v>751</v>
      </c>
      <c r="C93" s="447">
        <f>C92+C91</f>
        <v>50.690776989732605</v>
      </c>
      <c r="D93" s="447">
        <f t="shared" ref="D93:L93" si="31">D92+D91</f>
        <v>50.690776989732605</v>
      </c>
      <c r="E93" s="447">
        <f t="shared" si="31"/>
        <v>50.690776989732605</v>
      </c>
      <c r="F93" s="447">
        <f t="shared" si="31"/>
        <v>50.690776989732605</v>
      </c>
      <c r="G93" s="447">
        <f t="shared" si="31"/>
        <v>50.690776989732605</v>
      </c>
      <c r="H93" s="447">
        <f t="shared" si="31"/>
        <v>50.690776989732605</v>
      </c>
      <c r="I93" s="447">
        <f t="shared" si="31"/>
        <v>50.690776989732605</v>
      </c>
      <c r="J93" s="447">
        <f t="shared" si="31"/>
        <v>50.690776989732605</v>
      </c>
      <c r="K93" s="447">
        <f t="shared" si="31"/>
        <v>50.690776989732605</v>
      </c>
      <c r="L93" s="447">
        <f t="shared" si="31"/>
        <v>50.690776989732605</v>
      </c>
    </row>
    <row r="94" spans="1:12">
      <c r="A94" s="302"/>
      <c r="B94" s="372"/>
      <c r="C94" s="302"/>
      <c r="D94" s="302"/>
      <c r="E94" s="302"/>
      <c r="F94" s="302"/>
      <c r="G94" s="302"/>
      <c r="H94" s="302"/>
      <c r="I94" s="302"/>
      <c r="J94" s="302"/>
      <c r="K94" s="302"/>
      <c r="L94" s="302"/>
    </row>
    <row r="95" spans="1:12">
      <c r="A95" s="302"/>
      <c r="B95" s="645" t="s">
        <v>750</v>
      </c>
      <c r="C95" s="674">
        <f>C93+C82+C71</f>
        <v>94.647895854796175</v>
      </c>
      <c r="D95" s="674">
        <f t="shared" ref="D95:L95" si="32">D93+D82+D71</f>
        <v>94.647895854796175</v>
      </c>
      <c r="E95" s="674">
        <f t="shared" si="32"/>
        <v>94.647895854796175</v>
      </c>
      <c r="F95" s="674">
        <f t="shared" si="32"/>
        <v>94.647895854796175</v>
      </c>
      <c r="G95" s="674">
        <f t="shared" si="32"/>
        <v>94.647895854796175</v>
      </c>
      <c r="H95" s="674">
        <f t="shared" si="32"/>
        <v>94.647895854796175</v>
      </c>
      <c r="I95" s="674">
        <f t="shared" si="32"/>
        <v>94.647895854796175</v>
      </c>
      <c r="J95" s="674">
        <f t="shared" si="32"/>
        <v>94.647895854796175</v>
      </c>
      <c r="K95" s="674">
        <f t="shared" si="32"/>
        <v>94.647895854796175</v>
      </c>
      <c r="L95" s="674">
        <f t="shared" si="32"/>
        <v>94.647895854796175</v>
      </c>
    </row>
    <row r="96" spans="1:12">
      <c r="A96" s="302"/>
      <c r="B96" s="678"/>
      <c r="C96" s="302"/>
      <c r="D96" s="302"/>
      <c r="E96" s="302"/>
      <c r="F96" s="302"/>
      <c r="G96" s="302"/>
      <c r="H96" s="302"/>
      <c r="I96" s="302"/>
      <c r="J96" s="302"/>
      <c r="K96" s="302"/>
      <c r="L96" s="302"/>
    </row>
    <row r="97" spans="1:12">
      <c r="A97" s="302"/>
      <c r="B97" s="679" t="s">
        <v>860</v>
      </c>
      <c r="C97" s="302"/>
      <c r="D97" s="302"/>
      <c r="E97" s="302"/>
      <c r="F97" s="302"/>
      <c r="G97" s="302"/>
      <c r="H97" s="302"/>
      <c r="I97" s="302"/>
      <c r="J97" s="302"/>
      <c r="K97" s="302"/>
      <c r="L97" s="302"/>
    </row>
    <row r="98" spans="1:12">
      <c r="A98" s="302"/>
      <c r="B98" s="318"/>
      <c r="C98" s="302"/>
      <c r="D98" s="302"/>
      <c r="E98" s="302"/>
      <c r="F98" s="302"/>
      <c r="G98" s="302"/>
      <c r="H98" s="302"/>
      <c r="I98" s="302"/>
      <c r="J98" s="302"/>
      <c r="K98" s="302"/>
      <c r="L98" s="302"/>
    </row>
    <row r="99" spans="1:12">
      <c r="A99" s="302"/>
      <c r="B99" s="319" t="s">
        <v>862</v>
      </c>
      <c r="C99" s="447">
        <f>C58</f>
        <v>8.5286688480795512</v>
      </c>
      <c r="D99" s="447">
        <f t="shared" ref="D99:L99" si="33">D58</f>
        <v>7.9027364957924924</v>
      </c>
      <c r="E99" s="447">
        <f t="shared" si="33"/>
        <v>7.7077904959115831</v>
      </c>
      <c r="F99" s="447">
        <f t="shared" si="33"/>
        <v>7.4888929111053519</v>
      </c>
      <c r="G99" s="447">
        <f t="shared" si="33"/>
        <v>7.8470919348457739</v>
      </c>
      <c r="H99" s="447">
        <f t="shared" si="33"/>
        <v>8.0995159007221478</v>
      </c>
      <c r="I99" s="447">
        <f t="shared" si="33"/>
        <v>7.8058041217902385</v>
      </c>
      <c r="J99" s="447">
        <f t="shared" si="33"/>
        <v>7.5919143744454836</v>
      </c>
      <c r="K99" s="447">
        <f t="shared" si="33"/>
        <v>7.6290701692772966</v>
      </c>
      <c r="L99" s="447">
        <f t="shared" si="33"/>
        <v>7.5852688203280678</v>
      </c>
    </row>
    <row r="100" spans="1:12">
      <c r="A100" s="302"/>
      <c r="B100" s="302"/>
      <c r="C100" s="302"/>
      <c r="D100" s="302"/>
      <c r="E100" s="302"/>
      <c r="F100" s="302"/>
      <c r="G100" s="302"/>
      <c r="H100" s="302"/>
      <c r="I100" s="302"/>
      <c r="J100" s="302"/>
      <c r="K100" s="302"/>
      <c r="L100" s="302"/>
    </row>
    <row r="101" spans="1:12">
      <c r="A101" s="302"/>
      <c r="B101" s="334" t="s">
        <v>852</v>
      </c>
      <c r="C101" s="302"/>
      <c r="D101" s="302"/>
      <c r="E101" s="302"/>
      <c r="F101" s="302"/>
      <c r="G101" s="302"/>
      <c r="H101" s="302"/>
      <c r="I101" s="302"/>
      <c r="J101" s="302"/>
      <c r="K101" s="302"/>
      <c r="L101" s="302"/>
    </row>
    <row r="102" spans="1:12">
      <c r="A102" s="302"/>
      <c r="B102" s="302"/>
      <c r="C102" s="302"/>
      <c r="D102" s="302"/>
      <c r="E102" s="302"/>
      <c r="F102" s="302"/>
      <c r="G102" s="302"/>
      <c r="H102" s="302"/>
      <c r="I102" s="302"/>
      <c r="J102" s="302"/>
      <c r="K102" s="302"/>
      <c r="L102" s="302"/>
    </row>
    <row r="103" spans="1:12">
      <c r="A103" s="302"/>
      <c r="B103" s="319"/>
      <c r="C103" s="319" t="str">
        <f t="shared" ref="C103:L103" si="34">C43</f>
        <v>2019/20</v>
      </c>
      <c r="D103" s="319" t="str">
        <f t="shared" si="34"/>
        <v>2020/21</v>
      </c>
      <c r="E103" s="319" t="str">
        <f t="shared" si="34"/>
        <v>2021/22</v>
      </c>
      <c r="F103" s="319" t="str">
        <f t="shared" si="34"/>
        <v>2022/23</v>
      </c>
      <c r="G103" s="319" t="str">
        <f t="shared" si="34"/>
        <v>2023/24</v>
      </c>
      <c r="H103" s="319" t="str">
        <f t="shared" si="34"/>
        <v>2024/25</v>
      </c>
      <c r="I103" s="319" t="str">
        <f t="shared" si="34"/>
        <v>2025/26</v>
      </c>
      <c r="J103" s="319" t="str">
        <f t="shared" si="34"/>
        <v>2026/27</v>
      </c>
      <c r="K103" s="319" t="str">
        <f t="shared" si="34"/>
        <v>2027/28</v>
      </c>
      <c r="L103" s="319" t="str">
        <f t="shared" si="34"/>
        <v>2028/29</v>
      </c>
    </row>
    <row r="104" spans="1:12">
      <c r="A104" s="302"/>
      <c r="B104" s="319" t="s">
        <v>943</v>
      </c>
      <c r="C104" s="447">
        <f t="shared" ref="C104:L104" si="35">C66*C$99</f>
        <v>108.18285902035581</v>
      </c>
      <c r="D104" s="447">
        <f t="shared" si="35"/>
        <v>100.24314971402035</v>
      </c>
      <c r="E104" s="447">
        <f t="shared" si="35"/>
        <v>97.770335257582914</v>
      </c>
      <c r="F104" s="447">
        <f t="shared" si="35"/>
        <v>94.99370422889416</v>
      </c>
      <c r="G104" s="447">
        <f t="shared" si="35"/>
        <v>99.537320023669082</v>
      </c>
      <c r="H104" s="447">
        <f t="shared" si="35"/>
        <v>102.73922020295814</v>
      </c>
      <c r="I104" s="447">
        <f t="shared" si="35"/>
        <v>99.013600116306094</v>
      </c>
      <c r="J104" s="447">
        <f t="shared" si="35"/>
        <v>96.30049156501002</v>
      </c>
      <c r="K104" s="447">
        <f t="shared" si="35"/>
        <v>96.771798422584212</v>
      </c>
      <c r="L104" s="447">
        <f t="shared" si="35"/>
        <v>96.216195286539971</v>
      </c>
    </row>
    <row r="105" spans="1:12">
      <c r="A105" s="302"/>
      <c r="B105" s="319" t="s">
        <v>944</v>
      </c>
      <c r="C105" s="447">
        <f t="shared" ref="C105:L105" si="36">C77*C$99</f>
        <v>306.24319775620131</v>
      </c>
      <c r="D105" s="447">
        <f t="shared" si="36"/>
        <v>283.76753026834791</v>
      </c>
      <c r="E105" s="447">
        <f t="shared" si="36"/>
        <v>276.76750629546814</v>
      </c>
      <c r="F105" s="447">
        <f t="shared" si="36"/>
        <v>268.9074407276434</v>
      </c>
      <c r="G105" s="447">
        <f t="shared" si="36"/>
        <v>281.76947305852906</v>
      </c>
      <c r="H105" s="447">
        <f t="shared" si="36"/>
        <v>290.83338723755003</v>
      </c>
      <c r="I105" s="447">
        <f t="shared" si="36"/>
        <v>280.28693080912109</v>
      </c>
      <c r="J105" s="447">
        <f t="shared" si="36"/>
        <v>272.60668417733007</v>
      </c>
      <c r="K105" s="447">
        <f t="shared" si="36"/>
        <v>273.94085597215008</v>
      </c>
      <c r="L105" s="447">
        <f t="shared" si="36"/>
        <v>272.36805892642269</v>
      </c>
    </row>
    <row r="106" spans="1:12">
      <c r="A106" s="302"/>
      <c r="B106" s="319" t="s">
        <v>945</v>
      </c>
      <c r="C106" s="447">
        <f t="shared" ref="C106:L106" si="37">C88*C$99</f>
        <v>438.44082803139793</v>
      </c>
      <c r="D106" s="447">
        <f t="shared" si="37"/>
        <v>406.26296959688096</v>
      </c>
      <c r="E106" s="447">
        <f t="shared" si="37"/>
        <v>396.24120803810723</v>
      </c>
      <c r="F106" s="447">
        <f t="shared" si="37"/>
        <v>384.9881461539976</v>
      </c>
      <c r="G106" s="447">
        <f t="shared" si="37"/>
        <v>403.40240040237921</v>
      </c>
      <c r="H106" s="447">
        <f t="shared" si="37"/>
        <v>416.37898263170655</v>
      </c>
      <c r="I106" s="447">
        <f t="shared" si="37"/>
        <v>401.27988125359661</v>
      </c>
      <c r="J106" s="447">
        <f t="shared" si="37"/>
        <v>390.2842617022082</v>
      </c>
      <c r="K106" s="447">
        <f t="shared" si="37"/>
        <v>392.19436253299534</v>
      </c>
      <c r="L106" s="447">
        <f t="shared" si="37"/>
        <v>389.94262781984412</v>
      </c>
    </row>
    <row r="107" spans="1:12">
      <c r="A107" s="302"/>
      <c r="B107" s="319" t="s">
        <v>8</v>
      </c>
      <c r="C107" s="447">
        <f>SUM(C104:C106)</f>
        <v>852.8668848079551</v>
      </c>
      <c r="D107" s="447">
        <f t="shared" ref="D107:L107" si="38">SUM(D104:D106)</f>
        <v>790.2736495792492</v>
      </c>
      <c r="E107" s="447">
        <f t="shared" si="38"/>
        <v>770.77904959115835</v>
      </c>
      <c r="F107" s="447">
        <f t="shared" si="38"/>
        <v>748.88929111053517</v>
      </c>
      <c r="G107" s="447">
        <f t="shared" si="38"/>
        <v>784.70919348457733</v>
      </c>
      <c r="H107" s="447">
        <f t="shared" si="38"/>
        <v>809.95159007221469</v>
      </c>
      <c r="I107" s="447">
        <f t="shared" si="38"/>
        <v>780.58041217902382</v>
      </c>
      <c r="J107" s="447">
        <f t="shared" si="38"/>
        <v>759.19143744454823</v>
      </c>
      <c r="K107" s="447">
        <f t="shared" si="38"/>
        <v>762.90701692772961</v>
      </c>
      <c r="L107" s="447">
        <f t="shared" si="38"/>
        <v>758.52688203280672</v>
      </c>
    </row>
    <row r="108" spans="1:12">
      <c r="A108" s="302"/>
      <c r="B108" s="302"/>
      <c r="C108" s="302"/>
      <c r="D108" s="302"/>
      <c r="E108" s="302"/>
      <c r="F108" s="302"/>
      <c r="G108" s="302"/>
      <c r="H108" s="302"/>
      <c r="I108" s="302"/>
      <c r="J108" s="302"/>
      <c r="K108" s="302"/>
      <c r="L108" s="302"/>
    </row>
    <row r="109" spans="1:12">
      <c r="A109" s="302"/>
      <c r="B109" s="302"/>
      <c r="C109" s="302"/>
      <c r="D109" s="302"/>
      <c r="E109" s="302"/>
      <c r="F109" s="302"/>
      <c r="G109" s="302"/>
      <c r="H109" s="302"/>
      <c r="I109" s="302"/>
      <c r="J109" s="302"/>
      <c r="K109" s="302"/>
      <c r="L109" s="302"/>
    </row>
    <row r="110" spans="1:12">
      <c r="A110" s="302"/>
      <c r="B110" s="677" t="s">
        <v>748</v>
      </c>
      <c r="C110" s="675"/>
      <c r="D110" s="675"/>
      <c r="E110" s="675"/>
      <c r="F110" s="675"/>
      <c r="G110" s="675"/>
      <c r="H110" s="675"/>
      <c r="I110" s="675"/>
      <c r="J110" s="302"/>
      <c r="K110" s="302"/>
      <c r="L110" s="302"/>
    </row>
    <row r="111" spans="1:12">
      <c r="A111" s="302"/>
      <c r="B111" s="676"/>
      <c r="C111" s="302"/>
      <c r="D111" s="302"/>
      <c r="E111" s="302"/>
      <c r="F111" s="302"/>
      <c r="G111" s="302"/>
      <c r="H111" s="302"/>
      <c r="I111" s="675"/>
      <c r="J111" s="302"/>
      <c r="K111" s="302"/>
      <c r="L111" s="302"/>
    </row>
    <row r="112" spans="1:12">
      <c r="A112" s="302"/>
      <c r="B112" s="676" t="s">
        <v>747</v>
      </c>
      <c r="C112" s="676">
        <f>C107</f>
        <v>852.8668848079551</v>
      </c>
      <c r="D112" s="676">
        <f t="shared" ref="D112:L112" si="39">D107</f>
        <v>790.2736495792492</v>
      </c>
      <c r="E112" s="676">
        <f t="shared" si="39"/>
        <v>770.77904959115835</v>
      </c>
      <c r="F112" s="676">
        <f t="shared" si="39"/>
        <v>748.88929111053517</v>
      </c>
      <c r="G112" s="676">
        <f t="shared" si="39"/>
        <v>784.70919348457733</v>
      </c>
      <c r="H112" s="676">
        <f t="shared" si="39"/>
        <v>809.95159007221469</v>
      </c>
      <c r="I112" s="676">
        <f t="shared" si="39"/>
        <v>780.58041217902382</v>
      </c>
      <c r="J112" s="676">
        <f t="shared" si="39"/>
        <v>759.19143744454823</v>
      </c>
      <c r="K112" s="676">
        <f t="shared" si="39"/>
        <v>762.90701692772961</v>
      </c>
      <c r="L112" s="676">
        <f t="shared" si="39"/>
        <v>758.52688203280672</v>
      </c>
    </row>
    <row r="113" spans="1:12">
      <c r="A113" s="302"/>
      <c r="B113" s="676" t="s">
        <v>1754</v>
      </c>
      <c r="C113" s="676">
        <f t="shared" ref="C113:L113" si="40">((C68+C79+C90)/100)*C112</f>
        <v>121.72353038633931</v>
      </c>
      <c r="D113" s="676">
        <f t="shared" si="40"/>
        <v>112.79005002022532</v>
      </c>
      <c r="E113" s="676">
        <f t="shared" si="40"/>
        <v>110.00772656941595</v>
      </c>
      <c r="F113" s="676">
        <f t="shared" si="40"/>
        <v>106.88355944670519</v>
      </c>
      <c r="G113" s="676">
        <f t="shared" si="40"/>
        <v>111.99587539275605</v>
      </c>
      <c r="H113" s="676">
        <f t="shared" si="40"/>
        <v>115.59854033706465</v>
      </c>
      <c r="I113" s="676">
        <f t="shared" si="40"/>
        <v>111.40660425835357</v>
      </c>
      <c r="J113" s="676">
        <f t="shared" si="40"/>
        <v>108.35391038267232</v>
      </c>
      <c r="K113" s="676">
        <f t="shared" si="40"/>
        <v>108.88420820543951</v>
      </c>
      <c r="L113" s="676">
        <f t="shared" si="40"/>
        <v>108.25906318870167</v>
      </c>
    </row>
    <row r="114" spans="1:12">
      <c r="A114" s="302"/>
      <c r="B114" s="676" t="s">
        <v>1755</v>
      </c>
      <c r="C114" s="676">
        <f t="shared" ref="C114:L114" si="41">((C67+C78+C89)/100)*C112</f>
        <v>731.14335442161587</v>
      </c>
      <c r="D114" s="676">
        <f t="shared" si="41"/>
        <v>677.4835995590239</v>
      </c>
      <c r="E114" s="676">
        <f t="shared" si="41"/>
        <v>660.77132302174243</v>
      </c>
      <c r="F114" s="676">
        <f t="shared" si="41"/>
        <v>642.00573166383003</v>
      </c>
      <c r="G114" s="676">
        <f t="shared" si="41"/>
        <v>672.71331809182129</v>
      </c>
      <c r="H114" s="676">
        <f t="shared" si="41"/>
        <v>694.35304973515008</v>
      </c>
      <c r="I114" s="676">
        <f t="shared" si="41"/>
        <v>669.17380792067024</v>
      </c>
      <c r="J114" s="676">
        <f t="shared" si="41"/>
        <v>650.8375270618759</v>
      </c>
      <c r="K114" s="676">
        <f t="shared" si="41"/>
        <v>654.02280872229016</v>
      </c>
      <c r="L114" s="676">
        <f t="shared" si="41"/>
        <v>650.26781884410502</v>
      </c>
    </row>
    <row r="115" spans="1:12">
      <c r="A115" s="302"/>
      <c r="B115" s="676" t="s">
        <v>855</v>
      </c>
      <c r="C115" s="676">
        <f>C113*$C$39</f>
        <v>76.077206491462064</v>
      </c>
      <c r="D115" s="676">
        <f t="shared" ref="D115:L115" si="42">D113*$C$39</f>
        <v>70.493781262640823</v>
      </c>
      <c r="E115" s="676">
        <f t="shared" si="42"/>
        <v>68.754829105884966</v>
      </c>
      <c r="F115" s="676">
        <f t="shared" si="42"/>
        <v>66.802224654190752</v>
      </c>
      <c r="G115" s="676">
        <f t="shared" si="42"/>
        <v>69.997422120472535</v>
      </c>
      <c r="H115" s="676">
        <f t="shared" si="42"/>
        <v>72.249087710665407</v>
      </c>
      <c r="I115" s="676">
        <f t="shared" si="42"/>
        <v>69.629127661470974</v>
      </c>
      <c r="J115" s="676">
        <f t="shared" si="42"/>
        <v>67.721193989170203</v>
      </c>
      <c r="K115" s="676">
        <f t="shared" si="42"/>
        <v>68.052630128399699</v>
      </c>
      <c r="L115" s="676">
        <f t="shared" si="42"/>
        <v>67.66191449293855</v>
      </c>
    </row>
    <row r="116" spans="1:12">
      <c r="A116" s="302"/>
      <c r="B116" s="676" t="s">
        <v>856</v>
      </c>
      <c r="C116" s="676">
        <f>C114</f>
        <v>731.14335442161587</v>
      </c>
      <c r="D116" s="676">
        <f t="shared" ref="D116:L116" si="43">D114</f>
        <v>677.4835995590239</v>
      </c>
      <c r="E116" s="676">
        <f t="shared" si="43"/>
        <v>660.77132302174243</v>
      </c>
      <c r="F116" s="676">
        <f t="shared" si="43"/>
        <v>642.00573166383003</v>
      </c>
      <c r="G116" s="676">
        <f t="shared" si="43"/>
        <v>672.71331809182129</v>
      </c>
      <c r="H116" s="676">
        <f t="shared" si="43"/>
        <v>694.35304973515008</v>
      </c>
      <c r="I116" s="676">
        <f t="shared" si="43"/>
        <v>669.17380792067024</v>
      </c>
      <c r="J116" s="676">
        <f t="shared" si="43"/>
        <v>650.8375270618759</v>
      </c>
      <c r="K116" s="676">
        <f t="shared" si="43"/>
        <v>654.02280872229016</v>
      </c>
      <c r="L116" s="676">
        <f t="shared" si="43"/>
        <v>650.26781884410502</v>
      </c>
    </row>
    <row r="117" spans="1:12">
      <c r="A117" s="302"/>
      <c r="B117" s="676" t="s">
        <v>746</v>
      </c>
      <c r="C117" s="676">
        <f>C116+C115</f>
        <v>807.22056091307797</v>
      </c>
      <c r="D117" s="676">
        <f t="shared" ref="D117:L117" si="44">D116+D115</f>
        <v>747.97738082166472</v>
      </c>
      <c r="E117" s="676">
        <f t="shared" si="44"/>
        <v>729.52615212762737</v>
      </c>
      <c r="F117" s="676">
        <f t="shared" si="44"/>
        <v>708.80795631802084</v>
      </c>
      <c r="G117" s="676">
        <f t="shared" si="44"/>
        <v>742.71074021229379</v>
      </c>
      <c r="H117" s="676">
        <f t="shared" si="44"/>
        <v>766.60213744581552</v>
      </c>
      <c r="I117" s="676">
        <f t="shared" si="44"/>
        <v>738.80293558214123</v>
      </c>
      <c r="J117" s="676">
        <f t="shared" si="44"/>
        <v>718.55872105104606</v>
      </c>
      <c r="K117" s="676">
        <f t="shared" si="44"/>
        <v>722.07543885068981</v>
      </c>
      <c r="L117" s="676">
        <f t="shared" si="44"/>
        <v>717.92973333704356</v>
      </c>
    </row>
    <row r="118" spans="1:12">
      <c r="A118" s="302"/>
      <c r="B118" s="676" t="s">
        <v>861</v>
      </c>
      <c r="C118" s="676">
        <f>C113+C114-C112</f>
        <v>0</v>
      </c>
      <c r="D118" s="676">
        <f t="shared" ref="D118:L118" si="45">D113+D114-D112</f>
        <v>0</v>
      </c>
      <c r="E118" s="676">
        <f t="shared" si="45"/>
        <v>0</v>
      </c>
      <c r="F118" s="676">
        <f t="shared" si="45"/>
        <v>0</v>
      </c>
      <c r="G118" s="676">
        <f t="shared" si="45"/>
        <v>0</v>
      </c>
      <c r="H118" s="676">
        <f t="shared" si="45"/>
        <v>0</v>
      </c>
      <c r="I118" s="676">
        <f t="shared" si="45"/>
        <v>0</v>
      </c>
      <c r="J118" s="676">
        <f t="shared" si="45"/>
        <v>0</v>
      </c>
      <c r="K118" s="676">
        <f t="shared" si="45"/>
        <v>0</v>
      </c>
      <c r="L118" s="676">
        <f t="shared" si="45"/>
        <v>0</v>
      </c>
    </row>
    <row r="119" spans="1:12">
      <c r="A119" s="302">
        <f>SUM(C118:L119)</f>
        <v>0</v>
      </c>
      <c r="B119" s="676" t="s">
        <v>863</v>
      </c>
      <c r="C119" s="676">
        <f t="shared" ref="C119:L119" si="46">C117-C44</f>
        <v>0</v>
      </c>
      <c r="D119" s="676">
        <f t="shared" si="46"/>
        <v>0</v>
      </c>
      <c r="E119" s="676">
        <f t="shared" si="46"/>
        <v>0</v>
      </c>
      <c r="F119" s="676">
        <f t="shared" si="46"/>
        <v>0</v>
      </c>
      <c r="G119" s="676">
        <f t="shared" si="46"/>
        <v>0</v>
      </c>
      <c r="H119" s="676">
        <f t="shared" si="46"/>
        <v>0</v>
      </c>
      <c r="I119" s="676">
        <f t="shared" si="46"/>
        <v>0</v>
      </c>
      <c r="J119" s="676">
        <f t="shared" si="46"/>
        <v>0</v>
      </c>
      <c r="K119" s="676">
        <f t="shared" si="46"/>
        <v>0</v>
      </c>
      <c r="L119" s="676">
        <f t="shared" si="46"/>
        <v>0</v>
      </c>
    </row>
    <row r="120" spans="1:12">
      <c r="A120" s="302"/>
      <c r="B120" s="302"/>
      <c r="C120" s="302"/>
      <c r="D120" s="302"/>
      <c r="E120" s="302"/>
      <c r="F120" s="302"/>
      <c r="G120" s="302"/>
      <c r="H120" s="302"/>
      <c r="I120" s="302"/>
      <c r="J120" s="302"/>
      <c r="K120" s="302"/>
      <c r="L120" s="302"/>
    </row>
    <row r="121" spans="1:12">
      <c r="A121" s="302"/>
      <c r="B121" s="302"/>
      <c r="C121" s="302"/>
      <c r="D121" s="302"/>
      <c r="E121" s="302"/>
      <c r="F121" s="302"/>
      <c r="G121" s="302"/>
      <c r="H121" s="302"/>
      <c r="I121" s="302"/>
      <c r="J121" s="302"/>
      <c r="K121" s="302"/>
      <c r="L121" s="302"/>
    </row>
    <row r="122" spans="1:12">
      <c r="A122" s="302"/>
      <c r="B122" s="302"/>
      <c r="C122" s="302"/>
      <c r="D122" s="302"/>
      <c r="E122" s="302"/>
      <c r="F122" s="302"/>
      <c r="G122" s="302"/>
      <c r="H122" s="302"/>
      <c r="I122" s="302"/>
      <c r="J122" s="302"/>
      <c r="K122" s="302"/>
      <c r="L122" s="302"/>
    </row>
    <row r="123" spans="1:12">
      <c r="A123" s="302"/>
      <c r="B123" s="302"/>
      <c r="C123" s="302"/>
      <c r="D123" s="302"/>
      <c r="E123" s="302"/>
      <c r="F123" s="302"/>
      <c r="G123" s="302"/>
      <c r="H123" s="302"/>
      <c r="I123" s="302"/>
      <c r="J123" s="302"/>
      <c r="K123" s="302"/>
      <c r="L123" s="302"/>
    </row>
    <row r="124" spans="1:12">
      <c r="A124" s="302"/>
      <c r="B124" s="302"/>
      <c r="C124" s="302"/>
      <c r="D124" s="302"/>
      <c r="E124" s="302"/>
      <c r="F124" s="302"/>
      <c r="G124" s="302"/>
      <c r="H124" s="302"/>
      <c r="I124" s="302"/>
      <c r="J124" s="302"/>
      <c r="K124" s="302"/>
      <c r="L124" s="302"/>
    </row>
    <row r="125" spans="1:12">
      <c r="A125" s="302"/>
      <c r="B125" s="302"/>
      <c r="C125" s="302"/>
      <c r="D125" s="302"/>
      <c r="E125" s="302"/>
      <c r="F125" s="302"/>
      <c r="G125" s="302"/>
      <c r="H125" s="302"/>
      <c r="I125" s="302"/>
      <c r="J125" s="302"/>
      <c r="K125" s="302"/>
      <c r="L125" s="302"/>
    </row>
    <row r="126" spans="1:12">
      <c r="A126" s="302"/>
      <c r="B126" s="302"/>
      <c r="C126" s="302"/>
      <c r="D126" s="302"/>
      <c r="E126" s="302"/>
      <c r="F126" s="302"/>
      <c r="G126" s="302"/>
      <c r="H126" s="302"/>
      <c r="I126" s="302"/>
      <c r="J126" s="302"/>
      <c r="K126" s="302"/>
      <c r="L126" s="302"/>
    </row>
    <row r="127" spans="1:12">
      <c r="A127" s="302"/>
      <c r="B127" s="302"/>
      <c r="C127" s="302"/>
      <c r="D127" s="302"/>
      <c r="E127" s="302"/>
      <c r="F127" s="302"/>
      <c r="G127" s="302"/>
      <c r="H127" s="302"/>
      <c r="I127" s="302"/>
      <c r="J127" s="302"/>
      <c r="K127" s="302"/>
      <c r="L127" s="302"/>
    </row>
    <row r="128" spans="1:12">
      <c r="A128" s="302"/>
      <c r="B128" s="302"/>
      <c r="C128" s="302"/>
      <c r="D128" s="302"/>
      <c r="E128" s="302"/>
      <c r="F128" s="302"/>
      <c r="G128" s="302"/>
      <c r="H128" s="302"/>
      <c r="I128" s="302"/>
      <c r="J128" s="302"/>
      <c r="K128" s="302"/>
      <c r="L128" s="302"/>
    </row>
    <row r="129" spans="1:12">
      <c r="A129" s="302"/>
      <c r="B129" s="302"/>
      <c r="C129" s="302"/>
      <c r="D129" s="302"/>
      <c r="E129" s="302"/>
      <c r="F129" s="302"/>
      <c r="G129" s="302"/>
      <c r="H129" s="302"/>
      <c r="I129" s="302"/>
      <c r="J129" s="302"/>
      <c r="K129" s="302"/>
      <c r="L129" s="302"/>
    </row>
    <row r="130" spans="1:12">
      <c r="A130" s="302"/>
      <c r="B130" s="302"/>
      <c r="C130" s="302"/>
      <c r="D130" s="302"/>
      <c r="E130" s="302"/>
      <c r="F130" s="302"/>
      <c r="G130" s="302"/>
      <c r="H130" s="302"/>
      <c r="I130" s="302"/>
      <c r="J130" s="302"/>
      <c r="K130" s="302"/>
      <c r="L130" s="302"/>
    </row>
    <row r="131" spans="1:12">
      <c r="A131" s="302"/>
      <c r="B131" s="302"/>
      <c r="C131" s="302"/>
      <c r="D131" s="302"/>
      <c r="E131" s="302"/>
      <c r="F131" s="302"/>
      <c r="G131" s="302"/>
      <c r="H131" s="302"/>
      <c r="I131" s="302"/>
      <c r="J131" s="302"/>
      <c r="K131" s="302"/>
      <c r="L131" s="302"/>
    </row>
    <row r="132" spans="1:12">
      <c r="A132" s="302"/>
      <c r="B132" s="302"/>
      <c r="C132" s="302"/>
      <c r="D132" s="302"/>
      <c r="E132" s="302"/>
      <c r="F132" s="302"/>
      <c r="G132" s="302"/>
      <c r="H132" s="302"/>
      <c r="I132" s="302"/>
      <c r="J132" s="302"/>
      <c r="K132" s="302"/>
      <c r="L132" s="302"/>
    </row>
    <row r="133" spans="1:12">
      <c r="A133" s="302"/>
      <c r="B133" s="302"/>
      <c r="C133" s="302"/>
      <c r="D133" s="302"/>
      <c r="E133" s="302"/>
      <c r="F133" s="302"/>
      <c r="G133" s="302"/>
      <c r="H133" s="302"/>
      <c r="I133" s="302"/>
      <c r="J133" s="302"/>
      <c r="K133" s="302"/>
      <c r="L133" s="302"/>
    </row>
  </sheetData>
  <mergeCells count="4">
    <mergeCell ref="D17:L18"/>
    <mergeCell ref="J51:J53"/>
    <mergeCell ref="A5:L5"/>
    <mergeCell ref="B46:L48"/>
  </mergeCells>
  <hyperlinks>
    <hyperlink ref="A2" location="'Title_&amp;_Contents'!A1" display="Contents"/>
    <hyperlink ref="B2" location="Map_of_sheets!A1" display="Map of shee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S9"/>
  <sheetViews>
    <sheetView showGridLines="0" zoomScaleNormal="100" workbookViewId="0"/>
  </sheetViews>
  <sheetFormatPr defaultRowHeight="12.75"/>
  <cols>
    <col min="1" max="1" width="8.7109375" customWidth="1"/>
    <col min="2" max="17" width="10.7109375" customWidth="1"/>
    <col min="18" max="23" width="8.7109375" customWidth="1"/>
  </cols>
  <sheetData>
    <row r="1" spans="1:19" s="65" customFormat="1" ht="15">
      <c r="A1" s="64" t="str">
        <f>ModelBanner</f>
        <v>TSM_201819 Publication</v>
      </c>
    </row>
    <row r="2" spans="1:19" s="65" customFormat="1" ht="15">
      <c r="A2" s="940" t="s">
        <v>13</v>
      </c>
      <c r="B2" s="940" t="s">
        <v>30</v>
      </c>
    </row>
    <row r="3" spans="1:19" s="65" customFormat="1" ht="15">
      <c r="A3" s="66"/>
    </row>
    <row r="4" spans="1:19" s="56" customFormat="1">
      <c r="A4" s="57" t="s">
        <v>26</v>
      </c>
      <c r="B4" s="57"/>
      <c r="C4" s="57"/>
      <c r="D4" s="57"/>
      <c r="E4" s="285"/>
      <c r="F4" s="57"/>
      <c r="G4" s="57"/>
      <c r="H4" s="57"/>
      <c r="I4" s="57"/>
      <c r="J4" s="57"/>
      <c r="K4" s="57"/>
      <c r="L4" s="57"/>
      <c r="M4" s="57"/>
      <c r="N4" s="57"/>
      <c r="O4" s="57"/>
      <c r="P4" s="57"/>
      <c r="Q4" s="57"/>
    </row>
    <row r="5" spans="1:19" s="46" customFormat="1" ht="13.15" customHeight="1">
      <c r="A5" s="59" t="s">
        <v>1308</v>
      </c>
      <c r="B5" s="59"/>
      <c r="C5" s="59"/>
      <c r="D5" s="59"/>
      <c r="E5" s="59"/>
      <c r="F5" s="59"/>
      <c r="G5" s="59"/>
      <c r="H5" s="59"/>
      <c r="I5" s="59"/>
      <c r="J5" s="59"/>
      <c r="K5" s="59"/>
      <c r="L5" s="59"/>
      <c r="M5" s="59"/>
      <c r="N5" s="59"/>
      <c r="O5" s="59"/>
      <c r="P5" s="59"/>
      <c r="Q5" s="59"/>
      <c r="R5" s="59"/>
      <c r="S5" s="59"/>
    </row>
    <row r="6" spans="1:19" s="45" customFormat="1" ht="13.5" customHeight="1">
      <c r="A6" s="55" t="s">
        <v>1392</v>
      </c>
      <c r="B6" s="60"/>
      <c r="C6" s="60"/>
      <c r="D6" s="60"/>
      <c r="E6" s="285"/>
      <c r="F6" s="60"/>
      <c r="G6" s="60"/>
      <c r="H6" s="60"/>
      <c r="I6" s="60"/>
      <c r="J6" s="60"/>
      <c r="K6" s="60"/>
      <c r="L6" s="60"/>
      <c r="M6" s="60"/>
      <c r="N6" s="60"/>
      <c r="O6" s="60"/>
      <c r="P6" s="60"/>
      <c r="Q6" s="60"/>
    </row>
    <row r="7" spans="1:19" s="45" customFormat="1">
      <c r="A7" s="53" t="s">
        <v>342</v>
      </c>
      <c r="B7" s="55"/>
      <c r="C7" s="60"/>
      <c r="D7" s="60"/>
      <c r="E7" s="285"/>
      <c r="F7" s="60"/>
      <c r="G7" s="60"/>
      <c r="H7" s="60"/>
      <c r="I7" s="60"/>
      <c r="J7" s="60"/>
      <c r="K7" s="60"/>
      <c r="L7" s="60"/>
      <c r="M7" s="60"/>
      <c r="N7" s="60"/>
      <c r="O7" s="60"/>
      <c r="P7" s="60"/>
      <c r="Q7" s="60"/>
    </row>
    <row r="8" spans="1:19" s="45" customFormat="1">
      <c r="A8" s="55" t="s">
        <v>24</v>
      </c>
      <c r="B8" s="60"/>
      <c r="C8" s="60"/>
      <c r="D8" s="60"/>
      <c r="E8" s="285"/>
      <c r="F8" s="60"/>
      <c r="G8" s="60"/>
      <c r="H8" s="60"/>
      <c r="I8" s="60"/>
      <c r="J8" s="60"/>
      <c r="K8" s="60"/>
      <c r="L8" s="60"/>
      <c r="M8" s="60"/>
      <c r="N8" s="60"/>
      <c r="O8" s="60"/>
      <c r="P8" s="60"/>
      <c r="Q8" s="60"/>
    </row>
    <row r="9" spans="1:19" s="49" customFormat="1" ht="13.5" customHeight="1">
      <c r="A9" s="54" t="s">
        <v>124</v>
      </c>
      <c r="B9" s="72"/>
      <c r="C9" s="70"/>
      <c r="D9" s="286"/>
      <c r="E9" s="286"/>
      <c r="F9" s="286"/>
      <c r="G9" s="71"/>
      <c r="H9" s="286"/>
      <c r="I9" s="286"/>
      <c r="J9" s="71"/>
      <c r="K9" s="287"/>
      <c r="L9" s="287"/>
      <c r="M9" s="287"/>
      <c r="N9" s="287"/>
      <c r="O9" s="287"/>
      <c r="P9" s="287"/>
      <c r="Q9" s="287"/>
    </row>
  </sheetData>
  <hyperlinks>
    <hyperlink ref="A2" location="'Title_&amp;_Contents'!A1" display="Contents"/>
    <hyperlink ref="B2" location="Map_of_sheets!A1" display="Map of sheets"/>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8"/>
  <sheetViews>
    <sheetView showGridLines="0" workbookViewId="0"/>
  </sheetViews>
  <sheetFormatPr defaultColWidth="9.140625" defaultRowHeight="12.75"/>
  <cols>
    <col min="1" max="1" width="8.28515625" style="302" customWidth="1"/>
    <col min="2" max="2" width="45.7109375" style="302" customWidth="1"/>
    <col min="3" max="12" width="9.7109375" style="302" customWidth="1"/>
    <col min="13" max="16384" width="9.140625" style="302"/>
  </cols>
  <sheetData>
    <row r="1" spans="1:12" s="337" customFormat="1" ht="15">
      <c r="A1" s="336" t="str">
        <f>ModelBanner</f>
        <v>TSM_201819 Publication</v>
      </c>
    </row>
    <row r="2" spans="1:12" s="337" customFormat="1" ht="15">
      <c r="A2" s="940" t="s">
        <v>13</v>
      </c>
      <c r="B2" s="940" t="s">
        <v>30</v>
      </c>
    </row>
    <row r="3" spans="1:12" s="337" customFormat="1" ht="15">
      <c r="A3" s="338"/>
    </row>
    <row r="4" spans="1:12" s="655" customFormat="1">
      <c r="A4" s="656" t="s">
        <v>26</v>
      </c>
      <c r="B4" s="656"/>
      <c r="C4" s="656"/>
      <c r="D4" s="656"/>
      <c r="E4" s="340"/>
      <c r="F4" s="656"/>
    </row>
    <row r="5" spans="1:12" s="654" customFormat="1" ht="13.15" customHeight="1">
      <c r="A5" s="684" t="s">
        <v>867</v>
      </c>
      <c r="B5" s="684"/>
      <c r="C5" s="684"/>
      <c r="D5" s="684"/>
      <c r="E5" s="684"/>
      <c r="F5" s="684"/>
      <c r="G5" s="342"/>
      <c r="H5" s="342"/>
      <c r="I5" s="342"/>
      <c r="J5" s="342"/>
      <c r="K5" s="342"/>
      <c r="L5" s="342"/>
    </row>
    <row r="6" spans="1:12" s="651" customFormat="1">
      <c r="A6" s="653" t="s">
        <v>1392</v>
      </c>
      <c r="B6" s="345"/>
      <c r="C6" s="345"/>
      <c r="D6" s="345"/>
      <c r="E6" s="340"/>
      <c r="F6" s="345"/>
      <c r="G6" s="346"/>
      <c r="H6" s="346"/>
      <c r="I6" s="346"/>
      <c r="J6" s="346"/>
      <c r="K6" s="346"/>
      <c r="L6" s="346"/>
    </row>
    <row r="7" spans="1:12" s="651" customFormat="1">
      <c r="A7" s="652" t="s">
        <v>790</v>
      </c>
      <c r="B7" s="653"/>
      <c r="C7" s="345"/>
      <c r="D7" s="345"/>
      <c r="E7" s="340"/>
      <c r="F7" s="345"/>
      <c r="G7" s="346"/>
      <c r="H7" s="346"/>
      <c r="I7" s="346"/>
      <c r="J7" s="346"/>
      <c r="K7" s="346"/>
      <c r="L7" s="346"/>
    </row>
    <row r="8" spans="1:12" s="651" customFormat="1">
      <c r="A8" s="653" t="s">
        <v>24</v>
      </c>
      <c r="B8" s="345"/>
      <c r="C8" s="345"/>
      <c r="D8" s="345"/>
      <c r="E8" s="340"/>
      <c r="F8" s="345"/>
      <c r="G8" s="346"/>
      <c r="H8" s="346"/>
      <c r="I8" s="346"/>
      <c r="J8" s="346"/>
      <c r="K8" s="346"/>
      <c r="L8" s="346"/>
    </row>
    <row r="9" spans="1:12" s="649" customFormat="1">
      <c r="A9" s="650"/>
      <c r="B9" s="350"/>
      <c r="C9" s="351"/>
      <c r="D9" s="352"/>
      <c r="E9" s="352"/>
      <c r="F9" s="352"/>
      <c r="G9" s="354"/>
      <c r="H9" s="354"/>
      <c r="I9" s="354"/>
      <c r="J9" s="354"/>
      <c r="K9" s="354"/>
      <c r="L9" s="354"/>
    </row>
    <row r="11" spans="1:12" ht="15.75">
      <c r="B11" s="333" t="s">
        <v>866</v>
      </c>
    </row>
    <row r="13" spans="1:12">
      <c r="B13" s="319"/>
      <c r="C13" s="319" t="str">
        <f>Primary_2!C102</f>
        <v>2019/20</v>
      </c>
      <c r="D13" s="319" t="str">
        <f>Primary_2!D102</f>
        <v>2020/21</v>
      </c>
      <c r="E13" s="319" t="str">
        <f>Primary_2!E102</f>
        <v>2021/22</v>
      </c>
      <c r="F13" s="319" t="str">
        <f>Primary_2!F102</f>
        <v>2022/23</v>
      </c>
      <c r="G13" s="319" t="str">
        <f>Primary_2!G102</f>
        <v>2023/24</v>
      </c>
      <c r="H13" s="319" t="str">
        <f>Primary_2!H102</f>
        <v>2024/25</v>
      </c>
      <c r="I13" s="319" t="str">
        <f>Primary_2!I102</f>
        <v>2025/26</v>
      </c>
      <c r="J13" s="319" t="str">
        <f>Primary_2!J102</f>
        <v>2026/27</v>
      </c>
      <c r="K13" s="319" t="str">
        <f>Primary_2!K102</f>
        <v>2027/28</v>
      </c>
      <c r="L13" s="319" t="str">
        <f>Primary_2!L102</f>
        <v>2028/29</v>
      </c>
    </row>
    <row r="14" spans="1:12">
      <c r="B14" s="319" t="str">
        <f>Primary_2!B104</f>
        <v>Primary Re-entrants</v>
      </c>
      <c r="C14" s="317">
        <f>Primary_2!C104</f>
        <v>8735.4660878889172</v>
      </c>
      <c r="D14" s="317">
        <f>Primary_2!D104</f>
        <v>8627.9819501193724</v>
      </c>
      <c r="E14" s="317">
        <f>Primary_2!E104</f>
        <v>8552.5231276575996</v>
      </c>
      <c r="F14" s="317">
        <f>Primary_2!F104</f>
        <v>8462.5342472516313</v>
      </c>
      <c r="G14" s="317">
        <f>Primary_2!G104</f>
        <v>8363.9031459724501</v>
      </c>
      <c r="H14" s="317">
        <f>Primary_2!H104</f>
        <v>8549.6500964104416</v>
      </c>
      <c r="I14" s="317">
        <f>Primary_2!I104</f>
        <v>8700.0449963102328</v>
      </c>
      <c r="J14" s="317">
        <f>Primary_2!J104</f>
        <v>8737.2781949953496</v>
      </c>
      <c r="K14" s="317">
        <f>Primary_2!K104</f>
        <v>8702.4582639650616</v>
      </c>
      <c r="L14" s="317">
        <f>Primary_2!L104</f>
        <v>8659.8985892939236</v>
      </c>
    </row>
    <row r="15" spans="1:12">
      <c r="B15" s="319" t="str">
        <f>'Art_&amp;_Design_2'!B105</f>
        <v>Art &amp; Design Re-entrants</v>
      </c>
      <c r="C15" s="317">
        <f>'Art_&amp;_Design_2'!C105</f>
        <v>323.55460750876074</v>
      </c>
      <c r="D15" s="317">
        <f>'Art_&amp;_Design_2'!D105</f>
        <v>320.89302276084328</v>
      </c>
      <c r="E15" s="317">
        <f>'Art_&amp;_Design_2'!E105</f>
        <v>315.32446059772769</v>
      </c>
      <c r="F15" s="317">
        <f>'Art_&amp;_Design_2'!F105</f>
        <v>308.07202699531729</v>
      </c>
      <c r="G15" s="317">
        <f>'Art_&amp;_Design_2'!G105</f>
        <v>325.14968853960625</v>
      </c>
      <c r="H15" s="317">
        <f>'Art_&amp;_Design_2'!H105</f>
        <v>336.25048660614664</v>
      </c>
      <c r="I15" s="317">
        <f>'Art_&amp;_Design_2'!I105</f>
        <v>320.22768943649015</v>
      </c>
      <c r="J15" s="317">
        <f>'Art_&amp;_Design_2'!J105</f>
        <v>310.15888387547153</v>
      </c>
      <c r="K15" s="317">
        <f>'Art_&amp;_Design_2'!K105</f>
        <v>316.33465398059161</v>
      </c>
      <c r="L15" s="317">
        <f>'Art_&amp;_Design_2'!L105</f>
        <v>318.34378718123338</v>
      </c>
    </row>
    <row r="16" spans="1:12">
      <c r="B16" s="319" t="str">
        <f>Biology_2!B105</f>
        <v>Biology Re-entrants</v>
      </c>
      <c r="C16" s="317">
        <f>Biology_2!C105</f>
        <v>580.45083580547771</v>
      </c>
      <c r="D16" s="317">
        <f>Biology_2!D105</f>
        <v>570.79713107997134</v>
      </c>
      <c r="E16" s="317">
        <f>Biology_2!E105</f>
        <v>583.0804024020548</v>
      </c>
      <c r="F16" s="317">
        <f>Biology_2!F105</f>
        <v>597.15450472112082</v>
      </c>
      <c r="G16" s="317">
        <f>Biology_2!G105</f>
        <v>607.7415555572735</v>
      </c>
      <c r="H16" s="317">
        <f>Biology_2!H105</f>
        <v>598.55433869123999</v>
      </c>
      <c r="I16" s="317">
        <f>Biology_2!I105</f>
        <v>591.67725272298946</v>
      </c>
      <c r="J16" s="317">
        <f>Biology_2!J105</f>
        <v>582.6167365713643</v>
      </c>
      <c r="K16" s="317">
        <f>Biology_2!K105</f>
        <v>568.33635165678561</v>
      </c>
      <c r="L16" s="317">
        <f>Biology_2!L105</f>
        <v>553.84979052816948</v>
      </c>
    </row>
    <row r="17" spans="2:12">
      <c r="B17" s="319" t="str">
        <f>Business_Studies_2!B105</f>
        <v>Business Studies Re-entrants</v>
      </c>
      <c r="C17" s="317">
        <f>Business_Studies_2!C105</f>
        <v>125.78920332659534</v>
      </c>
      <c r="D17" s="317">
        <f>Business_Studies_2!D105</f>
        <v>140.16684593012261</v>
      </c>
      <c r="E17" s="317">
        <f>Business_Studies_2!E105</f>
        <v>147.73782973128417</v>
      </c>
      <c r="F17" s="317">
        <f>Business_Studies_2!F105</f>
        <v>157.40556321908241</v>
      </c>
      <c r="G17" s="317">
        <f>Business_Studies_2!G105</f>
        <v>160.76004752738663</v>
      </c>
      <c r="H17" s="317">
        <f>Business_Studies_2!H105</f>
        <v>170.26068512213405</v>
      </c>
      <c r="I17" s="317">
        <f>Business_Studies_2!I105</f>
        <v>171.98092001778653</v>
      </c>
      <c r="J17" s="317">
        <f>Business_Studies_2!J105</f>
        <v>171.86324766065187</v>
      </c>
      <c r="K17" s="317">
        <f>Business_Studies_2!K105</f>
        <v>162.14385282649465</v>
      </c>
      <c r="L17" s="317">
        <f>Business_Studies_2!L105</f>
        <v>151.40209051216462</v>
      </c>
    </row>
    <row r="18" spans="2:12">
      <c r="B18" s="319" t="str">
        <f>Chemistry_2!B105</f>
        <v>Chemistry Re-entrants</v>
      </c>
      <c r="C18" s="317">
        <f>Chemistry_2!C105</f>
        <v>519.54845779922357</v>
      </c>
      <c r="D18" s="317">
        <f>Chemistry_2!D105</f>
        <v>519.79993858834098</v>
      </c>
      <c r="E18" s="317">
        <f>Chemistry_2!E105</f>
        <v>530.30534502581247</v>
      </c>
      <c r="F18" s="317">
        <f>Chemistry_2!F105</f>
        <v>542.77885134480789</v>
      </c>
      <c r="G18" s="317">
        <f>Chemistry_2!G105</f>
        <v>547.46513185159426</v>
      </c>
      <c r="H18" s="317">
        <f>Chemistry_2!H105</f>
        <v>538.07088818558714</v>
      </c>
      <c r="I18" s="317">
        <f>Chemistry_2!I105</f>
        <v>533.84609180122436</v>
      </c>
      <c r="J18" s="317">
        <f>Chemistry_2!J105</f>
        <v>525.73410296207931</v>
      </c>
      <c r="K18" s="317">
        <f>Chemistry_2!K105</f>
        <v>507.46573167476856</v>
      </c>
      <c r="L18" s="317">
        <f>Chemistry_2!L105</f>
        <v>489.71126264451766</v>
      </c>
    </row>
    <row r="19" spans="2:12">
      <c r="B19" s="319" t="str">
        <f>Classics_2!B105</f>
        <v>Classics Re-entrants</v>
      </c>
      <c r="C19" s="317">
        <f>Classics_2!C105</f>
        <v>13.194208878208421</v>
      </c>
      <c r="D19" s="317">
        <f>Classics_2!D105</f>
        <v>13.42586211269011</v>
      </c>
      <c r="E19" s="317">
        <f>Classics_2!E105</f>
        <v>13.488068909147676</v>
      </c>
      <c r="F19" s="317">
        <f>Classics_2!F105</f>
        <v>13.683281668127862</v>
      </c>
      <c r="G19" s="317">
        <f>Classics_2!G105</f>
        <v>14.014206684545922</v>
      </c>
      <c r="H19" s="317">
        <f>Classics_2!H105</f>
        <v>13.919430728049674</v>
      </c>
      <c r="I19" s="317">
        <f>Classics_2!I105</f>
        <v>13.39743717119708</v>
      </c>
      <c r="J19" s="317">
        <f>Classics_2!J105</f>
        <v>13.068338004602966</v>
      </c>
      <c r="K19" s="317">
        <f>Classics_2!K105</f>
        <v>13.039460165765471</v>
      </c>
      <c r="L19" s="317">
        <f>Classics_2!L105</f>
        <v>12.939062949956737</v>
      </c>
    </row>
    <row r="20" spans="2:12">
      <c r="B20" s="319" t="str">
        <f>Computing_2!B105</f>
        <v>Computing Re-entrants</v>
      </c>
      <c r="C20" s="317">
        <f>Computing_2!C105</f>
        <v>305.05329465469345</v>
      </c>
      <c r="D20" s="317">
        <f>Computing_2!D105</f>
        <v>303.39370835278572</v>
      </c>
      <c r="E20" s="317">
        <f>Computing_2!E105</f>
        <v>301.30169601958357</v>
      </c>
      <c r="F20" s="317">
        <f>Computing_2!F105</f>
        <v>298.1881214630489</v>
      </c>
      <c r="G20" s="317">
        <f>Computing_2!G105</f>
        <v>311.03369001091329</v>
      </c>
      <c r="H20" s="317">
        <f>Computing_2!H105</f>
        <v>321.64898151966923</v>
      </c>
      <c r="I20" s="317">
        <f>Computing_2!I105</f>
        <v>312.8644519824424</v>
      </c>
      <c r="J20" s="317">
        <f>Computing_2!J105</f>
        <v>306.35994568971375</v>
      </c>
      <c r="K20" s="317">
        <f>Computing_2!K105</f>
        <v>306.67113666281602</v>
      </c>
      <c r="L20" s="317">
        <f>Computing_2!L105</f>
        <v>304.05119538985036</v>
      </c>
    </row>
    <row r="21" spans="2:12">
      <c r="B21" s="319" t="str">
        <f>'Design_&amp;_Technology_2'!B105</f>
        <v>Design &amp; Technology Re-entrants</v>
      </c>
      <c r="C21" s="317">
        <f>'Design_&amp;_Technology_2'!C105</f>
        <v>440.63209654188</v>
      </c>
      <c r="D21" s="317">
        <f>'Design_&amp;_Technology_2'!D105</f>
        <v>406.72332486107149</v>
      </c>
      <c r="E21" s="317">
        <f>'Design_&amp;_Technology_2'!E105</f>
        <v>389.94047030974639</v>
      </c>
      <c r="F21" s="317">
        <f>'Design_&amp;_Technology_2'!F105</f>
        <v>370.32755317927041</v>
      </c>
      <c r="G21" s="317">
        <f>'Design_&amp;_Technology_2'!G105</f>
        <v>389.89326101096628</v>
      </c>
      <c r="H21" s="317">
        <f>'Design_&amp;_Technology_2'!H105</f>
        <v>398.30902410986073</v>
      </c>
      <c r="I21" s="317">
        <f>'Design_&amp;_Technology_2'!I105</f>
        <v>372.78466298802289</v>
      </c>
      <c r="J21" s="317">
        <f>'Design_&amp;_Technology_2'!J105</f>
        <v>356.88352175682093</v>
      </c>
      <c r="K21" s="317">
        <f>'Design_&amp;_Technology_2'!K105</f>
        <v>369.05689431289193</v>
      </c>
      <c r="L21" s="317">
        <f>'Design_&amp;_Technology_2'!L105</f>
        <v>376.17319986773242</v>
      </c>
    </row>
    <row r="22" spans="2:12">
      <c r="B22" s="319" t="str">
        <f>Drama_2!B105</f>
        <v>Drama Re-entrants</v>
      </c>
      <c r="C22" s="317">
        <f>Drama_2!C105</f>
        <v>190.89950008203101</v>
      </c>
      <c r="D22" s="317">
        <f>Drama_2!D105</f>
        <v>179.76476299568247</v>
      </c>
      <c r="E22" s="317">
        <f>Drama_2!E105</f>
        <v>175.71800252171286</v>
      </c>
      <c r="F22" s="317">
        <f>Drama_2!F105</f>
        <v>170.44691871860519</v>
      </c>
      <c r="G22" s="317">
        <f>Drama_2!G105</f>
        <v>182.47122108667773</v>
      </c>
      <c r="H22" s="317">
        <f>Drama_2!H105</f>
        <v>189.50533820604994</v>
      </c>
      <c r="I22" s="317">
        <f>Drama_2!I105</f>
        <v>179.33794274774144</v>
      </c>
      <c r="J22" s="317">
        <f>Drama_2!J105</f>
        <v>173.65280268779688</v>
      </c>
      <c r="K22" s="317">
        <f>Drama_2!K105</f>
        <v>180.69839572280577</v>
      </c>
      <c r="L22" s="317">
        <f>Drama_2!L105</f>
        <v>184.98995389162775</v>
      </c>
    </row>
    <row r="23" spans="2:12">
      <c r="B23" s="319" t="str">
        <f>English_2!B105</f>
        <v>English Re-entrants</v>
      </c>
      <c r="C23" s="317">
        <f>English_2!C105</f>
        <v>1405.0297375056643</v>
      </c>
      <c r="D23" s="317">
        <f>English_2!D105</f>
        <v>1385.5289225996721</v>
      </c>
      <c r="E23" s="317">
        <f>English_2!E105</f>
        <v>1395.5218889843343</v>
      </c>
      <c r="F23" s="317">
        <f>English_2!F105</f>
        <v>1406.0190873783815</v>
      </c>
      <c r="G23" s="317">
        <f>English_2!G105</f>
        <v>1434.7960778125498</v>
      </c>
      <c r="H23" s="317">
        <f>English_2!H105</f>
        <v>1388.3561039451029</v>
      </c>
      <c r="I23" s="317">
        <f>English_2!I105</f>
        <v>1358.3062369073937</v>
      </c>
      <c r="J23" s="317">
        <f>English_2!J105</f>
        <v>1326.8894627401467</v>
      </c>
      <c r="K23" s="317">
        <f>English_2!K105</f>
        <v>1302.4150054534366</v>
      </c>
      <c r="L23" s="317">
        <f>English_2!L105</f>
        <v>1279.0985758506986</v>
      </c>
    </row>
    <row r="24" spans="2:12">
      <c r="B24" s="319" t="str">
        <f>Food_2!B105</f>
        <v>Food Re-entrants</v>
      </c>
      <c r="C24" s="317">
        <f>Food_2!C105</f>
        <v>90.395306817991326</v>
      </c>
      <c r="D24" s="317">
        <f>Food_2!D105</f>
        <v>86.399374367546116</v>
      </c>
      <c r="E24" s="317">
        <f>Food_2!E105</f>
        <v>83.756357462414201</v>
      </c>
      <c r="F24" s="317">
        <f>Food_2!F105</f>
        <v>81.306488955361857</v>
      </c>
      <c r="G24" s="317">
        <f>Food_2!G105</f>
        <v>82.158318241821746</v>
      </c>
      <c r="H24" s="317">
        <f>Food_2!H105</f>
        <v>83.57974640784596</v>
      </c>
      <c r="I24" s="317">
        <f>Food_2!I105</f>
        <v>82.594335596052332</v>
      </c>
      <c r="J24" s="317">
        <f>Food_2!J105</f>
        <v>80.687146909336292</v>
      </c>
      <c r="K24" s="317">
        <f>Food_2!K105</f>
        <v>76.757486710460427</v>
      </c>
      <c r="L24" s="317">
        <f>Food_2!L105</f>
        <v>72.622100296357701</v>
      </c>
    </row>
    <row r="25" spans="2:12">
      <c r="B25" s="319" t="str">
        <f>Geography_2!B154</f>
        <v>Geography Re-entrants</v>
      </c>
      <c r="C25" s="317">
        <f>Geography_2!C154</f>
        <v>378.30900000000003</v>
      </c>
      <c r="D25" s="317">
        <f>Geography_2!D154</f>
        <v>378.30900000000003</v>
      </c>
      <c r="E25" s="317">
        <f>Geography_2!E154</f>
        <v>378.30900000000003</v>
      </c>
      <c r="F25" s="317">
        <f>Geography_2!F154</f>
        <v>378.30900000000003</v>
      </c>
      <c r="G25" s="317">
        <f>Geography_2!G154</f>
        <v>378.30900000000003</v>
      </c>
      <c r="H25" s="317">
        <f>Geography_2!H154</f>
        <v>378.30900000000003</v>
      </c>
      <c r="I25" s="317">
        <f>Geography_2!I154</f>
        <v>378.30900000000003</v>
      </c>
      <c r="J25" s="317">
        <f>Geography_2!J154</f>
        <v>378.30900000000003</v>
      </c>
      <c r="K25" s="317">
        <f>Geography_2!K154</f>
        <v>378.30900000000003</v>
      </c>
      <c r="L25" s="317">
        <f>Geography_2!L154</f>
        <v>378.30900000000003</v>
      </c>
    </row>
    <row r="26" spans="2:12">
      <c r="B26" s="319" t="str">
        <f>History_2!B154</f>
        <v>History Re-entrants</v>
      </c>
      <c r="C26" s="317">
        <f>History_2!C154</f>
        <v>360.80799999999999</v>
      </c>
      <c r="D26" s="317">
        <f>History_2!D154</f>
        <v>360.80799999999999</v>
      </c>
      <c r="E26" s="317">
        <f>History_2!E154</f>
        <v>360.80799999999999</v>
      </c>
      <c r="F26" s="317">
        <f>History_2!F154</f>
        <v>360.80799999999999</v>
      </c>
      <c r="G26" s="317">
        <f>History_2!G154</f>
        <v>360.80799999999999</v>
      </c>
      <c r="H26" s="317">
        <f>History_2!H154</f>
        <v>360.80799999999999</v>
      </c>
      <c r="I26" s="317">
        <f>History_2!I154</f>
        <v>360.80799999999999</v>
      </c>
      <c r="J26" s="317">
        <f>History_2!J154</f>
        <v>360.80799999999999</v>
      </c>
      <c r="K26" s="317">
        <f>History_2!K154</f>
        <v>360.80799999999999</v>
      </c>
      <c r="L26" s="317">
        <f>History_2!L154</f>
        <v>360.80799999999999</v>
      </c>
    </row>
    <row r="27" spans="2:12">
      <c r="B27" s="319" t="str">
        <f>Mathematics_2!B105</f>
        <v>Mathematics Re-entrants</v>
      </c>
      <c r="C27" s="317">
        <f>Mathematics_2!C105</f>
        <v>1628.0821469628911</v>
      </c>
      <c r="D27" s="317">
        <f>Mathematics_2!D105</f>
        <v>1553.9077121177634</v>
      </c>
      <c r="E27" s="317">
        <f>Mathematics_2!E105</f>
        <v>1563.1049907983622</v>
      </c>
      <c r="F27" s="317">
        <f>Mathematics_2!F105</f>
        <v>1573.621407737239</v>
      </c>
      <c r="G27" s="317">
        <f>Mathematics_2!G105</f>
        <v>1602.8555212300039</v>
      </c>
      <c r="H27" s="317">
        <f>Mathematics_2!H105</f>
        <v>1558.7562406651318</v>
      </c>
      <c r="I27" s="317">
        <f>Mathematics_2!I105</f>
        <v>1519.6322581852653</v>
      </c>
      <c r="J27" s="317">
        <f>Mathematics_2!J105</f>
        <v>1482.9515857491203</v>
      </c>
      <c r="K27" s="317">
        <f>Mathematics_2!K105</f>
        <v>1459.0727133185458</v>
      </c>
      <c r="L27" s="317">
        <f>Mathematics_2!L105</f>
        <v>1435.0410527071406</v>
      </c>
    </row>
    <row r="28" spans="2:12">
      <c r="B28" s="319" t="str">
        <f>Modern_Foreign_Languages_2!B154</f>
        <v>Modern Foreign Languages Re-entrants</v>
      </c>
      <c r="C28" s="317">
        <f>Modern_Foreign_Languages_2!C154</f>
        <v>642.23199999999997</v>
      </c>
      <c r="D28" s="317">
        <f>Modern_Foreign_Languages_2!D154</f>
        <v>642.23199999999997</v>
      </c>
      <c r="E28" s="317">
        <f>Modern_Foreign_Languages_2!E154</f>
        <v>642.23199999999997</v>
      </c>
      <c r="F28" s="317">
        <f>Modern_Foreign_Languages_2!F154</f>
        <v>642.23199999999997</v>
      </c>
      <c r="G28" s="317">
        <f>Modern_Foreign_Languages_2!G154</f>
        <v>642.23199999999997</v>
      </c>
      <c r="H28" s="317">
        <f>Modern_Foreign_Languages_2!H154</f>
        <v>642.23199999999997</v>
      </c>
      <c r="I28" s="317">
        <f>Modern_Foreign_Languages_2!I154</f>
        <v>642.23199999999997</v>
      </c>
      <c r="J28" s="317">
        <f>Modern_Foreign_Languages_2!J154</f>
        <v>642.23199999999997</v>
      </c>
      <c r="K28" s="317">
        <f>Modern_Foreign_Languages_2!K154</f>
        <v>642.23199999999997</v>
      </c>
      <c r="L28" s="317">
        <f>Modern_Foreign_Languages_2!L154</f>
        <v>642.23199999999997</v>
      </c>
    </row>
    <row r="29" spans="2:12">
      <c r="B29" s="319" t="str">
        <f>Music_2!B105</f>
        <v>Music Re-entrants</v>
      </c>
      <c r="C29" s="317">
        <f>Music_2!C105</f>
        <v>209.46744210551702</v>
      </c>
      <c r="D29" s="317">
        <f>Music_2!D105</f>
        <v>190.24349534229611</v>
      </c>
      <c r="E29" s="317">
        <f>Music_2!E105</f>
        <v>183.7991182447665</v>
      </c>
      <c r="F29" s="317">
        <f>Music_2!F105</f>
        <v>175.25611924743248</v>
      </c>
      <c r="G29" s="317">
        <f>Music_2!G105</f>
        <v>189.38045882357139</v>
      </c>
      <c r="H29" s="317">
        <f>Music_2!H105</f>
        <v>195.8700072735509</v>
      </c>
      <c r="I29" s="317">
        <f>Music_2!I105</f>
        <v>181.80468805032069</v>
      </c>
      <c r="J29" s="317">
        <f>Music_2!J105</f>
        <v>174.28215587948375</v>
      </c>
      <c r="K29" s="317">
        <f>Music_2!K105</f>
        <v>185.7407489662684</v>
      </c>
      <c r="L29" s="317">
        <f>Music_2!L105</f>
        <v>193.88713612500115</v>
      </c>
    </row>
    <row r="30" spans="2:12">
      <c r="B30" s="319" t="str">
        <f>Others_2!B105</f>
        <v>Others Re-entrants</v>
      </c>
      <c r="C30" s="317">
        <f>Others_2!C105</f>
        <v>453.99885847002804</v>
      </c>
      <c r="D30" s="317">
        <f>Others_2!D105</f>
        <v>494.7728096153914</v>
      </c>
      <c r="E30" s="317">
        <f>Others_2!E105</f>
        <v>507.5531765461518</v>
      </c>
      <c r="F30" s="317">
        <f>Others_2!F105</f>
        <v>525.17348165154078</v>
      </c>
      <c r="G30" s="317">
        <f>Others_2!G105</f>
        <v>547.94226363578059</v>
      </c>
      <c r="H30" s="317">
        <f>Others_2!H105</f>
        <v>579.40195282891807</v>
      </c>
      <c r="I30" s="317">
        <f>Others_2!I105</f>
        <v>563.74223690926215</v>
      </c>
      <c r="J30" s="317">
        <f>Others_2!J105</f>
        <v>555.57508996074785</v>
      </c>
      <c r="K30" s="317">
        <f>Others_2!K105</f>
        <v>551.76672000134238</v>
      </c>
      <c r="L30" s="317">
        <f>Others_2!L105</f>
        <v>540.93386750489628</v>
      </c>
    </row>
    <row r="31" spans="2:12">
      <c r="B31" s="319" t="str">
        <f>Physical_Education_2!B105</f>
        <v>Physical Education Re-entrants</v>
      </c>
      <c r="C31" s="317">
        <f>Physical_Education_2!C105</f>
        <v>602.898697120576</v>
      </c>
      <c r="D31" s="317">
        <f>Physical_Education_2!D105</f>
        <v>584.9602323815335</v>
      </c>
      <c r="E31" s="317">
        <f>Physical_Education_2!E105</f>
        <v>575.34578354164842</v>
      </c>
      <c r="F31" s="317">
        <f>Physical_Education_2!F105</f>
        <v>563.01678942153842</v>
      </c>
      <c r="G31" s="317">
        <f>Physical_Education_2!G105</f>
        <v>597.34306626720763</v>
      </c>
      <c r="H31" s="317">
        <f>Physical_Education_2!H105</f>
        <v>622.2680353002371</v>
      </c>
      <c r="I31" s="317">
        <f>Physical_Education_2!I105</f>
        <v>605.62778734193432</v>
      </c>
      <c r="J31" s="317">
        <f>Physical_Education_2!J105</f>
        <v>593.14934435361738</v>
      </c>
      <c r="K31" s="317">
        <f>Physical_Education_2!K105</f>
        <v>597.43208352611521</v>
      </c>
      <c r="L31" s="317">
        <f>Physical_Education_2!L105</f>
        <v>595.1281603740706</v>
      </c>
    </row>
    <row r="32" spans="2:12">
      <c r="B32" s="319" t="str">
        <f>Physics_2!B105</f>
        <v>Physics Re-entrants</v>
      </c>
      <c r="C32" s="317">
        <f>Physics_2!C105</f>
        <v>556.87595822793719</v>
      </c>
      <c r="D32" s="317">
        <f>Physics_2!D105</f>
        <v>525.18503871828057</v>
      </c>
      <c r="E32" s="317">
        <f>Physics_2!E105</f>
        <v>533.87590336799292</v>
      </c>
      <c r="F32" s="317">
        <f>Physics_2!F105</f>
        <v>544.1223902017399</v>
      </c>
      <c r="G32" s="317">
        <f>Physics_2!G105</f>
        <v>547.4375143163644</v>
      </c>
      <c r="H32" s="317">
        <f>Physics_2!H105</f>
        <v>535.60252480937584</v>
      </c>
      <c r="I32" s="317">
        <f>Physics_2!I105</f>
        <v>530.96177468680173</v>
      </c>
      <c r="J32" s="317">
        <f>Physics_2!J105</f>
        <v>522.07903541715189</v>
      </c>
      <c r="K32" s="317">
        <f>Physics_2!K105</f>
        <v>502.95410226655804</v>
      </c>
      <c r="L32" s="317">
        <f>Physics_2!L105</f>
        <v>484.70799303556851</v>
      </c>
    </row>
    <row r="33" spans="2:12">
      <c r="B33" s="319" t="str">
        <f>Religious_Education_2!B105</f>
        <v>Religious Education Re-entrants</v>
      </c>
      <c r="C33" s="317">
        <f>Religious_Education_2!C105</f>
        <v>306.24319775620131</v>
      </c>
      <c r="D33" s="317">
        <f>Religious_Education_2!D105</f>
        <v>283.76753026834791</v>
      </c>
      <c r="E33" s="317">
        <f>Religious_Education_2!E105</f>
        <v>276.76750629546814</v>
      </c>
      <c r="F33" s="317">
        <f>Religious_Education_2!F105</f>
        <v>268.9074407276434</v>
      </c>
      <c r="G33" s="317">
        <f>Religious_Education_2!G105</f>
        <v>281.76947305852906</v>
      </c>
      <c r="H33" s="317">
        <f>Religious_Education_2!H105</f>
        <v>290.83338723755003</v>
      </c>
      <c r="I33" s="317">
        <f>Religious_Education_2!I105</f>
        <v>280.28693080912109</v>
      </c>
      <c r="J33" s="317">
        <f>Religious_Education_2!J105</f>
        <v>272.60668417733007</v>
      </c>
      <c r="K33" s="317">
        <f>Religious_Education_2!K105</f>
        <v>273.94085597215008</v>
      </c>
      <c r="L33" s="317">
        <f>Religious_Education_2!L105</f>
        <v>272.36805892642269</v>
      </c>
    </row>
    <row r="35" spans="2:12">
      <c r="B35" s="319" t="s">
        <v>864</v>
      </c>
      <c r="C35" s="317">
        <f>C14</f>
        <v>8735.4660878889172</v>
      </c>
      <c r="D35" s="317">
        <f t="shared" ref="D35:L35" si="0">D14</f>
        <v>8627.9819501193724</v>
      </c>
      <c r="E35" s="317">
        <f t="shared" si="0"/>
        <v>8552.5231276575996</v>
      </c>
      <c r="F35" s="317">
        <f t="shared" si="0"/>
        <v>8462.5342472516313</v>
      </c>
      <c r="G35" s="317">
        <f t="shared" si="0"/>
        <v>8363.9031459724501</v>
      </c>
      <c r="H35" s="317">
        <f t="shared" si="0"/>
        <v>8549.6500964104416</v>
      </c>
      <c r="I35" s="317">
        <f t="shared" si="0"/>
        <v>8700.0449963102328</v>
      </c>
      <c r="J35" s="317">
        <f t="shared" si="0"/>
        <v>8737.2781949953496</v>
      </c>
      <c r="K35" s="317">
        <f t="shared" si="0"/>
        <v>8702.4582639650616</v>
      </c>
      <c r="L35" s="317">
        <f t="shared" si="0"/>
        <v>8659.8985892939236</v>
      </c>
    </row>
    <row r="36" spans="2:12">
      <c r="B36" s="319" t="s">
        <v>865</v>
      </c>
      <c r="C36" s="317">
        <f>SUM(C14:C33)-C35</f>
        <v>9133.4625495636774</v>
      </c>
      <c r="D36" s="317">
        <f t="shared" ref="D36:L36" si="1">SUM(D14:D33)-D35</f>
        <v>8941.0787120923396</v>
      </c>
      <c r="E36" s="317">
        <f t="shared" si="1"/>
        <v>8957.9700007582087</v>
      </c>
      <c r="F36" s="317">
        <f t="shared" si="1"/>
        <v>8976.8290266302574</v>
      </c>
      <c r="G36" s="317">
        <f t="shared" si="1"/>
        <v>9203.5604956547868</v>
      </c>
      <c r="H36" s="317">
        <f t="shared" si="1"/>
        <v>9202.5361716364496</v>
      </c>
      <c r="I36" s="317">
        <f t="shared" si="1"/>
        <v>9000.4216973540424</v>
      </c>
      <c r="J36" s="317">
        <f t="shared" si="1"/>
        <v>8829.9070843954396</v>
      </c>
      <c r="K36" s="317">
        <f t="shared" si="1"/>
        <v>8755.1751932178013</v>
      </c>
      <c r="L36" s="317">
        <f t="shared" si="1"/>
        <v>8646.5962877854035</v>
      </c>
    </row>
    <row r="37" spans="2:12">
      <c r="B37" s="319" t="s">
        <v>8</v>
      </c>
      <c r="C37" s="317">
        <f>SUM(C35:C36)</f>
        <v>17868.928637452595</v>
      </c>
      <c r="D37" s="317">
        <f t="shared" ref="D37:L37" si="2">SUM(D35:D36)</f>
        <v>17569.060662211712</v>
      </c>
      <c r="E37" s="317">
        <f t="shared" si="2"/>
        <v>17510.493128415808</v>
      </c>
      <c r="F37" s="317">
        <f t="shared" si="2"/>
        <v>17439.363273881889</v>
      </c>
      <c r="G37" s="317">
        <f t="shared" si="2"/>
        <v>17567.463641627237</v>
      </c>
      <c r="H37" s="317">
        <f t="shared" si="2"/>
        <v>17752.186268046891</v>
      </c>
      <c r="I37" s="317">
        <f t="shared" si="2"/>
        <v>17700.466693664275</v>
      </c>
      <c r="J37" s="317">
        <f t="shared" si="2"/>
        <v>17567.185279390789</v>
      </c>
      <c r="K37" s="317">
        <f t="shared" si="2"/>
        <v>17457.633457182863</v>
      </c>
      <c r="L37" s="317">
        <f t="shared" si="2"/>
        <v>17306.494877079327</v>
      </c>
    </row>
    <row r="58" spans="2:2" ht="15.75">
      <c r="B58" s="333"/>
    </row>
  </sheetData>
  <hyperlinks>
    <hyperlink ref="A2" location="'Title_&amp;_Contents'!A1" display="Contents"/>
    <hyperlink ref="B2" location="Map_of_sheets!A1" display="Map of shee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7"/>
  <sheetViews>
    <sheetView showGridLines="0" workbookViewId="0"/>
  </sheetViews>
  <sheetFormatPr defaultColWidth="9.140625" defaultRowHeight="12.75"/>
  <cols>
    <col min="1" max="1" width="8" style="302" customWidth="1"/>
    <col min="2" max="2" width="50.7109375" style="302" customWidth="1"/>
    <col min="3" max="12" width="9.7109375" style="302" customWidth="1"/>
    <col min="13" max="14" width="8.7109375" style="302" customWidth="1"/>
    <col min="15" max="16384" width="9.140625" style="302"/>
  </cols>
  <sheetData>
    <row r="1" spans="1:15" s="337" customFormat="1" ht="15">
      <c r="A1" s="336" t="str">
        <f>ModelBanner</f>
        <v>TSM_201819 Publication</v>
      </c>
    </row>
    <row r="2" spans="1:15" s="337" customFormat="1" ht="15">
      <c r="A2" s="940" t="s">
        <v>13</v>
      </c>
      <c r="B2" s="940" t="s">
        <v>30</v>
      </c>
    </row>
    <row r="3" spans="1:15" s="337" customFormat="1" ht="15">
      <c r="A3" s="338"/>
    </row>
    <row r="4" spans="1:15" s="655" customFormat="1">
      <c r="A4" s="656" t="s">
        <v>26</v>
      </c>
      <c r="B4" s="656"/>
      <c r="C4" s="656"/>
      <c r="D4" s="656"/>
      <c r="E4" s="340"/>
      <c r="F4" s="656"/>
      <c r="G4" s="656"/>
    </row>
    <row r="5" spans="1:15" s="654" customFormat="1" ht="13.15" customHeight="1">
      <c r="A5" s="684" t="s">
        <v>868</v>
      </c>
      <c r="B5" s="684"/>
      <c r="C5" s="684"/>
      <c r="D5" s="684"/>
      <c r="E5" s="684"/>
      <c r="F5" s="684"/>
      <c r="G5" s="684"/>
      <c r="H5" s="342"/>
      <c r="I5" s="342"/>
      <c r="J5" s="342"/>
      <c r="K5" s="342"/>
      <c r="L5" s="342"/>
      <c r="M5" s="342"/>
      <c r="N5" s="342"/>
      <c r="O5" s="342"/>
    </row>
    <row r="6" spans="1:15" s="651" customFormat="1">
      <c r="A6" s="653" t="s">
        <v>1392</v>
      </c>
      <c r="B6" s="345"/>
      <c r="C6" s="345"/>
      <c r="D6" s="345"/>
      <c r="E6" s="340"/>
      <c r="F6" s="345"/>
      <c r="G6" s="345"/>
      <c r="H6" s="346"/>
      <c r="I6" s="346"/>
      <c r="J6" s="346"/>
      <c r="K6" s="346"/>
      <c r="L6" s="346"/>
      <c r="M6" s="346"/>
      <c r="N6" s="346"/>
      <c r="O6" s="346"/>
    </row>
    <row r="7" spans="1:15" s="651" customFormat="1">
      <c r="A7" s="652" t="s">
        <v>790</v>
      </c>
      <c r="B7" s="653"/>
      <c r="C7" s="345"/>
      <c r="D7" s="345"/>
      <c r="E7" s="340"/>
      <c r="F7" s="345"/>
      <c r="G7" s="345"/>
      <c r="H7" s="346"/>
      <c r="I7" s="346"/>
      <c r="J7" s="346"/>
      <c r="K7" s="346"/>
      <c r="L7" s="346"/>
      <c r="M7" s="346"/>
      <c r="N7" s="346"/>
      <c r="O7" s="346"/>
    </row>
    <row r="8" spans="1:15" s="651" customFormat="1">
      <c r="A8" s="653" t="s">
        <v>24</v>
      </c>
      <c r="B8" s="345"/>
      <c r="C8" s="345"/>
      <c r="D8" s="345"/>
      <c r="E8" s="340"/>
      <c r="F8" s="345"/>
      <c r="G8" s="345"/>
      <c r="H8" s="346"/>
      <c r="I8" s="346"/>
      <c r="J8" s="346"/>
      <c r="K8" s="346"/>
      <c r="L8" s="346"/>
      <c r="M8" s="346"/>
      <c r="N8" s="346"/>
      <c r="O8" s="346"/>
    </row>
    <row r="9" spans="1:15" s="649" customFormat="1">
      <c r="A9" s="650"/>
      <c r="B9" s="350"/>
      <c r="C9" s="351"/>
      <c r="D9" s="352"/>
      <c r="E9" s="352"/>
      <c r="F9" s="352"/>
      <c r="G9" s="353"/>
      <c r="H9" s="352"/>
      <c r="I9" s="352"/>
      <c r="J9" s="353"/>
      <c r="K9" s="354"/>
      <c r="L9" s="354"/>
      <c r="M9" s="354"/>
      <c r="N9" s="354"/>
      <c r="O9" s="354"/>
    </row>
    <row r="11" spans="1:15" ht="15.75">
      <c r="B11" s="333" t="s">
        <v>1124</v>
      </c>
    </row>
    <row r="13" spans="1:15">
      <c r="B13" s="319"/>
      <c r="C13" s="319" t="str">
        <f>Primary_2!C102</f>
        <v>2019/20</v>
      </c>
      <c r="D13" s="319" t="str">
        <f>Primary_2!D102</f>
        <v>2020/21</v>
      </c>
      <c r="E13" s="319" t="str">
        <f>Primary_2!E102</f>
        <v>2021/22</v>
      </c>
      <c r="F13" s="319" t="str">
        <f>Primary_2!F102</f>
        <v>2022/23</v>
      </c>
      <c r="G13" s="319" t="str">
        <f>Primary_2!G102</f>
        <v>2023/24</v>
      </c>
      <c r="H13" s="319" t="str">
        <f>Primary_2!H102</f>
        <v>2024/25</v>
      </c>
      <c r="I13" s="319" t="str">
        <f>Primary_2!I102</f>
        <v>2025/26</v>
      </c>
      <c r="J13" s="319" t="str">
        <f>Primary_2!J102</f>
        <v>2026/27</v>
      </c>
      <c r="K13" s="319" t="str">
        <f>Primary_2!K102</f>
        <v>2027/28</v>
      </c>
      <c r="L13" s="319" t="str">
        <f>Primary_2!L102</f>
        <v>2028/29</v>
      </c>
    </row>
    <row r="14" spans="1:15">
      <c r="B14" s="319" t="str">
        <f>Primary_2!B103</f>
        <v xml:space="preserve">Primary New to SF Sector </v>
      </c>
      <c r="C14" s="317">
        <f>Primary_2!C103</f>
        <v>3483.7240045380604</v>
      </c>
      <c r="D14" s="317">
        <f>Primary_2!D103</f>
        <v>3440.859082725362</v>
      </c>
      <c r="E14" s="317">
        <f>Primary_2!E103</f>
        <v>3410.7659304516997</v>
      </c>
      <c r="F14" s="317">
        <f>Primary_2!F103</f>
        <v>3374.8781575890225</v>
      </c>
      <c r="G14" s="317">
        <f>Primary_2!G103</f>
        <v>3335.54384712828</v>
      </c>
      <c r="H14" s="317">
        <f>Primary_2!H103</f>
        <v>3409.6201589701541</v>
      </c>
      <c r="I14" s="317">
        <f>Primary_2!I103</f>
        <v>3469.5979915974704</v>
      </c>
      <c r="J14" s="317">
        <f>Primary_2!J103</f>
        <v>3484.4466770276508</v>
      </c>
      <c r="K14" s="317">
        <f>Primary_2!K103</f>
        <v>3470.5604082989853</v>
      </c>
      <c r="L14" s="317">
        <f>Primary_2!L103</f>
        <v>3453.5875119720527</v>
      </c>
    </row>
    <row r="15" spans="1:15">
      <c r="B15" s="319" t="str">
        <f>'Art_&amp;_Design_2'!B104</f>
        <v xml:space="preserve">Art &amp; Design New to SF Sector </v>
      </c>
      <c r="C15" s="317">
        <f>'Art_&amp;_Design_2'!C104</f>
        <v>114.2982529766182</v>
      </c>
      <c r="D15" s="317">
        <f>'Art_&amp;_Design_2'!D104</f>
        <v>113.3580268763673</v>
      </c>
      <c r="E15" s="317">
        <f>'Art_&amp;_Design_2'!E104</f>
        <v>111.390887753434</v>
      </c>
      <c r="F15" s="317">
        <f>'Art_&amp;_Design_2'!F104</f>
        <v>108.8289075765268</v>
      </c>
      <c r="G15" s="317">
        <f>'Art_&amp;_Design_2'!G104</f>
        <v>114.86172810863854</v>
      </c>
      <c r="H15" s="317">
        <f>'Art_&amp;_Design_2'!H104</f>
        <v>118.78317381272247</v>
      </c>
      <c r="I15" s="317">
        <f>'Art_&amp;_Design_2'!I104</f>
        <v>113.12299255803008</v>
      </c>
      <c r="J15" s="317">
        <f>'Art_&amp;_Design_2'!J104</f>
        <v>109.56610646066697</v>
      </c>
      <c r="K15" s="317">
        <f>'Art_&amp;_Design_2'!K104</f>
        <v>111.74774664572085</v>
      </c>
      <c r="L15" s="317">
        <f>'Art_&amp;_Design_2'!L104</f>
        <v>112.45748901841898</v>
      </c>
    </row>
    <row r="16" spans="1:15">
      <c r="B16" s="319" t="str">
        <f>Biology_2!B104</f>
        <v xml:space="preserve">Biology New to SF Sector </v>
      </c>
      <c r="C16" s="317">
        <f>Biology_2!C104</f>
        <v>205.04890034547751</v>
      </c>
      <c r="D16" s="317">
        <f>Biology_2!D104</f>
        <v>201.63865193834388</v>
      </c>
      <c r="E16" s="317">
        <f>Biology_2!E104</f>
        <v>205.97781577767793</v>
      </c>
      <c r="F16" s="317">
        <f>Biology_2!F104</f>
        <v>210.94960499022952</v>
      </c>
      <c r="G16" s="317">
        <f>Biology_2!G104</f>
        <v>214.68956537609458</v>
      </c>
      <c r="H16" s="317">
        <f>Biology_2!H104</f>
        <v>211.44410753641134</v>
      </c>
      <c r="I16" s="317">
        <f>Biology_2!I104</f>
        <v>209.0147219133994</v>
      </c>
      <c r="J16" s="317">
        <f>Biology_2!J104</f>
        <v>205.81402211446621</v>
      </c>
      <c r="K16" s="317">
        <f>Biology_2!K104</f>
        <v>200.76936192514782</v>
      </c>
      <c r="L16" s="317">
        <f>Biology_2!L104</f>
        <v>195.65186833916948</v>
      </c>
    </row>
    <row r="17" spans="2:12">
      <c r="B17" s="319" t="str">
        <f>Business_Studies_2!B104</f>
        <v xml:space="preserve">Business Studies New to SF Sector </v>
      </c>
      <c r="C17" s="317">
        <f>Business_Studies_2!C104</f>
        <v>44.436042169979508</v>
      </c>
      <c r="D17" s="317">
        <f>Business_Studies_2!D104</f>
        <v>49.515059415811393</v>
      </c>
      <c r="E17" s="317">
        <f>Business_Studies_2!E104</f>
        <v>52.189569998275012</v>
      </c>
      <c r="F17" s="317">
        <f>Business_Studies_2!F104</f>
        <v>55.604774177893951</v>
      </c>
      <c r="G17" s="317">
        <f>Business_Studies_2!G104</f>
        <v>56.789772589842912</v>
      </c>
      <c r="H17" s="317">
        <f>Business_Studies_2!H104</f>
        <v>60.14594880876512</v>
      </c>
      <c r="I17" s="317">
        <f>Business_Studies_2!I104</f>
        <v>60.753635544541773</v>
      </c>
      <c r="J17" s="317">
        <f>Business_Studies_2!J104</f>
        <v>60.71206684320974</v>
      </c>
      <c r="K17" s="317">
        <f>Business_Studies_2!K104</f>
        <v>57.278612879788568</v>
      </c>
      <c r="L17" s="317">
        <f>Business_Studies_2!L104</f>
        <v>53.483999426834558</v>
      </c>
    </row>
    <row r="18" spans="2:12">
      <c r="B18" s="319" t="str">
        <f>Chemistry_2!B104</f>
        <v xml:space="preserve">Chemistry New to SF Sector </v>
      </c>
      <c r="C18" s="317">
        <f>Chemistry_2!C104</f>
        <v>183.53464820166286</v>
      </c>
      <c r="D18" s="317">
        <f>Chemistry_2!D104</f>
        <v>183.62348580182754</v>
      </c>
      <c r="E18" s="317">
        <f>Chemistry_2!E104</f>
        <v>187.33460465084531</v>
      </c>
      <c r="F18" s="317">
        <f>Chemistry_2!F104</f>
        <v>191.74097052438762</v>
      </c>
      <c r="G18" s="317">
        <f>Chemistry_2!G104</f>
        <v>193.39643659550381</v>
      </c>
      <c r="H18" s="317">
        <f>Chemistry_2!H104</f>
        <v>190.07784488287552</v>
      </c>
      <c r="I18" s="317">
        <f>Chemistry_2!I104</f>
        <v>188.58540176907584</v>
      </c>
      <c r="J18" s="317">
        <f>Chemistry_2!J104</f>
        <v>185.71977682984516</v>
      </c>
      <c r="K18" s="317">
        <f>Chemistry_2!K104</f>
        <v>179.26632855740385</v>
      </c>
      <c r="L18" s="317">
        <f>Chemistry_2!L104</f>
        <v>172.99442036759328</v>
      </c>
    </row>
    <row r="19" spans="2:12">
      <c r="B19" s="319" t="str">
        <f>Classics_2!B104</f>
        <v xml:space="preserve">Classics New to SF Sector </v>
      </c>
      <c r="C19" s="317">
        <f>Classics_2!C104</f>
        <v>4.6609598169513768</v>
      </c>
      <c r="D19" s="317">
        <f>Classics_2!D104</f>
        <v>4.7427931748550289</v>
      </c>
      <c r="E19" s="317">
        <f>Classics_2!E104</f>
        <v>4.7647682232498489</v>
      </c>
      <c r="F19" s="317">
        <f>Classics_2!F104</f>
        <v>4.8337286917221656</v>
      </c>
      <c r="G19" s="317">
        <f>Classics_2!G104</f>
        <v>4.9506306005964467</v>
      </c>
      <c r="H19" s="317">
        <f>Classics_2!H104</f>
        <v>4.9171502359213255</v>
      </c>
      <c r="I19" s="317">
        <f>Classics_2!I104</f>
        <v>4.7327518369225192</v>
      </c>
      <c r="J19" s="317">
        <f>Classics_2!J104</f>
        <v>4.6164949241021702</v>
      </c>
      <c r="K19" s="317">
        <f>Classics_2!K104</f>
        <v>4.606293596560338</v>
      </c>
      <c r="L19" s="317">
        <f>Classics_2!L104</f>
        <v>4.5708274770727817</v>
      </c>
    </row>
    <row r="20" spans="2:12">
      <c r="B20" s="319" t="str">
        <f>Computing_2!B104</f>
        <v xml:space="preserve">Computing New to SF Sector </v>
      </c>
      <c r="C20" s="317">
        <f>Computing_2!C104</f>
        <v>107.76251623259276</v>
      </c>
      <c r="D20" s="317">
        <f>Computing_2!D104</f>
        <v>107.17625409763971</v>
      </c>
      <c r="E20" s="317">
        <f>Computing_2!E104</f>
        <v>106.43723400847573</v>
      </c>
      <c r="F20" s="317">
        <f>Computing_2!F104</f>
        <v>105.33733889319838</v>
      </c>
      <c r="G20" s="317">
        <f>Computing_2!G104</f>
        <v>109.87513872493943</v>
      </c>
      <c r="H20" s="317">
        <f>Computing_2!H104</f>
        <v>113.6250753542779</v>
      </c>
      <c r="I20" s="317">
        <f>Computing_2!I104</f>
        <v>110.5218700342939</v>
      </c>
      <c r="J20" s="317">
        <f>Computing_2!J104</f>
        <v>108.22410116164949</v>
      </c>
      <c r="K20" s="317">
        <f>Computing_2!K104</f>
        <v>108.33403186188444</v>
      </c>
      <c r="L20" s="317">
        <f>Computing_2!L104</f>
        <v>107.40851665223563</v>
      </c>
    </row>
    <row r="21" spans="2:12">
      <c r="B21" s="319" t="str">
        <f>'Design_&amp;_Technology_2'!B104</f>
        <v xml:space="preserve">Design &amp; Technology New to SF Sector </v>
      </c>
      <c r="C21" s="317">
        <f>'Design_&amp;_Technology_2'!C104</f>
        <v>155.65681239386399</v>
      </c>
      <c r="D21" s="317">
        <f>'Design_&amp;_Technology_2'!D104</f>
        <v>143.67826758641752</v>
      </c>
      <c r="E21" s="317">
        <f>'Design_&amp;_Technology_2'!E104</f>
        <v>137.7495899825135</v>
      </c>
      <c r="F21" s="317">
        <f>'Design_&amp;_Technology_2'!F104</f>
        <v>130.82117013694571</v>
      </c>
      <c r="G21" s="317">
        <f>'Design_&amp;_Technology_2'!G104</f>
        <v>137.73291292012715</v>
      </c>
      <c r="H21" s="317">
        <f>'Design_&amp;_Technology_2'!H104</f>
        <v>140.70584854628007</v>
      </c>
      <c r="I21" s="317">
        <f>'Design_&amp;_Technology_2'!I104</f>
        <v>131.68916382949271</v>
      </c>
      <c r="J21" s="317">
        <f>'Design_&amp;_Technology_2'!J104</f>
        <v>126.07195850809532</v>
      </c>
      <c r="K21" s="317">
        <f>'Design_&amp;_Technology_2'!K104</f>
        <v>130.37229972933645</v>
      </c>
      <c r="L21" s="317">
        <f>'Design_&amp;_Technology_2'!L104</f>
        <v>132.88619158465195</v>
      </c>
    </row>
    <row r="22" spans="2:12">
      <c r="B22" s="319" t="str">
        <f>Drama_2!B104</f>
        <v xml:space="preserve">Drama New to SF Sector </v>
      </c>
      <c r="C22" s="317">
        <f>Drama_2!C104</f>
        <v>67.436775267974298</v>
      </c>
      <c r="D22" s="317">
        <f>Drama_2!D104</f>
        <v>63.503340333690026</v>
      </c>
      <c r="E22" s="317">
        <f>Drama_2!E104</f>
        <v>62.073789829214412</v>
      </c>
      <c r="F22" s="317">
        <f>Drama_2!F104</f>
        <v>60.211737316263438</v>
      </c>
      <c r="G22" s="317">
        <f>Drama_2!G104</f>
        <v>64.459418301291876</v>
      </c>
      <c r="H22" s="317">
        <f>Drama_2!H104</f>
        <v>66.944276434413652</v>
      </c>
      <c r="I22" s="317">
        <f>Drama_2!I104</f>
        <v>63.352562667285177</v>
      </c>
      <c r="J22" s="317">
        <f>Drama_2!J104</f>
        <v>61.344241469876629</v>
      </c>
      <c r="K22" s="317">
        <f>Drama_2!K104</f>
        <v>63.833153561984417</v>
      </c>
      <c r="L22" s="317">
        <f>Drama_2!L104</f>
        <v>65.349180810122448</v>
      </c>
    </row>
    <row r="23" spans="2:12">
      <c r="B23" s="319" t="str">
        <f>English_2!B104</f>
        <v xml:space="preserve">English New to SF Sector </v>
      </c>
      <c r="C23" s="317">
        <f>English_2!C104</f>
        <v>496.33799256821158</v>
      </c>
      <c r="D23" s="317">
        <f>English_2!D104</f>
        <v>489.44917373006558</v>
      </c>
      <c r="E23" s="317">
        <f>English_2!E104</f>
        <v>492.97926903179922</v>
      </c>
      <c r="F23" s="317">
        <f>English_2!F104</f>
        <v>496.68748832382732</v>
      </c>
      <c r="G23" s="317">
        <f>English_2!G104</f>
        <v>506.85319036057302</v>
      </c>
      <c r="H23" s="317">
        <f>English_2!H104</f>
        <v>490.44789815287282</v>
      </c>
      <c r="I23" s="317">
        <f>English_2!I104</f>
        <v>479.83254227512708</v>
      </c>
      <c r="J23" s="317">
        <f>English_2!J104</f>
        <v>468.73431552099237</v>
      </c>
      <c r="K23" s="317">
        <f>English_2!K104</f>
        <v>460.08851773136865</v>
      </c>
      <c r="L23" s="317">
        <f>English_2!L104</f>
        <v>451.85180248331545</v>
      </c>
    </row>
    <row r="24" spans="2:12">
      <c r="B24" s="319" t="str">
        <f>Food_2!B104</f>
        <v xml:space="preserve">Food New to SF Sector </v>
      </c>
      <c r="C24" s="317">
        <f>Food_2!C104</f>
        <v>31.932865138698538</v>
      </c>
      <c r="D24" s="317">
        <f>Food_2!D104</f>
        <v>30.52127004006871</v>
      </c>
      <c r="E24" s="317">
        <f>Food_2!E104</f>
        <v>29.587603178792232</v>
      </c>
      <c r="F24" s="317">
        <f>Food_2!F104</f>
        <v>28.722167533988639</v>
      </c>
      <c r="G24" s="317">
        <f>Food_2!G104</f>
        <v>29.023083042583419</v>
      </c>
      <c r="H24" s="317">
        <f>Food_2!H104</f>
        <v>29.525213911184721</v>
      </c>
      <c r="I24" s="317">
        <f>Food_2!I104</f>
        <v>29.177109660345909</v>
      </c>
      <c r="J24" s="317">
        <f>Food_2!J104</f>
        <v>28.503380002570871</v>
      </c>
      <c r="K24" s="317">
        <f>Food_2!K104</f>
        <v>27.11519610687067</v>
      </c>
      <c r="L24" s="317">
        <f>Food_2!L104</f>
        <v>25.654337780189646</v>
      </c>
    </row>
    <row r="25" spans="2:12">
      <c r="B25" s="319" t="str">
        <f>Geography_2!B153</f>
        <v xml:space="preserve">Geography New to SF Sector </v>
      </c>
      <c r="C25" s="317">
        <f>Geography_2!C153</f>
        <v>109.94199999999999</v>
      </c>
      <c r="D25" s="317">
        <f>Geography_2!D153</f>
        <v>109.94199999999999</v>
      </c>
      <c r="E25" s="317">
        <f>Geography_2!E153</f>
        <v>109.94199999999999</v>
      </c>
      <c r="F25" s="317">
        <f>Geography_2!F153</f>
        <v>109.94199999999999</v>
      </c>
      <c r="G25" s="317">
        <f>Geography_2!G153</f>
        <v>109.94199999999999</v>
      </c>
      <c r="H25" s="317">
        <f>Geography_2!H153</f>
        <v>109.94199999999999</v>
      </c>
      <c r="I25" s="317">
        <f>Geography_2!I153</f>
        <v>109.94199999999999</v>
      </c>
      <c r="J25" s="317">
        <f>Geography_2!J153</f>
        <v>109.94199999999999</v>
      </c>
      <c r="K25" s="317">
        <f>Geography_2!K153</f>
        <v>109.94199999999999</v>
      </c>
      <c r="L25" s="317">
        <f>Geography_2!L153</f>
        <v>109.94199999999999</v>
      </c>
    </row>
    <row r="26" spans="2:12">
      <c r="B26" s="319" t="str">
        <f>History_2!B153</f>
        <v xml:space="preserve">History New to SF Sector </v>
      </c>
      <c r="C26" s="317">
        <f>History_2!C153</f>
        <v>115.697</v>
      </c>
      <c r="D26" s="317">
        <f>History_2!D153</f>
        <v>115.697</v>
      </c>
      <c r="E26" s="317">
        <f>History_2!E153</f>
        <v>115.697</v>
      </c>
      <c r="F26" s="317">
        <f>History_2!F153</f>
        <v>115.697</v>
      </c>
      <c r="G26" s="317">
        <f>History_2!G153</f>
        <v>115.697</v>
      </c>
      <c r="H26" s="317">
        <f>History_2!H153</f>
        <v>115.697</v>
      </c>
      <c r="I26" s="317">
        <f>History_2!I153</f>
        <v>115.697</v>
      </c>
      <c r="J26" s="317">
        <f>History_2!J153</f>
        <v>115.697</v>
      </c>
      <c r="K26" s="317">
        <f>History_2!K153</f>
        <v>115.697</v>
      </c>
      <c r="L26" s="317">
        <f>History_2!L153</f>
        <v>115.697</v>
      </c>
    </row>
    <row r="27" spans="2:12">
      <c r="B27" s="319" t="str">
        <f>Mathematics_2!B104</f>
        <v xml:space="preserve">Mathematics New to SF Sector </v>
      </c>
      <c r="C27" s="317">
        <f>Mathematics_2!C104</f>
        <v>575.13304024032993</v>
      </c>
      <c r="D27" s="317">
        <f>Mathematics_2!D104</f>
        <v>548.93032786481058</v>
      </c>
      <c r="E27" s="317">
        <f>Mathematics_2!E104</f>
        <v>552.17934012096612</v>
      </c>
      <c r="F27" s="317">
        <f>Mathematics_2!F104</f>
        <v>555.8943485176701</v>
      </c>
      <c r="G27" s="317">
        <f>Mathematics_2!G104</f>
        <v>566.22153293105464</v>
      </c>
      <c r="H27" s="317">
        <f>Mathematics_2!H104</f>
        <v>550.64310935396452</v>
      </c>
      <c r="I27" s="317">
        <f>Mathematics_2!I104</f>
        <v>536.8222496191346</v>
      </c>
      <c r="J27" s="317">
        <f>Mathematics_2!J104</f>
        <v>523.86450869948021</v>
      </c>
      <c r="K27" s="317">
        <f>Mathematics_2!K104</f>
        <v>515.42910602392942</v>
      </c>
      <c r="L27" s="317">
        <f>Mathematics_2!L104</f>
        <v>506.93972970146035</v>
      </c>
    </row>
    <row r="28" spans="2:12">
      <c r="B28" s="319" t="str">
        <f>Modern_Foreign_Languages_2!B153</f>
        <v xml:space="preserve">Modern Foreign Languages New to SF Sector </v>
      </c>
      <c r="C28" s="317">
        <f>Modern_Foreign_Languages_2!C153</f>
        <v>232.2</v>
      </c>
      <c r="D28" s="317">
        <f>Modern_Foreign_Languages_2!D153</f>
        <v>232.2</v>
      </c>
      <c r="E28" s="317">
        <f>Modern_Foreign_Languages_2!E153</f>
        <v>232.2</v>
      </c>
      <c r="F28" s="317">
        <f>Modern_Foreign_Languages_2!F153</f>
        <v>232.2</v>
      </c>
      <c r="G28" s="317">
        <f>Modern_Foreign_Languages_2!G153</f>
        <v>232.2</v>
      </c>
      <c r="H28" s="317">
        <f>Modern_Foreign_Languages_2!H153</f>
        <v>232.2</v>
      </c>
      <c r="I28" s="317">
        <f>Modern_Foreign_Languages_2!I153</f>
        <v>232.2</v>
      </c>
      <c r="J28" s="317">
        <f>Modern_Foreign_Languages_2!J153</f>
        <v>232.2</v>
      </c>
      <c r="K28" s="317">
        <f>Modern_Foreign_Languages_2!K153</f>
        <v>232.2</v>
      </c>
      <c r="L28" s="317">
        <f>Modern_Foreign_Languages_2!L153</f>
        <v>232.2</v>
      </c>
    </row>
    <row r="29" spans="2:12">
      <c r="B29" s="319" t="str">
        <f>Music_2!B104</f>
        <v xml:space="preserve">Music New to SF Sector </v>
      </c>
      <c r="C29" s="317">
        <f>Music_2!C104</f>
        <v>73.996049299014402</v>
      </c>
      <c r="D29" s="317">
        <f>Music_2!D104</f>
        <v>67.205036346765922</v>
      </c>
      <c r="E29" s="317">
        <f>Music_2!E104</f>
        <v>64.928508593254577</v>
      </c>
      <c r="F29" s="317">
        <f>Music_2!F104</f>
        <v>61.910625868311961</v>
      </c>
      <c r="G29" s="317">
        <f>Music_2!G104</f>
        <v>66.900161793735222</v>
      </c>
      <c r="H29" s="317">
        <f>Music_2!H104</f>
        <v>69.192646688791754</v>
      </c>
      <c r="I29" s="317">
        <f>Music_2!I104</f>
        <v>64.223960175093666</v>
      </c>
      <c r="J29" s="317">
        <f>Music_2!J104</f>
        <v>61.566565518571004</v>
      </c>
      <c r="K29" s="317">
        <f>Music_2!K104</f>
        <v>65.61440517529411</v>
      </c>
      <c r="L29" s="317">
        <f>Music_2!L104</f>
        <v>68.492181596045882</v>
      </c>
    </row>
    <row r="30" spans="2:12">
      <c r="B30" s="319" t="str">
        <f>Others_2!B104</f>
        <v xml:space="preserve">Others New to SF Sector </v>
      </c>
      <c r="C30" s="317">
        <f>Others_2!C104</f>
        <v>160.37872795583081</v>
      </c>
      <c r="D30" s="317">
        <f>Others_2!D104</f>
        <v>174.78245231862738</v>
      </c>
      <c r="E30" s="317">
        <f>Others_2!E104</f>
        <v>179.29721915762687</v>
      </c>
      <c r="F30" s="317">
        <f>Others_2!F104</f>
        <v>185.52173286790193</v>
      </c>
      <c r="G30" s="317">
        <f>Others_2!G104</f>
        <v>193.56498721449211</v>
      </c>
      <c r="H30" s="317">
        <f>Others_2!H104</f>
        <v>204.67837404476819</v>
      </c>
      <c r="I30" s="317">
        <f>Others_2!I104</f>
        <v>199.14645414565703</v>
      </c>
      <c r="J30" s="317">
        <f>Others_2!J104</f>
        <v>196.26134416312271</v>
      </c>
      <c r="K30" s="317">
        <f>Others_2!K104</f>
        <v>194.91600701462639</v>
      </c>
      <c r="L30" s="317">
        <f>Others_2!L104</f>
        <v>191.08921522627685</v>
      </c>
    </row>
    <row r="31" spans="2:12">
      <c r="B31" s="319" t="str">
        <f>Physical_Education_2!B104</f>
        <v xml:space="preserve">Physical Education New to SF Sector </v>
      </c>
      <c r="C31" s="317">
        <f>Physical_Education_2!C104</f>
        <v>212.97878689888623</v>
      </c>
      <c r="D31" s="317">
        <f>Physical_Education_2!D104</f>
        <v>206.64188075329929</v>
      </c>
      <c r="E31" s="317">
        <f>Physical_Education_2!E104</f>
        <v>203.24549980174021</v>
      </c>
      <c r="F31" s="317">
        <f>Physical_Education_2!F104</f>
        <v>198.8901840183004</v>
      </c>
      <c r="G31" s="317">
        <f>Physical_Education_2!G104</f>
        <v>211.01621586454911</v>
      </c>
      <c r="H31" s="317">
        <f>Physical_Education_2!H104</f>
        <v>219.82116053187065</v>
      </c>
      <c r="I31" s="317">
        <f>Physical_Education_2!I104</f>
        <v>213.94285984755649</v>
      </c>
      <c r="J31" s="317">
        <f>Physical_Education_2!J104</f>
        <v>209.53475005609155</v>
      </c>
      <c r="K31" s="317">
        <f>Physical_Education_2!K104</f>
        <v>211.04766192324146</v>
      </c>
      <c r="L31" s="317">
        <f>Physical_Education_2!L104</f>
        <v>210.23378264240338</v>
      </c>
    </row>
    <row r="32" spans="2:12">
      <c r="B32" s="319" t="str">
        <f>Physics_2!B104</f>
        <v xml:space="preserve">Physics New to SF Sector </v>
      </c>
      <c r="C32" s="317">
        <f>Physics_2!C104</f>
        <v>196.72088628319108</v>
      </c>
      <c r="D32" s="317">
        <f>Physics_2!D104</f>
        <v>185.52581549416419</v>
      </c>
      <c r="E32" s="317">
        <f>Physics_2!E104</f>
        <v>188.59593294347755</v>
      </c>
      <c r="F32" s="317">
        <f>Physics_2!F104</f>
        <v>192.2155863715731</v>
      </c>
      <c r="G32" s="317">
        <f>Physics_2!G104</f>
        <v>193.3866804802916</v>
      </c>
      <c r="H32" s="317">
        <f>Physics_2!H104</f>
        <v>189.20587577761472</v>
      </c>
      <c r="I32" s="317">
        <f>Physics_2!I104</f>
        <v>187.56649367888542</v>
      </c>
      <c r="J32" s="317">
        <f>Physics_2!J104</f>
        <v>184.42859498541594</v>
      </c>
      <c r="K32" s="317">
        <f>Physics_2!K104</f>
        <v>177.67255938376465</v>
      </c>
      <c r="L32" s="317">
        <f>Physics_2!L104</f>
        <v>171.22697536077655</v>
      </c>
    </row>
    <row r="33" spans="2:12">
      <c r="B33" s="319" t="str">
        <f>Religious_Education_2!B104</f>
        <v xml:space="preserve">Religious Education New to SF Sector </v>
      </c>
      <c r="C33" s="317">
        <f>Religious_Education_2!C104</f>
        <v>108.18285902035581</v>
      </c>
      <c r="D33" s="317">
        <f>Religious_Education_2!D104</f>
        <v>100.24314971402035</v>
      </c>
      <c r="E33" s="317">
        <f>Religious_Education_2!E104</f>
        <v>97.770335257582914</v>
      </c>
      <c r="F33" s="317">
        <f>Religious_Education_2!F104</f>
        <v>94.99370422889416</v>
      </c>
      <c r="G33" s="317">
        <f>Religious_Education_2!G104</f>
        <v>99.537320023669082</v>
      </c>
      <c r="H33" s="317">
        <f>Religious_Education_2!H104</f>
        <v>102.73922020295814</v>
      </c>
      <c r="I33" s="317">
        <f>Religious_Education_2!I104</f>
        <v>99.013600116306094</v>
      </c>
      <c r="J33" s="317">
        <f>Religious_Education_2!J104</f>
        <v>96.30049156501002</v>
      </c>
      <c r="K33" s="317">
        <f>Religious_Education_2!K104</f>
        <v>96.771798422584212</v>
      </c>
      <c r="L33" s="317">
        <f>Religious_Education_2!L104</f>
        <v>96.216195286539971</v>
      </c>
    </row>
    <row r="35" spans="2:12">
      <c r="B35" s="319" t="s">
        <v>864</v>
      </c>
      <c r="C35" s="317">
        <f>C14</f>
        <v>3483.7240045380604</v>
      </c>
      <c r="D35" s="317">
        <f t="shared" ref="D35:L35" si="0">D14</f>
        <v>3440.859082725362</v>
      </c>
      <c r="E35" s="317">
        <f t="shared" si="0"/>
        <v>3410.7659304516997</v>
      </c>
      <c r="F35" s="317">
        <f t="shared" si="0"/>
        <v>3374.8781575890225</v>
      </c>
      <c r="G35" s="317">
        <f t="shared" si="0"/>
        <v>3335.54384712828</v>
      </c>
      <c r="H35" s="317">
        <f t="shared" si="0"/>
        <v>3409.6201589701541</v>
      </c>
      <c r="I35" s="317">
        <f t="shared" si="0"/>
        <v>3469.5979915974704</v>
      </c>
      <c r="J35" s="317">
        <f t="shared" si="0"/>
        <v>3484.4466770276508</v>
      </c>
      <c r="K35" s="317">
        <f t="shared" si="0"/>
        <v>3470.5604082989853</v>
      </c>
      <c r="L35" s="317">
        <f t="shared" si="0"/>
        <v>3453.5875119720527</v>
      </c>
    </row>
    <row r="36" spans="2:12">
      <c r="B36" s="319" t="s">
        <v>865</v>
      </c>
      <c r="C36" s="317">
        <f>SUM(C14:C33)-C35</f>
        <v>3196.3351148096399</v>
      </c>
      <c r="D36" s="317">
        <f t="shared" ref="D36:L36" si="1">SUM(D14:D33)-D35</f>
        <v>3128.3739854867754</v>
      </c>
      <c r="E36" s="317">
        <f t="shared" si="1"/>
        <v>3134.3409683089253</v>
      </c>
      <c r="F36" s="317">
        <f t="shared" si="1"/>
        <v>3141.0030700376365</v>
      </c>
      <c r="G36" s="317">
        <f t="shared" si="1"/>
        <v>3221.0977749279841</v>
      </c>
      <c r="H36" s="317">
        <f t="shared" si="1"/>
        <v>3220.735924275692</v>
      </c>
      <c r="I36" s="317">
        <f t="shared" si="1"/>
        <v>3149.3373696711478</v>
      </c>
      <c r="J36" s="317">
        <f t="shared" si="1"/>
        <v>3089.1017188231676</v>
      </c>
      <c r="K36" s="317">
        <f t="shared" si="1"/>
        <v>3062.7020805395064</v>
      </c>
      <c r="L36" s="317">
        <f t="shared" si="1"/>
        <v>3024.3457137531072</v>
      </c>
    </row>
    <row r="37" spans="2:12">
      <c r="B37" s="319" t="s">
        <v>8</v>
      </c>
      <c r="C37" s="317">
        <f>SUM(C35:C36)</f>
        <v>6680.0591193477003</v>
      </c>
      <c r="D37" s="317">
        <f t="shared" ref="D37:L37" si="2">SUM(D35:D36)</f>
        <v>6569.2330682121374</v>
      </c>
      <c r="E37" s="317">
        <f t="shared" si="2"/>
        <v>6545.106898760625</v>
      </c>
      <c r="F37" s="317">
        <f t="shared" si="2"/>
        <v>6515.881227626659</v>
      </c>
      <c r="G37" s="317">
        <f t="shared" si="2"/>
        <v>6556.6416220562642</v>
      </c>
      <c r="H37" s="317">
        <f t="shared" si="2"/>
        <v>6630.3560832458461</v>
      </c>
      <c r="I37" s="317">
        <f t="shared" si="2"/>
        <v>6618.9353612686182</v>
      </c>
      <c r="J37" s="317">
        <f t="shared" si="2"/>
        <v>6573.5483958508185</v>
      </c>
      <c r="K37" s="317">
        <f t="shared" si="2"/>
        <v>6533.2624888384917</v>
      </c>
      <c r="L37" s="317">
        <f t="shared" si="2"/>
        <v>6477.9332257251599</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7"/>
  <sheetViews>
    <sheetView showGridLines="0" workbookViewId="0"/>
  </sheetViews>
  <sheetFormatPr defaultColWidth="9.140625" defaultRowHeight="12.75"/>
  <cols>
    <col min="1" max="1" width="8.42578125" style="302" customWidth="1"/>
    <col min="2" max="2" width="50.7109375" style="302" customWidth="1"/>
    <col min="3" max="12" width="9.7109375" style="302" customWidth="1"/>
    <col min="13" max="14" width="8.7109375" style="302" customWidth="1"/>
    <col min="15" max="16384" width="9.140625" style="302"/>
  </cols>
  <sheetData>
    <row r="1" spans="1:15" s="337" customFormat="1" ht="15">
      <c r="A1" s="336" t="str">
        <f>ModelBanner</f>
        <v>TSM_201819 Publication</v>
      </c>
    </row>
    <row r="2" spans="1:15" s="337" customFormat="1" ht="15">
      <c r="A2" s="940" t="s">
        <v>13</v>
      </c>
      <c r="B2" s="940" t="s">
        <v>30</v>
      </c>
    </row>
    <row r="3" spans="1:15" s="337" customFormat="1" ht="15">
      <c r="A3" s="338"/>
    </row>
    <row r="4" spans="1:15" s="655" customFormat="1">
      <c r="A4" s="656" t="s">
        <v>26</v>
      </c>
      <c r="B4" s="656"/>
      <c r="C4" s="656"/>
      <c r="D4" s="656"/>
      <c r="E4" s="340"/>
      <c r="F4" s="656"/>
      <c r="G4" s="656"/>
    </row>
    <row r="5" spans="1:15" s="654" customFormat="1" ht="13.15" customHeight="1">
      <c r="A5" s="684" t="s">
        <v>869</v>
      </c>
      <c r="B5" s="684"/>
      <c r="C5" s="684"/>
      <c r="D5" s="684"/>
      <c r="E5" s="684"/>
      <c r="F5" s="684"/>
      <c r="G5" s="684"/>
      <c r="H5" s="342"/>
      <c r="I5" s="342"/>
      <c r="J5" s="342"/>
      <c r="K5" s="342"/>
      <c r="L5" s="342"/>
      <c r="M5" s="342"/>
      <c r="N5" s="342"/>
      <c r="O5" s="342"/>
    </row>
    <row r="6" spans="1:15" s="651" customFormat="1">
      <c r="A6" s="653" t="s">
        <v>1392</v>
      </c>
      <c r="B6" s="345"/>
      <c r="C6" s="345"/>
      <c r="D6" s="345"/>
      <c r="E6" s="340"/>
      <c r="F6" s="345"/>
      <c r="G6" s="345"/>
      <c r="H6" s="346"/>
      <c r="I6" s="346"/>
      <c r="J6" s="346"/>
      <c r="K6" s="346"/>
      <c r="L6" s="346"/>
      <c r="M6" s="346"/>
      <c r="N6" s="346"/>
      <c r="O6" s="346"/>
    </row>
    <row r="7" spans="1:15" s="651" customFormat="1">
      <c r="A7" s="652" t="s">
        <v>790</v>
      </c>
      <c r="B7" s="653"/>
      <c r="C7" s="345"/>
      <c r="D7" s="345"/>
      <c r="E7" s="340"/>
      <c r="F7" s="345"/>
      <c r="G7" s="345"/>
      <c r="H7" s="346"/>
      <c r="I7" s="346"/>
      <c r="J7" s="346"/>
      <c r="K7" s="346"/>
      <c r="L7" s="346"/>
      <c r="M7" s="346"/>
      <c r="N7" s="346"/>
      <c r="O7" s="346"/>
    </row>
    <row r="8" spans="1:15" s="651" customFormat="1">
      <c r="A8" s="653" t="s">
        <v>24</v>
      </c>
      <c r="B8" s="345"/>
      <c r="C8" s="345"/>
      <c r="D8" s="345"/>
      <c r="E8" s="340"/>
      <c r="F8" s="345"/>
      <c r="G8" s="345"/>
      <c r="H8" s="346"/>
      <c r="I8" s="346"/>
      <c r="J8" s="346"/>
      <c r="K8" s="346"/>
      <c r="L8" s="346"/>
      <c r="M8" s="346"/>
      <c r="N8" s="346"/>
      <c r="O8" s="346"/>
    </row>
    <row r="9" spans="1:15" s="649" customFormat="1">
      <c r="A9" s="650"/>
      <c r="B9" s="350"/>
      <c r="C9" s="351"/>
      <c r="D9" s="352"/>
      <c r="E9" s="352"/>
      <c r="F9" s="352"/>
      <c r="G9" s="353"/>
      <c r="H9" s="352"/>
      <c r="I9" s="352"/>
      <c r="J9" s="353"/>
      <c r="K9" s="354"/>
      <c r="L9" s="354"/>
      <c r="M9" s="354"/>
      <c r="N9" s="354"/>
      <c r="O9" s="354"/>
    </row>
    <row r="11" spans="1:15" ht="15.75">
      <c r="B11" s="333" t="s">
        <v>1123</v>
      </c>
    </row>
    <row r="13" spans="1:15">
      <c r="B13" s="319"/>
      <c r="C13" s="319" t="str">
        <f>Primary_2!C102</f>
        <v>2019/20</v>
      </c>
      <c r="D13" s="319" t="str">
        <f>Primary_2!D102</f>
        <v>2020/21</v>
      </c>
      <c r="E13" s="319" t="str">
        <f>Primary_2!E102</f>
        <v>2021/22</v>
      </c>
      <c r="F13" s="319" t="str">
        <f>Primary_2!F102</f>
        <v>2022/23</v>
      </c>
      <c r="G13" s="319" t="str">
        <f>Primary_2!G102</f>
        <v>2023/24</v>
      </c>
      <c r="H13" s="319" t="str">
        <f>Primary_2!H102</f>
        <v>2024/25</v>
      </c>
      <c r="I13" s="319" t="str">
        <f>Primary_2!I102</f>
        <v>2025/26</v>
      </c>
      <c r="J13" s="319" t="str">
        <f>Primary_2!J102</f>
        <v>2026/27</v>
      </c>
      <c r="K13" s="319" t="str">
        <f>Primary_2!K102</f>
        <v>2027/28</v>
      </c>
      <c r="L13" s="319" t="str">
        <f>Primary_2!L102</f>
        <v>2028/29</v>
      </c>
    </row>
    <row r="14" spans="1:15">
      <c r="B14" s="319" t="str">
        <f>Primary_2!B105</f>
        <v>Primary NQTs</v>
      </c>
      <c r="C14" s="317">
        <f>Primary_2!C105</f>
        <v>13273.403714588394</v>
      </c>
      <c r="D14" s="317">
        <f>Primary_2!D105</f>
        <v>13110.08325301536</v>
      </c>
      <c r="E14" s="317">
        <f>Primary_2!E105</f>
        <v>12995.424755771441</v>
      </c>
      <c r="F14" s="317">
        <f>Primary_2!F105</f>
        <v>12858.688063368929</v>
      </c>
      <c r="G14" s="317">
        <f>Primary_2!G105</f>
        <v>12708.819651893084</v>
      </c>
      <c r="H14" s="317">
        <f>Primary_2!H105</f>
        <v>12991.059229851648</v>
      </c>
      <c r="I14" s="317">
        <f>Primary_2!I105</f>
        <v>13219.581921474559</v>
      </c>
      <c r="J14" s="317">
        <f>Primary_2!J105</f>
        <v>13276.157182915755</v>
      </c>
      <c r="K14" s="317">
        <f>Primary_2!K105</f>
        <v>13223.248843826681</v>
      </c>
      <c r="L14" s="317">
        <f>Primary_2!L105</f>
        <v>13158.580085664507</v>
      </c>
    </row>
    <row r="15" spans="1:15">
      <c r="B15" s="319" t="str">
        <f>'Art_&amp;_Design_2'!B106</f>
        <v>Art &amp; Design NQTs</v>
      </c>
      <c r="C15" s="317">
        <f>'Art_&amp;_Design_2'!C106</f>
        <v>463.22514612209829</v>
      </c>
      <c r="D15" s="317">
        <f>'Art_&amp;_Design_2'!D106</f>
        <v>459.41462092740761</v>
      </c>
      <c r="E15" s="317">
        <f>'Art_&amp;_Design_2'!E106</f>
        <v>451.44224791266271</v>
      </c>
      <c r="F15" s="317">
        <f>'Art_&amp;_Design_2'!F106</f>
        <v>441.05911771685362</v>
      </c>
      <c r="G15" s="317">
        <f>'Art_&amp;_Design_2'!G106</f>
        <v>465.5087842667661</v>
      </c>
      <c r="H15" s="317">
        <f>'Art_&amp;_Design_2'!H106</f>
        <v>481.40152288680207</v>
      </c>
      <c r="I15" s="317">
        <f>'Art_&amp;_Design_2'!I106</f>
        <v>458.46207962760542</v>
      </c>
      <c r="J15" s="317">
        <f>'Art_&amp;_Design_2'!J106</f>
        <v>444.04681920776557</v>
      </c>
      <c r="K15" s="317">
        <f>'Art_&amp;_Design_2'!K106</f>
        <v>452.8885168469601</v>
      </c>
      <c r="L15" s="317">
        <f>'Art_&amp;_Design_2'!L106</f>
        <v>455.76494326416343</v>
      </c>
    </row>
    <row r="16" spans="1:15">
      <c r="B16" s="319" t="str">
        <f>Biology_2!B106</f>
        <v>Biology NQTs</v>
      </c>
      <c r="C16" s="317">
        <f>Biology_2!C106</f>
        <v>831.0171358799339</v>
      </c>
      <c r="D16" s="317">
        <f>Biology_2!D106</f>
        <v>817.19616508145384</v>
      </c>
      <c r="E16" s="317">
        <f>Biology_2!E106</f>
        <v>834.78182147757059</v>
      </c>
      <c r="F16" s="317">
        <f>Biology_2!F106</f>
        <v>854.93136641369153</v>
      </c>
      <c r="G16" s="317">
        <f>Biology_2!G106</f>
        <v>870.08858580345429</v>
      </c>
      <c r="H16" s="317">
        <f>Biology_2!H106</f>
        <v>856.93547416028741</v>
      </c>
      <c r="I16" s="317">
        <f>Biology_2!I106</f>
        <v>847.08971990858561</v>
      </c>
      <c r="J16" s="317">
        <f>Biology_2!J106</f>
        <v>834.11800255121625</v>
      </c>
      <c r="K16" s="317">
        <f>Biology_2!K106</f>
        <v>813.67312791423137</v>
      </c>
      <c r="L16" s="317">
        <f>Biology_2!L106</f>
        <v>792.93307588011453</v>
      </c>
    </row>
    <row r="17" spans="2:12">
      <c r="B17" s="319" t="str">
        <f>Business_Studies_2!B106</f>
        <v>Business Studies NQTs</v>
      </c>
      <c r="C17" s="317">
        <f>Business_Studies_2!C106</f>
        <v>180.08929787830868</v>
      </c>
      <c r="D17" s="317">
        <f>Business_Studies_2!D106</f>
        <v>200.67341394820545</v>
      </c>
      <c r="E17" s="317">
        <f>Business_Studies_2!E106</f>
        <v>211.51260460162908</v>
      </c>
      <c r="F17" s="317">
        <f>Business_Studies_2!F106</f>
        <v>225.35366003284736</v>
      </c>
      <c r="G17" s="317">
        <f>Business_Studies_2!G106</f>
        <v>230.15619242712469</v>
      </c>
      <c r="H17" s="317">
        <f>Business_Studies_2!H106</f>
        <v>243.75802079225102</v>
      </c>
      <c r="I17" s="317">
        <f>Business_Studies_2!I106</f>
        <v>246.22083863631892</v>
      </c>
      <c r="J17" s="317">
        <f>Business_Studies_2!J106</f>
        <v>246.05237002680678</v>
      </c>
      <c r="K17" s="317">
        <f>Business_Studies_2!K106</f>
        <v>232.13735232102758</v>
      </c>
      <c r="L17" s="317">
        <f>Business_Studies_2!L106</f>
        <v>216.75863632629506</v>
      </c>
    </row>
    <row r="18" spans="2:12">
      <c r="B18" s="319" t="str">
        <f>Chemistry_2!B106</f>
        <v>Chemistry NQTs</v>
      </c>
      <c r="C18" s="317">
        <f>Chemistry_2!C106</f>
        <v>743.8247043817471</v>
      </c>
      <c r="D18" s="317">
        <f>Chemistry_2!D106</f>
        <v>744.18474322088707</v>
      </c>
      <c r="E18" s="317">
        <f>Chemistry_2!E106</f>
        <v>759.22507434007218</v>
      </c>
      <c r="F18" s="317">
        <f>Chemistry_2!F106</f>
        <v>777.08308548619721</v>
      </c>
      <c r="G18" s="317">
        <f>Chemistry_2!G106</f>
        <v>783.79231762861536</v>
      </c>
      <c r="H18" s="317">
        <f>Chemistry_2!H106</f>
        <v>770.34281082542475</v>
      </c>
      <c r="I18" s="317">
        <f>Chemistry_2!I106</f>
        <v>764.29427411148049</v>
      </c>
      <c r="J18" s="317">
        <f>Chemistry_2!J106</f>
        <v>752.68053989738166</v>
      </c>
      <c r="K18" s="317">
        <f>Chemistry_2!K106</f>
        <v>726.52616359554486</v>
      </c>
      <c r="L18" s="317">
        <f>Chemistry_2!L106</f>
        <v>701.10752847184153</v>
      </c>
    </row>
    <row r="19" spans="2:12">
      <c r="B19" s="319" t="str">
        <f>Classics_2!B106</f>
        <v>Classics NQTs</v>
      </c>
      <c r="C19" s="317">
        <f>Classics_2!C106</f>
        <v>18.889823212942794</v>
      </c>
      <c r="D19" s="317">
        <f>Classics_2!D106</f>
        <v>19.221475431462139</v>
      </c>
      <c r="E19" s="317">
        <f>Classics_2!E106</f>
        <v>19.310535366663537</v>
      </c>
      <c r="F19" s="317">
        <f>Classics_2!F106</f>
        <v>19.590016655771883</v>
      </c>
      <c r="G19" s="317">
        <f>Classics_2!G106</f>
        <v>20.063793834424992</v>
      </c>
      <c r="H19" s="317">
        <f>Classics_2!H106</f>
        <v>19.928105436615212</v>
      </c>
      <c r="I19" s="317">
        <f>Classics_2!I106</f>
        <v>19.180780144264709</v>
      </c>
      <c r="J19" s="317">
        <f>Classics_2!J106</f>
        <v>18.709616989741892</v>
      </c>
      <c r="K19" s="317">
        <f>Classics_2!K106</f>
        <v>18.668273300594066</v>
      </c>
      <c r="L19" s="317">
        <f>Classics_2!L106</f>
        <v>18.524537084561373</v>
      </c>
    </row>
    <row r="20" spans="2:12">
      <c r="B20" s="319" t="str">
        <f>Computing_2!B106</f>
        <v>Computing NQTs</v>
      </c>
      <c r="C20" s="317">
        <f>Computing_2!C106</f>
        <v>436.73727312822069</v>
      </c>
      <c r="D20" s="317">
        <f>Computing_2!D106</f>
        <v>434.36128437898731</v>
      </c>
      <c r="E20" s="317">
        <f>Computing_2!E106</f>
        <v>431.36620195318523</v>
      </c>
      <c r="F20" s="317">
        <f>Computing_2!F106</f>
        <v>426.90857410477389</v>
      </c>
      <c r="G20" s="317">
        <f>Computing_2!G106</f>
        <v>445.29925756133633</v>
      </c>
      <c r="H20" s="317">
        <f>Computing_2!H106</f>
        <v>460.49690842507499</v>
      </c>
      <c r="I20" s="317">
        <f>Computing_2!I106</f>
        <v>447.92031429208743</v>
      </c>
      <c r="J20" s="317">
        <f>Computing_2!J106</f>
        <v>438.60797316642515</v>
      </c>
      <c r="K20" s="317">
        <f>Computing_2!K106</f>
        <v>439.05349760230661</v>
      </c>
      <c r="L20" s="317">
        <f>Computing_2!L106</f>
        <v>435.30259234292788</v>
      </c>
    </row>
    <row r="21" spans="2:12">
      <c r="B21" s="319" t="str">
        <f>'Design_&amp;_Technology_2'!B106</f>
        <v>Design &amp; Technology NQTs</v>
      </c>
      <c r="C21" s="317">
        <f>'Design_&amp;_Technology_2'!C106</f>
        <v>630.84209765479011</v>
      </c>
      <c r="D21" s="317">
        <f>'Design_&amp;_Technology_2'!D106</f>
        <v>582.29574612048805</v>
      </c>
      <c r="E21" s="317">
        <f>'Design_&amp;_Technology_2'!E106</f>
        <v>558.26814746645562</v>
      </c>
      <c r="F21" s="317">
        <f>'Design_&amp;_Technology_2'!F106</f>
        <v>530.18881806485115</v>
      </c>
      <c r="G21" s="317">
        <f>'Design_&amp;_Technology_2'!G106</f>
        <v>558.20055907853521</v>
      </c>
      <c r="H21" s="317">
        <f>'Design_&amp;_Technology_2'!H106</f>
        <v>570.2491994030554</v>
      </c>
      <c r="I21" s="317">
        <f>'Design_&amp;_Technology_2'!I106</f>
        <v>533.706601535657</v>
      </c>
      <c r="J21" s="317">
        <f>'Design_&amp;_Technology_2'!J106</f>
        <v>510.94133008103188</v>
      </c>
      <c r="K21" s="317">
        <f>'Design_&amp;_Technology_2'!K106</f>
        <v>528.36964712619101</v>
      </c>
      <c r="L21" s="317">
        <f>'Design_&amp;_Technology_2'!L106</f>
        <v>538.55788615598522</v>
      </c>
    </row>
    <row r="22" spans="2:12">
      <c r="B22" s="319" t="str">
        <f>Drama_2!B106</f>
        <v>Drama NQTs</v>
      </c>
      <c r="C22" s="317">
        <f>Drama_2!C106</f>
        <v>273.30610279669708</v>
      </c>
      <c r="D22" s="317">
        <f>Drama_2!D106</f>
        <v>257.36477451962935</v>
      </c>
      <c r="E22" s="317">
        <f>Drama_2!E106</f>
        <v>251.57112742460245</v>
      </c>
      <c r="F22" s="317">
        <f>Drama_2!F106</f>
        <v>244.02464683600425</v>
      </c>
      <c r="G22" s="317">
        <f>Drama_2!G106</f>
        <v>261.23954377211379</v>
      </c>
      <c r="H22" s="317">
        <f>Drama_2!H106</f>
        <v>271.31011564728919</v>
      </c>
      <c r="I22" s="317">
        <f>Drama_2!I106</f>
        <v>256.75370650473485</v>
      </c>
      <c r="J22" s="317">
        <f>Drama_2!J106</f>
        <v>248.61443179228587</v>
      </c>
      <c r="K22" s="317">
        <f>Drama_2!K106</f>
        <v>258.70143345264842</v>
      </c>
      <c r="L22" s="317">
        <f>Drama_2!L106</f>
        <v>264.84555136569725</v>
      </c>
    </row>
    <row r="23" spans="2:12">
      <c r="B23" s="319" t="str">
        <f>English_2!B106</f>
        <v>English NQTs</v>
      </c>
      <c r="C23" s="317">
        <f>English_2!C106</f>
        <v>2011.5463985297511</v>
      </c>
      <c r="D23" s="317">
        <f>English_2!D106</f>
        <v>1983.6275631162155</v>
      </c>
      <c r="E23" s="317">
        <f>English_2!E106</f>
        <v>1997.934246459005</v>
      </c>
      <c r="F23" s="317">
        <f>English_2!F106</f>
        <v>2012.9628263249972</v>
      </c>
      <c r="G23" s="317">
        <f>English_2!G106</f>
        <v>2054.162133302756</v>
      </c>
      <c r="H23" s="317">
        <f>English_2!H106</f>
        <v>1987.6751688725801</v>
      </c>
      <c r="I23" s="317">
        <f>English_2!I106</f>
        <v>1944.6535158765998</v>
      </c>
      <c r="J23" s="317">
        <f>English_2!J106</f>
        <v>1899.6748956790375</v>
      </c>
      <c r="K23" s="317">
        <f>English_2!K106</f>
        <v>1864.6354192203742</v>
      </c>
      <c r="L23" s="317">
        <f>English_2!L106</f>
        <v>1831.2538624162987</v>
      </c>
    </row>
    <row r="24" spans="2:12">
      <c r="B24" s="319" t="str">
        <f>Food_2!B106</f>
        <v>Food NQTs</v>
      </c>
      <c r="C24" s="317">
        <f>Food_2!C106</f>
        <v>129.41672978148569</v>
      </c>
      <c r="D24" s="317">
        <f>Food_2!D106</f>
        <v>123.6958519132841</v>
      </c>
      <c r="E24" s="317">
        <f>Food_2!E106</f>
        <v>119.91190984084812</v>
      </c>
      <c r="F24" s="317">
        <f>Food_2!F106</f>
        <v>116.4044935629683</v>
      </c>
      <c r="G24" s="317">
        <f>Food_2!G106</f>
        <v>117.62403652892891</v>
      </c>
      <c r="H24" s="317">
        <f>Food_2!H106</f>
        <v>119.65906015284938</v>
      </c>
      <c r="I24" s="317">
        <f>Food_2!I106</f>
        <v>118.24827181391019</v>
      </c>
      <c r="J24" s="317">
        <f>Food_2!J106</f>
        <v>115.51779684126581</v>
      </c>
      <c r="K24" s="317">
        <f>Food_2!K106</f>
        <v>109.89179932001221</v>
      </c>
      <c r="L24" s="317">
        <f>Food_2!L106</f>
        <v>103.97126865381792</v>
      </c>
    </row>
    <row r="25" spans="2:12">
      <c r="B25" s="319" t="str">
        <f>Geography_2!B155</f>
        <v>Geography NQTs</v>
      </c>
      <c r="C25" s="317">
        <f>Geography_2!C155</f>
        <v>869.1298848553588</v>
      </c>
      <c r="D25" s="317">
        <f>Geography_2!D155</f>
        <v>816.98644756492649</v>
      </c>
      <c r="E25" s="317">
        <f>Geography_2!E155</f>
        <v>824.47295774849272</v>
      </c>
      <c r="F25" s="317">
        <f>Geography_2!F155</f>
        <v>827.84625405171744</v>
      </c>
      <c r="G25" s="317">
        <f>Geography_2!G155</f>
        <v>886.95757172673848</v>
      </c>
      <c r="H25" s="317">
        <f>Geography_2!H155</f>
        <v>844.76765341445252</v>
      </c>
      <c r="I25" s="317">
        <f>Geography_2!I155</f>
        <v>790.62473790915931</v>
      </c>
      <c r="J25" s="317">
        <f>Geography_2!J155</f>
        <v>753.01898044770996</v>
      </c>
      <c r="K25" s="317">
        <f>Geography_2!K155</f>
        <v>769.78769796096628</v>
      </c>
      <c r="L25" s="317">
        <f>Geography_2!L155</f>
        <v>781.98738727822081</v>
      </c>
    </row>
    <row r="26" spans="2:12">
      <c r="B26" s="319" t="str">
        <f>History_2!B155</f>
        <v>History NQTs</v>
      </c>
      <c r="C26" s="317">
        <f>History_2!C155</f>
        <v>953.42025767244536</v>
      </c>
      <c r="D26" s="317">
        <f>History_2!D155</f>
        <v>905.81107662022748</v>
      </c>
      <c r="E26" s="317">
        <f>History_2!E155</f>
        <v>916.23256275002973</v>
      </c>
      <c r="F26" s="317">
        <f>History_2!F155</f>
        <v>923.37353073922179</v>
      </c>
      <c r="G26" s="317">
        <f>History_2!G155</f>
        <v>983.52753670863228</v>
      </c>
      <c r="H26" s="317">
        <f>History_2!H155</f>
        <v>942.48527425849863</v>
      </c>
      <c r="I26" s="317">
        <f>History_2!I155</f>
        <v>886.6569159777107</v>
      </c>
      <c r="J26" s="317">
        <f>History_2!J155</f>
        <v>847.82026785990683</v>
      </c>
      <c r="K26" s="317">
        <f>History_2!K155</f>
        <v>862.38984394446607</v>
      </c>
      <c r="L26" s="317">
        <f>History_2!L155</f>
        <v>872.06586025971774</v>
      </c>
    </row>
    <row r="27" spans="2:12">
      <c r="B27" s="319" t="str">
        <f>Mathematics_2!B106</f>
        <v>Mathematics NQTs</v>
      </c>
      <c r="C27" s="317">
        <f>Mathematics_2!C106</f>
        <v>2330.8850281331397</v>
      </c>
      <c r="D27" s="317">
        <f>Mathematics_2!D106</f>
        <v>2224.6913204180423</v>
      </c>
      <c r="E27" s="317">
        <f>Mathematics_2!E106</f>
        <v>2237.8588373127932</v>
      </c>
      <c r="F27" s="317">
        <f>Mathematics_2!F106</f>
        <v>2252.9149318950972</v>
      </c>
      <c r="G27" s="317">
        <f>Mathematics_2!G106</f>
        <v>2294.7686906738818</v>
      </c>
      <c r="H27" s="317">
        <f>Mathematics_2!H106</f>
        <v>2231.6328390758199</v>
      </c>
      <c r="I27" s="317">
        <f>Mathematics_2!I106</f>
        <v>2175.6199989538513</v>
      </c>
      <c r="J27" s="317">
        <f>Mathematics_2!J106</f>
        <v>2123.105185519677</v>
      </c>
      <c r="K27" s="317">
        <f>Mathematics_2!K106</f>
        <v>2088.9183932002866</v>
      </c>
      <c r="L27" s="317">
        <f>Mathematics_2!L106</f>
        <v>2054.5128578132699</v>
      </c>
    </row>
    <row r="28" spans="2:12">
      <c r="B28" s="319" t="str">
        <f>Modern_Foreign_Languages_2!B172</f>
        <v>Modern Foreign Languages NQTs</v>
      </c>
      <c r="C28" s="317">
        <f>Modern_Foreign_Languages_2!C172</f>
        <v>1112.6771773555456</v>
      </c>
      <c r="D28" s="317">
        <f>Modern_Foreign_Languages_2!D172</f>
        <v>1254.7279817656106</v>
      </c>
      <c r="E28" s="317">
        <f>Modern_Foreign_Languages_2!E172</f>
        <v>1467.472227566996</v>
      </c>
      <c r="F28" s="317">
        <f>Modern_Foreign_Languages_2!F172</f>
        <v>1686.2611857086372</v>
      </c>
      <c r="G28" s="317">
        <f>Modern_Foreign_Languages_2!G172</f>
        <v>1719.0531120198116</v>
      </c>
      <c r="H28" s="317">
        <f>Modern_Foreign_Languages_2!H172</f>
        <v>1099.5925514652083</v>
      </c>
      <c r="I28" s="317">
        <f>Modern_Foreign_Languages_2!I172</f>
        <v>961.02433439243873</v>
      </c>
      <c r="J28" s="317">
        <f>Modern_Foreign_Languages_2!J172</f>
        <v>857.16346157094813</v>
      </c>
      <c r="K28" s="317">
        <f>Modern_Foreign_Languages_2!K172</f>
        <v>870.33990934760232</v>
      </c>
      <c r="L28" s="317">
        <f>Modern_Foreign_Languages_2!L172</f>
        <v>937.40064402055464</v>
      </c>
    </row>
    <row r="29" spans="2:12">
      <c r="B29" s="319" t="str">
        <f>Music_2!B106</f>
        <v>Music NQTs</v>
      </c>
      <c r="C29" s="317">
        <f>Music_2!C106</f>
        <v>299.88936712799875</v>
      </c>
      <c r="D29" s="317">
        <f>Music_2!D106</f>
        <v>272.36691700125988</v>
      </c>
      <c r="E29" s="317">
        <f>Music_2!E106</f>
        <v>263.14066136035314</v>
      </c>
      <c r="F29" s="317">
        <f>Music_2!F106</f>
        <v>250.90986054026644</v>
      </c>
      <c r="G29" s="317">
        <f>Music_2!G106</f>
        <v>271.13132891746432</v>
      </c>
      <c r="H29" s="317">
        <f>Music_2!H106</f>
        <v>280.42225526882777</v>
      </c>
      <c r="I29" s="317">
        <f>Music_2!I106</f>
        <v>260.28528487424495</v>
      </c>
      <c r="J29" s="317">
        <f>Music_2!J106</f>
        <v>249.51546122415283</v>
      </c>
      <c r="K29" s="317">
        <f>Music_2!K106</f>
        <v>265.92044614415823</v>
      </c>
      <c r="L29" s="317">
        <f>Music_2!L106</f>
        <v>277.58342758344736</v>
      </c>
    </row>
    <row r="30" spans="2:12">
      <c r="B30" s="319" t="str">
        <f>Others_2!B106</f>
        <v>Others NQTs</v>
      </c>
      <c r="C30" s="317">
        <f>Others_2!C106</f>
        <v>649.9789608106579</v>
      </c>
      <c r="D30" s="317">
        <f>Others_2!D106</f>
        <v>708.3540203491774</v>
      </c>
      <c r="E30" s="317">
        <f>Others_2!E106</f>
        <v>726.65135625973221</v>
      </c>
      <c r="F30" s="317">
        <f>Others_2!F106</f>
        <v>751.87791220342638</v>
      </c>
      <c r="G30" s="317">
        <f>Others_2!G106</f>
        <v>784.4754154282449</v>
      </c>
      <c r="H30" s="317">
        <f>Others_2!H106</f>
        <v>829.51547600921594</v>
      </c>
      <c r="I30" s="317">
        <f>Others_2!I106</f>
        <v>807.09584721466456</v>
      </c>
      <c r="J30" s="317">
        <f>Others_2!J106</f>
        <v>795.4031444967045</v>
      </c>
      <c r="K30" s="317">
        <f>Others_2!K106</f>
        <v>789.95079521781236</v>
      </c>
      <c r="L30" s="317">
        <f>Others_2!L106</f>
        <v>774.441667657484</v>
      </c>
    </row>
    <row r="31" spans="2:12">
      <c r="B31" s="319" t="str">
        <f>Physical_Education_2!B106</f>
        <v>Physical Education NQTs</v>
      </c>
      <c r="C31" s="317">
        <f>Physical_Education_2!C106</f>
        <v>863.15518490318414</v>
      </c>
      <c r="D31" s="317">
        <f>Physical_Education_2!D106</f>
        <v>837.47312766428638</v>
      </c>
      <c r="E31" s="317">
        <f>Physical_Education_2!E106</f>
        <v>823.70835854840038</v>
      </c>
      <c r="F31" s="317">
        <f>Physical_Education_2!F106</f>
        <v>806.05724195080461</v>
      </c>
      <c r="G31" s="317">
        <f>Physical_Education_2!G106</f>
        <v>855.20132532545483</v>
      </c>
      <c r="H31" s="317">
        <f>Physical_Education_2!H106</f>
        <v>890.88578833252609</v>
      </c>
      <c r="I31" s="317">
        <f>Physical_Education_2!I106</f>
        <v>867.06235601813989</v>
      </c>
      <c r="J31" s="317">
        <f>Physical_Education_2!J106</f>
        <v>849.19727716438604</v>
      </c>
      <c r="K31" s="317">
        <f>Physical_Education_2!K106</f>
        <v>855.32876913805364</v>
      </c>
      <c r="L31" s="317">
        <f>Physical_Education_2!L106</f>
        <v>852.03029922295275</v>
      </c>
    </row>
    <row r="32" spans="2:12">
      <c r="B32" s="319" t="str">
        <f>Physics_2!B106</f>
        <v>Physics NQTs</v>
      </c>
      <c r="C32" s="317">
        <f>Physics_2!C106</f>
        <v>797.26556548892631</v>
      </c>
      <c r="D32" s="317">
        <f>Physics_2!D106</f>
        <v>751.89445817064507</v>
      </c>
      <c r="E32" s="317">
        <f>Physics_2!E106</f>
        <v>764.33695459586249</v>
      </c>
      <c r="F32" s="317">
        <f>Physics_2!F106</f>
        <v>779.00659690862744</v>
      </c>
      <c r="G32" s="317">
        <f>Physics_2!G106</f>
        <v>783.75277828503783</v>
      </c>
      <c r="H32" s="317">
        <f>Physics_2!H106</f>
        <v>766.80891589983037</v>
      </c>
      <c r="I32" s="317">
        <f>Physics_2!I106</f>
        <v>760.164868484782</v>
      </c>
      <c r="J32" s="317">
        <f>Physics_2!J106</f>
        <v>747.44766990173719</v>
      </c>
      <c r="K32" s="317">
        <f>Physics_2!K106</f>
        <v>720.06697512050357</v>
      </c>
      <c r="L32" s="317">
        <f>Physics_2!L106</f>
        <v>693.94447085526599</v>
      </c>
    </row>
    <row r="33" spans="2:12">
      <c r="B33" s="319" t="str">
        <f>Religious_Education_2!B106</f>
        <v>Religious Education NQTs</v>
      </c>
      <c r="C33" s="317">
        <f>Religious_Education_2!C106</f>
        <v>438.44082803139793</v>
      </c>
      <c r="D33" s="317">
        <f>Religious_Education_2!D106</f>
        <v>406.26296959688096</v>
      </c>
      <c r="E33" s="317">
        <f>Religious_Education_2!E106</f>
        <v>396.24120803810723</v>
      </c>
      <c r="F33" s="317">
        <f>Religious_Education_2!F106</f>
        <v>384.9881461539976</v>
      </c>
      <c r="G33" s="317">
        <f>Religious_Education_2!G106</f>
        <v>403.40240040237921</v>
      </c>
      <c r="H33" s="317">
        <f>Religious_Education_2!H106</f>
        <v>416.37898263170655</v>
      </c>
      <c r="I33" s="317">
        <f>Religious_Education_2!I106</f>
        <v>401.27988125359661</v>
      </c>
      <c r="J33" s="317">
        <f>Religious_Education_2!J106</f>
        <v>390.2842617022082</v>
      </c>
      <c r="K33" s="317">
        <f>Religious_Education_2!K106</f>
        <v>392.19436253299534</v>
      </c>
      <c r="L33" s="317">
        <f>Religious_Education_2!L106</f>
        <v>389.94262781984412</v>
      </c>
    </row>
    <row r="35" spans="2:12">
      <c r="B35" s="319" t="s">
        <v>864</v>
      </c>
      <c r="C35" s="317">
        <f>C14</f>
        <v>13273.403714588394</v>
      </c>
      <c r="D35" s="317">
        <f t="shared" ref="D35:L35" si="0">D14</f>
        <v>13110.08325301536</v>
      </c>
      <c r="E35" s="317">
        <f t="shared" si="0"/>
        <v>12995.424755771441</v>
      </c>
      <c r="F35" s="317">
        <f t="shared" si="0"/>
        <v>12858.688063368929</v>
      </c>
      <c r="G35" s="317">
        <f t="shared" si="0"/>
        <v>12708.819651893084</v>
      </c>
      <c r="H35" s="317">
        <f t="shared" si="0"/>
        <v>12991.059229851648</v>
      </c>
      <c r="I35" s="317">
        <f t="shared" si="0"/>
        <v>13219.581921474559</v>
      </c>
      <c r="J35" s="317">
        <f t="shared" si="0"/>
        <v>13276.157182915755</v>
      </c>
      <c r="K35" s="317">
        <f t="shared" si="0"/>
        <v>13223.248843826681</v>
      </c>
      <c r="L35" s="317">
        <f t="shared" si="0"/>
        <v>13158.580085664507</v>
      </c>
    </row>
    <row r="36" spans="2:12">
      <c r="B36" s="319" t="s">
        <v>865</v>
      </c>
      <c r="C36" s="317">
        <f>SUM(C14:C33)-C35</f>
        <v>14033.736963744634</v>
      </c>
      <c r="D36" s="317">
        <f t="shared" ref="D36:L36" si="1">SUM(D14:D33)-D35</f>
        <v>13800.603957809075</v>
      </c>
      <c r="E36" s="317">
        <f t="shared" si="1"/>
        <v>14055.439041023463</v>
      </c>
      <c r="F36" s="317">
        <f t="shared" si="1"/>
        <v>14311.742265350756</v>
      </c>
      <c r="G36" s="317">
        <f t="shared" si="1"/>
        <v>14788.405363691703</v>
      </c>
      <c r="H36" s="317">
        <f t="shared" si="1"/>
        <v>14084.246122958315</v>
      </c>
      <c r="I36" s="317">
        <f t="shared" si="1"/>
        <v>13546.344327529825</v>
      </c>
      <c r="J36" s="317">
        <f t="shared" si="1"/>
        <v>13121.91948612038</v>
      </c>
      <c r="K36" s="317">
        <f t="shared" si="1"/>
        <v>13059.442423306733</v>
      </c>
      <c r="L36" s="317">
        <f t="shared" si="1"/>
        <v>12992.929124472455</v>
      </c>
    </row>
    <row r="37" spans="2:12">
      <c r="B37" s="319" t="s">
        <v>8</v>
      </c>
      <c r="C37" s="317">
        <f>SUM(C35:C36)</f>
        <v>27307.140678333028</v>
      </c>
      <c r="D37" s="317">
        <f t="shared" ref="D37:L37" si="2">SUM(D35:D36)</f>
        <v>26910.687210824435</v>
      </c>
      <c r="E37" s="317">
        <f t="shared" si="2"/>
        <v>27050.863796794903</v>
      </c>
      <c r="F37" s="317">
        <f t="shared" si="2"/>
        <v>27170.430328719685</v>
      </c>
      <c r="G37" s="317">
        <f t="shared" si="2"/>
        <v>27497.225015584787</v>
      </c>
      <c r="H37" s="317">
        <f t="shared" si="2"/>
        <v>27075.305352809963</v>
      </c>
      <c r="I37" s="317">
        <f t="shared" si="2"/>
        <v>26765.926249004384</v>
      </c>
      <c r="J37" s="317">
        <f t="shared" si="2"/>
        <v>26398.076669036134</v>
      </c>
      <c r="K37" s="317">
        <f t="shared" si="2"/>
        <v>26282.691267133414</v>
      </c>
      <c r="L37" s="317">
        <f t="shared" si="2"/>
        <v>26151.509210136963</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7"/>
  <sheetViews>
    <sheetView showGridLines="0" workbookViewId="0"/>
  </sheetViews>
  <sheetFormatPr defaultColWidth="9.140625" defaultRowHeight="12.75"/>
  <cols>
    <col min="1" max="1" width="8.42578125" style="302" customWidth="1"/>
    <col min="2" max="2" width="50.7109375" style="302" customWidth="1"/>
    <col min="3" max="12" width="9.7109375" style="302" customWidth="1"/>
    <col min="13" max="14" width="8.7109375" style="302" customWidth="1"/>
    <col min="15" max="16384" width="9.140625" style="302"/>
  </cols>
  <sheetData>
    <row r="1" spans="1:15" s="337" customFormat="1" ht="15">
      <c r="A1" s="336" t="str">
        <f>ModelBanner</f>
        <v>TSM_201819 Publication</v>
      </c>
    </row>
    <row r="2" spans="1:15" s="337" customFormat="1" ht="15">
      <c r="A2" s="940" t="s">
        <v>13</v>
      </c>
      <c r="B2" s="940" t="s">
        <v>30</v>
      </c>
    </row>
    <row r="3" spans="1:15" s="337" customFormat="1" ht="15">
      <c r="A3" s="338"/>
    </row>
    <row r="4" spans="1:15" s="655" customFormat="1">
      <c r="A4" s="656" t="s">
        <v>26</v>
      </c>
      <c r="B4" s="656"/>
      <c r="C4" s="656"/>
      <c r="D4" s="656"/>
      <c r="E4" s="340"/>
      <c r="F4" s="656"/>
      <c r="G4" s="656"/>
    </row>
    <row r="5" spans="1:15" s="654" customFormat="1" ht="13.15" customHeight="1">
      <c r="A5" s="684" t="s">
        <v>1615</v>
      </c>
      <c r="B5" s="684"/>
      <c r="C5" s="684"/>
      <c r="D5" s="684"/>
      <c r="E5" s="684"/>
      <c r="F5" s="684"/>
      <c r="G5" s="684"/>
      <c r="H5" s="342"/>
      <c r="I5" s="342"/>
      <c r="J5" s="342"/>
      <c r="K5" s="342"/>
      <c r="L5" s="342"/>
      <c r="M5" s="342"/>
      <c r="N5" s="342"/>
      <c r="O5" s="342"/>
    </row>
    <row r="6" spans="1:15" s="651" customFormat="1">
      <c r="A6" s="653" t="s">
        <v>1392</v>
      </c>
      <c r="B6" s="345"/>
      <c r="C6" s="345"/>
      <c r="D6" s="345"/>
      <c r="E6" s="340"/>
      <c r="F6" s="345"/>
      <c r="G6" s="345"/>
      <c r="H6" s="346"/>
      <c r="I6" s="346"/>
      <c r="J6" s="346"/>
      <c r="K6" s="346"/>
      <c r="L6" s="346"/>
      <c r="M6" s="346"/>
      <c r="N6" s="346"/>
      <c r="O6" s="346"/>
    </row>
    <row r="7" spans="1:15" s="651" customFormat="1">
      <c r="A7" s="652" t="s">
        <v>790</v>
      </c>
      <c r="B7" s="653"/>
      <c r="C7" s="345"/>
      <c r="D7" s="345"/>
      <c r="E7" s="340"/>
      <c r="F7" s="345"/>
      <c r="G7" s="345"/>
      <c r="H7" s="346"/>
      <c r="I7" s="346"/>
      <c r="J7" s="346"/>
      <c r="K7" s="346"/>
      <c r="L7" s="346"/>
      <c r="M7" s="346"/>
      <c r="N7" s="346"/>
      <c r="O7" s="346"/>
    </row>
    <row r="8" spans="1:15" s="651" customFormat="1">
      <c r="A8" s="653" t="s">
        <v>24</v>
      </c>
      <c r="B8" s="345"/>
      <c r="C8" s="345"/>
      <c r="D8" s="345"/>
      <c r="E8" s="340"/>
      <c r="F8" s="345"/>
      <c r="G8" s="345"/>
      <c r="H8" s="346"/>
      <c r="I8" s="346"/>
      <c r="J8" s="346"/>
      <c r="K8" s="346"/>
      <c r="L8" s="346"/>
      <c r="M8" s="346"/>
      <c r="N8" s="346"/>
      <c r="O8" s="346"/>
    </row>
    <row r="9" spans="1:15" s="649" customFormat="1">
      <c r="A9" s="650"/>
      <c r="B9" s="350"/>
      <c r="C9" s="351"/>
      <c r="D9" s="352"/>
      <c r="E9" s="352"/>
      <c r="F9" s="352"/>
      <c r="G9" s="353"/>
      <c r="H9" s="352"/>
      <c r="I9" s="352"/>
      <c r="J9" s="353"/>
      <c r="K9" s="354"/>
      <c r="L9" s="354"/>
      <c r="M9" s="354"/>
      <c r="N9" s="354"/>
      <c r="O9" s="354"/>
    </row>
    <row r="11" spans="1:15" ht="15.75">
      <c r="B11" s="333" t="s">
        <v>1616</v>
      </c>
    </row>
    <row r="13" spans="1:15">
      <c r="B13" s="319"/>
      <c r="C13" s="319" t="str">
        <f>Primary_2!C102</f>
        <v>2019/20</v>
      </c>
      <c r="D13" s="319" t="str">
        <f>Primary_2!D102</f>
        <v>2020/21</v>
      </c>
      <c r="E13" s="319" t="str">
        <f>Primary_2!E102</f>
        <v>2021/22</v>
      </c>
      <c r="F13" s="319" t="str">
        <f>Primary_2!F102</f>
        <v>2022/23</v>
      </c>
      <c r="G13" s="319" t="str">
        <f>Primary_2!G102</f>
        <v>2023/24</v>
      </c>
      <c r="H13" s="319" t="str">
        <f>Primary_2!H102</f>
        <v>2024/25</v>
      </c>
      <c r="I13" s="319" t="str">
        <f>Primary_2!I102</f>
        <v>2025/26</v>
      </c>
      <c r="J13" s="319" t="str">
        <f>Primary_2!J102</f>
        <v>2026/27</v>
      </c>
      <c r="K13" s="319" t="str">
        <f>Primary_2!K102</f>
        <v>2027/28</v>
      </c>
      <c r="L13" s="319" t="str">
        <f>Primary_2!L102</f>
        <v>2028/29</v>
      </c>
    </row>
    <row r="14" spans="1:15">
      <c r="B14" s="319" t="s">
        <v>40</v>
      </c>
      <c r="C14" s="317">
        <v>0</v>
      </c>
      <c r="D14" s="317">
        <v>0</v>
      </c>
      <c r="E14" s="317">
        <v>0</v>
      </c>
      <c r="F14" s="317">
        <v>0</v>
      </c>
      <c r="G14" s="317">
        <v>0</v>
      </c>
      <c r="H14" s="317">
        <v>0</v>
      </c>
      <c r="I14" s="317">
        <v>0</v>
      </c>
      <c r="J14" s="317">
        <v>0</v>
      </c>
      <c r="K14" s="317">
        <v>0</v>
      </c>
      <c r="L14" s="317">
        <v>0</v>
      </c>
    </row>
    <row r="15" spans="1:15">
      <c r="B15" s="319" t="s">
        <v>571</v>
      </c>
      <c r="C15" s="317">
        <v>0</v>
      </c>
      <c r="D15" s="317">
        <v>0</v>
      </c>
      <c r="E15" s="317">
        <v>0</v>
      </c>
      <c r="F15" s="317">
        <v>0</v>
      </c>
      <c r="G15" s="317">
        <v>0</v>
      </c>
      <c r="H15" s="317">
        <v>0</v>
      </c>
      <c r="I15" s="317">
        <v>0</v>
      </c>
      <c r="J15" s="317">
        <v>0</v>
      </c>
      <c r="K15" s="317">
        <v>0</v>
      </c>
      <c r="L15" s="317">
        <v>0</v>
      </c>
    </row>
    <row r="16" spans="1:15">
      <c r="B16" s="319" t="s">
        <v>7</v>
      </c>
      <c r="C16" s="317">
        <v>0</v>
      </c>
      <c r="D16" s="317">
        <v>0</v>
      </c>
      <c r="E16" s="317">
        <v>0</v>
      </c>
      <c r="F16" s="317">
        <v>0</v>
      </c>
      <c r="G16" s="317">
        <v>0</v>
      </c>
      <c r="H16" s="317">
        <v>0</v>
      </c>
      <c r="I16" s="317">
        <v>0</v>
      </c>
      <c r="J16" s="317">
        <v>0</v>
      </c>
      <c r="K16" s="317">
        <v>0</v>
      </c>
      <c r="L16" s="317">
        <v>0</v>
      </c>
    </row>
    <row r="17" spans="2:12">
      <c r="B17" s="319" t="s">
        <v>429</v>
      </c>
      <c r="C17" s="317">
        <v>0</v>
      </c>
      <c r="D17" s="317">
        <v>0</v>
      </c>
      <c r="E17" s="317">
        <v>0</v>
      </c>
      <c r="F17" s="317">
        <v>0</v>
      </c>
      <c r="G17" s="317">
        <v>0</v>
      </c>
      <c r="H17" s="317">
        <v>0</v>
      </c>
      <c r="I17" s="317">
        <v>0</v>
      </c>
      <c r="J17" s="317">
        <v>0</v>
      </c>
      <c r="K17" s="317">
        <v>0</v>
      </c>
      <c r="L17" s="317">
        <v>0</v>
      </c>
    </row>
    <row r="18" spans="2:12">
      <c r="B18" s="319" t="s">
        <v>3</v>
      </c>
      <c r="C18" s="317">
        <v>0</v>
      </c>
      <c r="D18" s="317">
        <v>0</v>
      </c>
      <c r="E18" s="317">
        <v>0</v>
      </c>
      <c r="F18" s="317">
        <v>0</v>
      </c>
      <c r="G18" s="317">
        <v>0</v>
      </c>
      <c r="H18" s="317">
        <v>0</v>
      </c>
      <c r="I18" s="317">
        <v>0</v>
      </c>
      <c r="J18" s="317">
        <v>0</v>
      </c>
      <c r="K18" s="317">
        <v>0</v>
      </c>
      <c r="L18" s="317">
        <v>0</v>
      </c>
    </row>
    <row r="19" spans="2:12">
      <c r="B19" s="319" t="s">
        <v>80</v>
      </c>
      <c r="C19" s="317">
        <v>0</v>
      </c>
      <c r="D19" s="317">
        <v>0</v>
      </c>
      <c r="E19" s="317">
        <v>0</v>
      </c>
      <c r="F19" s="317">
        <v>0</v>
      </c>
      <c r="G19" s="317">
        <v>0</v>
      </c>
      <c r="H19" s="317">
        <v>0</v>
      </c>
      <c r="I19" s="317">
        <v>0</v>
      </c>
      <c r="J19" s="317">
        <v>0</v>
      </c>
      <c r="K19" s="317">
        <v>0</v>
      </c>
      <c r="L19" s="317">
        <v>0</v>
      </c>
    </row>
    <row r="20" spans="2:12">
      <c r="B20" s="319" t="s">
        <v>108</v>
      </c>
      <c r="C20" s="317">
        <v>0</v>
      </c>
      <c r="D20" s="317">
        <v>0</v>
      </c>
      <c r="E20" s="317">
        <v>0</v>
      </c>
      <c r="F20" s="317">
        <v>0</v>
      </c>
      <c r="G20" s="317">
        <v>0</v>
      </c>
      <c r="H20" s="317">
        <v>0</v>
      </c>
      <c r="I20" s="317">
        <v>0</v>
      </c>
      <c r="J20" s="317">
        <v>0</v>
      </c>
      <c r="K20" s="317">
        <v>0</v>
      </c>
      <c r="L20" s="317">
        <v>0</v>
      </c>
    </row>
    <row r="21" spans="2:12">
      <c r="B21" s="319" t="s">
        <v>572</v>
      </c>
      <c r="C21" s="317">
        <v>0</v>
      </c>
      <c r="D21" s="317">
        <v>0</v>
      </c>
      <c r="E21" s="317">
        <v>0</v>
      </c>
      <c r="F21" s="317">
        <v>0</v>
      </c>
      <c r="G21" s="317">
        <v>0</v>
      </c>
      <c r="H21" s="317">
        <v>0</v>
      </c>
      <c r="I21" s="317">
        <v>0</v>
      </c>
      <c r="J21" s="317">
        <v>0</v>
      </c>
      <c r="K21" s="317">
        <v>0</v>
      </c>
      <c r="L21" s="317">
        <v>0</v>
      </c>
    </row>
    <row r="22" spans="2:12">
      <c r="B22" s="319" t="s">
        <v>6</v>
      </c>
      <c r="C22" s="317">
        <v>0</v>
      </c>
      <c r="D22" s="317">
        <v>0</v>
      </c>
      <c r="E22" s="317">
        <v>0</v>
      </c>
      <c r="F22" s="317">
        <v>0</v>
      </c>
      <c r="G22" s="317">
        <v>0</v>
      </c>
      <c r="H22" s="317">
        <v>0</v>
      </c>
      <c r="I22" s="317">
        <v>0</v>
      </c>
      <c r="J22" s="317">
        <v>0</v>
      </c>
      <c r="K22" s="317">
        <v>0</v>
      </c>
      <c r="L22" s="317">
        <v>0</v>
      </c>
    </row>
    <row r="23" spans="2:12">
      <c r="B23" s="319" t="s">
        <v>1</v>
      </c>
      <c r="C23" s="317">
        <v>0</v>
      </c>
      <c r="D23" s="317">
        <v>0</v>
      </c>
      <c r="E23" s="317">
        <v>0</v>
      </c>
      <c r="F23" s="317">
        <v>0</v>
      </c>
      <c r="G23" s="317">
        <v>0</v>
      </c>
      <c r="H23" s="317">
        <v>0</v>
      </c>
      <c r="I23" s="317">
        <v>0</v>
      </c>
      <c r="J23" s="317">
        <v>0</v>
      </c>
      <c r="K23" s="317">
        <v>0</v>
      </c>
      <c r="L23" s="317">
        <v>0</v>
      </c>
    </row>
    <row r="24" spans="2:12">
      <c r="B24" s="319" t="s">
        <v>397</v>
      </c>
      <c r="C24" s="317">
        <v>0</v>
      </c>
      <c r="D24" s="317">
        <v>0</v>
      </c>
      <c r="E24" s="317">
        <v>0</v>
      </c>
      <c r="F24" s="317">
        <v>0</v>
      </c>
      <c r="G24" s="317">
        <v>0</v>
      </c>
      <c r="H24" s="317">
        <v>0</v>
      </c>
      <c r="I24" s="317">
        <v>0</v>
      </c>
      <c r="J24" s="317">
        <v>0</v>
      </c>
      <c r="K24" s="317">
        <v>0</v>
      </c>
      <c r="L24" s="317">
        <v>0</v>
      </c>
    </row>
    <row r="25" spans="2:12">
      <c r="B25" s="319" t="s">
        <v>4</v>
      </c>
      <c r="C25" s="317">
        <v>0</v>
      </c>
      <c r="D25" s="317">
        <v>0</v>
      </c>
      <c r="E25" s="317">
        <v>0</v>
      </c>
      <c r="F25" s="317">
        <v>0</v>
      </c>
      <c r="G25" s="317">
        <v>0</v>
      </c>
      <c r="H25" s="317">
        <v>0</v>
      </c>
      <c r="I25" s="317">
        <v>0</v>
      </c>
      <c r="J25" s="317">
        <v>0</v>
      </c>
      <c r="K25" s="317">
        <v>0</v>
      </c>
      <c r="L25" s="317">
        <v>0</v>
      </c>
    </row>
    <row r="26" spans="2:12">
      <c r="B26" s="319" t="s">
        <v>0</v>
      </c>
      <c r="C26" s="317">
        <v>0</v>
      </c>
      <c r="D26" s="317">
        <v>0</v>
      </c>
      <c r="E26" s="317">
        <v>0</v>
      </c>
      <c r="F26" s="317">
        <v>0</v>
      </c>
      <c r="G26" s="317">
        <v>0</v>
      </c>
      <c r="H26" s="317">
        <v>0</v>
      </c>
      <c r="I26" s="317">
        <v>0</v>
      </c>
      <c r="J26" s="317">
        <v>0</v>
      </c>
      <c r="K26" s="317">
        <v>0</v>
      </c>
      <c r="L26" s="317">
        <v>0</v>
      </c>
    </row>
    <row r="27" spans="2:12">
      <c r="B27" s="319" t="s">
        <v>573</v>
      </c>
      <c r="C27" s="317">
        <v>0</v>
      </c>
      <c r="D27" s="317">
        <v>0</v>
      </c>
      <c r="E27" s="317">
        <v>0</v>
      </c>
      <c r="F27" s="317">
        <v>0</v>
      </c>
      <c r="G27" s="317">
        <v>0</v>
      </c>
      <c r="H27" s="317">
        <v>0</v>
      </c>
      <c r="I27" s="317">
        <v>0</v>
      </c>
      <c r="J27" s="317">
        <v>0</v>
      </c>
      <c r="K27" s="317">
        <v>0</v>
      </c>
      <c r="L27" s="317">
        <v>0</v>
      </c>
    </row>
    <row r="28" spans="2:12">
      <c r="B28" s="315" t="s">
        <v>574</v>
      </c>
      <c r="C28" s="276">
        <f>Modern_Foreign_Languages_2!C170</f>
        <v>410</v>
      </c>
      <c r="D28" s="276">
        <f>Modern_Foreign_Languages_2!D170</f>
        <v>410</v>
      </c>
      <c r="E28" s="276">
        <f>Modern_Foreign_Languages_2!E170</f>
        <v>410</v>
      </c>
      <c r="F28" s="276">
        <f>Modern_Foreign_Languages_2!F170</f>
        <v>410</v>
      </c>
      <c r="G28" s="276">
        <f>Modern_Foreign_Languages_2!G170</f>
        <v>410</v>
      </c>
      <c r="H28" s="276">
        <f>Modern_Foreign_Languages_2!H170</f>
        <v>410</v>
      </c>
      <c r="I28" s="276">
        <f>Modern_Foreign_Languages_2!I170</f>
        <v>410</v>
      </c>
      <c r="J28" s="276">
        <f>Modern_Foreign_Languages_2!J170</f>
        <v>410</v>
      </c>
      <c r="K28" s="276">
        <f>Modern_Foreign_Languages_2!K170</f>
        <v>410</v>
      </c>
      <c r="L28" s="276">
        <f>Modern_Foreign_Languages_2!L170</f>
        <v>410</v>
      </c>
    </row>
    <row r="29" spans="2:12">
      <c r="B29" s="319" t="s">
        <v>5</v>
      </c>
      <c r="C29" s="317">
        <v>0</v>
      </c>
      <c r="D29" s="317">
        <v>0</v>
      </c>
      <c r="E29" s="317">
        <v>0</v>
      </c>
      <c r="F29" s="317">
        <v>0</v>
      </c>
      <c r="G29" s="317">
        <v>0</v>
      </c>
      <c r="H29" s="317">
        <v>0</v>
      </c>
      <c r="I29" s="317">
        <v>0</v>
      </c>
      <c r="J29" s="317">
        <v>0</v>
      </c>
      <c r="K29" s="317">
        <v>0</v>
      </c>
      <c r="L29" s="317">
        <v>0</v>
      </c>
    </row>
    <row r="30" spans="2:12">
      <c r="B30" s="319" t="s">
        <v>41</v>
      </c>
      <c r="C30" s="317">
        <v>0</v>
      </c>
      <c r="D30" s="317">
        <v>0</v>
      </c>
      <c r="E30" s="317">
        <v>0</v>
      </c>
      <c r="F30" s="317">
        <v>0</v>
      </c>
      <c r="G30" s="317">
        <v>0</v>
      </c>
      <c r="H30" s="317">
        <v>0</v>
      </c>
      <c r="I30" s="317">
        <v>0</v>
      </c>
      <c r="J30" s="317">
        <v>0</v>
      </c>
      <c r="K30" s="317">
        <v>0</v>
      </c>
      <c r="L30" s="317">
        <v>0</v>
      </c>
    </row>
    <row r="31" spans="2:12">
      <c r="B31" s="319" t="s">
        <v>575</v>
      </c>
      <c r="C31" s="317">
        <v>0</v>
      </c>
      <c r="D31" s="317">
        <v>0</v>
      </c>
      <c r="E31" s="317">
        <v>0</v>
      </c>
      <c r="F31" s="317">
        <v>0</v>
      </c>
      <c r="G31" s="317">
        <v>0</v>
      </c>
      <c r="H31" s="317">
        <v>0</v>
      </c>
      <c r="I31" s="317">
        <v>0</v>
      </c>
      <c r="J31" s="317">
        <v>0</v>
      </c>
      <c r="K31" s="317">
        <v>0</v>
      </c>
      <c r="L31" s="317">
        <v>0</v>
      </c>
    </row>
    <row r="32" spans="2:12">
      <c r="B32" s="319" t="s">
        <v>2</v>
      </c>
      <c r="C32" s="317">
        <v>0</v>
      </c>
      <c r="D32" s="317">
        <v>0</v>
      </c>
      <c r="E32" s="317">
        <v>0</v>
      </c>
      <c r="F32" s="317">
        <v>0</v>
      </c>
      <c r="G32" s="317">
        <v>0</v>
      </c>
      <c r="H32" s="317">
        <v>0</v>
      </c>
      <c r="I32" s="317">
        <v>0</v>
      </c>
      <c r="J32" s="317">
        <v>0</v>
      </c>
      <c r="K32" s="317">
        <v>0</v>
      </c>
      <c r="L32" s="317">
        <v>0</v>
      </c>
    </row>
    <row r="33" spans="2:12">
      <c r="B33" s="319" t="s">
        <v>576</v>
      </c>
      <c r="C33" s="317">
        <v>0</v>
      </c>
      <c r="D33" s="317">
        <v>0</v>
      </c>
      <c r="E33" s="317">
        <v>0</v>
      </c>
      <c r="F33" s="317">
        <v>0</v>
      </c>
      <c r="G33" s="317">
        <v>0</v>
      </c>
      <c r="H33" s="317">
        <v>0</v>
      </c>
      <c r="I33" s="317">
        <v>0</v>
      </c>
      <c r="J33" s="317">
        <v>0</v>
      </c>
      <c r="K33" s="317">
        <v>0</v>
      </c>
      <c r="L33" s="317">
        <v>0</v>
      </c>
    </row>
    <row r="35" spans="2:12">
      <c r="B35" s="319" t="s">
        <v>864</v>
      </c>
      <c r="C35" s="317">
        <f>C14</f>
        <v>0</v>
      </c>
      <c r="D35" s="317">
        <f t="shared" ref="D35:L35" si="0">D14</f>
        <v>0</v>
      </c>
      <c r="E35" s="317">
        <f t="shared" si="0"/>
        <v>0</v>
      </c>
      <c r="F35" s="317">
        <f t="shared" si="0"/>
        <v>0</v>
      </c>
      <c r="G35" s="317">
        <f t="shared" si="0"/>
        <v>0</v>
      </c>
      <c r="H35" s="317">
        <f t="shared" si="0"/>
        <v>0</v>
      </c>
      <c r="I35" s="317">
        <f t="shared" si="0"/>
        <v>0</v>
      </c>
      <c r="J35" s="317">
        <f t="shared" si="0"/>
        <v>0</v>
      </c>
      <c r="K35" s="317">
        <f t="shared" si="0"/>
        <v>0</v>
      </c>
      <c r="L35" s="317">
        <f t="shared" si="0"/>
        <v>0</v>
      </c>
    </row>
    <row r="36" spans="2:12">
      <c r="B36" s="319" t="s">
        <v>865</v>
      </c>
      <c r="C36" s="317">
        <f>SUM(C14:C33)-C35</f>
        <v>410</v>
      </c>
      <c r="D36" s="317">
        <f t="shared" ref="D36:L36" si="1">SUM(D14:D33)-D35</f>
        <v>410</v>
      </c>
      <c r="E36" s="317">
        <f t="shared" si="1"/>
        <v>410</v>
      </c>
      <c r="F36" s="317">
        <f t="shared" si="1"/>
        <v>410</v>
      </c>
      <c r="G36" s="317">
        <f t="shared" si="1"/>
        <v>410</v>
      </c>
      <c r="H36" s="317">
        <f t="shared" si="1"/>
        <v>410</v>
      </c>
      <c r="I36" s="317">
        <f t="shared" si="1"/>
        <v>410</v>
      </c>
      <c r="J36" s="317">
        <f t="shared" si="1"/>
        <v>410</v>
      </c>
      <c r="K36" s="317">
        <f t="shared" si="1"/>
        <v>410</v>
      </c>
      <c r="L36" s="317">
        <f t="shared" si="1"/>
        <v>410</v>
      </c>
    </row>
    <row r="37" spans="2:12">
      <c r="B37" s="319" t="s">
        <v>8</v>
      </c>
      <c r="C37" s="317">
        <f>SUM(C35:C36)</f>
        <v>410</v>
      </c>
      <c r="D37" s="317">
        <f t="shared" ref="D37:L37" si="2">SUM(D35:D36)</f>
        <v>410</v>
      </c>
      <c r="E37" s="317">
        <f t="shared" si="2"/>
        <v>410</v>
      </c>
      <c r="F37" s="317">
        <f t="shared" si="2"/>
        <v>410</v>
      </c>
      <c r="G37" s="317">
        <f t="shared" si="2"/>
        <v>410</v>
      </c>
      <c r="H37" s="317">
        <f t="shared" si="2"/>
        <v>410</v>
      </c>
      <c r="I37" s="317">
        <f t="shared" si="2"/>
        <v>410</v>
      </c>
      <c r="J37" s="317">
        <f t="shared" si="2"/>
        <v>410</v>
      </c>
      <c r="K37" s="317">
        <f t="shared" si="2"/>
        <v>410</v>
      </c>
      <c r="L37" s="317">
        <f t="shared" si="2"/>
        <v>410</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93"/>
  <sheetViews>
    <sheetView showGridLines="0" zoomScaleNormal="100" workbookViewId="0"/>
  </sheetViews>
  <sheetFormatPr defaultColWidth="9.140625" defaultRowHeight="12.75"/>
  <cols>
    <col min="1" max="1" width="9.42578125" style="302" customWidth="1"/>
    <col min="2" max="2" width="9" style="302" customWidth="1"/>
    <col min="3" max="3" width="27.7109375" style="302" customWidth="1"/>
    <col min="4" max="15" width="22.7109375" style="302" customWidth="1"/>
    <col min="16" max="16384" width="9.140625" style="302"/>
  </cols>
  <sheetData>
    <row r="1" spans="1:16" s="337" customFormat="1" ht="15">
      <c r="A1" s="336" t="str">
        <f>ModelBanner</f>
        <v>TSM_201819 Publication</v>
      </c>
    </row>
    <row r="2" spans="1:16" s="337" customFormat="1" ht="15">
      <c r="A2" s="940" t="s">
        <v>13</v>
      </c>
      <c r="B2" s="940" t="s">
        <v>30</v>
      </c>
    </row>
    <row r="3" spans="1:16" s="337" customFormat="1" ht="15">
      <c r="A3" s="338"/>
    </row>
    <row r="4" spans="1:16" s="655" customFormat="1">
      <c r="A4" s="656" t="s">
        <v>26</v>
      </c>
      <c r="B4" s="656"/>
      <c r="C4" s="656"/>
      <c r="D4" s="656"/>
      <c r="E4" s="340"/>
      <c r="F4" s="656"/>
      <c r="G4" s="656"/>
      <c r="H4" s="656"/>
    </row>
    <row r="5" spans="1:16" s="654" customFormat="1" ht="13.15" customHeight="1">
      <c r="A5" s="684" t="s">
        <v>1618</v>
      </c>
      <c r="B5" s="684"/>
      <c r="C5" s="684"/>
      <c r="D5" s="684"/>
      <c r="E5" s="684"/>
      <c r="F5" s="684"/>
      <c r="G5" s="684"/>
      <c r="H5" s="684"/>
      <c r="I5" s="342"/>
      <c r="J5" s="342"/>
      <c r="K5" s="342"/>
      <c r="L5" s="342"/>
      <c r="M5" s="342"/>
      <c r="N5" s="342"/>
      <c r="O5" s="342"/>
      <c r="P5" s="342"/>
    </row>
    <row r="6" spans="1:16" s="651" customFormat="1">
      <c r="A6" s="653" t="s">
        <v>1392</v>
      </c>
      <c r="B6" s="345"/>
      <c r="C6" s="345"/>
      <c r="D6" s="345"/>
      <c r="E6" s="340"/>
      <c r="F6" s="345"/>
      <c r="G6" s="345"/>
      <c r="H6" s="345"/>
      <c r="I6" s="346"/>
      <c r="J6" s="346"/>
      <c r="K6" s="346"/>
      <c r="L6" s="346"/>
      <c r="M6" s="346"/>
      <c r="N6" s="346"/>
      <c r="O6" s="346"/>
      <c r="P6" s="346"/>
    </row>
    <row r="7" spans="1:16" s="651" customFormat="1">
      <c r="A7" s="652" t="s">
        <v>790</v>
      </c>
      <c r="B7" s="653"/>
      <c r="C7" s="345"/>
      <c r="D7" s="345"/>
      <c r="E7" s="340"/>
      <c r="F7" s="345"/>
      <c r="G7" s="345"/>
      <c r="H7" s="345"/>
      <c r="I7" s="346"/>
      <c r="J7" s="346"/>
      <c r="K7" s="346"/>
      <c r="L7" s="346"/>
      <c r="M7" s="346"/>
      <c r="N7" s="346"/>
      <c r="O7" s="346"/>
      <c r="P7" s="346"/>
    </row>
    <row r="8" spans="1:16" s="651" customFormat="1">
      <c r="A8" s="653" t="s">
        <v>24</v>
      </c>
      <c r="B8" s="345"/>
      <c r="C8" s="345"/>
      <c r="D8" s="345"/>
      <c r="E8" s="340"/>
      <c r="F8" s="345"/>
      <c r="G8" s="345"/>
      <c r="H8" s="345"/>
      <c r="I8" s="346"/>
      <c r="J8" s="346"/>
      <c r="K8" s="346"/>
      <c r="L8" s="346"/>
      <c r="M8" s="346"/>
      <c r="N8" s="346"/>
      <c r="O8" s="346"/>
      <c r="P8" s="346"/>
    </row>
    <row r="9" spans="1:16" s="649" customFormat="1">
      <c r="A9" s="650">
        <f>SUM(A10:A188)</f>
        <v>0</v>
      </c>
      <c r="B9" s="350"/>
      <c r="C9" s="351"/>
      <c r="D9" s="352"/>
      <c r="E9" s="352"/>
      <c r="F9" s="352"/>
      <c r="G9" s="353"/>
      <c r="H9" s="353"/>
      <c r="I9" s="352"/>
      <c r="J9" s="352"/>
      <c r="K9" s="353"/>
      <c r="L9" s="354"/>
      <c r="M9" s="354"/>
      <c r="N9" s="354"/>
      <c r="O9" s="354"/>
      <c r="P9" s="354"/>
    </row>
    <row r="12" spans="1:16" ht="24">
      <c r="C12" s="659" t="s">
        <v>353</v>
      </c>
      <c r="D12" s="660"/>
      <c r="E12" s="659" t="s">
        <v>716</v>
      </c>
      <c r="F12" s="659" t="s">
        <v>717</v>
      </c>
      <c r="G12" s="659" t="s">
        <v>798</v>
      </c>
      <c r="H12" s="658" t="s">
        <v>1612</v>
      </c>
      <c r="I12" s="659" t="s">
        <v>8</v>
      </c>
    </row>
    <row r="13" spans="1:16" ht="24">
      <c r="C13" s="1338" t="s">
        <v>40</v>
      </c>
      <c r="D13" s="658" t="s">
        <v>797</v>
      </c>
      <c r="E13" s="276">
        <f>'Re-entrants_expected'!C14</f>
        <v>8735.4660878889172</v>
      </c>
      <c r="F13" s="276">
        <f>New_to_SF_sector_expected!C14</f>
        <v>3483.7240045380604</v>
      </c>
      <c r="G13" s="276">
        <f>NQT_entrants_required_inc_UGs!C14</f>
        <v>13273.403714588394</v>
      </c>
      <c r="H13" s="276">
        <f>Entrants_via_other_initiatives!C35</f>
        <v>0</v>
      </c>
      <c r="I13" s="276">
        <f>SUM(E13:H13)</f>
        <v>25492.593807015372</v>
      </c>
    </row>
    <row r="14" spans="1:16">
      <c r="C14" s="1339"/>
      <c r="D14" s="658" t="s">
        <v>796</v>
      </c>
      <c r="E14" s="637">
        <f>E13/$I$13</f>
        <v>0.34266682135283472</v>
      </c>
      <c r="F14" s="637">
        <f>F13/$I$13</f>
        <v>0.13665631794515024</v>
      </c>
      <c r="G14" s="637">
        <f>G13/$I$13</f>
        <v>0.52067686070201502</v>
      </c>
      <c r="H14" s="637">
        <f>H13/$I$13</f>
        <v>0</v>
      </c>
      <c r="I14" s="637">
        <f>SUM(E14:H14)</f>
        <v>1</v>
      </c>
    </row>
    <row r="15" spans="1:16" ht="24">
      <c r="C15" s="1338" t="s">
        <v>249</v>
      </c>
      <c r="D15" s="658" t="s">
        <v>797</v>
      </c>
      <c r="E15" s="276">
        <f>'Re-entrants_expected'!C36</f>
        <v>9133.4625495636774</v>
      </c>
      <c r="F15" s="276">
        <f>New_to_SF_sector_expected!C36</f>
        <v>3196.3351148096399</v>
      </c>
      <c r="G15" s="276">
        <f>NQT_entrants_required_inc_UGs!C36</f>
        <v>14033.736963744634</v>
      </c>
      <c r="H15" s="276">
        <f>Entrants_via_other_initiatives!C36</f>
        <v>410</v>
      </c>
      <c r="I15" s="276">
        <f>SUM(E15:H15)</f>
        <v>26773.534628117952</v>
      </c>
    </row>
    <row r="16" spans="1:16">
      <c r="C16" s="1339"/>
      <c r="D16" s="658" t="s">
        <v>796</v>
      </c>
      <c r="E16" s="637">
        <f>E15/$I$15</f>
        <v>0.34113771963346162</v>
      </c>
      <c r="F16" s="637">
        <f>F15/$I$15</f>
        <v>0.11938412911132035</v>
      </c>
      <c r="G16" s="637">
        <f>G15/$I$15</f>
        <v>0.52416452137052538</v>
      </c>
      <c r="H16" s="637">
        <f>H15/$I$15</f>
        <v>1.5313629884692629E-2</v>
      </c>
      <c r="I16" s="637">
        <f>SUM(E16:H16)</f>
        <v>1</v>
      </c>
    </row>
    <row r="18" spans="3:14" ht="40.9" customHeight="1">
      <c r="C18" s="356" t="s">
        <v>59</v>
      </c>
      <c r="D18" s="331" t="s">
        <v>795</v>
      </c>
      <c r="E18" s="331" t="s">
        <v>794</v>
      </c>
      <c r="F18" s="331" t="s">
        <v>793</v>
      </c>
      <c r="G18" s="331" t="s">
        <v>792</v>
      </c>
      <c r="H18" s="1013" t="s">
        <v>1617</v>
      </c>
      <c r="I18" s="331" t="s">
        <v>791</v>
      </c>
    </row>
    <row r="19" spans="3:14">
      <c r="C19" s="319" t="str">
        <f>USER_TESTING_TAB!B34</f>
        <v>Primary</v>
      </c>
      <c r="D19" s="317">
        <f>Primary_2!C106</f>
        <v>25492.593807015372</v>
      </c>
      <c r="E19" s="317">
        <f>'Re-entrants_expected'!C14</f>
        <v>8735.4660878889172</v>
      </c>
      <c r="F19" s="317">
        <f>New_to_SF_sector_expected!C14</f>
        <v>3483.7240045380604</v>
      </c>
      <c r="G19" s="317">
        <f>NQT_entrants_required_inc_UGs!C14</f>
        <v>13273.403714588394</v>
      </c>
      <c r="H19" s="317">
        <f>Entrants_via_other_initiatives!C14</f>
        <v>0</v>
      </c>
      <c r="I19" s="317">
        <f t="shared" ref="I19:I39" si="0">SUM(E19:H19)</f>
        <v>25492.593807015372</v>
      </c>
      <c r="J19" s="302">
        <f t="shared" ref="J19:J39" si="1">I19-D19</f>
        <v>0</v>
      </c>
      <c r="L19" s="657">
        <f t="shared" ref="L19:L38" si="2">G19/I19</f>
        <v>0.52067686070201502</v>
      </c>
      <c r="N19" s="618"/>
    </row>
    <row r="20" spans="3:14">
      <c r="C20" s="319" t="str">
        <f>USER_TESTING_TAB!B35</f>
        <v>Art &amp; Design</v>
      </c>
      <c r="D20" s="317">
        <f>'Art_&amp;_Design_2'!C107</f>
        <v>901.07800660747716</v>
      </c>
      <c r="E20" s="317">
        <f>'Re-entrants_expected'!C15</f>
        <v>323.55460750876074</v>
      </c>
      <c r="F20" s="317">
        <f>New_to_SF_sector_expected!C15</f>
        <v>114.2982529766182</v>
      </c>
      <c r="G20" s="317">
        <f>NQT_entrants_required_inc_UGs!C15</f>
        <v>463.22514612209829</v>
      </c>
      <c r="H20" s="317">
        <f>Entrants_via_other_initiatives!C15</f>
        <v>0</v>
      </c>
      <c r="I20" s="317">
        <f t="shared" si="0"/>
        <v>901.07800660747716</v>
      </c>
      <c r="J20" s="302">
        <f t="shared" si="1"/>
        <v>0</v>
      </c>
      <c r="L20" s="657">
        <f t="shared" si="2"/>
        <v>0.51407885080462956</v>
      </c>
      <c r="N20" s="618"/>
    </row>
    <row r="21" spans="3:14">
      <c r="C21" s="319" t="str">
        <f>USER_TESTING_TAB!B36</f>
        <v>Biology</v>
      </c>
      <c r="D21" s="317">
        <f>Biology_2!C107</f>
        <v>1616.5168720308891</v>
      </c>
      <c r="E21" s="317">
        <f>'Re-entrants_expected'!C16</f>
        <v>580.45083580547771</v>
      </c>
      <c r="F21" s="317">
        <f>New_to_SF_sector_expected!C16</f>
        <v>205.04890034547751</v>
      </c>
      <c r="G21" s="317">
        <f>NQT_entrants_required_inc_UGs!C16</f>
        <v>831.0171358799339</v>
      </c>
      <c r="H21" s="317">
        <f>Entrants_via_other_initiatives!C16</f>
        <v>0</v>
      </c>
      <c r="I21" s="317">
        <f t="shared" si="0"/>
        <v>1616.5168720308891</v>
      </c>
      <c r="J21" s="302">
        <f t="shared" si="1"/>
        <v>0</v>
      </c>
      <c r="L21" s="657">
        <f t="shared" si="2"/>
        <v>0.51407885080462956</v>
      </c>
      <c r="N21" s="618"/>
    </row>
    <row r="22" spans="3:14">
      <c r="C22" s="319" t="str">
        <f>USER_TESTING_TAB!B37</f>
        <v>Business Studies</v>
      </c>
      <c r="D22" s="317">
        <f>Business_Studies_2!C107</f>
        <v>350.31454337488356</v>
      </c>
      <c r="E22" s="317">
        <f>'Re-entrants_expected'!C17</f>
        <v>125.78920332659534</v>
      </c>
      <c r="F22" s="317">
        <f>New_to_SF_sector_expected!C17</f>
        <v>44.436042169979508</v>
      </c>
      <c r="G22" s="317">
        <f>NQT_entrants_required_inc_UGs!C17</f>
        <v>180.08929787830868</v>
      </c>
      <c r="H22" s="317">
        <f>Entrants_via_other_initiatives!C17</f>
        <v>0</v>
      </c>
      <c r="I22" s="317">
        <f t="shared" si="0"/>
        <v>350.31454337488356</v>
      </c>
      <c r="J22" s="302">
        <f t="shared" si="1"/>
        <v>0</v>
      </c>
      <c r="L22" s="657">
        <f t="shared" si="2"/>
        <v>0.51407885080462956</v>
      </c>
      <c r="N22" s="618"/>
    </row>
    <row r="23" spans="3:14">
      <c r="C23" s="319" t="str">
        <f>USER_TESTING_TAB!B38</f>
        <v>Chemistry</v>
      </c>
      <c r="D23" s="317">
        <f>Chemistry_2!C107</f>
        <v>1446.9078103826337</v>
      </c>
      <c r="E23" s="317">
        <f>'Re-entrants_expected'!C18</f>
        <v>519.54845779922357</v>
      </c>
      <c r="F23" s="317">
        <f>New_to_SF_sector_expected!C18</f>
        <v>183.53464820166286</v>
      </c>
      <c r="G23" s="317">
        <f>NQT_entrants_required_inc_UGs!C18</f>
        <v>743.8247043817471</v>
      </c>
      <c r="H23" s="317">
        <f>Entrants_via_other_initiatives!C18</f>
        <v>0</v>
      </c>
      <c r="I23" s="317">
        <f t="shared" si="0"/>
        <v>1446.9078103826337</v>
      </c>
      <c r="J23" s="302">
        <f t="shared" si="1"/>
        <v>0</v>
      </c>
      <c r="L23" s="657">
        <f t="shared" si="2"/>
        <v>0.51407885080462956</v>
      </c>
      <c r="N23" s="618"/>
    </row>
    <row r="24" spans="3:14">
      <c r="C24" s="319" t="str">
        <f>USER_TESTING_TAB!B39</f>
        <v>Classics</v>
      </c>
      <c r="D24" s="317">
        <f>Classics_2!C107</f>
        <v>36.744991908102591</v>
      </c>
      <c r="E24" s="317">
        <f>'Re-entrants_expected'!C19</f>
        <v>13.194208878208421</v>
      </c>
      <c r="F24" s="317">
        <f>New_to_SF_sector_expected!C19</f>
        <v>4.6609598169513768</v>
      </c>
      <c r="G24" s="317">
        <f>NQT_entrants_required_inc_UGs!C19</f>
        <v>18.889823212942794</v>
      </c>
      <c r="H24" s="317">
        <f>Entrants_via_other_initiatives!C19</f>
        <v>0</v>
      </c>
      <c r="I24" s="317">
        <f t="shared" si="0"/>
        <v>36.744991908102591</v>
      </c>
      <c r="J24" s="302">
        <f t="shared" si="1"/>
        <v>0</v>
      </c>
      <c r="L24" s="657">
        <f t="shared" si="2"/>
        <v>0.51407885080462956</v>
      </c>
      <c r="N24" s="618"/>
    </row>
    <row r="25" spans="3:14">
      <c r="C25" s="319" t="str">
        <f>USER_TESTING_TAB!B40</f>
        <v>Computing</v>
      </c>
      <c r="D25" s="317">
        <f>Computing_2!C107</f>
        <v>849.5530840155069</v>
      </c>
      <c r="E25" s="317">
        <f>'Re-entrants_expected'!C20</f>
        <v>305.05329465469345</v>
      </c>
      <c r="F25" s="317">
        <f>New_to_SF_sector_expected!C20</f>
        <v>107.76251623259276</v>
      </c>
      <c r="G25" s="317">
        <f>NQT_entrants_required_inc_UGs!C20</f>
        <v>436.73727312822069</v>
      </c>
      <c r="H25" s="317">
        <f>Entrants_via_other_initiatives!C20</f>
        <v>0</v>
      </c>
      <c r="I25" s="317">
        <f t="shared" si="0"/>
        <v>849.5530840155069</v>
      </c>
      <c r="J25" s="302">
        <f t="shared" si="1"/>
        <v>0</v>
      </c>
      <c r="L25" s="657">
        <f t="shared" si="2"/>
        <v>0.51407885080462956</v>
      </c>
      <c r="N25" s="618"/>
    </row>
    <row r="26" spans="3:14">
      <c r="C26" s="319" t="str">
        <f>USER_TESTING_TAB!B41</f>
        <v>Design &amp; Technology</v>
      </c>
      <c r="D26" s="317">
        <f>'Design_&amp;_Technology_2'!C107</f>
        <v>1227.1310065905341</v>
      </c>
      <c r="E26" s="317">
        <f>'Re-entrants_expected'!C21</f>
        <v>440.63209654188</v>
      </c>
      <c r="F26" s="317">
        <f>New_to_SF_sector_expected!C21</f>
        <v>155.65681239386399</v>
      </c>
      <c r="G26" s="317">
        <f>NQT_entrants_required_inc_UGs!C21</f>
        <v>630.84209765479011</v>
      </c>
      <c r="H26" s="317">
        <f>Entrants_via_other_initiatives!C21</f>
        <v>0</v>
      </c>
      <c r="I26" s="317">
        <f t="shared" si="0"/>
        <v>1227.1310065905341</v>
      </c>
      <c r="J26" s="302">
        <f t="shared" si="1"/>
        <v>0</v>
      </c>
      <c r="L26" s="657">
        <f t="shared" si="2"/>
        <v>0.51407885080462956</v>
      </c>
    </row>
    <row r="27" spans="3:14">
      <c r="C27" s="319" t="str">
        <f>USER_TESTING_TAB!B42</f>
        <v>Drama</v>
      </c>
      <c r="D27" s="317">
        <f>Drama_2!C107</f>
        <v>531.64237814670241</v>
      </c>
      <c r="E27" s="317">
        <f>'Re-entrants_expected'!C22</f>
        <v>190.89950008203101</v>
      </c>
      <c r="F27" s="317">
        <f>New_to_SF_sector_expected!C22</f>
        <v>67.436775267974298</v>
      </c>
      <c r="G27" s="317">
        <f>NQT_entrants_required_inc_UGs!C22</f>
        <v>273.30610279669708</v>
      </c>
      <c r="H27" s="317">
        <f>Entrants_via_other_initiatives!C22</f>
        <v>0</v>
      </c>
      <c r="I27" s="317">
        <f t="shared" si="0"/>
        <v>531.64237814670241</v>
      </c>
      <c r="J27" s="302">
        <f t="shared" si="1"/>
        <v>0</v>
      </c>
      <c r="L27" s="657">
        <f t="shared" si="2"/>
        <v>0.51407885080462956</v>
      </c>
    </row>
    <row r="28" spans="3:14">
      <c r="C28" s="319" t="str">
        <f>USER_TESTING_TAB!B43</f>
        <v>English</v>
      </c>
      <c r="D28" s="317">
        <f>English_2!C107</f>
        <v>3912.914128603627</v>
      </c>
      <c r="E28" s="317">
        <f>'Re-entrants_expected'!C23</f>
        <v>1405.0297375056643</v>
      </c>
      <c r="F28" s="317">
        <f>New_to_SF_sector_expected!C23</f>
        <v>496.33799256821158</v>
      </c>
      <c r="G28" s="317">
        <f>NQT_entrants_required_inc_UGs!C23</f>
        <v>2011.5463985297511</v>
      </c>
      <c r="H28" s="317">
        <f>Entrants_via_other_initiatives!C23</f>
        <v>0</v>
      </c>
      <c r="I28" s="317">
        <f t="shared" si="0"/>
        <v>3912.914128603627</v>
      </c>
      <c r="J28" s="302">
        <f t="shared" si="1"/>
        <v>0</v>
      </c>
      <c r="L28" s="657">
        <f t="shared" si="2"/>
        <v>0.51407885080462956</v>
      </c>
    </row>
    <row r="29" spans="3:14">
      <c r="C29" s="319" t="str">
        <f>USER_TESTING_TAB!B44</f>
        <v>Food</v>
      </c>
      <c r="D29" s="317">
        <f>Food_2!C107</f>
        <v>251.74490173817554</v>
      </c>
      <c r="E29" s="317">
        <f>'Re-entrants_expected'!C24</f>
        <v>90.395306817991326</v>
      </c>
      <c r="F29" s="317">
        <f>New_to_SF_sector_expected!C24</f>
        <v>31.932865138698538</v>
      </c>
      <c r="G29" s="317">
        <f>NQT_entrants_required_inc_UGs!C24</f>
        <v>129.41672978148569</v>
      </c>
      <c r="H29" s="317">
        <f>Entrants_via_other_initiatives!C24</f>
        <v>0</v>
      </c>
      <c r="I29" s="317">
        <f t="shared" si="0"/>
        <v>251.74490173817554</v>
      </c>
      <c r="J29" s="302">
        <f t="shared" si="1"/>
        <v>0</v>
      </c>
      <c r="L29" s="657">
        <f t="shared" si="2"/>
        <v>0.51407885080462956</v>
      </c>
    </row>
    <row r="30" spans="3:14">
      <c r="C30" s="319" t="str">
        <f>USER_TESTING_TAB!B45</f>
        <v>Geography</v>
      </c>
      <c r="D30" s="317">
        <f>Geography_2!C107</f>
        <v>1357.380884855359</v>
      </c>
      <c r="E30" s="317">
        <f>'Re-entrants_expected'!C25</f>
        <v>378.30900000000003</v>
      </c>
      <c r="F30" s="317">
        <f>New_to_SF_sector_expected!C25</f>
        <v>109.94199999999999</v>
      </c>
      <c r="G30" s="317">
        <f>NQT_entrants_required_inc_UGs!C25</f>
        <v>869.1298848553588</v>
      </c>
      <c r="H30" s="317">
        <f>Entrants_via_other_initiatives!C25</f>
        <v>0</v>
      </c>
      <c r="I30" s="317">
        <f t="shared" si="0"/>
        <v>1357.3808848553588</v>
      </c>
      <c r="J30" s="302">
        <f t="shared" si="1"/>
        <v>0</v>
      </c>
      <c r="L30" s="657">
        <f t="shared" si="2"/>
        <v>0.6402991927707693</v>
      </c>
    </row>
    <row r="31" spans="3:14">
      <c r="C31" s="319" t="str">
        <f>USER_TESTING_TAB!B46</f>
        <v>History</v>
      </c>
      <c r="D31" s="317">
        <f>History_2!C107</f>
        <v>1429.9252576724452</v>
      </c>
      <c r="E31" s="317">
        <f>'Re-entrants_expected'!C26</f>
        <v>360.80799999999999</v>
      </c>
      <c r="F31" s="317">
        <f>New_to_SF_sector_expected!C26</f>
        <v>115.697</v>
      </c>
      <c r="G31" s="317">
        <f>NQT_entrants_required_inc_UGs!C26</f>
        <v>953.42025767244536</v>
      </c>
      <c r="H31" s="317">
        <f>Entrants_via_other_initiatives!C26</f>
        <v>0</v>
      </c>
      <c r="I31" s="317">
        <f t="shared" si="0"/>
        <v>1429.9252576724452</v>
      </c>
      <c r="J31" s="302">
        <f t="shared" si="1"/>
        <v>0</v>
      </c>
      <c r="L31" s="657">
        <f t="shared" si="2"/>
        <v>0.66676230282439453</v>
      </c>
    </row>
    <row r="32" spans="3:14">
      <c r="C32" s="319" t="str">
        <f>USER_TESTING_TAB!B47</f>
        <v>Mathematics</v>
      </c>
      <c r="D32" s="317">
        <f>Mathematics_2!C107</f>
        <v>4534.1002153363606</v>
      </c>
      <c r="E32" s="317">
        <f>'Re-entrants_expected'!C27</f>
        <v>1628.0821469628911</v>
      </c>
      <c r="F32" s="317">
        <f>New_to_SF_sector_expected!C27</f>
        <v>575.13304024032993</v>
      </c>
      <c r="G32" s="317">
        <f>NQT_entrants_required_inc_UGs!C27</f>
        <v>2330.8850281331397</v>
      </c>
      <c r="H32" s="317">
        <f>Entrants_via_other_initiatives!C27</f>
        <v>0</v>
      </c>
      <c r="I32" s="317">
        <f t="shared" si="0"/>
        <v>4534.1002153363606</v>
      </c>
      <c r="J32" s="302">
        <f t="shared" si="1"/>
        <v>0</v>
      </c>
      <c r="L32" s="657">
        <f t="shared" si="2"/>
        <v>0.51407885080462956</v>
      </c>
    </row>
    <row r="33" spans="1:12">
      <c r="C33" s="319" t="str">
        <f>USER_TESTING_TAB!B48</f>
        <v>Modern Foreign Languages</v>
      </c>
      <c r="D33" s="317">
        <f>Modern_Foreign_Languages_2!C107</f>
        <v>2397.1091773555454</v>
      </c>
      <c r="E33" s="317">
        <f>'Re-entrants_expected'!C28</f>
        <v>642.23199999999997</v>
      </c>
      <c r="F33" s="317">
        <f>New_to_SF_sector_expected!C28</f>
        <v>232.2</v>
      </c>
      <c r="G33" s="317">
        <f>NQT_entrants_required_inc_UGs!C28</f>
        <v>1112.6771773555456</v>
      </c>
      <c r="H33" s="317">
        <f>Entrants_via_other_initiatives!C28</f>
        <v>410</v>
      </c>
      <c r="I33" s="317">
        <f t="shared" si="0"/>
        <v>2397.1091773555454</v>
      </c>
      <c r="J33" s="302">
        <f t="shared" si="1"/>
        <v>0</v>
      </c>
      <c r="K33" s="302">
        <f>G33/I33</f>
        <v>0.46417459324194582</v>
      </c>
      <c r="L33" s="657">
        <f t="shared" si="2"/>
        <v>0.46417459324194582</v>
      </c>
    </row>
    <row r="34" spans="1:12">
      <c r="C34" s="319" t="str">
        <f>USER_TESTING_TAB!B49</f>
        <v>Music</v>
      </c>
      <c r="D34" s="317">
        <f>Music_2!C107</f>
        <v>583.35285853253015</v>
      </c>
      <c r="E34" s="317">
        <f>'Re-entrants_expected'!C29</f>
        <v>209.46744210551702</v>
      </c>
      <c r="F34" s="317">
        <f>New_to_SF_sector_expected!C29</f>
        <v>73.996049299014402</v>
      </c>
      <c r="G34" s="317">
        <f>NQT_entrants_required_inc_UGs!C29</f>
        <v>299.88936712799875</v>
      </c>
      <c r="H34" s="317">
        <f>Entrants_via_other_initiatives!C29</f>
        <v>0</v>
      </c>
      <c r="I34" s="317">
        <f t="shared" si="0"/>
        <v>583.35285853253015</v>
      </c>
      <c r="J34" s="302">
        <f t="shared" si="1"/>
        <v>0</v>
      </c>
      <c r="L34" s="657">
        <f t="shared" si="2"/>
        <v>0.51407885080462956</v>
      </c>
    </row>
    <row r="35" spans="1:12">
      <c r="C35" s="319" t="str">
        <f>USER_TESTING_TAB!B50</f>
        <v>Others</v>
      </c>
      <c r="D35" s="317">
        <f>Others_2!C107</f>
        <v>1264.3565472365167</v>
      </c>
      <c r="E35" s="317">
        <f>'Re-entrants_expected'!C30</f>
        <v>453.99885847002804</v>
      </c>
      <c r="F35" s="317">
        <f>New_to_SF_sector_expected!C30</f>
        <v>160.37872795583081</v>
      </c>
      <c r="G35" s="317">
        <f>NQT_entrants_required_inc_UGs!C30</f>
        <v>649.9789608106579</v>
      </c>
      <c r="H35" s="317">
        <f>Entrants_via_other_initiatives!C30</f>
        <v>0</v>
      </c>
      <c r="I35" s="317">
        <f t="shared" si="0"/>
        <v>1264.3565472365167</v>
      </c>
      <c r="J35" s="302">
        <f t="shared" si="1"/>
        <v>0</v>
      </c>
      <c r="L35" s="657">
        <f t="shared" si="2"/>
        <v>0.51407885080462956</v>
      </c>
    </row>
    <row r="36" spans="1:12">
      <c r="C36" s="319" t="str">
        <f>USER_TESTING_TAB!B51</f>
        <v>Physical Education</v>
      </c>
      <c r="D36" s="317">
        <f>Physical_Education_2!C107</f>
        <v>1679.0326689226463</v>
      </c>
      <c r="E36" s="317">
        <f>'Re-entrants_expected'!C31</f>
        <v>602.898697120576</v>
      </c>
      <c r="F36" s="317">
        <f>New_to_SF_sector_expected!C31</f>
        <v>212.97878689888623</v>
      </c>
      <c r="G36" s="317">
        <f>NQT_entrants_required_inc_UGs!C31</f>
        <v>863.15518490318414</v>
      </c>
      <c r="H36" s="317">
        <f>Entrants_via_other_initiatives!C31</f>
        <v>0</v>
      </c>
      <c r="I36" s="317">
        <f t="shared" si="0"/>
        <v>1679.0326689226463</v>
      </c>
      <c r="J36" s="302">
        <f t="shared" si="1"/>
        <v>0</v>
      </c>
      <c r="L36" s="657">
        <f t="shared" si="2"/>
        <v>0.51407885080462956</v>
      </c>
    </row>
    <row r="37" spans="1:12">
      <c r="C37" s="319" t="str">
        <f>USER_TESTING_TAB!B52</f>
        <v>Physics</v>
      </c>
      <c r="D37" s="317">
        <f>Physics_2!C107</f>
        <v>1550.8624100000545</v>
      </c>
      <c r="E37" s="317">
        <f>'Re-entrants_expected'!C32</f>
        <v>556.87595822793719</v>
      </c>
      <c r="F37" s="317">
        <f>New_to_SF_sector_expected!C32</f>
        <v>196.72088628319108</v>
      </c>
      <c r="G37" s="317">
        <f>NQT_entrants_required_inc_UGs!C32</f>
        <v>797.26556548892631</v>
      </c>
      <c r="H37" s="317">
        <f>Entrants_via_other_initiatives!C32</f>
        <v>0</v>
      </c>
      <c r="I37" s="317">
        <f t="shared" si="0"/>
        <v>1550.8624100000545</v>
      </c>
      <c r="J37" s="302">
        <f t="shared" si="1"/>
        <v>0</v>
      </c>
      <c r="L37" s="657">
        <f t="shared" si="2"/>
        <v>0.51407885080462956</v>
      </c>
    </row>
    <row r="38" spans="1:12">
      <c r="C38" s="319" t="str">
        <f>USER_TESTING_TAB!B53</f>
        <v>Religious Education</v>
      </c>
      <c r="D38" s="317">
        <f>Religious_Education_2!C107</f>
        <v>852.8668848079551</v>
      </c>
      <c r="E38" s="317">
        <f>'Re-entrants_expected'!C33</f>
        <v>306.24319775620131</v>
      </c>
      <c r="F38" s="317">
        <f>New_to_SF_sector_expected!C33</f>
        <v>108.18285902035581</v>
      </c>
      <c r="G38" s="317">
        <f>NQT_entrants_required_inc_UGs!C33</f>
        <v>438.44082803139793</v>
      </c>
      <c r="H38" s="317">
        <f>Entrants_via_other_initiatives!C33</f>
        <v>0</v>
      </c>
      <c r="I38" s="317">
        <f t="shared" si="0"/>
        <v>852.8668848079551</v>
      </c>
      <c r="J38" s="302">
        <f t="shared" si="1"/>
        <v>0</v>
      </c>
      <c r="L38" s="657">
        <f t="shared" si="2"/>
        <v>0.51407885080462956</v>
      </c>
    </row>
    <row r="39" spans="1:12">
      <c r="C39" s="319" t="s">
        <v>8</v>
      </c>
      <c r="D39" s="317">
        <f>SUM(D19:D38)</f>
        <v>52266.128435133316</v>
      </c>
      <c r="E39" s="317">
        <f>SUM(E19:E38)</f>
        <v>17868.928637452595</v>
      </c>
      <c r="F39" s="317">
        <f>SUM(F19:F38)</f>
        <v>6680.0591193477003</v>
      </c>
      <c r="G39" s="317">
        <f>SUM(G19:G38)</f>
        <v>27307.140678333028</v>
      </c>
      <c r="H39" s="317">
        <f>SUM(H19:H38)</f>
        <v>410</v>
      </c>
      <c r="I39" s="317">
        <f t="shared" si="0"/>
        <v>52266.128435133323</v>
      </c>
      <c r="J39" s="302">
        <f t="shared" si="1"/>
        <v>0</v>
      </c>
    </row>
    <row r="40" spans="1:12">
      <c r="A40" s="302">
        <f>J40</f>
        <v>0</v>
      </c>
      <c r="J40" s="302">
        <f>SUM(J19:J39)</f>
        <v>0</v>
      </c>
    </row>
    <row r="70" spans="3:13">
      <c r="C70" s="334" t="s">
        <v>1033</v>
      </c>
    </row>
    <row r="72" spans="3:13">
      <c r="C72" s="356" t="s">
        <v>59</v>
      </c>
      <c r="D72" s="319" t="str">
        <f>NQT_entrants_required_inc_UGs!C13</f>
        <v>2019/20</v>
      </c>
      <c r="E72" s="319" t="str">
        <f>NQT_entrants_required_inc_UGs!D13</f>
        <v>2020/21</v>
      </c>
      <c r="F72" s="319" t="str">
        <f>NQT_entrants_required_inc_UGs!E13</f>
        <v>2021/22</v>
      </c>
      <c r="G72" s="319" t="str">
        <f>NQT_entrants_required_inc_UGs!F13</f>
        <v>2022/23</v>
      </c>
      <c r="H72" s="319" t="str">
        <f>NQT_entrants_required_inc_UGs!G13</f>
        <v>2023/24</v>
      </c>
      <c r="I72" s="319" t="str">
        <f>NQT_entrants_required_inc_UGs!H13</f>
        <v>2024/25</v>
      </c>
      <c r="J72" s="319" t="str">
        <f>NQT_entrants_required_inc_UGs!I13</f>
        <v>2025/26</v>
      </c>
      <c r="K72" s="319" t="str">
        <f>NQT_entrants_required_inc_UGs!J13</f>
        <v>2026/27</v>
      </c>
      <c r="L72" s="319" t="str">
        <f>NQT_entrants_required_inc_UGs!K13</f>
        <v>2027/28</v>
      </c>
      <c r="M72" s="319" t="str">
        <f>NQT_entrants_required_inc_UGs!L13</f>
        <v>2028/29</v>
      </c>
    </row>
    <row r="73" spans="3:13">
      <c r="C73" s="319" t="str">
        <f>USER_TESTING_TAB!B88</f>
        <v>Primary</v>
      </c>
      <c r="D73" s="406">
        <f>NQT_entrants_required_inc_UGs!C14/(NQT_entrants_required_inc_UGs!C14+New_to_SF_sector_expected!C14+'Re-entrants_expected'!C14+Entrants_via_other_initiatives!C14)</f>
        <v>0.52067686070201502</v>
      </c>
      <c r="E73" s="406">
        <f>NQT_entrants_required_inc_UGs!D14/(NQT_entrants_required_inc_UGs!D14+New_to_SF_sector_expected!D14+'Re-entrants_expected'!D14+Entrants_via_other_initiatives!D14)</f>
        <v>0.52067686070201513</v>
      </c>
      <c r="F73" s="406">
        <f>NQT_entrants_required_inc_UGs!E14/(NQT_entrants_required_inc_UGs!E14+New_to_SF_sector_expected!E14+'Re-entrants_expected'!E14+Entrants_via_other_initiatives!E14)</f>
        <v>0.52067686070201502</v>
      </c>
      <c r="G73" s="406">
        <f>NQT_entrants_required_inc_UGs!F14/(NQT_entrants_required_inc_UGs!F14+New_to_SF_sector_expected!F14+'Re-entrants_expected'!F14+Entrants_via_other_initiatives!F14)</f>
        <v>0.52067686070201502</v>
      </c>
      <c r="H73" s="406">
        <f>NQT_entrants_required_inc_UGs!G14/(NQT_entrants_required_inc_UGs!G14+New_to_SF_sector_expected!G14+'Re-entrants_expected'!G14+Entrants_via_other_initiatives!G14)</f>
        <v>0.52067686070201502</v>
      </c>
      <c r="I73" s="406">
        <f>NQT_entrants_required_inc_UGs!H14/(NQT_entrants_required_inc_UGs!H14+New_to_SF_sector_expected!H14+'Re-entrants_expected'!H14+Entrants_via_other_initiatives!H14)</f>
        <v>0.52067686070201502</v>
      </c>
      <c r="J73" s="406">
        <f>NQT_entrants_required_inc_UGs!I14/(NQT_entrants_required_inc_UGs!I14+New_to_SF_sector_expected!I14+'Re-entrants_expected'!I14+Entrants_via_other_initiatives!I14)</f>
        <v>0.52067686070201502</v>
      </c>
      <c r="K73" s="406">
        <f>NQT_entrants_required_inc_UGs!J14/(NQT_entrants_required_inc_UGs!J14+New_to_SF_sector_expected!J14+'Re-entrants_expected'!J14+Entrants_via_other_initiatives!J14)</f>
        <v>0.52067686070201502</v>
      </c>
      <c r="L73" s="406">
        <f>NQT_entrants_required_inc_UGs!K14/(NQT_entrants_required_inc_UGs!K14+New_to_SF_sector_expected!K14+'Re-entrants_expected'!K14+Entrants_via_other_initiatives!K14)</f>
        <v>0.52067686070201502</v>
      </c>
      <c r="M73" s="406">
        <f>NQT_entrants_required_inc_UGs!L14/(NQT_entrants_required_inc_UGs!L14+New_to_SF_sector_expected!L14+'Re-entrants_expected'!L14+Entrants_via_other_initiatives!L14)</f>
        <v>0.52067686070201502</v>
      </c>
    </row>
    <row r="74" spans="3:13">
      <c r="C74" s="319" t="str">
        <f>USER_TESTING_TAB!B89</f>
        <v>Art &amp; Design</v>
      </c>
      <c r="D74" s="406">
        <f>NQT_entrants_required_inc_UGs!C15/(NQT_entrants_required_inc_UGs!C15+New_to_SF_sector_expected!C15+'Re-entrants_expected'!C15+Entrants_via_other_initiatives!C15)</f>
        <v>0.51407885080462956</v>
      </c>
      <c r="E74" s="406">
        <f>NQT_entrants_required_inc_UGs!D15/(NQT_entrants_required_inc_UGs!D15+New_to_SF_sector_expected!D15+'Re-entrants_expected'!D15+Entrants_via_other_initiatives!D15)</f>
        <v>0.51407885080462956</v>
      </c>
      <c r="F74" s="406">
        <f>NQT_entrants_required_inc_UGs!E15/(NQT_entrants_required_inc_UGs!E15+New_to_SF_sector_expected!E15+'Re-entrants_expected'!E15+Entrants_via_other_initiatives!E15)</f>
        <v>0.51407885080462956</v>
      </c>
      <c r="G74" s="406">
        <f>NQT_entrants_required_inc_UGs!F15/(NQT_entrants_required_inc_UGs!F15+New_to_SF_sector_expected!F15+'Re-entrants_expected'!F15+Entrants_via_other_initiatives!F15)</f>
        <v>0.51407885080462956</v>
      </c>
      <c r="H74" s="406">
        <f>NQT_entrants_required_inc_UGs!G15/(NQT_entrants_required_inc_UGs!G15+New_to_SF_sector_expected!G15+'Re-entrants_expected'!G15+Entrants_via_other_initiatives!G15)</f>
        <v>0.51407885080462967</v>
      </c>
      <c r="I74" s="406">
        <f>NQT_entrants_required_inc_UGs!H15/(NQT_entrants_required_inc_UGs!H15+New_to_SF_sector_expected!H15+'Re-entrants_expected'!H15+Entrants_via_other_initiatives!H15)</f>
        <v>0.51407885080462956</v>
      </c>
      <c r="J74" s="406">
        <f>NQT_entrants_required_inc_UGs!I15/(NQT_entrants_required_inc_UGs!I15+New_to_SF_sector_expected!I15+'Re-entrants_expected'!I15+Entrants_via_other_initiatives!I15)</f>
        <v>0.51407885080462956</v>
      </c>
      <c r="K74" s="406">
        <f>NQT_entrants_required_inc_UGs!J15/(NQT_entrants_required_inc_UGs!J15+New_to_SF_sector_expected!J15+'Re-entrants_expected'!J15+Entrants_via_other_initiatives!J15)</f>
        <v>0.51407885080462956</v>
      </c>
      <c r="L74" s="406">
        <f>NQT_entrants_required_inc_UGs!K15/(NQT_entrants_required_inc_UGs!K15+New_to_SF_sector_expected!K15+'Re-entrants_expected'!K15+Entrants_via_other_initiatives!K15)</f>
        <v>0.51407885080462956</v>
      </c>
      <c r="M74" s="406">
        <f>NQT_entrants_required_inc_UGs!L15/(NQT_entrants_required_inc_UGs!L15+New_to_SF_sector_expected!L15+'Re-entrants_expected'!L15+Entrants_via_other_initiatives!L15)</f>
        <v>0.51407885080462956</v>
      </c>
    </row>
    <row r="75" spans="3:13">
      <c r="C75" s="319" t="str">
        <f>USER_TESTING_TAB!B90</f>
        <v>Biology</v>
      </c>
      <c r="D75" s="406">
        <f>NQT_entrants_required_inc_UGs!C16/(NQT_entrants_required_inc_UGs!C16+New_to_SF_sector_expected!C16+'Re-entrants_expected'!C16+Entrants_via_other_initiatives!C16)</f>
        <v>0.51407885080462956</v>
      </c>
      <c r="E75" s="406">
        <f>NQT_entrants_required_inc_UGs!D16/(NQT_entrants_required_inc_UGs!D16+New_to_SF_sector_expected!D16+'Re-entrants_expected'!D16+Entrants_via_other_initiatives!D16)</f>
        <v>0.51407885080462956</v>
      </c>
      <c r="F75" s="406">
        <f>NQT_entrants_required_inc_UGs!E16/(NQT_entrants_required_inc_UGs!E16+New_to_SF_sector_expected!E16+'Re-entrants_expected'!E16+Entrants_via_other_initiatives!E16)</f>
        <v>0.51407885080462956</v>
      </c>
      <c r="G75" s="406">
        <f>NQT_entrants_required_inc_UGs!F16/(NQT_entrants_required_inc_UGs!F16+New_to_SF_sector_expected!F16+'Re-entrants_expected'!F16+Entrants_via_other_initiatives!F16)</f>
        <v>0.51407885080462956</v>
      </c>
      <c r="H75" s="406">
        <f>NQT_entrants_required_inc_UGs!G16/(NQT_entrants_required_inc_UGs!G16+New_to_SF_sector_expected!G16+'Re-entrants_expected'!G16+Entrants_via_other_initiatives!G16)</f>
        <v>0.51407885080462967</v>
      </c>
      <c r="I75" s="406">
        <f>NQT_entrants_required_inc_UGs!H16/(NQT_entrants_required_inc_UGs!H16+New_to_SF_sector_expected!H16+'Re-entrants_expected'!H16+Entrants_via_other_initiatives!H16)</f>
        <v>0.51407885080462956</v>
      </c>
      <c r="J75" s="406">
        <f>NQT_entrants_required_inc_UGs!I16/(NQT_entrants_required_inc_UGs!I16+New_to_SF_sector_expected!I16+'Re-entrants_expected'!I16+Entrants_via_other_initiatives!I16)</f>
        <v>0.51407885080462956</v>
      </c>
      <c r="K75" s="406">
        <f>NQT_entrants_required_inc_UGs!J16/(NQT_entrants_required_inc_UGs!J16+New_to_SF_sector_expected!J16+'Re-entrants_expected'!J16+Entrants_via_other_initiatives!J16)</f>
        <v>0.51407885080462956</v>
      </c>
      <c r="L75" s="406">
        <f>NQT_entrants_required_inc_UGs!K16/(NQT_entrants_required_inc_UGs!K16+New_to_SF_sector_expected!K16+'Re-entrants_expected'!K16+Entrants_via_other_initiatives!K16)</f>
        <v>0.51407885080462967</v>
      </c>
      <c r="M75" s="406">
        <f>NQT_entrants_required_inc_UGs!L16/(NQT_entrants_required_inc_UGs!L16+New_to_SF_sector_expected!L16+'Re-entrants_expected'!L16+Entrants_via_other_initiatives!L16)</f>
        <v>0.51407885080462956</v>
      </c>
    </row>
    <row r="76" spans="3:13">
      <c r="C76" s="319" t="str">
        <f>USER_TESTING_TAB!B91</f>
        <v>Business Studies</v>
      </c>
      <c r="D76" s="406">
        <f>NQT_entrants_required_inc_UGs!C17/(NQT_entrants_required_inc_UGs!C17+New_to_SF_sector_expected!C17+'Re-entrants_expected'!C17+Entrants_via_other_initiatives!C17)</f>
        <v>0.51407885080462956</v>
      </c>
      <c r="E76" s="406">
        <f>NQT_entrants_required_inc_UGs!D17/(NQT_entrants_required_inc_UGs!D17+New_to_SF_sector_expected!D17+'Re-entrants_expected'!D17+Entrants_via_other_initiatives!D17)</f>
        <v>0.51407885080462956</v>
      </c>
      <c r="F76" s="406">
        <f>NQT_entrants_required_inc_UGs!E17/(NQT_entrants_required_inc_UGs!E17+New_to_SF_sector_expected!E17+'Re-entrants_expected'!E17+Entrants_via_other_initiatives!E17)</f>
        <v>0.51407885080462967</v>
      </c>
      <c r="G76" s="406">
        <f>NQT_entrants_required_inc_UGs!F17/(NQT_entrants_required_inc_UGs!F17+New_to_SF_sector_expected!F17+'Re-entrants_expected'!F17+Entrants_via_other_initiatives!F17)</f>
        <v>0.51407885080462956</v>
      </c>
      <c r="H76" s="406">
        <f>NQT_entrants_required_inc_UGs!G17/(NQT_entrants_required_inc_UGs!G17+New_to_SF_sector_expected!G17+'Re-entrants_expected'!G17+Entrants_via_other_initiatives!G17)</f>
        <v>0.51407885080462956</v>
      </c>
      <c r="I76" s="406">
        <f>NQT_entrants_required_inc_UGs!H17/(NQT_entrants_required_inc_UGs!H17+New_to_SF_sector_expected!H17+'Re-entrants_expected'!H17+Entrants_via_other_initiatives!H17)</f>
        <v>0.51407885080462956</v>
      </c>
      <c r="J76" s="406">
        <f>NQT_entrants_required_inc_UGs!I17/(NQT_entrants_required_inc_UGs!I17+New_to_SF_sector_expected!I17+'Re-entrants_expected'!I17+Entrants_via_other_initiatives!I17)</f>
        <v>0.51407885080462956</v>
      </c>
      <c r="K76" s="406">
        <f>NQT_entrants_required_inc_UGs!J17/(NQT_entrants_required_inc_UGs!J17+New_to_SF_sector_expected!J17+'Re-entrants_expected'!J17+Entrants_via_other_initiatives!J17)</f>
        <v>0.51407885080462956</v>
      </c>
      <c r="L76" s="406">
        <f>NQT_entrants_required_inc_UGs!K17/(NQT_entrants_required_inc_UGs!K17+New_to_SF_sector_expected!K17+'Re-entrants_expected'!K17+Entrants_via_other_initiatives!K17)</f>
        <v>0.51407885080462956</v>
      </c>
      <c r="M76" s="406">
        <f>NQT_entrants_required_inc_UGs!L17/(NQT_entrants_required_inc_UGs!L17+New_to_SF_sector_expected!L17+'Re-entrants_expected'!L17+Entrants_via_other_initiatives!L17)</f>
        <v>0.51407885080462956</v>
      </c>
    </row>
    <row r="77" spans="3:13">
      <c r="C77" s="319" t="str">
        <f>USER_TESTING_TAB!B92</f>
        <v>Chemistry</v>
      </c>
      <c r="D77" s="406">
        <f>NQT_entrants_required_inc_UGs!C18/(NQT_entrants_required_inc_UGs!C18+New_to_SF_sector_expected!C18+'Re-entrants_expected'!C18+Entrants_via_other_initiatives!C18)</f>
        <v>0.51407885080462956</v>
      </c>
      <c r="E77" s="406">
        <f>NQT_entrants_required_inc_UGs!D18/(NQT_entrants_required_inc_UGs!D18+New_to_SF_sector_expected!D18+'Re-entrants_expected'!D18+Entrants_via_other_initiatives!D18)</f>
        <v>0.51407885080462956</v>
      </c>
      <c r="F77" s="406">
        <f>NQT_entrants_required_inc_UGs!E18/(NQT_entrants_required_inc_UGs!E18+New_to_SF_sector_expected!E18+'Re-entrants_expected'!E18+Entrants_via_other_initiatives!E18)</f>
        <v>0.51407885080462956</v>
      </c>
      <c r="G77" s="406">
        <f>NQT_entrants_required_inc_UGs!F18/(NQT_entrants_required_inc_UGs!F18+New_to_SF_sector_expected!F18+'Re-entrants_expected'!F18+Entrants_via_other_initiatives!F18)</f>
        <v>0.51407885080462956</v>
      </c>
      <c r="H77" s="406">
        <f>NQT_entrants_required_inc_UGs!G18/(NQT_entrants_required_inc_UGs!G18+New_to_SF_sector_expected!G18+'Re-entrants_expected'!G18+Entrants_via_other_initiatives!G18)</f>
        <v>0.51407885080462956</v>
      </c>
      <c r="I77" s="406">
        <f>NQT_entrants_required_inc_UGs!H18/(NQT_entrants_required_inc_UGs!H18+New_to_SF_sector_expected!H18+'Re-entrants_expected'!H18+Entrants_via_other_initiatives!H18)</f>
        <v>0.51407885080462956</v>
      </c>
      <c r="J77" s="406">
        <f>NQT_entrants_required_inc_UGs!I18/(NQT_entrants_required_inc_UGs!I18+New_to_SF_sector_expected!I18+'Re-entrants_expected'!I18+Entrants_via_other_initiatives!I18)</f>
        <v>0.51407885080462956</v>
      </c>
      <c r="K77" s="406">
        <f>NQT_entrants_required_inc_UGs!J18/(NQT_entrants_required_inc_UGs!J18+New_to_SF_sector_expected!J18+'Re-entrants_expected'!J18+Entrants_via_other_initiatives!J18)</f>
        <v>0.51407885080462956</v>
      </c>
      <c r="L77" s="406">
        <f>NQT_entrants_required_inc_UGs!K18/(NQT_entrants_required_inc_UGs!K18+New_to_SF_sector_expected!K18+'Re-entrants_expected'!K18+Entrants_via_other_initiatives!K18)</f>
        <v>0.51407885080462956</v>
      </c>
      <c r="M77" s="406">
        <f>NQT_entrants_required_inc_UGs!L18/(NQT_entrants_required_inc_UGs!L18+New_to_SF_sector_expected!L18+'Re-entrants_expected'!L18+Entrants_via_other_initiatives!L18)</f>
        <v>0.51407885080462956</v>
      </c>
    </row>
    <row r="78" spans="3:13">
      <c r="C78" s="319" t="str">
        <f>USER_TESTING_TAB!B93</f>
        <v>Classics</v>
      </c>
      <c r="D78" s="406">
        <f>NQT_entrants_required_inc_UGs!C19/(NQT_entrants_required_inc_UGs!C19+New_to_SF_sector_expected!C19+'Re-entrants_expected'!C19+Entrants_via_other_initiatives!C19)</f>
        <v>0.51407885080462956</v>
      </c>
      <c r="E78" s="406">
        <f>NQT_entrants_required_inc_UGs!D19/(NQT_entrants_required_inc_UGs!D19+New_to_SF_sector_expected!D19+'Re-entrants_expected'!D19+Entrants_via_other_initiatives!D19)</f>
        <v>0.51407885080462956</v>
      </c>
      <c r="F78" s="406">
        <f>NQT_entrants_required_inc_UGs!E19/(NQT_entrants_required_inc_UGs!E19+New_to_SF_sector_expected!E19+'Re-entrants_expected'!E19+Entrants_via_other_initiatives!E19)</f>
        <v>0.51407885080462956</v>
      </c>
      <c r="G78" s="406">
        <f>NQT_entrants_required_inc_UGs!F19/(NQT_entrants_required_inc_UGs!F19+New_to_SF_sector_expected!F19+'Re-entrants_expected'!F19+Entrants_via_other_initiatives!F19)</f>
        <v>0.51407885080462956</v>
      </c>
      <c r="H78" s="406">
        <f>NQT_entrants_required_inc_UGs!G19/(NQT_entrants_required_inc_UGs!G19+New_to_SF_sector_expected!G19+'Re-entrants_expected'!G19+Entrants_via_other_initiatives!G19)</f>
        <v>0.51407885080462956</v>
      </c>
      <c r="I78" s="406">
        <f>NQT_entrants_required_inc_UGs!H19/(NQT_entrants_required_inc_UGs!H19+New_to_SF_sector_expected!H19+'Re-entrants_expected'!H19+Entrants_via_other_initiatives!H19)</f>
        <v>0.51407885080462956</v>
      </c>
      <c r="J78" s="406">
        <f>NQT_entrants_required_inc_UGs!I19/(NQT_entrants_required_inc_UGs!I19+New_to_SF_sector_expected!I19+'Re-entrants_expected'!I19+Entrants_via_other_initiatives!I19)</f>
        <v>0.51407885080462967</v>
      </c>
      <c r="K78" s="406">
        <f>NQT_entrants_required_inc_UGs!J19/(NQT_entrants_required_inc_UGs!J19+New_to_SF_sector_expected!J19+'Re-entrants_expected'!J19+Entrants_via_other_initiatives!J19)</f>
        <v>0.51407885080462956</v>
      </c>
      <c r="L78" s="406">
        <f>NQT_entrants_required_inc_UGs!K19/(NQT_entrants_required_inc_UGs!K19+New_to_SF_sector_expected!K19+'Re-entrants_expected'!K19+Entrants_via_other_initiatives!K19)</f>
        <v>0.51407885080462956</v>
      </c>
      <c r="M78" s="406">
        <f>NQT_entrants_required_inc_UGs!L19/(NQT_entrants_required_inc_UGs!L19+New_to_SF_sector_expected!L19+'Re-entrants_expected'!L19+Entrants_via_other_initiatives!L19)</f>
        <v>0.51407885080462956</v>
      </c>
    </row>
    <row r="79" spans="3:13">
      <c r="C79" s="319" t="str">
        <f>USER_TESTING_TAB!B94</f>
        <v>Computing</v>
      </c>
      <c r="D79" s="406">
        <f>NQT_entrants_required_inc_UGs!C20/(NQT_entrants_required_inc_UGs!C20+New_to_SF_sector_expected!C20+'Re-entrants_expected'!C20+Entrants_via_other_initiatives!C20)</f>
        <v>0.51407885080462956</v>
      </c>
      <c r="E79" s="406">
        <f>NQT_entrants_required_inc_UGs!D20/(NQT_entrants_required_inc_UGs!D20+New_to_SF_sector_expected!D20+'Re-entrants_expected'!D20+Entrants_via_other_initiatives!D20)</f>
        <v>0.51407885080462956</v>
      </c>
      <c r="F79" s="406">
        <f>NQT_entrants_required_inc_UGs!E20/(NQT_entrants_required_inc_UGs!E20+New_to_SF_sector_expected!E20+'Re-entrants_expected'!E20+Entrants_via_other_initiatives!E20)</f>
        <v>0.51407885080462956</v>
      </c>
      <c r="G79" s="406">
        <f>NQT_entrants_required_inc_UGs!F20/(NQT_entrants_required_inc_UGs!F20+New_to_SF_sector_expected!F20+'Re-entrants_expected'!F20+Entrants_via_other_initiatives!F20)</f>
        <v>0.51407885080462956</v>
      </c>
      <c r="H79" s="406">
        <f>NQT_entrants_required_inc_UGs!G20/(NQT_entrants_required_inc_UGs!G20+New_to_SF_sector_expected!G20+'Re-entrants_expected'!G20+Entrants_via_other_initiatives!G20)</f>
        <v>0.51407885080462956</v>
      </c>
      <c r="I79" s="406">
        <f>NQT_entrants_required_inc_UGs!H20/(NQT_entrants_required_inc_UGs!H20+New_to_SF_sector_expected!H20+'Re-entrants_expected'!H20+Entrants_via_other_initiatives!H20)</f>
        <v>0.51407885080462967</v>
      </c>
      <c r="J79" s="406">
        <f>NQT_entrants_required_inc_UGs!I20/(NQT_entrants_required_inc_UGs!I20+New_to_SF_sector_expected!I20+'Re-entrants_expected'!I20+Entrants_via_other_initiatives!I20)</f>
        <v>0.51407885080462956</v>
      </c>
      <c r="K79" s="406">
        <f>NQT_entrants_required_inc_UGs!J20/(NQT_entrants_required_inc_UGs!J20+New_to_SF_sector_expected!J20+'Re-entrants_expected'!J20+Entrants_via_other_initiatives!J20)</f>
        <v>0.51407885080462956</v>
      </c>
      <c r="L79" s="406">
        <f>NQT_entrants_required_inc_UGs!K20/(NQT_entrants_required_inc_UGs!K20+New_to_SF_sector_expected!K20+'Re-entrants_expected'!K20+Entrants_via_other_initiatives!K20)</f>
        <v>0.51407885080462956</v>
      </c>
      <c r="M79" s="406">
        <f>NQT_entrants_required_inc_UGs!L20/(NQT_entrants_required_inc_UGs!L20+New_to_SF_sector_expected!L20+'Re-entrants_expected'!L20+Entrants_via_other_initiatives!L20)</f>
        <v>0.51407885080462956</v>
      </c>
    </row>
    <row r="80" spans="3:13">
      <c r="C80" s="319" t="str">
        <f>USER_TESTING_TAB!B95</f>
        <v>Design &amp; Technology</v>
      </c>
      <c r="D80" s="406">
        <f>NQT_entrants_required_inc_UGs!C21/(NQT_entrants_required_inc_UGs!C21+New_to_SF_sector_expected!C21+'Re-entrants_expected'!C21+Entrants_via_other_initiatives!C21)</f>
        <v>0.51407885080462956</v>
      </c>
      <c r="E80" s="406">
        <f>NQT_entrants_required_inc_UGs!D21/(NQT_entrants_required_inc_UGs!D21+New_to_SF_sector_expected!D21+'Re-entrants_expected'!D21+Entrants_via_other_initiatives!D21)</f>
        <v>0.51407885080462956</v>
      </c>
      <c r="F80" s="406">
        <f>NQT_entrants_required_inc_UGs!E21/(NQT_entrants_required_inc_UGs!E21+New_to_SF_sector_expected!E21+'Re-entrants_expected'!E21+Entrants_via_other_initiatives!E21)</f>
        <v>0.51407885080462945</v>
      </c>
      <c r="G80" s="406">
        <f>NQT_entrants_required_inc_UGs!F21/(NQT_entrants_required_inc_UGs!F21+New_to_SF_sector_expected!F21+'Re-entrants_expected'!F21+Entrants_via_other_initiatives!F21)</f>
        <v>0.51407885080462956</v>
      </c>
      <c r="H80" s="406">
        <f>NQT_entrants_required_inc_UGs!G21/(NQT_entrants_required_inc_UGs!G21+New_to_SF_sector_expected!G21+'Re-entrants_expected'!G21+Entrants_via_other_initiatives!G21)</f>
        <v>0.51407885080462956</v>
      </c>
      <c r="I80" s="406">
        <f>NQT_entrants_required_inc_UGs!H21/(NQT_entrants_required_inc_UGs!H21+New_to_SF_sector_expected!H21+'Re-entrants_expected'!H21+Entrants_via_other_initiatives!H21)</f>
        <v>0.51407885080462956</v>
      </c>
      <c r="J80" s="406">
        <f>NQT_entrants_required_inc_UGs!I21/(NQT_entrants_required_inc_UGs!I21+New_to_SF_sector_expected!I21+'Re-entrants_expected'!I21+Entrants_via_other_initiatives!I21)</f>
        <v>0.51407885080462956</v>
      </c>
      <c r="K80" s="406">
        <f>NQT_entrants_required_inc_UGs!J21/(NQT_entrants_required_inc_UGs!J21+New_to_SF_sector_expected!J21+'Re-entrants_expected'!J21+Entrants_via_other_initiatives!J21)</f>
        <v>0.51407885080462956</v>
      </c>
      <c r="L80" s="406">
        <f>NQT_entrants_required_inc_UGs!K21/(NQT_entrants_required_inc_UGs!K21+New_to_SF_sector_expected!K21+'Re-entrants_expected'!K21+Entrants_via_other_initiatives!K21)</f>
        <v>0.51407885080462956</v>
      </c>
      <c r="M80" s="406">
        <f>NQT_entrants_required_inc_UGs!L21/(NQT_entrants_required_inc_UGs!L21+New_to_SF_sector_expected!L21+'Re-entrants_expected'!L21+Entrants_via_other_initiatives!L21)</f>
        <v>0.51407885080462956</v>
      </c>
    </row>
    <row r="81" spans="3:13">
      <c r="C81" s="319" t="str">
        <f>USER_TESTING_TAB!B96</f>
        <v>Drama</v>
      </c>
      <c r="D81" s="406">
        <f>NQT_entrants_required_inc_UGs!C22/(NQT_entrants_required_inc_UGs!C22+New_to_SF_sector_expected!C22+'Re-entrants_expected'!C22+Entrants_via_other_initiatives!C22)</f>
        <v>0.51407885080462956</v>
      </c>
      <c r="E81" s="406">
        <f>NQT_entrants_required_inc_UGs!D22/(NQT_entrants_required_inc_UGs!D22+New_to_SF_sector_expected!D22+'Re-entrants_expected'!D22+Entrants_via_other_initiatives!D22)</f>
        <v>0.51407885080462956</v>
      </c>
      <c r="F81" s="406">
        <f>NQT_entrants_required_inc_UGs!E22/(NQT_entrants_required_inc_UGs!E22+New_to_SF_sector_expected!E22+'Re-entrants_expected'!E22+Entrants_via_other_initiatives!E22)</f>
        <v>0.51407885080462956</v>
      </c>
      <c r="G81" s="406">
        <f>NQT_entrants_required_inc_UGs!F22/(NQT_entrants_required_inc_UGs!F22+New_to_SF_sector_expected!F22+'Re-entrants_expected'!F22+Entrants_via_other_initiatives!F22)</f>
        <v>0.51407885080462956</v>
      </c>
      <c r="H81" s="406">
        <f>NQT_entrants_required_inc_UGs!G22/(NQT_entrants_required_inc_UGs!G22+New_to_SF_sector_expected!G22+'Re-entrants_expected'!G22+Entrants_via_other_initiatives!G22)</f>
        <v>0.51407885080462956</v>
      </c>
      <c r="I81" s="406">
        <f>NQT_entrants_required_inc_UGs!H22/(NQT_entrants_required_inc_UGs!H22+New_to_SF_sector_expected!H22+'Re-entrants_expected'!H22+Entrants_via_other_initiatives!H22)</f>
        <v>0.51407885080462956</v>
      </c>
      <c r="J81" s="406">
        <f>NQT_entrants_required_inc_UGs!I22/(NQT_entrants_required_inc_UGs!I22+New_to_SF_sector_expected!I22+'Re-entrants_expected'!I22+Entrants_via_other_initiatives!I22)</f>
        <v>0.51407885080462967</v>
      </c>
      <c r="K81" s="406">
        <f>NQT_entrants_required_inc_UGs!J22/(NQT_entrants_required_inc_UGs!J22+New_to_SF_sector_expected!J22+'Re-entrants_expected'!J22+Entrants_via_other_initiatives!J22)</f>
        <v>0.51407885080462956</v>
      </c>
      <c r="L81" s="406">
        <f>NQT_entrants_required_inc_UGs!K22/(NQT_entrants_required_inc_UGs!K22+New_to_SF_sector_expected!K22+'Re-entrants_expected'!K22+Entrants_via_other_initiatives!K22)</f>
        <v>0.51407885080462945</v>
      </c>
      <c r="M81" s="406">
        <f>NQT_entrants_required_inc_UGs!L22/(NQT_entrants_required_inc_UGs!L22+New_to_SF_sector_expected!L22+'Re-entrants_expected'!L22+Entrants_via_other_initiatives!L22)</f>
        <v>0.51407885080462956</v>
      </c>
    </row>
    <row r="82" spans="3:13">
      <c r="C82" s="319" t="str">
        <f>USER_TESTING_TAB!B97</f>
        <v>English</v>
      </c>
      <c r="D82" s="406">
        <f>NQT_entrants_required_inc_UGs!C23/(NQT_entrants_required_inc_UGs!C23+New_to_SF_sector_expected!C23+'Re-entrants_expected'!C23+Entrants_via_other_initiatives!C23)</f>
        <v>0.51407885080462956</v>
      </c>
      <c r="E82" s="406">
        <f>NQT_entrants_required_inc_UGs!D23/(NQT_entrants_required_inc_UGs!D23+New_to_SF_sector_expected!D23+'Re-entrants_expected'!D23+Entrants_via_other_initiatives!D23)</f>
        <v>0.51407885080462956</v>
      </c>
      <c r="F82" s="406">
        <f>NQT_entrants_required_inc_UGs!E23/(NQT_entrants_required_inc_UGs!E23+New_to_SF_sector_expected!E23+'Re-entrants_expected'!E23+Entrants_via_other_initiatives!E23)</f>
        <v>0.51407885080462967</v>
      </c>
      <c r="G82" s="406">
        <f>NQT_entrants_required_inc_UGs!F23/(NQT_entrants_required_inc_UGs!F23+New_to_SF_sector_expected!F23+'Re-entrants_expected'!F23+Entrants_via_other_initiatives!F23)</f>
        <v>0.51407885080462956</v>
      </c>
      <c r="H82" s="406">
        <f>NQT_entrants_required_inc_UGs!G23/(NQT_entrants_required_inc_UGs!G23+New_to_SF_sector_expected!G23+'Re-entrants_expected'!G23+Entrants_via_other_initiatives!G23)</f>
        <v>0.51407885080462956</v>
      </c>
      <c r="I82" s="406">
        <f>NQT_entrants_required_inc_UGs!H23/(NQT_entrants_required_inc_UGs!H23+New_to_SF_sector_expected!H23+'Re-entrants_expected'!H23+Entrants_via_other_initiatives!H23)</f>
        <v>0.51407885080462956</v>
      </c>
      <c r="J82" s="406">
        <f>NQT_entrants_required_inc_UGs!I23/(NQT_entrants_required_inc_UGs!I23+New_to_SF_sector_expected!I23+'Re-entrants_expected'!I23+Entrants_via_other_initiatives!I23)</f>
        <v>0.51407885080462956</v>
      </c>
      <c r="K82" s="406">
        <f>NQT_entrants_required_inc_UGs!J23/(NQT_entrants_required_inc_UGs!J23+New_to_SF_sector_expected!J23+'Re-entrants_expected'!J23+Entrants_via_other_initiatives!J23)</f>
        <v>0.51407885080462956</v>
      </c>
      <c r="L82" s="406">
        <f>NQT_entrants_required_inc_UGs!K23/(NQT_entrants_required_inc_UGs!K23+New_to_SF_sector_expected!K23+'Re-entrants_expected'!K23+Entrants_via_other_initiatives!K23)</f>
        <v>0.51407885080462956</v>
      </c>
      <c r="M82" s="406">
        <f>NQT_entrants_required_inc_UGs!L23/(NQT_entrants_required_inc_UGs!L23+New_to_SF_sector_expected!L23+'Re-entrants_expected'!L23+Entrants_via_other_initiatives!L23)</f>
        <v>0.51407885080462956</v>
      </c>
    </row>
    <row r="83" spans="3:13">
      <c r="C83" s="319" t="str">
        <f>USER_TESTING_TAB!B98</f>
        <v>Food</v>
      </c>
      <c r="D83" s="406">
        <f>NQT_entrants_required_inc_UGs!C24/(NQT_entrants_required_inc_UGs!C24+New_to_SF_sector_expected!C24+'Re-entrants_expected'!C24+Entrants_via_other_initiatives!C24)</f>
        <v>0.51407885080462956</v>
      </c>
      <c r="E83" s="406">
        <f>NQT_entrants_required_inc_UGs!D24/(NQT_entrants_required_inc_UGs!D24+New_to_SF_sector_expected!D24+'Re-entrants_expected'!D24+Entrants_via_other_initiatives!D24)</f>
        <v>0.51407885080462956</v>
      </c>
      <c r="F83" s="406">
        <f>NQT_entrants_required_inc_UGs!E24/(NQT_entrants_required_inc_UGs!E24+New_to_SF_sector_expected!E24+'Re-entrants_expected'!E24+Entrants_via_other_initiatives!E24)</f>
        <v>0.51407885080462956</v>
      </c>
      <c r="G83" s="406">
        <f>NQT_entrants_required_inc_UGs!F24/(NQT_entrants_required_inc_UGs!F24+New_to_SF_sector_expected!F24+'Re-entrants_expected'!F24+Entrants_via_other_initiatives!F24)</f>
        <v>0.51407885080462967</v>
      </c>
      <c r="H83" s="406">
        <f>NQT_entrants_required_inc_UGs!G24/(NQT_entrants_required_inc_UGs!G24+New_to_SF_sector_expected!G24+'Re-entrants_expected'!G24+Entrants_via_other_initiatives!G24)</f>
        <v>0.51407885080462956</v>
      </c>
      <c r="I83" s="406">
        <f>NQT_entrants_required_inc_UGs!H24/(NQT_entrants_required_inc_UGs!H24+New_to_SF_sector_expected!H24+'Re-entrants_expected'!H24+Entrants_via_other_initiatives!H24)</f>
        <v>0.51407885080462956</v>
      </c>
      <c r="J83" s="406">
        <f>NQT_entrants_required_inc_UGs!I24/(NQT_entrants_required_inc_UGs!I24+New_to_SF_sector_expected!I24+'Re-entrants_expected'!I24+Entrants_via_other_initiatives!I24)</f>
        <v>0.51407885080462956</v>
      </c>
      <c r="K83" s="406">
        <f>NQT_entrants_required_inc_UGs!J24/(NQT_entrants_required_inc_UGs!J24+New_to_SF_sector_expected!J24+'Re-entrants_expected'!J24+Entrants_via_other_initiatives!J24)</f>
        <v>0.51407885080462956</v>
      </c>
      <c r="L83" s="406">
        <f>NQT_entrants_required_inc_UGs!K24/(NQT_entrants_required_inc_UGs!K24+New_to_SF_sector_expected!K24+'Re-entrants_expected'!K24+Entrants_via_other_initiatives!K24)</f>
        <v>0.51407885080462956</v>
      </c>
      <c r="M83" s="406">
        <f>NQT_entrants_required_inc_UGs!L24/(NQT_entrants_required_inc_UGs!L24+New_to_SF_sector_expected!L24+'Re-entrants_expected'!L24+Entrants_via_other_initiatives!L24)</f>
        <v>0.51407885080462956</v>
      </c>
    </row>
    <row r="84" spans="3:13">
      <c r="C84" s="319" t="str">
        <f>USER_TESTING_TAB!B99</f>
        <v>Geography</v>
      </c>
      <c r="D84" s="406">
        <f>NQT_entrants_required_inc_UGs!C25/(NQT_entrants_required_inc_UGs!C25+New_to_SF_sector_expected!C25+'Re-entrants_expected'!C25+Entrants_via_other_initiatives!C25)</f>
        <v>0.6402991927707693</v>
      </c>
      <c r="E84" s="406">
        <f>NQT_entrants_required_inc_UGs!D25/(NQT_entrants_required_inc_UGs!D25+New_to_SF_sector_expected!D25+'Re-entrants_expected'!D25+Entrants_via_other_initiatives!D25)</f>
        <v>0.62592936564079626</v>
      </c>
      <c r="F84" s="406">
        <f>NQT_entrants_required_inc_UGs!E25/(NQT_entrants_required_inc_UGs!E25+New_to_SF_sector_expected!E25+'Re-entrants_expected'!E25+Entrants_via_other_initiatives!E25)</f>
        <v>0.62806270342058845</v>
      </c>
      <c r="G84" s="406">
        <f>NQT_entrants_required_inc_UGs!F25/(NQT_entrants_required_inc_UGs!F25+New_to_SF_sector_expected!F25+'Re-entrants_expected'!F25+Entrants_via_other_initiatives!F25)</f>
        <v>0.62901601800560114</v>
      </c>
      <c r="H84" s="406">
        <f>NQT_entrants_required_inc_UGs!G25/(NQT_entrants_required_inc_UGs!G25+New_to_SF_sector_expected!G25+'Re-entrants_expected'!G25+Entrants_via_other_initiatives!G25)</f>
        <v>0.64496221879496973</v>
      </c>
      <c r="I84" s="406">
        <f>NQT_entrants_required_inc_UGs!H25/(NQT_entrants_required_inc_UGs!H25+New_to_SF_sector_expected!H25+'Re-entrants_expected'!H25+Entrants_via_other_initiatives!H25)</f>
        <v>0.63372530553164241</v>
      </c>
      <c r="J84" s="406">
        <f>NQT_entrants_required_inc_UGs!I25/(NQT_entrants_required_inc_UGs!I25+New_to_SF_sector_expected!I25+'Re-entrants_expected'!I25+Entrants_via_other_initiatives!I25)</f>
        <v>0.6182185762643021</v>
      </c>
      <c r="K84" s="406">
        <f>NQT_entrants_required_inc_UGs!J25/(NQT_entrants_required_inc_UGs!J25+New_to_SF_sector_expected!J25+'Re-entrants_expected'!J25+Entrants_via_other_initiatives!J25)</f>
        <v>0.60665205177692749</v>
      </c>
      <c r="L84" s="406">
        <f>NQT_entrants_required_inc_UGs!K25/(NQT_entrants_required_inc_UGs!K25+New_to_SF_sector_expected!K25+'Re-entrants_expected'!K25+Entrants_via_other_initiatives!K25)</f>
        <v>0.61189508654116997</v>
      </c>
      <c r="M84" s="406">
        <f>NQT_entrants_required_inc_UGs!L25/(NQT_entrants_required_inc_UGs!L25+New_to_SF_sector_expected!L25+'Re-entrants_expected'!L25+Entrants_via_other_initiatives!L25)</f>
        <v>0.61562254385478732</v>
      </c>
    </row>
    <row r="85" spans="3:13">
      <c r="C85" s="319" t="str">
        <f>USER_TESTING_TAB!B100</f>
        <v>History</v>
      </c>
      <c r="D85" s="406">
        <f>NQT_entrants_required_inc_UGs!C26/(NQT_entrants_required_inc_UGs!C26+New_to_SF_sector_expected!C26+'Re-entrants_expected'!C26+Entrants_via_other_initiatives!C26)</f>
        <v>0.66676230282439453</v>
      </c>
      <c r="E85" s="406">
        <f>NQT_entrants_required_inc_UGs!D26/(NQT_entrants_required_inc_UGs!D26+New_to_SF_sector_expected!D26+'Re-entrants_expected'!D26+Entrants_via_other_initiatives!D26)</f>
        <v>0.65528506246917273</v>
      </c>
      <c r="F85" s="406">
        <f>NQT_entrants_required_inc_UGs!E26/(NQT_entrants_required_inc_UGs!E26+New_to_SF_sector_expected!E26+'Re-entrants_expected'!E26+Entrants_via_other_initiatives!E26)</f>
        <v>0.65786447300299922</v>
      </c>
      <c r="G85" s="406">
        <f>NQT_entrants_required_inc_UGs!F26/(NQT_entrants_required_inc_UGs!F26+New_to_SF_sector_expected!F26+'Re-entrants_expected'!F26+Entrants_via_other_initiatives!F26)</f>
        <v>0.65960975217730067</v>
      </c>
      <c r="H85" s="406">
        <f>NQT_entrants_required_inc_UGs!G26/(NQT_entrants_required_inc_UGs!G26+New_to_SF_sector_expected!G26+'Re-entrants_expected'!G26+Entrants_via_other_initiatives!G26)</f>
        <v>0.67363398553145226</v>
      </c>
      <c r="I85" s="406">
        <f>NQT_entrants_required_inc_UGs!H26/(NQT_entrants_required_inc_UGs!H26+New_to_SF_sector_expected!H26+'Re-entrants_expected'!H26+Entrants_via_other_initiatives!H26)</f>
        <v>0.66419431574398891</v>
      </c>
      <c r="J85" s="406">
        <f>NQT_entrants_required_inc_UGs!I26/(NQT_entrants_required_inc_UGs!I26+New_to_SF_sector_expected!I26+'Re-entrants_expected'!I26+Entrants_via_other_initiatives!I26)</f>
        <v>0.65044137866906826</v>
      </c>
      <c r="K85" s="406">
        <f>NQT_entrants_required_inc_UGs!J26/(NQT_entrants_required_inc_UGs!J26+New_to_SF_sector_expected!J26+'Re-entrants_expected'!J26+Entrants_via_other_initiatives!J26)</f>
        <v>0.64019035839282423</v>
      </c>
      <c r="L85" s="406">
        <f>NQT_entrants_required_inc_UGs!K26/(NQT_entrants_required_inc_UGs!K26+New_to_SF_sector_expected!K26+'Re-entrants_expected'!K26+Entrants_via_other_initiatives!K26)</f>
        <v>0.64410573230965085</v>
      </c>
      <c r="M85" s="406">
        <f>NQT_entrants_required_inc_UGs!L26/(NQT_entrants_required_inc_UGs!L26+New_to_SF_sector_expected!L26+'Re-entrants_expected'!L26+Entrants_via_other_initiatives!L26)</f>
        <v>0.64665927906210929</v>
      </c>
    </row>
    <row r="86" spans="3:13">
      <c r="C86" s="319" t="str">
        <f>USER_TESTING_TAB!B101</f>
        <v>Mathematics</v>
      </c>
      <c r="D86" s="406">
        <f>NQT_entrants_required_inc_UGs!C27/(NQT_entrants_required_inc_UGs!C27+New_to_SF_sector_expected!C27+'Re-entrants_expected'!C27+Entrants_via_other_initiatives!C27)</f>
        <v>0.51407885080462956</v>
      </c>
      <c r="E86" s="406">
        <f>NQT_entrants_required_inc_UGs!D27/(NQT_entrants_required_inc_UGs!D27+New_to_SF_sector_expected!D27+'Re-entrants_expected'!D27+Entrants_via_other_initiatives!D27)</f>
        <v>0.51407885080462956</v>
      </c>
      <c r="F86" s="406">
        <f>NQT_entrants_required_inc_UGs!E27/(NQT_entrants_required_inc_UGs!E27+New_to_SF_sector_expected!E27+'Re-entrants_expected'!E27+Entrants_via_other_initiatives!E27)</f>
        <v>0.51407885080462956</v>
      </c>
      <c r="G86" s="406">
        <f>NQT_entrants_required_inc_UGs!F27/(NQT_entrants_required_inc_UGs!F27+New_to_SF_sector_expected!F27+'Re-entrants_expected'!F27+Entrants_via_other_initiatives!F27)</f>
        <v>0.51407885080462956</v>
      </c>
      <c r="H86" s="406">
        <f>NQT_entrants_required_inc_UGs!G27/(NQT_entrants_required_inc_UGs!G27+New_to_SF_sector_expected!G27+'Re-entrants_expected'!G27+Entrants_via_other_initiatives!G27)</f>
        <v>0.51407885080462956</v>
      </c>
      <c r="I86" s="406">
        <f>NQT_entrants_required_inc_UGs!H27/(NQT_entrants_required_inc_UGs!H27+New_to_SF_sector_expected!H27+'Re-entrants_expected'!H27+Entrants_via_other_initiatives!H27)</f>
        <v>0.51407885080462956</v>
      </c>
      <c r="J86" s="406">
        <f>NQT_entrants_required_inc_UGs!I27/(NQT_entrants_required_inc_UGs!I27+New_to_SF_sector_expected!I27+'Re-entrants_expected'!I27+Entrants_via_other_initiatives!I27)</f>
        <v>0.51407885080462956</v>
      </c>
      <c r="K86" s="406">
        <f>NQT_entrants_required_inc_UGs!J27/(NQT_entrants_required_inc_UGs!J27+New_to_SF_sector_expected!J27+'Re-entrants_expected'!J27+Entrants_via_other_initiatives!J27)</f>
        <v>0.51407885080462956</v>
      </c>
      <c r="L86" s="406">
        <f>NQT_entrants_required_inc_UGs!K27/(NQT_entrants_required_inc_UGs!K27+New_to_SF_sector_expected!K27+'Re-entrants_expected'!K27+Entrants_via_other_initiatives!K27)</f>
        <v>0.51407885080462956</v>
      </c>
      <c r="M86" s="406">
        <f>NQT_entrants_required_inc_UGs!L27/(NQT_entrants_required_inc_UGs!L27+New_to_SF_sector_expected!L27+'Re-entrants_expected'!L27+Entrants_via_other_initiatives!L27)</f>
        <v>0.51407885080462956</v>
      </c>
    </row>
    <row r="87" spans="3:13">
      <c r="C87" s="319" t="str">
        <f>USER_TESTING_TAB!B102</f>
        <v>Modern Foreign Languages</v>
      </c>
      <c r="D87" s="406">
        <f>NQT_entrants_required_inc_UGs!C28/(NQT_entrants_required_inc_UGs!C28+New_to_SF_sector_expected!C28+'Re-entrants_expected'!C28+Entrants_via_other_initiatives!C28)</f>
        <v>0.46417459324194582</v>
      </c>
      <c r="E87" s="406">
        <f>NQT_entrants_required_inc_UGs!D28/(NQT_entrants_required_inc_UGs!D28+New_to_SF_sector_expected!D28+'Re-entrants_expected'!D28+Entrants_via_other_initiatives!D28)</f>
        <v>0.49415081789889137</v>
      </c>
      <c r="F87" s="406">
        <f>NQT_entrants_required_inc_UGs!E28/(NQT_entrants_required_inc_UGs!E28+New_to_SF_sector_expected!E28+'Re-entrants_expected'!E28+Entrants_via_other_initiatives!E28)</f>
        <v>0.53325701267751324</v>
      </c>
      <c r="G87" s="406">
        <f>NQT_entrants_required_inc_UGs!F28/(NQT_entrants_required_inc_UGs!F28+New_to_SF_sector_expected!F28+'Re-entrants_expected'!F28+Entrants_via_other_initiatives!F28)</f>
        <v>0.56763222598041263</v>
      </c>
      <c r="H87" s="406">
        <f>NQT_entrants_required_inc_UGs!G28/(NQT_entrants_required_inc_UGs!G28+New_to_SF_sector_expected!G28+'Re-entrants_expected'!G28+Entrants_via_other_initiatives!G28)</f>
        <v>0.57235279946627293</v>
      </c>
      <c r="I87" s="406">
        <f>NQT_entrants_required_inc_UGs!H28/(NQT_entrants_required_inc_UGs!H28+New_to_SF_sector_expected!H28+'Re-entrants_expected'!H28+Entrants_via_other_initiatives!H28)</f>
        <v>0.46123373636794335</v>
      </c>
      <c r="J87" s="406">
        <f>NQT_entrants_required_inc_UGs!I28/(NQT_entrants_required_inc_UGs!I28+New_to_SF_sector_expected!I28+'Re-entrants_expected'!I28+Entrants_via_other_initiatives!I28)</f>
        <v>0.42798620470723453</v>
      </c>
      <c r="K87" s="406">
        <f>NQT_entrants_required_inc_UGs!J28/(NQT_entrants_required_inc_UGs!J28+New_to_SF_sector_expected!J28+'Re-entrants_expected'!J28+Entrants_via_other_initiatives!J28)</f>
        <v>0.40024527365321538</v>
      </c>
      <c r="L87" s="406">
        <f>NQT_entrants_required_inc_UGs!K28/(NQT_entrants_required_inc_UGs!K28+New_to_SF_sector_expected!K28+'Re-entrants_expected'!K28+Entrants_via_other_initiatives!K28)</f>
        <v>0.40391277868993286</v>
      </c>
      <c r="M87" s="406">
        <f>NQT_entrants_required_inc_UGs!L28/(NQT_entrants_required_inc_UGs!L28+New_to_SF_sector_expected!L28+'Re-entrants_expected'!L28+Entrants_via_other_initiatives!L28)</f>
        <v>0.4219042539244835</v>
      </c>
    </row>
    <row r="88" spans="3:13">
      <c r="C88" s="319" t="str">
        <f>USER_TESTING_TAB!B103</f>
        <v>Music</v>
      </c>
      <c r="D88" s="406">
        <f>NQT_entrants_required_inc_UGs!C29/(NQT_entrants_required_inc_UGs!C29+New_to_SF_sector_expected!C29+'Re-entrants_expected'!C29+Entrants_via_other_initiatives!C29)</f>
        <v>0.51407885080462945</v>
      </c>
      <c r="E88" s="406">
        <f>NQT_entrants_required_inc_UGs!D29/(NQT_entrants_required_inc_UGs!D29+New_to_SF_sector_expected!D29+'Re-entrants_expected'!D29+Entrants_via_other_initiatives!D29)</f>
        <v>0.51407885080462956</v>
      </c>
      <c r="F88" s="406">
        <f>NQT_entrants_required_inc_UGs!E29/(NQT_entrants_required_inc_UGs!E29+New_to_SF_sector_expected!E29+'Re-entrants_expected'!E29+Entrants_via_other_initiatives!E29)</f>
        <v>0.51407885080462956</v>
      </c>
      <c r="G88" s="406">
        <f>NQT_entrants_required_inc_UGs!F29/(NQT_entrants_required_inc_UGs!F29+New_to_SF_sector_expected!F29+'Re-entrants_expected'!F29+Entrants_via_other_initiatives!F29)</f>
        <v>0.51407885080462956</v>
      </c>
      <c r="H88" s="406">
        <f>NQT_entrants_required_inc_UGs!G29/(NQT_entrants_required_inc_UGs!G29+New_to_SF_sector_expected!G29+'Re-entrants_expected'!G29+Entrants_via_other_initiatives!G29)</f>
        <v>0.51407885080462956</v>
      </c>
      <c r="I88" s="406">
        <f>NQT_entrants_required_inc_UGs!H29/(NQT_entrants_required_inc_UGs!H29+New_to_SF_sector_expected!H29+'Re-entrants_expected'!H29+Entrants_via_other_initiatives!H29)</f>
        <v>0.51407885080462967</v>
      </c>
      <c r="J88" s="406">
        <f>NQT_entrants_required_inc_UGs!I29/(NQT_entrants_required_inc_UGs!I29+New_to_SF_sector_expected!I29+'Re-entrants_expected'!I29+Entrants_via_other_initiatives!I29)</f>
        <v>0.51407885080462956</v>
      </c>
      <c r="K88" s="406">
        <f>NQT_entrants_required_inc_UGs!J29/(NQT_entrants_required_inc_UGs!J29+New_to_SF_sector_expected!J29+'Re-entrants_expected'!J29+Entrants_via_other_initiatives!J29)</f>
        <v>0.51407885080462956</v>
      </c>
      <c r="L88" s="406">
        <f>NQT_entrants_required_inc_UGs!K29/(NQT_entrants_required_inc_UGs!K29+New_to_SF_sector_expected!K29+'Re-entrants_expected'!K29+Entrants_via_other_initiatives!K29)</f>
        <v>0.51407885080462956</v>
      </c>
      <c r="M88" s="406">
        <f>NQT_entrants_required_inc_UGs!L29/(NQT_entrants_required_inc_UGs!L29+New_to_SF_sector_expected!L29+'Re-entrants_expected'!L29+Entrants_via_other_initiatives!L29)</f>
        <v>0.51407885080462956</v>
      </c>
    </row>
    <row r="89" spans="3:13">
      <c r="C89" s="319" t="str">
        <f>USER_TESTING_TAB!B104</f>
        <v>Others</v>
      </c>
      <c r="D89" s="406">
        <f>NQT_entrants_required_inc_UGs!C30/(NQT_entrants_required_inc_UGs!C30+New_to_SF_sector_expected!C30+'Re-entrants_expected'!C30+Entrants_via_other_initiatives!C30)</f>
        <v>0.51407885080462956</v>
      </c>
      <c r="E89" s="406">
        <f>NQT_entrants_required_inc_UGs!D30/(NQT_entrants_required_inc_UGs!D30+New_to_SF_sector_expected!D30+'Re-entrants_expected'!D30+Entrants_via_other_initiatives!D30)</f>
        <v>0.51407885080462956</v>
      </c>
      <c r="F89" s="406">
        <f>NQT_entrants_required_inc_UGs!E30/(NQT_entrants_required_inc_UGs!E30+New_to_SF_sector_expected!E30+'Re-entrants_expected'!E30+Entrants_via_other_initiatives!E30)</f>
        <v>0.51407885080462956</v>
      </c>
      <c r="G89" s="406">
        <f>NQT_entrants_required_inc_UGs!F30/(NQT_entrants_required_inc_UGs!F30+New_to_SF_sector_expected!F30+'Re-entrants_expected'!F30+Entrants_via_other_initiatives!F30)</f>
        <v>0.51407885080462956</v>
      </c>
      <c r="H89" s="406">
        <f>NQT_entrants_required_inc_UGs!G30/(NQT_entrants_required_inc_UGs!G30+New_to_SF_sector_expected!G30+'Re-entrants_expected'!G30+Entrants_via_other_initiatives!G30)</f>
        <v>0.51407885080462956</v>
      </c>
      <c r="I89" s="406">
        <f>NQT_entrants_required_inc_UGs!H30/(NQT_entrants_required_inc_UGs!H30+New_to_SF_sector_expected!H30+'Re-entrants_expected'!H30+Entrants_via_other_initiatives!H30)</f>
        <v>0.51407885080462956</v>
      </c>
      <c r="J89" s="406">
        <f>NQT_entrants_required_inc_UGs!I30/(NQT_entrants_required_inc_UGs!I30+New_to_SF_sector_expected!I30+'Re-entrants_expected'!I30+Entrants_via_other_initiatives!I30)</f>
        <v>0.51407885080462956</v>
      </c>
      <c r="K89" s="406">
        <f>NQT_entrants_required_inc_UGs!J30/(NQT_entrants_required_inc_UGs!J30+New_to_SF_sector_expected!J30+'Re-entrants_expected'!J30+Entrants_via_other_initiatives!J30)</f>
        <v>0.51407885080462956</v>
      </c>
      <c r="L89" s="406">
        <f>NQT_entrants_required_inc_UGs!K30/(NQT_entrants_required_inc_UGs!K30+New_to_SF_sector_expected!K30+'Re-entrants_expected'!K30+Entrants_via_other_initiatives!K30)</f>
        <v>0.51407885080462956</v>
      </c>
      <c r="M89" s="406">
        <f>NQT_entrants_required_inc_UGs!L30/(NQT_entrants_required_inc_UGs!L30+New_to_SF_sector_expected!L30+'Re-entrants_expected'!L30+Entrants_via_other_initiatives!L30)</f>
        <v>0.51407885080462956</v>
      </c>
    </row>
    <row r="90" spans="3:13">
      <c r="C90" s="319" t="str">
        <f>USER_TESTING_TAB!B105</f>
        <v>Physical Education</v>
      </c>
      <c r="D90" s="406">
        <f>NQT_entrants_required_inc_UGs!C31/(NQT_entrants_required_inc_UGs!C31+New_to_SF_sector_expected!C31+'Re-entrants_expected'!C31+Entrants_via_other_initiatives!C31)</f>
        <v>0.51407885080462956</v>
      </c>
      <c r="E90" s="406">
        <f>NQT_entrants_required_inc_UGs!D31/(NQT_entrants_required_inc_UGs!D31+New_to_SF_sector_expected!D31+'Re-entrants_expected'!D31+Entrants_via_other_initiatives!D31)</f>
        <v>0.51407885080462967</v>
      </c>
      <c r="F90" s="406">
        <f>NQT_entrants_required_inc_UGs!E31/(NQT_entrants_required_inc_UGs!E31+New_to_SF_sector_expected!E31+'Re-entrants_expected'!E31+Entrants_via_other_initiatives!E31)</f>
        <v>0.51407885080462956</v>
      </c>
      <c r="G90" s="406">
        <f>NQT_entrants_required_inc_UGs!F31/(NQT_entrants_required_inc_UGs!F31+New_to_SF_sector_expected!F31+'Re-entrants_expected'!F31+Entrants_via_other_initiatives!F31)</f>
        <v>0.51407885080462956</v>
      </c>
      <c r="H90" s="406">
        <f>NQT_entrants_required_inc_UGs!G31/(NQT_entrants_required_inc_UGs!G31+New_to_SF_sector_expected!G31+'Re-entrants_expected'!G31+Entrants_via_other_initiatives!G31)</f>
        <v>0.51407885080462956</v>
      </c>
      <c r="I90" s="406">
        <f>NQT_entrants_required_inc_UGs!H31/(NQT_entrants_required_inc_UGs!H31+New_to_SF_sector_expected!H31+'Re-entrants_expected'!H31+Entrants_via_other_initiatives!H31)</f>
        <v>0.51407885080462956</v>
      </c>
      <c r="J90" s="406">
        <f>NQT_entrants_required_inc_UGs!I31/(NQT_entrants_required_inc_UGs!I31+New_to_SF_sector_expected!I31+'Re-entrants_expected'!I31+Entrants_via_other_initiatives!I31)</f>
        <v>0.51407885080462956</v>
      </c>
      <c r="K90" s="406">
        <f>NQT_entrants_required_inc_UGs!J31/(NQT_entrants_required_inc_UGs!J31+New_to_SF_sector_expected!J31+'Re-entrants_expected'!J31+Entrants_via_other_initiatives!J31)</f>
        <v>0.51407885080462956</v>
      </c>
      <c r="L90" s="406">
        <f>NQT_entrants_required_inc_UGs!K31/(NQT_entrants_required_inc_UGs!K31+New_to_SF_sector_expected!K31+'Re-entrants_expected'!K31+Entrants_via_other_initiatives!K31)</f>
        <v>0.51407885080462956</v>
      </c>
      <c r="M90" s="406">
        <f>NQT_entrants_required_inc_UGs!L31/(NQT_entrants_required_inc_UGs!L31+New_to_SF_sector_expected!L31+'Re-entrants_expected'!L31+Entrants_via_other_initiatives!L31)</f>
        <v>0.51407885080462956</v>
      </c>
    </row>
    <row r="91" spans="3:13">
      <c r="C91" s="319" t="str">
        <f>USER_TESTING_TAB!B106</f>
        <v>Physics</v>
      </c>
      <c r="D91" s="406">
        <f>NQT_entrants_required_inc_UGs!C32/(NQT_entrants_required_inc_UGs!C32+New_to_SF_sector_expected!C32+'Re-entrants_expected'!C32+Entrants_via_other_initiatives!C32)</f>
        <v>0.51407885080462956</v>
      </c>
      <c r="E91" s="406">
        <f>NQT_entrants_required_inc_UGs!D32/(NQT_entrants_required_inc_UGs!D32+New_to_SF_sector_expected!D32+'Re-entrants_expected'!D32+Entrants_via_other_initiatives!D32)</f>
        <v>0.51407885080462956</v>
      </c>
      <c r="F91" s="406">
        <f>NQT_entrants_required_inc_UGs!E32/(NQT_entrants_required_inc_UGs!E32+New_to_SF_sector_expected!E32+'Re-entrants_expected'!E32+Entrants_via_other_initiatives!E32)</f>
        <v>0.51407885080462956</v>
      </c>
      <c r="G91" s="406">
        <f>NQT_entrants_required_inc_UGs!F32/(NQT_entrants_required_inc_UGs!F32+New_to_SF_sector_expected!F32+'Re-entrants_expected'!F32+Entrants_via_other_initiatives!F32)</f>
        <v>0.51407885080462956</v>
      </c>
      <c r="H91" s="406">
        <f>NQT_entrants_required_inc_UGs!G32/(NQT_entrants_required_inc_UGs!G32+New_to_SF_sector_expected!G32+'Re-entrants_expected'!G32+Entrants_via_other_initiatives!G32)</f>
        <v>0.51407885080462956</v>
      </c>
      <c r="I91" s="406">
        <f>NQT_entrants_required_inc_UGs!H32/(NQT_entrants_required_inc_UGs!H32+New_to_SF_sector_expected!H32+'Re-entrants_expected'!H32+Entrants_via_other_initiatives!H32)</f>
        <v>0.51407885080462956</v>
      </c>
      <c r="J91" s="406">
        <f>NQT_entrants_required_inc_UGs!I32/(NQT_entrants_required_inc_UGs!I32+New_to_SF_sector_expected!I32+'Re-entrants_expected'!I32+Entrants_via_other_initiatives!I32)</f>
        <v>0.51407885080462956</v>
      </c>
      <c r="K91" s="406">
        <f>NQT_entrants_required_inc_UGs!J32/(NQT_entrants_required_inc_UGs!J32+New_to_SF_sector_expected!J32+'Re-entrants_expected'!J32+Entrants_via_other_initiatives!J32)</f>
        <v>0.51407885080462945</v>
      </c>
      <c r="L91" s="406">
        <f>NQT_entrants_required_inc_UGs!K32/(NQT_entrants_required_inc_UGs!K32+New_to_SF_sector_expected!K32+'Re-entrants_expected'!K32+Entrants_via_other_initiatives!K32)</f>
        <v>0.51407885080462956</v>
      </c>
      <c r="M91" s="406">
        <f>NQT_entrants_required_inc_UGs!L32/(NQT_entrants_required_inc_UGs!L32+New_to_SF_sector_expected!L32+'Re-entrants_expected'!L32+Entrants_via_other_initiatives!L32)</f>
        <v>0.51407885080462956</v>
      </c>
    </row>
    <row r="92" spans="3:13">
      <c r="C92" s="319" t="str">
        <f>USER_TESTING_TAB!B107</f>
        <v>Religious Education</v>
      </c>
      <c r="D92" s="406">
        <f>NQT_entrants_required_inc_UGs!C33/(NQT_entrants_required_inc_UGs!C33+New_to_SF_sector_expected!C33+'Re-entrants_expected'!C33+Entrants_via_other_initiatives!C33)</f>
        <v>0.51407885080462967</v>
      </c>
      <c r="E92" s="406">
        <f>NQT_entrants_required_inc_UGs!D33/(NQT_entrants_required_inc_UGs!D33+New_to_SF_sector_expected!D33+'Re-entrants_expected'!D33+Entrants_via_other_initiatives!D33)</f>
        <v>0.51407885080462956</v>
      </c>
      <c r="F92" s="406">
        <f>NQT_entrants_required_inc_UGs!E33/(NQT_entrants_required_inc_UGs!E33+New_to_SF_sector_expected!E33+'Re-entrants_expected'!E33+Entrants_via_other_initiatives!E33)</f>
        <v>0.51407885080462956</v>
      </c>
      <c r="G92" s="406">
        <f>NQT_entrants_required_inc_UGs!F33/(NQT_entrants_required_inc_UGs!F33+New_to_SF_sector_expected!F33+'Re-entrants_expected'!F33+Entrants_via_other_initiatives!F33)</f>
        <v>0.51407885080462956</v>
      </c>
      <c r="H92" s="406">
        <f>NQT_entrants_required_inc_UGs!G33/(NQT_entrants_required_inc_UGs!G33+New_to_SF_sector_expected!G33+'Re-entrants_expected'!G33+Entrants_via_other_initiatives!G33)</f>
        <v>0.51407885080462956</v>
      </c>
      <c r="I92" s="406">
        <f>NQT_entrants_required_inc_UGs!H33/(NQT_entrants_required_inc_UGs!H33+New_to_SF_sector_expected!H33+'Re-entrants_expected'!H33+Entrants_via_other_initiatives!H33)</f>
        <v>0.51407885080462956</v>
      </c>
      <c r="J92" s="406">
        <f>NQT_entrants_required_inc_UGs!I33/(NQT_entrants_required_inc_UGs!I33+New_to_SF_sector_expected!I33+'Re-entrants_expected'!I33+Entrants_via_other_initiatives!I33)</f>
        <v>0.51407885080462956</v>
      </c>
      <c r="K92" s="406">
        <f>NQT_entrants_required_inc_UGs!J33/(NQT_entrants_required_inc_UGs!J33+New_to_SF_sector_expected!J33+'Re-entrants_expected'!J33+Entrants_via_other_initiatives!J33)</f>
        <v>0.51407885080462956</v>
      </c>
      <c r="L92" s="406">
        <f>NQT_entrants_required_inc_UGs!K33/(NQT_entrants_required_inc_UGs!K33+New_to_SF_sector_expected!K33+'Re-entrants_expected'!K33+Entrants_via_other_initiatives!K33)</f>
        <v>0.51407885080462956</v>
      </c>
      <c r="M92" s="406">
        <f>NQT_entrants_required_inc_UGs!L33/(NQT_entrants_required_inc_UGs!L33+New_to_SF_sector_expected!L33+'Re-entrants_expected'!L33+Entrants_via_other_initiatives!L33)</f>
        <v>0.51407885080462956</v>
      </c>
    </row>
    <row r="93" spans="3:13">
      <c r="C93" s="319" t="s">
        <v>8</v>
      </c>
      <c r="D93" s="438">
        <f>NQT_entrants_required_inc_UGs!C37/(NQT_entrants_required_inc_UGs!C37+New_to_SF_sector_expected!C37+'Re-entrants_expected'!C37+Entrants_via_other_initiatives!C37)</f>
        <v>0.5224634289150285</v>
      </c>
      <c r="E93" s="438">
        <f>NQT_entrants_required_inc_UGs!D37/(NQT_entrants_required_inc_UGs!D37+New_to_SF_sector_expected!D37+'Re-entrants_expected'!D37+Entrants_via_other_initiatives!D37)</f>
        <v>0.52295414169878118</v>
      </c>
      <c r="F93" s="438">
        <f>NQT_entrants_required_inc_UGs!E37/(NQT_entrants_required_inc_UGs!E37+New_to_SF_sector_expected!E37+'Re-entrants_expected'!E37+Entrants_via_other_initiatives!E37)</f>
        <v>0.52509162680936483</v>
      </c>
      <c r="G93" s="438">
        <f>NQT_entrants_required_inc_UGs!F37/(NQT_entrants_required_inc_UGs!F37+New_to_SF_sector_expected!F37+'Re-entrants_expected'!F37+Entrants_via_other_initiatives!F37)</f>
        <v>0.52721596094794665</v>
      </c>
      <c r="H93" s="438">
        <f>NQT_entrants_required_inc_UGs!G37/(NQT_entrants_required_inc_UGs!G37+New_to_SF_sector_expected!G37+'Re-entrants_expected'!G37+Entrants_via_other_initiatives!G37)</f>
        <v>0.52847438010903525</v>
      </c>
      <c r="I93" s="438">
        <f>NQT_entrants_required_inc_UGs!H37/(NQT_entrants_required_inc_UGs!H37+New_to_SF_sector_expected!H37+'Re-entrants_expected'!H37+Entrants_via_other_initiatives!H37)</f>
        <v>0.52200556898504835</v>
      </c>
      <c r="J93" s="438">
        <f>NQT_entrants_required_inc_UGs!I37/(NQT_entrants_required_inc_UGs!I37+New_to_SF_sector_expected!I37+'Re-entrants_expected'!I37+Entrants_via_other_initiatives!I37)</f>
        <v>0.51977387329246116</v>
      </c>
      <c r="K93" s="438">
        <f>NQT_entrants_required_inc_UGs!J37/(NQT_entrants_required_inc_UGs!J37+New_to_SF_sector_expected!J37+'Re-entrants_expected'!J37+Entrants_via_other_initiatives!J37)</f>
        <v>0.51812940264268614</v>
      </c>
      <c r="L93" s="438">
        <f>NQT_entrants_required_inc_UGs!K37/(NQT_entrants_required_inc_UGs!K37+New_to_SF_sector_expected!K37+'Re-entrants_expected'!K37+Entrants_via_other_initiatives!K37)</f>
        <v>0.51856414891469682</v>
      </c>
      <c r="M93" s="438">
        <f>NQT_entrants_required_inc_UGs!L37/(NQT_entrants_required_inc_UGs!L37+New_to_SF_sector_expected!L37+'Re-entrants_expected'!L37+Entrants_via_other_initiatives!L37)</f>
        <v>0.51943633599636463</v>
      </c>
    </row>
  </sheetData>
  <mergeCells count="2">
    <mergeCell ref="C13:C14"/>
    <mergeCell ref="C15:C16"/>
  </mergeCells>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7"/>
  <sheetViews>
    <sheetView showGridLines="0" workbookViewId="0"/>
  </sheetViews>
  <sheetFormatPr defaultRowHeight="12.75"/>
  <cols>
    <col min="2" max="2" width="32.7109375" customWidth="1"/>
    <col min="3" max="15" width="14.7109375" customWidth="1"/>
  </cols>
  <sheetData>
    <row r="1" spans="1:12" s="65" customFormat="1" ht="15">
      <c r="A1" s="64" t="str">
        <f>ModelBanner</f>
        <v>TSM_201819 Publication</v>
      </c>
    </row>
    <row r="2" spans="1:12" s="65" customFormat="1" ht="15">
      <c r="A2" s="940" t="s">
        <v>13</v>
      </c>
      <c r="B2" s="940" t="s">
        <v>30</v>
      </c>
    </row>
    <row r="3" spans="1:12" s="65" customFormat="1" ht="15">
      <c r="A3" s="66"/>
    </row>
    <row r="4" spans="1:12" s="569" customFormat="1" ht="15">
      <c r="A4" s="570" t="s">
        <v>26</v>
      </c>
      <c r="B4" s="570"/>
      <c r="C4" s="570"/>
      <c r="D4" s="570"/>
      <c r="E4" s="65"/>
      <c r="F4" s="570"/>
      <c r="G4" s="570"/>
      <c r="H4" s="570"/>
      <c r="I4" s="570"/>
    </row>
    <row r="5" spans="1:12" s="568" customFormat="1" ht="31.15" customHeight="1">
      <c r="A5" s="1168" t="s">
        <v>1620</v>
      </c>
      <c r="B5" s="1168"/>
      <c r="C5" s="1168"/>
      <c r="D5" s="1168"/>
      <c r="E5" s="1168"/>
      <c r="F5" s="1168"/>
      <c r="G5" s="1168"/>
      <c r="H5" s="1168"/>
      <c r="I5" s="1168"/>
      <c r="J5" s="1168"/>
      <c r="K5" s="1168"/>
      <c r="L5" s="1168"/>
    </row>
    <row r="6" spans="1:12" s="565" customFormat="1">
      <c r="A6" s="567" t="s">
        <v>1392</v>
      </c>
      <c r="B6" s="60"/>
      <c r="C6" s="60"/>
      <c r="D6" s="60"/>
      <c r="E6" s="285"/>
      <c r="F6" s="60"/>
      <c r="G6" s="60"/>
      <c r="H6" s="60"/>
      <c r="I6" s="60"/>
      <c r="J6" s="44"/>
      <c r="K6" s="44"/>
      <c r="L6" s="44"/>
    </row>
    <row r="7" spans="1:12" s="565" customFormat="1">
      <c r="A7" s="566" t="s">
        <v>768</v>
      </c>
      <c r="B7" s="567"/>
      <c r="C7" s="60"/>
      <c r="D7" s="60"/>
      <c r="E7" s="285"/>
      <c r="F7" s="60"/>
      <c r="G7" s="60"/>
      <c r="H7" s="60"/>
      <c r="I7" s="60"/>
      <c r="J7" s="44"/>
      <c r="K7" s="44"/>
      <c r="L7" s="44"/>
    </row>
    <row r="8" spans="1:12" s="565" customFormat="1">
      <c r="A8" s="567" t="s">
        <v>24</v>
      </c>
      <c r="B8" s="60"/>
      <c r="C8" s="60"/>
      <c r="D8" s="60"/>
      <c r="E8" s="285"/>
      <c r="F8" s="60"/>
      <c r="G8" s="60"/>
      <c r="H8" s="60"/>
      <c r="I8" s="60"/>
      <c r="J8" s="44"/>
      <c r="K8" s="44"/>
      <c r="L8" s="44"/>
    </row>
    <row r="9" spans="1:12" s="565" customFormat="1">
      <c r="A9" s="566" t="s">
        <v>802</v>
      </c>
      <c r="B9" s="60"/>
      <c r="C9" s="60"/>
      <c r="D9" s="60"/>
      <c r="E9" s="285"/>
      <c r="F9" s="60"/>
      <c r="G9" s="60"/>
      <c r="H9" s="60"/>
      <c r="I9" s="60"/>
      <c r="J9" s="44"/>
      <c r="K9" s="44"/>
      <c r="L9" s="44"/>
    </row>
    <row r="10" spans="1:12" s="563" customFormat="1">
      <c r="A10" s="564">
        <f>SUM(A13:A2083)</f>
        <v>0</v>
      </c>
      <c r="B10" s="72"/>
      <c r="C10" s="70"/>
      <c r="D10" s="47"/>
      <c r="E10" s="47"/>
      <c r="F10" s="47"/>
      <c r="G10" s="47"/>
      <c r="H10" s="71"/>
      <c r="I10" s="48"/>
      <c r="J10" s="48"/>
      <c r="K10" s="48"/>
      <c r="L10" s="48"/>
    </row>
    <row r="12" spans="1:12" ht="15.75">
      <c r="B12" s="77" t="s">
        <v>801</v>
      </c>
    </row>
    <row r="14" spans="1:12">
      <c r="B14" s="8" t="s">
        <v>59</v>
      </c>
      <c r="C14" s="319" t="str">
        <f>NQT_entrants_required_inc_UGs!C13</f>
        <v>2019/20</v>
      </c>
      <c r="D14" s="319" t="str">
        <f>NQT_entrants_required_inc_UGs!D13</f>
        <v>2020/21</v>
      </c>
      <c r="E14" s="319" t="str">
        <f>NQT_entrants_required_inc_UGs!E13</f>
        <v>2021/22</v>
      </c>
      <c r="F14" s="319" t="str">
        <f>NQT_entrants_required_inc_UGs!F13</f>
        <v>2022/23</v>
      </c>
      <c r="G14" s="319" t="str">
        <f>NQT_entrants_required_inc_UGs!G13</f>
        <v>2023/24</v>
      </c>
      <c r="H14" s="319" t="str">
        <f>NQT_entrants_required_inc_UGs!H13</f>
        <v>2024/25</v>
      </c>
      <c r="I14" s="319" t="str">
        <f>NQT_entrants_required_inc_UGs!I13</f>
        <v>2025/26</v>
      </c>
      <c r="J14" s="319" t="str">
        <f>NQT_entrants_required_inc_UGs!J13</f>
        <v>2026/27</v>
      </c>
      <c r="K14" s="319" t="str">
        <f>NQT_entrants_required_inc_UGs!K13</f>
        <v>2027/28</v>
      </c>
      <c r="L14" s="319" t="str">
        <f>NQT_entrants_required_inc_UGs!L13</f>
        <v>2028/29</v>
      </c>
    </row>
    <row r="15" spans="1:12">
      <c r="B15" s="319" t="str">
        <f>NQT_entrants_required_inc_UGs!B14</f>
        <v>Primary NQTs</v>
      </c>
      <c r="C15" s="662">
        <f>NQT_entrants_required_inc_UGs!C14</f>
        <v>13273.403714588394</v>
      </c>
      <c r="D15" s="662">
        <f>NQT_entrants_required_inc_UGs!D14</f>
        <v>13110.08325301536</v>
      </c>
      <c r="E15" s="662">
        <f>NQT_entrants_required_inc_UGs!E14</f>
        <v>12995.424755771441</v>
      </c>
      <c r="F15" s="662">
        <f>NQT_entrants_required_inc_UGs!F14</f>
        <v>12858.688063368929</v>
      </c>
      <c r="G15" s="662">
        <f>NQT_entrants_required_inc_UGs!G14</f>
        <v>12708.819651893084</v>
      </c>
      <c r="H15" s="662">
        <f>NQT_entrants_required_inc_UGs!H14</f>
        <v>12991.059229851648</v>
      </c>
      <c r="I15" s="662">
        <f>NQT_entrants_required_inc_UGs!I14</f>
        <v>13219.581921474559</v>
      </c>
      <c r="J15" s="662">
        <f>NQT_entrants_required_inc_UGs!J14</f>
        <v>13276.157182915755</v>
      </c>
      <c r="K15" s="662">
        <f>NQT_entrants_required_inc_UGs!K14</f>
        <v>13223.248843826681</v>
      </c>
      <c r="L15" s="662">
        <f>NQT_entrants_required_inc_UGs!L14</f>
        <v>13158.580085664507</v>
      </c>
    </row>
    <row r="16" spans="1:12">
      <c r="B16" s="319" t="str">
        <f>NQT_entrants_required_inc_UGs!B15</f>
        <v>Art &amp; Design NQTs</v>
      </c>
      <c r="C16" s="662">
        <f>NQT_entrants_required_inc_UGs!C15</f>
        <v>463.22514612209829</v>
      </c>
      <c r="D16" s="662">
        <f>NQT_entrants_required_inc_UGs!D15</f>
        <v>459.41462092740761</v>
      </c>
      <c r="E16" s="662">
        <f>NQT_entrants_required_inc_UGs!E15</f>
        <v>451.44224791266271</v>
      </c>
      <c r="F16" s="662">
        <f>NQT_entrants_required_inc_UGs!F15</f>
        <v>441.05911771685362</v>
      </c>
      <c r="G16" s="662">
        <f>NQT_entrants_required_inc_UGs!G15</f>
        <v>465.5087842667661</v>
      </c>
      <c r="H16" s="662">
        <f>NQT_entrants_required_inc_UGs!H15</f>
        <v>481.40152288680207</v>
      </c>
      <c r="I16" s="662">
        <f>NQT_entrants_required_inc_UGs!I15</f>
        <v>458.46207962760542</v>
      </c>
      <c r="J16" s="662">
        <f>NQT_entrants_required_inc_UGs!J15</f>
        <v>444.04681920776557</v>
      </c>
      <c r="K16" s="662">
        <f>NQT_entrants_required_inc_UGs!K15</f>
        <v>452.8885168469601</v>
      </c>
      <c r="L16" s="662">
        <f>NQT_entrants_required_inc_UGs!L15</f>
        <v>455.76494326416343</v>
      </c>
    </row>
    <row r="17" spans="2:12">
      <c r="B17" s="319" t="str">
        <f>NQT_entrants_required_inc_UGs!B16</f>
        <v>Biology NQTs</v>
      </c>
      <c r="C17" s="662">
        <f>NQT_entrants_required_inc_UGs!C16</f>
        <v>831.0171358799339</v>
      </c>
      <c r="D17" s="662">
        <f>NQT_entrants_required_inc_UGs!D16</f>
        <v>817.19616508145384</v>
      </c>
      <c r="E17" s="662">
        <f>NQT_entrants_required_inc_UGs!E16</f>
        <v>834.78182147757059</v>
      </c>
      <c r="F17" s="662">
        <f>NQT_entrants_required_inc_UGs!F16</f>
        <v>854.93136641369153</v>
      </c>
      <c r="G17" s="662">
        <f>NQT_entrants_required_inc_UGs!G16</f>
        <v>870.08858580345429</v>
      </c>
      <c r="H17" s="662">
        <f>NQT_entrants_required_inc_UGs!H16</f>
        <v>856.93547416028741</v>
      </c>
      <c r="I17" s="662">
        <f>NQT_entrants_required_inc_UGs!I16</f>
        <v>847.08971990858561</v>
      </c>
      <c r="J17" s="662">
        <f>NQT_entrants_required_inc_UGs!J16</f>
        <v>834.11800255121625</v>
      </c>
      <c r="K17" s="662">
        <f>NQT_entrants_required_inc_UGs!K16</f>
        <v>813.67312791423137</v>
      </c>
      <c r="L17" s="662">
        <f>NQT_entrants_required_inc_UGs!L16</f>
        <v>792.93307588011453</v>
      </c>
    </row>
    <row r="18" spans="2:12">
      <c r="B18" s="319" t="str">
        <f>NQT_entrants_required_inc_UGs!B17</f>
        <v>Business Studies NQTs</v>
      </c>
      <c r="C18" s="662">
        <f>NQT_entrants_required_inc_UGs!C17</f>
        <v>180.08929787830868</v>
      </c>
      <c r="D18" s="662">
        <f>NQT_entrants_required_inc_UGs!D17</f>
        <v>200.67341394820545</v>
      </c>
      <c r="E18" s="662">
        <f>NQT_entrants_required_inc_UGs!E17</f>
        <v>211.51260460162908</v>
      </c>
      <c r="F18" s="662">
        <f>NQT_entrants_required_inc_UGs!F17</f>
        <v>225.35366003284736</v>
      </c>
      <c r="G18" s="662">
        <f>NQT_entrants_required_inc_UGs!G17</f>
        <v>230.15619242712469</v>
      </c>
      <c r="H18" s="662">
        <f>NQT_entrants_required_inc_UGs!H17</f>
        <v>243.75802079225102</v>
      </c>
      <c r="I18" s="662">
        <f>NQT_entrants_required_inc_UGs!I17</f>
        <v>246.22083863631892</v>
      </c>
      <c r="J18" s="662">
        <f>NQT_entrants_required_inc_UGs!J17</f>
        <v>246.05237002680678</v>
      </c>
      <c r="K18" s="662">
        <f>NQT_entrants_required_inc_UGs!K17</f>
        <v>232.13735232102758</v>
      </c>
      <c r="L18" s="662">
        <f>NQT_entrants_required_inc_UGs!L17</f>
        <v>216.75863632629506</v>
      </c>
    </row>
    <row r="19" spans="2:12">
      <c r="B19" s="319" t="str">
        <f>NQT_entrants_required_inc_UGs!B18</f>
        <v>Chemistry NQTs</v>
      </c>
      <c r="C19" s="662">
        <f>NQT_entrants_required_inc_UGs!C18</f>
        <v>743.8247043817471</v>
      </c>
      <c r="D19" s="662">
        <f>NQT_entrants_required_inc_UGs!D18</f>
        <v>744.18474322088707</v>
      </c>
      <c r="E19" s="662">
        <f>NQT_entrants_required_inc_UGs!E18</f>
        <v>759.22507434007218</v>
      </c>
      <c r="F19" s="662">
        <f>NQT_entrants_required_inc_UGs!F18</f>
        <v>777.08308548619721</v>
      </c>
      <c r="G19" s="662">
        <f>NQT_entrants_required_inc_UGs!G18</f>
        <v>783.79231762861536</v>
      </c>
      <c r="H19" s="662">
        <f>NQT_entrants_required_inc_UGs!H18</f>
        <v>770.34281082542475</v>
      </c>
      <c r="I19" s="662">
        <f>NQT_entrants_required_inc_UGs!I18</f>
        <v>764.29427411148049</v>
      </c>
      <c r="J19" s="662">
        <f>NQT_entrants_required_inc_UGs!J18</f>
        <v>752.68053989738166</v>
      </c>
      <c r="K19" s="662">
        <f>NQT_entrants_required_inc_UGs!K18</f>
        <v>726.52616359554486</v>
      </c>
      <c r="L19" s="662">
        <f>NQT_entrants_required_inc_UGs!L18</f>
        <v>701.10752847184153</v>
      </c>
    </row>
    <row r="20" spans="2:12">
      <c r="B20" s="319" t="str">
        <f>NQT_entrants_required_inc_UGs!B19</f>
        <v>Classics NQTs</v>
      </c>
      <c r="C20" s="662">
        <f>NQT_entrants_required_inc_UGs!C19</f>
        <v>18.889823212942794</v>
      </c>
      <c r="D20" s="662">
        <f>NQT_entrants_required_inc_UGs!D19</f>
        <v>19.221475431462139</v>
      </c>
      <c r="E20" s="662">
        <f>NQT_entrants_required_inc_UGs!E19</f>
        <v>19.310535366663537</v>
      </c>
      <c r="F20" s="662">
        <f>NQT_entrants_required_inc_UGs!F19</f>
        <v>19.590016655771883</v>
      </c>
      <c r="G20" s="662">
        <f>NQT_entrants_required_inc_UGs!G19</f>
        <v>20.063793834424992</v>
      </c>
      <c r="H20" s="662">
        <f>NQT_entrants_required_inc_UGs!H19</f>
        <v>19.928105436615212</v>
      </c>
      <c r="I20" s="662">
        <f>NQT_entrants_required_inc_UGs!I19</f>
        <v>19.180780144264709</v>
      </c>
      <c r="J20" s="662">
        <f>NQT_entrants_required_inc_UGs!J19</f>
        <v>18.709616989741892</v>
      </c>
      <c r="K20" s="662">
        <f>NQT_entrants_required_inc_UGs!K19</f>
        <v>18.668273300594066</v>
      </c>
      <c r="L20" s="662">
        <f>NQT_entrants_required_inc_UGs!L19</f>
        <v>18.524537084561373</v>
      </c>
    </row>
    <row r="21" spans="2:12">
      <c r="B21" s="319" t="str">
        <f>NQT_entrants_required_inc_UGs!B20</f>
        <v>Computing NQTs</v>
      </c>
      <c r="C21" s="662">
        <f>NQT_entrants_required_inc_UGs!C20</f>
        <v>436.73727312822069</v>
      </c>
      <c r="D21" s="662">
        <f>NQT_entrants_required_inc_UGs!D20</f>
        <v>434.36128437898731</v>
      </c>
      <c r="E21" s="662">
        <f>NQT_entrants_required_inc_UGs!E20</f>
        <v>431.36620195318523</v>
      </c>
      <c r="F21" s="662">
        <f>NQT_entrants_required_inc_UGs!F20</f>
        <v>426.90857410477389</v>
      </c>
      <c r="G21" s="662">
        <f>NQT_entrants_required_inc_UGs!G20</f>
        <v>445.29925756133633</v>
      </c>
      <c r="H21" s="662">
        <f>NQT_entrants_required_inc_UGs!H20</f>
        <v>460.49690842507499</v>
      </c>
      <c r="I21" s="662">
        <f>NQT_entrants_required_inc_UGs!I20</f>
        <v>447.92031429208743</v>
      </c>
      <c r="J21" s="662">
        <f>NQT_entrants_required_inc_UGs!J20</f>
        <v>438.60797316642515</v>
      </c>
      <c r="K21" s="662">
        <f>NQT_entrants_required_inc_UGs!K20</f>
        <v>439.05349760230661</v>
      </c>
      <c r="L21" s="662">
        <f>NQT_entrants_required_inc_UGs!L20</f>
        <v>435.30259234292788</v>
      </c>
    </row>
    <row r="22" spans="2:12">
      <c r="B22" s="319" t="str">
        <f>NQT_entrants_required_inc_UGs!B21</f>
        <v>Design &amp; Technology NQTs</v>
      </c>
      <c r="C22" s="662">
        <f>NQT_entrants_required_inc_UGs!C21</f>
        <v>630.84209765479011</v>
      </c>
      <c r="D22" s="662">
        <f>NQT_entrants_required_inc_UGs!D21</f>
        <v>582.29574612048805</v>
      </c>
      <c r="E22" s="662">
        <f>NQT_entrants_required_inc_UGs!E21</f>
        <v>558.26814746645562</v>
      </c>
      <c r="F22" s="662">
        <f>NQT_entrants_required_inc_UGs!F21</f>
        <v>530.18881806485115</v>
      </c>
      <c r="G22" s="662">
        <f>NQT_entrants_required_inc_UGs!G21</f>
        <v>558.20055907853521</v>
      </c>
      <c r="H22" s="662">
        <f>NQT_entrants_required_inc_UGs!H21</f>
        <v>570.2491994030554</v>
      </c>
      <c r="I22" s="662">
        <f>NQT_entrants_required_inc_UGs!I21</f>
        <v>533.706601535657</v>
      </c>
      <c r="J22" s="662">
        <f>NQT_entrants_required_inc_UGs!J21</f>
        <v>510.94133008103188</v>
      </c>
      <c r="K22" s="662">
        <f>NQT_entrants_required_inc_UGs!K21</f>
        <v>528.36964712619101</v>
      </c>
      <c r="L22" s="662">
        <f>NQT_entrants_required_inc_UGs!L21</f>
        <v>538.55788615598522</v>
      </c>
    </row>
    <row r="23" spans="2:12">
      <c r="B23" s="319" t="str">
        <f>NQT_entrants_required_inc_UGs!B22</f>
        <v>Drama NQTs</v>
      </c>
      <c r="C23" s="662">
        <f>NQT_entrants_required_inc_UGs!C22</f>
        <v>273.30610279669708</v>
      </c>
      <c r="D23" s="662">
        <f>NQT_entrants_required_inc_UGs!D22</f>
        <v>257.36477451962935</v>
      </c>
      <c r="E23" s="662">
        <f>NQT_entrants_required_inc_UGs!E22</f>
        <v>251.57112742460245</v>
      </c>
      <c r="F23" s="662">
        <f>NQT_entrants_required_inc_UGs!F22</f>
        <v>244.02464683600425</v>
      </c>
      <c r="G23" s="662">
        <f>NQT_entrants_required_inc_UGs!G22</f>
        <v>261.23954377211379</v>
      </c>
      <c r="H23" s="662">
        <f>NQT_entrants_required_inc_UGs!H22</f>
        <v>271.31011564728919</v>
      </c>
      <c r="I23" s="662">
        <f>NQT_entrants_required_inc_UGs!I22</f>
        <v>256.75370650473485</v>
      </c>
      <c r="J23" s="662">
        <f>NQT_entrants_required_inc_UGs!J22</f>
        <v>248.61443179228587</v>
      </c>
      <c r="K23" s="662">
        <f>NQT_entrants_required_inc_UGs!K22</f>
        <v>258.70143345264842</v>
      </c>
      <c r="L23" s="662">
        <f>NQT_entrants_required_inc_UGs!L22</f>
        <v>264.84555136569725</v>
      </c>
    </row>
    <row r="24" spans="2:12">
      <c r="B24" s="319" t="str">
        <f>NQT_entrants_required_inc_UGs!B23</f>
        <v>English NQTs</v>
      </c>
      <c r="C24" s="662">
        <f>NQT_entrants_required_inc_UGs!C23</f>
        <v>2011.5463985297511</v>
      </c>
      <c r="D24" s="662">
        <f>NQT_entrants_required_inc_UGs!D23</f>
        <v>1983.6275631162155</v>
      </c>
      <c r="E24" s="662">
        <f>NQT_entrants_required_inc_UGs!E23</f>
        <v>1997.934246459005</v>
      </c>
      <c r="F24" s="662">
        <f>NQT_entrants_required_inc_UGs!F23</f>
        <v>2012.9628263249972</v>
      </c>
      <c r="G24" s="662">
        <f>NQT_entrants_required_inc_UGs!G23</f>
        <v>2054.162133302756</v>
      </c>
      <c r="H24" s="662">
        <f>NQT_entrants_required_inc_UGs!H23</f>
        <v>1987.6751688725801</v>
      </c>
      <c r="I24" s="662">
        <f>NQT_entrants_required_inc_UGs!I23</f>
        <v>1944.6535158765998</v>
      </c>
      <c r="J24" s="662">
        <f>NQT_entrants_required_inc_UGs!J23</f>
        <v>1899.6748956790375</v>
      </c>
      <c r="K24" s="662">
        <f>NQT_entrants_required_inc_UGs!K23</f>
        <v>1864.6354192203742</v>
      </c>
      <c r="L24" s="662">
        <f>NQT_entrants_required_inc_UGs!L23</f>
        <v>1831.2538624162987</v>
      </c>
    </row>
    <row r="25" spans="2:12">
      <c r="B25" s="319" t="str">
        <f>NQT_entrants_required_inc_UGs!B24</f>
        <v>Food NQTs</v>
      </c>
      <c r="C25" s="662">
        <f>NQT_entrants_required_inc_UGs!C24</f>
        <v>129.41672978148569</v>
      </c>
      <c r="D25" s="662">
        <f>NQT_entrants_required_inc_UGs!D24</f>
        <v>123.6958519132841</v>
      </c>
      <c r="E25" s="662">
        <f>NQT_entrants_required_inc_UGs!E24</f>
        <v>119.91190984084812</v>
      </c>
      <c r="F25" s="662">
        <f>NQT_entrants_required_inc_UGs!F24</f>
        <v>116.4044935629683</v>
      </c>
      <c r="G25" s="662">
        <f>NQT_entrants_required_inc_UGs!G24</f>
        <v>117.62403652892891</v>
      </c>
      <c r="H25" s="662">
        <f>NQT_entrants_required_inc_UGs!H24</f>
        <v>119.65906015284938</v>
      </c>
      <c r="I25" s="662">
        <f>NQT_entrants_required_inc_UGs!I24</f>
        <v>118.24827181391019</v>
      </c>
      <c r="J25" s="662">
        <f>NQT_entrants_required_inc_UGs!J24</f>
        <v>115.51779684126581</v>
      </c>
      <c r="K25" s="662">
        <f>NQT_entrants_required_inc_UGs!K24</f>
        <v>109.89179932001221</v>
      </c>
      <c r="L25" s="662">
        <f>NQT_entrants_required_inc_UGs!L24</f>
        <v>103.97126865381792</v>
      </c>
    </row>
    <row r="26" spans="2:12">
      <c r="B26" s="319" t="str">
        <f>NQT_entrants_required_inc_UGs!B25</f>
        <v>Geography NQTs</v>
      </c>
      <c r="C26" s="662">
        <f>NQT_entrants_required_inc_UGs!C25</f>
        <v>869.1298848553588</v>
      </c>
      <c r="D26" s="662">
        <f>NQT_entrants_required_inc_UGs!D25</f>
        <v>816.98644756492649</v>
      </c>
      <c r="E26" s="662">
        <f>NQT_entrants_required_inc_UGs!E25</f>
        <v>824.47295774849272</v>
      </c>
      <c r="F26" s="662">
        <f>NQT_entrants_required_inc_UGs!F25</f>
        <v>827.84625405171744</v>
      </c>
      <c r="G26" s="662">
        <f>NQT_entrants_required_inc_UGs!G25</f>
        <v>886.95757172673848</v>
      </c>
      <c r="H26" s="662">
        <f>NQT_entrants_required_inc_UGs!H25</f>
        <v>844.76765341445252</v>
      </c>
      <c r="I26" s="662">
        <f>NQT_entrants_required_inc_UGs!I25</f>
        <v>790.62473790915931</v>
      </c>
      <c r="J26" s="662">
        <f>NQT_entrants_required_inc_UGs!J25</f>
        <v>753.01898044770996</v>
      </c>
      <c r="K26" s="662">
        <f>NQT_entrants_required_inc_UGs!K25</f>
        <v>769.78769796096628</v>
      </c>
      <c r="L26" s="662">
        <f>NQT_entrants_required_inc_UGs!L25</f>
        <v>781.98738727822081</v>
      </c>
    </row>
    <row r="27" spans="2:12">
      <c r="B27" s="319" t="str">
        <f>NQT_entrants_required_inc_UGs!B26</f>
        <v>History NQTs</v>
      </c>
      <c r="C27" s="662">
        <f>NQT_entrants_required_inc_UGs!C26</f>
        <v>953.42025767244536</v>
      </c>
      <c r="D27" s="662">
        <f>NQT_entrants_required_inc_UGs!D26</f>
        <v>905.81107662022748</v>
      </c>
      <c r="E27" s="662">
        <f>NQT_entrants_required_inc_UGs!E26</f>
        <v>916.23256275002973</v>
      </c>
      <c r="F27" s="662">
        <f>NQT_entrants_required_inc_UGs!F26</f>
        <v>923.37353073922179</v>
      </c>
      <c r="G27" s="662">
        <f>NQT_entrants_required_inc_UGs!G26</f>
        <v>983.52753670863228</v>
      </c>
      <c r="H27" s="662">
        <f>NQT_entrants_required_inc_UGs!H26</f>
        <v>942.48527425849863</v>
      </c>
      <c r="I27" s="662">
        <f>NQT_entrants_required_inc_UGs!I26</f>
        <v>886.6569159777107</v>
      </c>
      <c r="J27" s="662">
        <f>NQT_entrants_required_inc_UGs!J26</f>
        <v>847.82026785990683</v>
      </c>
      <c r="K27" s="662">
        <f>NQT_entrants_required_inc_UGs!K26</f>
        <v>862.38984394446607</v>
      </c>
      <c r="L27" s="662">
        <f>NQT_entrants_required_inc_UGs!L26</f>
        <v>872.06586025971774</v>
      </c>
    </row>
    <row r="28" spans="2:12">
      <c r="B28" s="319" t="str">
        <f>NQT_entrants_required_inc_UGs!B27</f>
        <v>Mathematics NQTs</v>
      </c>
      <c r="C28" s="662">
        <f>NQT_entrants_required_inc_UGs!C27</f>
        <v>2330.8850281331397</v>
      </c>
      <c r="D28" s="662">
        <f>NQT_entrants_required_inc_UGs!D27</f>
        <v>2224.6913204180423</v>
      </c>
      <c r="E28" s="662">
        <f>NQT_entrants_required_inc_UGs!E27</f>
        <v>2237.8588373127932</v>
      </c>
      <c r="F28" s="662">
        <f>NQT_entrants_required_inc_UGs!F27</f>
        <v>2252.9149318950972</v>
      </c>
      <c r="G28" s="662">
        <f>NQT_entrants_required_inc_UGs!G27</f>
        <v>2294.7686906738818</v>
      </c>
      <c r="H28" s="662">
        <f>NQT_entrants_required_inc_UGs!H27</f>
        <v>2231.6328390758199</v>
      </c>
      <c r="I28" s="662">
        <f>NQT_entrants_required_inc_UGs!I27</f>
        <v>2175.6199989538513</v>
      </c>
      <c r="J28" s="662">
        <f>NQT_entrants_required_inc_UGs!J27</f>
        <v>2123.105185519677</v>
      </c>
      <c r="K28" s="662">
        <f>NQT_entrants_required_inc_UGs!K27</f>
        <v>2088.9183932002866</v>
      </c>
      <c r="L28" s="662">
        <f>NQT_entrants_required_inc_UGs!L27</f>
        <v>2054.5128578132699</v>
      </c>
    </row>
    <row r="29" spans="2:12">
      <c r="B29" s="315" t="str">
        <f>NQT_entrants_required_inc_UGs!B28</f>
        <v>Modern Foreign Languages NQTs</v>
      </c>
      <c r="C29" s="662">
        <f>NQT_entrants_required_inc_UGs!C28</f>
        <v>1112.6771773555456</v>
      </c>
      <c r="D29" s="662">
        <f>NQT_entrants_required_inc_UGs!D28</f>
        <v>1254.7279817656106</v>
      </c>
      <c r="E29" s="662">
        <f>NQT_entrants_required_inc_UGs!E28</f>
        <v>1467.472227566996</v>
      </c>
      <c r="F29" s="662">
        <f>NQT_entrants_required_inc_UGs!F28</f>
        <v>1686.2611857086372</v>
      </c>
      <c r="G29" s="662">
        <f>NQT_entrants_required_inc_UGs!G28</f>
        <v>1719.0531120198116</v>
      </c>
      <c r="H29" s="662">
        <f>NQT_entrants_required_inc_UGs!H28</f>
        <v>1099.5925514652083</v>
      </c>
      <c r="I29" s="662">
        <f>NQT_entrants_required_inc_UGs!I28</f>
        <v>961.02433439243873</v>
      </c>
      <c r="J29" s="662">
        <f>NQT_entrants_required_inc_UGs!J28</f>
        <v>857.16346157094813</v>
      </c>
      <c r="K29" s="662">
        <f>NQT_entrants_required_inc_UGs!K28</f>
        <v>870.33990934760232</v>
      </c>
      <c r="L29" s="662">
        <f>NQT_entrants_required_inc_UGs!L28</f>
        <v>937.40064402055464</v>
      </c>
    </row>
    <row r="30" spans="2:12">
      <c r="B30" s="319" t="str">
        <f>NQT_entrants_required_inc_UGs!B29</f>
        <v>Music NQTs</v>
      </c>
      <c r="C30" s="662">
        <f>NQT_entrants_required_inc_UGs!C29</f>
        <v>299.88936712799875</v>
      </c>
      <c r="D30" s="662">
        <f>NQT_entrants_required_inc_UGs!D29</f>
        <v>272.36691700125988</v>
      </c>
      <c r="E30" s="662">
        <f>NQT_entrants_required_inc_UGs!E29</f>
        <v>263.14066136035314</v>
      </c>
      <c r="F30" s="662">
        <f>NQT_entrants_required_inc_UGs!F29</f>
        <v>250.90986054026644</v>
      </c>
      <c r="G30" s="662">
        <f>NQT_entrants_required_inc_UGs!G29</f>
        <v>271.13132891746432</v>
      </c>
      <c r="H30" s="662">
        <f>NQT_entrants_required_inc_UGs!H29</f>
        <v>280.42225526882777</v>
      </c>
      <c r="I30" s="662">
        <f>NQT_entrants_required_inc_UGs!I29</f>
        <v>260.28528487424495</v>
      </c>
      <c r="J30" s="662">
        <f>NQT_entrants_required_inc_UGs!J29</f>
        <v>249.51546122415283</v>
      </c>
      <c r="K30" s="662">
        <f>NQT_entrants_required_inc_UGs!K29</f>
        <v>265.92044614415823</v>
      </c>
      <c r="L30" s="662">
        <f>NQT_entrants_required_inc_UGs!L29</f>
        <v>277.58342758344736</v>
      </c>
    </row>
    <row r="31" spans="2:12">
      <c r="B31" s="319" t="str">
        <f>NQT_entrants_required_inc_UGs!B30</f>
        <v>Others NQTs</v>
      </c>
      <c r="C31" s="662">
        <f>NQT_entrants_required_inc_UGs!C30</f>
        <v>649.9789608106579</v>
      </c>
      <c r="D31" s="662">
        <f>NQT_entrants_required_inc_UGs!D30</f>
        <v>708.3540203491774</v>
      </c>
      <c r="E31" s="662">
        <f>NQT_entrants_required_inc_UGs!E30</f>
        <v>726.65135625973221</v>
      </c>
      <c r="F31" s="662">
        <f>NQT_entrants_required_inc_UGs!F30</f>
        <v>751.87791220342638</v>
      </c>
      <c r="G31" s="662">
        <f>NQT_entrants_required_inc_UGs!G30</f>
        <v>784.4754154282449</v>
      </c>
      <c r="H31" s="662">
        <f>NQT_entrants_required_inc_UGs!H30</f>
        <v>829.51547600921594</v>
      </c>
      <c r="I31" s="662">
        <f>NQT_entrants_required_inc_UGs!I30</f>
        <v>807.09584721466456</v>
      </c>
      <c r="J31" s="662">
        <f>NQT_entrants_required_inc_UGs!J30</f>
        <v>795.4031444967045</v>
      </c>
      <c r="K31" s="662">
        <f>NQT_entrants_required_inc_UGs!K30</f>
        <v>789.95079521781236</v>
      </c>
      <c r="L31" s="662">
        <f>NQT_entrants_required_inc_UGs!L30</f>
        <v>774.441667657484</v>
      </c>
    </row>
    <row r="32" spans="2:12">
      <c r="B32" s="319" t="str">
        <f>NQT_entrants_required_inc_UGs!B31</f>
        <v>Physical Education NQTs</v>
      </c>
      <c r="C32" s="662">
        <f>NQT_entrants_required_inc_UGs!C31</f>
        <v>863.15518490318414</v>
      </c>
      <c r="D32" s="662">
        <f>NQT_entrants_required_inc_UGs!D31</f>
        <v>837.47312766428638</v>
      </c>
      <c r="E32" s="662">
        <f>NQT_entrants_required_inc_UGs!E31</f>
        <v>823.70835854840038</v>
      </c>
      <c r="F32" s="662">
        <f>NQT_entrants_required_inc_UGs!F31</f>
        <v>806.05724195080461</v>
      </c>
      <c r="G32" s="662">
        <f>NQT_entrants_required_inc_UGs!G31</f>
        <v>855.20132532545483</v>
      </c>
      <c r="H32" s="662">
        <f>NQT_entrants_required_inc_UGs!H31</f>
        <v>890.88578833252609</v>
      </c>
      <c r="I32" s="662">
        <f>NQT_entrants_required_inc_UGs!I31</f>
        <v>867.06235601813989</v>
      </c>
      <c r="J32" s="662">
        <f>NQT_entrants_required_inc_UGs!J31</f>
        <v>849.19727716438604</v>
      </c>
      <c r="K32" s="662">
        <f>NQT_entrants_required_inc_UGs!K31</f>
        <v>855.32876913805364</v>
      </c>
      <c r="L32" s="662">
        <f>NQT_entrants_required_inc_UGs!L31</f>
        <v>852.03029922295275</v>
      </c>
    </row>
    <row r="33" spans="2:12">
      <c r="B33" s="319" t="str">
        <f>NQT_entrants_required_inc_UGs!B32</f>
        <v>Physics NQTs</v>
      </c>
      <c r="C33" s="662">
        <f>NQT_entrants_required_inc_UGs!C32</f>
        <v>797.26556548892631</v>
      </c>
      <c r="D33" s="662">
        <f>NQT_entrants_required_inc_UGs!D32</f>
        <v>751.89445817064507</v>
      </c>
      <c r="E33" s="662">
        <f>NQT_entrants_required_inc_UGs!E32</f>
        <v>764.33695459586249</v>
      </c>
      <c r="F33" s="662">
        <f>NQT_entrants_required_inc_UGs!F32</f>
        <v>779.00659690862744</v>
      </c>
      <c r="G33" s="662">
        <f>NQT_entrants_required_inc_UGs!G32</f>
        <v>783.75277828503783</v>
      </c>
      <c r="H33" s="662">
        <f>NQT_entrants_required_inc_UGs!H32</f>
        <v>766.80891589983037</v>
      </c>
      <c r="I33" s="662">
        <f>NQT_entrants_required_inc_UGs!I32</f>
        <v>760.164868484782</v>
      </c>
      <c r="J33" s="662">
        <f>NQT_entrants_required_inc_UGs!J32</f>
        <v>747.44766990173719</v>
      </c>
      <c r="K33" s="662">
        <f>NQT_entrants_required_inc_UGs!K32</f>
        <v>720.06697512050357</v>
      </c>
      <c r="L33" s="662">
        <f>NQT_entrants_required_inc_UGs!L32</f>
        <v>693.94447085526599</v>
      </c>
    </row>
    <row r="34" spans="2:12">
      <c r="B34" s="319" t="str">
        <f>NQT_entrants_required_inc_UGs!B33</f>
        <v>Religious Education NQTs</v>
      </c>
      <c r="C34" s="662">
        <f>NQT_entrants_required_inc_UGs!C33</f>
        <v>438.44082803139793</v>
      </c>
      <c r="D34" s="662">
        <f>NQT_entrants_required_inc_UGs!D33</f>
        <v>406.26296959688096</v>
      </c>
      <c r="E34" s="662">
        <f>NQT_entrants_required_inc_UGs!E33</f>
        <v>396.24120803810723</v>
      </c>
      <c r="F34" s="662">
        <f>NQT_entrants_required_inc_UGs!F33</f>
        <v>384.9881461539976</v>
      </c>
      <c r="G34" s="662">
        <f>NQT_entrants_required_inc_UGs!G33</f>
        <v>403.40240040237921</v>
      </c>
      <c r="H34" s="662">
        <f>NQT_entrants_required_inc_UGs!H33</f>
        <v>416.37898263170655</v>
      </c>
      <c r="I34" s="662">
        <f>NQT_entrants_required_inc_UGs!I33</f>
        <v>401.27988125359661</v>
      </c>
      <c r="J34" s="662">
        <f>NQT_entrants_required_inc_UGs!J33</f>
        <v>390.2842617022082</v>
      </c>
      <c r="K34" s="662">
        <f>NQT_entrants_required_inc_UGs!K33</f>
        <v>392.19436253299534</v>
      </c>
      <c r="L34" s="662">
        <f>NQT_entrants_required_inc_UGs!L33</f>
        <v>389.94262781984412</v>
      </c>
    </row>
    <row r="35" spans="2:12">
      <c r="D35" s="302"/>
    </row>
    <row r="36" spans="2:12">
      <c r="D36" s="302"/>
    </row>
    <row r="37" spans="2:12" ht="15.75">
      <c r="B37" s="77" t="s">
        <v>1619</v>
      </c>
    </row>
    <row r="39" spans="2:12" ht="27.6" customHeight="1">
      <c r="B39" s="1241" t="s">
        <v>59</v>
      </c>
      <c r="C39" s="1243" t="str">
        <f>RAW_DATA_INPUTS!C539</f>
        <v>No. of undergraduate trainees (finish date in 2018/19)</v>
      </c>
      <c r="D39" s="1340" t="s">
        <v>1099</v>
      </c>
      <c r="E39" s="1340"/>
      <c r="F39" s="1340"/>
      <c r="G39" s="1340"/>
      <c r="H39" s="1340"/>
      <c r="I39" s="1340"/>
      <c r="J39" s="1340"/>
      <c r="K39" s="1340"/>
      <c r="L39" s="1340"/>
    </row>
    <row r="40" spans="2:12" ht="27.6" customHeight="1">
      <c r="B40" s="1242"/>
      <c r="C40" s="1244"/>
      <c r="D40" s="694" t="str">
        <f>C14</f>
        <v>2019/20</v>
      </c>
      <c r="E40" s="694" t="str">
        <f t="shared" ref="E40:L40" si="0">D14</f>
        <v>2020/21</v>
      </c>
      <c r="F40" s="694" t="str">
        <f t="shared" si="0"/>
        <v>2021/22</v>
      </c>
      <c r="G40" s="694" t="str">
        <f t="shared" si="0"/>
        <v>2022/23</v>
      </c>
      <c r="H40" s="694" t="str">
        <f t="shared" si="0"/>
        <v>2023/24</v>
      </c>
      <c r="I40" s="694" t="str">
        <f t="shared" si="0"/>
        <v>2024/25</v>
      </c>
      <c r="J40" s="694" t="str">
        <f t="shared" si="0"/>
        <v>2025/26</v>
      </c>
      <c r="K40" s="694" t="str">
        <f>J14</f>
        <v>2026/27</v>
      </c>
      <c r="L40" s="694" t="str">
        <f t="shared" si="0"/>
        <v>2027/28</v>
      </c>
    </row>
    <row r="41" spans="2:12">
      <c r="B41" s="8" t="str">
        <f>RAW_DATA_INPUTS!B558</f>
        <v>Primary</v>
      </c>
      <c r="C41" s="300">
        <f>RAW_DATA_INPUTS!C558</f>
        <v>4924</v>
      </c>
      <c r="D41" s="447">
        <f>C41</f>
        <v>4924</v>
      </c>
      <c r="E41" s="447">
        <f t="shared" ref="E41:L41" si="1">D41</f>
        <v>4924</v>
      </c>
      <c r="F41" s="447">
        <f t="shared" si="1"/>
        <v>4924</v>
      </c>
      <c r="G41" s="447">
        <f t="shared" si="1"/>
        <v>4924</v>
      </c>
      <c r="H41" s="447">
        <f t="shared" si="1"/>
        <v>4924</v>
      </c>
      <c r="I41" s="447">
        <f t="shared" si="1"/>
        <v>4924</v>
      </c>
      <c r="J41" s="447">
        <f t="shared" si="1"/>
        <v>4924</v>
      </c>
      <c r="K41" s="447">
        <f t="shared" si="1"/>
        <v>4924</v>
      </c>
      <c r="L41" s="447">
        <f t="shared" si="1"/>
        <v>4924</v>
      </c>
    </row>
    <row r="42" spans="2:12">
      <c r="B42" s="8" t="str">
        <f>RAW_DATA_INPUTS!B540</f>
        <v>Art &amp; Design</v>
      </c>
      <c r="C42" s="300">
        <f>RAW_DATA_INPUTS!C540</f>
        <v>0</v>
      </c>
      <c r="D42" s="447">
        <f t="shared" ref="D42:L60" si="2">C42</f>
        <v>0</v>
      </c>
      <c r="E42" s="447">
        <f t="shared" si="2"/>
        <v>0</v>
      </c>
      <c r="F42" s="447">
        <f t="shared" si="2"/>
        <v>0</v>
      </c>
      <c r="G42" s="447">
        <f t="shared" si="2"/>
        <v>0</v>
      </c>
      <c r="H42" s="447">
        <f t="shared" si="2"/>
        <v>0</v>
      </c>
      <c r="I42" s="447">
        <f t="shared" si="2"/>
        <v>0</v>
      </c>
      <c r="J42" s="447">
        <f t="shared" si="2"/>
        <v>0</v>
      </c>
      <c r="K42" s="447">
        <f t="shared" si="2"/>
        <v>0</v>
      </c>
      <c r="L42" s="447">
        <f t="shared" si="2"/>
        <v>0</v>
      </c>
    </row>
    <row r="43" spans="2:12">
      <c r="B43" s="8" t="str">
        <f>RAW_DATA_INPUTS!B541</f>
        <v>Biology</v>
      </c>
      <c r="C43" s="300">
        <f>RAW_DATA_INPUTS!C541</f>
        <v>9</v>
      </c>
      <c r="D43" s="447">
        <f t="shared" si="2"/>
        <v>9</v>
      </c>
      <c r="E43" s="447">
        <f t="shared" si="2"/>
        <v>9</v>
      </c>
      <c r="F43" s="447">
        <f t="shared" si="2"/>
        <v>9</v>
      </c>
      <c r="G43" s="447">
        <f t="shared" si="2"/>
        <v>9</v>
      </c>
      <c r="H43" s="447">
        <f t="shared" si="2"/>
        <v>9</v>
      </c>
      <c r="I43" s="447">
        <f t="shared" si="2"/>
        <v>9</v>
      </c>
      <c r="J43" s="447">
        <f t="shared" si="2"/>
        <v>9</v>
      </c>
      <c r="K43" s="447">
        <f t="shared" si="2"/>
        <v>9</v>
      </c>
      <c r="L43" s="447">
        <f t="shared" si="2"/>
        <v>9</v>
      </c>
    </row>
    <row r="44" spans="2:12">
      <c r="B44" s="8" t="str">
        <f>RAW_DATA_INPUTS!B542</f>
        <v>Business Studies</v>
      </c>
      <c r="C44" s="300">
        <f>RAW_DATA_INPUTS!C542</f>
        <v>0</v>
      </c>
      <c r="D44" s="447">
        <f t="shared" si="2"/>
        <v>0</v>
      </c>
      <c r="E44" s="447">
        <f t="shared" si="2"/>
        <v>0</v>
      </c>
      <c r="F44" s="447">
        <f t="shared" si="2"/>
        <v>0</v>
      </c>
      <c r="G44" s="447">
        <f t="shared" si="2"/>
        <v>0</v>
      </c>
      <c r="H44" s="447">
        <f t="shared" si="2"/>
        <v>0</v>
      </c>
      <c r="I44" s="447">
        <f t="shared" si="2"/>
        <v>0</v>
      </c>
      <c r="J44" s="447">
        <f t="shared" si="2"/>
        <v>0</v>
      </c>
      <c r="K44" s="447">
        <f t="shared" si="2"/>
        <v>0</v>
      </c>
      <c r="L44" s="447">
        <f t="shared" si="2"/>
        <v>0</v>
      </c>
    </row>
    <row r="45" spans="2:12">
      <c r="B45" s="8" t="str">
        <f>RAW_DATA_INPUTS!B543</f>
        <v>Chemistry</v>
      </c>
      <c r="C45" s="300">
        <f>RAW_DATA_INPUTS!C543</f>
        <v>9</v>
      </c>
      <c r="D45" s="447">
        <f t="shared" si="2"/>
        <v>9</v>
      </c>
      <c r="E45" s="447">
        <f t="shared" si="2"/>
        <v>9</v>
      </c>
      <c r="F45" s="447">
        <f t="shared" si="2"/>
        <v>9</v>
      </c>
      <c r="G45" s="447">
        <f t="shared" si="2"/>
        <v>9</v>
      </c>
      <c r="H45" s="447">
        <f t="shared" si="2"/>
        <v>9</v>
      </c>
      <c r="I45" s="447">
        <f t="shared" si="2"/>
        <v>9</v>
      </c>
      <c r="J45" s="447">
        <f t="shared" si="2"/>
        <v>9</v>
      </c>
      <c r="K45" s="447">
        <f t="shared" si="2"/>
        <v>9</v>
      </c>
      <c r="L45" s="447">
        <f t="shared" si="2"/>
        <v>9</v>
      </c>
    </row>
    <row r="46" spans="2:12">
      <c r="B46" s="8" t="str">
        <f>RAW_DATA_INPUTS!B544</f>
        <v>Classics</v>
      </c>
      <c r="C46" s="300">
        <f>RAW_DATA_INPUTS!C544</f>
        <v>0</v>
      </c>
      <c r="D46" s="447">
        <f t="shared" si="2"/>
        <v>0</v>
      </c>
      <c r="E46" s="447">
        <f t="shared" si="2"/>
        <v>0</v>
      </c>
      <c r="F46" s="447">
        <f t="shared" si="2"/>
        <v>0</v>
      </c>
      <c r="G46" s="447">
        <f t="shared" si="2"/>
        <v>0</v>
      </c>
      <c r="H46" s="447">
        <f t="shared" si="2"/>
        <v>0</v>
      </c>
      <c r="I46" s="447">
        <f t="shared" si="2"/>
        <v>0</v>
      </c>
      <c r="J46" s="447">
        <f t="shared" si="2"/>
        <v>0</v>
      </c>
      <c r="K46" s="447">
        <f t="shared" si="2"/>
        <v>0</v>
      </c>
      <c r="L46" s="447">
        <f t="shared" si="2"/>
        <v>0</v>
      </c>
    </row>
    <row r="47" spans="2:12">
      <c r="B47" s="8" t="str">
        <f>RAW_DATA_INPUTS!B545</f>
        <v>Computing</v>
      </c>
      <c r="C47" s="300">
        <f>RAW_DATA_INPUTS!C545</f>
        <v>0</v>
      </c>
      <c r="D47" s="447">
        <f t="shared" si="2"/>
        <v>0</v>
      </c>
      <c r="E47" s="447">
        <f t="shared" si="2"/>
        <v>0</v>
      </c>
      <c r="F47" s="447">
        <f t="shared" si="2"/>
        <v>0</v>
      </c>
      <c r="G47" s="447">
        <f t="shared" si="2"/>
        <v>0</v>
      </c>
      <c r="H47" s="447">
        <f t="shared" si="2"/>
        <v>0</v>
      </c>
      <c r="I47" s="447">
        <f t="shared" si="2"/>
        <v>0</v>
      </c>
      <c r="J47" s="447">
        <f t="shared" si="2"/>
        <v>0</v>
      </c>
      <c r="K47" s="447">
        <f t="shared" si="2"/>
        <v>0</v>
      </c>
      <c r="L47" s="447">
        <f t="shared" si="2"/>
        <v>0</v>
      </c>
    </row>
    <row r="48" spans="2:12">
      <c r="B48" s="8" t="str">
        <f>RAW_DATA_INPUTS!B546</f>
        <v>Design &amp; Technology</v>
      </c>
      <c r="C48" s="300">
        <f>RAW_DATA_INPUTS!C546</f>
        <v>0</v>
      </c>
      <c r="D48" s="447">
        <f t="shared" si="2"/>
        <v>0</v>
      </c>
      <c r="E48" s="447">
        <f t="shared" si="2"/>
        <v>0</v>
      </c>
      <c r="F48" s="447">
        <f t="shared" si="2"/>
        <v>0</v>
      </c>
      <c r="G48" s="447">
        <f t="shared" si="2"/>
        <v>0</v>
      </c>
      <c r="H48" s="447">
        <f t="shared" si="2"/>
        <v>0</v>
      </c>
      <c r="I48" s="447">
        <f t="shared" si="2"/>
        <v>0</v>
      </c>
      <c r="J48" s="447">
        <f t="shared" si="2"/>
        <v>0</v>
      </c>
      <c r="K48" s="447">
        <f t="shared" si="2"/>
        <v>0</v>
      </c>
      <c r="L48" s="447">
        <f t="shared" si="2"/>
        <v>0</v>
      </c>
    </row>
    <row r="49" spans="2:12">
      <c r="B49" s="8" t="str">
        <f>RAW_DATA_INPUTS!B547</f>
        <v>Drama</v>
      </c>
      <c r="C49" s="300">
        <f>RAW_DATA_INPUTS!C547</f>
        <v>0</v>
      </c>
      <c r="D49" s="447">
        <f t="shared" si="2"/>
        <v>0</v>
      </c>
      <c r="E49" s="447">
        <f t="shared" si="2"/>
        <v>0</v>
      </c>
      <c r="F49" s="447">
        <f t="shared" si="2"/>
        <v>0</v>
      </c>
      <c r="G49" s="447">
        <f t="shared" si="2"/>
        <v>0</v>
      </c>
      <c r="H49" s="447">
        <f t="shared" si="2"/>
        <v>0</v>
      </c>
      <c r="I49" s="447">
        <f t="shared" si="2"/>
        <v>0</v>
      </c>
      <c r="J49" s="447">
        <f t="shared" si="2"/>
        <v>0</v>
      </c>
      <c r="K49" s="447">
        <f t="shared" si="2"/>
        <v>0</v>
      </c>
      <c r="L49" s="447">
        <f t="shared" si="2"/>
        <v>0</v>
      </c>
    </row>
    <row r="50" spans="2:12">
      <c r="B50" s="8" t="str">
        <f>RAW_DATA_INPUTS!B548</f>
        <v>English</v>
      </c>
      <c r="C50" s="300">
        <f>RAW_DATA_INPUTS!C548</f>
        <v>38</v>
      </c>
      <c r="D50" s="447">
        <f t="shared" si="2"/>
        <v>38</v>
      </c>
      <c r="E50" s="447">
        <f t="shared" si="2"/>
        <v>38</v>
      </c>
      <c r="F50" s="447">
        <f t="shared" si="2"/>
        <v>38</v>
      </c>
      <c r="G50" s="447">
        <f t="shared" si="2"/>
        <v>38</v>
      </c>
      <c r="H50" s="447">
        <f t="shared" si="2"/>
        <v>38</v>
      </c>
      <c r="I50" s="447">
        <f t="shared" si="2"/>
        <v>38</v>
      </c>
      <c r="J50" s="447">
        <f t="shared" si="2"/>
        <v>38</v>
      </c>
      <c r="K50" s="447">
        <f t="shared" si="2"/>
        <v>38</v>
      </c>
      <c r="L50" s="447">
        <f t="shared" si="2"/>
        <v>38</v>
      </c>
    </row>
    <row r="51" spans="2:12">
      <c r="B51" s="8" t="str">
        <f>RAW_DATA_INPUTS!B549</f>
        <v>Food</v>
      </c>
      <c r="C51" s="300">
        <f>RAW_DATA_INPUTS!C549</f>
        <v>0</v>
      </c>
      <c r="D51" s="447">
        <f t="shared" si="2"/>
        <v>0</v>
      </c>
      <c r="E51" s="447">
        <f t="shared" si="2"/>
        <v>0</v>
      </c>
      <c r="F51" s="447">
        <f t="shared" si="2"/>
        <v>0</v>
      </c>
      <c r="G51" s="447">
        <f t="shared" si="2"/>
        <v>0</v>
      </c>
      <c r="H51" s="447">
        <f t="shared" si="2"/>
        <v>0</v>
      </c>
      <c r="I51" s="447">
        <f t="shared" si="2"/>
        <v>0</v>
      </c>
      <c r="J51" s="447">
        <f t="shared" si="2"/>
        <v>0</v>
      </c>
      <c r="K51" s="447">
        <f t="shared" si="2"/>
        <v>0</v>
      </c>
      <c r="L51" s="447">
        <f t="shared" si="2"/>
        <v>0</v>
      </c>
    </row>
    <row r="52" spans="2:12">
      <c r="B52" s="8" t="str">
        <f>RAW_DATA_INPUTS!B550</f>
        <v>Geography</v>
      </c>
      <c r="C52" s="300">
        <f>RAW_DATA_INPUTS!C550</f>
        <v>0</v>
      </c>
      <c r="D52" s="447">
        <f t="shared" si="2"/>
        <v>0</v>
      </c>
      <c r="E52" s="447">
        <f t="shared" si="2"/>
        <v>0</v>
      </c>
      <c r="F52" s="447">
        <f t="shared" si="2"/>
        <v>0</v>
      </c>
      <c r="G52" s="447">
        <f t="shared" si="2"/>
        <v>0</v>
      </c>
      <c r="H52" s="447">
        <f t="shared" si="2"/>
        <v>0</v>
      </c>
      <c r="I52" s="447">
        <f t="shared" si="2"/>
        <v>0</v>
      </c>
      <c r="J52" s="447">
        <f t="shared" si="2"/>
        <v>0</v>
      </c>
      <c r="K52" s="447">
        <f t="shared" si="2"/>
        <v>0</v>
      </c>
      <c r="L52" s="447">
        <f t="shared" si="2"/>
        <v>0</v>
      </c>
    </row>
    <row r="53" spans="2:12">
      <c r="B53" s="8" t="str">
        <f>RAW_DATA_INPUTS!B551</f>
        <v>History</v>
      </c>
      <c r="C53" s="300">
        <f>RAW_DATA_INPUTS!C551</f>
        <v>0</v>
      </c>
      <c r="D53" s="447">
        <f t="shared" si="2"/>
        <v>0</v>
      </c>
      <c r="E53" s="447">
        <f t="shared" si="2"/>
        <v>0</v>
      </c>
      <c r="F53" s="447">
        <f t="shared" si="2"/>
        <v>0</v>
      </c>
      <c r="G53" s="447">
        <f t="shared" si="2"/>
        <v>0</v>
      </c>
      <c r="H53" s="447">
        <f t="shared" si="2"/>
        <v>0</v>
      </c>
      <c r="I53" s="447">
        <f t="shared" si="2"/>
        <v>0</v>
      </c>
      <c r="J53" s="447">
        <f t="shared" si="2"/>
        <v>0</v>
      </c>
      <c r="K53" s="447">
        <f t="shared" si="2"/>
        <v>0</v>
      </c>
      <c r="L53" s="447">
        <f t="shared" si="2"/>
        <v>0</v>
      </c>
    </row>
    <row r="54" spans="2:12">
      <c r="B54" s="8" t="str">
        <f>RAW_DATA_INPUTS!B552</f>
        <v>Mathematics</v>
      </c>
      <c r="C54" s="300">
        <f>RAW_DATA_INPUTS!C552</f>
        <v>84</v>
      </c>
      <c r="D54" s="447">
        <f t="shared" si="2"/>
        <v>84</v>
      </c>
      <c r="E54" s="447">
        <f t="shared" si="2"/>
        <v>84</v>
      </c>
      <c r="F54" s="447">
        <f t="shared" si="2"/>
        <v>84</v>
      </c>
      <c r="G54" s="447">
        <f t="shared" si="2"/>
        <v>84</v>
      </c>
      <c r="H54" s="447">
        <f t="shared" si="2"/>
        <v>84</v>
      </c>
      <c r="I54" s="447">
        <f t="shared" si="2"/>
        <v>84</v>
      </c>
      <c r="J54" s="447">
        <f t="shared" si="2"/>
        <v>84</v>
      </c>
      <c r="K54" s="447">
        <f t="shared" si="2"/>
        <v>84</v>
      </c>
      <c r="L54" s="447">
        <f t="shared" si="2"/>
        <v>84</v>
      </c>
    </row>
    <row r="55" spans="2:12">
      <c r="B55" s="8" t="str">
        <f>RAW_DATA_INPUTS!B553</f>
        <v>Modern Foreign Languages</v>
      </c>
      <c r="C55" s="300">
        <f>RAW_DATA_INPUTS!C553</f>
        <v>0</v>
      </c>
      <c r="D55" s="447">
        <f t="shared" si="2"/>
        <v>0</v>
      </c>
      <c r="E55" s="447">
        <f t="shared" si="2"/>
        <v>0</v>
      </c>
      <c r="F55" s="447">
        <f t="shared" si="2"/>
        <v>0</v>
      </c>
      <c r="G55" s="447">
        <f t="shared" si="2"/>
        <v>0</v>
      </c>
      <c r="H55" s="447">
        <f t="shared" si="2"/>
        <v>0</v>
      </c>
      <c r="I55" s="447">
        <f t="shared" si="2"/>
        <v>0</v>
      </c>
      <c r="J55" s="447">
        <f t="shared" si="2"/>
        <v>0</v>
      </c>
      <c r="K55" s="447">
        <f t="shared" si="2"/>
        <v>0</v>
      </c>
      <c r="L55" s="447">
        <f t="shared" si="2"/>
        <v>0</v>
      </c>
    </row>
    <row r="56" spans="2:12">
      <c r="B56" s="8" t="str">
        <f>RAW_DATA_INPUTS!B554</f>
        <v>Music</v>
      </c>
      <c r="C56" s="300">
        <f>RAW_DATA_INPUTS!C554</f>
        <v>0</v>
      </c>
      <c r="D56" s="447">
        <f t="shared" si="2"/>
        <v>0</v>
      </c>
      <c r="E56" s="447">
        <f t="shared" si="2"/>
        <v>0</v>
      </c>
      <c r="F56" s="447">
        <f t="shared" si="2"/>
        <v>0</v>
      </c>
      <c r="G56" s="447">
        <f t="shared" si="2"/>
        <v>0</v>
      </c>
      <c r="H56" s="447">
        <f t="shared" si="2"/>
        <v>0</v>
      </c>
      <c r="I56" s="447">
        <f t="shared" si="2"/>
        <v>0</v>
      </c>
      <c r="J56" s="447">
        <f t="shared" si="2"/>
        <v>0</v>
      </c>
      <c r="K56" s="447">
        <f t="shared" si="2"/>
        <v>0</v>
      </c>
      <c r="L56" s="447">
        <f t="shared" si="2"/>
        <v>0</v>
      </c>
    </row>
    <row r="57" spans="2:12">
      <c r="B57" s="8" t="str">
        <f>RAW_DATA_INPUTS!B555</f>
        <v>Others</v>
      </c>
      <c r="C57" s="300">
        <f>RAW_DATA_INPUTS!C555</f>
        <v>0</v>
      </c>
      <c r="D57" s="447">
        <f t="shared" si="2"/>
        <v>0</v>
      </c>
      <c r="E57" s="447">
        <f t="shared" si="2"/>
        <v>0</v>
      </c>
      <c r="F57" s="447">
        <f t="shared" si="2"/>
        <v>0</v>
      </c>
      <c r="G57" s="447">
        <f t="shared" si="2"/>
        <v>0</v>
      </c>
      <c r="H57" s="447">
        <f t="shared" si="2"/>
        <v>0</v>
      </c>
      <c r="I57" s="447">
        <f t="shared" si="2"/>
        <v>0</v>
      </c>
      <c r="J57" s="447">
        <f t="shared" si="2"/>
        <v>0</v>
      </c>
      <c r="K57" s="447">
        <f t="shared" si="2"/>
        <v>0</v>
      </c>
      <c r="L57" s="447">
        <f t="shared" si="2"/>
        <v>0</v>
      </c>
    </row>
    <row r="58" spans="2:12">
      <c r="B58" s="8" t="str">
        <f>RAW_DATA_INPUTS!B556</f>
        <v>Physical Education</v>
      </c>
      <c r="C58" s="300">
        <f>RAW_DATA_INPUTS!C556</f>
        <v>86</v>
      </c>
      <c r="D58" s="447">
        <f t="shared" si="2"/>
        <v>86</v>
      </c>
      <c r="E58" s="447">
        <f t="shared" si="2"/>
        <v>86</v>
      </c>
      <c r="F58" s="447">
        <f t="shared" si="2"/>
        <v>86</v>
      </c>
      <c r="G58" s="447">
        <f t="shared" si="2"/>
        <v>86</v>
      </c>
      <c r="H58" s="447">
        <f t="shared" si="2"/>
        <v>86</v>
      </c>
      <c r="I58" s="447">
        <f t="shared" si="2"/>
        <v>86</v>
      </c>
      <c r="J58" s="447">
        <f t="shared" si="2"/>
        <v>86</v>
      </c>
      <c r="K58" s="447">
        <f t="shared" si="2"/>
        <v>86</v>
      </c>
      <c r="L58" s="447">
        <f t="shared" si="2"/>
        <v>86</v>
      </c>
    </row>
    <row r="59" spans="2:12">
      <c r="B59" s="8" t="str">
        <f>RAW_DATA_INPUTS!B557</f>
        <v>Physics</v>
      </c>
      <c r="C59" s="300">
        <f>RAW_DATA_INPUTS!C557</f>
        <v>7</v>
      </c>
      <c r="D59" s="447">
        <f t="shared" si="2"/>
        <v>7</v>
      </c>
      <c r="E59" s="447">
        <f t="shared" si="2"/>
        <v>7</v>
      </c>
      <c r="F59" s="447">
        <f t="shared" si="2"/>
        <v>7</v>
      </c>
      <c r="G59" s="447">
        <f t="shared" si="2"/>
        <v>7</v>
      </c>
      <c r="H59" s="447">
        <f t="shared" si="2"/>
        <v>7</v>
      </c>
      <c r="I59" s="447">
        <f t="shared" si="2"/>
        <v>7</v>
      </c>
      <c r="J59" s="447">
        <f t="shared" si="2"/>
        <v>7</v>
      </c>
      <c r="K59" s="447">
        <f t="shared" si="2"/>
        <v>7</v>
      </c>
      <c r="L59" s="447">
        <f t="shared" si="2"/>
        <v>7</v>
      </c>
    </row>
    <row r="60" spans="2:12">
      <c r="B60" s="8" t="str">
        <f>RAW_DATA_INPUTS!B559</f>
        <v>Religious Education</v>
      </c>
      <c r="C60" s="300">
        <f>RAW_DATA_INPUTS!C559</f>
        <v>20</v>
      </c>
      <c r="D60" s="447">
        <f t="shared" si="2"/>
        <v>20</v>
      </c>
      <c r="E60" s="447">
        <f t="shared" si="2"/>
        <v>20</v>
      </c>
      <c r="F60" s="447">
        <f t="shared" si="2"/>
        <v>20</v>
      </c>
      <c r="G60" s="447">
        <f t="shared" si="2"/>
        <v>20</v>
      </c>
      <c r="H60" s="447">
        <f t="shared" si="2"/>
        <v>20</v>
      </c>
      <c r="I60" s="447">
        <f t="shared" si="2"/>
        <v>20</v>
      </c>
      <c r="J60" s="447">
        <f t="shared" si="2"/>
        <v>20</v>
      </c>
      <c r="K60" s="447">
        <f t="shared" si="2"/>
        <v>20</v>
      </c>
      <c r="L60" s="447">
        <f t="shared" si="2"/>
        <v>20</v>
      </c>
    </row>
    <row r="61" spans="2:12">
      <c r="B61" s="8" t="s">
        <v>8</v>
      </c>
      <c r="C61" s="447">
        <f>SUM(C41:C60)</f>
        <v>5177</v>
      </c>
      <c r="D61" s="447">
        <f t="shared" ref="D61:L61" si="3">SUM(D41:D60)</f>
        <v>5177</v>
      </c>
      <c r="E61" s="447">
        <f t="shared" si="3"/>
        <v>5177</v>
      </c>
      <c r="F61" s="447">
        <f t="shared" si="3"/>
        <v>5177</v>
      </c>
      <c r="G61" s="447">
        <f t="shared" si="3"/>
        <v>5177</v>
      </c>
      <c r="H61" s="447">
        <f t="shared" si="3"/>
        <v>5177</v>
      </c>
      <c r="I61" s="447">
        <f t="shared" si="3"/>
        <v>5177</v>
      </c>
      <c r="J61" s="447">
        <f t="shared" si="3"/>
        <v>5177</v>
      </c>
      <c r="K61" s="447">
        <f t="shared" si="3"/>
        <v>5177</v>
      </c>
      <c r="L61" s="447">
        <f t="shared" si="3"/>
        <v>5177</v>
      </c>
    </row>
    <row r="62" spans="2:12">
      <c r="B62" s="8" t="s">
        <v>42</v>
      </c>
      <c r="C62" s="447">
        <f>C61-C41</f>
        <v>253</v>
      </c>
      <c r="D62" s="447">
        <f t="shared" ref="D62:L62" si="4">D61-D41</f>
        <v>253</v>
      </c>
      <c r="E62" s="447">
        <f t="shared" si="4"/>
        <v>253</v>
      </c>
      <c r="F62" s="447">
        <f t="shared" si="4"/>
        <v>253</v>
      </c>
      <c r="G62" s="447">
        <f t="shared" si="4"/>
        <v>253</v>
      </c>
      <c r="H62" s="447">
        <f t="shared" si="4"/>
        <v>253</v>
      </c>
      <c r="I62" s="447">
        <f t="shared" si="4"/>
        <v>253</v>
      </c>
      <c r="J62" s="447">
        <f t="shared" si="4"/>
        <v>253</v>
      </c>
      <c r="K62" s="447">
        <f t="shared" si="4"/>
        <v>253</v>
      </c>
      <c r="L62" s="447">
        <f t="shared" si="4"/>
        <v>253</v>
      </c>
    </row>
    <row r="64" spans="2:12">
      <c r="B64" s="703" t="s">
        <v>1085</v>
      </c>
    </row>
    <row r="65" spans="2:12">
      <c r="B65" s="702"/>
    </row>
    <row r="66" spans="2:12">
      <c r="B66" s="8" t="s">
        <v>59</v>
      </c>
      <c r="C66" s="8" t="s">
        <v>149</v>
      </c>
      <c r="D66" s="319" t="str">
        <f>D40</f>
        <v>2019/20</v>
      </c>
      <c r="E66" s="319" t="str">
        <f t="shared" ref="E66:L66" si="5">E40</f>
        <v>2020/21</v>
      </c>
      <c r="F66" s="319" t="str">
        <f t="shared" si="5"/>
        <v>2021/22</v>
      </c>
      <c r="G66" s="319" t="str">
        <f t="shared" si="5"/>
        <v>2022/23</v>
      </c>
      <c r="H66" s="319" t="str">
        <f t="shared" si="5"/>
        <v>2023/24</v>
      </c>
      <c r="I66" s="319" t="str">
        <f t="shared" si="5"/>
        <v>2024/25</v>
      </c>
      <c r="J66" s="319" t="str">
        <f t="shared" si="5"/>
        <v>2025/26</v>
      </c>
      <c r="K66" s="319" t="str">
        <f t="shared" si="5"/>
        <v>2026/27</v>
      </c>
      <c r="L66" s="319" t="str">
        <f t="shared" si="5"/>
        <v>2027/28</v>
      </c>
    </row>
    <row r="67" spans="2:12">
      <c r="B67" s="8" t="str">
        <f>B41</f>
        <v>Primary</v>
      </c>
      <c r="C67" s="406">
        <f>C41/C$61</f>
        <v>0.95112999806837939</v>
      </c>
      <c r="D67" s="406">
        <f t="shared" ref="D67:L67" si="6">D41/D$61</f>
        <v>0.95112999806837939</v>
      </c>
      <c r="E67" s="406">
        <f t="shared" si="6"/>
        <v>0.95112999806837939</v>
      </c>
      <c r="F67" s="406">
        <f t="shared" si="6"/>
        <v>0.95112999806837939</v>
      </c>
      <c r="G67" s="406">
        <f t="shared" si="6"/>
        <v>0.95112999806837939</v>
      </c>
      <c r="H67" s="406">
        <f t="shared" si="6"/>
        <v>0.95112999806837939</v>
      </c>
      <c r="I67" s="406">
        <f t="shared" si="6"/>
        <v>0.95112999806837939</v>
      </c>
      <c r="J67" s="406">
        <f t="shared" si="6"/>
        <v>0.95112999806837939</v>
      </c>
      <c r="K67" s="406">
        <f t="shared" si="6"/>
        <v>0.95112999806837939</v>
      </c>
      <c r="L67" s="406">
        <f t="shared" si="6"/>
        <v>0.95112999806837939</v>
      </c>
    </row>
    <row r="68" spans="2:12">
      <c r="B68" s="8" t="str">
        <f t="shared" ref="B68:B86" si="7">B42</f>
        <v>Art &amp; Design</v>
      </c>
      <c r="C68" s="406">
        <f t="shared" ref="C68:L86" si="8">C42/C$61</f>
        <v>0</v>
      </c>
      <c r="D68" s="406">
        <f t="shared" si="8"/>
        <v>0</v>
      </c>
      <c r="E68" s="406">
        <f t="shared" si="8"/>
        <v>0</v>
      </c>
      <c r="F68" s="406">
        <f t="shared" si="8"/>
        <v>0</v>
      </c>
      <c r="G68" s="406">
        <f t="shared" si="8"/>
        <v>0</v>
      </c>
      <c r="H68" s="406">
        <f t="shared" si="8"/>
        <v>0</v>
      </c>
      <c r="I68" s="406">
        <f t="shared" si="8"/>
        <v>0</v>
      </c>
      <c r="J68" s="406">
        <f t="shared" si="8"/>
        <v>0</v>
      </c>
      <c r="K68" s="406">
        <f t="shared" si="8"/>
        <v>0</v>
      </c>
      <c r="L68" s="406">
        <f t="shared" si="8"/>
        <v>0</v>
      </c>
    </row>
    <row r="69" spans="2:12">
      <c r="B69" s="8" t="str">
        <f t="shared" si="7"/>
        <v>Biology</v>
      </c>
      <c r="C69" s="406">
        <f t="shared" si="8"/>
        <v>1.7384585667374927E-3</v>
      </c>
      <c r="D69" s="406">
        <f t="shared" si="8"/>
        <v>1.7384585667374927E-3</v>
      </c>
      <c r="E69" s="406">
        <f t="shared" si="8"/>
        <v>1.7384585667374927E-3</v>
      </c>
      <c r="F69" s="406">
        <f t="shared" si="8"/>
        <v>1.7384585667374927E-3</v>
      </c>
      <c r="G69" s="406">
        <f t="shared" si="8"/>
        <v>1.7384585667374927E-3</v>
      </c>
      <c r="H69" s="406">
        <f t="shared" si="8"/>
        <v>1.7384585667374927E-3</v>
      </c>
      <c r="I69" s="406">
        <f t="shared" si="8"/>
        <v>1.7384585667374927E-3</v>
      </c>
      <c r="J69" s="406">
        <f t="shared" si="8"/>
        <v>1.7384585667374927E-3</v>
      </c>
      <c r="K69" s="406">
        <f t="shared" si="8"/>
        <v>1.7384585667374927E-3</v>
      </c>
      <c r="L69" s="406">
        <f t="shared" si="8"/>
        <v>1.7384585667374927E-3</v>
      </c>
    </row>
    <row r="70" spans="2:12">
      <c r="B70" s="8" t="str">
        <f t="shared" si="7"/>
        <v>Business Studies</v>
      </c>
      <c r="C70" s="406">
        <f t="shared" si="8"/>
        <v>0</v>
      </c>
      <c r="D70" s="406">
        <f t="shared" si="8"/>
        <v>0</v>
      </c>
      <c r="E70" s="406">
        <f t="shared" si="8"/>
        <v>0</v>
      </c>
      <c r="F70" s="406">
        <f t="shared" si="8"/>
        <v>0</v>
      </c>
      <c r="G70" s="406">
        <f t="shared" si="8"/>
        <v>0</v>
      </c>
      <c r="H70" s="406">
        <f t="shared" si="8"/>
        <v>0</v>
      </c>
      <c r="I70" s="406">
        <f t="shared" si="8"/>
        <v>0</v>
      </c>
      <c r="J70" s="406">
        <f t="shared" si="8"/>
        <v>0</v>
      </c>
      <c r="K70" s="406">
        <f t="shared" si="8"/>
        <v>0</v>
      </c>
      <c r="L70" s="406">
        <f t="shared" si="8"/>
        <v>0</v>
      </c>
    </row>
    <row r="71" spans="2:12">
      <c r="B71" s="8" t="str">
        <f t="shared" si="7"/>
        <v>Chemistry</v>
      </c>
      <c r="C71" s="406">
        <f t="shared" si="8"/>
        <v>1.7384585667374927E-3</v>
      </c>
      <c r="D71" s="406">
        <f t="shared" si="8"/>
        <v>1.7384585667374927E-3</v>
      </c>
      <c r="E71" s="406">
        <f t="shared" si="8"/>
        <v>1.7384585667374927E-3</v>
      </c>
      <c r="F71" s="406">
        <f t="shared" si="8"/>
        <v>1.7384585667374927E-3</v>
      </c>
      <c r="G71" s="406">
        <f t="shared" si="8"/>
        <v>1.7384585667374927E-3</v>
      </c>
      <c r="H71" s="406">
        <f t="shared" si="8"/>
        <v>1.7384585667374927E-3</v>
      </c>
      <c r="I71" s="406">
        <f t="shared" si="8"/>
        <v>1.7384585667374927E-3</v>
      </c>
      <c r="J71" s="406">
        <f t="shared" si="8"/>
        <v>1.7384585667374927E-3</v>
      </c>
      <c r="K71" s="406">
        <f t="shared" si="8"/>
        <v>1.7384585667374927E-3</v>
      </c>
      <c r="L71" s="406">
        <f t="shared" si="8"/>
        <v>1.7384585667374927E-3</v>
      </c>
    </row>
    <row r="72" spans="2:12">
      <c r="B72" s="8" t="str">
        <f t="shared" si="7"/>
        <v>Classics</v>
      </c>
      <c r="C72" s="406">
        <f t="shared" si="8"/>
        <v>0</v>
      </c>
      <c r="D72" s="406">
        <f t="shared" si="8"/>
        <v>0</v>
      </c>
      <c r="E72" s="406">
        <f t="shared" si="8"/>
        <v>0</v>
      </c>
      <c r="F72" s="406">
        <f t="shared" si="8"/>
        <v>0</v>
      </c>
      <c r="G72" s="406">
        <f t="shared" si="8"/>
        <v>0</v>
      </c>
      <c r="H72" s="406">
        <f t="shared" si="8"/>
        <v>0</v>
      </c>
      <c r="I72" s="406">
        <f t="shared" si="8"/>
        <v>0</v>
      </c>
      <c r="J72" s="406">
        <f t="shared" si="8"/>
        <v>0</v>
      </c>
      <c r="K72" s="406">
        <f t="shared" si="8"/>
        <v>0</v>
      </c>
      <c r="L72" s="406">
        <f t="shared" si="8"/>
        <v>0</v>
      </c>
    </row>
    <row r="73" spans="2:12">
      <c r="B73" s="8" t="str">
        <f t="shared" si="7"/>
        <v>Computing</v>
      </c>
      <c r="C73" s="406">
        <f t="shared" si="8"/>
        <v>0</v>
      </c>
      <c r="D73" s="406">
        <f t="shared" si="8"/>
        <v>0</v>
      </c>
      <c r="E73" s="406">
        <f t="shared" si="8"/>
        <v>0</v>
      </c>
      <c r="F73" s="406">
        <f t="shared" si="8"/>
        <v>0</v>
      </c>
      <c r="G73" s="406">
        <f t="shared" si="8"/>
        <v>0</v>
      </c>
      <c r="H73" s="406">
        <f t="shared" si="8"/>
        <v>0</v>
      </c>
      <c r="I73" s="406">
        <f t="shared" si="8"/>
        <v>0</v>
      </c>
      <c r="J73" s="406">
        <f t="shared" si="8"/>
        <v>0</v>
      </c>
      <c r="K73" s="406">
        <f t="shared" si="8"/>
        <v>0</v>
      </c>
      <c r="L73" s="406">
        <f t="shared" si="8"/>
        <v>0</v>
      </c>
    </row>
    <row r="74" spans="2:12">
      <c r="B74" s="8" t="str">
        <f t="shared" si="7"/>
        <v>Design &amp; Technology</v>
      </c>
      <c r="C74" s="406">
        <f t="shared" si="8"/>
        <v>0</v>
      </c>
      <c r="D74" s="406">
        <f t="shared" si="8"/>
        <v>0</v>
      </c>
      <c r="E74" s="406">
        <f t="shared" si="8"/>
        <v>0</v>
      </c>
      <c r="F74" s="406">
        <f t="shared" si="8"/>
        <v>0</v>
      </c>
      <c r="G74" s="406">
        <f t="shared" si="8"/>
        <v>0</v>
      </c>
      <c r="H74" s="406">
        <f t="shared" si="8"/>
        <v>0</v>
      </c>
      <c r="I74" s="406">
        <f t="shared" si="8"/>
        <v>0</v>
      </c>
      <c r="J74" s="406">
        <f t="shared" si="8"/>
        <v>0</v>
      </c>
      <c r="K74" s="406">
        <f t="shared" si="8"/>
        <v>0</v>
      </c>
      <c r="L74" s="406">
        <f t="shared" si="8"/>
        <v>0</v>
      </c>
    </row>
    <row r="75" spans="2:12">
      <c r="B75" s="8" t="str">
        <f t="shared" si="7"/>
        <v>Drama</v>
      </c>
      <c r="C75" s="406">
        <f t="shared" si="8"/>
        <v>0</v>
      </c>
      <c r="D75" s="406">
        <f t="shared" si="8"/>
        <v>0</v>
      </c>
      <c r="E75" s="406">
        <f t="shared" si="8"/>
        <v>0</v>
      </c>
      <c r="F75" s="406">
        <f t="shared" si="8"/>
        <v>0</v>
      </c>
      <c r="G75" s="406">
        <f t="shared" si="8"/>
        <v>0</v>
      </c>
      <c r="H75" s="406">
        <f t="shared" si="8"/>
        <v>0</v>
      </c>
      <c r="I75" s="406">
        <f t="shared" si="8"/>
        <v>0</v>
      </c>
      <c r="J75" s="406">
        <f t="shared" si="8"/>
        <v>0</v>
      </c>
      <c r="K75" s="406">
        <f t="shared" si="8"/>
        <v>0</v>
      </c>
      <c r="L75" s="406">
        <f t="shared" si="8"/>
        <v>0</v>
      </c>
    </row>
    <row r="76" spans="2:12">
      <c r="B76" s="8" t="str">
        <f t="shared" si="7"/>
        <v>English</v>
      </c>
      <c r="C76" s="406">
        <f t="shared" si="8"/>
        <v>7.3401583928916362E-3</v>
      </c>
      <c r="D76" s="406">
        <f t="shared" si="8"/>
        <v>7.3401583928916362E-3</v>
      </c>
      <c r="E76" s="406">
        <f t="shared" si="8"/>
        <v>7.3401583928916362E-3</v>
      </c>
      <c r="F76" s="406">
        <f t="shared" si="8"/>
        <v>7.3401583928916362E-3</v>
      </c>
      <c r="G76" s="406">
        <f t="shared" si="8"/>
        <v>7.3401583928916362E-3</v>
      </c>
      <c r="H76" s="406">
        <f t="shared" si="8"/>
        <v>7.3401583928916362E-3</v>
      </c>
      <c r="I76" s="406">
        <f t="shared" si="8"/>
        <v>7.3401583928916362E-3</v>
      </c>
      <c r="J76" s="406">
        <f t="shared" si="8"/>
        <v>7.3401583928916362E-3</v>
      </c>
      <c r="K76" s="406">
        <f t="shared" si="8"/>
        <v>7.3401583928916362E-3</v>
      </c>
      <c r="L76" s="406">
        <f t="shared" si="8"/>
        <v>7.3401583928916362E-3</v>
      </c>
    </row>
    <row r="77" spans="2:12">
      <c r="B77" s="8" t="str">
        <f t="shared" si="7"/>
        <v>Food</v>
      </c>
      <c r="C77" s="406">
        <f t="shared" si="8"/>
        <v>0</v>
      </c>
      <c r="D77" s="406">
        <f t="shared" si="8"/>
        <v>0</v>
      </c>
      <c r="E77" s="406">
        <f t="shared" si="8"/>
        <v>0</v>
      </c>
      <c r="F77" s="406">
        <f t="shared" si="8"/>
        <v>0</v>
      </c>
      <c r="G77" s="406">
        <f t="shared" si="8"/>
        <v>0</v>
      </c>
      <c r="H77" s="406">
        <f t="shared" si="8"/>
        <v>0</v>
      </c>
      <c r="I77" s="406">
        <f t="shared" si="8"/>
        <v>0</v>
      </c>
      <c r="J77" s="406">
        <f t="shared" si="8"/>
        <v>0</v>
      </c>
      <c r="K77" s="406">
        <f t="shared" si="8"/>
        <v>0</v>
      </c>
      <c r="L77" s="406">
        <f t="shared" si="8"/>
        <v>0</v>
      </c>
    </row>
    <row r="78" spans="2:12">
      <c r="B78" s="8" t="str">
        <f t="shared" si="7"/>
        <v>Geography</v>
      </c>
      <c r="C78" s="406">
        <f t="shared" si="8"/>
        <v>0</v>
      </c>
      <c r="D78" s="406">
        <f t="shared" si="8"/>
        <v>0</v>
      </c>
      <c r="E78" s="406">
        <f t="shared" si="8"/>
        <v>0</v>
      </c>
      <c r="F78" s="406">
        <f t="shared" si="8"/>
        <v>0</v>
      </c>
      <c r="G78" s="406">
        <f t="shared" si="8"/>
        <v>0</v>
      </c>
      <c r="H78" s="406">
        <f t="shared" si="8"/>
        <v>0</v>
      </c>
      <c r="I78" s="406">
        <f t="shared" si="8"/>
        <v>0</v>
      </c>
      <c r="J78" s="406">
        <f t="shared" si="8"/>
        <v>0</v>
      </c>
      <c r="K78" s="406">
        <f t="shared" si="8"/>
        <v>0</v>
      </c>
      <c r="L78" s="406">
        <f t="shared" si="8"/>
        <v>0</v>
      </c>
    </row>
    <row r="79" spans="2:12">
      <c r="B79" s="8" t="str">
        <f t="shared" si="7"/>
        <v>History</v>
      </c>
      <c r="C79" s="406">
        <f t="shared" si="8"/>
        <v>0</v>
      </c>
      <c r="D79" s="406">
        <f t="shared" si="8"/>
        <v>0</v>
      </c>
      <c r="E79" s="406">
        <f t="shared" si="8"/>
        <v>0</v>
      </c>
      <c r="F79" s="406">
        <f t="shared" si="8"/>
        <v>0</v>
      </c>
      <c r="G79" s="406">
        <f t="shared" si="8"/>
        <v>0</v>
      </c>
      <c r="H79" s="406">
        <f t="shared" si="8"/>
        <v>0</v>
      </c>
      <c r="I79" s="406">
        <f t="shared" si="8"/>
        <v>0</v>
      </c>
      <c r="J79" s="406">
        <f t="shared" si="8"/>
        <v>0</v>
      </c>
      <c r="K79" s="406">
        <f t="shared" si="8"/>
        <v>0</v>
      </c>
      <c r="L79" s="406">
        <f t="shared" si="8"/>
        <v>0</v>
      </c>
    </row>
    <row r="80" spans="2:12">
      <c r="B80" s="8" t="str">
        <f t="shared" si="7"/>
        <v>Mathematics</v>
      </c>
      <c r="C80" s="406">
        <f t="shared" si="8"/>
        <v>1.6225613289549932E-2</v>
      </c>
      <c r="D80" s="406">
        <f t="shared" si="8"/>
        <v>1.6225613289549932E-2</v>
      </c>
      <c r="E80" s="406">
        <f t="shared" si="8"/>
        <v>1.6225613289549932E-2</v>
      </c>
      <c r="F80" s="406">
        <f t="shared" si="8"/>
        <v>1.6225613289549932E-2</v>
      </c>
      <c r="G80" s="406">
        <f t="shared" si="8"/>
        <v>1.6225613289549932E-2</v>
      </c>
      <c r="H80" s="406">
        <f t="shared" si="8"/>
        <v>1.6225613289549932E-2</v>
      </c>
      <c r="I80" s="406">
        <f t="shared" si="8"/>
        <v>1.6225613289549932E-2</v>
      </c>
      <c r="J80" s="406">
        <f t="shared" si="8"/>
        <v>1.6225613289549932E-2</v>
      </c>
      <c r="K80" s="406">
        <f t="shared" si="8"/>
        <v>1.6225613289549932E-2</v>
      </c>
      <c r="L80" s="406">
        <f t="shared" si="8"/>
        <v>1.6225613289549932E-2</v>
      </c>
    </row>
    <row r="81" spans="1:12">
      <c r="B81" s="8" t="str">
        <f t="shared" si="7"/>
        <v>Modern Foreign Languages</v>
      </c>
      <c r="C81" s="406">
        <f t="shared" si="8"/>
        <v>0</v>
      </c>
      <c r="D81" s="406">
        <f t="shared" si="8"/>
        <v>0</v>
      </c>
      <c r="E81" s="406">
        <f t="shared" si="8"/>
        <v>0</v>
      </c>
      <c r="F81" s="406">
        <f t="shared" si="8"/>
        <v>0</v>
      </c>
      <c r="G81" s="406">
        <f t="shared" si="8"/>
        <v>0</v>
      </c>
      <c r="H81" s="406">
        <f t="shared" si="8"/>
        <v>0</v>
      </c>
      <c r="I81" s="406">
        <f t="shared" si="8"/>
        <v>0</v>
      </c>
      <c r="J81" s="406">
        <f t="shared" si="8"/>
        <v>0</v>
      </c>
      <c r="K81" s="406">
        <f t="shared" si="8"/>
        <v>0</v>
      </c>
      <c r="L81" s="406">
        <f t="shared" si="8"/>
        <v>0</v>
      </c>
    </row>
    <row r="82" spans="1:12">
      <c r="B82" s="8" t="str">
        <f t="shared" si="7"/>
        <v>Music</v>
      </c>
      <c r="C82" s="406">
        <f t="shared" si="8"/>
        <v>0</v>
      </c>
      <c r="D82" s="406">
        <f t="shared" si="8"/>
        <v>0</v>
      </c>
      <c r="E82" s="406">
        <f t="shared" si="8"/>
        <v>0</v>
      </c>
      <c r="F82" s="406">
        <f t="shared" si="8"/>
        <v>0</v>
      </c>
      <c r="G82" s="406">
        <f t="shared" si="8"/>
        <v>0</v>
      </c>
      <c r="H82" s="406">
        <f t="shared" si="8"/>
        <v>0</v>
      </c>
      <c r="I82" s="406">
        <f t="shared" si="8"/>
        <v>0</v>
      </c>
      <c r="J82" s="406">
        <f t="shared" si="8"/>
        <v>0</v>
      </c>
      <c r="K82" s="406">
        <f t="shared" si="8"/>
        <v>0</v>
      </c>
      <c r="L82" s="406">
        <f t="shared" si="8"/>
        <v>0</v>
      </c>
    </row>
    <row r="83" spans="1:12">
      <c r="B83" s="8" t="str">
        <f t="shared" si="7"/>
        <v>Others</v>
      </c>
      <c r="C83" s="406">
        <f t="shared" si="8"/>
        <v>0</v>
      </c>
      <c r="D83" s="406">
        <f t="shared" si="8"/>
        <v>0</v>
      </c>
      <c r="E83" s="406">
        <f t="shared" si="8"/>
        <v>0</v>
      </c>
      <c r="F83" s="406">
        <f t="shared" si="8"/>
        <v>0</v>
      </c>
      <c r="G83" s="406">
        <f t="shared" si="8"/>
        <v>0</v>
      </c>
      <c r="H83" s="406">
        <f t="shared" si="8"/>
        <v>0</v>
      </c>
      <c r="I83" s="406">
        <f t="shared" si="8"/>
        <v>0</v>
      </c>
      <c r="J83" s="406">
        <f t="shared" si="8"/>
        <v>0</v>
      </c>
      <c r="K83" s="406">
        <f t="shared" si="8"/>
        <v>0</v>
      </c>
      <c r="L83" s="406">
        <f t="shared" si="8"/>
        <v>0</v>
      </c>
    </row>
    <row r="84" spans="1:12">
      <c r="B84" s="8" t="str">
        <f t="shared" si="7"/>
        <v>Physical Education</v>
      </c>
      <c r="C84" s="406">
        <f t="shared" si="8"/>
        <v>1.6611937415491596E-2</v>
      </c>
      <c r="D84" s="406">
        <f t="shared" si="8"/>
        <v>1.6611937415491596E-2</v>
      </c>
      <c r="E84" s="406">
        <f t="shared" si="8"/>
        <v>1.6611937415491596E-2</v>
      </c>
      <c r="F84" s="406">
        <f t="shared" si="8"/>
        <v>1.6611937415491596E-2</v>
      </c>
      <c r="G84" s="406">
        <f t="shared" si="8"/>
        <v>1.6611937415491596E-2</v>
      </c>
      <c r="H84" s="406">
        <f t="shared" si="8"/>
        <v>1.6611937415491596E-2</v>
      </c>
      <c r="I84" s="406">
        <f t="shared" si="8"/>
        <v>1.6611937415491596E-2</v>
      </c>
      <c r="J84" s="406">
        <f t="shared" si="8"/>
        <v>1.6611937415491596E-2</v>
      </c>
      <c r="K84" s="406">
        <f t="shared" si="8"/>
        <v>1.6611937415491596E-2</v>
      </c>
      <c r="L84" s="406">
        <f t="shared" si="8"/>
        <v>1.6611937415491596E-2</v>
      </c>
    </row>
    <row r="85" spans="1:12">
      <c r="B85" s="8" t="str">
        <f t="shared" si="7"/>
        <v>Physics</v>
      </c>
      <c r="C85" s="406">
        <f t="shared" si="8"/>
        <v>1.3521344407958276E-3</v>
      </c>
      <c r="D85" s="406">
        <f t="shared" si="8"/>
        <v>1.3521344407958276E-3</v>
      </c>
      <c r="E85" s="406">
        <f t="shared" si="8"/>
        <v>1.3521344407958276E-3</v>
      </c>
      <c r="F85" s="406">
        <f t="shared" si="8"/>
        <v>1.3521344407958276E-3</v>
      </c>
      <c r="G85" s="406">
        <f t="shared" si="8"/>
        <v>1.3521344407958276E-3</v>
      </c>
      <c r="H85" s="406">
        <f t="shared" si="8"/>
        <v>1.3521344407958276E-3</v>
      </c>
      <c r="I85" s="406">
        <f t="shared" si="8"/>
        <v>1.3521344407958276E-3</v>
      </c>
      <c r="J85" s="406">
        <f t="shared" si="8"/>
        <v>1.3521344407958276E-3</v>
      </c>
      <c r="K85" s="406">
        <f t="shared" si="8"/>
        <v>1.3521344407958276E-3</v>
      </c>
      <c r="L85" s="406">
        <f t="shared" si="8"/>
        <v>1.3521344407958276E-3</v>
      </c>
    </row>
    <row r="86" spans="1:12">
      <c r="B86" s="8" t="str">
        <f t="shared" si="7"/>
        <v>Religious Education</v>
      </c>
      <c r="C86" s="406">
        <f t="shared" si="8"/>
        <v>3.8632412594166504E-3</v>
      </c>
      <c r="D86" s="406">
        <f t="shared" si="8"/>
        <v>3.8632412594166504E-3</v>
      </c>
      <c r="E86" s="406">
        <f t="shared" si="8"/>
        <v>3.8632412594166504E-3</v>
      </c>
      <c r="F86" s="406">
        <f t="shared" si="8"/>
        <v>3.8632412594166504E-3</v>
      </c>
      <c r="G86" s="406">
        <f t="shared" si="8"/>
        <v>3.8632412594166504E-3</v>
      </c>
      <c r="H86" s="406">
        <f t="shared" si="8"/>
        <v>3.8632412594166504E-3</v>
      </c>
      <c r="I86" s="406">
        <f t="shared" si="8"/>
        <v>3.8632412594166504E-3</v>
      </c>
      <c r="J86" s="406">
        <f t="shared" si="8"/>
        <v>3.8632412594166504E-3</v>
      </c>
      <c r="K86" s="406">
        <f t="shared" si="8"/>
        <v>3.8632412594166504E-3</v>
      </c>
      <c r="L86" s="406">
        <f t="shared" si="8"/>
        <v>3.8632412594166504E-3</v>
      </c>
    </row>
    <row r="87" spans="1:12">
      <c r="B87" s="8" t="str">
        <f>B61</f>
        <v>Total</v>
      </c>
      <c r="C87" s="630">
        <f>SUM(C67:C86)</f>
        <v>1</v>
      </c>
      <c r="D87" s="630">
        <f t="shared" ref="D87:L87" si="9">SUM(D67:D86)</f>
        <v>1</v>
      </c>
      <c r="E87" s="630">
        <f t="shared" si="9"/>
        <v>1</v>
      </c>
      <c r="F87" s="630">
        <f t="shared" si="9"/>
        <v>1</v>
      </c>
      <c r="G87" s="630">
        <f t="shared" si="9"/>
        <v>1</v>
      </c>
      <c r="H87" s="630">
        <f t="shared" si="9"/>
        <v>1</v>
      </c>
      <c r="I87" s="630">
        <f t="shared" si="9"/>
        <v>1</v>
      </c>
      <c r="J87" s="630">
        <f t="shared" si="9"/>
        <v>1</v>
      </c>
      <c r="K87" s="630">
        <f t="shared" si="9"/>
        <v>1</v>
      </c>
      <c r="L87" s="630">
        <f t="shared" si="9"/>
        <v>1</v>
      </c>
    </row>
    <row r="88" spans="1:12">
      <c r="A88">
        <f>SUM(C88:L88)</f>
        <v>0</v>
      </c>
      <c r="C88" s="701">
        <f>C87-1</f>
        <v>0</v>
      </c>
      <c r="D88" s="701">
        <f t="shared" ref="D88:L88" si="10">D87-1</f>
        <v>0</v>
      </c>
      <c r="E88" s="701">
        <f t="shared" si="10"/>
        <v>0</v>
      </c>
      <c r="F88" s="701">
        <f t="shared" si="10"/>
        <v>0</v>
      </c>
      <c r="G88" s="701">
        <f t="shared" si="10"/>
        <v>0</v>
      </c>
      <c r="H88" s="701">
        <f t="shared" si="10"/>
        <v>0</v>
      </c>
      <c r="I88" s="701">
        <f t="shared" si="10"/>
        <v>0</v>
      </c>
      <c r="J88" s="701">
        <f t="shared" si="10"/>
        <v>0</v>
      </c>
      <c r="K88" s="701">
        <f t="shared" si="10"/>
        <v>0</v>
      </c>
      <c r="L88" s="701">
        <f t="shared" si="10"/>
        <v>0</v>
      </c>
    </row>
    <row r="90" spans="1:12" ht="15.75">
      <c r="B90" s="77" t="s">
        <v>1088</v>
      </c>
    </row>
    <row r="92" spans="1:12">
      <c r="B92" s="107" t="s">
        <v>1087</v>
      </c>
    </row>
    <row r="94" spans="1:12">
      <c r="B94" s="8" t="s">
        <v>59</v>
      </c>
      <c r="C94" s="149" t="str">
        <f>C66</f>
        <v>2018/19</v>
      </c>
      <c r="D94" s="149" t="str">
        <f t="shared" ref="D94:L94" si="11">D66</f>
        <v>2019/20</v>
      </c>
      <c r="E94" s="149" t="str">
        <f t="shared" si="11"/>
        <v>2020/21</v>
      </c>
      <c r="F94" s="149" t="str">
        <f t="shared" si="11"/>
        <v>2021/22</v>
      </c>
      <c r="G94" s="149" t="str">
        <f t="shared" si="11"/>
        <v>2022/23</v>
      </c>
      <c r="H94" s="149" t="str">
        <f t="shared" si="11"/>
        <v>2023/24</v>
      </c>
      <c r="I94" s="149" t="str">
        <f t="shared" si="11"/>
        <v>2024/25</v>
      </c>
      <c r="J94" s="149" t="str">
        <f t="shared" si="11"/>
        <v>2025/26</v>
      </c>
      <c r="K94" s="149" t="str">
        <f t="shared" si="11"/>
        <v>2026/27</v>
      </c>
      <c r="L94" s="149" t="str">
        <f t="shared" si="11"/>
        <v>2027/28</v>
      </c>
    </row>
    <row r="95" spans="1:12">
      <c r="B95" s="8" t="str">
        <f t="shared" ref="B95:B114" si="12">B41</f>
        <v>Primary</v>
      </c>
      <c r="C95" s="531">
        <f>RAW_DATA_INPUTS!C527</f>
        <v>0.86404708139829034</v>
      </c>
      <c r="D95" s="630">
        <f>C95</f>
        <v>0.86404708139829034</v>
      </c>
      <c r="E95" s="630">
        <f t="shared" ref="E95:L95" si="13">D95</f>
        <v>0.86404708139829034</v>
      </c>
      <c r="F95" s="630">
        <f t="shared" si="13"/>
        <v>0.86404708139829034</v>
      </c>
      <c r="G95" s="630">
        <f t="shared" si="13"/>
        <v>0.86404708139829034</v>
      </c>
      <c r="H95" s="630">
        <f t="shared" si="13"/>
        <v>0.86404708139829034</v>
      </c>
      <c r="I95" s="630">
        <f t="shared" si="13"/>
        <v>0.86404708139829034</v>
      </c>
      <c r="J95" s="630">
        <f t="shared" si="13"/>
        <v>0.86404708139829034</v>
      </c>
      <c r="K95" s="630">
        <f t="shared" si="13"/>
        <v>0.86404708139829034</v>
      </c>
      <c r="L95" s="630">
        <f t="shared" si="13"/>
        <v>0.86404708139829034</v>
      </c>
    </row>
    <row r="96" spans="1:12">
      <c r="B96" s="8" t="str">
        <f t="shared" si="12"/>
        <v>Art &amp; Design</v>
      </c>
      <c r="C96" s="531">
        <f>RAW_DATA_INPUTS!C509</f>
        <v>0.87353445960274267</v>
      </c>
      <c r="D96" s="630">
        <f t="shared" ref="D96:L114" si="14">C96</f>
        <v>0.87353445960274267</v>
      </c>
      <c r="E96" s="630">
        <f t="shared" si="14"/>
        <v>0.87353445960274267</v>
      </c>
      <c r="F96" s="630">
        <f t="shared" si="14"/>
        <v>0.87353445960274267</v>
      </c>
      <c r="G96" s="630">
        <f t="shared" si="14"/>
        <v>0.87353445960274267</v>
      </c>
      <c r="H96" s="630">
        <f t="shared" si="14"/>
        <v>0.87353445960274267</v>
      </c>
      <c r="I96" s="630">
        <f t="shared" si="14"/>
        <v>0.87353445960274267</v>
      </c>
      <c r="J96" s="630">
        <f t="shared" si="14"/>
        <v>0.87353445960274267</v>
      </c>
      <c r="K96" s="630">
        <f t="shared" si="14"/>
        <v>0.87353445960274267</v>
      </c>
      <c r="L96" s="630">
        <f t="shared" si="14"/>
        <v>0.87353445960274267</v>
      </c>
    </row>
    <row r="97" spans="2:12">
      <c r="B97" s="8" t="str">
        <f t="shared" si="12"/>
        <v>Biology</v>
      </c>
      <c r="C97" s="531">
        <f>RAW_DATA_INPUTS!C510</f>
        <v>0.79247145981751177</v>
      </c>
      <c r="D97" s="630">
        <f t="shared" si="14"/>
        <v>0.79247145981751177</v>
      </c>
      <c r="E97" s="630">
        <f t="shared" si="14"/>
        <v>0.79247145981751177</v>
      </c>
      <c r="F97" s="630">
        <f t="shared" si="14"/>
        <v>0.79247145981751177</v>
      </c>
      <c r="G97" s="630">
        <f t="shared" si="14"/>
        <v>0.79247145981751177</v>
      </c>
      <c r="H97" s="630">
        <f t="shared" si="14"/>
        <v>0.79247145981751177</v>
      </c>
      <c r="I97" s="630">
        <f t="shared" si="14"/>
        <v>0.79247145981751177</v>
      </c>
      <c r="J97" s="630">
        <f t="shared" si="14"/>
        <v>0.79247145981751177</v>
      </c>
      <c r="K97" s="630">
        <f t="shared" si="14"/>
        <v>0.79247145981751177</v>
      </c>
      <c r="L97" s="630">
        <f t="shared" si="14"/>
        <v>0.79247145981751177</v>
      </c>
    </row>
    <row r="98" spans="2:12">
      <c r="B98" s="8" t="str">
        <f t="shared" si="12"/>
        <v>Business Studies</v>
      </c>
      <c r="C98" s="531">
        <f>RAW_DATA_INPUTS!C511</f>
        <v>0.76197345289973084</v>
      </c>
      <c r="D98" s="630">
        <f t="shared" si="14"/>
        <v>0.76197345289973084</v>
      </c>
      <c r="E98" s="630">
        <f t="shared" si="14"/>
        <v>0.76197345289973084</v>
      </c>
      <c r="F98" s="630">
        <f t="shared" si="14"/>
        <v>0.76197345289973084</v>
      </c>
      <c r="G98" s="630">
        <f t="shared" si="14"/>
        <v>0.76197345289973084</v>
      </c>
      <c r="H98" s="630">
        <f t="shared" si="14"/>
        <v>0.76197345289973084</v>
      </c>
      <c r="I98" s="630">
        <f t="shared" si="14"/>
        <v>0.76197345289973084</v>
      </c>
      <c r="J98" s="630">
        <f t="shared" si="14"/>
        <v>0.76197345289973084</v>
      </c>
      <c r="K98" s="630">
        <f t="shared" si="14"/>
        <v>0.76197345289973084</v>
      </c>
      <c r="L98" s="630">
        <f t="shared" si="14"/>
        <v>0.76197345289973084</v>
      </c>
    </row>
    <row r="99" spans="2:12">
      <c r="B99" s="8" t="str">
        <f t="shared" si="12"/>
        <v>Chemistry</v>
      </c>
      <c r="C99" s="531">
        <f>RAW_DATA_INPUTS!C512</f>
        <v>0.8062879868928704</v>
      </c>
      <c r="D99" s="630">
        <f t="shared" si="14"/>
        <v>0.8062879868928704</v>
      </c>
      <c r="E99" s="630">
        <f t="shared" si="14"/>
        <v>0.8062879868928704</v>
      </c>
      <c r="F99" s="630">
        <f t="shared" si="14"/>
        <v>0.8062879868928704</v>
      </c>
      <c r="G99" s="630">
        <f t="shared" si="14"/>
        <v>0.8062879868928704</v>
      </c>
      <c r="H99" s="630">
        <f t="shared" si="14"/>
        <v>0.8062879868928704</v>
      </c>
      <c r="I99" s="630">
        <f t="shared" si="14"/>
        <v>0.8062879868928704</v>
      </c>
      <c r="J99" s="630">
        <f t="shared" si="14"/>
        <v>0.8062879868928704</v>
      </c>
      <c r="K99" s="630">
        <f t="shared" si="14"/>
        <v>0.8062879868928704</v>
      </c>
      <c r="L99" s="630">
        <f t="shared" si="14"/>
        <v>0.8062879868928704</v>
      </c>
    </row>
    <row r="100" spans="2:12">
      <c r="B100" s="8" t="str">
        <f t="shared" si="12"/>
        <v>Classics</v>
      </c>
      <c r="C100" s="531">
        <f>RAW_DATA_INPUTS!C513</f>
        <v>0.76197345289973084</v>
      </c>
      <c r="D100" s="630">
        <f t="shared" si="14"/>
        <v>0.76197345289973084</v>
      </c>
      <c r="E100" s="630">
        <f t="shared" si="14"/>
        <v>0.76197345289973084</v>
      </c>
      <c r="F100" s="630">
        <f t="shared" si="14"/>
        <v>0.76197345289973084</v>
      </c>
      <c r="G100" s="630">
        <f t="shared" si="14"/>
        <v>0.76197345289973084</v>
      </c>
      <c r="H100" s="630">
        <f t="shared" si="14"/>
        <v>0.76197345289973084</v>
      </c>
      <c r="I100" s="630">
        <f t="shared" si="14"/>
        <v>0.76197345289973084</v>
      </c>
      <c r="J100" s="630">
        <f t="shared" si="14"/>
        <v>0.76197345289973084</v>
      </c>
      <c r="K100" s="630">
        <f t="shared" si="14"/>
        <v>0.76197345289973084</v>
      </c>
      <c r="L100" s="630">
        <f t="shared" si="14"/>
        <v>0.76197345289973084</v>
      </c>
    </row>
    <row r="101" spans="2:12">
      <c r="B101" s="8" t="str">
        <f t="shared" si="12"/>
        <v>Computing</v>
      </c>
      <c r="C101" s="531">
        <f>RAW_DATA_INPUTS!C514</f>
        <v>0.84182925089482463</v>
      </c>
      <c r="D101" s="630">
        <f t="shared" si="14"/>
        <v>0.84182925089482463</v>
      </c>
      <c r="E101" s="630">
        <f t="shared" si="14"/>
        <v>0.84182925089482463</v>
      </c>
      <c r="F101" s="630">
        <f t="shared" si="14"/>
        <v>0.84182925089482463</v>
      </c>
      <c r="G101" s="630">
        <f t="shared" si="14"/>
        <v>0.84182925089482463</v>
      </c>
      <c r="H101" s="630">
        <f t="shared" si="14"/>
        <v>0.84182925089482463</v>
      </c>
      <c r="I101" s="630">
        <f t="shared" si="14"/>
        <v>0.84182925089482463</v>
      </c>
      <c r="J101" s="630">
        <f t="shared" si="14"/>
        <v>0.84182925089482463</v>
      </c>
      <c r="K101" s="630">
        <f t="shared" si="14"/>
        <v>0.84182925089482463</v>
      </c>
      <c r="L101" s="630">
        <f t="shared" si="14"/>
        <v>0.84182925089482463</v>
      </c>
    </row>
    <row r="102" spans="2:12">
      <c r="B102" s="8" t="str">
        <f t="shared" si="12"/>
        <v>Design &amp; Technology</v>
      </c>
      <c r="C102" s="531">
        <f>RAW_DATA_INPUTS!C515</f>
        <v>0.76197345289973084</v>
      </c>
      <c r="D102" s="630">
        <f t="shared" si="14"/>
        <v>0.76197345289973084</v>
      </c>
      <c r="E102" s="630">
        <f t="shared" si="14"/>
        <v>0.76197345289973084</v>
      </c>
      <c r="F102" s="630">
        <f t="shared" si="14"/>
        <v>0.76197345289973084</v>
      </c>
      <c r="G102" s="630">
        <f t="shared" si="14"/>
        <v>0.76197345289973084</v>
      </c>
      <c r="H102" s="630">
        <f t="shared" si="14"/>
        <v>0.76197345289973084</v>
      </c>
      <c r="I102" s="630">
        <f t="shared" si="14"/>
        <v>0.76197345289973084</v>
      </c>
      <c r="J102" s="630">
        <f t="shared" si="14"/>
        <v>0.76197345289973084</v>
      </c>
      <c r="K102" s="630">
        <f t="shared" si="14"/>
        <v>0.76197345289973084</v>
      </c>
      <c r="L102" s="630">
        <f t="shared" si="14"/>
        <v>0.76197345289973084</v>
      </c>
    </row>
    <row r="103" spans="2:12">
      <c r="B103" s="8" t="str">
        <f t="shared" si="12"/>
        <v>Drama</v>
      </c>
      <c r="C103" s="531">
        <f>RAW_DATA_INPUTS!C516</f>
        <v>0.76197345289973084</v>
      </c>
      <c r="D103" s="630">
        <f t="shared" si="14"/>
        <v>0.76197345289973084</v>
      </c>
      <c r="E103" s="630">
        <f t="shared" si="14"/>
        <v>0.76197345289973084</v>
      </c>
      <c r="F103" s="630">
        <f t="shared" si="14"/>
        <v>0.76197345289973084</v>
      </c>
      <c r="G103" s="630">
        <f t="shared" si="14"/>
        <v>0.76197345289973084</v>
      </c>
      <c r="H103" s="630">
        <f t="shared" si="14"/>
        <v>0.76197345289973084</v>
      </c>
      <c r="I103" s="630">
        <f t="shared" si="14"/>
        <v>0.76197345289973084</v>
      </c>
      <c r="J103" s="630">
        <f t="shared" si="14"/>
        <v>0.76197345289973084</v>
      </c>
      <c r="K103" s="630">
        <f t="shared" si="14"/>
        <v>0.76197345289973084</v>
      </c>
      <c r="L103" s="630">
        <f t="shared" si="14"/>
        <v>0.76197345289973084</v>
      </c>
    </row>
    <row r="104" spans="2:12">
      <c r="B104" s="8" t="str">
        <f t="shared" si="12"/>
        <v>English</v>
      </c>
      <c r="C104" s="531">
        <f>RAW_DATA_INPUTS!C517</f>
        <v>0.86821719957494592</v>
      </c>
      <c r="D104" s="630">
        <f t="shared" si="14"/>
        <v>0.86821719957494592</v>
      </c>
      <c r="E104" s="630">
        <f t="shared" si="14"/>
        <v>0.86821719957494592</v>
      </c>
      <c r="F104" s="630">
        <f t="shared" si="14"/>
        <v>0.86821719957494592</v>
      </c>
      <c r="G104" s="630">
        <f t="shared" si="14"/>
        <v>0.86821719957494592</v>
      </c>
      <c r="H104" s="630">
        <f t="shared" si="14"/>
        <v>0.86821719957494592</v>
      </c>
      <c r="I104" s="630">
        <f t="shared" si="14"/>
        <v>0.86821719957494592</v>
      </c>
      <c r="J104" s="630">
        <f t="shared" si="14"/>
        <v>0.86821719957494592</v>
      </c>
      <c r="K104" s="630">
        <f t="shared" si="14"/>
        <v>0.86821719957494592</v>
      </c>
      <c r="L104" s="630">
        <f t="shared" si="14"/>
        <v>0.86821719957494592</v>
      </c>
    </row>
    <row r="105" spans="2:12">
      <c r="B105" s="8" t="str">
        <f t="shared" si="12"/>
        <v>Food</v>
      </c>
      <c r="C105" s="531">
        <f>RAW_DATA_INPUTS!C518</f>
        <v>0.76197345289973084</v>
      </c>
      <c r="D105" s="630">
        <f t="shared" si="14"/>
        <v>0.76197345289973084</v>
      </c>
      <c r="E105" s="630">
        <f t="shared" si="14"/>
        <v>0.76197345289973084</v>
      </c>
      <c r="F105" s="630">
        <f t="shared" si="14"/>
        <v>0.76197345289973084</v>
      </c>
      <c r="G105" s="630">
        <f t="shared" si="14"/>
        <v>0.76197345289973084</v>
      </c>
      <c r="H105" s="630">
        <f t="shared" si="14"/>
        <v>0.76197345289973084</v>
      </c>
      <c r="I105" s="630">
        <f t="shared" si="14"/>
        <v>0.76197345289973084</v>
      </c>
      <c r="J105" s="630">
        <f t="shared" si="14"/>
        <v>0.76197345289973084</v>
      </c>
      <c r="K105" s="630">
        <f t="shared" si="14"/>
        <v>0.76197345289973084</v>
      </c>
      <c r="L105" s="630">
        <f t="shared" si="14"/>
        <v>0.76197345289973084</v>
      </c>
    </row>
    <row r="106" spans="2:12">
      <c r="B106" s="8" t="str">
        <f t="shared" si="12"/>
        <v>Geography</v>
      </c>
      <c r="C106" s="531">
        <f>RAW_DATA_INPUTS!C519</f>
        <v>0.83368028279654371</v>
      </c>
      <c r="D106" s="630">
        <f t="shared" si="14"/>
        <v>0.83368028279654371</v>
      </c>
      <c r="E106" s="630">
        <f t="shared" si="14"/>
        <v>0.83368028279654371</v>
      </c>
      <c r="F106" s="630">
        <f t="shared" si="14"/>
        <v>0.83368028279654371</v>
      </c>
      <c r="G106" s="630">
        <f t="shared" si="14"/>
        <v>0.83368028279654371</v>
      </c>
      <c r="H106" s="630">
        <f t="shared" si="14"/>
        <v>0.83368028279654371</v>
      </c>
      <c r="I106" s="630">
        <f t="shared" si="14"/>
        <v>0.83368028279654371</v>
      </c>
      <c r="J106" s="630">
        <f t="shared" si="14"/>
        <v>0.83368028279654371</v>
      </c>
      <c r="K106" s="630">
        <f t="shared" si="14"/>
        <v>0.83368028279654371</v>
      </c>
      <c r="L106" s="630">
        <f t="shared" si="14"/>
        <v>0.83368028279654371</v>
      </c>
    </row>
    <row r="107" spans="2:12">
      <c r="B107" s="8" t="str">
        <f t="shared" si="12"/>
        <v>History</v>
      </c>
      <c r="C107" s="531">
        <f>RAW_DATA_INPUTS!C520</f>
        <v>0.90788935921763247</v>
      </c>
      <c r="D107" s="630">
        <f t="shared" si="14"/>
        <v>0.90788935921763247</v>
      </c>
      <c r="E107" s="630">
        <f t="shared" si="14"/>
        <v>0.90788935921763247</v>
      </c>
      <c r="F107" s="630">
        <f t="shared" si="14"/>
        <v>0.90788935921763247</v>
      </c>
      <c r="G107" s="630">
        <f t="shared" si="14"/>
        <v>0.90788935921763247</v>
      </c>
      <c r="H107" s="630">
        <f t="shared" si="14"/>
        <v>0.90788935921763247</v>
      </c>
      <c r="I107" s="630">
        <f t="shared" si="14"/>
        <v>0.90788935921763247</v>
      </c>
      <c r="J107" s="630">
        <f t="shared" si="14"/>
        <v>0.90788935921763247</v>
      </c>
      <c r="K107" s="630">
        <f t="shared" si="14"/>
        <v>0.90788935921763247</v>
      </c>
      <c r="L107" s="630">
        <f t="shared" si="14"/>
        <v>0.90788935921763247</v>
      </c>
    </row>
    <row r="108" spans="2:12">
      <c r="B108" s="8" t="str">
        <f t="shared" si="12"/>
        <v>Mathematics</v>
      </c>
      <c r="C108" s="531">
        <f>RAW_DATA_INPUTS!C521</f>
        <v>0.87219511552719786</v>
      </c>
      <c r="D108" s="630">
        <f t="shared" si="14"/>
        <v>0.87219511552719786</v>
      </c>
      <c r="E108" s="630">
        <f t="shared" si="14"/>
        <v>0.87219511552719786</v>
      </c>
      <c r="F108" s="630">
        <f t="shared" si="14"/>
        <v>0.87219511552719786</v>
      </c>
      <c r="G108" s="630">
        <f t="shared" si="14"/>
        <v>0.87219511552719786</v>
      </c>
      <c r="H108" s="630">
        <f t="shared" si="14"/>
        <v>0.87219511552719786</v>
      </c>
      <c r="I108" s="630">
        <f t="shared" si="14"/>
        <v>0.87219511552719786</v>
      </c>
      <c r="J108" s="630">
        <f t="shared" si="14"/>
        <v>0.87219511552719786</v>
      </c>
      <c r="K108" s="630">
        <f t="shared" si="14"/>
        <v>0.87219511552719786</v>
      </c>
      <c r="L108" s="630">
        <f t="shared" si="14"/>
        <v>0.87219511552719786</v>
      </c>
    </row>
    <row r="109" spans="2:12">
      <c r="B109" s="8" t="str">
        <f t="shared" si="12"/>
        <v>Modern Foreign Languages</v>
      </c>
      <c r="C109" s="531">
        <f>RAW_DATA_INPUTS!C522</f>
        <v>0.94246018280740651</v>
      </c>
      <c r="D109" s="630">
        <f t="shared" si="14"/>
        <v>0.94246018280740651</v>
      </c>
      <c r="E109" s="630">
        <f t="shared" si="14"/>
        <v>0.94246018280740651</v>
      </c>
      <c r="F109" s="630">
        <f t="shared" si="14"/>
        <v>0.94246018280740651</v>
      </c>
      <c r="G109" s="630">
        <f t="shared" si="14"/>
        <v>0.94246018280740651</v>
      </c>
      <c r="H109" s="630">
        <f t="shared" si="14"/>
        <v>0.94246018280740651</v>
      </c>
      <c r="I109" s="630">
        <f t="shared" si="14"/>
        <v>0.94246018280740651</v>
      </c>
      <c r="J109" s="630">
        <f t="shared" si="14"/>
        <v>0.94246018280740651</v>
      </c>
      <c r="K109" s="630">
        <f t="shared" si="14"/>
        <v>0.94246018280740651</v>
      </c>
      <c r="L109" s="630">
        <f t="shared" si="14"/>
        <v>0.94246018280740651</v>
      </c>
    </row>
    <row r="110" spans="2:12">
      <c r="B110" s="8" t="str">
        <f t="shared" si="12"/>
        <v>Music</v>
      </c>
      <c r="C110" s="531">
        <f>RAW_DATA_INPUTS!C523</f>
        <v>0.9619734528997308</v>
      </c>
      <c r="D110" s="630">
        <f t="shared" si="14"/>
        <v>0.9619734528997308</v>
      </c>
      <c r="E110" s="630">
        <f t="shared" si="14"/>
        <v>0.9619734528997308</v>
      </c>
      <c r="F110" s="630">
        <f t="shared" si="14"/>
        <v>0.9619734528997308</v>
      </c>
      <c r="G110" s="630">
        <f t="shared" si="14"/>
        <v>0.9619734528997308</v>
      </c>
      <c r="H110" s="630">
        <f t="shared" si="14"/>
        <v>0.9619734528997308</v>
      </c>
      <c r="I110" s="630">
        <f t="shared" si="14"/>
        <v>0.9619734528997308</v>
      </c>
      <c r="J110" s="630">
        <f t="shared" si="14"/>
        <v>0.9619734528997308</v>
      </c>
      <c r="K110" s="630">
        <f t="shared" si="14"/>
        <v>0.9619734528997308</v>
      </c>
      <c r="L110" s="630">
        <f t="shared" si="14"/>
        <v>0.9619734528997308</v>
      </c>
    </row>
    <row r="111" spans="2:12">
      <c r="B111" s="8" t="str">
        <f t="shared" si="12"/>
        <v>Others</v>
      </c>
      <c r="C111" s="531">
        <f>RAW_DATA_INPUTS!C524</f>
        <v>0.76197345289973084</v>
      </c>
      <c r="D111" s="630">
        <f t="shared" si="14"/>
        <v>0.76197345289973084</v>
      </c>
      <c r="E111" s="630">
        <f t="shared" si="14"/>
        <v>0.76197345289973084</v>
      </c>
      <c r="F111" s="630">
        <f t="shared" si="14"/>
        <v>0.76197345289973084</v>
      </c>
      <c r="G111" s="630">
        <f t="shared" si="14"/>
        <v>0.76197345289973084</v>
      </c>
      <c r="H111" s="630">
        <f t="shared" si="14"/>
        <v>0.76197345289973084</v>
      </c>
      <c r="I111" s="630">
        <f t="shared" si="14"/>
        <v>0.76197345289973084</v>
      </c>
      <c r="J111" s="630">
        <f t="shared" si="14"/>
        <v>0.76197345289973084</v>
      </c>
      <c r="K111" s="630">
        <f t="shared" si="14"/>
        <v>0.76197345289973084</v>
      </c>
      <c r="L111" s="630">
        <f t="shared" si="14"/>
        <v>0.76197345289973084</v>
      </c>
    </row>
    <row r="112" spans="2:12">
      <c r="B112" s="8" t="str">
        <f t="shared" si="12"/>
        <v>Physical Education</v>
      </c>
      <c r="C112" s="531">
        <f>RAW_DATA_INPUTS!C525</f>
        <v>0.87123879551164074</v>
      </c>
      <c r="D112" s="630">
        <f t="shared" si="14"/>
        <v>0.87123879551164074</v>
      </c>
      <c r="E112" s="630">
        <f t="shared" si="14"/>
        <v>0.87123879551164074</v>
      </c>
      <c r="F112" s="630">
        <f t="shared" si="14"/>
        <v>0.87123879551164074</v>
      </c>
      <c r="G112" s="630">
        <f t="shared" si="14"/>
        <v>0.87123879551164074</v>
      </c>
      <c r="H112" s="630">
        <f t="shared" si="14"/>
        <v>0.87123879551164074</v>
      </c>
      <c r="I112" s="630">
        <f t="shared" si="14"/>
        <v>0.87123879551164074</v>
      </c>
      <c r="J112" s="630">
        <f t="shared" si="14"/>
        <v>0.87123879551164074</v>
      </c>
      <c r="K112" s="630">
        <f t="shared" si="14"/>
        <v>0.87123879551164074</v>
      </c>
      <c r="L112" s="630">
        <f t="shared" si="14"/>
        <v>0.87123879551164074</v>
      </c>
    </row>
    <row r="113" spans="2:12">
      <c r="B113" s="8" t="str">
        <f t="shared" si="12"/>
        <v>Physics</v>
      </c>
      <c r="C113" s="531">
        <f>RAW_DATA_INPUTS!C526</f>
        <v>0.83555555555555561</v>
      </c>
      <c r="D113" s="630">
        <f t="shared" si="14"/>
        <v>0.83555555555555561</v>
      </c>
      <c r="E113" s="630">
        <f t="shared" si="14"/>
        <v>0.83555555555555561</v>
      </c>
      <c r="F113" s="630">
        <f t="shared" si="14"/>
        <v>0.83555555555555561</v>
      </c>
      <c r="G113" s="630">
        <f t="shared" si="14"/>
        <v>0.83555555555555561</v>
      </c>
      <c r="H113" s="630">
        <f t="shared" si="14"/>
        <v>0.83555555555555561</v>
      </c>
      <c r="I113" s="630">
        <f t="shared" si="14"/>
        <v>0.83555555555555561</v>
      </c>
      <c r="J113" s="630">
        <f t="shared" si="14"/>
        <v>0.83555555555555561</v>
      </c>
      <c r="K113" s="630">
        <f t="shared" si="14"/>
        <v>0.83555555555555561</v>
      </c>
      <c r="L113" s="630">
        <f t="shared" si="14"/>
        <v>0.83555555555555561</v>
      </c>
    </row>
    <row r="114" spans="2:12">
      <c r="B114" s="8" t="str">
        <f t="shared" si="12"/>
        <v>Religious Education</v>
      </c>
      <c r="C114" s="531">
        <f>RAW_DATA_INPUTS!C528</f>
        <v>0.87026154540763678</v>
      </c>
      <c r="D114" s="630">
        <f t="shared" si="14"/>
        <v>0.87026154540763678</v>
      </c>
      <c r="E114" s="630">
        <f t="shared" si="14"/>
        <v>0.87026154540763678</v>
      </c>
      <c r="F114" s="630">
        <f t="shared" si="14"/>
        <v>0.87026154540763678</v>
      </c>
      <c r="G114" s="630">
        <f t="shared" si="14"/>
        <v>0.87026154540763678</v>
      </c>
      <c r="H114" s="630">
        <f t="shared" si="14"/>
        <v>0.87026154540763678</v>
      </c>
      <c r="I114" s="630">
        <f t="shared" si="14"/>
        <v>0.87026154540763678</v>
      </c>
      <c r="J114" s="630">
        <f t="shared" si="14"/>
        <v>0.87026154540763678</v>
      </c>
      <c r="K114" s="630">
        <f t="shared" si="14"/>
        <v>0.87026154540763678</v>
      </c>
      <c r="L114" s="630">
        <f t="shared" si="14"/>
        <v>0.87026154540763678</v>
      </c>
    </row>
    <row r="116" spans="2:12">
      <c r="B116" s="107" t="s">
        <v>1086</v>
      </c>
    </row>
    <row r="118" spans="2:12">
      <c r="B118" s="8" t="s">
        <v>59</v>
      </c>
      <c r="C118" s="8" t="str">
        <f>C94</f>
        <v>2018/19</v>
      </c>
      <c r="D118" s="8" t="str">
        <f t="shared" ref="D118:L118" si="15">D94</f>
        <v>2019/20</v>
      </c>
      <c r="E118" s="8" t="str">
        <f t="shared" si="15"/>
        <v>2020/21</v>
      </c>
      <c r="F118" s="8" t="str">
        <f t="shared" si="15"/>
        <v>2021/22</v>
      </c>
      <c r="G118" s="8" t="str">
        <f t="shared" si="15"/>
        <v>2022/23</v>
      </c>
      <c r="H118" s="8" t="str">
        <f t="shared" si="15"/>
        <v>2023/24</v>
      </c>
      <c r="I118" s="8" t="str">
        <f t="shared" si="15"/>
        <v>2024/25</v>
      </c>
      <c r="J118" s="8" t="str">
        <f t="shared" si="15"/>
        <v>2025/26</v>
      </c>
      <c r="K118" s="8" t="str">
        <f t="shared" si="15"/>
        <v>2026/27</v>
      </c>
      <c r="L118" s="8" t="str">
        <f t="shared" si="15"/>
        <v>2027/28</v>
      </c>
    </row>
    <row r="119" spans="2:12">
      <c r="B119" s="8" t="str">
        <f t="shared" ref="B119:B138" si="16">B95</f>
        <v>Primary</v>
      </c>
      <c r="C119" s="531">
        <f>Data_selected_by_user_testing!D147</f>
        <v>0.81859377286715618</v>
      </c>
      <c r="D119" s="504">
        <f>C119</f>
        <v>0.81859377286715618</v>
      </c>
      <c r="E119" s="504">
        <f t="shared" ref="E119:L119" si="17">D119</f>
        <v>0.81859377286715618</v>
      </c>
      <c r="F119" s="504">
        <f t="shared" si="17"/>
        <v>0.81859377286715618</v>
      </c>
      <c r="G119" s="504">
        <f t="shared" si="17"/>
        <v>0.81859377286715618</v>
      </c>
      <c r="H119" s="504">
        <f t="shared" si="17"/>
        <v>0.81859377286715618</v>
      </c>
      <c r="I119" s="504">
        <f t="shared" si="17"/>
        <v>0.81859377286715618</v>
      </c>
      <c r="J119" s="504">
        <f t="shared" si="17"/>
        <v>0.81859377286715618</v>
      </c>
      <c r="K119" s="504">
        <f t="shared" si="17"/>
        <v>0.81859377286715618</v>
      </c>
      <c r="L119" s="504">
        <f t="shared" si="17"/>
        <v>0.81859377286715618</v>
      </c>
    </row>
    <row r="120" spans="2:12">
      <c r="B120" s="8" t="str">
        <f t="shared" si="16"/>
        <v>Art &amp; Design</v>
      </c>
      <c r="C120" s="531">
        <f>Data_selected_by_user_testing!D158</f>
        <v>0.8356640040850567</v>
      </c>
      <c r="D120" s="504">
        <f t="shared" ref="D120:L138" si="18">C120</f>
        <v>0.8356640040850567</v>
      </c>
      <c r="E120" s="504">
        <f t="shared" si="18"/>
        <v>0.8356640040850567</v>
      </c>
      <c r="F120" s="504">
        <f t="shared" si="18"/>
        <v>0.8356640040850567</v>
      </c>
      <c r="G120" s="504">
        <f t="shared" si="18"/>
        <v>0.8356640040850567</v>
      </c>
      <c r="H120" s="504">
        <f t="shared" si="18"/>
        <v>0.8356640040850567</v>
      </c>
      <c r="I120" s="504">
        <f t="shared" si="18"/>
        <v>0.8356640040850567</v>
      </c>
      <c r="J120" s="504">
        <f t="shared" si="18"/>
        <v>0.8356640040850567</v>
      </c>
      <c r="K120" s="504">
        <f t="shared" si="18"/>
        <v>0.8356640040850567</v>
      </c>
      <c r="L120" s="504">
        <f t="shared" si="18"/>
        <v>0.8356640040850567</v>
      </c>
    </row>
    <row r="121" spans="2:12">
      <c r="B121" s="8" t="str">
        <f t="shared" si="16"/>
        <v>Biology</v>
      </c>
      <c r="C121" s="531">
        <f>Data_selected_by_user_testing!D159</f>
        <v>0.80718406160507539</v>
      </c>
      <c r="D121" s="504">
        <f t="shared" si="18"/>
        <v>0.80718406160507539</v>
      </c>
      <c r="E121" s="504">
        <f t="shared" si="18"/>
        <v>0.80718406160507539</v>
      </c>
      <c r="F121" s="504">
        <f t="shared" si="18"/>
        <v>0.80718406160507539</v>
      </c>
      <c r="G121" s="504">
        <f t="shared" si="18"/>
        <v>0.80718406160507539</v>
      </c>
      <c r="H121" s="504">
        <f t="shared" si="18"/>
        <v>0.80718406160507539</v>
      </c>
      <c r="I121" s="504">
        <f t="shared" si="18"/>
        <v>0.80718406160507539</v>
      </c>
      <c r="J121" s="504">
        <f t="shared" si="18"/>
        <v>0.80718406160507539</v>
      </c>
      <c r="K121" s="504">
        <f t="shared" si="18"/>
        <v>0.80718406160507539</v>
      </c>
      <c r="L121" s="504">
        <f t="shared" si="18"/>
        <v>0.80718406160507539</v>
      </c>
    </row>
    <row r="122" spans="2:12">
      <c r="B122" s="8" t="str">
        <f t="shared" si="16"/>
        <v>Business Studies</v>
      </c>
      <c r="C122" s="531">
        <f>Data_selected_by_user_testing!D160</f>
        <v>0.71816580359993998</v>
      </c>
      <c r="D122" s="504">
        <f t="shared" si="18"/>
        <v>0.71816580359993998</v>
      </c>
      <c r="E122" s="504">
        <f t="shared" si="18"/>
        <v>0.71816580359993998</v>
      </c>
      <c r="F122" s="504">
        <f t="shared" si="18"/>
        <v>0.71816580359993998</v>
      </c>
      <c r="G122" s="504">
        <f t="shared" si="18"/>
        <v>0.71816580359993998</v>
      </c>
      <c r="H122" s="504">
        <f t="shared" si="18"/>
        <v>0.71816580359993998</v>
      </c>
      <c r="I122" s="504">
        <f t="shared" si="18"/>
        <v>0.71816580359993998</v>
      </c>
      <c r="J122" s="504">
        <f t="shared" si="18"/>
        <v>0.71816580359993998</v>
      </c>
      <c r="K122" s="504">
        <f t="shared" si="18"/>
        <v>0.71816580359993998</v>
      </c>
      <c r="L122" s="504">
        <f t="shared" si="18"/>
        <v>0.71816580359993998</v>
      </c>
    </row>
    <row r="123" spans="2:12">
      <c r="B123" s="8" t="str">
        <f t="shared" si="16"/>
        <v>Chemistry</v>
      </c>
      <c r="C123" s="531">
        <f>Data_selected_by_user_testing!D161</f>
        <v>0.78667464266615916</v>
      </c>
      <c r="D123" s="504">
        <f t="shared" si="18"/>
        <v>0.78667464266615916</v>
      </c>
      <c r="E123" s="504">
        <f t="shared" si="18"/>
        <v>0.78667464266615916</v>
      </c>
      <c r="F123" s="504">
        <f t="shared" si="18"/>
        <v>0.78667464266615916</v>
      </c>
      <c r="G123" s="504">
        <f t="shared" si="18"/>
        <v>0.78667464266615916</v>
      </c>
      <c r="H123" s="504">
        <f t="shared" si="18"/>
        <v>0.78667464266615916</v>
      </c>
      <c r="I123" s="504">
        <f t="shared" si="18"/>
        <v>0.78667464266615916</v>
      </c>
      <c r="J123" s="504">
        <f t="shared" si="18"/>
        <v>0.78667464266615916</v>
      </c>
      <c r="K123" s="504">
        <f t="shared" si="18"/>
        <v>0.78667464266615916</v>
      </c>
      <c r="L123" s="504">
        <f t="shared" si="18"/>
        <v>0.78667464266615916</v>
      </c>
    </row>
    <row r="124" spans="2:12">
      <c r="B124" s="8" t="str">
        <f t="shared" si="16"/>
        <v>Classics</v>
      </c>
      <c r="C124" s="531">
        <f>Data_selected_by_user_testing!D162</f>
        <v>0.71816580359993998</v>
      </c>
      <c r="D124" s="504">
        <f t="shared" si="18"/>
        <v>0.71816580359993998</v>
      </c>
      <c r="E124" s="504">
        <f t="shared" si="18"/>
        <v>0.71816580359993998</v>
      </c>
      <c r="F124" s="504">
        <f t="shared" si="18"/>
        <v>0.71816580359993998</v>
      </c>
      <c r="G124" s="504">
        <f t="shared" si="18"/>
        <v>0.71816580359993998</v>
      </c>
      <c r="H124" s="504">
        <f t="shared" si="18"/>
        <v>0.71816580359993998</v>
      </c>
      <c r="I124" s="504">
        <f t="shared" si="18"/>
        <v>0.71816580359993998</v>
      </c>
      <c r="J124" s="504">
        <f t="shared" si="18"/>
        <v>0.71816580359993998</v>
      </c>
      <c r="K124" s="504">
        <f t="shared" si="18"/>
        <v>0.71816580359993998</v>
      </c>
      <c r="L124" s="504">
        <f t="shared" si="18"/>
        <v>0.71816580359993998</v>
      </c>
    </row>
    <row r="125" spans="2:12">
      <c r="B125" s="8" t="str">
        <f t="shared" si="16"/>
        <v>Computing</v>
      </c>
      <c r="C125" s="531">
        <f>Data_selected_by_user_testing!D163</f>
        <v>0.74559534501907387</v>
      </c>
      <c r="D125" s="504">
        <f t="shared" si="18"/>
        <v>0.74559534501907387</v>
      </c>
      <c r="E125" s="504">
        <f t="shared" si="18"/>
        <v>0.74559534501907387</v>
      </c>
      <c r="F125" s="504">
        <f t="shared" si="18"/>
        <v>0.74559534501907387</v>
      </c>
      <c r="G125" s="504">
        <f t="shared" si="18"/>
        <v>0.74559534501907387</v>
      </c>
      <c r="H125" s="504">
        <f t="shared" si="18"/>
        <v>0.74559534501907387</v>
      </c>
      <c r="I125" s="504">
        <f t="shared" si="18"/>
        <v>0.74559534501907387</v>
      </c>
      <c r="J125" s="504">
        <f t="shared" si="18"/>
        <v>0.74559534501907387</v>
      </c>
      <c r="K125" s="504">
        <f t="shared" si="18"/>
        <v>0.74559534501907387</v>
      </c>
      <c r="L125" s="504">
        <f t="shared" si="18"/>
        <v>0.74559534501907387</v>
      </c>
    </row>
    <row r="126" spans="2:12">
      <c r="B126" s="8" t="str">
        <f t="shared" si="16"/>
        <v>Design &amp; Technology</v>
      </c>
      <c r="C126" s="531">
        <f>Data_selected_by_user_testing!D164</f>
        <v>0.76073012587244093</v>
      </c>
      <c r="D126" s="504">
        <f t="shared" si="18"/>
        <v>0.76073012587244093</v>
      </c>
      <c r="E126" s="504">
        <f t="shared" si="18"/>
        <v>0.76073012587244093</v>
      </c>
      <c r="F126" s="504">
        <f t="shared" si="18"/>
        <v>0.76073012587244093</v>
      </c>
      <c r="G126" s="504">
        <f t="shared" si="18"/>
        <v>0.76073012587244093</v>
      </c>
      <c r="H126" s="504">
        <f t="shared" si="18"/>
        <v>0.76073012587244093</v>
      </c>
      <c r="I126" s="504">
        <f t="shared" si="18"/>
        <v>0.76073012587244093</v>
      </c>
      <c r="J126" s="504">
        <f t="shared" si="18"/>
        <v>0.76073012587244093</v>
      </c>
      <c r="K126" s="504">
        <f t="shared" si="18"/>
        <v>0.76073012587244093</v>
      </c>
      <c r="L126" s="504">
        <f t="shared" si="18"/>
        <v>0.76073012587244093</v>
      </c>
    </row>
    <row r="127" spans="2:12">
      <c r="B127" s="8" t="str">
        <f t="shared" si="16"/>
        <v>Drama</v>
      </c>
      <c r="C127" s="531">
        <f>Data_selected_by_user_testing!D165</f>
        <v>0.71816580359993998</v>
      </c>
      <c r="D127" s="504">
        <f t="shared" si="18"/>
        <v>0.71816580359993998</v>
      </c>
      <c r="E127" s="504">
        <f t="shared" si="18"/>
        <v>0.71816580359993998</v>
      </c>
      <c r="F127" s="504">
        <f t="shared" si="18"/>
        <v>0.71816580359993998</v>
      </c>
      <c r="G127" s="504">
        <f t="shared" si="18"/>
        <v>0.71816580359993998</v>
      </c>
      <c r="H127" s="504">
        <f t="shared" si="18"/>
        <v>0.71816580359993998</v>
      </c>
      <c r="I127" s="504">
        <f t="shared" si="18"/>
        <v>0.71816580359993998</v>
      </c>
      <c r="J127" s="504">
        <f t="shared" si="18"/>
        <v>0.71816580359993998</v>
      </c>
      <c r="K127" s="504">
        <f t="shared" si="18"/>
        <v>0.71816580359993998</v>
      </c>
      <c r="L127" s="504">
        <f t="shared" si="18"/>
        <v>0.71816580359993998</v>
      </c>
    </row>
    <row r="128" spans="2:12">
      <c r="B128" s="8" t="str">
        <f t="shared" si="16"/>
        <v>English</v>
      </c>
      <c r="C128" s="531">
        <f>Data_selected_by_user_testing!D166</f>
        <v>0.86426335010355448</v>
      </c>
      <c r="D128" s="504">
        <f t="shared" si="18"/>
        <v>0.86426335010355448</v>
      </c>
      <c r="E128" s="504">
        <f t="shared" si="18"/>
        <v>0.86426335010355448</v>
      </c>
      <c r="F128" s="504">
        <f t="shared" si="18"/>
        <v>0.86426335010355448</v>
      </c>
      <c r="G128" s="504">
        <f t="shared" si="18"/>
        <v>0.86426335010355448</v>
      </c>
      <c r="H128" s="504">
        <f t="shared" si="18"/>
        <v>0.86426335010355448</v>
      </c>
      <c r="I128" s="504">
        <f t="shared" si="18"/>
        <v>0.86426335010355448</v>
      </c>
      <c r="J128" s="504">
        <f t="shared" si="18"/>
        <v>0.86426335010355448</v>
      </c>
      <c r="K128" s="504">
        <f t="shared" si="18"/>
        <v>0.86426335010355448</v>
      </c>
      <c r="L128" s="504">
        <f t="shared" si="18"/>
        <v>0.86426335010355448</v>
      </c>
    </row>
    <row r="129" spans="2:12">
      <c r="B129" s="8" t="str">
        <f t="shared" si="16"/>
        <v>Food</v>
      </c>
      <c r="C129" s="531">
        <f>Data_selected_by_user_testing!D167</f>
        <v>0.71816580359993998</v>
      </c>
      <c r="D129" s="504">
        <f t="shared" si="18"/>
        <v>0.71816580359993998</v>
      </c>
      <c r="E129" s="504">
        <f t="shared" si="18"/>
        <v>0.71816580359993998</v>
      </c>
      <c r="F129" s="504">
        <f t="shared" si="18"/>
        <v>0.71816580359993998</v>
      </c>
      <c r="G129" s="504">
        <f t="shared" si="18"/>
        <v>0.71816580359993998</v>
      </c>
      <c r="H129" s="504">
        <f t="shared" si="18"/>
        <v>0.71816580359993998</v>
      </c>
      <c r="I129" s="504">
        <f t="shared" si="18"/>
        <v>0.71816580359993998</v>
      </c>
      <c r="J129" s="504">
        <f t="shared" si="18"/>
        <v>0.71816580359993998</v>
      </c>
      <c r="K129" s="504">
        <f t="shared" si="18"/>
        <v>0.71816580359993998</v>
      </c>
      <c r="L129" s="504">
        <f t="shared" si="18"/>
        <v>0.71816580359993998</v>
      </c>
    </row>
    <row r="130" spans="2:12">
      <c r="B130" s="8" t="str">
        <f t="shared" si="16"/>
        <v>Geography</v>
      </c>
      <c r="C130" s="531">
        <f>Data_selected_by_user_testing!D168</f>
        <v>0.82241629985327469</v>
      </c>
      <c r="D130" s="504">
        <f t="shared" si="18"/>
        <v>0.82241629985327469</v>
      </c>
      <c r="E130" s="504">
        <f t="shared" si="18"/>
        <v>0.82241629985327469</v>
      </c>
      <c r="F130" s="504">
        <f t="shared" si="18"/>
        <v>0.82241629985327469</v>
      </c>
      <c r="G130" s="504">
        <f t="shared" si="18"/>
        <v>0.82241629985327469</v>
      </c>
      <c r="H130" s="504">
        <f t="shared" si="18"/>
        <v>0.82241629985327469</v>
      </c>
      <c r="I130" s="504">
        <f t="shared" si="18"/>
        <v>0.82241629985327469</v>
      </c>
      <c r="J130" s="504">
        <f t="shared" si="18"/>
        <v>0.82241629985327469</v>
      </c>
      <c r="K130" s="504">
        <f t="shared" si="18"/>
        <v>0.82241629985327469</v>
      </c>
      <c r="L130" s="504">
        <f t="shared" si="18"/>
        <v>0.82241629985327469</v>
      </c>
    </row>
    <row r="131" spans="2:12">
      <c r="B131" s="8" t="str">
        <f t="shared" si="16"/>
        <v>History</v>
      </c>
      <c r="C131" s="531">
        <f>Data_selected_by_user_testing!D169</f>
        <v>0.91680469289164945</v>
      </c>
      <c r="D131" s="504">
        <f t="shared" si="18"/>
        <v>0.91680469289164945</v>
      </c>
      <c r="E131" s="504">
        <f t="shared" si="18"/>
        <v>0.91680469289164945</v>
      </c>
      <c r="F131" s="504">
        <f t="shared" si="18"/>
        <v>0.91680469289164945</v>
      </c>
      <c r="G131" s="504">
        <f t="shared" si="18"/>
        <v>0.91680469289164945</v>
      </c>
      <c r="H131" s="504">
        <f t="shared" si="18"/>
        <v>0.91680469289164945</v>
      </c>
      <c r="I131" s="504">
        <f t="shared" si="18"/>
        <v>0.91680469289164945</v>
      </c>
      <c r="J131" s="504">
        <f t="shared" si="18"/>
        <v>0.91680469289164945</v>
      </c>
      <c r="K131" s="504">
        <f t="shared" si="18"/>
        <v>0.91680469289164945</v>
      </c>
      <c r="L131" s="504">
        <f t="shared" si="18"/>
        <v>0.91680469289164945</v>
      </c>
    </row>
    <row r="132" spans="2:12">
      <c r="B132" s="8" t="str">
        <f t="shared" si="16"/>
        <v>Mathematics</v>
      </c>
      <c r="C132" s="531">
        <f>Data_selected_by_user_testing!D170</f>
        <v>0.83162473667079739</v>
      </c>
      <c r="D132" s="504">
        <f t="shared" si="18"/>
        <v>0.83162473667079739</v>
      </c>
      <c r="E132" s="504">
        <f t="shared" si="18"/>
        <v>0.83162473667079739</v>
      </c>
      <c r="F132" s="504">
        <f t="shared" si="18"/>
        <v>0.83162473667079739</v>
      </c>
      <c r="G132" s="504">
        <f t="shared" si="18"/>
        <v>0.83162473667079739</v>
      </c>
      <c r="H132" s="504">
        <f t="shared" si="18"/>
        <v>0.83162473667079739</v>
      </c>
      <c r="I132" s="504">
        <f t="shared" si="18"/>
        <v>0.83162473667079739</v>
      </c>
      <c r="J132" s="504">
        <f t="shared" si="18"/>
        <v>0.83162473667079739</v>
      </c>
      <c r="K132" s="504">
        <f t="shared" si="18"/>
        <v>0.83162473667079739</v>
      </c>
      <c r="L132" s="504">
        <f t="shared" si="18"/>
        <v>0.83162473667079739</v>
      </c>
    </row>
    <row r="133" spans="2:12">
      <c r="B133" s="8" t="str">
        <f t="shared" si="16"/>
        <v>Modern Foreign Languages</v>
      </c>
      <c r="C133" s="531">
        <f>Data_selected_by_user_testing!D171</f>
        <v>0.86415064366192196</v>
      </c>
      <c r="D133" s="504">
        <f t="shared" si="18"/>
        <v>0.86415064366192196</v>
      </c>
      <c r="E133" s="504">
        <f t="shared" si="18"/>
        <v>0.86415064366192196</v>
      </c>
      <c r="F133" s="504">
        <f t="shared" si="18"/>
        <v>0.86415064366192196</v>
      </c>
      <c r="G133" s="504">
        <f t="shared" si="18"/>
        <v>0.86415064366192196</v>
      </c>
      <c r="H133" s="504">
        <f t="shared" si="18"/>
        <v>0.86415064366192196</v>
      </c>
      <c r="I133" s="504">
        <f t="shared" si="18"/>
        <v>0.86415064366192196</v>
      </c>
      <c r="J133" s="504">
        <f t="shared" si="18"/>
        <v>0.86415064366192196</v>
      </c>
      <c r="K133" s="504">
        <f t="shared" si="18"/>
        <v>0.86415064366192196</v>
      </c>
      <c r="L133" s="504">
        <f t="shared" si="18"/>
        <v>0.86415064366192196</v>
      </c>
    </row>
    <row r="134" spans="2:12">
      <c r="B134" s="8" t="str">
        <f t="shared" si="16"/>
        <v>Music</v>
      </c>
      <c r="C134" s="531">
        <f>Data_selected_by_user_testing!D172</f>
        <v>0.91816580359993993</v>
      </c>
      <c r="D134" s="504">
        <f t="shared" si="18"/>
        <v>0.91816580359993993</v>
      </c>
      <c r="E134" s="504">
        <f t="shared" si="18"/>
        <v>0.91816580359993993</v>
      </c>
      <c r="F134" s="504">
        <f t="shared" si="18"/>
        <v>0.91816580359993993</v>
      </c>
      <c r="G134" s="504">
        <f t="shared" si="18"/>
        <v>0.91816580359993993</v>
      </c>
      <c r="H134" s="504">
        <f t="shared" si="18"/>
        <v>0.91816580359993993</v>
      </c>
      <c r="I134" s="504">
        <f t="shared" si="18"/>
        <v>0.91816580359993993</v>
      </c>
      <c r="J134" s="504">
        <f t="shared" si="18"/>
        <v>0.91816580359993993</v>
      </c>
      <c r="K134" s="504">
        <f t="shared" si="18"/>
        <v>0.91816580359993993</v>
      </c>
      <c r="L134" s="504">
        <f t="shared" si="18"/>
        <v>0.91816580359993993</v>
      </c>
    </row>
    <row r="135" spans="2:12">
      <c r="B135" s="8" t="str">
        <f t="shared" si="16"/>
        <v>Others</v>
      </c>
      <c r="C135" s="531">
        <f>Data_selected_by_user_testing!D173</f>
        <v>0.71816580359993998</v>
      </c>
      <c r="D135" s="504">
        <f t="shared" si="18"/>
        <v>0.71816580359993998</v>
      </c>
      <c r="E135" s="504">
        <f t="shared" si="18"/>
        <v>0.71816580359993998</v>
      </c>
      <c r="F135" s="504">
        <f t="shared" si="18"/>
        <v>0.71816580359993998</v>
      </c>
      <c r="G135" s="504">
        <f t="shared" si="18"/>
        <v>0.71816580359993998</v>
      </c>
      <c r="H135" s="504">
        <f t="shared" si="18"/>
        <v>0.71816580359993998</v>
      </c>
      <c r="I135" s="504">
        <f t="shared" si="18"/>
        <v>0.71816580359993998</v>
      </c>
      <c r="J135" s="504">
        <f t="shared" si="18"/>
        <v>0.71816580359993998</v>
      </c>
      <c r="K135" s="504">
        <f t="shared" si="18"/>
        <v>0.71816580359993998</v>
      </c>
      <c r="L135" s="504">
        <f t="shared" si="18"/>
        <v>0.71816580359993998</v>
      </c>
    </row>
    <row r="136" spans="2:12">
      <c r="B136" s="8" t="str">
        <f t="shared" si="16"/>
        <v>Physical Education</v>
      </c>
      <c r="C136" s="531">
        <f>Data_selected_by_user_testing!D174</f>
        <v>0.80146993443075787</v>
      </c>
      <c r="D136" s="504">
        <f t="shared" si="18"/>
        <v>0.80146993443075787</v>
      </c>
      <c r="E136" s="504">
        <f t="shared" si="18"/>
        <v>0.80146993443075787</v>
      </c>
      <c r="F136" s="504">
        <f t="shared" si="18"/>
        <v>0.80146993443075787</v>
      </c>
      <c r="G136" s="504">
        <f t="shared" si="18"/>
        <v>0.80146993443075787</v>
      </c>
      <c r="H136" s="504">
        <f t="shared" si="18"/>
        <v>0.80146993443075787</v>
      </c>
      <c r="I136" s="504">
        <f t="shared" si="18"/>
        <v>0.80146993443075787</v>
      </c>
      <c r="J136" s="504">
        <f t="shared" si="18"/>
        <v>0.80146993443075787</v>
      </c>
      <c r="K136" s="504">
        <f t="shared" si="18"/>
        <v>0.80146993443075787</v>
      </c>
      <c r="L136" s="504">
        <f t="shared" si="18"/>
        <v>0.80146993443075787</v>
      </c>
    </row>
    <row r="137" spans="2:12">
      <c r="B137" s="8" t="str">
        <f t="shared" si="16"/>
        <v>Physics</v>
      </c>
      <c r="C137" s="531">
        <f>Data_selected_by_user_testing!D175</f>
        <v>0.71816580359993998</v>
      </c>
      <c r="D137" s="504">
        <f t="shared" si="18"/>
        <v>0.71816580359993998</v>
      </c>
      <c r="E137" s="504">
        <f t="shared" si="18"/>
        <v>0.71816580359993998</v>
      </c>
      <c r="F137" s="504">
        <f t="shared" si="18"/>
        <v>0.71816580359993998</v>
      </c>
      <c r="G137" s="504">
        <f t="shared" si="18"/>
        <v>0.71816580359993998</v>
      </c>
      <c r="H137" s="504">
        <f t="shared" si="18"/>
        <v>0.71816580359993998</v>
      </c>
      <c r="I137" s="504">
        <f t="shared" si="18"/>
        <v>0.71816580359993998</v>
      </c>
      <c r="J137" s="504">
        <f t="shared" si="18"/>
        <v>0.71816580359993998</v>
      </c>
      <c r="K137" s="504">
        <f t="shared" si="18"/>
        <v>0.71816580359993998</v>
      </c>
      <c r="L137" s="504">
        <f t="shared" si="18"/>
        <v>0.71816580359993998</v>
      </c>
    </row>
    <row r="138" spans="2:12">
      <c r="B138" s="8" t="str">
        <f t="shared" si="16"/>
        <v>Religious Education</v>
      </c>
      <c r="C138" s="531">
        <f>Data_selected_by_user_testing!D176</f>
        <v>0.86469108669108663</v>
      </c>
      <c r="D138" s="504">
        <f t="shared" si="18"/>
        <v>0.86469108669108663</v>
      </c>
      <c r="E138" s="504">
        <f t="shared" si="18"/>
        <v>0.86469108669108663</v>
      </c>
      <c r="F138" s="504">
        <f t="shared" si="18"/>
        <v>0.86469108669108663</v>
      </c>
      <c r="G138" s="504">
        <f t="shared" si="18"/>
        <v>0.86469108669108663</v>
      </c>
      <c r="H138" s="504">
        <f t="shared" si="18"/>
        <v>0.86469108669108663</v>
      </c>
      <c r="I138" s="504">
        <f t="shared" si="18"/>
        <v>0.86469108669108663</v>
      </c>
      <c r="J138" s="504">
        <f t="shared" si="18"/>
        <v>0.86469108669108663</v>
      </c>
      <c r="K138" s="504">
        <f t="shared" si="18"/>
        <v>0.86469108669108663</v>
      </c>
      <c r="L138" s="504">
        <f t="shared" si="18"/>
        <v>0.86469108669108663</v>
      </c>
    </row>
    <row r="140" spans="2:12" ht="15.75">
      <c r="B140" s="77" t="s">
        <v>800</v>
      </c>
    </row>
    <row r="142" spans="2:12">
      <c r="B142" s="8" t="s">
        <v>59</v>
      </c>
      <c r="C142" s="554" t="str">
        <f>C118</f>
        <v>2018/19</v>
      </c>
      <c r="D142" s="554" t="str">
        <f t="shared" ref="D142:L142" si="19">D118</f>
        <v>2019/20</v>
      </c>
      <c r="E142" s="554" t="str">
        <f t="shared" si="19"/>
        <v>2020/21</v>
      </c>
      <c r="F142" s="554" t="str">
        <f t="shared" si="19"/>
        <v>2021/22</v>
      </c>
      <c r="G142" s="554" t="str">
        <f t="shared" si="19"/>
        <v>2022/23</v>
      </c>
      <c r="H142" s="554" t="str">
        <f t="shared" si="19"/>
        <v>2023/24</v>
      </c>
      <c r="I142" s="554" t="str">
        <f t="shared" si="19"/>
        <v>2024/25</v>
      </c>
      <c r="J142" s="554" t="str">
        <f t="shared" si="19"/>
        <v>2025/26</v>
      </c>
      <c r="K142" s="554" t="str">
        <f t="shared" si="19"/>
        <v>2026/27</v>
      </c>
      <c r="L142" s="149" t="str">
        <f t="shared" si="19"/>
        <v>2027/28</v>
      </c>
    </row>
    <row r="143" spans="2:12">
      <c r="B143" s="8" t="str">
        <f>B41</f>
        <v>Primary</v>
      </c>
      <c r="C143" s="661">
        <f>C41*C95</f>
        <v>4254.5678288051813</v>
      </c>
      <c r="D143" s="661">
        <f t="shared" ref="D143:L143" si="20">D41*D95</f>
        <v>4254.5678288051813</v>
      </c>
      <c r="E143" s="661">
        <f t="shared" si="20"/>
        <v>4254.5678288051813</v>
      </c>
      <c r="F143" s="661">
        <f t="shared" si="20"/>
        <v>4254.5678288051813</v>
      </c>
      <c r="G143" s="661">
        <f t="shared" si="20"/>
        <v>4254.5678288051813</v>
      </c>
      <c r="H143" s="661">
        <f t="shared" si="20"/>
        <v>4254.5678288051813</v>
      </c>
      <c r="I143" s="661">
        <f t="shared" si="20"/>
        <v>4254.5678288051813</v>
      </c>
      <c r="J143" s="661">
        <f t="shared" si="20"/>
        <v>4254.5678288051813</v>
      </c>
      <c r="K143" s="661">
        <f t="shared" si="20"/>
        <v>4254.5678288051813</v>
      </c>
      <c r="L143" s="661">
        <f t="shared" si="20"/>
        <v>4254.5678288051813</v>
      </c>
    </row>
    <row r="144" spans="2:12">
      <c r="B144" s="8" t="str">
        <f t="shared" ref="B144:B164" si="21">B42</f>
        <v>Art &amp; Design</v>
      </c>
      <c r="C144" s="661">
        <f t="shared" ref="C144:L162" si="22">C42*C96</f>
        <v>0</v>
      </c>
      <c r="D144" s="661">
        <f t="shared" si="22"/>
        <v>0</v>
      </c>
      <c r="E144" s="661">
        <f t="shared" si="22"/>
        <v>0</v>
      </c>
      <c r="F144" s="661">
        <f t="shared" si="22"/>
        <v>0</v>
      </c>
      <c r="G144" s="661">
        <f t="shared" si="22"/>
        <v>0</v>
      </c>
      <c r="H144" s="661">
        <f t="shared" si="22"/>
        <v>0</v>
      </c>
      <c r="I144" s="661">
        <f t="shared" si="22"/>
        <v>0</v>
      </c>
      <c r="J144" s="661">
        <f t="shared" si="22"/>
        <v>0</v>
      </c>
      <c r="K144" s="661">
        <f t="shared" si="22"/>
        <v>0</v>
      </c>
      <c r="L144" s="661">
        <f t="shared" si="22"/>
        <v>0</v>
      </c>
    </row>
    <row r="145" spans="2:12">
      <c r="B145" s="8" t="str">
        <f t="shared" si="21"/>
        <v>Biology</v>
      </c>
      <c r="C145" s="661">
        <f t="shared" si="22"/>
        <v>7.1322431383576061</v>
      </c>
      <c r="D145" s="661">
        <f t="shared" si="22"/>
        <v>7.1322431383576061</v>
      </c>
      <c r="E145" s="661">
        <f t="shared" si="22"/>
        <v>7.1322431383576061</v>
      </c>
      <c r="F145" s="661">
        <f t="shared" si="22"/>
        <v>7.1322431383576061</v>
      </c>
      <c r="G145" s="661">
        <f t="shared" si="22"/>
        <v>7.1322431383576061</v>
      </c>
      <c r="H145" s="661">
        <f t="shared" si="22"/>
        <v>7.1322431383576061</v>
      </c>
      <c r="I145" s="661">
        <f t="shared" si="22"/>
        <v>7.1322431383576061</v>
      </c>
      <c r="J145" s="661">
        <f t="shared" si="22"/>
        <v>7.1322431383576061</v>
      </c>
      <c r="K145" s="661">
        <f t="shared" si="22"/>
        <v>7.1322431383576061</v>
      </c>
      <c r="L145" s="661">
        <f t="shared" si="22"/>
        <v>7.1322431383576061</v>
      </c>
    </row>
    <row r="146" spans="2:12">
      <c r="B146" s="8" t="str">
        <f t="shared" si="21"/>
        <v>Business Studies</v>
      </c>
      <c r="C146" s="661">
        <f t="shared" si="22"/>
        <v>0</v>
      </c>
      <c r="D146" s="661">
        <f t="shared" si="22"/>
        <v>0</v>
      </c>
      <c r="E146" s="661">
        <f t="shared" si="22"/>
        <v>0</v>
      </c>
      <c r="F146" s="661">
        <f t="shared" si="22"/>
        <v>0</v>
      </c>
      <c r="G146" s="661">
        <f t="shared" si="22"/>
        <v>0</v>
      </c>
      <c r="H146" s="661">
        <f t="shared" si="22"/>
        <v>0</v>
      </c>
      <c r="I146" s="661">
        <f t="shared" si="22"/>
        <v>0</v>
      </c>
      <c r="J146" s="661">
        <f t="shared" si="22"/>
        <v>0</v>
      </c>
      <c r="K146" s="661">
        <f t="shared" si="22"/>
        <v>0</v>
      </c>
      <c r="L146" s="661">
        <f t="shared" si="22"/>
        <v>0</v>
      </c>
    </row>
    <row r="147" spans="2:12">
      <c r="B147" s="8" t="str">
        <f t="shared" si="21"/>
        <v>Chemistry</v>
      </c>
      <c r="C147" s="661">
        <f t="shared" si="22"/>
        <v>7.2565918820358339</v>
      </c>
      <c r="D147" s="661">
        <f t="shared" si="22"/>
        <v>7.2565918820358339</v>
      </c>
      <c r="E147" s="661">
        <f t="shared" si="22"/>
        <v>7.2565918820358339</v>
      </c>
      <c r="F147" s="661">
        <f t="shared" si="22"/>
        <v>7.2565918820358339</v>
      </c>
      <c r="G147" s="661">
        <f t="shared" si="22"/>
        <v>7.2565918820358339</v>
      </c>
      <c r="H147" s="661">
        <f t="shared" si="22"/>
        <v>7.2565918820358339</v>
      </c>
      <c r="I147" s="661">
        <f t="shared" si="22"/>
        <v>7.2565918820358339</v>
      </c>
      <c r="J147" s="661">
        <f t="shared" si="22"/>
        <v>7.2565918820358339</v>
      </c>
      <c r="K147" s="661">
        <f t="shared" si="22"/>
        <v>7.2565918820358339</v>
      </c>
      <c r="L147" s="661">
        <f t="shared" si="22"/>
        <v>7.2565918820358339</v>
      </c>
    </row>
    <row r="148" spans="2:12">
      <c r="B148" s="8" t="str">
        <f t="shared" si="21"/>
        <v>Classics</v>
      </c>
      <c r="C148" s="661">
        <f t="shared" si="22"/>
        <v>0</v>
      </c>
      <c r="D148" s="661">
        <f t="shared" si="22"/>
        <v>0</v>
      </c>
      <c r="E148" s="661">
        <f t="shared" si="22"/>
        <v>0</v>
      </c>
      <c r="F148" s="661">
        <f t="shared" si="22"/>
        <v>0</v>
      </c>
      <c r="G148" s="661">
        <f t="shared" si="22"/>
        <v>0</v>
      </c>
      <c r="H148" s="661">
        <f t="shared" si="22"/>
        <v>0</v>
      </c>
      <c r="I148" s="661">
        <f t="shared" si="22"/>
        <v>0</v>
      </c>
      <c r="J148" s="661">
        <f t="shared" si="22"/>
        <v>0</v>
      </c>
      <c r="K148" s="661">
        <f t="shared" si="22"/>
        <v>0</v>
      </c>
      <c r="L148" s="661">
        <f t="shared" si="22"/>
        <v>0</v>
      </c>
    </row>
    <row r="149" spans="2:12">
      <c r="B149" s="8" t="str">
        <f t="shared" si="21"/>
        <v>Computing</v>
      </c>
      <c r="C149" s="661">
        <f t="shared" si="22"/>
        <v>0</v>
      </c>
      <c r="D149" s="661">
        <f t="shared" si="22"/>
        <v>0</v>
      </c>
      <c r="E149" s="661">
        <f t="shared" si="22"/>
        <v>0</v>
      </c>
      <c r="F149" s="661">
        <f t="shared" si="22"/>
        <v>0</v>
      </c>
      <c r="G149" s="661">
        <f t="shared" si="22"/>
        <v>0</v>
      </c>
      <c r="H149" s="661">
        <f t="shared" si="22"/>
        <v>0</v>
      </c>
      <c r="I149" s="661">
        <f t="shared" si="22"/>
        <v>0</v>
      </c>
      <c r="J149" s="661">
        <f t="shared" si="22"/>
        <v>0</v>
      </c>
      <c r="K149" s="661">
        <f t="shared" si="22"/>
        <v>0</v>
      </c>
      <c r="L149" s="661">
        <f t="shared" si="22"/>
        <v>0</v>
      </c>
    </row>
    <row r="150" spans="2:12">
      <c r="B150" s="8" t="str">
        <f t="shared" si="21"/>
        <v>Design &amp; Technology</v>
      </c>
      <c r="C150" s="661">
        <f t="shared" si="22"/>
        <v>0</v>
      </c>
      <c r="D150" s="661">
        <f t="shared" si="22"/>
        <v>0</v>
      </c>
      <c r="E150" s="661">
        <f t="shared" si="22"/>
        <v>0</v>
      </c>
      <c r="F150" s="661">
        <f t="shared" si="22"/>
        <v>0</v>
      </c>
      <c r="G150" s="661">
        <f t="shared" si="22"/>
        <v>0</v>
      </c>
      <c r="H150" s="661">
        <f t="shared" si="22"/>
        <v>0</v>
      </c>
      <c r="I150" s="661">
        <f t="shared" si="22"/>
        <v>0</v>
      </c>
      <c r="J150" s="661">
        <f t="shared" si="22"/>
        <v>0</v>
      </c>
      <c r="K150" s="661">
        <f t="shared" si="22"/>
        <v>0</v>
      </c>
      <c r="L150" s="661">
        <f t="shared" si="22"/>
        <v>0</v>
      </c>
    </row>
    <row r="151" spans="2:12">
      <c r="B151" s="8" t="str">
        <f t="shared" si="21"/>
        <v>Drama</v>
      </c>
      <c r="C151" s="661">
        <f t="shared" si="22"/>
        <v>0</v>
      </c>
      <c r="D151" s="661">
        <f t="shared" si="22"/>
        <v>0</v>
      </c>
      <c r="E151" s="661">
        <f t="shared" si="22"/>
        <v>0</v>
      </c>
      <c r="F151" s="661">
        <f t="shared" si="22"/>
        <v>0</v>
      </c>
      <c r="G151" s="661">
        <f t="shared" si="22"/>
        <v>0</v>
      </c>
      <c r="H151" s="661">
        <f t="shared" si="22"/>
        <v>0</v>
      </c>
      <c r="I151" s="661">
        <f t="shared" si="22"/>
        <v>0</v>
      </c>
      <c r="J151" s="661">
        <f t="shared" si="22"/>
        <v>0</v>
      </c>
      <c r="K151" s="661">
        <f t="shared" si="22"/>
        <v>0</v>
      </c>
      <c r="L151" s="661">
        <f t="shared" si="22"/>
        <v>0</v>
      </c>
    </row>
    <row r="152" spans="2:12">
      <c r="B152" s="8" t="str">
        <f t="shared" si="21"/>
        <v>English</v>
      </c>
      <c r="C152" s="661">
        <f t="shared" si="22"/>
        <v>32.992253583847948</v>
      </c>
      <c r="D152" s="661">
        <f t="shared" si="22"/>
        <v>32.992253583847948</v>
      </c>
      <c r="E152" s="661">
        <f t="shared" si="22"/>
        <v>32.992253583847948</v>
      </c>
      <c r="F152" s="661">
        <f t="shared" si="22"/>
        <v>32.992253583847948</v>
      </c>
      <c r="G152" s="661">
        <f t="shared" si="22"/>
        <v>32.992253583847948</v>
      </c>
      <c r="H152" s="661">
        <f t="shared" si="22"/>
        <v>32.992253583847948</v>
      </c>
      <c r="I152" s="661">
        <f t="shared" si="22"/>
        <v>32.992253583847948</v>
      </c>
      <c r="J152" s="661">
        <f t="shared" si="22"/>
        <v>32.992253583847948</v>
      </c>
      <c r="K152" s="661">
        <f t="shared" si="22"/>
        <v>32.992253583847948</v>
      </c>
      <c r="L152" s="661">
        <f t="shared" si="22"/>
        <v>32.992253583847948</v>
      </c>
    </row>
    <row r="153" spans="2:12">
      <c r="B153" s="8" t="str">
        <f t="shared" si="21"/>
        <v>Food</v>
      </c>
      <c r="C153" s="661">
        <f t="shared" si="22"/>
        <v>0</v>
      </c>
      <c r="D153" s="661">
        <f t="shared" si="22"/>
        <v>0</v>
      </c>
      <c r="E153" s="661">
        <f t="shared" si="22"/>
        <v>0</v>
      </c>
      <c r="F153" s="661">
        <f t="shared" si="22"/>
        <v>0</v>
      </c>
      <c r="G153" s="661">
        <f t="shared" si="22"/>
        <v>0</v>
      </c>
      <c r="H153" s="661">
        <f t="shared" si="22"/>
        <v>0</v>
      </c>
      <c r="I153" s="661">
        <f t="shared" si="22"/>
        <v>0</v>
      </c>
      <c r="J153" s="661">
        <f t="shared" si="22"/>
        <v>0</v>
      </c>
      <c r="K153" s="661">
        <f t="shared" si="22"/>
        <v>0</v>
      </c>
      <c r="L153" s="661">
        <f t="shared" si="22"/>
        <v>0</v>
      </c>
    </row>
    <row r="154" spans="2:12">
      <c r="B154" s="8" t="str">
        <f t="shared" si="21"/>
        <v>Geography</v>
      </c>
      <c r="C154" s="661">
        <f t="shared" si="22"/>
        <v>0</v>
      </c>
      <c r="D154" s="661">
        <f t="shared" si="22"/>
        <v>0</v>
      </c>
      <c r="E154" s="661">
        <f t="shared" si="22"/>
        <v>0</v>
      </c>
      <c r="F154" s="661">
        <f t="shared" si="22"/>
        <v>0</v>
      </c>
      <c r="G154" s="661">
        <f t="shared" si="22"/>
        <v>0</v>
      </c>
      <c r="H154" s="661">
        <f t="shared" si="22"/>
        <v>0</v>
      </c>
      <c r="I154" s="661">
        <f t="shared" si="22"/>
        <v>0</v>
      </c>
      <c r="J154" s="661">
        <f t="shared" si="22"/>
        <v>0</v>
      </c>
      <c r="K154" s="661">
        <f t="shared" si="22"/>
        <v>0</v>
      </c>
      <c r="L154" s="661">
        <f t="shared" si="22"/>
        <v>0</v>
      </c>
    </row>
    <row r="155" spans="2:12">
      <c r="B155" s="8" t="str">
        <f t="shared" si="21"/>
        <v>History</v>
      </c>
      <c r="C155" s="661">
        <f t="shared" si="22"/>
        <v>0</v>
      </c>
      <c r="D155" s="661">
        <f t="shared" si="22"/>
        <v>0</v>
      </c>
      <c r="E155" s="661">
        <f t="shared" si="22"/>
        <v>0</v>
      </c>
      <c r="F155" s="661">
        <f t="shared" si="22"/>
        <v>0</v>
      </c>
      <c r="G155" s="661">
        <f t="shared" si="22"/>
        <v>0</v>
      </c>
      <c r="H155" s="661">
        <f t="shared" si="22"/>
        <v>0</v>
      </c>
      <c r="I155" s="661">
        <f t="shared" si="22"/>
        <v>0</v>
      </c>
      <c r="J155" s="661">
        <f t="shared" si="22"/>
        <v>0</v>
      </c>
      <c r="K155" s="661">
        <f t="shared" si="22"/>
        <v>0</v>
      </c>
      <c r="L155" s="661">
        <f t="shared" si="22"/>
        <v>0</v>
      </c>
    </row>
    <row r="156" spans="2:12">
      <c r="B156" s="8" t="str">
        <f t="shared" si="21"/>
        <v>Mathematics</v>
      </c>
      <c r="C156" s="661">
        <f t="shared" si="22"/>
        <v>73.264389704284625</v>
      </c>
      <c r="D156" s="661">
        <f t="shared" si="22"/>
        <v>73.264389704284625</v>
      </c>
      <c r="E156" s="661">
        <f t="shared" si="22"/>
        <v>73.264389704284625</v>
      </c>
      <c r="F156" s="661">
        <f t="shared" si="22"/>
        <v>73.264389704284625</v>
      </c>
      <c r="G156" s="661">
        <f t="shared" si="22"/>
        <v>73.264389704284625</v>
      </c>
      <c r="H156" s="661">
        <f t="shared" si="22"/>
        <v>73.264389704284625</v>
      </c>
      <c r="I156" s="661">
        <f t="shared" si="22"/>
        <v>73.264389704284625</v>
      </c>
      <c r="J156" s="661">
        <f t="shared" si="22"/>
        <v>73.264389704284625</v>
      </c>
      <c r="K156" s="661">
        <f t="shared" si="22"/>
        <v>73.264389704284625</v>
      </c>
      <c r="L156" s="661">
        <f t="shared" si="22"/>
        <v>73.264389704284625</v>
      </c>
    </row>
    <row r="157" spans="2:12">
      <c r="B157" s="8" t="str">
        <f t="shared" si="21"/>
        <v>Modern Foreign Languages</v>
      </c>
      <c r="C157" s="661">
        <f t="shared" si="22"/>
        <v>0</v>
      </c>
      <c r="D157" s="661">
        <f t="shared" si="22"/>
        <v>0</v>
      </c>
      <c r="E157" s="661">
        <f t="shared" si="22"/>
        <v>0</v>
      </c>
      <c r="F157" s="661">
        <f t="shared" si="22"/>
        <v>0</v>
      </c>
      <c r="G157" s="661">
        <f t="shared" si="22"/>
        <v>0</v>
      </c>
      <c r="H157" s="661">
        <f t="shared" si="22"/>
        <v>0</v>
      </c>
      <c r="I157" s="661">
        <f t="shared" si="22"/>
        <v>0</v>
      </c>
      <c r="J157" s="661">
        <f t="shared" si="22"/>
        <v>0</v>
      </c>
      <c r="K157" s="661">
        <f t="shared" si="22"/>
        <v>0</v>
      </c>
      <c r="L157" s="661">
        <f t="shared" si="22"/>
        <v>0</v>
      </c>
    </row>
    <row r="158" spans="2:12">
      <c r="B158" s="8" t="str">
        <f t="shared" si="21"/>
        <v>Music</v>
      </c>
      <c r="C158" s="661">
        <f t="shared" si="22"/>
        <v>0</v>
      </c>
      <c r="D158" s="661">
        <f t="shared" si="22"/>
        <v>0</v>
      </c>
      <c r="E158" s="661">
        <f t="shared" si="22"/>
        <v>0</v>
      </c>
      <c r="F158" s="661">
        <f t="shared" si="22"/>
        <v>0</v>
      </c>
      <c r="G158" s="661">
        <f t="shared" si="22"/>
        <v>0</v>
      </c>
      <c r="H158" s="661">
        <f t="shared" si="22"/>
        <v>0</v>
      </c>
      <c r="I158" s="661">
        <f t="shared" si="22"/>
        <v>0</v>
      </c>
      <c r="J158" s="661">
        <f t="shared" si="22"/>
        <v>0</v>
      </c>
      <c r="K158" s="661">
        <f t="shared" si="22"/>
        <v>0</v>
      </c>
      <c r="L158" s="661">
        <f t="shared" si="22"/>
        <v>0</v>
      </c>
    </row>
    <row r="159" spans="2:12">
      <c r="B159" s="8" t="str">
        <f t="shared" si="21"/>
        <v>Others</v>
      </c>
      <c r="C159" s="661">
        <f t="shared" si="22"/>
        <v>0</v>
      </c>
      <c r="D159" s="661">
        <f t="shared" si="22"/>
        <v>0</v>
      </c>
      <c r="E159" s="661">
        <f t="shared" si="22"/>
        <v>0</v>
      </c>
      <c r="F159" s="661">
        <f t="shared" si="22"/>
        <v>0</v>
      </c>
      <c r="G159" s="661">
        <f t="shared" si="22"/>
        <v>0</v>
      </c>
      <c r="H159" s="661">
        <f t="shared" si="22"/>
        <v>0</v>
      </c>
      <c r="I159" s="661">
        <f t="shared" si="22"/>
        <v>0</v>
      </c>
      <c r="J159" s="661">
        <f t="shared" si="22"/>
        <v>0</v>
      </c>
      <c r="K159" s="661">
        <f t="shared" si="22"/>
        <v>0</v>
      </c>
      <c r="L159" s="661">
        <f t="shared" si="22"/>
        <v>0</v>
      </c>
    </row>
    <row r="160" spans="2:12">
      <c r="B160" s="8" t="str">
        <f t="shared" si="21"/>
        <v>Physical Education</v>
      </c>
      <c r="C160" s="661">
        <f t="shared" si="22"/>
        <v>74.926536414001106</v>
      </c>
      <c r="D160" s="661">
        <f t="shared" si="22"/>
        <v>74.926536414001106</v>
      </c>
      <c r="E160" s="661">
        <f t="shared" si="22"/>
        <v>74.926536414001106</v>
      </c>
      <c r="F160" s="661">
        <f t="shared" si="22"/>
        <v>74.926536414001106</v>
      </c>
      <c r="G160" s="661">
        <f t="shared" si="22"/>
        <v>74.926536414001106</v>
      </c>
      <c r="H160" s="661">
        <f t="shared" si="22"/>
        <v>74.926536414001106</v>
      </c>
      <c r="I160" s="661">
        <f t="shared" si="22"/>
        <v>74.926536414001106</v>
      </c>
      <c r="J160" s="661">
        <f t="shared" si="22"/>
        <v>74.926536414001106</v>
      </c>
      <c r="K160" s="661">
        <f t="shared" si="22"/>
        <v>74.926536414001106</v>
      </c>
      <c r="L160" s="661">
        <f t="shared" si="22"/>
        <v>74.926536414001106</v>
      </c>
    </row>
    <row r="161" spans="2:12">
      <c r="B161" s="8" t="str">
        <f t="shared" si="21"/>
        <v>Physics</v>
      </c>
      <c r="C161" s="661">
        <f t="shared" si="22"/>
        <v>5.8488888888888892</v>
      </c>
      <c r="D161" s="661">
        <f t="shared" si="22"/>
        <v>5.8488888888888892</v>
      </c>
      <c r="E161" s="661">
        <f t="shared" si="22"/>
        <v>5.8488888888888892</v>
      </c>
      <c r="F161" s="661">
        <f t="shared" si="22"/>
        <v>5.8488888888888892</v>
      </c>
      <c r="G161" s="661">
        <f t="shared" si="22"/>
        <v>5.8488888888888892</v>
      </c>
      <c r="H161" s="661">
        <f t="shared" si="22"/>
        <v>5.8488888888888892</v>
      </c>
      <c r="I161" s="661">
        <f t="shared" si="22"/>
        <v>5.8488888888888892</v>
      </c>
      <c r="J161" s="661">
        <f t="shared" si="22"/>
        <v>5.8488888888888892</v>
      </c>
      <c r="K161" s="661">
        <f t="shared" si="22"/>
        <v>5.8488888888888892</v>
      </c>
      <c r="L161" s="661">
        <f t="shared" si="22"/>
        <v>5.8488888888888892</v>
      </c>
    </row>
    <row r="162" spans="2:12">
      <c r="B162" s="8" t="str">
        <f t="shared" si="21"/>
        <v>Religious Education</v>
      </c>
      <c r="C162" s="661">
        <f t="shared" si="22"/>
        <v>17.405230908152735</v>
      </c>
      <c r="D162" s="661">
        <f t="shared" si="22"/>
        <v>17.405230908152735</v>
      </c>
      <c r="E162" s="661">
        <f t="shared" si="22"/>
        <v>17.405230908152735</v>
      </c>
      <c r="F162" s="661">
        <f t="shared" si="22"/>
        <v>17.405230908152735</v>
      </c>
      <c r="G162" s="661">
        <f t="shared" si="22"/>
        <v>17.405230908152735</v>
      </c>
      <c r="H162" s="661">
        <f t="shared" si="22"/>
        <v>17.405230908152735</v>
      </c>
      <c r="I162" s="661">
        <f t="shared" si="22"/>
        <v>17.405230908152735</v>
      </c>
      <c r="J162" s="661">
        <f t="shared" si="22"/>
        <v>17.405230908152735</v>
      </c>
      <c r="K162" s="661">
        <f t="shared" si="22"/>
        <v>17.405230908152735</v>
      </c>
      <c r="L162" s="661">
        <f t="shared" si="22"/>
        <v>17.405230908152735</v>
      </c>
    </row>
    <row r="163" spans="2:12">
      <c r="B163" s="8" t="str">
        <f t="shared" si="21"/>
        <v>Total</v>
      </c>
      <c r="C163" s="447">
        <f>SUM(C143:C162)</f>
        <v>4473.3939633247492</v>
      </c>
      <c r="D163" s="447">
        <f t="shared" ref="D163:L163" si="23">SUM(D143:D162)</f>
        <v>4473.3939633247492</v>
      </c>
      <c r="E163" s="447">
        <f t="shared" si="23"/>
        <v>4473.3939633247492</v>
      </c>
      <c r="F163" s="447">
        <f t="shared" si="23"/>
        <v>4473.3939633247492</v>
      </c>
      <c r="G163" s="447">
        <f t="shared" si="23"/>
        <v>4473.3939633247492</v>
      </c>
      <c r="H163" s="447">
        <f t="shared" si="23"/>
        <v>4473.3939633247492</v>
      </c>
      <c r="I163" s="447">
        <f t="shared" si="23"/>
        <v>4473.3939633247492</v>
      </c>
      <c r="J163" s="447">
        <f t="shared" si="23"/>
        <v>4473.3939633247492</v>
      </c>
      <c r="K163" s="447">
        <f t="shared" si="23"/>
        <v>4473.3939633247492</v>
      </c>
      <c r="L163" s="447">
        <f t="shared" si="23"/>
        <v>4473.3939633247492</v>
      </c>
    </row>
    <row r="164" spans="2:12">
      <c r="B164" s="8" t="str">
        <f t="shared" si="21"/>
        <v>Secondary total</v>
      </c>
      <c r="C164" s="447">
        <f>SUM(C143:C162)-C143</f>
        <v>218.82613451956786</v>
      </c>
      <c r="D164" s="447">
        <f t="shared" ref="D164:L164" si="24">SUM(D143:D162)-D143</f>
        <v>218.82613451956786</v>
      </c>
      <c r="E164" s="447">
        <f t="shared" si="24"/>
        <v>218.82613451956786</v>
      </c>
      <c r="F164" s="447">
        <f t="shared" si="24"/>
        <v>218.82613451956786</v>
      </c>
      <c r="G164" s="447">
        <f t="shared" si="24"/>
        <v>218.82613451956786</v>
      </c>
      <c r="H164" s="447">
        <f t="shared" si="24"/>
        <v>218.82613451956786</v>
      </c>
      <c r="I164" s="447">
        <f t="shared" si="24"/>
        <v>218.82613451956786</v>
      </c>
      <c r="J164" s="447">
        <f t="shared" si="24"/>
        <v>218.82613451956786</v>
      </c>
      <c r="K164" s="447">
        <f t="shared" si="24"/>
        <v>218.82613451956786</v>
      </c>
      <c r="L164" s="447">
        <f t="shared" si="24"/>
        <v>218.82613451956786</v>
      </c>
    </row>
    <row r="166" spans="2:12">
      <c r="B166" s="703" t="s">
        <v>1085</v>
      </c>
    </row>
    <row r="167" spans="2:12">
      <c r="B167" s="702"/>
    </row>
    <row r="168" spans="2:12">
      <c r="B168" s="8" t="s">
        <v>59</v>
      </c>
      <c r="C168" s="8" t="str">
        <f>C118</f>
        <v>2018/19</v>
      </c>
      <c r="D168" s="8" t="str">
        <f t="shared" ref="D168:L168" si="25">D118</f>
        <v>2019/20</v>
      </c>
      <c r="E168" s="8" t="str">
        <f t="shared" si="25"/>
        <v>2020/21</v>
      </c>
      <c r="F168" s="8" t="str">
        <f t="shared" si="25"/>
        <v>2021/22</v>
      </c>
      <c r="G168" s="8" t="str">
        <f t="shared" si="25"/>
        <v>2022/23</v>
      </c>
      <c r="H168" s="8" t="str">
        <f t="shared" si="25"/>
        <v>2023/24</v>
      </c>
      <c r="I168" s="8" t="str">
        <f t="shared" si="25"/>
        <v>2024/25</v>
      </c>
      <c r="J168" s="8" t="str">
        <f t="shared" si="25"/>
        <v>2025/26</v>
      </c>
      <c r="K168" s="8" t="str">
        <f t="shared" si="25"/>
        <v>2026/27</v>
      </c>
      <c r="L168" s="8" t="str">
        <f t="shared" si="25"/>
        <v>2027/28</v>
      </c>
    </row>
    <row r="169" spans="2:12">
      <c r="B169" s="8" t="str">
        <f>B41</f>
        <v>Primary</v>
      </c>
      <c r="C169" s="406">
        <f>C143/C$163</f>
        <v>0.95108274918023761</v>
      </c>
      <c r="D169" s="406">
        <f t="shared" ref="D169:L169" si="26">D143/D$163</f>
        <v>0.95108274918023761</v>
      </c>
      <c r="E169" s="406">
        <f t="shared" si="26"/>
        <v>0.95108274918023761</v>
      </c>
      <c r="F169" s="406">
        <f t="shared" si="26"/>
        <v>0.95108274918023761</v>
      </c>
      <c r="G169" s="406">
        <f t="shared" si="26"/>
        <v>0.95108274918023761</v>
      </c>
      <c r="H169" s="406">
        <f t="shared" si="26"/>
        <v>0.95108274918023761</v>
      </c>
      <c r="I169" s="406">
        <f t="shared" si="26"/>
        <v>0.95108274918023761</v>
      </c>
      <c r="J169" s="406">
        <f t="shared" si="26"/>
        <v>0.95108274918023761</v>
      </c>
      <c r="K169" s="406">
        <f t="shared" si="26"/>
        <v>0.95108274918023761</v>
      </c>
      <c r="L169" s="406">
        <f t="shared" si="26"/>
        <v>0.95108274918023761</v>
      </c>
    </row>
    <row r="170" spans="2:12">
      <c r="B170" s="8" t="str">
        <f t="shared" ref="B170:B189" si="27">B42</f>
        <v>Art &amp; Design</v>
      </c>
      <c r="C170" s="406">
        <f t="shared" ref="C170:L188" si="28">C144/C$163</f>
        <v>0</v>
      </c>
      <c r="D170" s="406">
        <f t="shared" si="28"/>
        <v>0</v>
      </c>
      <c r="E170" s="406">
        <f t="shared" si="28"/>
        <v>0</v>
      </c>
      <c r="F170" s="406">
        <f t="shared" si="28"/>
        <v>0</v>
      </c>
      <c r="G170" s="406">
        <f t="shared" si="28"/>
        <v>0</v>
      </c>
      <c r="H170" s="406">
        <f t="shared" si="28"/>
        <v>0</v>
      </c>
      <c r="I170" s="406">
        <f t="shared" si="28"/>
        <v>0</v>
      </c>
      <c r="J170" s="406">
        <f t="shared" si="28"/>
        <v>0</v>
      </c>
      <c r="K170" s="406">
        <f t="shared" si="28"/>
        <v>0</v>
      </c>
      <c r="L170" s="406">
        <f t="shared" si="28"/>
        <v>0</v>
      </c>
    </row>
    <row r="171" spans="2:12">
      <c r="B171" s="8" t="str">
        <f t="shared" si="27"/>
        <v>Biology</v>
      </c>
      <c r="C171" s="406">
        <f t="shared" si="28"/>
        <v>1.5943695540414078E-3</v>
      </c>
      <c r="D171" s="406">
        <f t="shared" si="28"/>
        <v>1.5943695540414078E-3</v>
      </c>
      <c r="E171" s="406">
        <f t="shared" si="28"/>
        <v>1.5943695540414078E-3</v>
      </c>
      <c r="F171" s="406">
        <f t="shared" si="28"/>
        <v>1.5943695540414078E-3</v>
      </c>
      <c r="G171" s="406">
        <f t="shared" si="28"/>
        <v>1.5943695540414078E-3</v>
      </c>
      <c r="H171" s="406">
        <f t="shared" si="28"/>
        <v>1.5943695540414078E-3</v>
      </c>
      <c r="I171" s="406">
        <f t="shared" si="28"/>
        <v>1.5943695540414078E-3</v>
      </c>
      <c r="J171" s="406">
        <f t="shared" si="28"/>
        <v>1.5943695540414078E-3</v>
      </c>
      <c r="K171" s="406">
        <f t="shared" si="28"/>
        <v>1.5943695540414078E-3</v>
      </c>
      <c r="L171" s="406">
        <f t="shared" si="28"/>
        <v>1.5943695540414078E-3</v>
      </c>
    </row>
    <row r="172" spans="2:12">
      <c r="B172" s="8" t="str">
        <f t="shared" si="27"/>
        <v>Business Studies</v>
      </c>
      <c r="C172" s="406">
        <f t="shared" si="28"/>
        <v>0</v>
      </c>
      <c r="D172" s="406">
        <f t="shared" si="28"/>
        <v>0</v>
      </c>
      <c r="E172" s="406">
        <f t="shared" si="28"/>
        <v>0</v>
      </c>
      <c r="F172" s="406">
        <f t="shared" si="28"/>
        <v>0</v>
      </c>
      <c r="G172" s="406">
        <f t="shared" si="28"/>
        <v>0</v>
      </c>
      <c r="H172" s="406">
        <f t="shared" si="28"/>
        <v>0</v>
      </c>
      <c r="I172" s="406">
        <f t="shared" si="28"/>
        <v>0</v>
      </c>
      <c r="J172" s="406">
        <f t="shared" si="28"/>
        <v>0</v>
      </c>
      <c r="K172" s="406">
        <f t="shared" si="28"/>
        <v>0</v>
      </c>
      <c r="L172" s="406">
        <f t="shared" si="28"/>
        <v>0</v>
      </c>
    </row>
    <row r="173" spans="2:12">
      <c r="B173" s="8" t="str">
        <f t="shared" si="27"/>
        <v>Chemistry</v>
      </c>
      <c r="C173" s="406">
        <f t="shared" si="28"/>
        <v>1.6221669590313784E-3</v>
      </c>
      <c r="D173" s="406">
        <f t="shared" si="28"/>
        <v>1.6221669590313784E-3</v>
      </c>
      <c r="E173" s="406">
        <f t="shared" si="28"/>
        <v>1.6221669590313784E-3</v>
      </c>
      <c r="F173" s="406">
        <f t="shared" si="28"/>
        <v>1.6221669590313784E-3</v>
      </c>
      <c r="G173" s="406">
        <f t="shared" si="28"/>
        <v>1.6221669590313784E-3</v>
      </c>
      <c r="H173" s="406">
        <f t="shared" si="28"/>
        <v>1.6221669590313784E-3</v>
      </c>
      <c r="I173" s="406">
        <f t="shared" si="28"/>
        <v>1.6221669590313784E-3</v>
      </c>
      <c r="J173" s="406">
        <f t="shared" si="28"/>
        <v>1.6221669590313784E-3</v>
      </c>
      <c r="K173" s="406">
        <f t="shared" si="28"/>
        <v>1.6221669590313784E-3</v>
      </c>
      <c r="L173" s="406">
        <f t="shared" si="28"/>
        <v>1.6221669590313784E-3</v>
      </c>
    </row>
    <row r="174" spans="2:12">
      <c r="B174" s="8" t="str">
        <f t="shared" si="27"/>
        <v>Classics</v>
      </c>
      <c r="C174" s="406">
        <f t="shared" si="28"/>
        <v>0</v>
      </c>
      <c r="D174" s="406">
        <f t="shared" si="28"/>
        <v>0</v>
      </c>
      <c r="E174" s="406">
        <f t="shared" si="28"/>
        <v>0</v>
      </c>
      <c r="F174" s="406">
        <f t="shared" si="28"/>
        <v>0</v>
      </c>
      <c r="G174" s="406">
        <f t="shared" si="28"/>
        <v>0</v>
      </c>
      <c r="H174" s="406">
        <f t="shared" si="28"/>
        <v>0</v>
      </c>
      <c r="I174" s="406">
        <f t="shared" si="28"/>
        <v>0</v>
      </c>
      <c r="J174" s="406">
        <f t="shared" si="28"/>
        <v>0</v>
      </c>
      <c r="K174" s="406">
        <f t="shared" si="28"/>
        <v>0</v>
      </c>
      <c r="L174" s="406">
        <f t="shared" si="28"/>
        <v>0</v>
      </c>
    </row>
    <row r="175" spans="2:12">
      <c r="B175" s="8" t="str">
        <f t="shared" si="27"/>
        <v>Computing</v>
      </c>
      <c r="C175" s="406">
        <f t="shared" si="28"/>
        <v>0</v>
      </c>
      <c r="D175" s="406">
        <f t="shared" si="28"/>
        <v>0</v>
      </c>
      <c r="E175" s="406">
        <f t="shared" si="28"/>
        <v>0</v>
      </c>
      <c r="F175" s="406">
        <f t="shared" si="28"/>
        <v>0</v>
      </c>
      <c r="G175" s="406">
        <f t="shared" si="28"/>
        <v>0</v>
      </c>
      <c r="H175" s="406">
        <f t="shared" si="28"/>
        <v>0</v>
      </c>
      <c r="I175" s="406">
        <f t="shared" si="28"/>
        <v>0</v>
      </c>
      <c r="J175" s="406">
        <f t="shared" si="28"/>
        <v>0</v>
      </c>
      <c r="K175" s="406">
        <f t="shared" si="28"/>
        <v>0</v>
      </c>
      <c r="L175" s="406">
        <f t="shared" si="28"/>
        <v>0</v>
      </c>
    </row>
    <row r="176" spans="2:12">
      <c r="B176" s="8" t="str">
        <f t="shared" si="27"/>
        <v>Design &amp; Technology</v>
      </c>
      <c r="C176" s="406">
        <f t="shared" si="28"/>
        <v>0</v>
      </c>
      <c r="D176" s="406">
        <f t="shared" si="28"/>
        <v>0</v>
      </c>
      <c r="E176" s="406">
        <f t="shared" si="28"/>
        <v>0</v>
      </c>
      <c r="F176" s="406">
        <f t="shared" si="28"/>
        <v>0</v>
      </c>
      <c r="G176" s="406">
        <f t="shared" si="28"/>
        <v>0</v>
      </c>
      <c r="H176" s="406">
        <f t="shared" si="28"/>
        <v>0</v>
      </c>
      <c r="I176" s="406">
        <f t="shared" si="28"/>
        <v>0</v>
      </c>
      <c r="J176" s="406">
        <f t="shared" si="28"/>
        <v>0</v>
      </c>
      <c r="K176" s="406">
        <f t="shared" si="28"/>
        <v>0</v>
      </c>
      <c r="L176" s="406">
        <f t="shared" si="28"/>
        <v>0</v>
      </c>
    </row>
    <row r="177" spans="1:12">
      <c r="B177" s="8" t="str">
        <f t="shared" si="27"/>
        <v>Drama</v>
      </c>
      <c r="C177" s="406">
        <f t="shared" si="28"/>
        <v>0</v>
      </c>
      <c r="D177" s="406">
        <f t="shared" si="28"/>
        <v>0</v>
      </c>
      <c r="E177" s="406">
        <f t="shared" si="28"/>
        <v>0</v>
      </c>
      <c r="F177" s="406">
        <f t="shared" si="28"/>
        <v>0</v>
      </c>
      <c r="G177" s="406">
        <f t="shared" si="28"/>
        <v>0</v>
      </c>
      <c r="H177" s="406">
        <f t="shared" si="28"/>
        <v>0</v>
      </c>
      <c r="I177" s="406">
        <f t="shared" si="28"/>
        <v>0</v>
      </c>
      <c r="J177" s="406">
        <f t="shared" si="28"/>
        <v>0</v>
      </c>
      <c r="K177" s="406">
        <f t="shared" si="28"/>
        <v>0</v>
      </c>
      <c r="L177" s="406">
        <f t="shared" si="28"/>
        <v>0</v>
      </c>
    </row>
    <row r="178" spans="1:12">
      <c r="B178" s="8" t="str">
        <f t="shared" si="27"/>
        <v>English</v>
      </c>
      <c r="C178" s="406">
        <f t="shared" si="28"/>
        <v>7.3752175315511892E-3</v>
      </c>
      <c r="D178" s="406">
        <f t="shared" si="28"/>
        <v>7.3752175315511892E-3</v>
      </c>
      <c r="E178" s="406">
        <f t="shared" si="28"/>
        <v>7.3752175315511892E-3</v>
      </c>
      <c r="F178" s="406">
        <f t="shared" si="28"/>
        <v>7.3752175315511892E-3</v>
      </c>
      <c r="G178" s="406">
        <f t="shared" si="28"/>
        <v>7.3752175315511892E-3</v>
      </c>
      <c r="H178" s="406">
        <f t="shared" si="28"/>
        <v>7.3752175315511892E-3</v>
      </c>
      <c r="I178" s="406">
        <f t="shared" si="28"/>
        <v>7.3752175315511892E-3</v>
      </c>
      <c r="J178" s="406">
        <f t="shared" si="28"/>
        <v>7.3752175315511892E-3</v>
      </c>
      <c r="K178" s="406">
        <f t="shared" si="28"/>
        <v>7.3752175315511892E-3</v>
      </c>
      <c r="L178" s="406">
        <f t="shared" si="28"/>
        <v>7.3752175315511892E-3</v>
      </c>
    </row>
    <row r="179" spans="1:12">
      <c r="B179" s="8" t="str">
        <f t="shared" si="27"/>
        <v>Food</v>
      </c>
      <c r="C179" s="406">
        <f t="shared" si="28"/>
        <v>0</v>
      </c>
      <c r="D179" s="406">
        <f t="shared" si="28"/>
        <v>0</v>
      </c>
      <c r="E179" s="406">
        <f t="shared" si="28"/>
        <v>0</v>
      </c>
      <c r="F179" s="406">
        <f t="shared" si="28"/>
        <v>0</v>
      </c>
      <c r="G179" s="406">
        <f t="shared" si="28"/>
        <v>0</v>
      </c>
      <c r="H179" s="406">
        <f t="shared" si="28"/>
        <v>0</v>
      </c>
      <c r="I179" s="406">
        <f t="shared" si="28"/>
        <v>0</v>
      </c>
      <c r="J179" s="406">
        <f t="shared" si="28"/>
        <v>0</v>
      </c>
      <c r="K179" s="406">
        <f t="shared" si="28"/>
        <v>0</v>
      </c>
      <c r="L179" s="406">
        <f t="shared" si="28"/>
        <v>0</v>
      </c>
    </row>
    <row r="180" spans="1:12">
      <c r="B180" s="8" t="str">
        <f t="shared" si="27"/>
        <v>Geography</v>
      </c>
      <c r="C180" s="406">
        <f t="shared" si="28"/>
        <v>0</v>
      </c>
      <c r="D180" s="406">
        <f t="shared" si="28"/>
        <v>0</v>
      </c>
      <c r="E180" s="406">
        <f t="shared" si="28"/>
        <v>0</v>
      </c>
      <c r="F180" s="406">
        <f t="shared" si="28"/>
        <v>0</v>
      </c>
      <c r="G180" s="406">
        <f t="shared" si="28"/>
        <v>0</v>
      </c>
      <c r="H180" s="406">
        <f t="shared" si="28"/>
        <v>0</v>
      </c>
      <c r="I180" s="406">
        <f t="shared" si="28"/>
        <v>0</v>
      </c>
      <c r="J180" s="406">
        <f t="shared" si="28"/>
        <v>0</v>
      </c>
      <c r="K180" s="406">
        <f t="shared" si="28"/>
        <v>0</v>
      </c>
      <c r="L180" s="406">
        <f t="shared" si="28"/>
        <v>0</v>
      </c>
    </row>
    <row r="181" spans="1:12">
      <c r="B181" s="8" t="str">
        <f t="shared" si="27"/>
        <v>History</v>
      </c>
      <c r="C181" s="406">
        <f t="shared" si="28"/>
        <v>0</v>
      </c>
      <c r="D181" s="406">
        <f t="shared" si="28"/>
        <v>0</v>
      </c>
      <c r="E181" s="406">
        <f t="shared" si="28"/>
        <v>0</v>
      </c>
      <c r="F181" s="406">
        <f t="shared" si="28"/>
        <v>0</v>
      </c>
      <c r="G181" s="406">
        <f t="shared" si="28"/>
        <v>0</v>
      </c>
      <c r="H181" s="406">
        <f t="shared" si="28"/>
        <v>0</v>
      </c>
      <c r="I181" s="406">
        <f t="shared" si="28"/>
        <v>0</v>
      </c>
      <c r="J181" s="406">
        <f t="shared" si="28"/>
        <v>0</v>
      </c>
      <c r="K181" s="406">
        <f t="shared" si="28"/>
        <v>0</v>
      </c>
      <c r="L181" s="406">
        <f t="shared" si="28"/>
        <v>0</v>
      </c>
    </row>
    <row r="182" spans="1:12">
      <c r="B182" s="8" t="str">
        <f t="shared" si="27"/>
        <v>Mathematics</v>
      </c>
      <c r="C182" s="406">
        <f t="shared" si="28"/>
        <v>1.637780850623595E-2</v>
      </c>
      <c r="D182" s="406">
        <f t="shared" si="28"/>
        <v>1.637780850623595E-2</v>
      </c>
      <c r="E182" s="406">
        <f t="shared" si="28"/>
        <v>1.637780850623595E-2</v>
      </c>
      <c r="F182" s="406">
        <f t="shared" si="28"/>
        <v>1.637780850623595E-2</v>
      </c>
      <c r="G182" s="406">
        <f t="shared" si="28"/>
        <v>1.637780850623595E-2</v>
      </c>
      <c r="H182" s="406">
        <f t="shared" si="28"/>
        <v>1.637780850623595E-2</v>
      </c>
      <c r="I182" s="406">
        <f t="shared" si="28"/>
        <v>1.637780850623595E-2</v>
      </c>
      <c r="J182" s="406">
        <f t="shared" si="28"/>
        <v>1.637780850623595E-2</v>
      </c>
      <c r="K182" s="406">
        <f t="shared" si="28"/>
        <v>1.637780850623595E-2</v>
      </c>
      <c r="L182" s="406">
        <f t="shared" si="28"/>
        <v>1.637780850623595E-2</v>
      </c>
    </row>
    <row r="183" spans="1:12">
      <c r="B183" s="8" t="str">
        <f t="shared" si="27"/>
        <v>Modern Foreign Languages</v>
      </c>
      <c r="C183" s="406">
        <f t="shared" si="28"/>
        <v>0</v>
      </c>
      <c r="D183" s="406">
        <f t="shared" si="28"/>
        <v>0</v>
      </c>
      <c r="E183" s="406">
        <f t="shared" si="28"/>
        <v>0</v>
      </c>
      <c r="F183" s="406">
        <f t="shared" si="28"/>
        <v>0</v>
      </c>
      <c r="G183" s="406">
        <f t="shared" si="28"/>
        <v>0</v>
      </c>
      <c r="H183" s="406">
        <f t="shared" si="28"/>
        <v>0</v>
      </c>
      <c r="I183" s="406">
        <f t="shared" si="28"/>
        <v>0</v>
      </c>
      <c r="J183" s="406">
        <f t="shared" si="28"/>
        <v>0</v>
      </c>
      <c r="K183" s="406">
        <f t="shared" si="28"/>
        <v>0</v>
      </c>
      <c r="L183" s="406">
        <f t="shared" si="28"/>
        <v>0</v>
      </c>
    </row>
    <row r="184" spans="1:12">
      <c r="B184" s="8" t="str">
        <f t="shared" si="27"/>
        <v>Music</v>
      </c>
      <c r="C184" s="406">
        <f t="shared" si="28"/>
        <v>0</v>
      </c>
      <c r="D184" s="406">
        <f t="shared" si="28"/>
        <v>0</v>
      </c>
      <c r="E184" s="406">
        <f t="shared" si="28"/>
        <v>0</v>
      </c>
      <c r="F184" s="406">
        <f t="shared" si="28"/>
        <v>0</v>
      </c>
      <c r="G184" s="406">
        <f t="shared" si="28"/>
        <v>0</v>
      </c>
      <c r="H184" s="406">
        <f t="shared" si="28"/>
        <v>0</v>
      </c>
      <c r="I184" s="406">
        <f t="shared" si="28"/>
        <v>0</v>
      </c>
      <c r="J184" s="406">
        <f t="shared" si="28"/>
        <v>0</v>
      </c>
      <c r="K184" s="406">
        <f t="shared" si="28"/>
        <v>0</v>
      </c>
      <c r="L184" s="406">
        <f t="shared" si="28"/>
        <v>0</v>
      </c>
    </row>
    <row r="185" spans="1:12">
      <c r="B185" s="8" t="str">
        <f t="shared" si="27"/>
        <v>Others</v>
      </c>
      <c r="C185" s="406">
        <f t="shared" si="28"/>
        <v>0</v>
      </c>
      <c r="D185" s="406">
        <f t="shared" si="28"/>
        <v>0</v>
      </c>
      <c r="E185" s="406">
        <f t="shared" si="28"/>
        <v>0</v>
      </c>
      <c r="F185" s="406">
        <f t="shared" si="28"/>
        <v>0</v>
      </c>
      <c r="G185" s="406">
        <f t="shared" si="28"/>
        <v>0</v>
      </c>
      <c r="H185" s="406">
        <f t="shared" si="28"/>
        <v>0</v>
      </c>
      <c r="I185" s="406">
        <f t="shared" si="28"/>
        <v>0</v>
      </c>
      <c r="J185" s="406">
        <f t="shared" si="28"/>
        <v>0</v>
      </c>
      <c r="K185" s="406">
        <f t="shared" si="28"/>
        <v>0</v>
      </c>
      <c r="L185" s="406">
        <f t="shared" si="28"/>
        <v>0</v>
      </c>
    </row>
    <row r="186" spans="1:12">
      <c r="B186" s="8" t="str">
        <f t="shared" si="27"/>
        <v>Physical Education</v>
      </c>
      <c r="C186" s="406">
        <f t="shared" si="28"/>
        <v>1.6749371289067876E-2</v>
      </c>
      <c r="D186" s="406">
        <f t="shared" si="28"/>
        <v>1.6749371289067876E-2</v>
      </c>
      <c r="E186" s="406">
        <f t="shared" si="28"/>
        <v>1.6749371289067876E-2</v>
      </c>
      <c r="F186" s="406">
        <f t="shared" si="28"/>
        <v>1.6749371289067876E-2</v>
      </c>
      <c r="G186" s="406">
        <f t="shared" si="28"/>
        <v>1.6749371289067876E-2</v>
      </c>
      <c r="H186" s="406">
        <f t="shared" si="28"/>
        <v>1.6749371289067876E-2</v>
      </c>
      <c r="I186" s="406">
        <f t="shared" si="28"/>
        <v>1.6749371289067876E-2</v>
      </c>
      <c r="J186" s="406">
        <f t="shared" si="28"/>
        <v>1.6749371289067876E-2</v>
      </c>
      <c r="K186" s="406">
        <f t="shared" si="28"/>
        <v>1.6749371289067876E-2</v>
      </c>
      <c r="L186" s="406">
        <f t="shared" si="28"/>
        <v>1.6749371289067876E-2</v>
      </c>
    </row>
    <row r="187" spans="1:12">
      <c r="B187" s="8" t="str">
        <f t="shared" si="27"/>
        <v>Physics</v>
      </c>
      <c r="C187" s="406">
        <f t="shared" si="28"/>
        <v>1.3074835207543031E-3</v>
      </c>
      <c r="D187" s="406">
        <f t="shared" si="28"/>
        <v>1.3074835207543031E-3</v>
      </c>
      <c r="E187" s="406">
        <f t="shared" si="28"/>
        <v>1.3074835207543031E-3</v>
      </c>
      <c r="F187" s="406">
        <f t="shared" si="28"/>
        <v>1.3074835207543031E-3</v>
      </c>
      <c r="G187" s="406">
        <f t="shared" si="28"/>
        <v>1.3074835207543031E-3</v>
      </c>
      <c r="H187" s="406">
        <f t="shared" si="28"/>
        <v>1.3074835207543031E-3</v>
      </c>
      <c r="I187" s="406">
        <f t="shared" si="28"/>
        <v>1.3074835207543031E-3</v>
      </c>
      <c r="J187" s="406">
        <f t="shared" si="28"/>
        <v>1.3074835207543031E-3</v>
      </c>
      <c r="K187" s="406">
        <f t="shared" si="28"/>
        <v>1.3074835207543031E-3</v>
      </c>
      <c r="L187" s="406">
        <f t="shared" si="28"/>
        <v>1.3074835207543031E-3</v>
      </c>
    </row>
    <row r="188" spans="1:12">
      <c r="B188" s="8" t="str">
        <f t="shared" si="27"/>
        <v>Religious Education</v>
      </c>
      <c r="C188" s="406">
        <f t="shared" si="28"/>
        <v>3.8908334590805164E-3</v>
      </c>
      <c r="D188" s="406">
        <f t="shared" si="28"/>
        <v>3.8908334590805164E-3</v>
      </c>
      <c r="E188" s="406">
        <f t="shared" si="28"/>
        <v>3.8908334590805164E-3</v>
      </c>
      <c r="F188" s="406">
        <f t="shared" si="28"/>
        <v>3.8908334590805164E-3</v>
      </c>
      <c r="G188" s="406">
        <f t="shared" si="28"/>
        <v>3.8908334590805164E-3</v>
      </c>
      <c r="H188" s="406">
        <f t="shared" si="28"/>
        <v>3.8908334590805164E-3</v>
      </c>
      <c r="I188" s="406">
        <f t="shared" si="28"/>
        <v>3.8908334590805164E-3</v>
      </c>
      <c r="J188" s="406">
        <f t="shared" si="28"/>
        <v>3.8908334590805164E-3</v>
      </c>
      <c r="K188" s="406">
        <f t="shared" si="28"/>
        <v>3.8908334590805164E-3</v>
      </c>
      <c r="L188" s="406">
        <f t="shared" si="28"/>
        <v>3.8908334590805164E-3</v>
      </c>
    </row>
    <row r="189" spans="1:12">
      <c r="B189" s="8" t="str">
        <f t="shared" si="27"/>
        <v>Total</v>
      </c>
      <c r="C189" s="630">
        <f t="shared" ref="C189:L189" si="29">SUM(C169:C188)</f>
        <v>1.0000000000000002</v>
      </c>
      <c r="D189" s="630">
        <f t="shared" si="29"/>
        <v>1.0000000000000002</v>
      </c>
      <c r="E189" s="630">
        <f t="shared" si="29"/>
        <v>1.0000000000000002</v>
      </c>
      <c r="F189" s="630">
        <f t="shared" si="29"/>
        <v>1.0000000000000002</v>
      </c>
      <c r="G189" s="630">
        <f t="shared" si="29"/>
        <v>1.0000000000000002</v>
      </c>
      <c r="H189" s="630">
        <f t="shared" si="29"/>
        <v>1.0000000000000002</v>
      </c>
      <c r="I189" s="630">
        <f t="shared" si="29"/>
        <v>1.0000000000000002</v>
      </c>
      <c r="J189" s="630">
        <f t="shared" si="29"/>
        <v>1.0000000000000002</v>
      </c>
      <c r="K189" s="630">
        <f t="shared" si="29"/>
        <v>1.0000000000000002</v>
      </c>
      <c r="L189" s="630">
        <f t="shared" si="29"/>
        <v>1.0000000000000002</v>
      </c>
    </row>
    <row r="190" spans="1:12">
      <c r="A190">
        <f>SUM(C190:L190)</f>
        <v>0</v>
      </c>
      <c r="C190" s="701">
        <f t="shared" ref="C190:L190" si="30">C189-1</f>
        <v>0</v>
      </c>
      <c r="D190" s="701">
        <f t="shared" si="30"/>
        <v>0</v>
      </c>
      <c r="E190" s="701">
        <f t="shared" si="30"/>
        <v>0</v>
      </c>
      <c r="F190" s="701">
        <f t="shared" si="30"/>
        <v>0</v>
      </c>
      <c r="G190" s="701">
        <f t="shared" si="30"/>
        <v>0</v>
      </c>
      <c r="H190" s="701">
        <f t="shared" si="30"/>
        <v>0</v>
      </c>
      <c r="I190" s="701">
        <f t="shared" si="30"/>
        <v>0</v>
      </c>
      <c r="J190" s="701">
        <f t="shared" si="30"/>
        <v>0</v>
      </c>
      <c r="K190" s="701">
        <f t="shared" si="30"/>
        <v>0</v>
      </c>
      <c r="L190" s="701">
        <f t="shared" si="30"/>
        <v>0</v>
      </c>
    </row>
    <row r="192" spans="1:12" ht="15.75">
      <c r="B192" s="77" t="s">
        <v>799</v>
      </c>
    </row>
    <row r="194" spans="2:12">
      <c r="B194" s="8" t="s">
        <v>59</v>
      </c>
      <c r="C194" s="554" t="str">
        <f>C142</f>
        <v>2018/19</v>
      </c>
      <c r="D194" s="554" t="str">
        <f t="shared" ref="D194:L194" si="31">D142</f>
        <v>2019/20</v>
      </c>
      <c r="E194" s="554" t="str">
        <f t="shared" si="31"/>
        <v>2020/21</v>
      </c>
      <c r="F194" s="554" t="str">
        <f t="shared" si="31"/>
        <v>2021/22</v>
      </c>
      <c r="G194" s="554" t="str">
        <f t="shared" si="31"/>
        <v>2022/23</v>
      </c>
      <c r="H194" s="554" t="str">
        <f t="shared" si="31"/>
        <v>2023/24</v>
      </c>
      <c r="I194" s="554" t="str">
        <f t="shared" si="31"/>
        <v>2024/25</v>
      </c>
      <c r="J194" s="554" t="str">
        <f t="shared" si="31"/>
        <v>2025/26</v>
      </c>
      <c r="K194" s="554" t="str">
        <f t="shared" si="31"/>
        <v>2026/27</v>
      </c>
      <c r="L194" s="149" t="str">
        <f t="shared" si="31"/>
        <v>2027/28</v>
      </c>
    </row>
    <row r="195" spans="2:12">
      <c r="B195" s="8" t="str">
        <f>B143</f>
        <v>Primary</v>
      </c>
      <c r="C195" s="661">
        <f>C143*C119</f>
        <v>3482.7627309008585</v>
      </c>
      <c r="D195" s="661">
        <f t="shared" ref="D195:L195" si="32">D143*D119</f>
        <v>3482.7627309008585</v>
      </c>
      <c r="E195" s="661">
        <f t="shared" si="32"/>
        <v>3482.7627309008585</v>
      </c>
      <c r="F195" s="661">
        <f t="shared" si="32"/>
        <v>3482.7627309008585</v>
      </c>
      <c r="G195" s="661">
        <f t="shared" si="32"/>
        <v>3482.7627309008585</v>
      </c>
      <c r="H195" s="661">
        <f t="shared" si="32"/>
        <v>3482.7627309008585</v>
      </c>
      <c r="I195" s="661">
        <f t="shared" si="32"/>
        <v>3482.7627309008585</v>
      </c>
      <c r="J195" s="661">
        <f t="shared" si="32"/>
        <v>3482.7627309008585</v>
      </c>
      <c r="K195" s="661">
        <f t="shared" si="32"/>
        <v>3482.7627309008585</v>
      </c>
      <c r="L195" s="661">
        <f t="shared" si="32"/>
        <v>3482.7627309008585</v>
      </c>
    </row>
    <row r="196" spans="2:12">
      <c r="B196" s="8" t="str">
        <f t="shared" ref="B196:B216" si="33">B144</f>
        <v>Art &amp; Design</v>
      </c>
      <c r="C196" s="661">
        <f t="shared" ref="C196:L214" si="34">C144*C120</f>
        <v>0</v>
      </c>
      <c r="D196" s="661">
        <f t="shared" si="34"/>
        <v>0</v>
      </c>
      <c r="E196" s="661">
        <f t="shared" si="34"/>
        <v>0</v>
      </c>
      <c r="F196" s="661">
        <f t="shared" si="34"/>
        <v>0</v>
      </c>
      <c r="G196" s="661">
        <f t="shared" si="34"/>
        <v>0</v>
      </c>
      <c r="H196" s="661">
        <f t="shared" si="34"/>
        <v>0</v>
      </c>
      <c r="I196" s="661">
        <f t="shared" si="34"/>
        <v>0</v>
      </c>
      <c r="J196" s="661">
        <f t="shared" si="34"/>
        <v>0</v>
      </c>
      <c r="K196" s="661">
        <f t="shared" si="34"/>
        <v>0</v>
      </c>
      <c r="L196" s="661">
        <f t="shared" si="34"/>
        <v>0</v>
      </c>
    </row>
    <row r="197" spans="2:12">
      <c r="B197" s="8" t="str">
        <f t="shared" si="33"/>
        <v>Biology</v>
      </c>
      <c r="C197" s="661">
        <f t="shared" si="34"/>
        <v>5.7570329847744226</v>
      </c>
      <c r="D197" s="661">
        <f t="shared" si="34"/>
        <v>5.7570329847744226</v>
      </c>
      <c r="E197" s="661">
        <f t="shared" si="34"/>
        <v>5.7570329847744226</v>
      </c>
      <c r="F197" s="661">
        <f t="shared" si="34"/>
        <v>5.7570329847744226</v>
      </c>
      <c r="G197" s="661">
        <f t="shared" si="34"/>
        <v>5.7570329847744226</v>
      </c>
      <c r="H197" s="661">
        <f t="shared" si="34"/>
        <v>5.7570329847744226</v>
      </c>
      <c r="I197" s="661">
        <f t="shared" si="34"/>
        <v>5.7570329847744226</v>
      </c>
      <c r="J197" s="661">
        <f t="shared" si="34"/>
        <v>5.7570329847744226</v>
      </c>
      <c r="K197" s="661">
        <f t="shared" si="34"/>
        <v>5.7570329847744226</v>
      </c>
      <c r="L197" s="661">
        <f t="shared" si="34"/>
        <v>5.7570329847744226</v>
      </c>
    </row>
    <row r="198" spans="2:12">
      <c r="B198" s="8" t="str">
        <f t="shared" si="33"/>
        <v>Business Studies</v>
      </c>
      <c r="C198" s="661">
        <f t="shared" si="34"/>
        <v>0</v>
      </c>
      <c r="D198" s="661">
        <f t="shared" si="34"/>
        <v>0</v>
      </c>
      <c r="E198" s="661">
        <f t="shared" si="34"/>
        <v>0</v>
      </c>
      <c r="F198" s="661">
        <f t="shared" si="34"/>
        <v>0</v>
      </c>
      <c r="G198" s="661">
        <f t="shared" si="34"/>
        <v>0</v>
      </c>
      <c r="H198" s="661">
        <f t="shared" si="34"/>
        <v>0</v>
      </c>
      <c r="I198" s="661">
        <f t="shared" si="34"/>
        <v>0</v>
      </c>
      <c r="J198" s="661">
        <f t="shared" si="34"/>
        <v>0</v>
      </c>
      <c r="K198" s="661">
        <f t="shared" si="34"/>
        <v>0</v>
      </c>
      <c r="L198" s="661">
        <f t="shared" si="34"/>
        <v>0</v>
      </c>
    </row>
    <row r="199" spans="2:12">
      <c r="B199" s="8" t="str">
        <f t="shared" si="33"/>
        <v>Chemistry</v>
      </c>
      <c r="C199" s="661">
        <f t="shared" si="34"/>
        <v>5.7085768257746912</v>
      </c>
      <c r="D199" s="661">
        <f t="shared" si="34"/>
        <v>5.7085768257746912</v>
      </c>
      <c r="E199" s="661">
        <f t="shared" si="34"/>
        <v>5.7085768257746912</v>
      </c>
      <c r="F199" s="661">
        <f t="shared" si="34"/>
        <v>5.7085768257746912</v>
      </c>
      <c r="G199" s="661">
        <f t="shared" si="34"/>
        <v>5.7085768257746912</v>
      </c>
      <c r="H199" s="661">
        <f t="shared" si="34"/>
        <v>5.7085768257746912</v>
      </c>
      <c r="I199" s="661">
        <f t="shared" si="34"/>
        <v>5.7085768257746912</v>
      </c>
      <c r="J199" s="661">
        <f t="shared" si="34"/>
        <v>5.7085768257746912</v>
      </c>
      <c r="K199" s="661">
        <f t="shared" si="34"/>
        <v>5.7085768257746912</v>
      </c>
      <c r="L199" s="661">
        <f t="shared" si="34"/>
        <v>5.7085768257746912</v>
      </c>
    </row>
    <row r="200" spans="2:12">
      <c r="B200" s="8" t="str">
        <f t="shared" si="33"/>
        <v>Classics</v>
      </c>
      <c r="C200" s="661">
        <f t="shared" si="34"/>
        <v>0</v>
      </c>
      <c r="D200" s="661">
        <f t="shared" si="34"/>
        <v>0</v>
      </c>
      <c r="E200" s="661">
        <f t="shared" si="34"/>
        <v>0</v>
      </c>
      <c r="F200" s="661">
        <f t="shared" si="34"/>
        <v>0</v>
      </c>
      <c r="G200" s="661">
        <f t="shared" si="34"/>
        <v>0</v>
      </c>
      <c r="H200" s="661">
        <f t="shared" si="34"/>
        <v>0</v>
      </c>
      <c r="I200" s="661">
        <f t="shared" si="34"/>
        <v>0</v>
      </c>
      <c r="J200" s="661">
        <f t="shared" si="34"/>
        <v>0</v>
      </c>
      <c r="K200" s="661">
        <f t="shared" si="34"/>
        <v>0</v>
      </c>
      <c r="L200" s="661">
        <f t="shared" si="34"/>
        <v>0</v>
      </c>
    </row>
    <row r="201" spans="2:12">
      <c r="B201" s="8" t="str">
        <f t="shared" si="33"/>
        <v>Computing</v>
      </c>
      <c r="C201" s="661">
        <f t="shared" si="34"/>
        <v>0</v>
      </c>
      <c r="D201" s="661">
        <f t="shared" si="34"/>
        <v>0</v>
      </c>
      <c r="E201" s="661">
        <f t="shared" si="34"/>
        <v>0</v>
      </c>
      <c r="F201" s="661">
        <f t="shared" si="34"/>
        <v>0</v>
      </c>
      <c r="G201" s="661">
        <f t="shared" si="34"/>
        <v>0</v>
      </c>
      <c r="H201" s="661">
        <f t="shared" si="34"/>
        <v>0</v>
      </c>
      <c r="I201" s="661">
        <f t="shared" si="34"/>
        <v>0</v>
      </c>
      <c r="J201" s="661">
        <f t="shared" si="34"/>
        <v>0</v>
      </c>
      <c r="K201" s="661">
        <f t="shared" si="34"/>
        <v>0</v>
      </c>
      <c r="L201" s="661">
        <f t="shared" si="34"/>
        <v>0</v>
      </c>
    </row>
    <row r="202" spans="2:12">
      <c r="B202" s="8" t="str">
        <f t="shared" si="33"/>
        <v>Design &amp; Technology</v>
      </c>
      <c r="C202" s="661">
        <f t="shared" si="34"/>
        <v>0</v>
      </c>
      <c r="D202" s="661">
        <f t="shared" si="34"/>
        <v>0</v>
      </c>
      <c r="E202" s="661">
        <f t="shared" si="34"/>
        <v>0</v>
      </c>
      <c r="F202" s="661">
        <f t="shared" si="34"/>
        <v>0</v>
      </c>
      <c r="G202" s="661">
        <f t="shared" si="34"/>
        <v>0</v>
      </c>
      <c r="H202" s="661">
        <f t="shared" si="34"/>
        <v>0</v>
      </c>
      <c r="I202" s="661">
        <f t="shared" si="34"/>
        <v>0</v>
      </c>
      <c r="J202" s="661">
        <f t="shared" si="34"/>
        <v>0</v>
      </c>
      <c r="K202" s="661">
        <f t="shared" si="34"/>
        <v>0</v>
      </c>
      <c r="L202" s="661">
        <f t="shared" si="34"/>
        <v>0</v>
      </c>
    </row>
    <row r="203" spans="2:12">
      <c r="B203" s="8" t="str">
        <f t="shared" si="33"/>
        <v>Drama</v>
      </c>
      <c r="C203" s="661">
        <f t="shared" si="34"/>
        <v>0</v>
      </c>
      <c r="D203" s="661">
        <f t="shared" si="34"/>
        <v>0</v>
      </c>
      <c r="E203" s="661">
        <f t="shared" si="34"/>
        <v>0</v>
      </c>
      <c r="F203" s="661">
        <f t="shared" si="34"/>
        <v>0</v>
      </c>
      <c r="G203" s="661">
        <f t="shared" si="34"/>
        <v>0</v>
      </c>
      <c r="H203" s="661">
        <f t="shared" si="34"/>
        <v>0</v>
      </c>
      <c r="I203" s="661">
        <f t="shared" si="34"/>
        <v>0</v>
      </c>
      <c r="J203" s="661">
        <f t="shared" si="34"/>
        <v>0</v>
      </c>
      <c r="K203" s="661">
        <f t="shared" si="34"/>
        <v>0</v>
      </c>
      <c r="L203" s="661">
        <f t="shared" si="34"/>
        <v>0</v>
      </c>
    </row>
    <row r="204" spans="2:12">
      <c r="B204" s="8" t="str">
        <f t="shared" si="33"/>
        <v>English</v>
      </c>
      <c r="C204" s="661">
        <f t="shared" si="34"/>
        <v>28.513995609842429</v>
      </c>
      <c r="D204" s="661">
        <f t="shared" si="34"/>
        <v>28.513995609842429</v>
      </c>
      <c r="E204" s="661">
        <f t="shared" si="34"/>
        <v>28.513995609842429</v>
      </c>
      <c r="F204" s="661">
        <f t="shared" si="34"/>
        <v>28.513995609842429</v>
      </c>
      <c r="G204" s="661">
        <f t="shared" si="34"/>
        <v>28.513995609842429</v>
      </c>
      <c r="H204" s="661">
        <f t="shared" si="34"/>
        <v>28.513995609842429</v>
      </c>
      <c r="I204" s="661">
        <f t="shared" si="34"/>
        <v>28.513995609842429</v>
      </c>
      <c r="J204" s="661">
        <f t="shared" si="34"/>
        <v>28.513995609842429</v>
      </c>
      <c r="K204" s="661">
        <f t="shared" si="34"/>
        <v>28.513995609842429</v>
      </c>
      <c r="L204" s="661">
        <f t="shared" si="34"/>
        <v>28.513995609842429</v>
      </c>
    </row>
    <row r="205" spans="2:12">
      <c r="B205" s="8" t="str">
        <f t="shared" si="33"/>
        <v>Food</v>
      </c>
      <c r="C205" s="661">
        <f t="shared" si="34"/>
        <v>0</v>
      </c>
      <c r="D205" s="661">
        <f t="shared" si="34"/>
        <v>0</v>
      </c>
      <c r="E205" s="661">
        <f t="shared" si="34"/>
        <v>0</v>
      </c>
      <c r="F205" s="661">
        <f t="shared" si="34"/>
        <v>0</v>
      </c>
      <c r="G205" s="661">
        <f t="shared" si="34"/>
        <v>0</v>
      </c>
      <c r="H205" s="661">
        <f t="shared" si="34"/>
        <v>0</v>
      </c>
      <c r="I205" s="661">
        <f t="shared" si="34"/>
        <v>0</v>
      </c>
      <c r="J205" s="661">
        <f t="shared" si="34"/>
        <v>0</v>
      </c>
      <c r="K205" s="661">
        <f t="shared" si="34"/>
        <v>0</v>
      </c>
      <c r="L205" s="661">
        <f t="shared" si="34"/>
        <v>0</v>
      </c>
    </row>
    <row r="206" spans="2:12">
      <c r="B206" s="8" t="str">
        <f t="shared" si="33"/>
        <v>Geography</v>
      </c>
      <c r="C206" s="661">
        <f t="shared" si="34"/>
        <v>0</v>
      </c>
      <c r="D206" s="661">
        <f t="shared" si="34"/>
        <v>0</v>
      </c>
      <c r="E206" s="661">
        <f t="shared" si="34"/>
        <v>0</v>
      </c>
      <c r="F206" s="661">
        <f t="shared" si="34"/>
        <v>0</v>
      </c>
      <c r="G206" s="661">
        <f t="shared" si="34"/>
        <v>0</v>
      </c>
      <c r="H206" s="661">
        <f t="shared" si="34"/>
        <v>0</v>
      </c>
      <c r="I206" s="661">
        <f t="shared" si="34"/>
        <v>0</v>
      </c>
      <c r="J206" s="661">
        <f t="shared" si="34"/>
        <v>0</v>
      </c>
      <c r="K206" s="661">
        <f t="shared" si="34"/>
        <v>0</v>
      </c>
      <c r="L206" s="661">
        <f t="shared" si="34"/>
        <v>0</v>
      </c>
    </row>
    <row r="207" spans="2:12">
      <c r="B207" s="8" t="str">
        <f t="shared" si="33"/>
        <v>History</v>
      </c>
      <c r="C207" s="661">
        <f t="shared" si="34"/>
        <v>0</v>
      </c>
      <c r="D207" s="661">
        <f t="shared" si="34"/>
        <v>0</v>
      </c>
      <c r="E207" s="661">
        <f t="shared" si="34"/>
        <v>0</v>
      </c>
      <c r="F207" s="661">
        <f t="shared" si="34"/>
        <v>0</v>
      </c>
      <c r="G207" s="661">
        <f t="shared" si="34"/>
        <v>0</v>
      </c>
      <c r="H207" s="661">
        <f t="shared" si="34"/>
        <v>0</v>
      </c>
      <c r="I207" s="661">
        <f t="shared" si="34"/>
        <v>0</v>
      </c>
      <c r="J207" s="661">
        <f t="shared" si="34"/>
        <v>0</v>
      </c>
      <c r="K207" s="661">
        <f t="shared" si="34"/>
        <v>0</v>
      </c>
      <c r="L207" s="661">
        <f t="shared" si="34"/>
        <v>0</v>
      </c>
    </row>
    <row r="208" spans="2:12">
      <c r="B208" s="8" t="str">
        <f t="shared" si="33"/>
        <v>Mathematics</v>
      </c>
      <c r="C208" s="661">
        <f t="shared" si="34"/>
        <v>60.928478795172381</v>
      </c>
      <c r="D208" s="661">
        <f t="shared" si="34"/>
        <v>60.928478795172381</v>
      </c>
      <c r="E208" s="661">
        <f t="shared" si="34"/>
        <v>60.928478795172381</v>
      </c>
      <c r="F208" s="661">
        <f t="shared" si="34"/>
        <v>60.928478795172381</v>
      </c>
      <c r="G208" s="661">
        <f t="shared" si="34"/>
        <v>60.928478795172381</v>
      </c>
      <c r="H208" s="661">
        <f t="shared" si="34"/>
        <v>60.928478795172381</v>
      </c>
      <c r="I208" s="661">
        <f t="shared" si="34"/>
        <v>60.928478795172381</v>
      </c>
      <c r="J208" s="661">
        <f t="shared" si="34"/>
        <v>60.928478795172381</v>
      </c>
      <c r="K208" s="661">
        <f t="shared" si="34"/>
        <v>60.928478795172381</v>
      </c>
      <c r="L208" s="661">
        <f t="shared" si="34"/>
        <v>60.928478795172381</v>
      </c>
    </row>
    <row r="209" spans="2:12">
      <c r="B209" s="8" t="str">
        <f t="shared" si="33"/>
        <v>Modern Foreign Languages</v>
      </c>
      <c r="C209" s="661">
        <f t="shared" si="34"/>
        <v>0</v>
      </c>
      <c r="D209" s="661">
        <f t="shared" si="34"/>
        <v>0</v>
      </c>
      <c r="E209" s="661">
        <f t="shared" si="34"/>
        <v>0</v>
      </c>
      <c r="F209" s="661">
        <f t="shared" si="34"/>
        <v>0</v>
      </c>
      <c r="G209" s="661">
        <f t="shared" si="34"/>
        <v>0</v>
      </c>
      <c r="H209" s="661">
        <f t="shared" si="34"/>
        <v>0</v>
      </c>
      <c r="I209" s="661">
        <f t="shared" si="34"/>
        <v>0</v>
      </c>
      <c r="J209" s="661">
        <f t="shared" si="34"/>
        <v>0</v>
      </c>
      <c r="K209" s="661">
        <f t="shared" si="34"/>
        <v>0</v>
      </c>
      <c r="L209" s="661">
        <f t="shared" si="34"/>
        <v>0</v>
      </c>
    </row>
    <row r="210" spans="2:12">
      <c r="B210" s="8" t="str">
        <f t="shared" si="33"/>
        <v>Music</v>
      </c>
      <c r="C210" s="661">
        <f t="shared" si="34"/>
        <v>0</v>
      </c>
      <c r="D210" s="661">
        <f t="shared" si="34"/>
        <v>0</v>
      </c>
      <c r="E210" s="661">
        <f t="shared" si="34"/>
        <v>0</v>
      </c>
      <c r="F210" s="661">
        <f t="shared" si="34"/>
        <v>0</v>
      </c>
      <c r="G210" s="661">
        <f t="shared" si="34"/>
        <v>0</v>
      </c>
      <c r="H210" s="661">
        <f t="shared" si="34"/>
        <v>0</v>
      </c>
      <c r="I210" s="661">
        <f t="shared" si="34"/>
        <v>0</v>
      </c>
      <c r="J210" s="661">
        <f t="shared" si="34"/>
        <v>0</v>
      </c>
      <c r="K210" s="661">
        <f t="shared" si="34"/>
        <v>0</v>
      </c>
      <c r="L210" s="661">
        <f t="shared" si="34"/>
        <v>0</v>
      </c>
    </row>
    <row r="211" spans="2:12">
      <c r="B211" s="8" t="str">
        <f t="shared" si="33"/>
        <v>Others</v>
      </c>
      <c r="C211" s="661">
        <f t="shared" si="34"/>
        <v>0</v>
      </c>
      <c r="D211" s="661">
        <f t="shared" si="34"/>
        <v>0</v>
      </c>
      <c r="E211" s="661">
        <f t="shared" si="34"/>
        <v>0</v>
      </c>
      <c r="F211" s="661">
        <f t="shared" si="34"/>
        <v>0</v>
      </c>
      <c r="G211" s="661">
        <f t="shared" si="34"/>
        <v>0</v>
      </c>
      <c r="H211" s="661">
        <f t="shared" si="34"/>
        <v>0</v>
      </c>
      <c r="I211" s="661">
        <f t="shared" si="34"/>
        <v>0</v>
      </c>
      <c r="J211" s="661">
        <f t="shared" si="34"/>
        <v>0</v>
      </c>
      <c r="K211" s="661">
        <f t="shared" si="34"/>
        <v>0</v>
      </c>
      <c r="L211" s="661">
        <f t="shared" si="34"/>
        <v>0</v>
      </c>
    </row>
    <row r="212" spans="2:12">
      <c r="B212" s="8" t="str">
        <f t="shared" si="33"/>
        <v>Physical Education</v>
      </c>
      <c r="C212" s="661">
        <f t="shared" si="34"/>
        <v>60.051366226853261</v>
      </c>
      <c r="D212" s="661">
        <f t="shared" si="34"/>
        <v>60.051366226853261</v>
      </c>
      <c r="E212" s="661">
        <f t="shared" si="34"/>
        <v>60.051366226853261</v>
      </c>
      <c r="F212" s="661">
        <f t="shared" si="34"/>
        <v>60.051366226853261</v>
      </c>
      <c r="G212" s="661">
        <f t="shared" si="34"/>
        <v>60.051366226853261</v>
      </c>
      <c r="H212" s="661">
        <f t="shared" si="34"/>
        <v>60.051366226853261</v>
      </c>
      <c r="I212" s="661">
        <f t="shared" si="34"/>
        <v>60.051366226853261</v>
      </c>
      <c r="J212" s="661">
        <f t="shared" si="34"/>
        <v>60.051366226853261</v>
      </c>
      <c r="K212" s="661">
        <f t="shared" si="34"/>
        <v>60.051366226853261</v>
      </c>
      <c r="L212" s="661">
        <f t="shared" si="34"/>
        <v>60.051366226853261</v>
      </c>
    </row>
    <row r="213" spans="2:12">
      <c r="B213" s="8" t="str">
        <f t="shared" si="33"/>
        <v>Physics</v>
      </c>
      <c r="C213" s="661">
        <f t="shared" si="34"/>
        <v>4.2004719890556492</v>
      </c>
      <c r="D213" s="661">
        <f t="shared" si="34"/>
        <v>4.2004719890556492</v>
      </c>
      <c r="E213" s="661">
        <f t="shared" si="34"/>
        <v>4.2004719890556492</v>
      </c>
      <c r="F213" s="661">
        <f t="shared" si="34"/>
        <v>4.2004719890556492</v>
      </c>
      <c r="G213" s="661">
        <f t="shared" si="34"/>
        <v>4.2004719890556492</v>
      </c>
      <c r="H213" s="661">
        <f t="shared" si="34"/>
        <v>4.2004719890556492</v>
      </c>
      <c r="I213" s="661">
        <f t="shared" si="34"/>
        <v>4.2004719890556492</v>
      </c>
      <c r="J213" s="661">
        <f t="shared" si="34"/>
        <v>4.2004719890556492</v>
      </c>
      <c r="K213" s="661">
        <f t="shared" si="34"/>
        <v>4.2004719890556492</v>
      </c>
      <c r="L213" s="661">
        <f t="shared" si="34"/>
        <v>4.2004719890556492</v>
      </c>
    </row>
    <row r="214" spans="2:12">
      <c r="B214" s="8" t="str">
        <f t="shared" si="33"/>
        <v>Religious Education</v>
      </c>
      <c r="C214" s="661">
        <f t="shared" si="34"/>
        <v>15.050148028079876</v>
      </c>
      <c r="D214" s="661">
        <f t="shared" si="34"/>
        <v>15.050148028079876</v>
      </c>
      <c r="E214" s="661">
        <f t="shared" si="34"/>
        <v>15.050148028079876</v>
      </c>
      <c r="F214" s="661">
        <f t="shared" si="34"/>
        <v>15.050148028079876</v>
      </c>
      <c r="G214" s="661">
        <f t="shared" si="34"/>
        <v>15.050148028079876</v>
      </c>
      <c r="H214" s="661">
        <f t="shared" si="34"/>
        <v>15.050148028079876</v>
      </c>
      <c r="I214" s="661">
        <f t="shared" si="34"/>
        <v>15.050148028079876</v>
      </c>
      <c r="J214" s="661">
        <f t="shared" si="34"/>
        <v>15.050148028079876</v>
      </c>
      <c r="K214" s="661">
        <f t="shared" si="34"/>
        <v>15.050148028079876</v>
      </c>
      <c r="L214" s="661">
        <f t="shared" si="34"/>
        <v>15.050148028079876</v>
      </c>
    </row>
    <row r="215" spans="2:12">
      <c r="B215" s="8" t="str">
        <f t="shared" si="33"/>
        <v>Total</v>
      </c>
      <c r="C215" s="447">
        <f t="shared" ref="C215:L215" si="35">SUM(C195:C214)</f>
        <v>3662.9728013604113</v>
      </c>
      <c r="D215" s="447">
        <f t="shared" si="35"/>
        <v>3662.9728013604113</v>
      </c>
      <c r="E215" s="447">
        <f t="shared" si="35"/>
        <v>3662.9728013604113</v>
      </c>
      <c r="F215" s="447">
        <f t="shared" si="35"/>
        <v>3662.9728013604113</v>
      </c>
      <c r="G215" s="447">
        <f t="shared" si="35"/>
        <v>3662.9728013604113</v>
      </c>
      <c r="H215" s="447">
        <f t="shared" si="35"/>
        <v>3662.9728013604113</v>
      </c>
      <c r="I215" s="447">
        <f t="shared" si="35"/>
        <v>3662.9728013604113</v>
      </c>
      <c r="J215" s="447">
        <f t="shared" si="35"/>
        <v>3662.9728013604113</v>
      </c>
      <c r="K215" s="447">
        <f t="shared" si="35"/>
        <v>3662.9728013604113</v>
      </c>
      <c r="L215" s="447">
        <f t="shared" si="35"/>
        <v>3662.9728013604113</v>
      </c>
    </row>
    <row r="216" spans="2:12">
      <c r="B216" s="8" t="str">
        <f t="shared" si="33"/>
        <v>Secondary total</v>
      </c>
      <c r="C216" s="447">
        <f>SUM(C195:C214)-C195</f>
        <v>180.21007045955275</v>
      </c>
      <c r="D216" s="447">
        <f t="shared" ref="D216:L216" si="36">SUM(D195:D214)-D195</f>
        <v>180.21007045955275</v>
      </c>
      <c r="E216" s="447">
        <f t="shared" si="36"/>
        <v>180.21007045955275</v>
      </c>
      <c r="F216" s="447">
        <f t="shared" si="36"/>
        <v>180.21007045955275</v>
      </c>
      <c r="G216" s="447">
        <f t="shared" si="36"/>
        <v>180.21007045955275</v>
      </c>
      <c r="H216" s="447">
        <f t="shared" si="36"/>
        <v>180.21007045955275</v>
      </c>
      <c r="I216" s="447">
        <f t="shared" si="36"/>
        <v>180.21007045955275</v>
      </c>
      <c r="J216" s="447">
        <f t="shared" si="36"/>
        <v>180.21007045955275</v>
      </c>
      <c r="K216" s="447">
        <f t="shared" si="36"/>
        <v>180.21007045955275</v>
      </c>
      <c r="L216" s="447">
        <f t="shared" si="36"/>
        <v>180.21007045955275</v>
      </c>
    </row>
    <row r="218" spans="2:12">
      <c r="B218" s="703" t="s">
        <v>1085</v>
      </c>
    </row>
    <row r="219" spans="2:12">
      <c r="B219" s="702"/>
    </row>
    <row r="220" spans="2:12">
      <c r="B220" s="8" t="s">
        <v>59</v>
      </c>
      <c r="C220" s="8" t="str">
        <f>C194</f>
        <v>2018/19</v>
      </c>
      <c r="D220" s="8" t="str">
        <f t="shared" ref="D220:L220" si="37">D194</f>
        <v>2019/20</v>
      </c>
      <c r="E220" s="8" t="str">
        <f t="shared" si="37"/>
        <v>2020/21</v>
      </c>
      <c r="F220" s="8" t="str">
        <f t="shared" si="37"/>
        <v>2021/22</v>
      </c>
      <c r="G220" s="8" t="str">
        <f t="shared" si="37"/>
        <v>2022/23</v>
      </c>
      <c r="H220" s="8" t="str">
        <f t="shared" si="37"/>
        <v>2023/24</v>
      </c>
      <c r="I220" s="8" t="str">
        <f t="shared" si="37"/>
        <v>2024/25</v>
      </c>
      <c r="J220" s="8" t="str">
        <f t="shared" si="37"/>
        <v>2025/26</v>
      </c>
      <c r="K220" s="8" t="str">
        <f t="shared" si="37"/>
        <v>2026/27</v>
      </c>
      <c r="L220" s="8" t="str">
        <f t="shared" si="37"/>
        <v>2027/28</v>
      </c>
    </row>
    <row r="221" spans="2:12">
      <c r="B221" s="8" t="str">
        <f>B169</f>
        <v>Primary</v>
      </c>
      <c r="C221" s="406">
        <f>C195/C$215</f>
        <v>0.95080223626213567</v>
      </c>
      <c r="D221" s="406">
        <f t="shared" ref="D221:L221" si="38">D195/D$215</f>
        <v>0.95080223626213567</v>
      </c>
      <c r="E221" s="406">
        <f t="shared" si="38"/>
        <v>0.95080223626213567</v>
      </c>
      <c r="F221" s="406">
        <f t="shared" si="38"/>
        <v>0.95080223626213567</v>
      </c>
      <c r="G221" s="406">
        <f t="shared" si="38"/>
        <v>0.95080223626213567</v>
      </c>
      <c r="H221" s="406">
        <f t="shared" si="38"/>
        <v>0.95080223626213567</v>
      </c>
      <c r="I221" s="406">
        <f t="shared" si="38"/>
        <v>0.95080223626213567</v>
      </c>
      <c r="J221" s="406">
        <f t="shared" si="38"/>
        <v>0.95080223626213567</v>
      </c>
      <c r="K221" s="406">
        <f t="shared" si="38"/>
        <v>0.95080223626213567</v>
      </c>
      <c r="L221" s="406">
        <f t="shared" si="38"/>
        <v>0.95080223626213567</v>
      </c>
    </row>
    <row r="222" spans="2:12">
      <c r="B222" s="8" t="str">
        <f t="shared" ref="B222:B241" si="39">B170</f>
        <v>Art &amp; Design</v>
      </c>
      <c r="C222" s="406">
        <f t="shared" ref="C222:L240" si="40">C196/C$215</f>
        <v>0</v>
      </c>
      <c r="D222" s="406">
        <f t="shared" si="40"/>
        <v>0</v>
      </c>
      <c r="E222" s="406">
        <f t="shared" si="40"/>
        <v>0</v>
      </c>
      <c r="F222" s="406">
        <f t="shared" si="40"/>
        <v>0</v>
      </c>
      <c r="G222" s="406">
        <f t="shared" si="40"/>
        <v>0</v>
      </c>
      <c r="H222" s="406">
        <f t="shared" si="40"/>
        <v>0</v>
      </c>
      <c r="I222" s="406">
        <f t="shared" si="40"/>
        <v>0</v>
      </c>
      <c r="J222" s="406">
        <f t="shared" si="40"/>
        <v>0</v>
      </c>
      <c r="K222" s="406">
        <f t="shared" si="40"/>
        <v>0</v>
      </c>
      <c r="L222" s="406">
        <f t="shared" si="40"/>
        <v>0</v>
      </c>
    </row>
    <row r="223" spans="2:12">
      <c r="B223" s="8" t="str">
        <f t="shared" si="39"/>
        <v>Biology</v>
      </c>
      <c r="C223" s="406">
        <f t="shared" si="40"/>
        <v>1.5716832466340692E-3</v>
      </c>
      <c r="D223" s="406">
        <f t="shared" si="40"/>
        <v>1.5716832466340692E-3</v>
      </c>
      <c r="E223" s="406">
        <f t="shared" si="40"/>
        <v>1.5716832466340692E-3</v>
      </c>
      <c r="F223" s="406">
        <f t="shared" si="40"/>
        <v>1.5716832466340692E-3</v>
      </c>
      <c r="G223" s="406">
        <f t="shared" si="40"/>
        <v>1.5716832466340692E-3</v>
      </c>
      <c r="H223" s="406">
        <f t="shared" si="40"/>
        <v>1.5716832466340692E-3</v>
      </c>
      <c r="I223" s="406">
        <f t="shared" si="40"/>
        <v>1.5716832466340692E-3</v>
      </c>
      <c r="J223" s="406">
        <f t="shared" si="40"/>
        <v>1.5716832466340692E-3</v>
      </c>
      <c r="K223" s="406">
        <f t="shared" si="40"/>
        <v>1.5716832466340692E-3</v>
      </c>
      <c r="L223" s="406">
        <f t="shared" si="40"/>
        <v>1.5716832466340692E-3</v>
      </c>
    </row>
    <row r="224" spans="2:12">
      <c r="B224" s="8" t="str">
        <f t="shared" si="39"/>
        <v>Business Studies</v>
      </c>
      <c r="C224" s="406">
        <f t="shared" si="40"/>
        <v>0</v>
      </c>
      <c r="D224" s="406">
        <f t="shared" si="40"/>
        <v>0</v>
      </c>
      <c r="E224" s="406">
        <f t="shared" si="40"/>
        <v>0</v>
      </c>
      <c r="F224" s="406">
        <f t="shared" si="40"/>
        <v>0</v>
      </c>
      <c r="G224" s="406">
        <f t="shared" si="40"/>
        <v>0</v>
      </c>
      <c r="H224" s="406">
        <f t="shared" si="40"/>
        <v>0</v>
      </c>
      <c r="I224" s="406">
        <f t="shared" si="40"/>
        <v>0</v>
      </c>
      <c r="J224" s="406">
        <f t="shared" si="40"/>
        <v>0</v>
      </c>
      <c r="K224" s="406">
        <f t="shared" si="40"/>
        <v>0</v>
      </c>
      <c r="L224" s="406">
        <f t="shared" si="40"/>
        <v>0</v>
      </c>
    </row>
    <row r="225" spans="2:12">
      <c r="B225" s="8" t="str">
        <f t="shared" si="39"/>
        <v>Chemistry</v>
      </c>
      <c r="C225" s="406">
        <f t="shared" si="40"/>
        <v>1.5584546037728023E-3</v>
      </c>
      <c r="D225" s="406">
        <f t="shared" si="40"/>
        <v>1.5584546037728023E-3</v>
      </c>
      <c r="E225" s="406">
        <f t="shared" si="40"/>
        <v>1.5584546037728023E-3</v>
      </c>
      <c r="F225" s="406">
        <f t="shared" si="40"/>
        <v>1.5584546037728023E-3</v>
      </c>
      <c r="G225" s="406">
        <f t="shared" si="40"/>
        <v>1.5584546037728023E-3</v>
      </c>
      <c r="H225" s="406">
        <f t="shared" si="40"/>
        <v>1.5584546037728023E-3</v>
      </c>
      <c r="I225" s="406">
        <f t="shared" si="40"/>
        <v>1.5584546037728023E-3</v>
      </c>
      <c r="J225" s="406">
        <f t="shared" si="40"/>
        <v>1.5584546037728023E-3</v>
      </c>
      <c r="K225" s="406">
        <f t="shared" si="40"/>
        <v>1.5584546037728023E-3</v>
      </c>
      <c r="L225" s="406">
        <f t="shared" si="40"/>
        <v>1.5584546037728023E-3</v>
      </c>
    </row>
    <row r="226" spans="2:12">
      <c r="B226" s="8" t="str">
        <f t="shared" si="39"/>
        <v>Classics</v>
      </c>
      <c r="C226" s="406">
        <f t="shared" si="40"/>
        <v>0</v>
      </c>
      <c r="D226" s="406">
        <f t="shared" si="40"/>
        <v>0</v>
      </c>
      <c r="E226" s="406">
        <f t="shared" si="40"/>
        <v>0</v>
      </c>
      <c r="F226" s="406">
        <f t="shared" si="40"/>
        <v>0</v>
      </c>
      <c r="G226" s="406">
        <f t="shared" si="40"/>
        <v>0</v>
      </c>
      <c r="H226" s="406">
        <f t="shared" si="40"/>
        <v>0</v>
      </c>
      <c r="I226" s="406">
        <f t="shared" si="40"/>
        <v>0</v>
      </c>
      <c r="J226" s="406">
        <f t="shared" si="40"/>
        <v>0</v>
      </c>
      <c r="K226" s="406">
        <f t="shared" si="40"/>
        <v>0</v>
      </c>
      <c r="L226" s="406">
        <f t="shared" si="40"/>
        <v>0</v>
      </c>
    </row>
    <row r="227" spans="2:12">
      <c r="B227" s="8" t="str">
        <f t="shared" si="39"/>
        <v>Computing</v>
      </c>
      <c r="C227" s="406">
        <f t="shared" si="40"/>
        <v>0</v>
      </c>
      <c r="D227" s="406">
        <f t="shared" si="40"/>
        <v>0</v>
      </c>
      <c r="E227" s="406">
        <f t="shared" si="40"/>
        <v>0</v>
      </c>
      <c r="F227" s="406">
        <f t="shared" si="40"/>
        <v>0</v>
      </c>
      <c r="G227" s="406">
        <f t="shared" si="40"/>
        <v>0</v>
      </c>
      <c r="H227" s="406">
        <f t="shared" si="40"/>
        <v>0</v>
      </c>
      <c r="I227" s="406">
        <f t="shared" si="40"/>
        <v>0</v>
      </c>
      <c r="J227" s="406">
        <f t="shared" si="40"/>
        <v>0</v>
      </c>
      <c r="K227" s="406">
        <f t="shared" si="40"/>
        <v>0</v>
      </c>
      <c r="L227" s="406">
        <f t="shared" si="40"/>
        <v>0</v>
      </c>
    </row>
    <row r="228" spans="2:12">
      <c r="B228" s="8" t="str">
        <f t="shared" si="39"/>
        <v>Design &amp; Technology</v>
      </c>
      <c r="C228" s="406">
        <f t="shared" si="40"/>
        <v>0</v>
      </c>
      <c r="D228" s="406">
        <f t="shared" si="40"/>
        <v>0</v>
      </c>
      <c r="E228" s="406">
        <f t="shared" si="40"/>
        <v>0</v>
      </c>
      <c r="F228" s="406">
        <f t="shared" si="40"/>
        <v>0</v>
      </c>
      <c r="G228" s="406">
        <f t="shared" si="40"/>
        <v>0</v>
      </c>
      <c r="H228" s="406">
        <f t="shared" si="40"/>
        <v>0</v>
      </c>
      <c r="I228" s="406">
        <f t="shared" si="40"/>
        <v>0</v>
      </c>
      <c r="J228" s="406">
        <f t="shared" si="40"/>
        <v>0</v>
      </c>
      <c r="K228" s="406">
        <f t="shared" si="40"/>
        <v>0</v>
      </c>
      <c r="L228" s="406">
        <f t="shared" si="40"/>
        <v>0</v>
      </c>
    </row>
    <row r="229" spans="2:12">
      <c r="B229" s="8" t="str">
        <f t="shared" si="39"/>
        <v>Drama</v>
      </c>
      <c r="C229" s="406">
        <f t="shared" si="40"/>
        <v>0</v>
      </c>
      <c r="D229" s="406">
        <f t="shared" si="40"/>
        <v>0</v>
      </c>
      <c r="E229" s="406">
        <f t="shared" si="40"/>
        <v>0</v>
      </c>
      <c r="F229" s="406">
        <f t="shared" si="40"/>
        <v>0</v>
      </c>
      <c r="G229" s="406">
        <f t="shared" si="40"/>
        <v>0</v>
      </c>
      <c r="H229" s="406">
        <f t="shared" si="40"/>
        <v>0</v>
      </c>
      <c r="I229" s="406">
        <f t="shared" si="40"/>
        <v>0</v>
      </c>
      <c r="J229" s="406">
        <f t="shared" si="40"/>
        <v>0</v>
      </c>
      <c r="K229" s="406">
        <f t="shared" si="40"/>
        <v>0</v>
      </c>
      <c r="L229" s="406">
        <f t="shared" si="40"/>
        <v>0</v>
      </c>
    </row>
    <row r="230" spans="2:12">
      <c r="B230" s="8" t="str">
        <f t="shared" si="39"/>
        <v>English</v>
      </c>
      <c r="C230" s="406">
        <f t="shared" si="40"/>
        <v>7.7843863867218619E-3</v>
      </c>
      <c r="D230" s="406">
        <f t="shared" si="40"/>
        <v>7.7843863867218619E-3</v>
      </c>
      <c r="E230" s="406">
        <f t="shared" si="40"/>
        <v>7.7843863867218619E-3</v>
      </c>
      <c r="F230" s="406">
        <f t="shared" si="40"/>
        <v>7.7843863867218619E-3</v>
      </c>
      <c r="G230" s="406">
        <f t="shared" si="40"/>
        <v>7.7843863867218619E-3</v>
      </c>
      <c r="H230" s="406">
        <f t="shared" si="40"/>
        <v>7.7843863867218619E-3</v>
      </c>
      <c r="I230" s="406">
        <f t="shared" si="40"/>
        <v>7.7843863867218619E-3</v>
      </c>
      <c r="J230" s="406">
        <f t="shared" si="40"/>
        <v>7.7843863867218619E-3</v>
      </c>
      <c r="K230" s="406">
        <f t="shared" si="40"/>
        <v>7.7843863867218619E-3</v>
      </c>
      <c r="L230" s="406">
        <f t="shared" si="40"/>
        <v>7.7843863867218619E-3</v>
      </c>
    </row>
    <row r="231" spans="2:12">
      <c r="B231" s="8" t="str">
        <f t="shared" si="39"/>
        <v>Food</v>
      </c>
      <c r="C231" s="406">
        <f t="shared" si="40"/>
        <v>0</v>
      </c>
      <c r="D231" s="406">
        <f t="shared" si="40"/>
        <v>0</v>
      </c>
      <c r="E231" s="406">
        <f t="shared" si="40"/>
        <v>0</v>
      </c>
      <c r="F231" s="406">
        <f t="shared" si="40"/>
        <v>0</v>
      </c>
      <c r="G231" s="406">
        <f t="shared" si="40"/>
        <v>0</v>
      </c>
      <c r="H231" s="406">
        <f t="shared" si="40"/>
        <v>0</v>
      </c>
      <c r="I231" s="406">
        <f t="shared" si="40"/>
        <v>0</v>
      </c>
      <c r="J231" s="406">
        <f t="shared" si="40"/>
        <v>0</v>
      </c>
      <c r="K231" s="406">
        <f t="shared" si="40"/>
        <v>0</v>
      </c>
      <c r="L231" s="406">
        <f t="shared" si="40"/>
        <v>0</v>
      </c>
    </row>
    <row r="232" spans="2:12">
      <c r="B232" s="8" t="str">
        <f t="shared" si="39"/>
        <v>Geography</v>
      </c>
      <c r="C232" s="406">
        <f t="shared" si="40"/>
        <v>0</v>
      </c>
      <c r="D232" s="406">
        <f t="shared" si="40"/>
        <v>0</v>
      </c>
      <c r="E232" s="406">
        <f t="shared" si="40"/>
        <v>0</v>
      </c>
      <c r="F232" s="406">
        <f t="shared" si="40"/>
        <v>0</v>
      </c>
      <c r="G232" s="406">
        <f t="shared" si="40"/>
        <v>0</v>
      </c>
      <c r="H232" s="406">
        <f t="shared" si="40"/>
        <v>0</v>
      </c>
      <c r="I232" s="406">
        <f t="shared" si="40"/>
        <v>0</v>
      </c>
      <c r="J232" s="406">
        <f t="shared" si="40"/>
        <v>0</v>
      </c>
      <c r="K232" s="406">
        <f t="shared" si="40"/>
        <v>0</v>
      </c>
      <c r="L232" s="406">
        <f t="shared" si="40"/>
        <v>0</v>
      </c>
    </row>
    <row r="233" spans="2:12">
      <c r="B233" s="8" t="str">
        <f t="shared" si="39"/>
        <v>History</v>
      </c>
      <c r="C233" s="406">
        <f t="shared" si="40"/>
        <v>0</v>
      </c>
      <c r="D233" s="406">
        <f t="shared" si="40"/>
        <v>0</v>
      </c>
      <c r="E233" s="406">
        <f t="shared" si="40"/>
        <v>0</v>
      </c>
      <c r="F233" s="406">
        <f t="shared" si="40"/>
        <v>0</v>
      </c>
      <c r="G233" s="406">
        <f t="shared" si="40"/>
        <v>0</v>
      </c>
      <c r="H233" s="406">
        <f t="shared" si="40"/>
        <v>0</v>
      </c>
      <c r="I233" s="406">
        <f t="shared" si="40"/>
        <v>0</v>
      </c>
      <c r="J233" s="406">
        <f t="shared" si="40"/>
        <v>0</v>
      </c>
      <c r="K233" s="406">
        <f t="shared" si="40"/>
        <v>0</v>
      </c>
      <c r="L233" s="406">
        <f t="shared" si="40"/>
        <v>0</v>
      </c>
    </row>
    <row r="234" spans="2:12">
      <c r="B234" s="8" t="str">
        <f t="shared" si="39"/>
        <v>Mathematics</v>
      </c>
      <c r="C234" s="406">
        <f t="shared" si="40"/>
        <v>1.663361485308977E-2</v>
      </c>
      <c r="D234" s="406">
        <f t="shared" si="40"/>
        <v>1.663361485308977E-2</v>
      </c>
      <c r="E234" s="406">
        <f t="shared" si="40"/>
        <v>1.663361485308977E-2</v>
      </c>
      <c r="F234" s="406">
        <f t="shared" si="40"/>
        <v>1.663361485308977E-2</v>
      </c>
      <c r="G234" s="406">
        <f t="shared" si="40"/>
        <v>1.663361485308977E-2</v>
      </c>
      <c r="H234" s="406">
        <f t="shared" si="40"/>
        <v>1.663361485308977E-2</v>
      </c>
      <c r="I234" s="406">
        <f t="shared" si="40"/>
        <v>1.663361485308977E-2</v>
      </c>
      <c r="J234" s="406">
        <f t="shared" si="40"/>
        <v>1.663361485308977E-2</v>
      </c>
      <c r="K234" s="406">
        <f t="shared" si="40"/>
        <v>1.663361485308977E-2</v>
      </c>
      <c r="L234" s="406">
        <f t="shared" si="40"/>
        <v>1.663361485308977E-2</v>
      </c>
    </row>
    <row r="235" spans="2:12">
      <c r="B235" s="8" t="str">
        <f t="shared" si="39"/>
        <v>Modern Foreign Languages</v>
      </c>
      <c r="C235" s="406">
        <f t="shared" si="40"/>
        <v>0</v>
      </c>
      <c r="D235" s="406">
        <f t="shared" si="40"/>
        <v>0</v>
      </c>
      <c r="E235" s="406">
        <f t="shared" si="40"/>
        <v>0</v>
      </c>
      <c r="F235" s="406">
        <f t="shared" si="40"/>
        <v>0</v>
      </c>
      <c r="G235" s="406">
        <f t="shared" si="40"/>
        <v>0</v>
      </c>
      <c r="H235" s="406">
        <f t="shared" si="40"/>
        <v>0</v>
      </c>
      <c r="I235" s="406">
        <f t="shared" si="40"/>
        <v>0</v>
      </c>
      <c r="J235" s="406">
        <f t="shared" si="40"/>
        <v>0</v>
      </c>
      <c r="K235" s="406">
        <f t="shared" si="40"/>
        <v>0</v>
      </c>
      <c r="L235" s="406">
        <f t="shared" si="40"/>
        <v>0</v>
      </c>
    </row>
    <row r="236" spans="2:12">
      <c r="B236" s="8" t="str">
        <f t="shared" si="39"/>
        <v>Music</v>
      </c>
      <c r="C236" s="406">
        <f t="shared" si="40"/>
        <v>0</v>
      </c>
      <c r="D236" s="406">
        <f t="shared" si="40"/>
        <v>0</v>
      </c>
      <c r="E236" s="406">
        <f t="shared" si="40"/>
        <v>0</v>
      </c>
      <c r="F236" s="406">
        <f t="shared" si="40"/>
        <v>0</v>
      </c>
      <c r="G236" s="406">
        <f t="shared" si="40"/>
        <v>0</v>
      </c>
      <c r="H236" s="406">
        <f t="shared" si="40"/>
        <v>0</v>
      </c>
      <c r="I236" s="406">
        <f t="shared" si="40"/>
        <v>0</v>
      </c>
      <c r="J236" s="406">
        <f t="shared" si="40"/>
        <v>0</v>
      </c>
      <c r="K236" s="406">
        <f t="shared" si="40"/>
        <v>0</v>
      </c>
      <c r="L236" s="406">
        <f t="shared" si="40"/>
        <v>0</v>
      </c>
    </row>
    <row r="237" spans="2:12">
      <c r="B237" s="8" t="str">
        <f t="shared" si="39"/>
        <v>Others</v>
      </c>
      <c r="C237" s="406">
        <f t="shared" si="40"/>
        <v>0</v>
      </c>
      <c r="D237" s="406">
        <f t="shared" si="40"/>
        <v>0</v>
      </c>
      <c r="E237" s="406">
        <f t="shared" si="40"/>
        <v>0</v>
      </c>
      <c r="F237" s="406">
        <f t="shared" si="40"/>
        <v>0</v>
      </c>
      <c r="G237" s="406">
        <f t="shared" si="40"/>
        <v>0</v>
      </c>
      <c r="H237" s="406">
        <f t="shared" si="40"/>
        <v>0</v>
      </c>
      <c r="I237" s="406">
        <f t="shared" si="40"/>
        <v>0</v>
      </c>
      <c r="J237" s="406">
        <f t="shared" si="40"/>
        <v>0</v>
      </c>
      <c r="K237" s="406">
        <f t="shared" si="40"/>
        <v>0</v>
      </c>
      <c r="L237" s="406">
        <f t="shared" si="40"/>
        <v>0</v>
      </c>
    </row>
    <row r="238" spans="2:12">
      <c r="B238" s="8" t="str">
        <f t="shared" si="39"/>
        <v>Physical Education</v>
      </c>
      <c r="C238" s="406">
        <f t="shared" si="40"/>
        <v>1.6394161104486077E-2</v>
      </c>
      <c r="D238" s="406">
        <f t="shared" si="40"/>
        <v>1.6394161104486077E-2</v>
      </c>
      <c r="E238" s="406">
        <f t="shared" si="40"/>
        <v>1.6394161104486077E-2</v>
      </c>
      <c r="F238" s="406">
        <f t="shared" si="40"/>
        <v>1.6394161104486077E-2</v>
      </c>
      <c r="G238" s="406">
        <f t="shared" si="40"/>
        <v>1.6394161104486077E-2</v>
      </c>
      <c r="H238" s="406">
        <f t="shared" si="40"/>
        <v>1.6394161104486077E-2</v>
      </c>
      <c r="I238" s="406">
        <f t="shared" si="40"/>
        <v>1.6394161104486077E-2</v>
      </c>
      <c r="J238" s="406">
        <f t="shared" si="40"/>
        <v>1.6394161104486077E-2</v>
      </c>
      <c r="K238" s="406">
        <f t="shared" si="40"/>
        <v>1.6394161104486077E-2</v>
      </c>
      <c r="L238" s="406">
        <f t="shared" si="40"/>
        <v>1.6394161104486077E-2</v>
      </c>
    </row>
    <row r="239" spans="2:12">
      <c r="B239" s="8" t="str">
        <f t="shared" si="39"/>
        <v>Physics</v>
      </c>
      <c r="C239" s="406">
        <f t="shared" si="40"/>
        <v>1.1467385145463305E-3</v>
      </c>
      <c r="D239" s="406">
        <f t="shared" si="40"/>
        <v>1.1467385145463305E-3</v>
      </c>
      <c r="E239" s="406">
        <f t="shared" si="40"/>
        <v>1.1467385145463305E-3</v>
      </c>
      <c r="F239" s="406">
        <f t="shared" si="40"/>
        <v>1.1467385145463305E-3</v>
      </c>
      <c r="G239" s="406">
        <f t="shared" si="40"/>
        <v>1.1467385145463305E-3</v>
      </c>
      <c r="H239" s="406">
        <f t="shared" si="40"/>
        <v>1.1467385145463305E-3</v>
      </c>
      <c r="I239" s="406">
        <f t="shared" si="40"/>
        <v>1.1467385145463305E-3</v>
      </c>
      <c r="J239" s="406">
        <f t="shared" si="40"/>
        <v>1.1467385145463305E-3</v>
      </c>
      <c r="K239" s="406">
        <f t="shared" si="40"/>
        <v>1.1467385145463305E-3</v>
      </c>
      <c r="L239" s="406">
        <f t="shared" si="40"/>
        <v>1.1467385145463305E-3</v>
      </c>
    </row>
    <row r="240" spans="2:12">
      <c r="B240" s="8" t="str">
        <f t="shared" si="39"/>
        <v>Religious Education</v>
      </c>
      <c r="C240" s="406">
        <f t="shared" si="40"/>
        <v>4.1087250286134585E-3</v>
      </c>
      <c r="D240" s="406">
        <f t="shared" si="40"/>
        <v>4.1087250286134585E-3</v>
      </c>
      <c r="E240" s="406">
        <f t="shared" si="40"/>
        <v>4.1087250286134585E-3</v>
      </c>
      <c r="F240" s="406">
        <f t="shared" si="40"/>
        <v>4.1087250286134585E-3</v>
      </c>
      <c r="G240" s="406">
        <f t="shared" si="40"/>
        <v>4.1087250286134585E-3</v>
      </c>
      <c r="H240" s="406">
        <f t="shared" si="40"/>
        <v>4.1087250286134585E-3</v>
      </c>
      <c r="I240" s="406">
        <f t="shared" si="40"/>
        <v>4.1087250286134585E-3</v>
      </c>
      <c r="J240" s="406">
        <f t="shared" si="40"/>
        <v>4.1087250286134585E-3</v>
      </c>
      <c r="K240" s="406">
        <f t="shared" si="40"/>
        <v>4.1087250286134585E-3</v>
      </c>
      <c r="L240" s="406">
        <f t="shared" si="40"/>
        <v>4.1087250286134585E-3</v>
      </c>
    </row>
    <row r="241" spans="1:12">
      <c r="B241" s="8" t="str">
        <f t="shared" si="39"/>
        <v>Total</v>
      </c>
      <c r="C241" s="630">
        <f t="shared" ref="C241:L241" si="41">SUM(C221:C240)</f>
        <v>1</v>
      </c>
      <c r="D241" s="630">
        <f t="shared" si="41"/>
        <v>1</v>
      </c>
      <c r="E241" s="630">
        <f t="shared" si="41"/>
        <v>1</v>
      </c>
      <c r="F241" s="630">
        <f t="shared" si="41"/>
        <v>1</v>
      </c>
      <c r="G241" s="630">
        <f t="shared" si="41"/>
        <v>1</v>
      </c>
      <c r="H241" s="630">
        <f t="shared" si="41"/>
        <v>1</v>
      </c>
      <c r="I241" s="630">
        <f t="shared" si="41"/>
        <v>1</v>
      </c>
      <c r="J241" s="630">
        <f t="shared" si="41"/>
        <v>1</v>
      </c>
      <c r="K241" s="630">
        <f t="shared" si="41"/>
        <v>1</v>
      </c>
      <c r="L241" s="630">
        <f t="shared" si="41"/>
        <v>1</v>
      </c>
    </row>
    <row r="242" spans="1:12">
      <c r="A242">
        <f>SUM(C242:L242)</f>
        <v>0</v>
      </c>
      <c r="C242" s="701">
        <f t="shared" ref="C242:L242" si="42">C241-1</f>
        <v>0</v>
      </c>
      <c r="D242" s="701">
        <f t="shared" si="42"/>
        <v>0</v>
      </c>
      <c r="E242" s="701">
        <f t="shared" si="42"/>
        <v>0</v>
      </c>
      <c r="F242" s="701">
        <f t="shared" si="42"/>
        <v>0</v>
      </c>
      <c r="G242" s="701">
        <f t="shared" si="42"/>
        <v>0</v>
      </c>
      <c r="H242" s="701">
        <f t="shared" si="42"/>
        <v>0</v>
      </c>
      <c r="I242" s="701">
        <f t="shared" si="42"/>
        <v>0</v>
      </c>
      <c r="J242" s="701">
        <f t="shared" si="42"/>
        <v>0</v>
      </c>
      <c r="K242" s="701">
        <f t="shared" si="42"/>
        <v>0</v>
      </c>
      <c r="L242" s="701">
        <f t="shared" si="42"/>
        <v>0</v>
      </c>
    </row>
    <row r="244" spans="1:12" ht="15.75">
      <c r="B244" s="77" t="s">
        <v>1089</v>
      </c>
    </row>
    <row r="246" spans="1:12">
      <c r="B246" s="138" t="s">
        <v>59</v>
      </c>
      <c r="C246" s="315" t="str">
        <f>C14</f>
        <v>2019/20</v>
      </c>
      <c r="D246" s="315" t="str">
        <f t="shared" ref="D246:L246" si="43">D14</f>
        <v>2020/21</v>
      </c>
      <c r="E246" s="315" t="str">
        <f t="shared" si="43"/>
        <v>2021/22</v>
      </c>
      <c r="F246" s="315" t="str">
        <f t="shared" si="43"/>
        <v>2022/23</v>
      </c>
      <c r="G246" s="315" t="str">
        <f t="shared" si="43"/>
        <v>2023/24</v>
      </c>
      <c r="H246" s="315" t="str">
        <f t="shared" si="43"/>
        <v>2024/25</v>
      </c>
      <c r="I246" s="315" t="str">
        <f t="shared" si="43"/>
        <v>2025/26</v>
      </c>
      <c r="J246" s="315" t="str">
        <f t="shared" si="43"/>
        <v>2026/27</v>
      </c>
      <c r="K246" s="315" t="str">
        <f t="shared" si="43"/>
        <v>2027/28</v>
      </c>
      <c r="L246" s="315" t="str">
        <f t="shared" si="43"/>
        <v>2028/29</v>
      </c>
    </row>
    <row r="247" spans="1:12">
      <c r="B247" s="8" t="str">
        <f>B221</f>
        <v>Primary</v>
      </c>
      <c r="C247" s="317">
        <f>C15-C195</f>
        <v>9790.6409836875355</v>
      </c>
      <c r="D247" s="317">
        <f t="shared" ref="D247:L247" si="44">D15-D195</f>
        <v>9627.3205221145017</v>
      </c>
      <c r="E247" s="317">
        <f t="shared" si="44"/>
        <v>9512.6620248705822</v>
      </c>
      <c r="F247" s="317">
        <f t="shared" si="44"/>
        <v>9375.9253324680703</v>
      </c>
      <c r="G247" s="317">
        <f t="shared" si="44"/>
        <v>9226.0569209922251</v>
      </c>
      <c r="H247" s="317">
        <f t="shared" si="44"/>
        <v>9508.2964989507891</v>
      </c>
      <c r="I247" s="317">
        <f t="shared" si="44"/>
        <v>9736.8191905737003</v>
      </c>
      <c r="J247" s="317">
        <f t="shared" si="44"/>
        <v>9793.3944520148962</v>
      </c>
      <c r="K247" s="317">
        <f t="shared" si="44"/>
        <v>9740.4861129258225</v>
      </c>
      <c r="L247" s="317">
        <f t="shared" si="44"/>
        <v>9675.8173547636488</v>
      </c>
    </row>
    <row r="248" spans="1:12">
      <c r="B248" s="8" t="str">
        <f t="shared" ref="B248:B267" si="45">B222</f>
        <v>Art &amp; Design</v>
      </c>
      <c r="C248" s="317">
        <f t="shared" ref="C248:L266" si="46">C16-C196</f>
        <v>463.22514612209829</v>
      </c>
      <c r="D248" s="317">
        <f t="shared" si="46"/>
        <v>459.41462092740761</v>
      </c>
      <c r="E248" s="317">
        <f t="shared" si="46"/>
        <v>451.44224791266271</v>
      </c>
      <c r="F248" s="317">
        <f t="shared" si="46"/>
        <v>441.05911771685362</v>
      </c>
      <c r="G248" s="317">
        <f t="shared" si="46"/>
        <v>465.5087842667661</v>
      </c>
      <c r="H248" s="317">
        <f t="shared" si="46"/>
        <v>481.40152288680207</v>
      </c>
      <c r="I248" s="317">
        <f t="shared" si="46"/>
        <v>458.46207962760542</v>
      </c>
      <c r="J248" s="317">
        <f t="shared" si="46"/>
        <v>444.04681920776557</v>
      </c>
      <c r="K248" s="317">
        <f t="shared" si="46"/>
        <v>452.8885168469601</v>
      </c>
      <c r="L248" s="317">
        <f t="shared" si="46"/>
        <v>455.76494326416343</v>
      </c>
    </row>
    <row r="249" spans="1:12">
      <c r="B249" s="8" t="str">
        <f t="shared" si="45"/>
        <v>Biology</v>
      </c>
      <c r="C249" s="317">
        <f t="shared" si="46"/>
        <v>825.26010289515943</v>
      </c>
      <c r="D249" s="317">
        <f t="shared" si="46"/>
        <v>811.43913209667937</v>
      </c>
      <c r="E249" s="317">
        <f t="shared" si="46"/>
        <v>829.02478849279612</v>
      </c>
      <c r="F249" s="317">
        <f t="shared" si="46"/>
        <v>849.17433342891707</v>
      </c>
      <c r="G249" s="317">
        <f t="shared" si="46"/>
        <v>864.33155281867982</v>
      </c>
      <c r="H249" s="317">
        <f t="shared" si="46"/>
        <v>851.17844117551294</v>
      </c>
      <c r="I249" s="317">
        <f t="shared" si="46"/>
        <v>841.33268692381114</v>
      </c>
      <c r="J249" s="317">
        <f t="shared" si="46"/>
        <v>828.36096956644178</v>
      </c>
      <c r="K249" s="317">
        <f t="shared" si="46"/>
        <v>807.9160949294569</v>
      </c>
      <c r="L249" s="317">
        <f t="shared" si="46"/>
        <v>787.17604289534006</v>
      </c>
    </row>
    <row r="250" spans="1:12">
      <c r="B250" s="8" t="str">
        <f t="shared" si="45"/>
        <v>Business Studies</v>
      </c>
      <c r="C250" s="317">
        <f t="shared" si="46"/>
        <v>180.08929787830868</v>
      </c>
      <c r="D250" s="317">
        <f t="shared" si="46"/>
        <v>200.67341394820545</v>
      </c>
      <c r="E250" s="317">
        <f t="shared" si="46"/>
        <v>211.51260460162908</v>
      </c>
      <c r="F250" s="317">
        <f t="shared" si="46"/>
        <v>225.35366003284736</v>
      </c>
      <c r="G250" s="317">
        <f t="shared" si="46"/>
        <v>230.15619242712469</v>
      </c>
      <c r="H250" s="317">
        <f t="shared" si="46"/>
        <v>243.75802079225102</v>
      </c>
      <c r="I250" s="317">
        <f t="shared" si="46"/>
        <v>246.22083863631892</v>
      </c>
      <c r="J250" s="317">
        <f t="shared" si="46"/>
        <v>246.05237002680678</v>
      </c>
      <c r="K250" s="317">
        <f t="shared" si="46"/>
        <v>232.13735232102758</v>
      </c>
      <c r="L250" s="317">
        <f t="shared" si="46"/>
        <v>216.75863632629506</v>
      </c>
    </row>
    <row r="251" spans="1:12">
      <c r="B251" s="8" t="str">
        <f t="shared" si="45"/>
        <v>Chemistry</v>
      </c>
      <c r="C251" s="317">
        <f t="shared" si="46"/>
        <v>738.11612755597241</v>
      </c>
      <c r="D251" s="317">
        <f t="shared" si="46"/>
        <v>738.47616639511239</v>
      </c>
      <c r="E251" s="317">
        <f t="shared" si="46"/>
        <v>753.5164975142975</v>
      </c>
      <c r="F251" s="317">
        <f t="shared" si="46"/>
        <v>771.37450866042252</v>
      </c>
      <c r="G251" s="317">
        <f t="shared" si="46"/>
        <v>778.08374080284068</v>
      </c>
      <c r="H251" s="317">
        <f t="shared" si="46"/>
        <v>764.63423399965006</v>
      </c>
      <c r="I251" s="317">
        <f t="shared" si="46"/>
        <v>758.58569728570581</v>
      </c>
      <c r="J251" s="317">
        <f t="shared" si="46"/>
        <v>746.97196307160698</v>
      </c>
      <c r="K251" s="317">
        <f t="shared" si="46"/>
        <v>720.81758676977017</v>
      </c>
      <c r="L251" s="317">
        <f t="shared" si="46"/>
        <v>695.39895164606685</v>
      </c>
    </row>
    <row r="252" spans="1:12">
      <c r="B252" s="8" t="str">
        <f t="shared" si="45"/>
        <v>Classics</v>
      </c>
      <c r="C252" s="317">
        <f t="shared" si="46"/>
        <v>18.889823212942794</v>
      </c>
      <c r="D252" s="317">
        <f t="shared" si="46"/>
        <v>19.221475431462139</v>
      </c>
      <c r="E252" s="317">
        <f t="shared" si="46"/>
        <v>19.310535366663537</v>
      </c>
      <c r="F252" s="317">
        <f t="shared" si="46"/>
        <v>19.590016655771883</v>
      </c>
      <c r="G252" s="317">
        <f t="shared" si="46"/>
        <v>20.063793834424992</v>
      </c>
      <c r="H252" s="317">
        <f t="shared" si="46"/>
        <v>19.928105436615212</v>
      </c>
      <c r="I252" s="317">
        <f t="shared" si="46"/>
        <v>19.180780144264709</v>
      </c>
      <c r="J252" s="317">
        <f t="shared" si="46"/>
        <v>18.709616989741892</v>
      </c>
      <c r="K252" s="317">
        <f t="shared" si="46"/>
        <v>18.668273300594066</v>
      </c>
      <c r="L252" s="317">
        <f t="shared" si="46"/>
        <v>18.524537084561373</v>
      </c>
    </row>
    <row r="253" spans="1:12">
      <c r="B253" s="8" t="str">
        <f t="shared" si="45"/>
        <v>Computing</v>
      </c>
      <c r="C253" s="317">
        <f t="shared" si="46"/>
        <v>436.73727312822069</v>
      </c>
      <c r="D253" s="317">
        <f t="shared" si="46"/>
        <v>434.36128437898731</v>
      </c>
      <c r="E253" s="317">
        <f t="shared" si="46"/>
        <v>431.36620195318523</v>
      </c>
      <c r="F253" s="317">
        <f t="shared" si="46"/>
        <v>426.90857410477389</v>
      </c>
      <c r="G253" s="317">
        <f t="shared" si="46"/>
        <v>445.29925756133633</v>
      </c>
      <c r="H253" s="317">
        <f t="shared" si="46"/>
        <v>460.49690842507499</v>
      </c>
      <c r="I253" s="317">
        <f t="shared" si="46"/>
        <v>447.92031429208743</v>
      </c>
      <c r="J253" s="317">
        <f t="shared" si="46"/>
        <v>438.60797316642515</v>
      </c>
      <c r="K253" s="317">
        <f t="shared" si="46"/>
        <v>439.05349760230661</v>
      </c>
      <c r="L253" s="317">
        <f t="shared" si="46"/>
        <v>435.30259234292788</v>
      </c>
    </row>
    <row r="254" spans="1:12">
      <c r="B254" s="8" t="str">
        <f t="shared" si="45"/>
        <v>Design &amp; Technology</v>
      </c>
      <c r="C254" s="317">
        <f t="shared" si="46"/>
        <v>630.84209765479011</v>
      </c>
      <c r="D254" s="317">
        <f t="shared" si="46"/>
        <v>582.29574612048805</v>
      </c>
      <c r="E254" s="317">
        <f t="shared" si="46"/>
        <v>558.26814746645562</v>
      </c>
      <c r="F254" s="317">
        <f t="shared" si="46"/>
        <v>530.18881806485115</v>
      </c>
      <c r="G254" s="317">
        <f t="shared" si="46"/>
        <v>558.20055907853521</v>
      </c>
      <c r="H254" s="317">
        <f t="shared" si="46"/>
        <v>570.2491994030554</v>
      </c>
      <c r="I254" s="317">
        <f t="shared" si="46"/>
        <v>533.706601535657</v>
      </c>
      <c r="J254" s="317">
        <f t="shared" si="46"/>
        <v>510.94133008103188</v>
      </c>
      <c r="K254" s="317">
        <f t="shared" si="46"/>
        <v>528.36964712619101</v>
      </c>
      <c r="L254" s="317">
        <f t="shared" si="46"/>
        <v>538.55788615598522</v>
      </c>
    </row>
    <row r="255" spans="1:12">
      <c r="B255" s="8" t="str">
        <f t="shared" si="45"/>
        <v>Drama</v>
      </c>
      <c r="C255" s="317">
        <f t="shared" si="46"/>
        <v>273.30610279669708</v>
      </c>
      <c r="D255" s="317">
        <f t="shared" si="46"/>
        <v>257.36477451962935</v>
      </c>
      <c r="E255" s="317">
        <f t="shared" si="46"/>
        <v>251.57112742460245</v>
      </c>
      <c r="F255" s="317">
        <f t="shared" si="46"/>
        <v>244.02464683600425</v>
      </c>
      <c r="G255" s="317">
        <f t="shared" si="46"/>
        <v>261.23954377211379</v>
      </c>
      <c r="H255" s="317">
        <f t="shared" si="46"/>
        <v>271.31011564728919</v>
      </c>
      <c r="I255" s="317">
        <f t="shared" si="46"/>
        <v>256.75370650473485</v>
      </c>
      <c r="J255" s="317">
        <f t="shared" si="46"/>
        <v>248.61443179228587</v>
      </c>
      <c r="K255" s="317">
        <f t="shared" si="46"/>
        <v>258.70143345264842</v>
      </c>
      <c r="L255" s="317">
        <f t="shared" si="46"/>
        <v>264.84555136569725</v>
      </c>
    </row>
    <row r="256" spans="1:12">
      <c r="B256" s="8" t="str">
        <f t="shared" si="45"/>
        <v>English</v>
      </c>
      <c r="C256" s="317">
        <f t="shared" si="46"/>
        <v>1983.0324029199087</v>
      </c>
      <c r="D256" s="317">
        <f t="shared" si="46"/>
        <v>1955.1135675063731</v>
      </c>
      <c r="E256" s="317">
        <f t="shared" si="46"/>
        <v>1969.4202508491626</v>
      </c>
      <c r="F256" s="317">
        <f t="shared" si="46"/>
        <v>1984.4488307151548</v>
      </c>
      <c r="G256" s="317">
        <f t="shared" si="46"/>
        <v>2025.6481376929137</v>
      </c>
      <c r="H256" s="317">
        <f t="shared" si="46"/>
        <v>1959.1611732627377</v>
      </c>
      <c r="I256" s="317">
        <f t="shared" si="46"/>
        <v>1916.1395202667575</v>
      </c>
      <c r="J256" s="317">
        <f t="shared" si="46"/>
        <v>1871.1609000691951</v>
      </c>
      <c r="K256" s="317">
        <f t="shared" si="46"/>
        <v>1836.1214236105318</v>
      </c>
      <c r="L256" s="317">
        <f t="shared" si="46"/>
        <v>1802.7398668064563</v>
      </c>
    </row>
    <row r="257" spans="2:12">
      <c r="B257" s="8" t="str">
        <f t="shared" si="45"/>
        <v>Food</v>
      </c>
      <c r="C257" s="317">
        <f t="shared" si="46"/>
        <v>129.41672978148569</v>
      </c>
      <c r="D257" s="317">
        <f t="shared" si="46"/>
        <v>123.6958519132841</v>
      </c>
      <c r="E257" s="317">
        <f t="shared" si="46"/>
        <v>119.91190984084812</v>
      </c>
      <c r="F257" s="317">
        <f t="shared" si="46"/>
        <v>116.4044935629683</v>
      </c>
      <c r="G257" s="317">
        <f t="shared" si="46"/>
        <v>117.62403652892891</v>
      </c>
      <c r="H257" s="317">
        <f t="shared" si="46"/>
        <v>119.65906015284938</v>
      </c>
      <c r="I257" s="317">
        <f t="shared" si="46"/>
        <v>118.24827181391019</v>
      </c>
      <c r="J257" s="317">
        <f t="shared" si="46"/>
        <v>115.51779684126581</v>
      </c>
      <c r="K257" s="317">
        <f t="shared" si="46"/>
        <v>109.89179932001221</v>
      </c>
      <c r="L257" s="317">
        <f t="shared" si="46"/>
        <v>103.97126865381792</v>
      </c>
    </row>
    <row r="258" spans="2:12">
      <c r="B258" s="8" t="str">
        <f t="shared" si="45"/>
        <v>Geography</v>
      </c>
      <c r="C258" s="317">
        <f t="shared" si="46"/>
        <v>869.1298848553588</v>
      </c>
      <c r="D258" s="317">
        <f t="shared" si="46"/>
        <v>816.98644756492649</v>
      </c>
      <c r="E258" s="317">
        <f t="shared" si="46"/>
        <v>824.47295774849272</v>
      </c>
      <c r="F258" s="317">
        <f t="shared" si="46"/>
        <v>827.84625405171744</v>
      </c>
      <c r="G258" s="317">
        <f t="shared" si="46"/>
        <v>886.95757172673848</v>
      </c>
      <c r="H258" s="317">
        <f t="shared" si="46"/>
        <v>844.76765341445252</v>
      </c>
      <c r="I258" s="317">
        <f t="shared" si="46"/>
        <v>790.62473790915931</v>
      </c>
      <c r="J258" s="317">
        <f t="shared" si="46"/>
        <v>753.01898044770996</v>
      </c>
      <c r="K258" s="317">
        <f t="shared" si="46"/>
        <v>769.78769796096628</v>
      </c>
      <c r="L258" s="317">
        <f t="shared" si="46"/>
        <v>781.98738727822081</v>
      </c>
    </row>
    <row r="259" spans="2:12">
      <c r="B259" s="8" t="str">
        <f t="shared" si="45"/>
        <v>History</v>
      </c>
      <c r="C259" s="317">
        <f t="shared" si="46"/>
        <v>953.42025767244536</v>
      </c>
      <c r="D259" s="317">
        <f t="shared" si="46"/>
        <v>905.81107662022748</v>
      </c>
      <c r="E259" s="317">
        <f t="shared" si="46"/>
        <v>916.23256275002973</v>
      </c>
      <c r="F259" s="317">
        <f t="shared" si="46"/>
        <v>923.37353073922179</v>
      </c>
      <c r="G259" s="317">
        <f t="shared" si="46"/>
        <v>983.52753670863228</v>
      </c>
      <c r="H259" s="317">
        <f t="shared" si="46"/>
        <v>942.48527425849863</v>
      </c>
      <c r="I259" s="317">
        <f t="shared" si="46"/>
        <v>886.6569159777107</v>
      </c>
      <c r="J259" s="317">
        <f t="shared" si="46"/>
        <v>847.82026785990683</v>
      </c>
      <c r="K259" s="317">
        <f t="shared" si="46"/>
        <v>862.38984394446607</v>
      </c>
      <c r="L259" s="317">
        <f t="shared" si="46"/>
        <v>872.06586025971774</v>
      </c>
    </row>
    <row r="260" spans="2:12">
      <c r="B260" s="8" t="str">
        <f t="shared" si="45"/>
        <v>Mathematics</v>
      </c>
      <c r="C260" s="317">
        <f t="shared" si="46"/>
        <v>2269.9565493379673</v>
      </c>
      <c r="D260" s="317">
        <f t="shared" si="46"/>
        <v>2163.7628416228699</v>
      </c>
      <c r="E260" s="317">
        <f t="shared" si="46"/>
        <v>2176.9303585176208</v>
      </c>
      <c r="F260" s="317">
        <f t="shared" si="46"/>
        <v>2191.9864530999248</v>
      </c>
      <c r="G260" s="317">
        <f t="shared" si="46"/>
        <v>2233.8402118787094</v>
      </c>
      <c r="H260" s="317">
        <f t="shared" si="46"/>
        <v>2170.7043602806475</v>
      </c>
      <c r="I260" s="317">
        <f t="shared" si="46"/>
        <v>2114.6915201586789</v>
      </c>
      <c r="J260" s="317">
        <f t="shared" si="46"/>
        <v>2062.1767067245046</v>
      </c>
      <c r="K260" s="317">
        <f t="shared" si="46"/>
        <v>2027.9899144051142</v>
      </c>
      <c r="L260" s="317">
        <f t="shared" si="46"/>
        <v>1993.5843790180975</v>
      </c>
    </row>
    <row r="261" spans="2:12">
      <c r="B261" s="8" t="str">
        <f t="shared" si="45"/>
        <v>Modern Foreign Languages</v>
      </c>
      <c r="C261" s="317">
        <f t="shared" si="46"/>
        <v>1112.6771773555456</v>
      </c>
      <c r="D261" s="317">
        <f t="shared" si="46"/>
        <v>1254.7279817656106</v>
      </c>
      <c r="E261" s="317">
        <f t="shared" si="46"/>
        <v>1467.472227566996</v>
      </c>
      <c r="F261" s="317">
        <f t="shared" si="46"/>
        <v>1686.2611857086372</v>
      </c>
      <c r="G261" s="317">
        <f t="shared" si="46"/>
        <v>1719.0531120198116</v>
      </c>
      <c r="H261" s="317">
        <f t="shared" si="46"/>
        <v>1099.5925514652083</v>
      </c>
      <c r="I261" s="317">
        <f t="shared" si="46"/>
        <v>961.02433439243873</v>
      </c>
      <c r="J261" s="317">
        <f t="shared" si="46"/>
        <v>857.16346157094813</v>
      </c>
      <c r="K261" s="317">
        <f t="shared" si="46"/>
        <v>870.33990934760232</v>
      </c>
      <c r="L261" s="317">
        <f t="shared" si="46"/>
        <v>937.40064402055464</v>
      </c>
    </row>
    <row r="262" spans="2:12">
      <c r="B262" s="8" t="str">
        <f t="shared" si="45"/>
        <v>Music</v>
      </c>
      <c r="C262" s="317">
        <f t="shared" si="46"/>
        <v>299.88936712799875</v>
      </c>
      <c r="D262" s="317">
        <f t="shared" si="46"/>
        <v>272.36691700125988</v>
      </c>
      <c r="E262" s="317">
        <f t="shared" si="46"/>
        <v>263.14066136035314</v>
      </c>
      <c r="F262" s="317">
        <f t="shared" si="46"/>
        <v>250.90986054026644</v>
      </c>
      <c r="G262" s="317">
        <f t="shared" si="46"/>
        <v>271.13132891746432</v>
      </c>
      <c r="H262" s="317">
        <f t="shared" si="46"/>
        <v>280.42225526882777</v>
      </c>
      <c r="I262" s="317">
        <f t="shared" si="46"/>
        <v>260.28528487424495</v>
      </c>
      <c r="J262" s="317">
        <f t="shared" si="46"/>
        <v>249.51546122415283</v>
      </c>
      <c r="K262" s="317">
        <f t="shared" si="46"/>
        <v>265.92044614415823</v>
      </c>
      <c r="L262" s="317">
        <f t="shared" si="46"/>
        <v>277.58342758344736</v>
      </c>
    </row>
    <row r="263" spans="2:12">
      <c r="B263" s="8" t="str">
        <f t="shared" si="45"/>
        <v>Others</v>
      </c>
      <c r="C263" s="317">
        <f t="shared" si="46"/>
        <v>649.9789608106579</v>
      </c>
      <c r="D263" s="317">
        <f t="shared" si="46"/>
        <v>708.3540203491774</v>
      </c>
      <c r="E263" s="317">
        <f t="shared" si="46"/>
        <v>726.65135625973221</v>
      </c>
      <c r="F263" s="317">
        <f t="shared" si="46"/>
        <v>751.87791220342638</v>
      </c>
      <c r="G263" s="317">
        <f t="shared" si="46"/>
        <v>784.4754154282449</v>
      </c>
      <c r="H263" s="317">
        <f t="shared" si="46"/>
        <v>829.51547600921594</v>
      </c>
      <c r="I263" s="317">
        <f t="shared" si="46"/>
        <v>807.09584721466456</v>
      </c>
      <c r="J263" s="317">
        <f t="shared" si="46"/>
        <v>795.4031444967045</v>
      </c>
      <c r="K263" s="317">
        <f t="shared" si="46"/>
        <v>789.95079521781236</v>
      </c>
      <c r="L263" s="317">
        <f t="shared" si="46"/>
        <v>774.441667657484</v>
      </c>
    </row>
    <row r="264" spans="2:12">
      <c r="B264" s="8" t="str">
        <f t="shared" si="45"/>
        <v>Physical Education</v>
      </c>
      <c r="C264" s="317">
        <f t="shared" si="46"/>
        <v>803.10381867633089</v>
      </c>
      <c r="D264" s="317">
        <f t="shared" si="46"/>
        <v>777.42176143743313</v>
      </c>
      <c r="E264" s="317">
        <f t="shared" si="46"/>
        <v>763.65699232154714</v>
      </c>
      <c r="F264" s="317">
        <f t="shared" si="46"/>
        <v>746.00587572395136</v>
      </c>
      <c r="G264" s="317">
        <f t="shared" si="46"/>
        <v>795.14995909860158</v>
      </c>
      <c r="H264" s="317">
        <f t="shared" si="46"/>
        <v>830.83442210567284</v>
      </c>
      <c r="I264" s="317">
        <f t="shared" si="46"/>
        <v>807.01098979128665</v>
      </c>
      <c r="J264" s="317">
        <f t="shared" si="46"/>
        <v>789.14591093753279</v>
      </c>
      <c r="K264" s="317">
        <f t="shared" si="46"/>
        <v>795.2774029112004</v>
      </c>
      <c r="L264" s="317">
        <f t="shared" si="46"/>
        <v>791.9789329960995</v>
      </c>
    </row>
    <row r="265" spans="2:12">
      <c r="B265" s="8" t="str">
        <f t="shared" si="45"/>
        <v>Physics</v>
      </c>
      <c r="C265" s="317">
        <f t="shared" si="46"/>
        <v>793.06509349987061</v>
      </c>
      <c r="D265" s="317">
        <f t="shared" si="46"/>
        <v>747.69398618158937</v>
      </c>
      <c r="E265" s="317">
        <f t="shared" si="46"/>
        <v>760.13648260680679</v>
      </c>
      <c r="F265" s="317">
        <f t="shared" si="46"/>
        <v>774.80612491957174</v>
      </c>
      <c r="G265" s="317">
        <f t="shared" si="46"/>
        <v>779.55230629598213</v>
      </c>
      <c r="H265" s="317">
        <f t="shared" si="46"/>
        <v>762.60844391077467</v>
      </c>
      <c r="I265" s="317">
        <f t="shared" si="46"/>
        <v>755.96439649572631</v>
      </c>
      <c r="J265" s="317">
        <f t="shared" si="46"/>
        <v>743.24719791268149</v>
      </c>
      <c r="K265" s="317">
        <f t="shared" si="46"/>
        <v>715.86650313144787</v>
      </c>
      <c r="L265" s="317">
        <f t="shared" si="46"/>
        <v>689.74399886621029</v>
      </c>
    </row>
    <row r="266" spans="2:12">
      <c r="B266" s="8" t="str">
        <f t="shared" si="45"/>
        <v>Religious Education</v>
      </c>
      <c r="C266" s="317">
        <f t="shared" si="46"/>
        <v>423.39068000331804</v>
      </c>
      <c r="D266" s="317">
        <f t="shared" si="46"/>
        <v>391.21282156880108</v>
      </c>
      <c r="E266" s="317">
        <f t="shared" si="46"/>
        <v>381.19106001002734</v>
      </c>
      <c r="F266" s="317">
        <f t="shared" si="46"/>
        <v>369.93799812591772</v>
      </c>
      <c r="G266" s="317">
        <f t="shared" si="46"/>
        <v>388.35225237429933</v>
      </c>
      <c r="H266" s="317">
        <f t="shared" si="46"/>
        <v>401.32883460362666</v>
      </c>
      <c r="I266" s="317">
        <f t="shared" si="46"/>
        <v>386.22973322551672</v>
      </c>
      <c r="J266" s="317">
        <f t="shared" si="46"/>
        <v>375.23411367412831</v>
      </c>
      <c r="K266" s="317">
        <f t="shared" si="46"/>
        <v>377.14421450491545</v>
      </c>
      <c r="L266" s="317">
        <f t="shared" si="46"/>
        <v>374.89247979176423</v>
      </c>
    </row>
    <row r="267" spans="2:12">
      <c r="B267" s="8" t="str">
        <f t="shared" si="45"/>
        <v>Total</v>
      </c>
      <c r="C267" s="317">
        <f>SUM(C247:C266)</f>
        <v>23644.167876972613</v>
      </c>
      <c r="D267" s="317">
        <f t="shared" ref="D267:L267" si="47">SUM(D247:D266)</f>
        <v>23247.714409464017</v>
      </c>
      <c r="E267" s="317">
        <f t="shared" si="47"/>
        <v>23387.890995434489</v>
      </c>
      <c r="F267" s="317">
        <f t="shared" si="47"/>
        <v>23507.457527359271</v>
      </c>
      <c r="G267" s="317">
        <f t="shared" si="47"/>
        <v>23834.252214224369</v>
      </c>
      <c r="H267" s="317">
        <f t="shared" si="47"/>
        <v>23412.332551449552</v>
      </c>
      <c r="I267" s="317">
        <f t="shared" si="47"/>
        <v>23102.953447643977</v>
      </c>
      <c r="J267" s="317">
        <f t="shared" si="47"/>
        <v>22735.103867675731</v>
      </c>
      <c r="K267" s="317">
        <f t="shared" si="47"/>
        <v>22619.71846577301</v>
      </c>
      <c r="L267" s="317">
        <f t="shared" si="47"/>
        <v>22488.536408776556</v>
      </c>
    </row>
  </sheetData>
  <mergeCells count="4">
    <mergeCell ref="C39:C40"/>
    <mergeCell ref="D39:L39"/>
    <mergeCell ref="B39:B40"/>
    <mergeCell ref="A5:L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6"/>
  <sheetViews>
    <sheetView showGridLines="0" workbookViewId="0"/>
  </sheetViews>
  <sheetFormatPr defaultRowHeight="12.75"/>
  <cols>
    <col min="2" max="2" width="27.7109375" customWidth="1"/>
    <col min="3" max="17" width="12.7109375" customWidth="1"/>
  </cols>
  <sheetData>
    <row r="1" spans="1:15" s="65" customFormat="1" ht="15">
      <c r="A1" s="64" t="str">
        <f>ModelBanner</f>
        <v>TSM_201819 Publication</v>
      </c>
    </row>
    <row r="2" spans="1:15" s="65" customFormat="1" ht="15">
      <c r="A2" s="940" t="s">
        <v>13</v>
      </c>
      <c r="B2" s="940" t="s">
        <v>30</v>
      </c>
    </row>
    <row r="3" spans="1:15" s="65" customFormat="1" ht="15">
      <c r="A3" s="66"/>
    </row>
    <row r="4" spans="1:15" s="569" customFormat="1">
      <c r="A4" s="570" t="s">
        <v>26</v>
      </c>
      <c r="B4" s="570"/>
      <c r="C4" s="570"/>
      <c r="D4" s="570"/>
      <c r="E4" s="285"/>
      <c r="F4" s="570"/>
      <c r="G4" s="570"/>
    </row>
    <row r="5" spans="1:15" s="568" customFormat="1">
      <c r="A5" s="1168" t="s">
        <v>806</v>
      </c>
      <c r="B5" s="1168"/>
      <c r="C5" s="1168"/>
      <c r="D5" s="1168"/>
      <c r="E5" s="1168"/>
      <c r="F5" s="1168"/>
      <c r="G5" s="1168"/>
      <c r="H5" s="58"/>
      <c r="I5" s="58"/>
      <c r="J5" s="58"/>
      <c r="K5" s="58"/>
      <c r="L5" s="58"/>
      <c r="M5" s="58"/>
      <c r="N5" s="58"/>
      <c r="O5" s="58"/>
    </row>
    <row r="6" spans="1:15" s="565" customFormat="1">
      <c r="A6" s="567" t="s">
        <v>1392</v>
      </c>
      <c r="B6" s="60"/>
      <c r="C6" s="60"/>
      <c r="D6" s="60"/>
      <c r="E6" s="285"/>
      <c r="F6" s="60"/>
      <c r="G6" s="60"/>
      <c r="H6" s="44"/>
      <c r="I6" s="44"/>
      <c r="J6" s="44"/>
      <c r="K6" s="44"/>
      <c r="L6" s="44"/>
      <c r="M6" s="44"/>
      <c r="N6" s="44"/>
      <c r="O6" s="44"/>
    </row>
    <row r="7" spans="1:15" s="565" customFormat="1">
      <c r="A7" s="566" t="s">
        <v>805</v>
      </c>
      <c r="B7" s="567"/>
      <c r="C7" s="60"/>
      <c r="D7" s="60"/>
      <c r="E7" s="285"/>
      <c r="F7" s="60"/>
      <c r="G7" s="60"/>
      <c r="H7" s="44"/>
      <c r="I7" s="44"/>
      <c r="J7" s="44"/>
      <c r="K7" s="44"/>
      <c r="L7" s="44"/>
      <c r="M7" s="44"/>
      <c r="N7" s="44"/>
      <c r="O7" s="44"/>
    </row>
    <row r="8" spans="1:15" s="565" customFormat="1">
      <c r="A8" s="567" t="s">
        <v>24</v>
      </c>
      <c r="B8" s="60"/>
      <c r="C8" s="60"/>
      <c r="D8" s="60"/>
      <c r="E8" s="285"/>
      <c r="F8" s="60"/>
      <c r="G8" s="60"/>
      <c r="H8" s="44"/>
      <c r="I8" s="44"/>
      <c r="J8" s="44"/>
      <c r="K8" s="44"/>
      <c r="L8" s="44"/>
      <c r="M8" s="44"/>
      <c r="N8" s="44"/>
      <c r="O8" s="44"/>
    </row>
    <row r="9" spans="1:15" s="563" customFormat="1">
      <c r="A9" s="564" t="s">
        <v>804</v>
      </c>
      <c r="B9" s="72"/>
      <c r="C9" s="70"/>
      <c r="D9" s="47"/>
      <c r="E9" s="47"/>
      <c r="F9" s="71"/>
      <c r="G9" s="47"/>
      <c r="H9" s="47"/>
      <c r="I9" s="71"/>
      <c r="J9" s="48"/>
      <c r="K9" s="48"/>
      <c r="L9" s="48"/>
      <c r="M9" s="48"/>
      <c r="N9" s="48"/>
      <c r="O9" s="48"/>
    </row>
    <row r="11" spans="1:15">
      <c r="B11" s="147" t="s">
        <v>1090</v>
      </c>
    </row>
    <row r="13" spans="1:15" ht="15.75">
      <c r="B13" s="77" t="s">
        <v>803</v>
      </c>
    </row>
    <row r="15" spans="1:15">
      <c r="B15" s="139" t="str">
        <f>Calc_long_term_NQT_entrants!B246</f>
        <v>Subject</v>
      </c>
      <c r="C15" s="139" t="str">
        <f>Calc_long_term_NQT_entrants!C246</f>
        <v>2019/20</v>
      </c>
      <c r="D15" s="139" t="str">
        <f>Calc_long_term_NQT_entrants!D246</f>
        <v>2020/21</v>
      </c>
      <c r="E15" s="139" t="str">
        <f>Calc_long_term_NQT_entrants!E246</f>
        <v>2021/22</v>
      </c>
      <c r="F15" s="139" t="str">
        <f>Calc_long_term_NQT_entrants!F246</f>
        <v>2022/23</v>
      </c>
      <c r="G15" s="139" t="str">
        <f>Calc_long_term_NQT_entrants!G246</f>
        <v>2023/24</v>
      </c>
      <c r="H15" s="139" t="str">
        <f>Calc_long_term_NQT_entrants!H246</f>
        <v>2024/25</v>
      </c>
      <c r="I15" s="139" t="str">
        <f>Calc_long_term_NQT_entrants!I246</f>
        <v>2025/26</v>
      </c>
      <c r="J15" s="139" t="str">
        <f>Calc_long_term_NQT_entrants!J246</f>
        <v>2026/27</v>
      </c>
      <c r="K15" s="139" t="str">
        <f>Calc_long_term_NQT_entrants!K246</f>
        <v>2027/28</v>
      </c>
      <c r="L15" s="139" t="str">
        <f>Calc_long_term_NQT_entrants!L246</f>
        <v>2028/29</v>
      </c>
    </row>
    <row r="16" spans="1:15">
      <c r="B16" s="139" t="str">
        <f>Calc_long_term_NQT_entrants!B247</f>
        <v>Primary</v>
      </c>
      <c r="C16" s="700">
        <f>Calc_long_term_NQT_entrants!C247</f>
        <v>9790.6409836875355</v>
      </c>
      <c r="D16" s="700">
        <f>Calc_long_term_NQT_entrants!D247</f>
        <v>9627.3205221145017</v>
      </c>
      <c r="E16" s="700">
        <f>Calc_long_term_NQT_entrants!E247</f>
        <v>9512.6620248705822</v>
      </c>
      <c r="F16" s="700">
        <f>Calc_long_term_NQT_entrants!F247</f>
        <v>9375.9253324680703</v>
      </c>
      <c r="G16" s="700">
        <f>Calc_long_term_NQT_entrants!G247</f>
        <v>9226.0569209922251</v>
      </c>
      <c r="H16" s="700">
        <f>Calc_long_term_NQT_entrants!H247</f>
        <v>9508.2964989507891</v>
      </c>
      <c r="I16" s="700">
        <f>Calc_long_term_NQT_entrants!I247</f>
        <v>9736.8191905737003</v>
      </c>
      <c r="J16" s="700">
        <f>Calc_long_term_NQT_entrants!J247</f>
        <v>9793.3944520148962</v>
      </c>
      <c r="K16" s="700">
        <f>Calc_long_term_NQT_entrants!K247</f>
        <v>9740.4861129258225</v>
      </c>
      <c r="L16" s="700">
        <f>Calc_long_term_NQT_entrants!L247</f>
        <v>9675.8173547636488</v>
      </c>
    </row>
    <row r="17" spans="2:12">
      <c r="B17" s="139" t="str">
        <f>Calc_long_term_NQT_entrants!B248</f>
        <v>Art &amp; Design</v>
      </c>
      <c r="C17" s="700">
        <f>Calc_long_term_NQT_entrants!C248</f>
        <v>463.22514612209829</v>
      </c>
      <c r="D17" s="700">
        <f>Calc_long_term_NQT_entrants!D248</f>
        <v>459.41462092740761</v>
      </c>
      <c r="E17" s="700">
        <f>Calc_long_term_NQT_entrants!E248</f>
        <v>451.44224791266271</v>
      </c>
      <c r="F17" s="700">
        <f>Calc_long_term_NQT_entrants!F248</f>
        <v>441.05911771685362</v>
      </c>
      <c r="G17" s="700">
        <f>Calc_long_term_NQT_entrants!G248</f>
        <v>465.5087842667661</v>
      </c>
      <c r="H17" s="700">
        <f>Calc_long_term_NQT_entrants!H248</f>
        <v>481.40152288680207</v>
      </c>
      <c r="I17" s="700">
        <f>Calc_long_term_NQT_entrants!I248</f>
        <v>458.46207962760542</v>
      </c>
      <c r="J17" s="700">
        <f>Calc_long_term_NQT_entrants!J248</f>
        <v>444.04681920776557</v>
      </c>
      <c r="K17" s="700">
        <f>Calc_long_term_NQT_entrants!K248</f>
        <v>452.8885168469601</v>
      </c>
      <c r="L17" s="700">
        <f>Calc_long_term_NQT_entrants!L248</f>
        <v>455.76494326416343</v>
      </c>
    </row>
    <row r="18" spans="2:12">
      <c r="B18" s="139" t="str">
        <f>Calc_long_term_NQT_entrants!B249</f>
        <v>Biology</v>
      </c>
      <c r="C18" s="700">
        <f>Calc_long_term_NQT_entrants!C249</f>
        <v>825.26010289515943</v>
      </c>
      <c r="D18" s="700">
        <f>Calc_long_term_NQT_entrants!D249</f>
        <v>811.43913209667937</v>
      </c>
      <c r="E18" s="700">
        <f>Calc_long_term_NQT_entrants!E249</f>
        <v>829.02478849279612</v>
      </c>
      <c r="F18" s="700">
        <f>Calc_long_term_NQT_entrants!F249</f>
        <v>849.17433342891707</v>
      </c>
      <c r="G18" s="700">
        <f>Calc_long_term_NQT_entrants!G249</f>
        <v>864.33155281867982</v>
      </c>
      <c r="H18" s="700">
        <f>Calc_long_term_NQT_entrants!H249</f>
        <v>851.17844117551294</v>
      </c>
      <c r="I18" s="700">
        <f>Calc_long_term_NQT_entrants!I249</f>
        <v>841.33268692381114</v>
      </c>
      <c r="J18" s="700">
        <f>Calc_long_term_NQT_entrants!J249</f>
        <v>828.36096956644178</v>
      </c>
      <c r="K18" s="700">
        <f>Calc_long_term_NQT_entrants!K249</f>
        <v>807.9160949294569</v>
      </c>
      <c r="L18" s="700">
        <f>Calc_long_term_NQT_entrants!L249</f>
        <v>787.17604289534006</v>
      </c>
    </row>
    <row r="19" spans="2:12">
      <c r="B19" s="139" t="str">
        <f>Calc_long_term_NQT_entrants!B250</f>
        <v>Business Studies</v>
      </c>
      <c r="C19" s="700">
        <f>Calc_long_term_NQT_entrants!C250</f>
        <v>180.08929787830868</v>
      </c>
      <c r="D19" s="700">
        <f>Calc_long_term_NQT_entrants!D250</f>
        <v>200.67341394820545</v>
      </c>
      <c r="E19" s="700">
        <f>Calc_long_term_NQT_entrants!E250</f>
        <v>211.51260460162908</v>
      </c>
      <c r="F19" s="700">
        <f>Calc_long_term_NQT_entrants!F250</f>
        <v>225.35366003284736</v>
      </c>
      <c r="G19" s="700">
        <f>Calc_long_term_NQT_entrants!G250</f>
        <v>230.15619242712469</v>
      </c>
      <c r="H19" s="700">
        <f>Calc_long_term_NQT_entrants!H250</f>
        <v>243.75802079225102</v>
      </c>
      <c r="I19" s="700">
        <f>Calc_long_term_NQT_entrants!I250</f>
        <v>246.22083863631892</v>
      </c>
      <c r="J19" s="700">
        <f>Calc_long_term_NQT_entrants!J250</f>
        <v>246.05237002680678</v>
      </c>
      <c r="K19" s="700">
        <f>Calc_long_term_NQT_entrants!K250</f>
        <v>232.13735232102758</v>
      </c>
      <c r="L19" s="700">
        <f>Calc_long_term_NQT_entrants!L250</f>
        <v>216.75863632629506</v>
      </c>
    </row>
    <row r="20" spans="2:12">
      <c r="B20" s="139" t="str">
        <f>Calc_long_term_NQT_entrants!B251</f>
        <v>Chemistry</v>
      </c>
      <c r="C20" s="700">
        <f>Calc_long_term_NQT_entrants!C251</f>
        <v>738.11612755597241</v>
      </c>
      <c r="D20" s="700">
        <f>Calc_long_term_NQT_entrants!D251</f>
        <v>738.47616639511239</v>
      </c>
      <c r="E20" s="700">
        <f>Calc_long_term_NQT_entrants!E251</f>
        <v>753.5164975142975</v>
      </c>
      <c r="F20" s="700">
        <f>Calc_long_term_NQT_entrants!F251</f>
        <v>771.37450866042252</v>
      </c>
      <c r="G20" s="700">
        <f>Calc_long_term_NQT_entrants!G251</f>
        <v>778.08374080284068</v>
      </c>
      <c r="H20" s="700">
        <f>Calc_long_term_NQT_entrants!H251</f>
        <v>764.63423399965006</v>
      </c>
      <c r="I20" s="700">
        <f>Calc_long_term_NQT_entrants!I251</f>
        <v>758.58569728570581</v>
      </c>
      <c r="J20" s="700">
        <f>Calc_long_term_NQT_entrants!J251</f>
        <v>746.97196307160698</v>
      </c>
      <c r="K20" s="700">
        <f>Calc_long_term_NQT_entrants!K251</f>
        <v>720.81758676977017</v>
      </c>
      <c r="L20" s="700">
        <f>Calc_long_term_NQT_entrants!L251</f>
        <v>695.39895164606685</v>
      </c>
    </row>
    <row r="21" spans="2:12">
      <c r="B21" s="139" t="str">
        <f>Calc_long_term_NQT_entrants!B252</f>
        <v>Classics</v>
      </c>
      <c r="C21" s="700">
        <f>Calc_long_term_NQT_entrants!C252</f>
        <v>18.889823212942794</v>
      </c>
      <c r="D21" s="700">
        <f>Calc_long_term_NQT_entrants!D252</f>
        <v>19.221475431462139</v>
      </c>
      <c r="E21" s="700">
        <f>Calc_long_term_NQT_entrants!E252</f>
        <v>19.310535366663537</v>
      </c>
      <c r="F21" s="700">
        <f>Calc_long_term_NQT_entrants!F252</f>
        <v>19.590016655771883</v>
      </c>
      <c r="G21" s="700">
        <f>Calc_long_term_NQT_entrants!G252</f>
        <v>20.063793834424992</v>
      </c>
      <c r="H21" s="700">
        <f>Calc_long_term_NQT_entrants!H252</f>
        <v>19.928105436615212</v>
      </c>
      <c r="I21" s="700">
        <f>Calc_long_term_NQT_entrants!I252</f>
        <v>19.180780144264709</v>
      </c>
      <c r="J21" s="700">
        <f>Calc_long_term_NQT_entrants!J252</f>
        <v>18.709616989741892</v>
      </c>
      <c r="K21" s="700">
        <f>Calc_long_term_NQT_entrants!K252</f>
        <v>18.668273300594066</v>
      </c>
      <c r="L21" s="700">
        <f>Calc_long_term_NQT_entrants!L252</f>
        <v>18.524537084561373</v>
      </c>
    </row>
    <row r="22" spans="2:12">
      <c r="B22" s="139" t="str">
        <f>Calc_long_term_NQT_entrants!B253</f>
        <v>Computing</v>
      </c>
      <c r="C22" s="700">
        <f>Calc_long_term_NQT_entrants!C253</f>
        <v>436.73727312822069</v>
      </c>
      <c r="D22" s="700">
        <f>Calc_long_term_NQT_entrants!D253</f>
        <v>434.36128437898731</v>
      </c>
      <c r="E22" s="700">
        <f>Calc_long_term_NQT_entrants!E253</f>
        <v>431.36620195318523</v>
      </c>
      <c r="F22" s="700">
        <f>Calc_long_term_NQT_entrants!F253</f>
        <v>426.90857410477389</v>
      </c>
      <c r="G22" s="700">
        <f>Calc_long_term_NQT_entrants!G253</f>
        <v>445.29925756133633</v>
      </c>
      <c r="H22" s="700">
        <f>Calc_long_term_NQT_entrants!H253</f>
        <v>460.49690842507499</v>
      </c>
      <c r="I22" s="700">
        <f>Calc_long_term_NQT_entrants!I253</f>
        <v>447.92031429208743</v>
      </c>
      <c r="J22" s="700">
        <f>Calc_long_term_NQT_entrants!J253</f>
        <v>438.60797316642515</v>
      </c>
      <c r="K22" s="700">
        <f>Calc_long_term_NQT_entrants!K253</f>
        <v>439.05349760230661</v>
      </c>
      <c r="L22" s="700">
        <f>Calc_long_term_NQT_entrants!L253</f>
        <v>435.30259234292788</v>
      </c>
    </row>
    <row r="23" spans="2:12">
      <c r="B23" s="139" t="str">
        <f>Calc_long_term_NQT_entrants!B254</f>
        <v>Design &amp; Technology</v>
      </c>
      <c r="C23" s="700">
        <f>Calc_long_term_NQT_entrants!C254</f>
        <v>630.84209765479011</v>
      </c>
      <c r="D23" s="700">
        <f>Calc_long_term_NQT_entrants!D254</f>
        <v>582.29574612048805</v>
      </c>
      <c r="E23" s="700">
        <f>Calc_long_term_NQT_entrants!E254</f>
        <v>558.26814746645562</v>
      </c>
      <c r="F23" s="700">
        <f>Calc_long_term_NQT_entrants!F254</f>
        <v>530.18881806485115</v>
      </c>
      <c r="G23" s="700">
        <f>Calc_long_term_NQT_entrants!G254</f>
        <v>558.20055907853521</v>
      </c>
      <c r="H23" s="700">
        <f>Calc_long_term_NQT_entrants!H254</f>
        <v>570.2491994030554</v>
      </c>
      <c r="I23" s="700">
        <f>Calc_long_term_NQT_entrants!I254</f>
        <v>533.706601535657</v>
      </c>
      <c r="J23" s="700">
        <f>Calc_long_term_NQT_entrants!J254</f>
        <v>510.94133008103188</v>
      </c>
      <c r="K23" s="700">
        <f>Calc_long_term_NQT_entrants!K254</f>
        <v>528.36964712619101</v>
      </c>
      <c r="L23" s="700">
        <f>Calc_long_term_NQT_entrants!L254</f>
        <v>538.55788615598522</v>
      </c>
    </row>
    <row r="24" spans="2:12">
      <c r="B24" s="139" t="str">
        <f>Calc_long_term_NQT_entrants!B255</f>
        <v>Drama</v>
      </c>
      <c r="C24" s="700">
        <f>Calc_long_term_NQT_entrants!C255</f>
        <v>273.30610279669708</v>
      </c>
      <c r="D24" s="700">
        <f>Calc_long_term_NQT_entrants!D255</f>
        <v>257.36477451962935</v>
      </c>
      <c r="E24" s="700">
        <f>Calc_long_term_NQT_entrants!E255</f>
        <v>251.57112742460245</v>
      </c>
      <c r="F24" s="700">
        <f>Calc_long_term_NQT_entrants!F255</f>
        <v>244.02464683600425</v>
      </c>
      <c r="G24" s="700">
        <f>Calc_long_term_NQT_entrants!G255</f>
        <v>261.23954377211379</v>
      </c>
      <c r="H24" s="700">
        <f>Calc_long_term_NQT_entrants!H255</f>
        <v>271.31011564728919</v>
      </c>
      <c r="I24" s="700">
        <f>Calc_long_term_NQT_entrants!I255</f>
        <v>256.75370650473485</v>
      </c>
      <c r="J24" s="700">
        <f>Calc_long_term_NQT_entrants!J255</f>
        <v>248.61443179228587</v>
      </c>
      <c r="K24" s="700">
        <f>Calc_long_term_NQT_entrants!K255</f>
        <v>258.70143345264842</v>
      </c>
      <c r="L24" s="700">
        <f>Calc_long_term_NQT_entrants!L255</f>
        <v>264.84555136569725</v>
      </c>
    </row>
    <row r="25" spans="2:12">
      <c r="B25" s="139" t="str">
        <f>Calc_long_term_NQT_entrants!B256</f>
        <v>English</v>
      </c>
      <c r="C25" s="700">
        <f>Calc_long_term_NQT_entrants!C256</f>
        <v>1983.0324029199087</v>
      </c>
      <c r="D25" s="700">
        <f>Calc_long_term_NQT_entrants!D256</f>
        <v>1955.1135675063731</v>
      </c>
      <c r="E25" s="700">
        <f>Calc_long_term_NQT_entrants!E256</f>
        <v>1969.4202508491626</v>
      </c>
      <c r="F25" s="700">
        <f>Calc_long_term_NQT_entrants!F256</f>
        <v>1984.4488307151548</v>
      </c>
      <c r="G25" s="700">
        <f>Calc_long_term_NQT_entrants!G256</f>
        <v>2025.6481376929137</v>
      </c>
      <c r="H25" s="700">
        <f>Calc_long_term_NQT_entrants!H256</f>
        <v>1959.1611732627377</v>
      </c>
      <c r="I25" s="700">
        <f>Calc_long_term_NQT_entrants!I256</f>
        <v>1916.1395202667575</v>
      </c>
      <c r="J25" s="700">
        <f>Calc_long_term_NQT_entrants!J256</f>
        <v>1871.1609000691951</v>
      </c>
      <c r="K25" s="700">
        <f>Calc_long_term_NQT_entrants!K256</f>
        <v>1836.1214236105318</v>
      </c>
      <c r="L25" s="700">
        <f>Calc_long_term_NQT_entrants!L256</f>
        <v>1802.7398668064563</v>
      </c>
    </row>
    <row r="26" spans="2:12">
      <c r="B26" s="139" t="str">
        <f>Calc_long_term_NQT_entrants!B257</f>
        <v>Food</v>
      </c>
      <c r="C26" s="700">
        <f>Calc_long_term_NQT_entrants!C257</f>
        <v>129.41672978148569</v>
      </c>
      <c r="D26" s="700">
        <f>Calc_long_term_NQT_entrants!D257</f>
        <v>123.6958519132841</v>
      </c>
      <c r="E26" s="700">
        <f>Calc_long_term_NQT_entrants!E257</f>
        <v>119.91190984084812</v>
      </c>
      <c r="F26" s="700">
        <f>Calc_long_term_NQT_entrants!F257</f>
        <v>116.4044935629683</v>
      </c>
      <c r="G26" s="700">
        <f>Calc_long_term_NQT_entrants!G257</f>
        <v>117.62403652892891</v>
      </c>
      <c r="H26" s="700">
        <f>Calc_long_term_NQT_entrants!H257</f>
        <v>119.65906015284938</v>
      </c>
      <c r="I26" s="700">
        <f>Calc_long_term_NQT_entrants!I257</f>
        <v>118.24827181391019</v>
      </c>
      <c r="J26" s="700">
        <f>Calc_long_term_NQT_entrants!J257</f>
        <v>115.51779684126581</v>
      </c>
      <c r="K26" s="700">
        <f>Calc_long_term_NQT_entrants!K257</f>
        <v>109.89179932001221</v>
      </c>
      <c r="L26" s="700">
        <f>Calc_long_term_NQT_entrants!L257</f>
        <v>103.97126865381792</v>
      </c>
    </row>
    <row r="27" spans="2:12">
      <c r="B27" s="139" t="str">
        <f>Calc_long_term_NQT_entrants!B258</f>
        <v>Geography</v>
      </c>
      <c r="C27" s="700">
        <f>Calc_long_term_NQT_entrants!C258</f>
        <v>869.1298848553588</v>
      </c>
      <c r="D27" s="700">
        <f>Calc_long_term_NQT_entrants!D258</f>
        <v>816.98644756492649</v>
      </c>
      <c r="E27" s="700">
        <f>Calc_long_term_NQT_entrants!E258</f>
        <v>824.47295774849272</v>
      </c>
      <c r="F27" s="700">
        <f>Calc_long_term_NQT_entrants!F258</f>
        <v>827.84625405171744</v>
      </c>
      <c r="G27" s="700">
        <f>Calc_long_term_NQT_entrants!G258</f>
        <v>886.95757172673848</v>
      </c>
      <c r="H27" s="700">
        <f>Calc_long_term_NQT_entrants!H258</f>
        <v>844.76765341445252</v>
      </c>
      <c r="I27" s="700">
        <f>Calc_long_term_NQT_entrants!I258</f>
        <v>790.62473790915931</v>
      </c>
      <c r="J27" s="700">
        <f>Calc_long_term_NQT_entrants!J258</f>
        <v>753.01898044770996</v>
      </c>
      <c r="K27" s="700">
        <f>Calc_long_term_NQT_entrants!K258</f>
        <v>769.78769796096628</v>
      </c>
      <c r="L27" s="700">
        <f>Calc_long_term_NQT_entrants!L258</f>
        <v>781.98738727822081</v>
      </c>
    </row>
    <row r="28" spans="2:12">
      <c r="B28" s="139" t="str">
        <f>Calc_long_term_NQT_entrants!B259</f>
        <v>History</v>
      </c>
      <c r="C28" s="700">
        <f>Calc_long_term_NQT_entrants!C259</f>
        <v>953.42025767244536</v>
      </c>
      <c r="D28" s="700">
        <f>Calc_long_term_NQT_entrants!D259</f>
        <v>905.81107662022748</v>
      </c>
      <c r="E28" s="700">
        <f>Calc_long_term_NQT_entrants!E259</f>
        <v>916.23256275002973</v>
      </c>
      <c r="F28" s="700">
        <f>Calc_long_term_NQT_entrants!F259</f>
        <v>923.37353073922179</v>
      </c>
      <c r="G28" s="700">
        <f>Calc_long_term_NQT_entrants!G259</f>
        <v>983.52753670863228</v>
      </c>
      <c r="H28" s="700">
        <f>Calc_long_term_NQT_entrants!H259</f>
        <v>942.48527425849863</v>
      </c>
      <c r="I28" s="700">
        <f>Calc_long_term_NQT_entrants!I259</f>
        <v>886.6569159777107</v>
      </c>
      <c r="J28" s="700">
        <f>Calc_long_term_NQT_entrants!J259</f>
        <v>847.82026785990683</v>
      </c>
      <c r="K28" s="700">
        <f>Calc_long_term_NQT_entrants!K259</f>
        <v>862.38984394446607</v>
      </c>
      <c r="L28" s="700">
        <f>Calc_long_term_NQT_entrants!L259</f>
        <v>872.06586025971774</v>
      </c>
    </row>
    <row r="29" spans="2:12">
      <c r="B29" s="139" t="str">
        <f>Calc_long_term_NQT_entrants!B260</f>
        <v>Mathematics</v>
      </c>
      <c r="C29" s="700">
        <f>Calc_long_term_NQT_entrants!C260</f>
        <v>2269.9565493379673</v>
      </c>
      <c r="D29" s="700">
        <f>Calc_long_term_NQT_entrants!D260</f>
        <v>2163.7628416228699</v>
      </c>
      <c r="E29" s="700">
        <f>Calc_long_term_NQT_entrants!E260</f>
        <v>2176.9303585176208</v>
      </c>
      <c r="F29" s="700">
        <f>Calc_long_term_NQT_entrants!F260</f>
        <v>2191.9864530999248</v>
      </c>
      <c r="G29" s="700">
        <f>Calc_long_term_NQT_entrants!G260</f>
        <v>2233.8402118787094</v>
      </c>
      <c r="H29" s="700">
        <f>Calc_long_term_NQT_entrants!H260</f>
        <v>2170.7043602806475</v>
      </c>
      <c r="I29" s="700">
        <f>Calc_long_term_NQT_entrants!I260</f>
        <v>2114.6915201586789</v>
      </c>
      <c r="J29" s="700">
        <f>Calc_long_term_NQT_entrants!J260</f>
        <v>2062.1767067245046</v>
      </c>
      <c r="K29" s="700">
        <f>Calc_long_term_NQT_entrants!K260</f>
        <v>2027.9899144051142</v>
      </c>
      <c r="L29" s="700">
        <f>Calc_long_term_NQT_entrants!L260</f>
        <v>1993.5843790180975</v>
      </c>
    </row>
    <row r="30" spans="2:12">
      <c r="B30" s="139" t="str">
        <f>Calc_long_term_NQT_entrants!B261</f>
        <v>Modern Foreign Languages</v>
      </c>
      <c r="C30" s="700">
        <f>Calc_long_term_NQT_entrants!C261</f>
        <v>1112.6771773555456</v>
      </c>
      <c r="D30" s="700">
        <f>Calc_long_term_NQT_entrants!D261</f>
        <v>1254.7279817656106</v>
      </c>
      <c r="E30" s="700">
        <f>Calc_long_term_NQT_entrants!E261</f>
        <v>1467.472227566996</v>
      </c>
      <c r="F30" s="700">
        <f>Calc_long_term_NQT_entrants!F261</f>
        <v>1686.2611857086372</v>
      </c>
      <c r="G30" s="700">
        <f>Calc_long_term_NQT_entrants!G261</f>
        <v>1719.0531120198116</v>
      </c>
      <c r="H30" s="700">
        <f>Calc_long_term_NQT_entrants!H261</f>
        <v>1099.5925514652083</v>
      </c>
      <c r="I30" s="700">
        <f>Calc_long_term_NQT_entrants!I261</f>
        <v>961.02433439243873</v>
      </c>
      <c r="J30" s="700">
        <f>Calc_long_term_NQT_entrants!J261</f>
        <v>857.16346157094813</v>
      </c>
      <c r="K30" s="700">
        <f>Calc_long_term_NQT_entrants!K261</f>
        <v>870.33990934760232</v>
      </c>
      <c r="L30" s="700">
        <f>Calc_long_term_NQT_entrants!L261</f>
        <v>937.40064402055464</v>
      </c>
    </row>
    <row r="31" spans="2:12">
      <c r="B31" s="139" t="str">
        <f>Calc_long_term_NQT_entrants!B262</f>
        <v>Music</v>
      </c>
      <c r="C31" s="700">
        <f>Calc_long_term_NQT_entrants!C262</f>
        <v>299.88936712799875</v>
      </c>
      <c r="D31" s="700">
        <f>Calc_long_term_NQT_entrants!D262</f>
        <v>272.36691700125988</v>
      </c>
      <c r="E31" s="700">
        <f>Calc_long_term_NQT_entrants!E262</f>
        <v>263.14066136035314</v>
      </c>
      <c r="F31" s="700">
        <f>Calc_long_term_NQT_entrants!F262</f>
        <v>250.90986054026644</v>
      </c>
      <c r="G31" s="700">
        <f>Calc_long_term_NQT_entrants!G262</f>
        <v>271.13132891746432</v>
      </c>
      <c r="H31" s="700">
        <f>Calc_long_term_NQT_entrants!H262</f>
        <v>280.42225526882777</v>
      </c>
      <c r="I31" s="700">
        <f>Calc_long_term_NQT_entrants!I262</f>
        <v>260.28528487424495</v>
      </c>
      <c r="J31" s="700">
        <f>Calc_long_term_NQT_entrants!J262</f>
        <v>249.51546122415283</v>
      </c>
      <c r="K31" s="700">
        <f>Calc_long_term_NQT_entrants!K262</f>
        <v>265.92044614415823</v>
      </c>
      <c r="L31" s="700">
        <f>Calc_long_term_NQT_entrants!L262</f>
        <v>277.58342758344736</v>
      </c>
    </row>
    <row r="32" spans="2:12">
      <c r="B32" s="139" t="str">
        <f>Calc_long_term_NQT_entrants!B263</f>
        <v>Others</v>
      </c>
      <c r="C32" s="700">
        <f>Calc_long_term_NQT_entrants!C263</f>
        <v>649.9789608106579</v>
      </c>
      <c r="D32" s="700">
        <f>Calc_long_term_NQT_entrants!D263</f>
        <v>708.3540203491774</v>
      </c>
      <c r="E32" s="700">
        <f>Calc_long_term_NQT_entrants!E263</f>
        <v>726.65135625973221</v>
      </c>
      <c r="F32" s="700">
        <f>Calc_long_term_NQT_entrants!F263</f>
        <v>751.87791220342638</v>
      </c>
      <c r="G32" s="700">
        <f>Calc_long_term_NQT_entrants!G263</f>
        <v>784.4754154282449</v>
      </c>
      <c r="H32" s="700">
        <f>Calc_long_term_NQT_entrants!H263</f>
        <v>829.51547600921594</v>
      </c>
      <c r="I32" s="700">
        <f>Calc_long_term_NQT_entrants!I263</f>
        <v>807.09584721466456</v>
      </c>
      <c r="J32" s="700">
        <f>Calc_long_term_NQT_entrants!J263</f>
        <v>795.4031444967045</v>
      </c>
      <c r="K32" s="700">
        <f>Calc_long_term_NQT_entrants!K263</f>
        <v>789.95079521781236</v>
      </c>
      <c r="L32" s="700">
        <f>Calc_long_term_NQT_entrants!L263</f>
        <v>774.441667657484</v>
      </c>
    </row>
    <row r="33" spans="2:12">
      <c r="B33" s="139" t="str">
        <f>Calc_long_term_NQT_entrants!B264</f>
        <v>Physical Education</v>
      </c>
      <c r="C33" s="700">
        <f>Calc_long_term_NQT_entrants!C264</f>
        <v>803.10381867633089</v>
      </c>
      <c r="D33" s="700">
        <f>Calc_long_term_NQT_entrants!D264</f>
        <v>777.42176143743313</v>
      </c>
      <c r="E33" s="700">
        <f>Calc_long_term_NQT_entrants!E264</f>
        <v>763.65699232154714</v>
      </c>
      <c r="F33" s="700">
        <f>Calc_long_term_NQT_entrants!F264</f>
        <v>746.00587572395136</v>
      </c>
      <c r="G33" s="700">
        <f>Calc_long_term_NQT_entrants!G264</f>
        <v>795.14995909860158</v>
      </c>
      <c r="H33" s="700">
        <f>Calc_long_term_NQT_entrants!H264</f>
        <v>830.83442210567284</v>
      </c>
      <c r="I33" s="700">
        <f>Calc_long_term_NQT_entrants!I264</f>
        <v>807.01098979128665</v>
      </c>
      <c r="J33" s="700">
        <f>Calc_long_term_NQT_entrants!J264</f>
        <v>789.14591093753279</v>
      </c>
      <c r="K33" s="700">
        <f>Calc_long_term_NQT_entrants!K264</f>
        <v>795.2774029112004</v>
      </c>
      <c r="L33" s="700">
        <f>Calc_long_term_NQT_entrants!L264</f>
        <v>791.9789329960995</v>
      </c>
    </row>
    <row r="34" spans="2:12">
      <c r="B34" s="139" t="str">
        <f>Calc_long_term_NQT_entrants!B265</f>
        <v>Physics</v>
      </c>
      <c r="C34" s="700">
        <f>Calc_long_term_NQT_entrants!C265</f>
        <v>793.06509349987061</v>
      </c>
      <c r="D34" s="700">
        <f>Calc_long_term_NQT_entrants!D265</f>
        <v>747.69398618158937</v>
      </c>
      <c r="E34" s="700">
        <f>Calc_long_term_NQT_entrants!E265</f>
        <v>760.13648260680679</v>
      </c>
      <c r="F34" s="700">
        <f>Calc_long_term_NQT_entrants!F265</f>
        <v>774.80612491957174</v>
      </c>
      <c r="G34" s="700">
        <f>Calc_long_term_NQT_entrants!G265</f>
        <v>779.55230629598213</v>
      </c>
      <c r="H34" s="700">
        <f>Calc_long_term_NQT_entrants!H265</f>
        <v>762.60844391077467</v>
      </c>
      <c r="I34" s="700">
        <f>Calc_long_term_NQT_entrants!I265</f>
        <v>755.96439649572631</v>
      </c>
      <c r="J34" s="700">
        <f>Calc_long_term_NQT_entrants!J265</f>
        <v>743.24719791268149</v>
      </c>
      <c r="K34" s="700">
        <f>Calc_long_term_NQT_entrants!K265</f>
        <v>715.86650313144787</v>
      </c>
      <c r="L34" s="700">
        <f>Calc_long_term_NQT_entrants!L265</f>
        <v>689.74399886621029</v>
      </c>
    </row>
    <row r="35" spans="2:12">
      <c r="B35" s="139" t="str">
        <f>Calc_long_term_NQT_entrants!B266</f>
        <v>Religious Education</v>
      </c>
      <c r="C35" s="700">
        <f>Calc_long_term_NQT_entrants!C266</f>
        <v>423.39068000331804</v>
      </c>
      <c r="D35" s="700">
        <f>Calc_long_term_NQT_entrants!D266</f>
        <v>391.21282156880108</v>
      </c>
      <c r="E35" s="700">
        <f>Calc_long_term_NQT_entrants!E266</f>
        <v>381.19106001002734</v>
      </c>
      <c r="F35" s="700">
        <f>Calc_long_term_NQT_entrants!F266</f>
        <v>369.93799812591772</v>
      </c>
      <c r="G35" s="700">
        <f>Calc_long_term_NQT_entrants!G266</f>
        <v>388.35225237429933</v>
      </c>
      <c r="H35" s="700">
        <f>Calc_long_term_NQT_entrants!H266</f>
        <v>401.32883460362666</v>
      </c>
      <c r="I35" s="700">
        <f>Calc_long_term_NQT_entrants!I266</f>
        <v>386.22973322551672</v>
      </c>
      <c r="J35" s="700">
        <f>Calc_long_term_NQT_entrants!J266</f>
        <v>375.23411367412831</v>
      </c>
      <c r="K35" s="700">
        <f>Calc_long_term_NQT_entrants!K266</f>
        <v>377.14421450491545</v>
      </c>
      <c r="L35" s="700">
        <f>Calc_long_term_NQT_entrants!L266</f>
        <v>374.89247979176423</v>
      </c>
    </row>
    <row r="36" spans="2:12">
      <c r="B36" s="138" t="str">
        <f>Calc_long_term_NQT_entrants!B267</f>
        <v>Total</v>
      </c>
      <c r="C36" s="276">
        <f>Calc_long_term_NQT_entrants!C267</f>
        <v>23644.167876972613</v>
      </c>
      <c r="D36" s="276">
        <f>Calc_long_term_NQT_entrants!D267</f>
        <v>23247.714409464017</v>
      </c>
      <c r="E36" s="276">
        <f>Calc_long_term_NQT_entrants!E267</f>
        <v>23387.890995434489</v>
      </c>
      <c r="F36" s="276">
        <f>Calc_long_term_NQT_entrants!F267</f>
        <v>23507.457527359271</v>
      </c>
      <c r="G36" s="276">
        <f>Calc_long_term_NQT_entrants!G267</f>
        <v>23834.252214224369</v>
      </c>
      <c r="H36" s="276">
        <f>Calc_long_term_NQT_entrants!H267</f>
        <v>23412.332551449552</v>
      </c>
      <c r="I36" s="276">
        <f>Calc_long_term_NQT_entrants!I267</f>
        <v>23102.953447643977</v>
      </c>
      <c r="J36" s="276">
        <f>Calc_long_term_NQT_entrants!J267</f>
        <v>22735.103867675731</v>
      </c>
      <c r="K36" s="276">
        <f>Calc_long_term_NQT_entrants!K267</f>
        <v>22619.71846577301</v>
      </c>
      <c r="L36" s="276">
        <f>Calc_long_term_NQT_entrants!L267</f>
        <v>22488.536408776556</v>
      </c>
    </row>
  </sheetData>
  <mergeCells count="1">
    <mergeCell ref="A5:G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73"/>
  <sheetViews>
    <sheetView showGridLines="0" workbookViewId="0"/>
  </sheetViews>
  <sheetFormatPr defaultRowHeight="12.75"/>
  <cols>
    <col min="1" max="1" width="10.28515625" customWidth="1"/>
    <col min="2" max="2" width="25.7109375" customWidth="1"/>
    <col min="3" max="12" width="10.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9" customFormat="1">
      <c r="A4" s="570" t="s">
        <v>26</v>
      </c>
      <c r="B4" s="570"/>
      <c r="C4" s="570"/>
      <c r="D4" s="570"/>
      <c r="E4" s="285"/>
      <c r="F4" s="570"/>
      <c r="G4" s="570"/>
    </row>
    <row r="5" spans="1:17" s="568" customFormat="1">
      <c r="A5" s="683" t="s">
        <v>813</v>
      </c>
      <c r="B5" s="683"/>
      <c r="C5" s="683"/>
      <c r="D5" s="683"/>
      <c r="E5" s="683"/>
      <c r="F5" s="683"/>
      <c r="G5" s="683"/>
      <c r="H5" s="683"/>
      <c r="I5" s="683"/>
      <c r="J5" s="683"/>
      <c r="K5" s="683"/>
    </row>
    <row r="6" spans="1:17" s="565" customFormat="1">
      <c r="A6" s="567" t="s">
        <v>1392</v>
      </c>
      <c r="B6" s="60"/>
      <c r="C6" s="60"/>
      <c r="D6" s="60"/>
      <c r="E6" s="285"/>
      <c r="F6" s="60"/>
      <c r="G6" s="60"/>
      <c r="H6" s="44"/>
      <c r="I6" s="44"/>
      <c r="J6" s="44"/>
      <c r="K6" s="44"/>
    </row>
    <row r="7" spans="1:17" s="565" customFormat="1">
      <c r="A7" s="566" t="s">
        <v>812</v>
      </c>
      <c r="B7" s="567"/>
      <c r="C7" s="60"/>
      <c r="D7" s="60"/>
      <c r="E7" s="285"/>
      <c r="F7" s="60"/>
      <c r="G7" s="60"/>
      <c r="H7" s="44"/>
      <c r="I7" s="44"/>
      <c r="J7" s="44"/>
      <c r="K7" s="44"/>
    </row>
    <row r="8" spans="1:17" s="565" customFormat="1">
      <c r="A8" s="567" t="s">
        <v>24</v>
      </c>
      <c r="B8" s="60"/>
      <c r="C8" s="60"/>
      <c r="D8" s="60"/>
      <c r="E8" s="285"/>
      <c r="F8" s="60"/>
      <c r="G8" s="60"/>
      <c r="H8" s="44"/>
      <c r="I8" s="44"/>
      <c r="J8" s="44"/>
      <c r="K8" s="44"/>
    </row>
    <row r="9" spans="1:17" s="563" customFormat="1">
      <c r="A9" s="564" t="s">
        <v>811</v>
      </c>
      <c r="B9" s="72"/>
      <c r="C9" s="70"/>
      <c r="D9" s="47"/>
      <c r="E9" s="47"/>
      <c r="F9" s="71"/>
      <c r="G9" s="47"/>
      <c r="H9" s="47"/>
      <c r="I9" s="71"/>
      <c r="J9" s="48"/>
      <c r="K9" s="48"/>
    </row>
    <row r="10" spans="1:17">
      <c r="A10">
        <f>SUM(A11:A54)</f>
        <v>0</v>
      </c>
    </row>
    <row r="11" spans="1:17" ht="15.75">
      <c r="B11" s="77" t="s">
        <v>810</v>
      </c>
    </row>
    <row r="13" spans="1:17" ht="13.15" customHeight="1">
      <c r="B13" s="1197" t="s">
        <v>1091</v>
      </c>
      <c r="C13" s="1197"/>
      <c r="D13" s="1197"/>
      <c r="E13" s="1197"/>
      <c r="F13" s="1197"/>
      <c r="G13" s="1197"/>
      <c r="H13" s="1197"/>
      <c r="I13" s="1197"/>
      <c r="J13" s="1197"/>
      <c r="K13" s="1197"/>
      <c r="L13" s="1197"/>
      <c r="M13" s="1197"/>
      <c r="N13" s="1197"/>
      <c r="O13" s="1197"/>
      <c r="P13" s="1197"/>
      <c r="Q13" s="1197"/>
    </row>
    <row r="14" spans="1:17">
      <c r="B14" s="1197"/>
      <c r="C14" s="1197"/>
      <c r="D14" s="1197"/>
      <c r="E14" s="1197"/>
      <c r="F14" s="1197"/>
      <c r="G14" s="1197"/>
      <c r="H14" s="1197"/>
      <c r="I14" s="1197"/>
      <c r="J14" s="1197"/>
      <c r="K14" s="1197"/>
      <c r="L14" s="1197"/>
      <c r="M14" s="1197"/>
      <c r="N14" s="1197"/>
      <c r="O14" s="1197"/>
      <c r="P14" s="1197"/>
      <c r="Q14" s="1197"/>
    </row>
    <row r="15" spans="1:17">
      <c r="B15" s="1197"/>
      <c r="C15" s="1197"/>
      <c r="D15" s="1197"/>
      <c r="E15" s="1197"/>
      <c r="F15" s="1197"/>
      <c r="G15" s="1197"/>
      <c r="H15" s="1197"/>
      <c r="I15" s="1197"/>
      <c r="J15" s="1197"/>
      <c r="K15" s="1197"/>
      <c r="L15" s="1197"/>
      <c r="M15" s="1197"/>
      <c r="N15" s="1197"/>
      <c r="O15" s="1197"/>
      <c r="P15" s="1197"/>
      <c r="Q15" s="1197"/>
    </row>
    <row r="16" spans="1:17">
      <c r="B16" s="552"/>
      <c r="C16" s="552"/>
      <c r="D16" s="552"/>
      <c r="E16" s="552"/>
      <c r="F16" s="552"/>
      <c r="G16" s="552"/>
      <c r="H16" s="552"/>
      <c r="I16" s="552"/>
      <c r="J16" s="552"/>
      <c r="K16" s="552"/>
    </row>
    <row r="17" spans="2:17" ht="13.15" customHeight="1">
      <c r="B17" s="699" t="s">
        <v>1092</v>
      </c>
      <c r="C17" s="699"/>
      <c r="D17" s="699"/>
      <c r="E17" s="699"/>
      <c r="F17" s="699"/>
      <c r="G17" s="699"/>
      <c r="H17" s="699"/>
      <c r="I17" s="699"/>
      <c r="J17" s="699"/>
      <c r="K17" s="699"/>
      <c r="L17" s="170"/>
      <c r="M17" s="170"/>
      <c r="N17" s="170"/>
      <c r="O17" s="170"/>
      <c r="P17" s="170"/>
      <c r="Q17" s="170"/>
    </row>
    <row r="18" spans="2:17">
      <c r="B18" s="699"/>
      <c r="C18" s="699"/>
      <c r="D18" s="699"/>
      <c r="E18" s="699"/>
      <c r="F18" s="699"/>
      <c r="G18" s="699"/>
      <c r="H18" s="699"/>
      <c r="I18" s="699"/>
      <c r="J18" s="699"/>
      <c r="K18" s="699"/>
      <c r="L18" s="170"/>
      <c r="M18" s="170"/>
      <c r="N18" s="170"/>
      <c r="O18" s="170"/>
      <c r="P18" s="170"/>
      <c r="Q18" s="170"/>
    </row>
    <row r="20" spans="2:17" ht="28.15" customHeight="1">
      <c r="B20" s="1341" t="s">
        <v>59</v>
      </c>
      <c r="C20" s="1343" t="s">
        <v>809</v>
      </c>
      <c r="D20" s="1344"/>
      <c r="E20" s="1345"/>
      <c r="F20" s="1343" t="s">
        <v>808</v>
      </c>
      <c r="G20" s="1346"/>
      <c r="H20" s="1345"/>
    </row>
    <row r="21" spans="2:17" s="151" customFormat="1" ht="30">
      <c r="B21" s="1342"/>
      <c r="C21" s="667" t="s">
        <v>702</v>
      </c>
      <c r="D21" s="668" t="s">
        <v>701</v>
      </c>
      <c r="E21" s="668" t="s">
        <v>700</v>
      </c>
      <c r="F21" s="667" t="s">
        <v>702</v>
      </c>
      <c r="G21" s="668" t="s">
        <v>701</v>
      </c>
      <c r="H21" s="668" t="s">
        <v>700</v>
      </c>
    </row>
    <row r="22" spans="2:17">
      <c r="B22" s="666" t="str">
        <f>Outputs_for_conversion_rates!B16</f>
        <v>Primary</v>
      </c>
      <c r="C22" s="572">
        <f>RAW_DATA_INPUTS!C609</f>
        <v>0.89832735746064807</v>
      </c>
      <c r="D22" s="572">
        <f>RAW_DATA_INPUTS!D609</f>
        <v>0.92077131702811388</v>
      </c>
      <c r="E22" s="572">
        <f>RAW_DATA_INPUTS!E609</f>
        <v>0.9085726220252428</v>
      </c>
      <c r="F22" s="572">
        <f>Data_selected_by_user_testing!E147</f>
        <v>0.84699298212213059</v>
      </c>
      <c r="G22" s="572">
        <f>Data_selected_by_user_testing!F147</f>
        <v>0.86934370616490853</v>
      </c>
      <c r="H22" s="572">
        <f>Data_selected_by_user_testing!G147</f>
        <v>0.87382203123993096</v>
      </c>
      <c r="M22" s="10"/>
    </row>
    <row r="23" spans="2:17">
      <c r="B23" s="666" t="str">
        <f>Outputs_for_conversion_rates!B17</f>
        <v>Art &amp; Design</v>
      </c>
      <c r="C23" s="572">
        <f>RAW_DATA_INPUTS!C591</f>
        <v>0.91954038144754402</v>
      </c>
      <c r="D23" s="572">
        <f>RAW_DATA_INPUTS!D591</f>
        <v>0.95819985825655574</v>
      </c>
      <c r="E23" s="572">
        <f>RAW_DATA_INPUTS!E591</f>
        <v>0.93665317188001129</v>
      </c>
      <c r="F23" s="572">
        <f>Data_selected_by_user_testing!E158</f>
        <v>0.77686364803971064</v>
      </c>
      <c r="G23" s="572">
        <f>Data_selected_by_user_testing!F158</f>
        <v>0.8127554179566564</v>
      </c>
      <c r="H23" s="572">
        <f>Data_selected_by_user_testing!G158</f>
        <v>0.75286900200693307</v>
      </c>
      <c r="M23" s="10"/>
    </row>
    <row r="24" spans="2:17">
      <c r="B24" s="666" t="str">
        <f>Outputs_for_conversion_rates!B18</f>
        <v>Biology</v>
      </c>
      <c r="C24" s="572">
        <f>RAW_DATA_INPUTS!C592</f>
        <v>0.90019838046260814</v>
      </c>
      <c r="D24" s="572">
        <f>RAW_DATA_INPUTS!D592</f>
        <v>0.90103185460230595</v>
      </c>
      <c r="E24" s="572">
        <f>RAW_DATA_INPUTS!E592</f>
        <v>0.87114129420288466</v>
      </c>
      <c r="F24" s="572">
        <f>Data_selected_by_user_testing!E159</f>
        <v>0.80646421880119445</v>
      </c>
      <c r="G24" s="572">
        <f>Data_selected_by_user_testing!F159</f>
        <v>0.82824951566277516</v>
      </c>
      <c r="H24" s="572">
        <f>Data_selected_by_user_testing!G159</f>
        <v>0.76008667627164739</v>
      </c>
      <c r="M24" s="10"/>
    </row>
    <row r="25" spans="2:17">
      <c r="B25" s="666" t="str">
        <f>Outputs_for_conversion_rates!B19</f>
        <v>Business Studies</v>
      </c>
      <c r="C25" s="572">
        <f>RAW_DATA_INPUTS!C593</f>
        <v>0.90708818381036838</v>
      </c>
      <c r="D25" s="572">
        <f>RAW_DATA_INPUTS!D593</f>
        <v>0.9391217070890393</v>
      </c>
      <c r="E25" s="572">
        <f>RAW_DATA_INPUTS!E593</f>
        <v>0.99145299145299148</v>
      </c>
      <c r="F25" s="572">
        <f>Data_selected_by_user_testing!E160</f>
        <v>0.79639211278917155</v>
      </c>
      <c r="G25" s="572">
        <f>Data_selected_by_user_testing!F160</f>
        <v>0.75446035404139244</v>
      </c>
      <c r="H25" s="572">
        <f>Data_selected_by_user_testing!G160</f>
        <v>0.78907407407407404</v>
      </c>
      <c r="M25" s="10"/>
    </row>
    <row r="26" spans="2:17">
      <c r="B26" s="666" t="str">
        <f>Outputs_for_conversion_rates!B20</f>
        <v>Chemistry</v>
      </c>
      <c r="C26" s="572">
        <f>RAW_DATA_INPUTS!C594</f>
        <v>0.86188169795821412</v>
      </c>
      <c r="D26" s="572">
        <f>RAW_DATA_INPUTS!D594</f>
        <v>0.89185676399980496</v>
      </c>
      <c r="E26" s="572">
        <f>RAW_DATA_INPUTS!E594</f>
        <v>0.87805250305250304</v>
      </c>
      <c r="F26" s="572">
        <f>Data_selected_by_user_testing!E161</f>
        <v>0.79521046979000787</v>
      </c>
      <c r="G26" s="572">
        <f>Data_selected_by_user_testing!F161</f>
        <v>0.84198645641693559</v>
      </c>
      <c r="H26" s="572">
        <f>Data_selected_by_user_testing!G161</f>
        <v>0.85163919900761997</v>
      </c>
      <c r="M26" s="10"/>
    </row>
    <row r="27" spans="2:17">
      <c r="B27" s="666" t="str">
        <f>Outputs_for_conversion_rates!B21</f>
        <v>Classics</v>
      </c>
      <c r="C27" s="572">
        <f>RAW_DATA_INPUTS!C595</f>
        <v>0.98709677419354847</v>
      </c>
      <c r="D27" s="572">
        <f>RAW_DATA_INPUTS!D595</f>
        <v>0.82455622654186855</v>
      </c>
      <c r="E27" s="572">
        <f>RAW_DATA_INPUTS!E595</f>
        <v>0.81112656042401154</v>
      </c>
      <c r="F27" s="572">
        <f>Data_selected_by_user_testing!E162</f>
        <v>0.71990759890871681</v>
      </c>
      <c r="G27" s="572">
        <f>Data_selected_by_user_testing!F162</f>
        <v>0.75446035404139244</v>
      </c>
      <c r="H27" s="572">
        <f>Data_selected_by_user_testing!G162</f>
        <v>0.74805910517103968</v>
      </c>
      <c r="M27" s="10"/>
    </row>
    <row r="28" spans="2:17">
      <c r="B28" s="666" t="str">
        <f>Outputs_for_conversion_rates!B22</f>
        <v>Computing</v>
      </c>
      <c r="C28" s="572">
        <f>RAW_DATA_INPUTS!C596</f>
        <v>0.8412786229092889</v>
      </c>
      <c r="D28" s="572">
        <f>RAW_DATA_INPUTS!D596</f>
        <v>0.89198179271708677</v>
      </c>
      <c r="E28" s="572">
        <f>RAW_DATA_INPUTS!E596</f>
        <v>0.87329434697855746</v>
      </c>
      <c r="F28" s="572">
        <f>Data_selected_by_user_testing!E163</f>
        <v>0.78599966743821004</v>
      </c>
      <c r="G28" s="572">
        <f>Data_selected_by_user_testing!F163</f>
        <v>0.88053418803418793</v>
      </c>
      <c r="H28" s="572">
        <f>Data_selected_by_user_testing!G163</f>
        <v>0.83109006892012771</v>
      </c>
    </row>
    <row r="29" spans="2:17">
      <c r="B29" s="666" t="str">
        <f>Outputs_for_conversion_rates!B23</f>
        <v>Design &amp; Technology</v>
      </c>
      <c r="C29" s="572">
        <f>RAW_DATA_INPUTS!C597</f>
        <v>0.89553335331368489</v>
      </c>
      <c r="D29" s="572">
        <f>RAW_DATA_INPUTS!D597</f>
        <v>0.93932280527978507</v>
      </c>
      <c r="E29" s="572">
        <f>RAW_DATA_INPUTS!E597</f>
        <v>0.81112656042401154</v>
      </c>
      <c r="F29" s="572">
        <f>Data_selected_by_user_testing!E164</f>
        <v>0.76405919898079722</v>
      </c>
      <c r="G29" s="572">
        <f>Data_selected_by_user_testing!F164</f>
        <v>0.87128297472835292</v>
      </c>
      <c r="H29" s="572">
        <f>Data_selected_by_user_testing!G164</f>
        <v>0.74805910517103968</v>
      </c>
    </row>
    <row r="30" spans="2:17">
      <c r="B30" s="666" t="str">
        <f>Outputs_for_conversion_rates!B24</f>
        <v>Drama</v>
      </c>
      <c r="C30" s="572">
        <f>RAW_DATA_INPUTS!C598</f>
        <v>0.9569042653105484</v>
      </c>
      <c r="D30" s="572">
        <f>RAW_DATA_INPUTS!D598</f>
        <v>0.93119835486319102</v>
      </c>
      <c r="E30" s="572">
        <f>RAW_DATA_INPUTS!E598</f>
        <v>0.92639440765268577</v>
      </c>
      <c r="F30" s="572">
        <f>Data_selected_by_user_testing!E165</f>
        <v>0.79356345580588572</v>
      </c>
      <c r="G30" s="572">
        <f>Data_selected_by_user_testing!F165</f>
        <v>0.85518100609419401</v>
      </c>
      <c r="H30" s="572">
        <f>Data_selected_by_user_testing!G165</f>
        <v>0.82365870461108548</v>
      </c>
    </row>
    <row r="31" spans="2:17">
      <c r="B31" s="666" t="str">
        <f>Outputs_for_conversion_rates!B25</f>
        <v>English</v>
      </c>
      <c r="C31" s="572">
        <f>RAW_DATA_INPUTS!C599</f>
        <v>0.91216571462952123</v>
      </c>
      <c r="D31" s="572">
        <f>RAW_DATA_INPUTS!D599</f>
        <v>0.93474891543077687</v>
      </c>
      <c r="E31" s="572">
        <f>RAW_DATA_INPUTS!E599</f>
        <v>0.93730479165352487</v>
      </c>
      <c r="F31" s="572">
        <f>Data_selected_by_user_testing!E166</f>
        <v>0.82890234132839191</v>
      </c>
      <c r="G31" s="572">
        <f>Data_selected_by_user_testing!F166</f>
        <v>0.85536255011485152</v>
      </c>
      <c r="H31" s="572">
        <f>Data_selected_by_user_testing!G166</f>
        <v>0.84072631099995132</v>
      </c>
    </row>
    <row r="32" spans="2:17">
      <c r="B32" s="666" t="str">
        <f>Outputs_for_conversion_rates!B26</f>
        <v>Food</v>
      </c>
      <c r="C32" s="572">
        <f>RAW_DATA_INPUTS!C600</f>
        <v>0.79575803394257527</v>
      </c>
      <c r="D32" s="572">
        <f>RAW_DATA_INPUTS!D600</f>
        <v>0.82455622654186855</v>
      </c>
      <c r="E32" s="572">
        <f>RAW_DATA_INPUTS!E600</f>
        <v>0.81112656042401154</v>
      </c>
      <c r="F32" s="572">
        <f>Data_selected_by_user_testing!E167</f>
        <v>0.71990759890871681</v>
      </c>
      <c r="G32" s="572">
        <f>Data_selected_by_user_testing!F167</f>
        <v>0.75446035404139244</v>
      </c>
      <c r="H32" s="572">
        <f>Data_selected_by_user_testing!G167</f>
        <v>0.74805910517103968</v>
      </c>
    </row>
    <row r="33" spans="1:11">
      <c r="B33" s="666" t="str">
        <f>Outputs_for_conversion_rates!B27</f>
        <v>Geography</v>
      </c>
      <c r="C33" s="572">
        <f>RAW_DATA_INPUTS!C601</f>
        <v>0.92753012396168777</v>
      </c>
      <c r="D33" s="572">
        <f>RAW_DATA_INPUTS!D601</f>
        <v>0.95970712560386473</v>
      </c>
      <c r="E33" s="572">
        <f>RAW_DATA_INPUTS!E601</f>
        <v>0.83959637343044646</v>
      </c>
      <c r="F33" s="572">
        <f>Data_selected_by_user_testing!E168</f>
        <v>0.80329453266388851</v>
      </c>
      <c r="G33" s="572">
        <f>Data_selected_by_user_testing!F168</f>
        <v>0.85638232175894569</v>
      </c>
      <c r="H33" s="572">
        <f>Data_selected_by_user_testing!G168</f>
        <v>0.74805910517103968</v>
      </c>
    </row>
    <row r="34" spans="1:11">
      <c r="B34" s="666" t="str">
        <f>Outputs_for_conversion_rates!B28</f>
        <v>History</v>
      </c>
      <c r="C34" s="572">
        <f>RAW_DATA_INPUTS!C602</f>
        <v>0.95113235629976689</v>
      </c>
      <c r="D34" s="572">
        <f>RAW_DATA_INPUTS!D602</f>
        <v>0.93859197877826706</v>
      </c>
      <c r="E34" s="572">
        <f>RAW_DATA_INPUTS!E602</f>
        <v>0.97192786216099525</v>
      </c>
      <c r="F34" s="572">
        <f>Data_selected_by_user_testing!E169</f>
        <v>0.83076478448333912</v>
      </c>
      <c r="G34" s="572">
        <f>Data_selected_by_user_testing!F169</f>
        <v>0.81991512405946532</v>
      </c>
      <c r="H34" s="572">
        <f>Data_selected_by_user_testing!G169</f>
        <v>0.8598962612924379</v>
      </c>
    </row>
    <row r="35" spans="1:11">
      <c r="B35" s="666" t="str">
        <f>Outputs_for_conversion_rates!B29</f>
        <v>Mathematics</v>
      </c>
      <c r="C35" s="572">
        <f>RAW_DATA_INPUTS!C603</f>
        <v>0.86358549589185007</v>
      </c>
      <c r="D35" s="572">
        <f>RAW_DATA_INPUTS!D603</f>
        <v>0.91138896585147611</v>
      </c>
      <c r="E35" s="572">
        <f>RAW_DATA_INPUTS!E603</f>
        <v>0.88962138060637663</v>
      </c>
      <c r="F35" s="572">
        <f>Data_selected_by_user_testing!E170</f>
        <v>0.81221997939458079</v>
      </c>
      <c r="G35" s="572">
        <f>Data_selected_by_user_testing!F170</f>
        <v>0.87554525520953697</v>
      </c>
      <c r="H35" s="572">
        <f>Data_selected_by_user_testing!G170</f>
        <v>0.82965184677553061</v>
      </c>
    </row>
    <row r="36" spans="1:11">
      <c r="B36" s="666" t="str">
        <f>Outputs_for_conversion_rates!B30</f>
        <v>Modern Foreign Languages</v>
      </c>
      <c r="C36" s="572">
        <f>RAW_DATA_INPUTS!C604</f>
        <v>0.89858107111735963</v>
      </c>
      <c r="D36" s="572">
        <f>RAW_DATA_INPUTS!D604</f>
        <v>0.90799270299750101</v>
      </c>
      <c r="E36" s="572">
        <f>RAW_DATA_INPUTS!E604</f>
        <v>0.88819457544698066</v>
      </c>
      <c r="F36" s="572">
        <f>Data_selected_by_user_testing!E171</f>
        <v>0.75923142968332979</v>
      </c>
      <c r="G36" s="572">
        <f>Data_selected_by_user_testing!F171</f>
        <v>0.81147689295313175</v>
      </c>
      <c r="H36" s="572">
        <f>Data_selected_by_user_testing!G171</f>
        <v>0.78554937729652385</v>
      </c>
    </row>
    <row r="37" spans="1:11">
      <c r="B37" s="666" t="str">
        <f>Outputs_for_conversion_rates!B31</f>
        <v>Music</v>
      </c>
      <c r="C37" s="572">
        <f>RAW_DATA_INPUTS!C605</f>
        <v>0.91065630269225628</v>
      </c>
      <c r="D37" s="572">
        <f>RAW_DATA_INPUTS!D605</f>
        <v>0.95760869565217399</v>
      </c>
      <c r="E37" s="572">
        <f>RAW_DATA_INPUTS!E605</f>
        <v>0.88700740364443686</v>
      </c>
      <c r="F37" s="572">
        <f>Data_selected_by_user_testing!E172</f>
        <v>0.77350005997423954</v>
      </c>
      <c r="G37" s="572">
        <f>Data_selected_by_user_testing!F172</f>
        <v>0.75446035404139244</v>
      </c>
      <c r="H37" s="572">
        <f>Data_selected_by_user_testing!G172</f>
        <v>0.86061995948476855</v>
      </c>
    </row>
    <row r="38" spans="1:11">
      <c r="B38" s="666" t="str">
        <f>Outputs_for_conversion_rates!B32</f>
        <v>Others</v>
      </c>
      <c r="C38" s="572">
        <f>RAW_DATA_INPUTS!C606</f>
        <v>0.92519845146076363</v>
      </c>
      <c r="D38" s="572">
        <f>RAW_DATA_INPUTS!D606</f>
        <v>0.92422541861901131</v>
      </c>
      <c r="E38" s="572">
        <f>RAW_DATA_INPUTS!E606</f>
        <v>0.95505351899213786</v>
      </c>
      <c r="F38" s="572">
        <f>Data_selected_by_user_testing!E173</f>
        <v>0.80180898998683592</v>
      </c>
      <c r="G38" s="572">
        <f>Data_selected_by_user_testing!F173</f>
        <v>0.76407131645361848</v>
      </c>
      <c r="H38" s="572">
        <f>Data_selected_by_user_testing!G173</f>
        <v>0.74805910517103968</v>
      </c>
    </row>
    <row r="39" spans="1:11">
      <c r="B39" s="666" t="str">
        <f>Outputs_for_conversion_rates!B33</f>
        <v>Physical Education</v>
      </c>
      <c r="C39" s="572">
        <f>RAW_DATA_INPUTS!C607</f>
        <v>0.9635158761564393</v>
      </c>
      <c r="D39" s="572">
        <f>RAW_DATA_INPUTS!D607</f>
        <v>0.95598894910532395</v>
      </c>
      <c r="E39" s="572">
        <f>RAW_DATA_INPUTS!E607</f>
        <v>0.94858407735876904</v>
      </c>
      <c r="F39" s="572">
        <f>Data_selected_by_user_testing!E174</f>
        <v>0.76424549625189808</v>
      </c>
      <c r="G39" s="572">
        <f>Data_selected_by_user_testing!F174</f>
        <v>0.81914003264322566</v>
      </c>
      <c r="H39" s="572">
        <f>Data_selected_by_user_testing!G174</f>
        <v>0.78379963141424902</v>
      </c>
    </row>
    <row r="40" spans="1:11">
      <c r="B40" s="666" t="str">
        <f>Outputs_for_conversion_rates!B34</f>
        <v>Physics</v>
      </c>
      <c r="C40" s="572">
        <f>RAW_DATA_INPUTS!C608</f>
        <v>0.80051667151147754</v>
      </c>
      <c r="D40" s="572">
        <f>RAW_DATA_INPUTS!D608</f>
        <v>0.88606768870386043</v>
      </c>
      <c r="E40" s="572">
        <f>RAW_DATA_INPUTS!E608</f>
        <v>0.81635289774824649</v>
      </c>
      <c r="F40" s="572">
        <f>Data_selected_by_user_testing!E175</f>
        <v>0.76948776337607572</v>
      </c>
      <c r="G40" s="572">
        <f>Data_selected_by_user_testing!F175</f>
        <v>0.87966203703703705</v>
      </c>
      <c r="H40" s="572">
        <f>Data_selected_by_user_testing!G175</f>
        <v>0.7989060464156249</v>
      </c>
    </row>
    <row r="41" spans="1:11">
      <c r="B41" s="666" t="str">
        <f>Outputs_for_conversion_rates!B35</f>
        <v>Religious Education</v>
      </c>
      <c r="C41" s="572">
        <f>RAW_DATA_INPUTS!C610</f>
        <v>0.90579384978553068</v>
      </c>
      <c r="D41" s="572">
        <f>RAW_DATA_INPUTS!D610</f>
        <v>0.90598127224887792</v>
      </c>
      <c r="E41" s="572">
        <f>RAW_DATA_INPUTS!E610</f>
        <v>0.88969404186795487</v>
      </c>
      <c r="F41" s="572">
        <f>Data_selected_by_user_testing!E176</f>
        <v>0.7969153583351698</v>
      </c>
      <c r="G41" s="572">
        <f>Data_selected_by_user_testing!F176</f>
        <v>0.86198100407055644</v>
      </c>
      <c r="H41" s="572">
        <f>Data_selected_by_user_testing!G176</f>
        <v>0.85690883190883183</v>
      </c>
    </row>
    <row r="42" spans="1:11">
      <c r="A42" s="302"/>
      <c r="C42" s="664"/>
      <c r="D42" s="664"/>
      <c r="E42" s="664"/>
      <c r="F42" s="665"/>
      <c r="G42" s="665"/>
      <c r="H42" s="665"/>
      <c r="I42" s="665"/>
      <c r="J42" s="665"/>
      <c r="K42" s="665"/>
    </row>
    <row r="43" spans="1:11" ht="15">
      <c r="B43" s="587" t="s">
        <v>1621</v>
      </c>
    </row>
    <row r="44" spans="1:11">
      <c r="B44" s="586" t="s">
        <v>699</v>
      </c>
      <c r="C44" s="586" t="s">
        <v>698</v>
      </c>
      <c r="D44" s="586"/>
      <c r="E44" s="586" t="s">
        <v>697</v>
      </c>
    </row>
    <row r="45" spans="1:11" ht="15">
      <c r="B45" s="585" t="s">
        <v>695</v>
      </c>
      <c r="C45" s="584" t="s">
        <v>696</v>
      </c>
      <c r="D45" s="583"/>
      <c r="E45" s="663">
        <f>RAW_DATA_INPUTS!E615</f>
        <v>0.44327800983255095</v>
      </c>
    </row>
    <row r="46" spans="1:11" ht="15">
      <c r="B46" s="585" t="s">
        <v>695</v>
      </c>
      <c r="C46" s="584" t="s">
        <v>694</v>
      </c>
      <c r="D46" s="583"/>
      <c r="E46" s="663">
        <f>RAW_DATA_INPUTS!E616</f>
        <v>0.11300040660924851</v>
      </c>
    </row>
    <row r="47" spans="1:11" ht="15">
      <c r="B47" s="582" t="s">
        <v>807</v>
      </c>
      <c r="C47" s="581"/>
      <c r="D47" s="580"/>
      <c r="E47" s="663">
        <f>RAW_DATA_INPUTS!E617</f>
        <v>0.27612464421690758</v>
      </c>
      <c r="F47" s="183">
        <f>E45+E46+E49</f>
        <v>1</v>
      </c>
      <c r="I47" s="183"/>
      <c r="J47" s="183"/>
    </row>
    <row r="48" spans="1:11" ht="15">
      <c r="B48" s="577" t="s">
        <v>692</v>
      </c>
      <c r="C48" s="576"/>
      <c r="D48" s="1"/>
      <c r="E48" s="663">
        <f>RAW_DATA_INPUTS!E618</f>
        <v>0.11677078327727054</v>
      </c>
    </row>
    <row r="49" spans="2:17" ht="15">
      <c r="B49" s="574" t="s">
        <v>691</v>
      </c>
      <c r="C49" s="573"/>
      <c r="D49" s="573"/>
      <c r="E49" s="663">
        <f>RAW_DATA_INPUTS!E620</f>
        <v>0.44372158355820057</v>
      </c>
    </row>
    <row r="51" spans="2:17">
      <c r="B51" s="75"/>
    </row>
    <row r="52" spans="2:17" ht="15.75">
      <c r="B52" s="77" t="s">
        <v>1093</v>
      </c>
    </row>
    <row r="54" spans="2:17">
      <c r="B54" s="8" t="str">
        <f>Outputs_for_conversion_rates!B15</f>
        <v>Subject</v>
      </c>
      <c r="C54" s="8" t="str">
        <f>Outputs_for_conversion_rates!C15</f>
        <v>2019/20</v>
      </c>
      <c r="D54" s="8" t="str">
        <f>Outputs_for_conversion_rates!D15</f>
        <v>2020/21</v>
      </c>
      <c r="E54" s="8" t="str">
        <f>Outputs_for_conversion_rates!E15</f>
        <v>2021/22</v>
      </c>
      <c r="F54" s="8" t="str">
        <f>Outputs_for_conversion_rates!F15</f>
        <v>2022/23</v>
      </c>
      <c r="G54" s="8" t="str">
        <f>Outputs_for_conversion_rates!G15</f>
        <v>2023/24</v>
      </c>
      <c r="H54" s="8" t="str">
        <f>Outputs_for_conversion_rates!H15</f>
        <v>2024/25</v>
      </c>
      <c r="I54" s="8" t="str">
        <f>Outputs_for_conversion_rates!I15</f>
        <v>2025/26</v>
      </c>
      <c r="J54" s="8" t="str">
        <f>Outputs_for_conversion_rates!J15</f>
        <v>2026/27</v>
      </c>
      <c r="K54" s="8" t="str">
        <f>Outputs_for_conversion_rates!K15</f>
        <v>2027/28</v>
      </c>
      <c r="L54" s="8" t="str">
        <f>Outputs_for_conversion_rates!L15</f>
        <v>2028/29</v>
      </c>
      <c r="M54" s="186"/>
      <c r="N54" s="186"/>
      <c r="O54" s="186"/>
      <c r="P54" s="186"/>
      <c r="Q54" s="186"/>
    </row>
    <row r="55" spans="2:17">
      <c r="B55" s="8" t="str">
        <f>Outputs_for_conversion_rates!B16</f>
        <v>Primary</v>
      </c>
      <c r="C55" s="317">
        <f>Outputs_for_conversion_rates!C16</f>
        <v>9790.6409836875355</v>
      </c>
      <c r="D55" s="317">
        <f>Outputs_for_conversion_rates!D16</f>
        <v>9627.3205221145017</v>
      </c>
      <c r="E55" s="317">
        <f>Outputs_for_conversion_rates!E16</f>
        <v>9512.6620248705822</v>
      </c>
      <c r="F55" s="317">
        <f>Outputs_for_conversion_rates!F16</f>
        <v>9375.9253324680703</v>
      </c>
      <c r="G55" s="317">
        <f>Outputs_for_conversion_rates!G16</f>
        <v>9226.0569209922251</v>
      </c>
      <c r="H55" s="317">
        <f>Outputs_for_conversion_rates!H16</f>
        <v>9508.2964989507891</v>
      </c>
      <c r="I55" s="317">
        <f>Outputs_for_conversion_rates!I16</f>
        <v>9736.8191905737003</v>
      </c>
      <c r="J55" s="317">
        <f>Outputs_for_conversion_rates!J16</f>
        <v>9793.3944520148962</v>
      </c>
      <c r="K55" s="317">
        <f>Outputs_for_conversion_rates!K16</f>
        <v>9740.4861129258225</v>
      </c>
      <c r="L55" s="317">
        <f>Outputs_for_conversion_rates!L16</f>
        <v>9675.8173547636488</v>
      </c>
      <c r="M55" s="186"/>
      <c r="N55" s="186"/>
      <c r="O55" s="186"/>
      <c r="P55" s="186"/>
      <c r="Q55" s="186"/>
    </row>
    <row r="56" spans="2:17">
      <c r="B56" s="8" t="str">
        <f>Outputs_for_conversion_rates!B17</f>
        <v>Art &amp; Design</v>
      </c>
      <c r="C56" s="317">
        <f>Outputs_for_conversion_rates!C17</f>
        <v>463.22514612209829</v>
      </c>
      <c r="D56" s="317">
        <f>Outputs_for_conversion_rates!D17</f>
        <v>459.41462092740761</v>
      </c>
      <c r="E56" s="317">
        <f>Outputs_for_conversion_rates!E17</f>
        <v>451.44224791266271</v>
      </c>
      <c r="F56" s="317">
        <f>Outputs_for_conversion_rates!F17</f>
        <v>441.05911771685362</v>
      </c>
      <c r="G56" s="317">
        <f>Outputs_for_conversion_rates!G17</f>
        <v>465.5087842667661</v>
      </c>
      <c r="H56" s="317">
        <f>Outputs_for_conversion_rates!H17</f>
        <v>481.40152288680207</v>
      </c>
      <c r="I56" s="317">
        <f>Outputs_for_conversion_rates!I17</f>
        <v>458.46207962760542</v>
      </c>
      <c r="J56" s="317">
        <f>Outputs_for_conversion_rates!J17</f>
        <v>444.04681920776557</v>
      </c>
      <c r="K56" s="317">
        <f>Outputs_for_conversion_rates!K17</f>
        <v>452.8885168469601</v>
      </c>
      <c r="L56" s="317">
        <f>Outputs_for_conversion_rates!L17</f>
        <v>455.76494326416343</v>
      </c>
      <c r="M56" s="186"/>
      <c r="N56" s="186"/>
      <c r="O56" s="186"/>
      <c r="P56" s="186"/>
      <c r="Q56" s="186"/>
    </row>
    <row r="57" spans="2:17">
      <c r="B57" s="8" t="str">
        <f>Outputs_for_conversion_rates!B18</f>
        <v>Biology</v>
      </c>
      <c r="C57" s="317">
        <f>Outputs_for_conversion_rates!C18</f>
        <v>825.26010289515943</v>
      </c>
      <c r="D57" s="317">
        <f>Outputs_for_conversion_rates!D18</f>
        <v>811.43913209667937</v>
      </c>
      <c r="E57" s="317">
        <f>Outputs_for_conversion_rates!E18</f>
        <v>829.02478849279612</v>
      </c>
      <c r="F57" s="317">
        <f>Outputs_for_conversion_rates!F18</f>
        <v>849.17433342891707</v>
      </c>
      <c r="G57" s="317">
        <f>Outputs_for_conversion_rates!G18</f>
        <v>864.33155281867982</v>
      </c>
      <c r="H57" s="317">
        <f>Outputs_for_conversion_rates!H18</f>
        <v>851.17844117551294</v>
      </c>
      <c r="I57" s="317">
        <f>Outputs_for_conversion_rates!I18</f>
        <v>841.33268692381114</v>
      </c>
      <c r="J57" s="317">
        <f>Outputs_for_conversion_rates!J18</f>
        <v>828.36096956644178</v>
      </c>
      <c r="K57" s="317">
        <f>Outputs_for_conversion_rates!K18</f>
        <v>807.9160949294569</v>
      </c>
      <c r="L57" s="317">
        <f>Outputs_for_conversion_rates!L18</f>
        <v>787.17604289534006</v>
      </c>
      <c r="M57" s="186"/>
      <c r="N57" s="186"/>
      <c r="O57" s="186"/>
      <c r="P57" s="186"/>
      <c r="Q57" s="186"/>
    </row>
    <row r="58" spans="2:17">
      <c r="B58" s="8" t="str">
        <f>Outputs_for_conversion_rates!B19</f>
        <v>Business Studies</v>
      </c>
      <c r="C58" s="317">
        <f>Outputs_for_conversion_rates!C19</f>
        <v>180.08929787830868</v>
      </c>
      <c r="D58" s="317">
        <f>Outputs_for_conversion_rates!D19</f>
        <v>200.67341394820545</v>
      </c>
      <c r="E58" s="317">
        <f>Outputs_for_conversion_rates!E19</f>
        <v>211.51260460162908</v>
      </c>
      <c r="F58" s="317">
        <f>Outputs_for_conversion_rates!F19</f>
        <v>225.35366003284736</v>
      </c>
      <c r="G58" s="317">
        <f>Outputs_for_conversion_rates!G19</f>
        <v>230.15619242712469</v>
      </c>
      <c r="H58" s="317">
        <f>Outputs_for_conversion_rates!H19</f>
        <v>243.75802079225102</v>
      </c>
      <c r="I58" s="317">
        <f>Outputs_for_conversion_rates!I19</f>
        <v>246.22083863631892</v>
      </c>
      <c r="J58" s="317">
        <f>Outputs_for_conversion_rates!J19</f>
        <v>246.05237002680678</v>
      </c>
      <c r="K58" s="317">
        <f>Outputs_for_conversion_rates!K19</f>
        <v>232.13735232102758</v>
      </c>
      <c r="L58" s="317">
        <f>Outputs_for_conversion_rates!L19</f>
        <v>216.75863632629506</v>
      </c>
      <c r="M58" s="186"/>
      <c r="N58" s="186"/>
      <c r="O58" s="186"/>
      <c r="P58" s="186"/>
      <c r="Q58" s="186"/>
    </row>
    <row r="59" spans="2:17">
      <c r="B59" s="8" t="str">
        <f>Outputs_for_conversion_rates!B20</f>
        <v>Chemistry</v>
      </c>
      <c r="C59" s="317">
        <f>Outputs_for_conversion_rates!C20</f>
        <v>738.11612755597241</v>
      </c>
      <c r="D59" s="317">
        <f>Outputs_for_conversion_rates!D20</f>
        <v>738.47616639511239</v>
      </c>
      <c r="E59" s="317">
        <f>Outputs_for_conversion_rates!E20</f>
        <v>753.5164975142975</v>
      </c>
      <c r="F59" s="317">
        <f>Outputs_for_conversion_rates!F20</f>
        <v>771.37450866042252</v>
      </c>
      <c r="G59" s="317">
        <f>Outputs_for_conversion_rates!G20</f>
        <v>778.08374080284068</v>
      </c>
      <c r="H59" s="317">
        <f>Outputs_for_conversion_rates!H20</f>
        <v>764.63423399965006</v>
      </c>
      <c r="I59" s="317">
        <f>Outputs_for_conversion_rates!I20</f>
        <v>758.58569728570581</v>
      </c>
      <c r="J59" s="317">
        <f>Outputs_for_conversion_rates!J20</f>
        <v>746.97196307160698</v>
      </c>
      <c r="K59" s="317">
        <f>Outputs_for_conversion_rates!K20</f>
        <v>720.81758676977017</v>
      </c>
      <c r="L59" s="317">
        <f>Outputs_for_conversion_rates!L20</f>
        <v>695.39895164606685</v>
      </c>
      <c r="M59" s="186"/>
      <c r="N59" s="186"/>
      <c r="O59" s="186"/>
      <c r="P59" s="186"/>
      <c r="Q59" s="186"/>
    </row>
    <row r="60" spans="2:17">
      <c r="B60" s="8" t="str">
        <f>Outputs_for_conversion_rates!B21</f>
        <v>Classics</v>
      </c>
      <c r="C60" s="317">
        <f>Outputs_for_conversion_rates!C21</f>
        <v>18.889823212942794</v>
      </c>
      <c r="D60" s="317">
        <f>Outputs_for_conversion_rates!D21</f>
        <v>19.221475431462139</v>
      </c>
      <c r="E60" s="317">
        <f>Outputs_for_conversion_rates!E21</f>
        <v>19.310535366663537</v>
      </c>
      <c r="F60" s="317">
        <f>Outputs_for_conversion_rates!F21</f>
        <v>19.590016655771883</v>
      </c>
      <c r="G60" s="317">
        <f>Outputs_for_conversion_rates!G21</f>
        <v>20.063793834424992</v>
      </c>
      <c r="H60" s="317">
        <f>Outputs_for_conversion_rates!H21</f>
        <v>19.928105436615212</v>
      </c>
      <c r="I60" s="317">
        <f>Outputs_for_conversion_rates!I21</f>
        <v>19.180780144264709</v>
      </c>
      <c r="J60" s="317">
        <f>Outputs_for_conversion_rates!J21</f>
        <v>18.709616989741892</v>
      </c>
      <c r="K60" s="317">
        <f>Outputs_for_conversion_rates!K21</f>
        <v>18.668273300594066</v>
      </c>
      <c r="L60" s="317">
        <f>Outputs_for_conversion_rates!L21</f>
        <v>18.524537084561373</v>
      </c>
      <c r="M60" s="186"/>
      <c r="N60" s="186"/>
      <c r="O60" s="186"/>
      <c r="P60" s="186"/>
      <c r="Q60" s="186"/>
    </row>
    <row r="61" spans="2:17">
      <c r="B61" s="8" t="str">
        <f>Outputs_for_conversion_rates!B22</f>
        <v>Computing</v>
      </c>
      <c r="C61" s="317">
        <f>Outputs_for_conversion_rates!C22</f>
        <v>436.73727312822069</v>
      </c>
      <c r="D61" s="317">
        <f>Outputs_for_conversion_rates!D22</f>
        <v>434.36128437898731</v>
      </c>
      <c r="E61" s="317">
        <f>Outputs_for_conversion_rates!E22</f>
        <v>431.36620195318523</v>
      </c>
      <c r="F61" s="317">
        <f>Outputs_for_conversion_rates!F22</f>
        <v>426.90857410477389</v>
      </c>
      <c r="G61" s="317">
        <f>Outputs_for_conversion_rates!G22</f>
        <v>445.29925756133633</v>
      </c>
      <c r="H61" s="317">
        <f>Outputs_for_conversion_rates!H22</f>
        <v>460.49690842507499</v>
      </c>
      <c r="I61" s="317">
        <f>Outputs_for_conversion_rates!I22</f>
        <v>447.92031429208743</v>
      </c>
      <c r="J61" s="317">
        <f>Outputs_for_conversion_rates!J22</f>
        <v>438.60797316642515</v>
      </c>
      <c r="K61" s="317">
        <f>Outputs_for_conversion_rates!K22</f>
        <v>439.05349760230661</v>
      </c>
      <c r="L61" s="317">
        <f>Outputs_for_conversion_rates!L22</f>
        <v>435.30259234292788</v>
      </c>
      <c r="M61" s="186"/>
      <c r="N61" s="186"/>
      <c r="O61" s="186"/>
      <c r="P61" s="186"/>
      <c r="Q61" s="186"/>
    </row>
    <row r="62" spans="2:17">
      <c r="B62" s="8" t="str">
        <f>Outputs_for_conversion_rates!B23</f>
        <v>Design &amp; Technology</v>
      </c>
      <c r="C62" s="317">
        <f>Outputs_for_conversion_rates!C23</f>
        <v>630.84209765479011</v>
      </c>
      <c r="D62" s="317">
        <f>Outputs_for_conversion_rates!D23</f>
        <v>582.29574612048805</v>
      </c>
      <c r="E62" s="317">
        <f>Outputs_for_conversion_rates!E23</f>
        <v>558.26814746645562</v>
      </c>
      <c r="F62" s="317">
        <f>Outputs_for_conversion_rates!F23</f>
        <v>530.18881806485115</v>
      </c>
      <c r="G62" s="317">
        <f>Outputs_for_conversion_rates!G23</f>
        <v>558.20055907853521</v>
      </c>
      <c r="H62" s="317">
        <f>Outputs_for_conversion_rates!H23</f>
        <v>570.2491994030554</v>
      </c>
      <c r="I62" s="317">
        <f>Outputs_for_conversion_rates!I23</f>
        <v>533.706601535657</v>
      </c>
      <c r="J62" s="317">
        <f>Outputs_for_conversion_rates!J23</f>
        <v>510.94133008103188</v>
      </c>
      <c r="K62" s="317">
        <f>Outputs_for_conversion_rates!K23</f>
        <v>528.36964712619101</v>
      </c>
      <c r="L62" s="317">
        <f>Outputs_for_conversion_rates!L23</f>
        <v>538.55788615598522</v>
      </c>
      <c r="M62" s="186"/>
      <c r="N62" s="186"/>
      <c r="O62" s="186"/>
      <c r="P62" s="186"/>
      <c r="Q62" s="186"/>
    </row>
    <row r="63" spans="2:17">
      <c r="B63" s="8" t="str">
        <f>Outputs_for_conversion_rates!B24</f>
        <v>Drama</v>
      </c>
      <c r="C63" s="317">
        <f>Outputs_for_conversion_rates!C24</f>
        <v>273.30610279669708</v>
      </c>
      <c r="D63" s="317">
        <f>Outputs_for_conversion_rates!D24</f>
        <v>257.36477451962935</v>
      </c>
      <c r="E63" s="317">
        <f>Outputs_for_conversion_rates!E24</f>
        <v>251.57112742460245</v>
      </c>
      <c r="F63" s="317">
        <f>Outputs_for_conversion_rates!F24</f>
        <v>244.02464683600425</v>
      </c>
      <c r="G63" s="317">
        <f>Outputs_for_conversion_rates!G24</f>
        <v>261.23954377211379</v>
      </c>
      <c r="H63" s="317">
        <f>Outputs_for_conversion_rates!H24</f>
        <v>271.31011564728919</v>
      </c>
      <c r="I63" s="317">
        <f>Outputs_for_conversion_rates!I24</f>
        <v>256.75370650473485</v>
      </c>
      <c r="J63" s="317">
        <f>Outputs_for_conversion_rates!J24</f>
        <v>248.61443179228587</v>
      </c>
      <c r="K63" s="317">
        <f>Outputs_for_conversion_rates!K24</f>
        <v>258.70143345264842</v>
      </c>
      <c r="L63" s="317">
        <f>Outputs_for_conversion_rates!L24</f>
        <v>264.84555136569725</v>
      </c>
      <c r="M63" s="186"/>
      <c r="N63" s="186"/>
      <c r="O63" s="186"/>
      <c r="P63" s="186"/>
      <c r="Q63" s="186"/>
    </row>
    <row r="64" spans="2:17">
      <c r="B64" s="8" t="str">
        <f>Outputs_for_conversion_rates!B25</f>
        <v>English</v>
      </c>
      <c r="C64" s="317">
        <f>Outputs_for_conversion_rates!C25</f>
        <v>1983.0324029199087</v>
      </c>
      <c r="D64" s="317">
        <f>Outputs_for_conversion_rates!D25</f>
        <v>1955.1135675063731</v>
      </c>
      <c r="E64" s="317">
        <f>Outputs_for_conversion_rates!E25</f>
        <v>1969.4202508491626</v>
      </c>
      <c r="F64" s="317">
        <f>Outputs_for_conversion_rates!F25</f>
        <v>1984.4488307151548</v>
      </c>
      <c r="G64" s="317">
        <f>Outputs_for_conversion_rates!G25</f>
        <v>2025.6481376929137</v>
      </c>
      <c r="H64" s="317">
        <f>Outputs_for_conversion_rates!H25</f>
        <v>1959.1611732627377</v>
      </c>
      <c r="I64" s="317">
        <f>Outputs_for_conversion_rates!I25</f>
        <v>1916.1395202667575</v>
      </c>
      <c r="J64" s="317">
        <f>Outputs_for_conversion_rates!J25</f>
        <v>1871.1609000691951</v>
      </c>
      <c r="K64" s="317">
        <f>Outputs_for_conversion_rates!K25</f>
        <v>1836.1214236105318</v>
      </c>
      <c r="L64" s="317">
        <f>Outputs_for_conversion_rates!L25</f>
        <v>1802.7398668064563</v>
      </c>
      <c r="M64" s="186"/>
      <c r="N64" s="186"/>
      <c r="O64" s="186"/>
      <c r="P64" s="186"/>
      <c r="Q64" s="186"/>
    </row>
    <row r="65" spans="2:17">
      <c r="B65" s="8" t="str">
        <f>Outputs_for_conversion_rates!B26</f>
        <v>Food</v>
      </c>
      <c r="C65" s="317">
        <f>Outputs_for_conversion_rates!C26</f>
        <v>129.41672978148569</v>
      </c>
      <c r="D65" s="317">
        <f>Outputs_for_conversion_rates!D26</f>
        <v>123.6958519132841</v>
      </c>
      <c r="E65" s="317">
        <f>Outputs_for_conversion_rates!E26</f>
        <v>119.91190984084812</v>
      </c>
      <c r="F65" s="317">
        <f>Outputs_for_conversion_rates!F26</f>
        <v>116.4044935629683</v>
      </c>
      <c r="G65" s="317">
        <f>Outputs_for_conversion_rates!G26</f>
        <v>117.62403652892891</v>
      </c>
      <c r="H65" s="317">
        <f>Outputs_for_conversion_rates!H26</f>
        <v>119.65906015284938</v>
      </c>
      <c r="I65" s="317">
        <f>Outputs_for_conversion_rates!I26</f>
        <v>118.24827181391019</v>
      </c>
      <c r="J65" s="317">
        <f>Outputs_for_conversion_rates!J26</f>
        <v>115.51779684126581</v>
      </c>
      <c r="K65" s="317">
        <f>Outputs_for_conversion_rates!K26</f>
        <v>109.89179932001221</v>
      </c>
      <c r="L65" s="317">
        <f>Outputs_for_conversion_rates!L26</f>
        <v>103.97126865381792</v>
      </c>
      <c r="M65" s="186"/>
      <c r="N65" s="186"/>
      <c r="O65" s="186"/>
      <c r="P65" s="186"/>
      <c r="Q65" s="186"/>
    </row>
    <row r="66" spans="2:17">
      <c r="B66" s="8" t="str">
        <f>Outputs_for_conversion_rates!B27</f>
        <v>Geography</v>
      </c>
      <c r="C66" s="317">
        <f>Outputs_for_conversion_rates!C27</f>
        <v>869.1298848553588</v>
      </c>
      <c r="D66" s="317">
        <f>Outputs_for_conversion_rates!D27</f>
        <v>816.98644756492649</v>
      </c>
      <c r="E66" s="317">
        <f>Outputs_for_conversion_rates!E27</f>
        <v>824.47295774849272</v>
      </c>
      <c r="F66" s="317">
        <f>Outputs_for_conversion_rates!F27</f>
        <v>827.84625405171744</v>
      </c>
      <c r="G66" s="317">
        <f>Outputs_for_conversion_rates!G27</f>
        <v>886.95757172673848</v>
      </c>
      <c r="H66" s="317">
        <f>Outputs_for_conversion_rates!H27</f>
        <v>844.76765341445252</v>
      </c>
      <c r="I66" s="317">
        <f>Outputs_for_conversion_rates!I27</f>
        <v>790.62473790915931</v>
      </c>
      <c r="J66" s="317">
        <f>Outputs_for_conversion_rates!J27</f>
        <v>753.01898044770996</v>
      </c>
      <c r="K66" s="317">
        <f>Outputs_for_conversion_rates!K27</f>
        <v>769.78769796096628</v>
      </c>
      <c r="L66" s="317">
        <f>Outputs_for_conversion_rates!L27</f>
        <v>781.98738727822081</v>
      </c>
      <c r="M66" s="186"/>
      <c r="N66" s="186"/>
      <c r="O66" s="186"/>
      <c r="P66" s="186"/>
      <c r="Q66" s="186"/>
    </row>
    <row r="67" spans="2:17">
      <c r="B67" s="8" t="str">
        <f>Outputs_for_conversion_rates!B28</f>
        <v>History</v>
      </c>
      <c r="C67" s="317">
        <f>Outputs_for_conversion_rates!C28</f>
        <v>953.42025767244536</v>
      </c>
      <c r="D67" s="317">
        <f>Outputs_for_conversion_rates!D28</f>
        <v>905.81107662022748</v>
      </c>
      <c r="E67" s="317">
        <f>Outputs_for_conversion_rates!E28</f>
        <v>916.23256275002973</v>
      </c>
      <c r="F67" s="317">
        <f>Outputs_for_conversion_rates!F28</f>
        <v>923.37353073922179</v>
      </c>
      <c r="G67" s="317">
        <f>Outputs_for_conversion_rates!G28</f>
        <v>983.52753670863228</v>
      </c>
      <c r="H67" s="317">
        <f>Outputs_for_conversion_rates!H28</f>
        <v>942.48527425849863</v>
      </c>
      <c r="I67" s="317">
        <f>Outputs_for_conversion_rates!I28</f>
        <v>886.6569159777107</v>
      </c>
      <c r="J67" s="317">
        <f>Outputs_for_conversion_rates!J28</f>
        <v>847.82026785990683</v>
      </c>
      <c r="K67" s="317">
        <f>Outputs_for_conversion_rates!K28</f>
        <v>862.38984394446607</v>
      </c>
      <c r="L67" s="317">
        <f>Outputs_for_conversion_rates!L28</f>
        <v>872.06586025971774</v>
      </c>
      <c r="M67" s="186"/>
      <c r="N67" s="186"/>
      <c r="O67" s="186"/>
      <c r="P67" s="186"/>
      <c r="Q67" s="186"/>
    </row>
    <row r="68" spans="2:17">
      <c r="B68" s="8" t="str">
        <f>Outputs_for_conversion_rates!B29</f>
        <v>Mathematics</v>
      </c>
      <c r="C68" s="317">
        <f>Outputs_for_conversion_rates!C29</f>
        <v>2269.9565493379673</v>
      </c>
      <c r="D68" s="317">
        <f>Outputs_for_conversion_rates!D29</f>
        <v>2163.7628416228699</v>
      </c>
      <c r="E68" s="317">
        <f>Outputs_for_conversion_rates!E29</f>
        <v>2176.9303585176208</v>
      </c>
      <c r="F68" s="317">
        <f>Outputs_for_conversion_rates!F29</f>
        <v>2191.9864530999248</v>
      </c>
      <c r="G68" s="317">
        <f>Outputs_for_conversion_rates!G29</f>
        <v>2233.8402118787094</v>
      </c>
      <c r="H68" s="317">
        <f>Outputs_for_conversion_rates!H29</f>
        <v>2170.7043602806475</v>
      </c>
      <c r="I68" s="317">
        <f>Outputs_for_conversion_rates!I29</f>
        <v>2114.6915201586789</v>
      </c>
      <c r="J68" s="317">
        <f>Outputs_for_conversion_rates!J29</f>
        <v>2062.1767067245046</v>
      </c>
      <c r="K68" s="317">
        <f>Outputs_for_conversion_rates!K29</f>
        <v>2027.9899144051142</v>
      </c>
      <c r="L68" s="317">
        <f>Outputs_for_conversion_rates!L29</f>
        <v>1993.5843790180975</v>
      </c>
      <c r="M68" s="186"/>
      <c r="N68" s="186"/>
      <c r="O68" s="186"/>
      <c r="P68" s="186"/>
      <c r="Q68" s="186"/>
    </row>
    <row r="69" spans="2:17">
      <c r="B69" s="8" t="str">
        <f>Outputs_for_conversion_rates!B30</f>
        <v>Modern Foreign Languages</v>
      </c>
      <c r="C69" s="317">
        <f>Outputs_for_conversion_rates!C30</f>
        <v>1112.6771773555456</v>
      </c>
      <c r="D69" s="317">
        <f>Outputs_for_conversion_rates!D30</f>
        <v>1254.7279817656106</v>
      </c>
      <c r="E69" s="317">
        <f>Outputs_for_conversion_rates!E30</f>
        <v>1467.472227566996</v>
      </c>
      <c r="F69" s="317">
        <f>Outputs_for_conversion_rates!F30</f>
        <v>1686.2611857086372</v>
      </c>
      <c r="G69" s="317">
        <f>Outputs_for_conversion_rates!G30</f>
        <v>1719.0531120198116</v>
      </c>
      <c r="H69" s="317">
        <f>Outputs_for_conversion_rates!H30</f>
        <v>1099.5925514652083</v>
      </c>
      <c r="I69" s="317">
        <f>Outputs_for_conversion_rates!I30</f>
        <v>961.02433439243873</v>
      </c>
      <c r="J69" s="317">
        <f>Outputs_for_conversion_rates!J30</f>
        <v>857.16346157094813</v>
      </c>
      <c r="K69" s="317">
        <f>Outputs_for_conversion_rates!K30</f>
        <v>870.33990934760232</v>
      </c>
      <c r="L69" s="317">
        <f>Outputs_for_conversion_rates!L30</f>
        <v>937.40064402055464</v>
      </c>
      <c r="M69" s="186"/>
      <c r="N69" s="186"/>
      <c r="O69" s="186"/>
      <c r="P69" s="186"/>
      <c r="Q69" s="186"/>
    </row>
    <row r="70" spans="2:17">
      <c r="B70" s="8" t="str">
        <f>Outputs_for_conversion_rates!B31</f>
        <v>Music</v>
      </c>
      <c r="C70" s="317">
        <f>Outputs_for_conversion_rates!C31</f>
        <v>299.88936712799875</v>
      </c>
      <c r="D70" s="317">
        <f>Outputs_for_conversion_rates!D31</f>
        <v>272.36691700125988</v>
      </c>
      <c r="E70" s="317">
        <f>Outputs_for_conversion_rates!E31</f>
        <v>263.14066136035314</v>
      </c>
      <c r="F70" s="317">
        <f>Outputs_for_conversion_rates!F31</f>
        <v>250.90986054026644</v>
      </c>
      <c r="G70" s="317">
        <f>Outputs_for_conversion_rates!G31</f>
        <v>271.13132891746432</v>
      </c>
      <c r="H70" s="317">
        <f>Outputs_for_conversion_rates!H31</f>
        <v>280.42225526882777</v>
      </c>
      <c r="I70" s="317">
        <f>Outputs_for_conversion_rates!I31</f>
        <v>260.28528487424495</v>
      </c>
      <c r="J70" s="317">
        <f>Outputs_for_conversion_rates!J31</f>
        <v>249.51546122415283</v>
      </c>
      <c r="K70" s="317">
        <f>Outputs_for_conversion_rates!K31</f>
        <v>265.92044614415823</v>
      </c>
      <c r="L70" s="317">
        <f>Outputs_for_conversion_rates!L31</f>
        <v>277.58342758344736</v>
      </c>
      <c r="M70" s="186"/>
      <c r="N70" s="186"/>
      <c r="O70" s="186"/>
      <c r="P70" s="186"/>
      <c r="Q70" s="186"/>
    </row>
    <row r="71" spans="2:17">
      <c r="B71" s="8" t="str">
        <f>Outputs_for_conversion_rates!B32</f>
        <v>Others</v>
      </c>
      <c r="C71" s="317">
        <f>Outputs_for_conversion_rates!C32</f>
        <v>649.9789608106579</v>
      </c>
      <c r="D71" s="317">
        <f>Outputs_for_conversion_rates!D32</f>
        <v>708.3540203491774</v>
      </c>
      <c r="E71" s="317">
        <f>Outputs_for_conversion_rates!E32</f>
        <v>726.65135625973221</v>
      </c>
      <c r="F71" s="317">
        <f>Outputs_for_conversion_rates!F32</f>
        <v>751.87791220342638</v>
      </c>
      <c r="G71" s="317">
        <f>Outputs_for_conversion_rates!G32</f>
        <v>784.4754154282449</v>
      </c>
      <c r="H71" s="317">
        <f>Outputs_for_conversion_rates!H32</f>
        <v>829.51547600921594</v>
      </c>
      <c r="I71" s="317">
        <f>Outputs_for_conversion_rates!I32</f>
        <v>807.09584721466456</v>
      </c>
      <c r="J71" s="317">
        <f>Outputs_for_conversion_rates!J32</f>
        <v>795.4031444967045</v>
      </c>
      <c r="K71" s="317">
        <f>Outputs_for_conversion_rates!K32</f>
        <v>789.95079521781236</v>
      </c>
      <c r="L71" s="317">
        <f>Outputs_for_conversion_rates!L32</f>
        <v>774.441667657484</v>
      </c>
      <c r="M71" s="186"/>
      <c r="N71" s="186"/>
      <c r="O71" s="186"/>
      <c r="P71" s="186"/>
      <c r="Q71" s="186"/>
    </row>
    <row r="72" spans="2:17">
      <c r="B72" s="8" t="str">
        <f>Outputs_for_conversion_rates!B33</f>
        <v>Physical Education</v>
      </c>
      <c r="C72" s="317">
        <f>Outputs_for_conversion_rates!C33</f>
        <v>803.10381867633089</v>
      </c>
      <c r="D72" s="317">
        <f>Outputs_for_conversion_rates!D33</f>
        <v>777.42176143743313</v>
      </c>
      <c r="E72" s="317">
        <f>Outputs_for_conversion_rates!E33</f>
        <v>763.65699232154714</v>
      </c>
      <c r="F72" s="317">
        <f>Outputs_for_conversion_rates!F33</f>
        <v>746.00587572395136</v>
      </c>
      <c r="G72" s="317">
        <f>Outputs_for_conversion_rates!G33</f>
        <v>795.14995909860158</v>
      </c>
      <c r="H72" s="317">
        <f>Outputs_for_conversion_rates!H33</f>
        <v>830.83442210567284</v>
      </c>
      <c r="I72" s="317">
        <f>Outputs_for_conversion_rates!I33</f>
        <v>807.01098979128665</v>
      </c>
      <c r="J72" s="317">
        <f>Outputs_for_conversion_rates!J33</f>
        <v>789.14591093753279</v>
      </c>
      <c r="K72" s="317">
        <f>Outputs_for_conversion_rates!K33</f>
        <v>795.2774029112004</v>
      </c>
      <c r="L72" s="317">
        <f>Outputs_for_conversion_rates!L33</f>
        <v>791.9789329960995</v>
      </c>
      <c r="M72" s="186"/>
      <c r="N72" s="186"/>
      <c r="O72" s="186"/>
      <c r="P72" s="186"/>
      <c r="Q72" s="186"/>
    </row>
    <row r="73" spans="2:17">
      <c r="B73" s="8" t="str">
        <f>Outputs_for_conversion_rates!B34</f>
        <v>Physics</v>
      </c>
      <c r="C73" s="317">
        <f>Outputs_for_conversion_rates!C34</f>
        <v>793.06509349987061</v>
      </c>
      <c r="D73" s="317">
        <f>Outputs_for_conversion_rates!D34</f>
        <v>747.69398618158937</v>
      </c>
      <c r="E73" s="317">
        <f>Outputs_for_conversion_rates!E34</f>
        <v>760.13648260680679</v>
      </c>
      <c r="F73" s="317">
        <f>Outputs_for_conversion_rates!F34</f>
        <v>774.80612491957174</v>
      </c>
      <c r="G73" s="317">
        <f>Outputs_for_conversion_rates!G34</f>
        <v>779.55230629598213</v>
      </c>
      <c r="H73" s="317">
        <f>Outputs_for_conversion_rates!H34</f>
        <v>762.60844391077467</v>
      </c>
      <c r="I73" s="317">
        <f>Outputs_for_conversion_rates!I34</f>
        <v>755.96439649572631</v>
      </c>
      <c r="J73" s="317">
        <f>Outputs_for_conversion_rates!J34</f>
        <v>743.24719791268149</v>
      </c>
      <c r="K73" s="317">
        <f>Outputs_for_conversion_rates!K34</f>
        <v>715.86650313144787</v>
      </c>
      <c r="L73" s="317">
        <f>Outputs_for_conversion_rates!L34</f>
        <v>689.74399886621029</v>
      </c>
      <c r="M73" s="186"/>
      <c r="N73" s="186"/>
      <c r="O73" s="186"/>
      <c r="P73" s="186"/>
      <c r="Q73" s="186"/>
    </row>
    <row r="74" spans="2:17">
      <c r="B74" s="8" t="str">
        <f>Outputs_for_conversion_rates!B35</f>
        <v>Religious Education</v>
      </c>
      <c r="C74" s="317">
        <f>Outputs_for_conversion_rates!C35</f>
        <v>423.39068000331804</v>
      </c>
      <c r="D74" s="317">
        <f>Outputs_for_conversion_rates!D35</f>
        <v>391.21282156880108</v>
      </c>
      <c r="E74" s="317">
        <f>Outputs_for_conversion_rates!E35</f>
        <v>381.19106001002734</v>
      </c>
      <c r="F74" s="317">
        <f>Outputs_for_conversion_rates!F35</f>
        <v>369.93799812591772</v>
      </c>
      <c r="G74" s="317">
        <f>Outputs_for_conversion_rates!G35</f>
        <v>388.35225237429933</v>
      </c>
      <c r="H74" s="317">
        <f>Outputs_for_conversion_rates!H35</f>
        <v>401.32883460362666</v>
      </c>
      <c r="I74" s="317">
        <f>Outputs_for_conversion_rates!I35</f>
        <v>386.22973322551672</v>
      </c>
      <c r="J74" s="317">
        <f>Outputs_for_conversion_rates!J35</f>
        <v>375.23411367412831</v>
      </c>
      <c r="K74" s="317">
        <f>Outputs_for_conversion_rates!K35</f>
        <v>377.14421450491545</v>
      </c>
      <c r="L74" s="317">
        <f>Outputs_for_conversion_rates!L35</f>
        <v>374.89247979176423</v>
      </c>
      <c r="M74" s="186"/>
      <c r="N74" s="186"/>
      <c r="O74" s="186"/>
      <c r="P74" s="186"/>
      <c r="Q74" s="186"/>
    </row>
    <row r="75" spans="2:17">
      <c r="B75" s="8" t="str">
        <f>Outputs_for_conversion_rates!B36</f>
        <v>Total</v>
      </c>
      <c r="C75" s="317">
        <f>Outputs_for_conversion_rates!C36</f>
        <v>23644.167876972613</v>
      </c>
      <c r="D75" s="317">
        <f>Outputs_for_conversion_rates!D36</f>
        <v>23247.714409464017</v>
      </c>
      <c r="E75" s="317">
        <f>Outputs_for_conversion_rates!E36</f>
        <v>23387.890995434489</v>
      </c>
      <c r="F75" s="317">
        <f>Outputs_for_conversion_rates!F36</f>
        <v>23507.457527359271</v>
      </c>
      <c r="G75" s="317">
        <f>Outputs_for_conversion_rates!G36</f>
        <v>23834.252214224369</v>
      </c>
      <c r="H75" s="317">
        <f>Outputs_for_conversion_rates!H36</f>
        <v>23412.332551449552</v>
      </c>
      <c r="I75" s="317">
        <f>Outputs_for_conversion_rates!I36</f>
        <v>23102.953447643977</v>
      </c>
      <c r="J75" s="317">
        <f>Outputs_for_conversion_rates!J36</f>
        <v>22735.103867675731</v>
      </c>
      <c r="K75" s="317">
        <f>Outputs_for_conversion_rates!K36</f>
        <v>22619.71846577301</v>
      </c>
      <c r="L75" s="317">
        <f>Outputs_for_conversion_rates!L36</f>
        <v>22488.536408776556</v>
      </c>
      <c r="M75" s="186"/>
      <c r="N75" s="186"/>
      <c r="O75" s="186"/>
      <c r="P75" s="186"/>
      <c r="Q75" s="186"/>
    </row>
    <row r="77" spans="2:17" ht="15.75">
      <c r="B77" s="713" t="s">
        <v>1095</v>
      </c>
      <c r="C77" s="707"/>
      <c r="D77" s="707"/>
      <c r="E77" s="707"/>
      <c r="F77" s="707"/>
      <c r="G77" s="707"/>
      <c r="H77" s="707"/>
      <c r="I77" s="707"/>
      <c r="J77" s="708"/>
      <c r="K77" s="707"/>
      <c r="L77" s="707"/>
    </row>
    <row r="78" spans="2:17" ht="15.75">
      <c r="B78" s="713"/>
      <c r="C78" s="707"/>
      <c r="D78" s="707"/>
      <c r="E78" s="707"/>
      <c r="F78" s="707"/>
      <c r="G78" s="707"/>
      <c r="H78" s="707"/>
      <c r="I78" s="707"/>
      <c r="J78" s="707"/>
      <c r="K78" s="707"/>
      <c r="L78" s="707"/>
    </row>
    <row r="79" spans="2:17">
      <c r="B79" s="702" t="s">
        <v>1094</v>
      </c>
      <c r="C79" s="707"/>
      <c r="D79" s="707"/>
      <c r="E79" s="707"/>
      <c r="F79" s="707"/>
      <c r="G79" s="707"/>
      <c r="H79" s="707"/>
      <c r="I79" s="707"/>
      <c r="J79" s="707"/>
      <c r="K79" s="707"/>
      <c r="L79" s="707"/>
    </row>
    <row r="81" spans="2:12">
      <c r="B81" s="719" t="str">
        <f>B54</f>
        <v>Subject</v>
      </c>
      <c r="C81" s="8" t="str">
        <f>Calc_long_term_NQT_entrants!C66</f>
        <v>2018/19</v>
      </c>
      <c r="D81" s="8" t="str">
        <f>C54</f>
        <v>2019/20</v>
      </c>
      <c r="E81" s="8" t="str">
        <f t="shared" ref="E81:L81" si="0">D54</f>
        <v>2020/21</v>
      </c>
      <c r="F81" s="8" t="str">
        <f t="shared" si="0"/>
        <v>2021/22</v>
      </c>
      <c r="G81" s="8" t="str">
        <f t="shared" si="0"/>
        <v>2022/23</v>
      </c>
      <c r="H81" s="8" t="str">
        <f t="shared" si="0"/>
        <v>2023/24</v>
      </c>
      <c r="I81" s="8" t="str">
        <f t="shared" si="0"/>
        <v>2024/25</v>
      </c>
      <c r="J81" s="8" t="str">
        <f t="shared" si="0"/>
        <v>2025/26</v>
      </c>
      <c r="K81" s="8" t="str">
        <f t="shared" si="0"/>
        <v>2026/27</v>
      </c>
      <c r="L81" s="8" t="str">
        <f t="shared" si="0"/>
        <v>2027/28</v>
      </c>
    </row>
    <row r="82" spans="2:12">
      <c r="B82" s="719" t="str">
        <f t="shared" ref="B82:B101" si="1">B55</f>
        <v>Primary</v>
      </c>
      <c r="C82" s="715">
        <f t="shared" ref="C82:C101" si="2">C22</f>
        <v>0.89832735746064807</v>
      </c>
      <c r="D82" s="716">
        <f>C82</f>
        <v>0.89832735746064807</v>
      </c>
      <c r="E82" s="716">
        <f t="shared" ref="E82:L82" si="3">D82</f>
        <v>0.89832735746064807</v>
      </c>
      <c r="F82" s="716">
        <f t="shared" si="3"/>
        <v>0.89832735746064807</v>
      </c>
      <c r="G82" s="716">
        <f t="shared" si="3"/>
        <v>0.89832735746064807</v>
      </c>
      <c r="H82" s="716">
        <f t="shared" si="3"/>
        <v>0.89832735746064807</v>
      </c>
      <c r="I82" s="716">
        <f t="shared" si="3"/>
        <v>0.89832735746064807</v>
      </c>
      <c r="J82" s="716">
        <f t="shared" si="3"/>
        <v>0.89832735746064807</v>
      </c>
      <c r="K82" s="716">
        <f t="shared" si="3"/>
        <v>0.89832735746064807</v>
      </c>
      <c r="L82" s="716">
        <f t="shared" si="3"/>
        <v>0.89832735746064807</v>
      </c>
    </row>
    <row r="83" spans="2:12">
      <c r="B83" s="719" t="str">
        <f t="shared" si="1"/>
        <v>Art &amp; Design</v>
      </c>
      <c r="C83" s="715">
        <f t="shared" si="2"/>
        <v>0.91954038144754402</v>
      </c>
      <c r="D83" s="716">
        <f t="shared" ref="D83:L101" si="4">C83</f>
        <v>0.91954038144754402</v>
      </c>
      <c r="E83" s="716">
        <f t="shared" si="4"/>
        <v>0.91954038144754402</v>
      </c>
      <c r="F83" s="716">
        <f t="shared" si="4"/>
        <v>0.91954038144754402</v>
      </c>
      <c r="G83" s="716">
        <f t="shared" si="4"/>
        <v>0.91954038144754402</v>
      </c>
      <c r="H83" s="716">
        <f t="shared" si="4"/>
        <v>0.91954038144754402</v>
      </c>
      <c r="I83" s="716">
        <f t="shared" si="4"/>
        <v>0.91954038144754402</v>
      </c>
      <c r="J83" s="716">
        <f t="shared" si="4"/>
        <v>0.91954038144754402</v>
      </c>
      <c r="K83" s="716">
        <f t="shared" si="4"/>
        <v>0.91954038144754402</v>
      </c>
      <c r="L83" s="716">
        <f t="shared" si="4"/>
        <v>0.91954038144754402</v>
      </c>
    </row>
    <row r="84" spans="2:12">
      <c r="B84" s="719" t="str">
        <f t="shared" si="1"/>
        <v>Biology</v>
      </c>
      <c r="C84" s="715">
        <f t="shared" si="2"/>
        <v>0.90019838046260814</v>
      </c>
      <c r="D84" s="716">
        <f t="shared" si="4"/>
        <v>0.90019838046260814</v>
      </c>
      <c r="E84" s="716">
        <f t="shared" si="4"/>
        <v>0.90019838046260814</v>
      </c>
      <c r="F84" s="716">
        <f t="shared" si="4"/>
        <v>0.90019838046260814</v>
      </c>
      <c r="G84" s="716">
        <f t="shared" si="4"/>
        <v>0.90019838046260814</v>
      </c>
      <c r="H84" s="716">
        <f t="shared" si="4"/>
        <v>0.90019838046260814</v>
      </c>
      <c r="I84" s="716">
        <f t="shared" si="4"/>
        <v>0.90019838046260814</v>
      </c>
      <c r="J84" s="716">
        <f t="shared" si="4"/>
        <v>0.90019838046260814</v>
      </c>
      <c r="K84" s="716">
        <f t="shared" si="4"/>
        <v>0.90019838046260814</v>
      </c>
      <c r="L84" s="716">
        <f t="shared" si="4"/>
        <v>0.90019838046260814</v>
      </c>
    </row>
    <row r="85" spans="2:12">
      <c r="B85" s="719" t="str">
        <f t="shared" si="1"/>
        <v>Business Studies</v>
      </c>
      <c r="C85" s="715">
        <f t="shared" si="2"/>
        <v>0.90708818381036838</v>
      </c>
      <c r="D85" s="716">
        <f t="shared" si="4"/>
        <v>0.90708818381036838</v>
      </c>
      <c r="E85" s="716">
        <f t="shared" si="4"/>
        <v>0.90708818381036838</v>
      </c>
      <c r="F85" s="716">
        <f t="shared" si="4"/>
        <v>0.90708818381036838</v>
      </c>
      <c r="G85" s="716">
        <f t="shared" si="4"/>
        <v>0.90708818381036838</v>
      </c>
      <c r="H85" s="716">
        <f t="shared" si="4"/>
        <v>0.90708818381036838</v>
      </c>
      <c r="I85" s="716">
        <f t="shared" si="4"/>
        <v>0.90708818381036838</v>
      </c>
      <c r="J85" s="716">
        <f t="shared" si="4"/>
        <v>0.90708818381036838</v>
      </c>
      <c r="K85" s="716">
        <f t="shared" si="4"/>
        <v>0.90708818381036838</v>
      </c>
      <c r="L85" s="716">
        <f t="shared" si="4"/>
        <v>0.90708818381036838</v>
      </c>
    </row>
    <row r="86" spans="2:12">
      <c r="B86" s="719" t="str">
        <f t="shared" si="1"/>
        <v>Chemistry</v>
      </c>
      <c r="C86" s="715">
        <f t="shared" si="2"/>
        <v>0.86188169795821412</v>
      </c>
      <c r="D86" s="716">
        <f t="shared" si="4"/>
        <v>0.86188169795821412</v>
      </c>
      <c r="E86" s="716">
        <f t="shared" si="4"/>
        <v>0.86188169795821412</v>
      </c>
      <c r="F86" s="716">
        <f t="shared" si="4"/>
        <v>0.86188169795821412</v>
      </c>
      <c r="G86" s="716">
        <f t="shared" si="4"/>
        <v>0.86188169795821412</v>
      </c>
      <c r="H86" s="716">
        <f t="shared" si="4"/>
        <v>0.86188169795821412</v>
      </c>
      <c r="I86" s="716">
        <f t="shared" si="4"/>
        <v>0.86188169795821412</v>
      </c>
      <c r="J86" s="716">
        <f t="shared" si="4"/>
        <v>0.86188169795821412</v>
      </c>
      <c r="K86" s="716">
        <f t="shared" si="4"/>
        <v>0.86188169795821412</v>
      </c>
      <c r="L86" s="716">
        <f t="shared" si="4"/>
        <v>0.86188169795821412</v>
      </c>
    </row>
    <row r="87" spans="2:12">
      <c r="B87" s="719" t="str">
        <f t="shared" si="1"/>
        <v>Classics</v>
      </c>
      <c r="C87" s="715">
        <f t="shared" si="2"/>
        <v>0.98709677419354847</v>
      </c>
      <c r="D87" s="716">
        <f t="shared" si="4"/>
        <v>0.98709677419354847</v>
      </c>
      <c r="E87" s="716">
        <f t="shared" si="4"/>
        <v>0.98709677419354847</v>
      </c>
      <c r="F87" s="716">
        <f t="shared" si="4"/>
        <v>0.98709677419354847</v>
      </c>
      <c r="G87" s="716">
        <f t="shared" si="4"/>
        <v>0.98709677419354847</v>
      </c>
      <c r="H87" s="716">
        <f t="shared" si="4"/>
        <v>0.98709677419354847</v>
      </c>
      <c r="I87" s="716">
        <f t="shared" si="4"/>
        <v>0.98709677419354847</v>
      </c>
      <c r="J87" s="716">
        <f t="shared" si="4"/>
        <v>0.98709677419354847</v>
      </c>
      <c r="K87" s="716">
        <f t="shared" si="4"/>
        <v>0.98709677419354847</v>
      </c>
      <c r="L87" s="716">
        <f t="shared" si="4"/>
        <v>0.98709677419354847</v>
      </c>
    </row>
    <row r="88" spans="2:12">
      <c r="B88" s="719" t="str">
        <f t="shared" si="1"/>
        <v>Computing</v>
      </c>
      <c r="C88" s="715">
        <f t="shared" si="2"/>
        <v>0.8412786229092889</v>
      </c>
      <c r="D88" s="716">
        <f t="shared" si="4"/>
        <v>0.8412786229092889</v>
      </c>
      <c r="E88" s="716">
        <f t="shared" si="4"/>
        <v>0.8412786229092889</v>
      </c>
      <c r="F88" s="716">
        <f t="shared" si="4"/>
        <v>0.8412786229092889</v>
      </c>
      <c r="G88" s="716">
        <f t="shared" si="4"/>
        <v>0.8412786229092889</v>
      </c>
      <c r="H88" s="716">
        <f t="shared" si="4"/>
        <v>0.8412786229092889</v>
      </c>
      <c r="I88" s="716">
        <f t="shared" si="4"/>
        <v>0.8412786229092889</v>
      </c>
      <c r="J88" s="716">
        <f t="shared" si="4"/>
        <v>0.8412786229092889</v>
      </c>
      <c r="K88" s="716">
        <f t="shared" si="4"/>
        <v>0.8412786229092889</v>
      </c>
      <c r="L88" s="716">
        <f t="shared" si="4"/>
        <v>0.8412786229092889</v>
      </c>
    </row>
    <row r="89" spans="2:12">
      <c r="B89" s="719" t="str">
        <f t="shared" si="1"/>
        <v>Design &amp; Technology</v>
      </c>
      <c r="C89" s="715">
        <f t="shared" si="2"/>
        <v>0.89553335331368489</v>
      </c>
      <c r="D89" s="716">
        <f t="shared" si="4"/>
        <v>0.89553335331368489</v>
      </c>
      <c r="E89" s="716">
        <f t="shared" si="4"/>
        <v>0.89553335331368489</v>
      </c>
      <c r="F89" s="716">
        <f t="shared" si="4"/>
        <v>0.89553335331368489</v>
      </c>
      <c r="G89" s="716">
        <f t="shared" si="4"/>
        <v>0.89553335331368489</v>
      </c>
      <c r="H89" s="716">
        <f t="shared" si="4"/>
        <v>0.89553335331368489</v>
      </c>
      <c r="I89" s="716">
        <f t="shared" si="4"/>
        <v>0.89553335331368489</v>
      </c>
      <c r="J89" s="716">
        <f t="shared" si="4"/>
        <v>0.89553335331368489</v>
      </c>
      <c r="K89" s="716">
        <f t="shared" si="4"/>
        <v>0.89553335331368489</v>
      </c>
      <c r="L89" s="716">
        <f t="shared" si="4"/>
        <v>0.89553335331368489</v>
      </c>
    </row>
    <row r="90" spans="2:12">
      <c r="B90" s="719" t="str">
        <f t="shared" si="1"/>
        <v>Drama</v>
      </c>
      <c r="C90" s="715">
        <f t="shared" si="2"/>
        <v>0.9569042653105484</v>
      </c>
      <c r="D90" s="716">
        <f t="shared" si="4"/>
        <v>0.9569042653105484</v>
      </c>
      <c r="E90" s="716">
        <f t="shared" si="4"/>
        <v>0.9569042653105484</v>
      </c>
      <c r="F90" s="716">
        <f t="shared" si="4"/>
        <v>0.9569042653105484</v>
      </c>
      <c r="G90" s="716">
        <f t="shared" si="4"/>
        <v>0.9569042653105484</v>
      </c>
      <c r="H90" s="716">
        <f t="shared" si="4"/>
        <v>0.9569042653105484</v>
      </c>
      <c r="I90" s="716">
        <f t="shared" si="4"/>
        <v>0.9569042653105484</v>
      </c>
      <c r="J90" s="716">
        <f t="shared" si="4"/>
        <v>0.9569042653105484</v>
      </c>
      <c r="K90" s="716">
        <f t="shared" si="4"/>
        <v>0.9569042653105484</v>
      </c>
      <c r="L90" s="716">
        <f t="shared" si="4"/>
        <v>0.9569042653105484</v>
      </c>
    </row>
    <row r="91" spans="2:12">
      <c r="B91" s="719" t="str">
        <f t="shared" si="1"/>
        <v>English</v>
      </c>
      <c r="C91" s="715">
        <f t="shared" si="2"/>
        <v>0.91216571462952123</v>
      </c>
      <c r="D91" s="716">
        <f t="shared" si="4"/>
        <v>0.91216571462952123</v>
      </c>
      <c r="E91" s="716">
        <f t="shared" si="4"/>
        <v>0.91216571462952123</v>
      </c>
      <c r="F91" s="716">
        <f t="shared" si="4"/>
        <v>0.91216571462952123</v>
      </c>
      <c r="G91" s="716">
        <f t="shared" si="4"/>
        <v>0.91216571462952123</v>
      </c>
      <c r="H91" s="716">
        <f t="shared" si="4"/>
        <v>0.91216571462952123</v>
      </c>
      <c r="I91" s="716">
        <f t="shared" si="4"/>
        <v>0.91216571462952123</v>
      </c>
      <c r="J91" s="716">
        <f t="shared" si="4"/>
        <v>0.91216571462952123</v>
      </c>
      <c r="K91" s="716">
        <f t="shared" si="4"/>
        <v>0.91216571462952123</v>
      </c>
      <c r="L91" s="716">
        <f t="shared" si="4"/>
        <v>0.91216571462952123</v>
      </c>
    </row>
    <row r="92" spans="2:12">
      <c r="B92" s="719" t="str">
        <f t="shared" si="1"/>
        <v>Food</v>
      </c>
      <c r="C92" s="715">
        <f t="shared" si="2"/>
        <v>0.79575803394257527</v>
      </c>
      <c r="D92" s="716">
        <f t="shared" si="4"/>
        <v>0.79575803394257527</v>
      </c>
      <c r="E92" s="716">
        <f t="shared" si="4"/>
        <v>0.79575803394257527</v>
      </c>
      <c r="F92" s="716">
        <f t="shared" si="4"/>
        <v>0.79575803394257527</v>
      </c>
      <c r="G92" s="716">
        <f t="shared" si="4"/>
        <v>0.79575803394257527</v>
      </c>
      <c r="H92" s="716">
        <f t="shared" si="4"/>
        <v>0.79575803394257527</v>
      </c>
      <c r="I92" s="716">
        <f t="shared" si="4"/>
        <v>0.79575803394257527</v>
      </c>
      <c r="J92" s="716">
        <f t="shared" si="4"/>
        <v>0.79575803394257527</v>
      </c>
      <c r="K92" s="716">
        <f t="shared" si="4"/>
        <v>0.79575803394257527</v>
      </c>
      <c r="L92" s="716">
        <f t="shared" si="4"/>
        <v>0.79575803394257527</v>
      </c>
    </row>
    <row r="93" spans="2:12">
      <c r="B93" s="719" t="str">
        <f t="shared" si="1"/>
        <v>Geography</v>
      </c>
      <c r="C93" s="715">
        <f t="shared" si="2"/>
        <v>0.92753012396168777</v>
      </c>
      <c r="D93" s="716">
        <f t="shared" si="4"/>
        <v>0.92753012396168777</v>
      </c>
      <c r="E93" s="716">
        <f t="shared" si="4"/>
        <v>0.92753012396168777</v>
      </c>
      <c r="F93" s="716">
        <f t="shared" si="4"/>
        <v>0.92753012396168777</v>
      </c>
      <c r="G93" s="716">
        <f t="shared" si="4"/>
        <v>0.92753012396168777</v>
      </c>
      <c r="H93" s="716">
        <f t="shared" si="4"/>
        <v>0.92753012396168777</v>
      </c>
      <c r="I93" s="716">
        <f t="shared" si="4"/>
        <v>0.92753012396168777</v>
      </c>
      <c r="J93" s="716">
        <f t="shared" si="4"/>
        <v>0.92753012396168777</v>
      </c>
      <c r="K93" s="716">
        <f t="shared" si="4"/>
        <v>0.92753012396168777</v>
      </c>
      <c r="L93" s="716">
        <f t="shared" si="4"/>
        <v>0.92753012396168777</v>
      </c>
    </row>
    <row r="94" spans="2:12">
      <c r="B94" s="719" t="str">
        <f t="shared" si="1"/>
        <v>History</v>
      </c>
      <c r="C94" s="715">
        <f t="shared" si="2"/>
        <v>0.95113235629976689</v>
      </c>
      <c r="D94" s="716">
        <f t="shared" si="4"/>
        <v>0.95113235629976689</v>
      </c>
      <c r="E94" s="716">
        <f t="shared" si="4"/>
        <v>0.95113235629976689</v>
      </c>
      <c r="F94" s="716">
        <f t="shared" si="4"/>
        <v>0.95113235629976689</v>
      </c>
      <c r="G94" s="716">
        <f t="shared" si="4"/>
        <v>0.95113235629976689</v>
      </c>
      <c r="H94" s="716">
        <f t="shared" si="4"/>
        <v>0.95113235629976689</v>
      </c>
      <c r="I94" s="716">
        <f t="shared" si="4"/>
        <v>0.95113235629976689</v>
      </c>
      <c r="J94" s="716">
        <f t="shared" si="4"/>
        <v>0.95113235629976689</v>
      </c>
      <c r="K94" s="716">
        <f t="shared" si="4"/>
        <v>0.95113235629976689</v>
      </c>
      <c r="L94" s="716">
        <f t="shared" si="4"/>
        <v>0.95113235629976689</v>
      </c>
    </row>
    <row r="95" spans="2:12">
      <c r="B95" s="719" t="str">
        <f t="shared" si="1"/>
        <v>Mathematics</v>
      </c>
      <c r="C95" s="715">
        <f t="shared" si="2"/>
        <v>0.86358549589185007</v>
      </c>
      <c r="D95" s="716">
        <f t="shared" si="4"/>
        <v>0.86358549589185007</v>
      </c>
      <c r="E95" s="716">
        <f t="shared" si="4"/>
        <v>0.86358549589185007</v>
      </c>
      <c r="F95" s="716">
        <f t="shared" si="4"/>
        <v>0.86358549589185007</v>
      </c>
      <c r="G95" s="716">
        <f t="shared" si="4"/>
        <v>0.86358549589185007</v>
      </c>
      <c r="H95" s="716">
        <f t="shared" si="4"/>
        <v>0.86358549589185007</v>
      </c>
      <c r="I95" s="716">
        <f t="shared" si="4"/>
        <v>0.86358549589185007</v>
      </c>
      <c r="J95" s="716">
        <f t="shared" si="4"/>
        <v>0.86358549589185007</v>
      </c>
      <c r="K95" s="716">
        <f t="shared" si="4"/>
        <v>0.86358549589185007</v>
      </c>
      <c r="L95" s="716">
        <f t="shared" si="4"/>
        <v>0.86358549589185007</v>
      </c>
    </row>
    <row r="96" spans="2:12">
      <c r="B96" s="719" t="str">
        <f t="shared" si="1"/>
        <v>Modern Foreign Languages</v>
      </c>
      <c r="C96" s="715">
        <f t="shared" si="2"/>
        <v>0.89858107111735963</v>
      </c>
      <c r="D96" s="716">
        <f t="shared" si="4"/>
        <v>0.89858107111735963</v>
      </c>
      <c r="E96" s="716">
        <f t="shared" si="4"/>
        <v>0.89858107111735963</v>
      </c>
      <c r="F96" s="716">
        <f t="shared" si="4"/>
        <v>0.89858107111735963</v>
      </c>
      <c r="G96" s="716">
        <f t="shared" si="4"/>
        <v>0.89858107111735963</v>
      </c>
      <c r="H96" s="716">
        <f t="shared" si="4"/>
        <v>0.89858107111735963</v>
      </c>
      <c r="I96" s="716">
        <f t="shared" si="4"/>
        <v>0.89858107111735963</v>
      </c>
      <c r="J96" s="716">
        <f t="shared" si="4"/>
        <v>0.89858107111735963</v>
      </c>
      <c r="K96" s="716">
        <f t="shared" si="4"/>
        <v>0.89858107111735963</v>
      </c>
      <c r="L96" s="716">
        <f t="shared" si="4"/>
        <v>0.89858107111735963</v>
      </c>
    </row>
    <row r="97" spans="2:12">
      <c r="B97" s="719" t="str">
        <f t="shared" si="1"/>
        <v>Music</v>
      </c>
      <c r="C97" s="715">
        <f t="shared" si="2"/>
        <v>0.91065630269225628</v>
      </c>
      <c r="D97" s="716">
        <f t="shared" si="4"/>
        <v>0.91065630269225628</v>
      </c>
      <c r="E97" s="716">
        <f t="shared" si="4"/>
        <v>0.91065630269225628</v>
      </c>
      <c r="F97" s="716">
        <f t="shared" si="4"/>
        <v>0.91065630269225628</v>
      </c>
      <c r="G97" s="716">
        <f t="shared" si="4"/>
        <v>0.91065630269225628</v>
      </c>
      <c r="H97" s="716">
        <f t="shared" si="4"/>
        <v>0.91065630269225628</v>
      </c>
      <c r="I97" s="716">
        <f t="shared" si="4"/>
        <v>0.91065630269225628</v>
      </c>
      <c r="J97" s="716">
        <f t="shared" si="4"/>
        <v>0.91065630269225628</v>
      </c>
      <c r="K97" s="716">
        <f t="shared" si="4"/>
        <v>0.91065630269225628</v>
      </c>
      <c r="L97" s="716">
        <f t="shared" si="4"/>
        <v>0.91065630269225628</v>
      </c>
    </row>
    <row r="98" spans="2:12">
      <c r="B98" s="719" t="str">
        <f t="shared" si="1"/>
        <v>Others</v>
      </c>
      <c r="C98" s="715">
        <f t="shared" si="2"/>
        <v>0.92519845146076363</v>
      </c>
      <c r="D98" s="716">
        <f t="shared" si="4"/>
        <v>0.92519845146076363</v>
      </c>
      <c r="E98" s="716">
        <f t="shared" si="4"/>
        <v>0.92519845146076363</v>
      </c>
      <c r="F98" s="716">
        <f t="shared" si="4"/>
        <v>0.92519845146076363</v>
      </c>
      <c r="G98" s="716">
        <f t="shared" si="4"/>
        <v>0.92519845146076363</v>
      </c>
      <c r="H98" s="716">
        <f t="shared" si="4"/>
        <v>0.92519845146076363</v>
      </c>
      <c r="I98" s="716">
        <f t="shared" si="4"/>
        <v>0.92519845146076363</v>
      </c>
      <c r="J98" s="716">
        <f t="shared" si="4"/>
        <v>0.92519845146076363</v>
      </c>
      <c r="K98" s="716">
        <f t="shared" si="4"/>
        <v>0.92519845146076363</v>
      </c>
      <c r="L98" s="716">
        <f t="shared" si="4"/>
        <v>0.92519845146076363</v>
      </c>
    </row>
    <row r="99" spans="2:12">
      <c r="B99" s="719" t="str">
        <f t="shared" si="1"/>
        <v>Physical Education</v>
      </c>
      <c r="C99" s="715">
        <f t="shared" si="2"/>
        <v>0.9635158761564393</v>
      </c>
      <c r="D99" s="716">
        <f t="shared" si="4"/>
        <v>0.9635158761564393</v>
      </c>
      <c r="E99" s="716">
        <f t="shared" si="4"/>
        <v>0.9635158761564393</v>
      </c>
      <c r="F99" s="716">
        <f t="shared" si="4"/>
        <v>0.9635158761564393</v>
      </c>
      <c r="G99" s="716">
        <f t="shared" si="4"/>
        <v>0.9635158761564393</v>
      </c>
      <c r="H99" s="716">
        <f t="shared" si="4"/>
        <v>0.9635158761564393</v>
      </c>
      <c r="I99" s="716">
        <f t="shared" si="4"/>
        <v>0.9635158761564393</v>
      </c>
      <c r="J99" s="716">
        <f t="shared" si="4"/>
        <v>0.9635158761564393</v>
      </c>
      <c r="K99" s="716">
        <f t="shared" si="4"/>
        <v>0.9635158761564393</v>
      </c>
      <c r="L99" s="716">
        <f t="shared" si="4"/>
        <v>0.9635158761564393</v>
      </c>
    </row>
    <row r="100" spans="2:12">
      <c r="B100" s="719" t="str">
        <f t="shared" si="1"/>
        <v>Physics</v>
      </c>
      <c r="C100" s="715">
        <f t="shared" si="2"/>
        <v>0.80051667151147754</v>
      </c>
      <c r="D100" s="716">
        <f t="shared" si="4"/>
        <v>0.80051667151147754</v>
      </c>
      <c r="E100" s="716">
        <f t="shared" si="4"/>
        <v>0.80051667151147754</v>
      </c>
      <c r="F100" s="716">
        <f t="shared" si="4"/>
        <v>0.80051667151147754</v>
      </c>
      <c r="G100" s="716">
        <f t="shared" si="4"/>
        <v>0.80051667151147754</v>
      </c>
      <c r="H100" s="716">
        <f t="shared" si="4"/>
        <v>0.80051667151147754</v>
      </c>
      <c r="I100" s="716">
        <f t="shared" si="4"/>
        <v>0.80051667151147754</v>
      </c>
      <c r="J100" s="716">
        <f t="shared" si="4"/>
        <v>0.80051667151147754</v>
      </c>
      <c r="K100" s="716">
        <f t="shared" si="4"/>
        <v>0.80051667151147754</v>
      </c>
      <c r="L100" s="716">
        <f t="shared" si="4"/>
        <v>0.80051667151147754</v>
      </c>
    </row>
    <row r="101" spans="2:12">
      <c r="B101" s="719" t="str">
        <f t="shared" si="1"/>
        <v>Religious Education</v>
      </c>
      <c r="C101" s="715">
        <f t="shared" si="2"/>
        <v>0.90579384978553068</v>
      </c>
      <c r="D101" s="716">
        <f t="shared" si="4"/>
        <v>0.90579384978553068</v>
      </c>
      <c r="E101" s="716">
        <f t="shared" si="4"/>
        <v>0.90579384978553068</v>
      </c>
      <c r="F101" s="716">
        <f t="shared" si="4"/>
        <v>0.90579384978553068</v>
      </c>
      <c r="G101" s="716">
        <f t="shared" si="4"/>
        <v>0.90579384978553068</v>
      </c>
      <c r="H101" s="716">
        <f t="shared" si="4"/>
        <v>0.90579384978553068</v>
      </c>
      <c r="I101" s="716">
        <f t="shared" si="4"/>
        <v>0.90579384978553068</v>
      </c>
      <c r="J101" s="716">
        <f t="shared" si="4"/>
        <v>0.90579384978553068</v>
      </c>
      <c r="K101" s="716">
        <f t="shared" si="4"/>
        <v>0.90579384978553068</v>
      </c>
      <c r="L101" s="716">
        <f t="shared" si="4"/>
        <v>0.90579384978553068</v>
      </c>
    </row>
    <row r="102" spans="2:12">
      <c r="B102" s="720"/>
      <c r="C102" s="707"/>
      <c r="D102" s="707"/>
      <c r="E102" s="707"/>
      <c r="F102" s="707"/>
      <c r="G102" s="707"/>
      <c r="H102" s="707"/>
      <c r="I102" s="707"/>
      <c r="J102" s="707"/>
      <c r="K102" s="707"/>
      <c r="L102" s="707"/>
    </row>
    <row r="103" spans="2:12">
      <c r="B103" s="721" t="s">
        <v>701</v>
      </c>
      <c r="C103" s="707"/>
      <c r="D103" s="707"/>
      <c r="E103" s="707"/>
      <c r="F103" s="707"/>
      <c r="G103" s="707"/>
      <c r="H103" s="707"/>
      <c r="I103" s="707"/>
      <c r="J103" s="707"/>
      <c r="K103" s="707"/>
      <c r="L103" s="707"/>
    </row>
    <row r="105" spans="2:12">
      <c r="B105" s="719" t="str">
        <f t="shared" ref="B105:L105" si="5">B81</f>
        <v>Subject</v>
      </c>
      <c r="C105" s="8" t="str">
        <f t="shared" si="5"/>
        <v>2018/19</v>
      </c>
      <c r="D105" s="8" t="str">
        <f t="shared" si="5"/>
        <v>2019/20</v>
      </c>
      <c r="E105" s="8" t="str">
        <f t="shared" si="5"/>
        <v>2020/21</v>
      </c>
      <c r="F105" s="8" t="str">
        <f t="shared" si="5"/>
        <v>2021/22</v>
      </c>
      <c r="G105" s="8" t="str">
        <f t="shared" si="5"/>
        <v>2022/23</v>
      </c>
      <c r="H105" s="8" t="str">
        <f t="shared" si="5"/>
        <v>2023/24</v>
      </c>
      <c r="I105" s="8" t="str">
        <f t="shared" si="5"/>
        <v>2024/25</v>
      </c>
      <c r="J105" s="8" t="str">
        <f t="shared" si="5"/>
        <v>2025/26</v>
      </c>
      <c r="K105" s="8" t="str">
        <f t="shared" si="5"/>
        <v>2026/27</v>
      </c>
      <c r="L105" s="8" t="str">
        <f t="shared" si="5"/>
        <v>2027/28</v>
      </c>
    </row>
    <row r="106" spans="2:12">
      <c r="B106" s="719" t="str">
        <f t="shared" ref="B106:B125" si="6">B82</f>
        <v>Primary</v>
      </c>
      <c r="C106" s="715">
        <f t="shared" ref="C106:C125" si="7">D22</f>
        <v>0.92077131702811388</v>
      </c>
      <c r="D106" s="716">
        <f>C106</f>
        <v>0.92077131702811388</v>
      </c>
      <c r="E106" s="716">
        <f t="shared" ref="E106:L106" si="8">D106</f>
        <v>0.92077131702811388</v>
      </c>
      <c r="F106" s="716">
        <f t="shared" si="8"/>
        <v>0.92077131702811388</v>
      </c>
      <c r="G106" s="716">
        <f t="shared" si="8"/>
        <v>0.92077131702811388</v>
      </c>
      <c r="H106" s="716">
        <f t="shared" si="8"/>
        <v>0.92077131702811388</v>
      </c>
      <c r="I106" s="716">
        <f t="shared" si="8"/>
        <v>0.92077131702811388</v>
      </c>
      <c r="J106" s="716">
        <f t="shared" si="8"/>
        <v>0.92077131702811388</v>
      </c>
      <c r="K106" s="716">
        <f t="shared" si="8"/>
        <v>0.92077131702811388</v>
      </c>
      <c r="L106" s="716">
        <f t="shared" si="8"/>
        <v>0.92077131702811388</v>
      </c>
    </row>
    <row r="107" spans="2:12">
      <c r="B107" s="719" t="str">
        <f t="shared" si="6"/>
        <v>Art &amp; Design</v>
      </c>
      <c r="C107" s="715">
        <f t="shared" si="7"/>
        <v>0.95819985825655574</v>
      </c>
      <c r="D107" s="716">
        <f t="shared" ref="D107:L107" si="9">C107</f>
        <v>0.95819985825655574</v>
      </c>
      <c r="E107" s="716">
        <f t="shared" si="9"/>
        <v>0.95819985825655574</v>
      </c>
      <c r="F107" s="716">
        <f t="shared" si="9"/>
        <v>0.95819985825655574</v>
      </c>
      <c r="G107" s="716">
        <f t="shared" si="9"/>
        <v>0.95819985825655574</v>
      </c>
      <c r="H107" s="716">
        <f t="shared" si="9"/>
        <v>0.95819985825655574</v>
      </c>
      <c r="I107" s="716">
        <f t="shared" si="9"/>
        <v>0.95819985825655574</v>
      </c>
      <c r="J107" s="716">
        <f t="shared" si="9"/>
        <v>0.95819985825655574</v>
      </c>
      <c r="K107" s="716">
        <f t="shared" si="9"/>
        <v>0.95819985825655574</v>
      </c>
      <c r="L107" s="716">
        <f t="shared" si="9"/>
        <v>0.95819985825655574</v>
      </c>
    </row>
    <row r="108" spans="2:12">
      <c r="B108" s="719" t="str">
        <f t="shared" si="6"/>
        <v>Biology</v>
      </c>
      <c r="C108" s="715">
        <f t="shared" si="7"/>
        <v>0.90103185460230595</v>
      </c>
      <c r="D108" s="716">
        <f t="shared" ref="D108:L108" si="10">C108</f>
        <v>0.90103185460230595</v>
      </c>
      <c r="E108" s="716">
        <f t="shared" si="10"/>
        <v>0.90103185460230595</v>
      </c>
      <c r="F108" s="716">
        <f t="shared" si="10"/>
        <v>0.90103185460230595</v>
      </c>
      <c r="G108" s="716">
        <f t="shared" si="10"/>
        <v>0.90103185460230595</v>
      </c>
      <c r="H108" s="716">
        <f t="shared" si="10"/>
        <v>0.90103185460230595</v>
      </c>
      <c r="I108" s="716">
        <f t="shared" si="10"/>
        <v>0.90103185460230595</v>
      </c>
      <c r="J108" s="716">
        <f t="shared" si="10"/>
        <v>0.90103185460230595</v>
      </c>
      <c r="K108" s="716">
        <f t="shared" si="10"/>
        <v>0.90103185460230595</v>
      </c>
      <c r="L108" s="716">
        <f t="shared" si="10"/>
        <v>0.90103185460230595</v>
      </c>
    </row>
    <row r="109" spans="2:12">
      <c r="B109" s="719" t="str">
        <f t="shared" si="6"/>
        <v>Business Studies</v>
      </c>
      <c r="C109" s="715">
        <f t="shared" si="7"/>
        <v>0.9391217070890393</v>
      </c>
      <c r="D109" s="716">
        <f t="shared" ref="D109:L109" si="11">C109</f>
        <v>0.9391217070890393</v>
      </c>
      <c r="E109" s="716">
        <f t="shared" si="11"/>
        <v>0.9391217070890393</v>
      </c>
      <c r="F109" s="716">
        <f t="shared" si="11"/>
        <v>0.9391217070890393</v>
      </c>
      <c r="G109" s="716">
        <f t="shared" si="11"/>
        <v>0.9391217070890393</v>
      </c>
      <c r="H109" s="716">
        <f t="shared" si="11"/>
        <v>0.9391217070890393</v>
      </c>
      <c r="I109" s="716">
        <f t="shared" si="11"/>
        <v>0.9391217070890393</v>
      </c>
      <c r="J109" s="716">
        <f t="shared" si="11"/>
        <v>0.9391217070890393</v>
      </c>
      <c r="K109" s="716">
        <f t="shared" si="11"/>
        <v>0.9391217070890393</v>
      </c>
      <c r="L109" s="716">
        <f t="shared" si="11"/>
        <v>0.9391217070890393</v>
      </c>
    </row>
    <row r="110" spans="2:12">
      <c r="B110" s="719" t="str">
        <f t="shared" si="6"/>
        <v>Chemistry</v>
      </c>
      <c r="C110" s="715">
        <f t="shared" si="7"/>
        <v>0.89185676399980496</v>
      </c>
      <c r="D110" s="716">
        <f t="shared" ref="D110:L110" si="12">C110</f>
        <v>0.89185676399980496</v>
      </c>
      <c r="E110" s="716">
        <f t="shared" si="12"/>
        <v>0.89185676399980496</v>
      </c>
      <c r="F110" s="716">
        <f t="shared" si="12"/>
        <v>0.89185676399980496</v>
      </c>
      <c r="G110" s="716">
        <f t="shared" si="12"/>
        <v>0.89185676399980496</v>
      </c>
      <c r="H110" s="716">
        <f t="shared" si="12"/>
        <v>0.89185676399980496</v>
      </c>
      <c r="I110" s="716">
        <f t="shared" si="12"/>
        <v>0.89185676399980496</v>
      </c>
      <c r="J110" s="716">
        <f t="shared" si="12"/>
        <v>0.89185676399980496</v>
      </c>
      <c r="K110" s="716">
        <f t="shared" si="12"/>
        <v>0.89185676399980496</v>
      </c>
      <c r="L110" s="716">
        <f t="shared" si="12"/>
        <v>0.89185676399980496</v>
      </c>
    </row>
    <row r="111" spans="2:12">
      <c r="B111" s="719" t="str">
        <f t="shared" si="6"/>
        <v>Classics</v>
      </c>
      <c r="C111" s="715">
        <f t="shared" si="7"/>
        <v>0.82455622654186855</v>
      </c>
      <c r="D111" s="716">
        <f t="shared" ref="D111:L111" si="13">C111</f>
        <v>0.82455622654186855</v>
      </c>
      <c r="E111" s="716">
        <f t="shared" si="13"/>
        <v>0.82455622654186855</v>
      </c>
      <c r="F111" s="716">
        <f t="shared" si="13"/>
        <v>0.82455622654186855</v>
      </c>
      <c r="G111" s="716">
        <f t="shared" si="13"/>
        <v>0.82455622654186855</v>
      </c>
      <c r="H111" s="716">
        <f t="shared" si="13"/>
        <v>0.82455622654186855</v>
      </c>
      <c r="I111" s="716">
        <f t="shared" si="13"/>
        <v>0.82455622654186855</v>
      </c>
      <c r="J111" s="716">
        <f t="shared" si="13"/>
        <v>0.82455622654186855</v>
      </c>
      <c r="K111" s="716">
        <f t="shared" si="13"/>
        <v>0.82455622654186855</v>
      </c>
      <c r="L111" s="716">
        <f t="shared" si="13"/>
        <v>0.82455622654186855</v>
      </c>
    </row>
    <row r="112" spans="2:12">
      <c r="B112" s="719" t="str">
        <f t="shared" si="6"/>
        <v>Computing</v>
      </c>
      <c r="C112" s="715">
        <f t="shared" si="7"/>
        <v>0.89198179271708677</v>
      </c>
      <c r="D112" s="716">
        <f t="shared" ref="D112:L112" si="14">C112</f>
        <v>0.89198179271708677</v>
      </c>
      <c r="E112" s="716">
        <f t="shared" si="14"/>
        <v>0.89198179271708677</v>
      </c>
      <c r="F112" s="716">
        <f t="shared" si="14"/>
        <v>0.89198179271708677</v>
      </c>
      <c r="G112" s="716">
        <f t="shared" si="14"/>
        <v>0.89198179271708677</v>
      </c>
      <c r="H112" s="716">
        <f t="shared" si="14"/>
        <v>0.89198179271708677</v>
      </c>
      <c r="I112" s="716">
        <f t="shared" si="14"/>
        <v>0.89198179271708677</v>
      </c>
      <c r="J112" s="716">
        <f t="shared" si="14"/>
        <v>0.89198179271708677</v>
      </c>
      <c r="K112" s="716">
        <f t="shared" si="14"/>
        <v>0.89198179271708677</v>
      </c>
      <c r="L112" s="716">
        <f t="shared" si="14"/>
        <v>0.89198179271708677</v>
      </c>
    </row>
    <row r="113" spans="2:12">
      <c r="B113" s="719" t="str">
        <f t="shared" si="6"/>
        <v>Design &amp; Technology</v>
      </c>
      <c r="C113" s="715">
        <f t="shared" si="7"/>
        <v>0.93932280527978507</v>
      </c>
      <c r="D113" s="716">
        <f t="shared" ref="D113:L113" si="15">C113</f>
        <v>0.93932280527978507</v>
      </c>
      <c r="E113" s="716">
        <f t="shared" si="15"/>
        <v>0.93932280527978507</v>
      </c>
      <c r="F113" s="716">
        <f t="shared" si="15"/>
        <v>0.93932280527978507</v>
      </c>
      <c r="G113" s="716">
        <f t="shared" si="15"/>
        <v>0.93932280527978507</v>
      </c>
      <c r="H113" s="716">
        <f t="shared" si="15"/>
        <v>0.93932280527978507</v>
      </c>
      <c r="I113" s="716">
        <f t="shared" si="15"/>
        <v>0.93932280527978507</v>
      </c>
      <c r="J113" s="716">
        <f t="shared" si="15"/>
        <v>0.93932280527978507</v>
      </c>
      <c r="K113" s="716">
        <f t="shared" si="15"/>
        <v>0.93932280527978507</v>
      </c>
      <c r="L113" s="716">
        <f t="shared" si="15"/>
        <v>0.93932280527978507</v>
      </c>
    </row>
    <row r="114" spans="2:12">
      <c r="B114" s="719" t="str">
        <f t="shared" si="6"/>
        <v>Drama</v>
      </c>
      <c r="C114" s="715">
        <f t="shared" si="7"/>
        <v>0.93119835486319102</v>
      </c>
      <c r="D114" s="716">
        <f t="shared" ref="D114:L114" si="16">C114</f>
        <v>0.93119835486319102</v>
      </c>
      <c r="E114" s="716">
        <f t="shared" si="16"/>
        <v>0.93119835486319102</v>
      </c>
      <c r="F114" s="716">
        <f t="shared" si="16"/>
        <v>0.93119835486319102</v>
      </c>
      <c r="G114" s="716">
        <f t="shared" si="16"/>
        <v>0.93119835486319102</v>
      </c>
      <c r="H114" s="716">
        <f t="shared" si="16"/>
        <v>0.93119835486319102</v>
      </c>
      <c r="I114" s="716">
        <f t="shared" si="16"/>
        <v>0.93119835486319102</v>
      </c>
      <c r="J114" s="716">
        <f t="shared" si="16"/>
        <v>0.93119835486319102</v>
      </c>
      <c r="K114" s="716">
        <f t="shared" si="16"/>
        <v>0.93119835486319102</v>
      </c>
      <c r="L114" s="716">
        <f t="shared" si="16"/>
        <v>0.93119835486319102</v>
      </c>
    </row>
    <row r="115" spans="2:12">
      <c r="B115" s="719" t="str">
        <f t="shared" si="6"/>
        <v>English</v>
      </c>
      <c r="C115" s="715">
        <f t="shared" si="7"/>
        <v>0.93474891543077687</v>
      </c>
      <c r="D115" s="716">
        <f t="shared" ref="D115:L115" si="17">C115</f>
        <v>0.93474891543077687</v>
      </c>
      <c r="E115" s="716">
        <f t="shared" si="17"/>
        <v>0.93474891543077687</v>
      </c>
      <c r="F115" s="716">
        <f t="shared" si="17"/>
        <v>0.93474891543077687</v>
      </c>
      <c r="G115" s="716">
        <f t="shared" si="17"/>
        <v>0.93474891543077687</v>
      </c>
      <c r="H115" s="716">
        <f t="shared" si="17"/>
        <v>0.93474891543077687</v>
      </c>
      <c r="I115" s="716">
        <f t="shared" si="17"/>
        <v>0.93474891543077687</v>
      </c>
      <c r="J115" s="716">
        <f t="shared" si="17"/>
        <v>0.93474891543077687</v>
      </c>
      <c r="K115" s="716">
        <f t="shared" si="17"/>
        <v>0.93474891543077687</v>
      </c>
      <c r="L115" s="716">
        <f t="shared" si="17"/>
        <v>0.93474891543077687</v>
      </c>
    </row>
    <row r="116" spans="2:12">
      <c r="B116" s="719" t="str">
        <f t="shared" si="6"/>
        <v>Food</v>
      </c>
      <c r="C116" s="715">
        <f t="shared" si="7"/>
        <v>0.82455622654186855</v>
      </c>
      <c r="D116" s="716">
        <f t="shared" ref="D116:L116" si="18">C116</f>
        <v>0.82455622654186855</v>
      </c>
      <c r="E116" s="716">
        <f t="shared" si="18"/>
        <v>0.82455622654186855</v>
      </c>
      <c r="F116" s="716">
        <f t="shared" si="18"/>
        <v>0.82455622654186855</v>
      </c>
      <c r="G116" s="716">
        <f t="shared" si="18"/>
        <v>0.82455622654186855</v>
      </c>
      <c r="H116" s="716">
        <f t="shared" si="18"/>
        <v>0.82455622654186855</v>
      </c>
      <c r="I116" s="716">
        <f t="shared" si="18"/>
        <v>0.82455622654186855</v>
      </c>
      <c r="J116" s="716">
        <f t="shared" si="18"/>
        <v>0.82455622654186855</v>
      </c>
      <c r="K116" s="716">
        <f t="shared" si="18"/>
        <v>0.82455622654186855</v>
      </c>
      <c r="L116" s="716">
        <f t="shared" si="18"/>
        <v>0.82455622654186855</v>
      </c>
    </row>
    <row r="117" spans="2:12">
      <c r="B117" s="719" t="str">
        <f t="shared" si="6"/>
        <v>Geography</v>
      </c>
      <c r="C117" s="715">
        <f t="shared" si="7"/>
        <v>0.95970712560386473</v>
      </c>
      <c r="D117" s="716">
        <f t="shared" ref="D117:L117" si="19">C117</f>
        <v>0.95970712560386473</v>
      </c>
      <c r="E117" s="716">
        <f t="shared" si="19"/>
        <v>0.95970712560386473</v>
      </c>
      <c r="F117" s="716">
        <f t="shared" si="19"/>
        <v>0.95970712560386473</v>
      </c>
      <c r="G117" s="716">
        <f t="shared" si="19"/>
        <v>0.95970712560386473</v>
      </c>
      <c r="H117" s="716">
        <f t="shared" si="19"/>
        <v>0.95970712560386473</v>
      </c>
      <c r="I117" s="716">
        <f t="shared" si="19"/>
        <v>0.95970712560386473</v>
      </c>
      <c r="J117" s="716">
        <f t="shared" si="19"/>
        <v>0.95970712560386473</v>
      </c>
      <c r="K117" s="716">
        <f t="shared" si="19"/>
        <v>0.95970712560386473</v>
      </c>
      <c r="L117" s="716">
        <f t="shared" si="19"/>
        <v>0.95970712560386473</v>
      </c>
    </row>
    <row r="118" spans="2:12">
      <c r="B118" s="719" t="str">
        <f t="shared" si="6"/>
        <v>History</v>
      </c>
      <c r="C118" s="715">
        <f t="shared" si="7"/>
        <v>0.93859197877826706</v>
      </c>
      <c r="D118" s="716">
        <f t="shared" ref="D118:L118" si="20">C118</f>
        <v>0.93859197877826706</v>
      </c>
      <c r="E118" s="716">
        <f t="shared" si="20"/>
        <v>0.93859197877826706</v>
      </c>
      <c r="F118" s="716">
        <f t="shared" si="20"/>
        <v>0.93859197877826706</v>
      </c>
      <c r="G118" s="716">
        <f t="shared" si="20"/>
        <v>0.93859197877826706</v>
      </c>
      <c r="H118" s="716">
        <f t="shared" si="20"/>
        <v>0.93859197877826706</v>
      </c>
      <c r="I118" s="716">
        <f t="shared" si="20"/>
        <v>0.93859197877826706</v>
      </c>
      <c r="J118" s="716">
        <f t="shared" si="20"/>
        <v>0.93859197877826706</v>
      </c>
      <c r="K118" s="716">
        <f t="shared" si="20"/>
        <v>0.93859197877826706</v>
      </c>
      <c r="L118" s="716">
        <f t="shared" si="20"/>
        <v>0.93859197877826706</v>
      </c>
    </row>
    <row r="119" spans="2:12">
      <c r="B119" s="719" t="str">
        <f t="shared" si="6"/>
        <v>Mathematics</v>
      </c>
      <c r="C119" s="715">
        <f t="shared" si="7"/>
        <v>0.91138896585147611</v>
      </c>
      <c r="D119" s="716">
        <f t="shared" ref="D119:L119" si="21">C119</f>
        <v>0.91138896585147611</v>
      </c>
      <c r="E119" s="716">
        <f t="shared" si="21"/>
        <v>0.91138896585147611</v>
      </c>
      <c r="F119" s="716">
        <f t="shared" si="21"/>
        <v>0.91138896585147611</v>
      </c>
      <c r="G119" s="716">
        <f t="shared" si="21"/>
        <v>0.91138896585147611</v>
      </c>
      <c r="H119" s="716">
        <f t="shared" si="21"/>
        <v>0.91138896585147611</v>
      </c>
      <c r="I119" s="716">
        <f t="shared" si="21"/>
        <v>0.91138896585147611</v>
      </c>
      <c r="J119" s="716">
        <f t="shared" si="21"/>
        <v>0.91138896585147611</v>
      </c>
      <c r="K119" s="716">
        <f t="shared" si="21"/>
        <v>0.91138896585147611</v>
      </c>
      <c r="L119" s="716">
        <f t="shared" si="21"/>
        <v>0.91138896585147611</v>
      </c>
    </row>
    <row r="120" spans="2:12">
      <c r="B120" s="719" t="str">
        <f t="shared" si="6"/>
        <v>Modern Foreign Languages</v>
      </c>
      <c r="C120" s="715">
        <f t="shared" si="7"/>
        <v>0.90799270299750101</v>
      </c>
      <c r="D120" s="716">
        <f t="shared" ref="D120:L120" si="22">C120</f>
        <v>0.90799270299750101</v>
      </c>
      <c r="E120" s="716">
        <f t="shared" si="22"/>
        <v>0.90799270299750101</v>
      </c>
      <c r="F120" s="716">
        <f t="shared" si="22"/>
        <v>0.90799270299750101</v>
      </c>
      <c r="G120" s="716">
        <f t="shared" si="22"/>
        <v>0.90799270299750101</v>
      </c>
      <c r="H120" s="716">
        <f t="shared" si="22"/>
        <v>0.90799270299750101</v>
      </c>
      <c r="I120" s="716">
        <f t="shared" si="22"/>
        <v>0.90799270299750101</v>
      </c>
      <c r="J120" s="716">
        <f t="shared" si="22"/>
        <v>0.90799270299750101</v>
      </c>
      <c r="K120" s="716">
        <f t="shared" si="22"/>
        <v>0.90799270299750101</v>
      </c>
      <c r="L120" s="716">
        <f t="shared" si="22"/>
        <v>0.90799270299750101</v>
      </c>
    </row>
    <row r="121" spans="2:12">
      <c r="B121" s="719" t="str">
        <f t="shared" si="6"/>
        <v>Music</v>
      </c>
      <c r="C121" s="715">
        <f t="shared" si="7"/>
        <v>0.95760869565217399</v>
      </c>
      <c r="D121" s="716">
        <f t="shared" ref="D121:L121" si="23">C121</f>
        <v>0.95760869565217399</v>
      </c>
      <c r="E121" s="716">
        <f t="shared" si="23"/>
        <v>0.95760869565217399</v>
      </c>
      <c r="F121" s="716">
        <f t="shared" si="23"/>
        <v>0.95760869565217399</v>
      </c>
      <c r="G121" s="716">
        <f t="shared" si="23"/>
        <v>0.95760869565217399</v>
      </c>
      <c r="H121" s="716">
        <f t="shared" si="23"/>
        <v>0.95760869565217399</v>
      </c>
      <c r="I121" s="716">
        <f t="shared" si="23"/>
        <v>0.95760869565217399</v>
      </c>
      <c r="J121" s="716">
        <f t="shared" si="23"/>
        <v>0.95760869565217399</v>
      </c>
      <c r="K121" s="716">
        <f t="shared" si="23"/>
        <v>0.95760869565217399</v>
      </c>
      <c r="L121" s="716">
        <f t="shared" si="23"/>
        <v>0.95760869565217399</v>
      </c>
    </row>
    <row r="122" spans="2:12">
      <c r="B122" s="719" t="str">
        <f t="shared" si="6"/>
        <v>Others</v>
      </c>
      <c r="C122" s="715">
        <f t="shared" si="7"/>
        <v>0.92422541861901131</v>
      </c>
      <c r="D122" s="716">
        <f t="shared" ref="D122:L122" si="24">C122</f>
        <v>0.92422541861901131</v>
      </c>
      <c r="E122" s="716">
        <f t="shared" si="24"/>
        <v>0.92422541861901131</v>
      </c>
      <c r="F122" s="716">
        <f t="shared" si="24"/>
        <v>0.92422541861901131</v>
      </c>
      <c r="G122" s="716">
        <f t="shared" si="24"/>
        <v>0.92422541861901131</v>
      </c>
      <c r="H122" s="716">
        <f t="shared" si="24"/>
        <v>0.92422541861901131</v>
      </c>
      <c r="I122" s="716">
        <f t="shared" si="24"/>
        <v>0.92422541861901131</v>
      </c>
      <c r="J122" s="716">
        <f t="shared" si="24"/>
        <v>0.92422541861901131</v>
      </c>
      <c r="K122" s="716">
        <f t="shared" si="24"/>
        <v>0.92422541861901131</v>
      </c>
      <c r="L122" s="716">
        <f t="shared" si="24"/>
        <v>0.92422541861901131</v>
      </c>
    </row>
    <row r="123" spans="2:12">
      <c r="B123" s="719" t="str">
        <f t="shared" si="6"/>
        <v>Physical Education</v>
      </c>
      <c r="C123" s="715">
        <f t="shared" si="7"/>
        <v>0.95598894910532395</v>
      </c>
      <c r="D123" s="716">
        <f t="shared" ref="D123:L123" si="25">C123</f>
        <v>0.95598894910532395</v>
      </c>
      <c r="E123" s="716">
        <f t="shared" si="25"/>
        <v>0.95598894910532395</v>
      </c>
      <c r="F123" s="716">
        <f t="shared" si="25"/>
        <v>0.95598894910532395</v>
      </c>
      <c r="G123" s="716">
        <f t="shared" si="25"/>
        <v>0.95598894910532395</v>
      </c>
      <c r="H123" s="716">
        <f t="shared" si="25"/>
        <v>0.95598894910532395</v>
      </c>
      <c r="I123" s="716">
        <f t="shared" si="25"/>
        <v>0.95598894910532395</v>
      </c>
      <c r="J123" s="716">
        <f t="shared" si="25"/>
        <v>0.95598894910532395</v>
      </c>
      <c r="K123" s="716">
        <f t="shared" si="25"/>
        <v>0.95598894910532395</v>
      </c>
      <c r="L123" s="716">
        <f t="shared" si="25"/>
        <v>0.95598894910532395</v>
      </c>
    </row>
    <row r="124" spans="2:12">
      <c r="B124" s="719" t="str">
        <f t="shared" si="6"/>
        <v>Physics</v>
      </c>
      <c r="C124" s="715">
        <f t="shared" si="7"/>
        <v>0.88606768870386043</v>
      </c>
      <c r="D124" s="716">
        <f t="shared" ref="D124:L124" si="26">C124</f>
        <v>0.88606768870386043</v>
      </c>
      <c r="E124" s="716">
        <f t="shared" si="26"/>
        <v>0.88606768870386043</v>
      </c>
      <c r="F124" s="716">
        <f t="shared" si="26"/>
        <v>0.88606768870386043</v>
      </c>
      <c r="G124" s="716">
        <f t="shared" si="26"/>
        <v>0.88606768870386043</v>
      </c>
      <c r="H124" s="716">
        <f t="shared" si="26"/>
        <v>0.88606768870386043</v>
      </c>
      <c r="I124" s="716">
        <f t="shared" si="26"/>
        <v>0.88606768870386043</v>
      </c>
      <c r="J124" s="716">
        <f t="shared" si="26"/>
        <v>0.88606768870386043</v>
      </c>
      <c r="K124" s="716">
        <f t="shared" si="26"/>
        <v>0.88606768870386043</v>
      </c>
      <c r="L124" s="716">
        <f t="shared" si="26"/>
        <v>0.88606768870386043</v>
      </c>
    </row>
    <row r="125" spans="2:12">
      <c r="B125" s="719" t="str">
        <f t="shared" si="6"/>
        <v>Religious Education</v>
      </c>
      <c r="C125" s="715">
        <f t="shared" si="7"/>
        <v>0.90598127224887792</v>
      </c>
      <c r="D125" s="716">
        <f t="shared" ref="D125:L125" si="27">C125</f>
        <v>0.90598127224887792</v>
      </c>
      <c r="E125" s="716">
        <f t="shared" si="27"/>
        <v>0.90598127224887792</v>
      </c>
      <c r="F125" s="716">
        <f t="shared" si="27"/>
        <v>0.90598127224887792</v>
      </c>
      <c r="G125" s="716">
        <f t="shared" si="27"/>
        <v>0.90598127224887792</v>
      </c>
      <c r="H125" s="716">
        <f t="shared" si="27"/>
        <v>0.90598127224887792</v>
      </c>
      <c r="I125" s="716">
        <f t="shared" si="27"/>
        <v>0.90598127224887792</v>
      </c>
      <c r="J125" s="716">
        <f t="shared" si="27"/>
        <v>0.90598127224887792</v>
      </c>
      <c r="K125" s="716">
        <f t="shared" si="27"/>
        <v>0.90598127224887792</v>
      </c>
      <c r="L125" s="716">
        <f t="shared" si="27"/>
        <v>0.90598127224887792</v>
      </c>
    </row>
    <row r="127" spans="2:12">
      <c r="B127" s="721" t="s">
        <v>700</v>
      </c>
      <c r="C127" s="707"/>
      <c r="D127" s="707"/>
      <c r="E127" s="707"/>
      <c r="F127" s="707"/>
      <c r="G127" s="707"/>
      <c r="H127" s="707"/>
      <c r="I127" s="707"/>
      <c r="J127" s="707"/>
      <c r="K127" s="707"/>
      <c r="L127" s="707"/>
    </row>
    <row r="129" spans="2:12">
      <c r="B129" s="706" t="str">
        <f t="shared" ref="B129:L129" si="28">B105</f>
        <v>Subject</v>
      </c>
      <c r="C129" s="705" t="str">
        <f t="shared" si="28"/>
        <v>2018/19</v>
      </c>
      <c r="D129" s="705" t="str">
        <f t="shared" si="28"/>
        <v>2019/20</v>
      </c>
      <c r="E129" s="705" t="str">
        <f t="shared" si="28"/>
        <v>2020/21</v>
      </c>
      <c r="F129" s="705" t="str">
        <f t="shared" si="28"/>
        <v>2021/22</v>
      </c>
      <c r="G129" s="705" t="str">
        <f t="shared" si="28"/>
        <v>2022/23</v>
      </c>
      <c r="H129" s="705" t="str">
        <f t="shared" si="28"/>
        <v>2023/24</v>
      </c>
      <c r="I129" s="705" t="str">
        <f t="shared" si="28"/>
        <v>2024/25</v>
      </c>
      <c r="J129" s="705" t="str">
        <f t="shared" si="28"/>
        <v>2025/26</v>
      </c>
      <c r="K129" s="705" t="str">
        <f t="shared" si="28"/>
        <v>2026/27</v>
      </c>
      <c r="L129" s="705" t="str">
        <f t="shared" si="28"/>
        <v>2027/28</v>
      </c>
    </row>
    <row r="130" spans="2:12">
      <c r="B130" s="706" t="str">
        <f t="shared" ref="B130:B149" si="29">B106</f>
        <v>Primary</v>
      </c>
      <c r="C130" s="715">
        <f t="shared" ref="C130:C149" si="30">E22</f>
        <v>0.9085726220252428</v>
      </c>
      <c r="D130" s="716">
        <f>C130</f>
        <v>0.9085726220252428</v>
      </c>
      <c r="E130" s="716">
        <f t="shared" ref="E130:L130" si="31">D130</f>
        <v>0.9085726220252428</v>
      </c>
      <c r="F130" s="716">
        <f t="shared" si="31"/>
        <v>0.9085726220252428</v>
      </c>
      <c r="G130" s="716">
        <f t="shared" si="31"/>
        <v>0.9085726220252428</v>
      </c>
      <c r="H130" s="716">
        <f t="shared" si="31"/>
        <v>0.9085726220252428</v>
      </c>
      <c r="I130" s="716">
        <f t="shared" si="31"/>
        <v>0.9085726220252428</v>
      </c>
      <c r="J130" s="716">
        <f t="shared" si="31"/>
        <v>0.9085726220252428</v>
      </c>
      <c r="K130" s="716">
        <f t="shared" si="31"/>
        <v>0.9085726220252428</v>
      </c>
      <c r="L130" s="716">
        <f t="shared" si="31"/>
        <v>0.9085726220252428</v>
      </c>
    </row>
    <row r="131" spans="2:12">
      <c r="B131" s="706" t="str">
        <f t="shared" si="29"/>
        <v>Art &amp; Design</v>
      </c>
      <c r="C131" s="715">
        <f t="shared" si="30"/>
        <v>0.93665317188001129</v>
      </c>
      <c r="D131" s="716">
        <f t="shared" ref="D131:L131" si="32">C131</f>
        <v>0.93665317188001129</v>
      </c>
      <c r="E131" s="716">
        <f t="shared" si="32"/>
        <v>0.93665317188001129</v>
      </c>
      <c r="F131" s="716">
        <f t="shared" si="32"/>
        <v>0.93665317188001129</v>
      </c>
      <c r="G131" s="716">
        <f t="shared" si="32"/>
        <v>0.93665317188001129</v>
      </c>
      <c r="H131" s="716">
        <f t="shared" si="32"/>
        <v>0.93665317188001129</v>
      </c>
      <c r="I131" s="716">
        <f t="shared" si="32"/>
        <v>0.93665317188001129</v>
      </c>
      <c r="J131" s="716">
        <f t="shared" si="32"/>
        <v>0.93665317188001129</v>
      </c>
      <c r="K131" s="716">
        <f t="shared" si="32"/>
        <v>0.93665317188001129</v>
      </c>
      <c r="L131" s="716">
        <f t="shared" si="32"/>
        <v>0.93665317188001129</v>
      </c>
    </row>
    <row r="132" spans="2:12">
      <c r="B132" s="719" t="str">
        <f t="shared" si="29"/>
        <v>Biology</v>
      </c>
      <c r="C132" s="715">
        <f t="shared" si="30"/>
        <v>0.87114129420288466</v>
      </c>
      <c r="D132" s="716">
        <f t="shared" ref="D132:L132" si="33">C132</f>
        <v>0.87114129420288466</v>
      </c>
      <c r="E132" s="716">
        <f t="shared" si="33"/>
        <v>0.87114129420288466</v>
      </c>
      <c r="F132" s="716">
        <f t="shared" si="33"/>
        <v>0.87114129420288466</v>
      </c>
      <c r="G132" s="716">
        <f t="shared" si="33"/>
        <v>0.87114129420288466</v>
      </c>
      <c r="H132" s="716">
        <f t="shared" si="33"/>
        <v>0.87114129420288466</v>
      </c>
      <c r="I132" s="716">
        <f t="shared" si="33"/>
        <v>0.87114129420288466</v>
      </c>
      <c r="J132" s="716">
        <f t="shared" si="33"/>
        <v>0.87114129420288466</v>
      </c>
      <c r="K132" s="716">
        <f t="shared" si="33"/>
        <v>0.87114129420288466</v>
      </c>
      <c r="L132" s="716">
        <f t="shared" si="33"/>
        <v>0.87114129420288466</v>
      </c>
    </row>
    <row r="133" spans="2:12">
      <c r="B133" s="719" t="str">
        <f t="shared" si="29"/>
        <v>Business Studies</v>
      </c>
      <c r="C133" s="715">
        <f t="shared" si="30"/>
        <v>0.99145299145299148</v>
      </c>
      <c r="D133" s="716">
        <f t="shared" ref="D133:L133" si="34">C133</f>
        <v>0.99145299145299148</v>
      </c>
      <c r="E133" s="716">
        <f t="shared" si="34"/>
        <v>0.99145299145299148</v>
      </c>
      <c r="F133" s="716">
        <f t="shared" si="34"/>
        <v>0.99145299145299148</v>
      </c>
      <c r="G133" s="716">
        <f t="shared" si="34"/>
        <v>0.99145299145299148</v>
      </c>
      <c r="H133" s="716">
        <f t="shared" si="34"/>
        <v>0.99145299145299148</v>
      </c>
      <c r="I133" s="716">
        <f t="shared" si="34"/>
        <v>0.99145299145299148</v>
      </c>
      <c r="J133" s="716">
        <f t="shared" si="34"/>
        <v>0.99145299145299148</v>
      </c>
      <c r="K133" s="716">
        <f t="shared" si="34"/>
        <v>0.99145299145299148</v>
      </c>
      <c r="L133" s="716">
        <f t="shared" si="34"/>
        <v>0.99145299145299148</v>
      </c>
    </row>
    <row r="134" spans="2:12">
      <c r="B134" s="719" t="str">
        <f t="shared" si="29"/>
        <v>Chemistry</v>
      </c>
      <c r="C134" s="715">
        <f t="shared" si="30"/>
        <v>0.87805250305250304</v>
      </c>
      <c r="D134" s="716">
        <f t="shared" ref="D134:L134" si="35">C134</f>
        <v>0.87805250305250304</v>
      </c>
      <c r="E134" s="716">
        <f t="shared" si="35"/>
        <v>0.87805250305250304</v>
      </c>
      <c r="F134" s="716">
        <f t="shared" si="35"/>
        <v>0.87805250305250304</v>
      </c>
      <c r="G134" s="716">
        <f t="shared" si="35"/>
        <v>0.87805250305250304</v>
      </c>
      <c r="H134" s="716">
        <f t="shared" si="35"/>
        <v>0.87805250305250304</v>
      </c>
      <c r="I134" s="716">
        <f t="shared" si="35"/>
        <v>0.87805250305250304</v>
      </c>
      <c r="J134" s="716">
        <f t="shared" si="35"/>
        <v>0.87805250305250304</v>
      </c>
      <c r="K134" s="716">
        <f t="shared" si="35"/>
        <v>0.87805250305250304</v>
      </c>
      <c r="L134" s="716">
        <f t="shared" si="35"/>
        <v>0.87805250305250304</v>
      </c>
    </row>
    <row r="135" spans="2:12">
      <c r="B135" s="719" t="str">
        <f t="shared" si="29"/>
        <v>Classics</v>
      </c>
      <c r="C135" s="715">
        <f t="shared" si="30"/>
        <v>0.81112656042401154</v>
      </c>
      <c r="D135" s="716">
        <f t="shared" ref="D135:L135" si="36">C135</f>
        <v>0.81112656042401154</v>
      </c>
      <c r="E135" s="716">
        <f t="shared" si="36"/>
        <v>0.81112656042401154</v>
      </c>
      <c r="F135" s="716">
        <f t="shared" si="36"/>
        <v>0.81112656042401154</v>
      </c>
      <c r="G135" s="716">
        <f t="shared" si="36"/>
        <v>0.81112656042401154</v>
      </c>
      <c r="H135" s="716">
        <f t="shared" si="36"/>
        <v>0.81112656042401154</v>
      </c>
      <c r="I135" s="716">
        <f t="shared" si="36"/>
        <v>0.81112656042401154</v>
      </c>
      <c r="J135" s="716">
        <f t="shared" si="36"/>
        <v>0.81112656042401154</v>
      </c>
      <c r="K135" s="716">
        <f t="shared" si="36"/>
        <v>0.81112656042401154</v>
      </c>
      <c r="L135" s="716">
        <f t="shared" si="36"/>
        <v>0.81112656042401154</v>
      </c>
    </row>
    <row r="136" spans="2:12">
      <c r="B136" s="719" t="str">
        <f t="shared" si="29"/>
        <v>Computing</v>
      </c>
      <c r="C136" s="715">
        <f t="shared" si="30"/>
        <v>0.87329434697855746</v>
      </c>
      <c r="D136" s="716">
        <f t="shared" ref="D136:L136" si="37">C136</f>
        <v>0.87329434697855746</v>
      </c>
      <c r="E136" s="716">
        <f t="shared" si="37"/>
        <v>0.87329434697855746</v>
      </c>
      <c r="F136" s="716">
        <f t="shared" si="37"/>
        <v>0.87329434697855746</v>
      </c>
      <c r="G136" s="716">
        <f t="shared" si="37"/>
        <v>0.87329434697855746</v>
      </c>
      <c r="H136" s="716">
        <f t="shared" si="37"/>
        <v>0.87329434697855746</v>
      </c>
      <c r="I136" s="716">
        <f t="shared" si="37"/>
        <v>0.87329434697855746</v>
      </c>
      <c r="J136" s="716">
        <f t="shared" si="37"/>
        <v>0.87329434697855746</v>
      </c>
      <c r="K136" s="716">
        <f t="shared" si="37"/>
        <v>0.87329434697855746</v>
      </c>
      <c r="L136" s="716">
        <f t="shared" si="37"/>
        <v>0.87329434697855746</v>
      </c>
    </row>
    <row r="137" spans="2:12">
      <c r="B137" s="719" t="str">
        <f t="shared" si="29"/>
        <v>Design &amp; Technology</v>
      </c>
      <c r="C137" s="715">
        <f t="shared" si="30"/>
        <v>0.81112656042401154</v>
      </c>
      <c r="D137" s="716">
        <f t="shared" ref="D137:L137" si="38">C137</f>
        <v>0.81112656042401154</v>
      </c>
      <c r="E137" s="716">
        <f t="shared" si="38"/>
        <v>0.81112656042401154</v>
      </c>
      <c r="F137" s="716">
        <f t="shared" si="38"/>
        <v>0.81112656042401154</v>
      </c>
      <c r="G137" s="716">
        <f t="shared" si="38"/>
        <v>0.81112656042401154</v>
      </c>
      <c r="H137" s="716">
        <f t="shared" si="38"/>
        <v>0.81112656042401154</v>
      </c>
      <c r="I137" s="716">
        <f t="shared" si="38"/>
        <v>0.81112656042401154</v>
      </c>
      <c r="J137" s="716">
        <f t="shared" si="38"/>
        <v>0.81112656042401154</v>
      </c>
      <c r="K137" s="716">
        <f t="shared" si="38"/>
        <v>0.81112656042401154</v>
      </c>
      <c r="L137" s="716">
        <f t="shared" si="38"/>
        <v>0.81112656042401154</v>
      </c>
    </row>
    <row r="138" spans="2:12">
      <c r="B138" s="719" t="str">
        <f t="shared" si="29"/>
        <v>Drama</v>
      </c>
      <c r="C138" s="715">
        <f t="shared" si="30"/>
        <v>0.92639440765268577</v>
      </c>
      <c r="D138" s="716">
        <f t="shared" ref="D138:L138" si="39">C138</f>
        <v>0.92639440765268577</v>
      </c>
      <c r="E138" s="716">
        <f t="shared" si="39"/>
        <v>0.92639440765268577</v>
      </c>
      <c r="F138" s="716">
        <f t="shared" si="39"/>
        <v>0.92639440765268577</v>
      </c>
      <c r="G138" s="716">
        <f t="shared" si="39"/>
        <v>0.92639440765268577</v>
      </c>
      <c r="H138" s="716">
        <f t="shared" si="39"/>
        <v>0.92639440765268577</v>
      </c>
      <c r="I138" s="716">
        <f t="shared" si="39"/>
        <v>0.92639440765268577</v>
      </c>
      <c r="J138" s="716">
        <f t="shared" si="39"/>
        <v>0.92639440765268577</v>
      </c>
      <c r="K138" s="716">
        <f t="shared" si="39"/>
        <v>0.92639440765268577</v>
      </c>
      <c r="L138" s="716">
        <f t="shared" si="39"/>
        <v>0.92639440765268577</v>
      </c>
    </row>
    <row r="139" spans="2:12">
      <c r="B139" s="719" t="str">
        <f t="shared" si="29"/>
        <v>English</v>
      </c>
      <c r="C139" s="715">
        <f t="shared" si="30"/>
        <v>0.93730479165352487</v>
      </c>
      <c r="D139" s="716">
        <f t="shared" ref="D139:L139" si="40">C139</f>
        <v>0.93730479165352487</v>
      </c>
      <c r="E139" s="716">
        <f t="shared" si="40"/>
        <v>0.93730479165352487</v>
      </c>
      <c r="F139" s="716">
        <f t="shared" si="40"/>
        <v>0.93730479165352487</v>
      </c>
      <c r="G139" s="716">
        <f t="shared" si="40"/>
        <v>0.93730479165352487</v>
      </c>
      <c r="H139" s="716">
        <f t="shared" si="40"/>
        <v>0.93730479165352487</v>
      </c>
      <c r="I139" s="716">
        <f t="shared" si="40"/>
        <v>0.93730479165352487</v>
      </c>
      <c r="J139" s="716">
        <f t="shared" si="40"/>
        <v>0.93730479165352487</v>
      </c>
      <c r="K139" s="716">
        <f t="shared" si="40"/>
        <v>0.93730479165352487</v>
      </c>
      <c r="L139" s="716">
        <f t="shared" si="40"/>
        <v>0.93730479165352487</v>
      </c>
    </row>
    <row r="140" spans="2:12">
      <c r="B140" s="719" t="str">
        <f t="shared" si="29"/>
        <v>Food</v>
      </c>
      <c r="C140" s="715">
        <f t="shared" si="30"/>
        <v>0.81112656042401154</v>
      </c>
      <c r="D140" s="716">
        <f t="shared" ref="D140:L140" si="41">C140</f>
        <v>0.81112656042401154</v>
      </c>
      <c r="E140" s="716">
        <f t="shared" si="41"/>
        <v>0.81112656042401154</v>
      </c>
      <c r="F140" s="716">
        <f t="shared" si="41"/>
        <v>0.81112656042401154</v>
      </c>
      <c r="G140" s="716">
        <f t="shared" si="41"/>
        <v>0.81112656042401154</v>
      </c>
      <c r="H140" s="716">
        <f t="shared" si="41"/>
        <v>0.81112656042401154</v>
      </c>
      <c r="I140" s="716">
        <f t="shared" si="41"/>
        <v>0.81112656042401154</v>
      </c>
      <c r="J140" s="716">
        <f t="shared" si="41"/>
        <v>0.81112656042401154</v>
      </c>
      <c r="K140" s="716">
        <f t="shared" si="41"/>
        <v>0.81112656042401154</v>
      </c>
      <c r="L140" s="716">
        <f t="shared" si="41"/>
        <v>0.81112656042401154</v>
      </c>
    </row>
    <row r="141" spans="2:12">
      <c r="B141" s="719" t="str">
        <f t="shared" si="29"/>
        <v>Geography</v>
      </c>
      <c r="C141" s="715">
        <f t="shared" si="30"/>
        <v>0.83959637343044646</v>
      </c>
      <c r="D141" s="716">
        <f t="shared" ref="D141:L141" si="42">C141</f>
        <v>0.83959637343044646</v>
      </c>
      <c r="E141" s="716">
        <f t="shared" si="42"/>
        <v>0.83959637343044646</v>
      </c>
      <c r="F141" s="716">
        <f t="shared" si="42"/>
        <v>0.83959637343044646</v>
      </c>
      <c r="G141" s="716">
        <f t="shared" si="42"/>
        <v>0.83959637343044646</v>
      </c>
      <c r="H141" s="716">
        <f t="shared" si="42"/>
        <v>0.83959637343044646</v>
      </c>
      <c r="I141" s="716">
        <f t="shared" si="42"/>
        <v>0.83959637343044646</v>
      </c>
      <c r="J141" s="716">
        <f t="shared" si="42"/>
        <v>0.83959637343044646</v>
      </c>
      <c r="K141" s="716">
        <f t="shared" si="42"/>
        <v>0.83959637343044646</v>
      </c>
      <c r="L141" s="716">
        <f t="shared" si="42"/>
        <v>0.83959637343044646</v>
      </c>
    </row>
    <row r="142" spans="2:12">
      <c r="B142" s="719" t="str">
        <f t="shared" si="29"/>
        <v>History</v>
      </c>
      <c r="C142" s="715">
        <f t="shared" si="30"/>
        <v>0.97192786216099525</v>
      </c>
      <c r="D142" s="716">
        <f t="shared" ref="D142:L142" si="43">C142</f>
        <v>0.97192786216099525</v>
      </c>
      <c r="E142" s="716">
        <f t="shared" si="43"/>
        <v>0.97192786216099525</v>
      </c>
      <c r="F142" s="716">
        <f t="shared" si="43"/>
        <v>0.97192786216099525</v>
      </c>
      <c r="G142" s="716">
        <f t="shared" si="43"/>
        <v>0.97192786216099525</v>
      </c>
      <c r="H142" s="716">
        <f t="shared" si="43"/>
        <v>0.97192786216099525</v>
      </c>
      <c r="I142" s="716">
        <f t="shared" si="43"/>
        <v>0.97192786216099525</v>
      </c>
      <c r="J142" s="716">
        <f t="shared" si="43"/>
        <v>0.97192786216099525</v>
      </c>
      <c r="K142" s="716">
        <f t="shared" si="43"/>
        <v>0.97192786216099525</v>
      </c>
      <c r="L142" s="716">
        <f t="shared" si="43"/>
        <v>0.97192786216099525</v>
      </c>
    </row>
    <row r="143" spans="2:12">
      <c r="B143" s="719" t="str">
        <f t="shared" si="29"/>
        <v>Mathematics</v>
      </c>
      <c r="C143" s="715">
        <f t="shared" si="30"/>
        <v>0.88962138060637663</v>
      </c>
      <c r="D143" s="716">
        <f t="shared" ref="D143:L143" si="44">C143</f>
        <v>0.88962138060637663</v>
      </c>
      <c r="E143" s="716">
        <f t="shared" si="44"/>
        <v>0.88962138060637663</v>
      </c>
      <c r="F143" s="716">
        <f t="shared" si="44"/>
        <v>0.88962138060637663</v>
      </c>
      <c r="G143" s="716">
        <f t="shared" si="44"/>
        <v>0.88962138060637663</v>
      </c>
      <c r="H143" s="716">
        <f t="shared" si="44"/>
        <v>0.88962138060637663</v>
      </c>
      <c r="I143" s="716">
        <f t="shared" si="44"/>
        <v>0.88962138060637663</v>
      </c>
      <c r="J143" s="716">
        <f t="shared" si="44"/>
        <v>0.88962138060637663</v>
      </c>
      <c r="K143" s="716">
        <f t="shared" si="44"/>
        <v>0.88962138060637663</v>
      </c>
      <c r="L143" s="716">
        <f t="shared" si="44"/>
        <v>0.88962138060637663</v>
      </c>
    </row>
    <row r="144" spans="2:12">
      <c r="B144" s="719" t="str">
        <f t="shared" si="29"/>
        <v>Modern Foreign Languages</v>
      </c>
      <c r="C144" s="715">
        <f t="shared" si="30"/>
        <v>0.88819457544698066</v>
      </c>
      <c r="D144" s="716">
        <f t="shared" ref="D144:L144" si="45">C144</f>
        <v>0.88819457544698066</v>
      </c>
      <c r="E144" s="716">
        <f t="shared" si="45"/>
        <v>0.88819457544698066</v>
      </c>
      <c r="F144" s="716">
        <f t="shared" si="45"/>
        <v>0.88819457544698066</v>
      </c>
      <c r="G144" s="716">
        <f t="shared" si="45"/>
        <v>0.88819457544698066</v>
      </c>
      <c r="H144" s="716">
        <f t="shared" si="45"/>
        <v>0.88819457544698066</v>
      </c>
      <c r="I144" s="716">
        <f t="shared" si="45"/>
        <v>0.88819457544698066</v>
      </c>
      <c r="J144" s="716">
        <f t="shared" si="45"/>
        <v>0.88819457544698066</v>
      </c>
      <c r="K144" s="716">
        <f t="shared" si="45"/>
        <v>0.88819457544698066</v>
      </c>
      <c r="L144" s="716">
        <f t="shared" si="45"/>
        <v>0.88819457544698066</v>
      </c>
    </row>
    <row r="145" spans="2:12">
      <c r="B145" s="719" t="str">
        <f t="shared" si="29"/>
        <v>Music</v>
      </c>
      <c r="C145" s="715">
        <f t="shared" si="30"/>
        <v>0.88700740364443686</v>
      </c>
      <c r="D145" s="716">
        <f t="shared" ref="D145:L145" si="46">C145</f>
        <v>0.88700740364443686</v>
      </c>
      <c r="E145" s="716">
        <f t="shared" si="46"/>
        <v>0.88700740364443686</v>
      </c>
      <c r="F145" s="716">
        <f t="shared" si="46"/>
        <v>0.88700740364443686</v>
      </c>
      <c r="G145" s="716">
        <f t="shared" si="46"/>
        <v>0.88700740364443686</v>
      </c>
      <c r="H145" s="716">
        <f t="shared" si="46"/>
        <v>0.88700740364443686</v>
      </c>
      <c r="I145" s="716">
        <f t="shared" si="46"/>
        <v>0.88700740364443686</v>
      </c>
      <c r="J145" s="716">
        <f t="shared" si="46"/>
        <v>0.88700740364443686</v>
      </c>
      <c r="K145" s="716">
        <f t="shared" si="46"/>
        <v>0.88700740364443686</v>
      </c>
      <c r="L145" s="716">
        <f t="shared" si="46"/>
        <v>0.88700740364443686</v>
      </c>
    </row>
    <row r="146" spans="2:12">
      <c r="B146" s="719" t="str">
        <f t="shared" si="29"/>
        <v>Others</v>
      </c>
      <c r="C146" s="715">
        <f t="shared" si="30"/>
        <v>0.95505351899213786</v>
      </c>
      <c r="D146" s="716">
        <f t="shared" ref="D146:L146" si="47">C146</f>
        <v>0.95505351899213786</v>
      </c>
      <c r="E146" s="716">
        <f t="shared" si="47"/>
        <v>0.95505351899213786</v>
      </c>
      <c r="F146" s="716">
        <f t="shared" si="47"/>
        <v>0.95505351899213786</v>
      </c>
      <c r="G146" s="716">
        <f t="shared" si="47"/>
        <v>0.95505351899213786</v>
      </c>
      <c r="H146" s="716">
        <f t="shared" si="47"/>
        <v>0.95505351899213786</v>
      </c>
      <c r="I146" s="716">
        <f t="shared" si="47"/>
        <v>0.95505351899213786</v>
      </c>
      <c r="J146" s="716">
        <f t="shared" si="47"/>
        <v>0.95505351899213786</v>
      </c>
      <c r="K146" s="716">
        <f t="shared" si="47"/>
        <v>0.95505351899213786</v>
      </c>
      <c r="L146" s="716">
        <f t="shared" si="47"/>
        <v>0.95505351899213786</v>
      </c>
    </row>
    <row r="147" spans="2:12">
      <c r="B147" s="719" t="str">
        <f t="shared" si="29"/>
        <v>Physical Education</v>
      </c>
      <c r="C147" s="715">
        <f t="shared" si="30"/>
        <v>0.94858407735876904</v>
      </c>
      <c r="D147" s="716">
        <f t="shared" ref="D147:L147" si="48">C147</f>
        <v>0.94858407735876904</v>
      </c>
      <c r="E147" s="716">
        <f t="shared" si="48"/>
        <v>0.94858407735876904</v>
      </c>
      <c r="F147" s="716">
        <f t="shared" si="48"/>
        <v>0.94858407735876904</v>
      </c>
      <c r="G147" s="716">
        <f t="shared" si="48"/>
        <v>0.94858407735876904</v>
      </c>
      <c r="H147" s="716">
        <f t="shared" si="48"/>
        <v>0.94858407735876904</v>
      </c>
      <c r="I147" s="716">
        <f t="shared" si="48"/>
        <v>0.94858407735876904</v>
      </c>
      <c r="J147" s="716">
        <f t="shared" si="48"/>
        <v>0.94858407735876904</v>
      </c>
      <c r="K147" s="716">
        <f t="shared" si="48"/>
        <v>0.94858407735876904</v>
      </c>
      <c r="L147" s="716">
        <f t="shared" si="48"/>
        <v>0.94858407735876904</v>
      </c>
    </row>
    <row r="148" spans="2:12">
      <c r="B148" s="719" t="str">
        <f t="shared" si="29"/>
        <v>Physics</v>
      </c>
      <c r="C148" s="715">
        <f t="shared" si="30"/>
        <v>0.81635289774824649</v>
      </c>
      <c r="D148" s="716">
        <f t="shared" ref="D148:L148" si="49">C148</f>
        <v>0.81635289774824649</v>
      </c>
      <c r="E148" s="716">
        <f t="shared" si="49"/>
        <v>0.81635289774824649</v>
      </c>
      <c r="F148" s="716">
        <f t="shared" si="49"/>
        <v>0.81635289774824649</v>
      </c>
      <c r="G148" s="716">
        <f t="shared" si="49"/>
        <v>0.81635289774824649</v>
      </c>
      <c r="H148" s="716">
        <f t="shared" si="49"/>
        <v>0.81635289774824649</v>
      </c>
      <c r="I148" s="716">
        <f t="shared" si="49"/>
        <v>0.81635289774824649</v>
      </c>
      <c r="J148" s="716">
        <f t="shared" si="49"/>
        <v>0.81635289774824649</v>
      </c>
      <c r="K148" s="716">
        <f t="shared" si="49"/>
        <v>0.81635289774824649</v>
      </c>
      <c r="L148" s="716">
        <f t="shared" si="49"/>
        <v>0.81635289774824649</v>
      </c>
    </row>
    <row r="149" spans="2:12">
      <c r="B149" s="719" t="str">
        <f t="shared" si="29"/>
        <v>Religious Education</v>
      </c>
      <c r="C149" s="715">
        <f t="shared" si="30"/>
        <v>0.88969404186795487</v>
      </c>
      <c r="D149" s="716">
        <f t="shared" ref="D149:L149" si="50">C149</f>
        <v>0.88969404186795487</v>
      </c>
      <c r="E149" s="716">
        <f t="shared" si="50"/>
        <v>0.88969404186795487</v>
      </c>
      <c r="F149" s="716">
        <f t="shared" si="50"/>
        <v>0.88969404186795487</v>
      </c>
      <c r="G149" s="716">
        <f t="shared" si="50"/>
        <v>0.88969404186795487</v>
      </c>
      <c r="H149" s="716">
        <f t="shared" si="50"/>
        <v>0.88969404186795487</v>
      </c>
      <c r="I149" s="716">
        <f t="shared" si="50"/>
        <v>0.88969404186795487</v>
      </c>
      <c r="J149" s="716">
        <f t="shared" si="50"/>
        <v>0.88969404186795487</v>
      </c>
      <c r="K149" s="716">
        <f t="shared" si="50"/>
        <v>0.88969404186795487</v>
      </c>
      <c r="L149" s="716">
        <f t="shared" si="50"/>
        <v>0.88969404186795487</v>
      </c>
    </row>
    <row r="151" spans="2:12" ht="15.75">
      <c r="B151" s="713" t="s">
        <v>1096</v>
      </c>
      <c r="C151" s="707"/>
      <c r="D151" s="707"/>
      <c r="E151" s="707"/>
      <c r="F151" s="707"/>
      <c r="G151" s="707"/>
      <c r="H151" s="707"/>
      <c r="I151" s="707"/>
      <c r="J151" s="708"/>
      <c r="K151" s="707"/>
      <c r="L151" s="707"/>
    </row>
    <row r="153" spans="2:12">
      <c r="B153" s="721" t="s">
        <v>702</v>
      </c>
      <c r="C153" s="707"/>
      <c r="D153" s="707"/>
      <c r="E153" s="707"/>
      <c r="F153" s="707"/>
      <c r="G153" s="707"/>
      <c r="H153" s="707"/>
      <c r="I153" s="707"/>
      <c r="J153" s="707"/>
      <c r="K153" s="707"/>
      <c r="L153" s="707"/>
    </row>
    <row r="155" spans="2:12">
      <c r="B155" s="719" t="str">
        <f t="shared" ref="B155:L155" si="51">B129</f>
        <v>Subject</v>
      </c>
      <c r="C155" s="705" t="str">
        <f t="shared" si="51"/>
        <v>2018/19</v>
      </c>
      <c r="D155" s="705" t="str">
        <f t="shared" si="51"/>
        <v>2019/20</v>
      </c>
      <c r="E155" s="705" t="str">
        <f t="shared" si="51"/>
        <v>2020/21</v>
      </c>
      <c r="F155" s="705" t="str">
        <f t="shared" si="51"/>
        <v>2021/22</v>
      </c>
      <c r="G155" s="705" t="str">
        <f t="shared" si="51"/>
        <v>2022/23</v>
      </c>
      <c r="H155" s="705" t="str">
        <f t="shared" si="51"/>
        <v>2023/24</v>
      </c>
      <c r="I155" s="705" t="str">
        <f t="shared" si="51"/>
        <v>2024/25</v>
      </c>
      <c r="J155" s="705" t="str">
        <f t="shared" si="51"/>
        <v>2025/26</v>
      </c>
      <c r="K155" s="705" t="str">
        <f t="shared" si="51"/>
        <v>2026/27</v>
      </c>
      <c r="L155" s="705" t="str">
        <f t="shared" si="51"/>
        <v>2027/28</v>
      </c>
    </row>
    <row r="156" spans="2:12">
      <c r="B156" s="719" t="str">
        <f t="shared" ref="B156:B175" si="52">B130</f>
        <v>Primary</v>
      </c>
      <c r="C156" s="715">
        <f t="shared" ref="C156:C175" si="53">F22</f>
        <v>0.84699298212213059</v>
      </c>
      <c r="D156" s="716">
        <f>C156</f>
        <v>0.84699298212213059</v>
      </c>
      <c r="E156" s="716">
        <f t="shared" ref="E156:L156" si="54">D156</f>
        <v>0.84699298212213059</v>
      </c>
      <c r="F156" s="716">
        <f t="shared" si="54"/>
        <v>0.84699298212213059</v>
      </c>
      <c r="G156" s="716">
        <f t="shared" si="54"/>
        <v>0.84699298212213059</v>
      </c>
      <c r="H156" s="716">
        <f t="shared" si="54"/>
        <v>0.84699298212213059</v>
      </c>
      <c r="I156" s="716">
        <f t="shared" si="54"/>
        <v>0.84699298212213059</v>
      </c>
      <c r="J156" s="716">
        <f t="shared" si="54"/>
        <v>0.84699298212213059</v>
      </c>
      <c r="K156" s="716">
        <f t="shared" si="54"/>
        <v>0.84699298212213059</v>
      </c>
      <c r="L156" s="716">
        <f t="shared" si="54"/>
        <v>0.84699298212213059</v>
      </c>
    </row>
    <row r="157" spans="2:12">
      <c r="B157" s="719" t="str">
        <f t="shared" si="52"/>
        <v>Art &amp; Design</v>
      </c>
      <c r="C157" s="715">
        <f t="shared" si="53"/>
        <v>0.77686364803971064</v>
      </c>
      <c r="D157" s="716">
        <f t="shared" ref="D157:L157" si="55">C157</f>
        <v>0.77686364803971064</v>
      </c>
      <c r="E157" s="716">
        <f t="shared" si="55"/>
        <v>0.77686364803971064</v>
      </c>
      <c r="F157" s="716">
        <f t="shared" si="55"/>
        <v>0.77686364803971064</v>
      </c>
      <c r="G157" s="716">
        <f t="shared" si="55"/>
        <v>0.77686364803971064</v>
      </c>
      <c r="H157" s="716">
        <f t="shared" si="55"/>
        <v>0.77686364803971064</v>
      </c>
      <c r="I157" s="716">
        <f t="shared" si="55"/>
        <v>0.77686364803971064</v>
      </c>
      <c r="J157" s="716">
        <f t="shared" si="55"/>
        <v>0.77686364803971064</v>
      </c>
      <c r="K157" s="716">
        <f t="shared" si="55"/>
        <v>0.77686364803971064</v>
      </c>
      <c r="L157" s="716">
        <f t="shared" si="55"/>
        <v>0.77686364803971064</v>
      </c>
    </row>
    <row r="158" spans="2:12">
      <c r="B158" s="719" t="str">
        <f t="shared" si="52"/>
        <v>Biology</v>
      </c>
      <c r="C158" s="715">
        <f t="shared" si="53"/>
        <v>0.80646421880119445</v>
      </c>
      <c r="D158" s="716">
        <f t="shared" ref="D158:L158" si="56">C158</f>
        <v>0.80646421880119445</v>
      </c>
      <c r="E158" s="716">
        <f t="shared" si="56"/>
        <v>0.80646421880119445</v>
      </c>
      <c r="F158" s="716">
        <f t="shared" si="56"/>
        <v>0.80646421880119445</v>
      </c>
      <c r="G158" s="716">
        <f t="shared" si="56"/>
        <v>0.80646421880119445</v>
      </c>
      <c r="H158" s="716">
        <f t="shared" si="56"/>
        <v>0.80646421880119445</v>
      </c>
      <c r="I158" s="716">
        <f t="shared" si="56"/>
        <v>0.80646421880119445</v>
      </c>
      <c r="J158" s="716">
        <f t="shared" si="56"/>
        <v>0.80646421880119445</v>
      </c>
      <c r="K158" s="716">
        <f t="shared" si="56"/>
        <v>0.80646421880119445</v>
      </c>
      <c r="L158" s="716">
        <f t="shared" si="56"/>
        <v>0.80646421880119445</v>
      </c>
    </row>
    <row r="159" spans="2:12">
      <c r="B159" s="719" t="str">
        <f t="shared" si="52"/>
        <v>Business Studies</v>
      </c>
      <c r="C159" s="715">
        <f t="shared" si="53"/>
        <v>0.79639211278917155</v>
      </c>
      <c r="D159" s="716">
        <f t="shared" ref="D159:L159" si="57">C159</f>
        <v>0.79639211278917155</v>
      </c>
      <c r="E159" s="716">
        <f t="shared" si="57"/>
        <v>0.79639211278917155</v>
      </c>
      <c r="F159" s="716">
        <f t="shared" si="57"/>
        <v>0.79639211278917155</v>
      </c>
      <c r="G159" s="716">
        <f t="shared" si="57"/>
        <v>0.79639211278917155</v>
      </c>
      <c r="H159" s="716">
        <f t="shared" si="57"/>
        <v>0.79639211278917155</v>
      </c>
      <c r="I159" s="716">
        <f t="shared" si="57"/>
        <v>0.79639211278917155</v>
      </c>
      <c r="J159" s="716">
        <f t="shared" si="57"/>
        <v>0.79639211278917155</v>
      </c>
      <c r="K159" s="716">
        <f t="shared" si="57"/>
        <v>0.79639211278917155</v>
      </c>
      <c r="L159" s="716">
        <f t="shared" si="57"/>
        <v>0.79639211278917155</v>
      </c>
    </row>
    <row r="160" spans="2:12">
      <c r="B160" s="719" t="str">
        <f t="shared" si="52"/>
        <v>Chemistry</v>
      </c>
      <c r="C160" s="715">
        <f t="shared" si="53"/>
        <v>0.79521046979000787</v>
      </c>
      <c r="D160" s="716">
        <f t="shared" ref="D160:L160" si="58">C160</f>
        <v>0.79521046979000787</v>
      </c>
      <c r="E160" s="716">
        <f t="shared" si="58"/>
        <v>0.79521046979000787</v>
      </c>
      <c r="F160" s="716">
        <f t="shared" si="58"/>
        <v>0.79521046979000787</v>
      </c>
      <c r="G160" s="716">
        <f t="shared" si="58"/>
        <v>0.79521046979000787</v>
      </c>
      <c r="H160" s="716">
        <f t="shared" si="58"/>
        <v>0.79521046979000787</v>
      </c>
      <c r="I160" s="716">
        <f t="shared" si="58"/>
        <v>0.79521046979000787</v>
      </c>
      <c r="J160" s="716">
        <f t="shared" si="58"/>
        <v>0.79521046979000787</v>
      </c>
      <c r="K160" s="716">
        <f t="shared" si="58"/>
        <v>0.79521046979000787</v>
      </c>
      <c r="L160" s="716">
        <f t="shared" si="58"/>
        <v>0.79521046979000787</v>
      </c>
    </row>
    <row r="161" spans="2:12">
      <c r="B161" s="719" t="str">
        <f t="shared" si="52"/>
        <v>Classics</v>
      </c>
      <c r="C161" s="715">
        <f t="shared" si="53"/>
        <v>0.71990759890871681</v>
      </c>
      <c r="D161" s="716">
        <f t="shared" ref="D161:L161" si="59">C161</f>
        <v>0.71990759890871681</v>
      </c>
      <c r="E161" s="716">
        <f t="shared" si="59"/>
        <v>0.71990759890871681</v>
      </c>
      <c r="F161" s="716">
        <f t="shared" si="59"/>
        <v>0.71990759890871681</v>
      </c>
      <c r="G161" s="716">
        <f t="shared" si="59"/>
        <v>0.71990759890871681</v>
      </c>
      <c r="H161" s="716">
        <f t="shared" si="59"/>
        <v>0.71990759890871681</v>
      </c>
      <c r="I161" s="716">
        <f t="shared" si="59"/>
        <v>0.71990759890871681</v>
      </c>
      <c r="J161" s="716">
        <f t="shared" si="59"/>
        <v>0.71990759890871681</v>
      </c>
      <c r="K161" s="716">
        <f t="shared" si="59"/>
        <v>0.71990759890871681</v>
      </c>
      <c r="L161" s="716">
        <f t="shared" si="59"/>
        <v>0.71990759890871681</v>
      </c>
    </row>
    <row r="162" spans="2:12">
      <c r="B162" s="719" t="str">
        <f t="shared" si="52"/>
        <v>Computing</v>
      </c>
      <c r="C162" s="715">
        <f t="shared" si="53"/>
        <v>0.78599966743821004</v>
      </c>
      <c r="D162" s="716">
        <f t="shared" ref="D162:L162" si="60">C162</f>
        <v>0.78599966743821004</v>
      </c>
      <c r="E162" s="716">
        <f t="shared" si="60"/>
        <v>0.78599966743821004</v>
      </c>
      <c r="F162" s="716">
        <f t="shared" si="60"/>
        <v>0.78599966743821004</v>
      </c>
      <c r="G162" s="716">
        <f t="shared" si="60"/>
        <v>0.78599966743821004</v>
      </c>
      <c r="H162" s="716">
        <f t="shared" si="60"/>
        <v>0.78599966743821004</v>
      </c>
      <c r="I162" s="716">
        <f t="shared" si="60"/>
        <v>0.78599966743821004</v>
      </c>
      <c r="J162" s="716">
        <f t="shared" si="60"/>
        <v>0.78599966743821004</v>
      </c>
      <c r="K162" s="716">
        <f t="shared" si="60"/>
        <v>0.78599966743821004</v>
      </c>
      <c r="L162" s="716">
        <f t="shared" si="60"/>
        <v>0.78599966743821004</v>
      </c>
    </row>
    <row r="163" spans="2:12">
      <c r="B163" s="719" t="str">
        <f t="shared" si="52"/>
        <v>Design &amp; Technology</v>
      </c>
      <c r="C163" s="715">
        <f t="shared" si="53"/>
        <v>0.76405919898079722</v>
      </c>
      <c r="D163" s="716">
        <f t="shared" ref="D163:L163" si="61">C163</f>
        <v>0.76405919898079722</v>
      </c>
      <c r="E163" s="716">
        <f t="shared" si="61"/>
        <v>0.76405919898079722</v>
      </c>
      <c r="F163" s="716">
        <f t="shared" si="61"/>
        <v>0.76405919898079722</v>
      </c>
      <c r="G163" s="716">
        <f t="shared" si="61"/>
        <v>0.76405919898079722</v>
      </c>
      <c r="H163" s="716">
        <f t="shared" si="61"/>
        <v>0.76405919898079722</v>
      </c>
      <c r="I163" s="716">
        <f t="shared" si="61"/>
        <v>0.76405919898079722</v>
      </c>
      <c r="J163" s="716">
        <f t="shared" si="61"/>
        <v>0.76405919898079722</v>
      </c>
      <c r="K163" s="716">
        <f t="shared" si="61"/>
        <v>0.76405919898079722</v>
      </c>
      <c r="L163" s="716">
        <f t="shared" si="61"/>
        <v>0.76405919898079722</v>
      </c>
    </row>
    <row r="164" spans="2:12">
      <c r="B164" s="719" t="str">
        <f t="shared" si="52"/>
        <v>Drama</v>
      </c>
      <c r="C164" s="715">
        <f t="shared" si="53"/>
        <v>0.79356345580588572</v>
      </c>
      <c r="D164" s="716">
        <f t="shared" ref="D164:L164" si="62">C164</f>
        <v>0.79356345580588572</v>
      </c>
      <c r="E164" s="716">
        <f t="shared" si="62"/>
        <v>0.79356345580588572</v>
      </c>
      <c r="F164" s="716">
        <f t="shared" si="62"/>
        <v>0.79356345580588572</v>
      </c>
      <c r="G164" s="716">
        <f t="shared" si="62"/>
        <v>0.79356345580588572</v>
      </c>
      <c r="H164" s="716">
        <f t="shared" si="62"/>
        <v>0.79356345580588572</v>
      </c>
      <c r="I164" s="716">
        <f t="shared" si="62"/>
        <v>0.79356345580588572</v>
      </c>
      <c r="J164" s="716">
        <f t="shared" si="62"/>
        <v>0.79356345580588572</v>
      </c>
      <c r="K164" s="716">
        <f t="shared" si="62"/>
        <v>0.79356345580588572</v>
      </c>
      <c r="L164" s="716">
        <f t="shared" si="62"/>
        <v>0.79356345580588572</v>
      </c>
    </row>
    <row r="165" spans="2:12">
      <c r="B165" s="719" t="str">
        <f t="shared" si="52"/>
        <v>English</v>
      </c>
      <c r="C165" s="715">
        <f t="shared" si="53"/>
        <v>0.82890234132839191</v>
      </c>
      <c r="D165" s="716">
        <f t="shared" ref="D165:L165" si="63">C165</f>
        <v>0.82890234132839191</v>
      </c>
      <c r="E165" s="716">
        <f t="shared" si="63"/>
        <v>0.82890234132839191</v>
      </c>
      <c r="F165" s="716">
        <f t="shared" si="63"/>
        <v>0.82890234132839191</v>
      </c>
      <c r="G165" s="716">
        <f t="shared" si="63"/>
        <v>0.82890234132839191</v>
      </c>
      <c r="H165" s="716">
        <f t="shared" si="63"/>
        <v>0.82890234132839191</v>
      </c>
      <c r="I165" s="716">
        <f t="shared" si="63"/>
        <v>0.82890234132839191</v>
      </c>
      <c r="J165" s="716">
        <f t="shared" si="63"/>
        <v>0.82890234132839191</v>
      </c>
      <c r="K165" s="716">
        <f t="shared" si="63"/>
        <v>0.82890234132839191</v>
      </c>
      <c r="L165" s="716">
        <f t="shared" si="63"/>
        <v>0.82890234132839191</v>
      </c>
    </row>
    <row r="166" spans="2:12">
      <c r="B166" s="719" t="str">
        <f t="shared" si="52"/>
        <v>Food</v>
      </c>
      <c r="C166" s="715">
        <f t="shared" si="53"/>
        <v>0.71990759890871681</v>
      </c>
      <c r="D166" s="716">
        <f t="shared" ref="D166:L166" si="64">C166</f>
        <v>0.71990759890871681</v>
      </c>
      <c r="E166" s="716">
        <f t="shared" si="64"/>
        <v>0.71990759890871681</v>
      </c>
      <c r="F166" s="716">
        <f t="shared" si="64"/>
        <v>0.71990759890871681</v>
      </c>
      <c r="G166" s="716">
        <f t="shared" si="64"/>
        <v>0.71990759890871681</v>
      </c>
      <c r="H166" s="716">
        <f t="shared" si="64"/>
        <v>0.71990759890871681</v>
      </c>
      <c r="I166" s="716">
        <f t="shared" si="64"/>
        <v>0.71990759890871681</v>
      </c>
      <c r="J166" s="716">
        <f t="shared" si="64"/>
        <v>0.71990759890871681</v>
      </c>
      <c r="K166" s="716">
        <f t="shared" si="64"/>
        <v>0.71990759890871681</v>
      </c>
      <c r="L166" s="716">
        <f t="shared" si="64"/>
        <v>0.71990759890871681</v>
      </c>
    </row>
    <row r="167" spans="2:12">
      <c r="B167" s="719" t="str">
        <f t="shared" si="52"/>
        <v>Geography</v>
      </c>
      <c r="C167" s="715">
        <f t="shared" si="53"/>
        <v>0.80329453266388851</v>
      </c>
      <c r="D167" s="716">
        <f t="shared" ref="D167:L167" si="65">C167</f>
        <v>0.80329453266388851</v>
      </c>
      <c r="E167" s="716">
        <f t="shared" si="65"/>
        <v>0.80329453266388851</v>
      </c>
      <c r="F167" s="716">
        <f t="shared" si="65"/>
        <v>0.80329453266388851</v>
      </c>
      <c r="G167" s="716">
        <f t="shared" si="65"/>
        <v>0.80329453266388851</v>
      </c>
      <c r="H167" s="716">
        <f t="shared" si="65"/>
        <v>0.80329453266388851</v>
      </c>
      <c r="I167" s="716">
        <f t="shared" si="65"/>
        <v>0.80329453266388851</v>
      </c>
      <c r="J167" s="716">
        <f t="shared" si="65"/>
        <v>0.80329453266388851</v>
      </c>
      <c r="K167" s="716">
        <f t="shared" si="65"/>
        <v>0.80329453266388851</v>
      </c>
      <c r="L167" s="716">
        <f t="shared" si="65"/>
        <v>0.80329453266388851</v>
      </c>
    </row>
    <row r="168" spans="2:12">
      <c r="B168" s="719" t="str">
        <f t="shared" si="52"/>
        <v>History</v>
      </c>
      <c r="C168" s="715">
        <f t="shared" si="53"/>
        <v>0.83076478448333912</v>
      </c>
      <c r="D168" s="716">
        <f t="shared" ref="D168:L168" si="66">C168</f>
        <v>0.83076478448333912</v>
      </c>
      <c r="E168" s="716">
        <f t="shared" si="66"/>
        <v>0.83076478448333912</v>
      </c>
      <c r="F168" s="716">
        <f t="shared" si="66"/>
        <v>0.83076478448333912</v>
      </c>
      <c r="G168" s="716">
        <f t="shared" si="66"/>
        <v>0.83076478448333912</v>
      </c>
      <c r="H168" s="716">
        <f t="shared" si="66"/>
        <v>0.83076478448333912</v>
      </c>
      <c r="I168" s="716">
        <f t="shared" si="66"/>
        <v>0.83076478448333912</v>
      </c>
      <c r="J168" s="716">
        <f t="shared" si="66"/>
        <v>0.83076478448333912</v>
      </c>
      <c r="K168" s="716">
        <f t="shared" si="66"/>
        <v>0.83076478448333912</v>
      </c>
      <c r="L168" s="716">
        <f t="shared" si="66"/>
        <v>0.83076478448333912</v>
      </c>
    </row>
    <row r="169" spans="2:12">
      <c r="B169" s="719" t="str">
        <f t="shared" si="52"/>
        <v>Mathematics</v>
      </c>
      <c r="C169" s="715">
        <f t="shared" si="53"/>
        <v>0.81221997939458079</v>
      </c>
      <c r="D169" s="716">
        <f t="shared" ref="D169:L169" si="67">C169</f>
        <v>0.81221997939458079</v>
      </c>
      <c r="E169" s="716">
        <f t="shared" si="67"/>
        <v>0.81221997939458079</v>
      </c>
      <c r="F169" s="716">
        <f t="shared" si="67"/>
        <v>0.81221997939458079</v>
      </c>
      <c r="G169" s="716">
        <f t="shared" si="67"/>
        <v>0.81221997939458079</v>
      </c>
      <c r="H169" s="716">
        <f t="shared" si="67"/>
        <v>0.81221997939458079</v>
      </c>
      <c r="I169" s="716">
        <f t="shared" si="67"/>
        <v>0.81221997939458079</v>
      </c>
      <c r="J169" s="716">
        <f t="shared" si="67"/>
        <v>0.81221997939458079</v>
      </c>
      <c r="K169" s="716">
        <f t="shared" si="67"/>
        <v>0.81221997939458079</v>
      </c>
      <c r="L169" s="716">
        <f t="shared" si="67"/>
        <v>0.81221997939458079</v>
      </c>
    </row>
    <row r="170" spans="2:12">
      <c r="B170" s="719" t="str">
        <f t="shared" si="52"/>
        <v>Modern Foreign Languages</v>
      </c>
      <c r="C170" s="715">
        <f t="shared" si="53"/>
        <v>0.75923142968332979</v>
      </c>
      <c r="D170" s="716">
        <f t="shared" ref="D170:L170" si="68">C170</f>
        <v>0.75923142968332979</v>
      </c>
      <c r="E170" s="716">
        <f t="shared" si="68"/>
        <v>0.75923142968332979</v>
      </c>
      <c r="F170" s="716">
        <f t="shared" si="68"/>
        <v>0.75923142968332979</v>
      </c>
      <c r="G170" s="716">
        <f t="shared" si="68"/>
        <v>0.75923142968332979</v>
      </c>
      <c r="H170" s="716">
        <f t="shared" si="68"/>
        <v>0.75923142968332979</v>
      </c>
      <c r="I170" s="716">
        <f t="shared" si="68"/>
        <v>0.75923142968332979</v>
      </c>
      <c r="J170" s="716">
        <f t="shared" si="68"/>
        <v>0.75923142968332979</v>
      </c>
      <c r="K170" s="716">
        <f t="shared" si="68"/>
        <v>0.75923142968332979</v>
      </c>
      <c r="L170" s="716">
        <f t="shared" si="68"/>
        <v>0.75923142968332979</v>
      </c>
    </row>
    <row r="171" spans="2:12">
      <c r="B171" s="719" t="str">
        <f t="shared" si="52"/>
        <v>Music</v>
      </c>
      <c r="C171" s="715">
        <f t="shared" si="53"/>
        <v>0.77350005997423954</v>
      </c>
      <c r="D171" s="716">
        <f t="shared" ref="D171:L171" si="69">C171</f>
        <v>0.77350005997423954</v>
      </c>
      <c r="E171" s="716">
        <f t="shared" si="69"/>
        <v>0.77350005997423954</v>
      </c>
      <c r="F171" s="716">
        <f t="shared" si="69"/>
        <v>0.77350005997423954</v>
      </c>
      <c r="G171" s="716">
        <f t="shared" si="69"/>
        <v>0.77350005997423954</v>
      </c>
      <c r="H171" s="716">
        <f t="shared" si="69"/>
        <v>0.77350005997423954</v>
      </c>
      <c r="I171" s="716">
        <f t="shared" si="69"/>
        <v>0.77350005997423954</v>
      </c>
      <c r="J171" s="716">
        <f t="shared" si="69"/>
        <v>0.77350005997423954</v>
      </c>
      <c r="K171" s="716">
        <f t="shared" si="69"/>
        <v>0.77350005997423954</v>
      </c>
      <c r="L171" s="716">
        <f t="shared" si="69"/>
        <v>0.77350005997423954</v>
      </c>
    </row>
    <row r="172" spans="2:12">
      <c r="B172" s="719" t="str">
        <f t="shared" si="52"/>
        <v>Others</v>
      </c>
      <c r="C172" s="715">
        <f t="shared" si="53"/>
        <v>0.80180898998683592</v>
      </c>
      <c r="D172" s="716">
        <f t="shared" ref="D172:L172" si="70">C172</f>
        <v>0.80180898998683592</v>
      </c>
      <c r="E172" s="716">
        <f t="shared" si="70"/>
        <v>0.80180898998683592</v>
      </c>
      <c r="F172" s="716">
        <f t="shared" si="70"/>
        <v>0.80180898998683592</v>
      </c>
      <c r="G172" s="716">
        <f t="shared" si="70"/>
        <v>0.80180898998683592</v>
      </c>
      <c r="H172" s="716">
        <f t="shared" si="70"/>
        <v>0.80180898998683592</v>
      </c>
      <c r="I172" s="716">
        <f t="shared" si="70"/>
        <v>0.80180898998683592</v>
      </c>
      <c r="J172" s="716">
        <f t="shared" si="70"/>
        <v>0.80180898998683592</v>
      </c>
      <c r="K172" s="716">
        <f t="shared" si="70"/>
        <v>0.80180898998683592</v>
      </c>
      <c r="L172" s="716">
        <f t="shared" si="70"/>
        <v>0.80180898998683592</v>
      </c>
    </row>
    <row r="173" spans="2:12">
      <c r="B173" s="719" t="str">
        <f t="shared" si="52"/>
        <v>Physical Education</v>
      </c>
      <c r="C173" s="715">
        <f t="shared" si="53"/>
        <v>0.76424549625189808</v>
      </c>
      <c r="D173" s="716">
        <f t="shared" ref="D173:L173" si="71">C173</f>
        <v>0.76424549625189808</v>
      </c>
      <c r="E173" s="716">
        <f t="shared" si="71"/>
        <v>0.76424549625189808</v>
      </c>
      <c r="F173" s="716">
        <f t="shared" si="71"/>
        <v>0.76424549625189808</v>
      </c>
      <c r="G173" s="716">
        <f t="shared" si="71"/>
        <v>0.76424549625189808</v>
      </c>
      <c r="H173" s="716">
        <f t="shared" si="71"/>
        <v>0.76424549625189808</v>
      </c>
      <c r="I173" s="716">
        <f t="shared" si="71"/>
        <v>0.76424549625189808</v>
      </c>
      <c r="J173" s="716">
        <f t="shared" si="71"/>
        <v>0.76424549625189808</v>
      </c>
      <c r="K173" s="716">
        <f t="shared" si="71"/>
        <v>0.76424549625189808</v>
      </c>
      <c r="L173" s="716">
        <f t="shared" si="71"/>
        <v>0.76424549625189808</v>
      </c>
    </row>
    <row r="174" spans="2:12">
      <c r="B174" s="719" t="str">
        <f t="shared" si="52"/>
        <v>Physics</v>
      </c>
      <c r="C174" s="715">
        <f t="shared" si="53"/>
        <v>0.76948776337607572</v>
      </c>
      <c r="D174" s="716">
        <f t="shared" ref="D174:L174" si="72">C174</f>
        <v>0.76948776337607572</v>
      </c>
      <c r="E174" s="716">
        <f t="shared" si="72"/>
        <v>0.76948776337607572</v>
      </c>
      <c r="F174" s="716">
        <f t="shared" si="72"/>
        <v>0.76948776337607572</v>
      </c>
      <c r="G174" s="716">
        <f t="shared" si="72"/>
        <v>0.76948776337607572</v>
      </c>
      <c r="H174" s="716">
        <f t="shared" si="72"/>
        <v>0.76948776337607572</v>
      </c>
      <c r="I174" s="716">
        <f t="shared" si="72"/>
        <v>0.76948776337607572</v>
      </c>
      <c r="J174" s="716">
        <f t="shared" si="72"/>
        <v>0.76948776337607572</v>
      </c>
      <c r="K174" s="716">
        <f t="shared" si="72"/>
        <v>0.76948776337607572</v>
      </c>
      <c r="L174" s="716">
        <f t="shared" si="72"/>
        <v>0.76948776337607572</v>
      </c>
    </row>
    <row r="175" spans="2:12">
      <c r="B175" s="719" t="str">
        <f t="shared" si="52"/>
        <v>Religious Education</v>
      </c>
      <c r="C175" s="715">
        <f t="shared" si="53"/>
        <v>0.7969153583351698</v>
      </c>
      <c r="D175" s="716">
        <f t="shared" ref="D175:L175" si="73">C175</f>
        <v>0.7969153583351698</v>
      </c>
      <c r="E175" s="716">
        <f t="shared" si="73"/>
        <v>0.7969153583351698</v>
      </c>
      <c r="F175" s="716">
        <f t="shared" si="73"/>
        <v>0.7969153583351698</v>
      </c>
      <c r="G175" s="716">
        <f t="shared" si="73"/>
        <v>0.7969153583351698</v>
      </c>
      <c r="H175" s="716">
        <f t="shared" si="73"/>
        <v>0.7969153583351698</v>
      </c>
      <c r="I175" s="716">
        <f t="shared" si="73"/>
        <v>0.7969153583351698</v>
      </c>
      <c r="J175" s="716">
        <f t="shared" si="73"/>
        <v>0.7969153583351698</v>
      </c>
      <c r="K175" s="716">
        <f t="shared" si="73"/>
        <v>0.7969153583351698</v>
      </c>
      <c r="L175" s="716">
        <f t="shared" si="73"/>
        <v>0.7969153583351698</v>
      </c>
    </row>
    <row r="177" spans="2:12">
      <c r="B177" s="721" t="s">
        <v>701</v>
      </c>
      <c r="C177" s="707"/>
      <c r="D177" s="707"/>
      <c r="E177" s="707"/>
      <c r="F177" s="707"/>
      <c r="G177" s="707"/>
      <c r="H177" s="707"/>
      <c r="I177" s="707"/>
      <c r="J177" s="707"/>
      <c r="K177" s="707"/>
      <c r="L177" s="707"/>
    </row>
    <row r="179" spans="2:12">
      <c r="B179" s="719" t="str">
        <f t="shared" ref="B179:L179" si="74">B155</f>
        <v>Subject</v>
      </c>
      <c r="C179" s="705" t="str">
        <f t="shared" si="74"/>
        <v>2018/19</v>
      </c>
      <c r="D179" s="705" t="str">
        <f t="shared" si="74"/>
        <v>2019/20</v>
      </c>
      <c r="E179" s="705" t="str">
        <f t="shared" si="74"/>
        <v>2020/21</v>
      </c>
      <c r="F179" s="705" t="str">
        <f t="shared" si="74"/>
        <v>2021/22</v>
      </c>
      <c r="G179" s="705" t="str">
        <f t="shared" si="74"/>
        <v>2022/23</v>
      </c>
      <c r="H179" s="705" t="str">
        <f t="shared" si="74"/>
        <v>2023/24</v>
      </c>
      <c r="I179" s="705" t="str">
        <f t="shared" si="74"/>
        <v>2024/25</v>
      </c>
      <c r="J179" s="705" t="str">
        <f t="shared" si="74"/>
        <v>2025/26</v>
      </c>
      <c r="K179" s="705" t="str">
        <f t="shared" si="74"/>
        <v>2026/27</v>
      </c>
      <c r="L179" s="705" t="str">
        <f t="shared" si="74"/>
        <v>2027/28</v>
      </c>
    </row>
    <row r="180" spans="2:12">
      <c r="B180" s="719" t="str">
        <f t="shared" ref="B180:B199" si="75">B156</f>
        <v>Primary</v>
      </c>
      <c r="C180" s="715">
        <f t="shared" ref="C180:C199" si="76">G22</f>
        <v>0.86934370616490853</v>
      </c>
      <c r="D180" s="716">
        <f>C180</f>
        <v>0.86934370616490853</v>
      </c>
      <c r="E180" s="716">
        <f t="shared" ref="E180:L180" si="77">D180</f>
        <v>0.86934370616490853</v>
      </c>
      <c r="F180" s="716">
        <f t="shared" si="77"/>
        <v>0.86934370616490853</v>
      </c>
      <c r="G180" s="716">
        <f t="shared" si="77"/>
        <v>0.86934370616490853</v>
      </c>
      <c r="H180" s="716">
        <f t="shared" si="77"/>
        <v>0.86934370616490853</v>
      </c>
      <c r="I180" s="716">
        <f t="shared" si="77"/>
        <v>0.86934370616490853</v>
      </c>
      <c r="J180" s="716">
        <f t="shared" si="77"/>
        <v>0.86934370616490853</v>
      </c>
      <c r="K180" s="716">
        <f t="shared" si="77"/>
        <v>0.86934370616490853</v>
      </c>
      <c r="L180" s="716">
        <f t="shared" si="77"/>
        <v>0.86934370616490853</v>
      </c>
    </row>
    <row r="181" spans="2:12">
      <c r="B181" s="719" t="str">
        <f t="shared" si="75"/>
        <v>Art &amp; Design</v>
      </c>
      <c r="C181" s="715">
        <f t="shared" si="76"/>
        <v>0.8127554179566564</v>
      </c>
      <c r="D181" s="716">
        <f t="shared" ref="D181:L181" si="78">C181</f>
        <v>0.8127554179566564</v>
      </c>
      <c r="E181" s="716">
        <f t="shared" si="78"/>
        <v>0.8127554179566564</v>
      </c>
      <c r="F181" s="716">
        <f t="shared" si="78"/>
        <v>0.8127554179566564</v>
      </c>
      <c r="G181" s="716">
        <f t="shared" si="78"/>
        <v>0.8127554179566564</v>
      </c>
      <c r="H181" s="716">
        <f t="shared" si="78"/>
        <v>0.8127554179566564</v>
      </c>
      <c r="I181" s="716">
        <f t="shared" si="78"/>
        <v>0.8127554179566564</v>
      </c>
      <c r="J181" s="716">
        <f t="shared" si="78"/>
        <v>0.8127554179566564</v>
      </c>
      <c r="K181" s="716">
        <f t="shared" si="78"/>
        <v>0.8127554179566564</v>
      </c>
      <c r="L181" s="716">
        <f t="shared" si="78"/>
        <v>0.8127554179566564</v>
      </c>
    </row>
    <row r="182" spans="2:12">
      <c r="B182" s="719" t="str">
        <f t="shared" si="75"/>
        <v>Biology</v>
      </c>
      <c r="C182" s="715">
        <f t="shared" si="76"/>
        <v>0.82824951566277516</v>
      </c>
      <c r="D182" s="716">
        <f t="shared" ref="D182:L182" si="79">C182</f>
        <v>0.82824951566277516</v>
      </c>
      <c r="E182" s="716">
        <f t="shared" si="79"/>
        <v>0.82824951566277516</v>
      </c>
      <c r="F182" s="716">
        <f t="shared" si="79"/>
        <v>0.82824951566277516</v>
      </c>
      <c r="G182" s="716">
        <f t="shared" si="79"/>
        <v>0.82824951566277516</v>
      </c>
      <c r="H182" s="716">
        <f t="shared" si="79"/>
        <v>0.82824951566277516</v>
      </c>
      <c r="I182" s="716">
        <f t="shared" si="79"/>
        <v>0.82824951566277516</v>
      </c>
      <c r="J182" s="716">
        <f t="shared" si="79"/>
        <v>0.82824951566277516</v>
      </c>
      <c r="K182" s="716">
        <f t="shared" si="79"/>
        <v>0.82824951566277516</v>
      </c>
      <c r="L182" s="716">
        <f t="shared" si="79"/>
        <v>0.82824951566277516</v>
      </c>
    </row>
    <row r="183" spans="2:12">
      <c r="B183" s="719" t="str">
        <f t="shared" si="75"/>
        <v>Business Studies</v>
      </c>
      <c r="C183" s="715">
        <f t="shared" si="76"/>
        <v>0.75446035404139244</v>
      </c>
      <c r="D183" s="716">
        <f t="shared" ref="D183:L183" si="80">C183</f>
        <v>0.75446035404139244</v>
      </c>
      <c r="E183" s="716">
        <f t="shared" si="80"/>
        <v>0.75446035404139244</v>
      </c>
      <c r="F183" s="716">
        <f t="shared" si="80"/>
        <v>0.75446035404139244</v>
      </c>
      <c r="G183" s="716">
        <f t="shared" si="80"/>
        <v>0.75446035404139244</v>
      </c>
      <c r="H183" s="716">
        <f t="shared" si="80"/>
        <v>0.75446035404139244</v>
      </c>
      <c r="I183" s="716">
        <f t="shared" si="80"/>
        <v>0.75446035404139244</v>
      </c>
      <c r="J183" s="716">
        <f t="shared" si="80"/>
        <v>0.75446035404139244</v>
      </c>
      <c r="K183" s="716">
        <f t="shared" si="80"/>
        <v>0.75446035404139244</v>
      </c>
      <c r="L183" s="716">
        <f t="shared" si="80"/>
        <v>0.75446035404139244</v>
      </c>
    </row>
    <row r="184" spans="2:12">
      <c r="B184" s="719" t="str">
        <f t="shared" si="75"/>
        <v>Chemistry</v>
      </c>
      <c r="C184" s="715">
        <f t="shared" si="76"/>
        <v>0.84198645641693559</v>
      </c>
      <c r="D184" s="716">
        <f t="shared" ref="D184:L184" si="81">C184</f>
        <v>0.84198645641693559</v>
      </c>
      <c r="E184" s="716">
        <f t="shared" si="81"/>
        <v>0.84198645641693559</v>
      </c>
      <c r="F184" s="716">
        <f t="shared" si="81"/>
        <v>0.84198645641693559</v>
      </c>
      <c r="G184" s="716">
        <f t="shared" si="81"/>
        <v>0.84198645641693559</v>
      </c>
      <c r="H184" s="716">
        <f t="shared" si="81"/>
        <v>0.84198645641693559</v>
      </c>
      <c r="I184" s="716">
        <f t="shared" si="81"/>
        <v>0.84198645641693559</v>
      </c>
      <c r="J184" s="716">
        <f t="shared" si="81"/>
        <v>0.84198645641693559</v>
      </c>
      <c r="K184" s="716">
        <f t="shared" si="81"/>
        <v>0.84198645641693559</v>
      </c>
      <c r="L184" s="716">
        <f t="shared" si="81"/>
        <v>0.84198645641693559</v>
      </c>
    </row>
    <row r="185" spans="2:12">
      <c r="B185" s="719" t="str">
        <f t="shared" si="75"/>
        <v>Classics</v>
      </c>
      <c r="C185" s="715">
        <f t="shared" si="76"/>
        <v>0.75446035404139244</v>
      </c>
      <c r="D185" s="716">
        <f t="shared" ref="D185:L185" si="82">C185</f>
        <v>0.75446035404139244</v>
      </c>
      <c r="E185" s="716">
        <f t="shared" si="82"/>
        <v>0.75446035404139244</v>
      </c>
      <c r="F185" s="716">
        <f t="shared" si="82"/>
        <v>0.75446035404139244</v>
      </c>
      <c r="G185" s="716">
        <f t="shared" si="82"/>
        <v>0.75446035404139244</v>
      </c>
      <c r="H185" s="716">
        <f t="shared" si="82"/>
        <v>0.75446035404139244</v>
      </c>
      <c r="I185" s="716">
        <f t="shared" si="82"/>
        <v>0.75446035404139244</v>
      </c>
      <c r="J185" s="716">
        <f t="shared" si="82"/>
        <v>0.75446035404139244</v>
      </c>
      <c r="K185" s="716">
        <f t="shared" si="82"/>
        <v>0.75446035404139244</v>
      </c>
      <c r="L185" s="716">
        <f t="shared" si="82"/>
        <v>0.75446035404139244</v>
      </c>
    </row>
    <row r="186" spans="2:12">
      <c r="B186" s="719" t="str">
        <f t="shared" si="75"/>
        <v>Computing</v>
      </c>
      <c r="C186" s="715">
        <f t="shared" si="76"/>
        <v>0.88053418803418793</v>
      </c>
      <c r="D186" s="716">
        <f t="shared" ref="D186:L186" si="83">C186</f>
        <v>0.88053418803418793</v>
      </c>
      <c r="E186" s="716">
        <f t="shared" si="83"/>
        <v>0.88053418803418793</v>
      </c>
      <c r="F186" s="716">
        <f t="shared" si="83"/>
        <v>0.88053418803418793</v>
      </c>
      <c r="G186" s="716">
        <f t="shared" si="83"/>
        <v>0.88053418803418793</v>
      </c>
      <c r="H186" s="716">
        <f t="shared" si="83"/>
        <v>0.88053418803418793</v>
      </c>
      <c r="I186" s="716">
        <f t="shared" si="83"/>
        <v>0.88053418803418793</v>
      </c>
      <c r="J186" s="716">
        <f t="shared" si="83"/>
        <v>0.88053418803418793</v>
      </c>
      <c r="K186" s="716">
        <f t="shared" si="83"/>
        <v>0.88053418803418793</v>
      </c>
      <c r="L186" s="716">
        <f t="shared" si="83"/>
        <v>0.88053418803418793</v>
      </c>
    </row>
    <row r="187" spans="2:12">
      <c r="B187" s="719" t="str">
        <f t="shared" si="75"/>
        <v>Design &amp; Technology</v>
      </c>
      <c r="C187" s="715">
        <f t="shared" si="76"/>
        <v>0.87128297472835292</v>
      </c>
      <c r="D187" s="716">
        <f t="shared" ref="D187:L187" si="84">C187</f>
        <v>0.87128297472835292</v>
      </c>
      <c r="E187" s="716">
        <f t="shared" si="84"/>
        <v>0.87128297472835292</v>
      </c>
      <c r="F187" s="716">
        <f t="shared" si="84"/>
        <v>0.87128297472835292</v>
      </c>
      <c r="G187" s="716">
        <f t="shared" si="84"/>
        <v>0.87128297472835292</v>
      </c>
      <c r="H187" s="716">
        <f t="shared" si="84"/>
        <v>0.87128297472835292</v>
      </c>
      <c r="I187" s="716">
        <f t="shared" si="84"/>
        <v>0.87128297472835292</v>
      </c>
      <c r="J187" s="716">
        <f t="shared" si="84"/>
        <v>0.87128297472835292</v>
      </c>
      <c r="K187" s="716">
        <f t="shared" si="84"/>
        <v>0.87128297472835292</v>
      </c>
      <c r="L187" s="716">
        <f t="shared" si="84"/>
        <v>0.87128297472835292</v>
      </c>
    </row>
    <row r="188" spans="2:12">
      <c r="B188" s="719" t="str">
        <f t="shared" si="75"/>
        <v>Drama</v>
      </c>
      <c r="C188" s="715">
        <f t="shared" si="76"/>
        <v>0.85518100609419401</v>
      </c>
      <c r="D188" s="716">
        <f t="shared" ref="D188:L188" si="85">C188</f>
        <v>0.85518100609419401</v>
      </c>
      <c r="E188" s="716">
        <f t="shared" si="85"/>
        <v>0.85518100609419401</v>
      </c>
      <c r="F188" s="716">
        <f t="shared" si="85"/>
        <v>0.85518100609419401</v>
      </c>
      <c r="G188" s="716">
        <f t="shared" si="85"/>
        <v>0.85518100609419401</v>
      </c>
      <c r="H188" s="716">
        <f t="shared" si="85"/>
        <v>0.85518100609419401</v>
      </c>
      <c r="I188" s="716">
        <f t="shared" si="85"/>
        <v>0.85518100609419401</v>
      </c>
      <c r="J188" s="716">
        <f t="shared" si="85"/>
        <v>0.85518100609419401</v>
      </c>
      <c r="K188" s="716">
        <f t="shared" si="85"/>
        <v>0.85518100609419401</v>
      </c>
      <c r="L188" s="716">
        <f t="shared" si="85"/>
        <v>0.85518100609419401</v>
      </c>
    </row>
    <row r="189" spans="2:12">
      <c r="B189" s="719" t="str">
        <f t="shared" si="75"/>
        <v>English</v>
      </c>
      <c r="C189" s="715">
        <f t="shared" si="76"/>
        <v>0.85536255011485152</v>
      </c>
      <c r="D189" s="716">
        <f t="shared" ref="D189:L189" si="86">C189</f>
        <v>0.85536255011485152</v>
      </c>
      <c r="E189" s="716">
        <f t="shared" si="86"/>
        <v>0.85536255011485152</v>
      </c>
      <c r="F189" s="716">
        <f t="shared" si="86"/>
        <v>0.85536255011485152</v>
      </c>
      <c r="G189" s="716">
        <f t="shared" si="86"/>
        <v>0.85536255011485152</v>
      </c>
      <c r="H189" s="716">
        <f t="shared" si="86"/>
        <v>0.85536255011485152</v>
      </c>
      <c r="I189" s="716">
        <f t="shared" si="86"/>
        <v>0.85536255011485152</v>
      </c>
      <c r="J189" s="716">
        <f t="shared" si="86"/>
        <v>0.85536255011485152</v>
      </c>
      <c r="K189" s="716">
        <f t="shared" si="86"/>
        <v>0.85536255011485152</v>
      </c>
      <c r="L189" s="716">
        <f t="shared" si="86"/>
        <v>0.85536255011485152</v>
      </c>
    </row>
    <row r="190" spans="2:12">
      <c r="B190" s="719" t="str">
        <f t="shared" si="75"/>
        <v>Food</v>
      </c>
      <c r="C190" s="715">
        <f t="shared" si="76"/>
        <v>0.75446035404139244</v>
      </c>
      <c r="D190" s="716">
        <f t="shared" ref="D190:L190" si="87">C190</f>
        <v>0.75446035404139244</v>
      </c>
      <c r="E190" s="716">
        <f t="shared" si="87"/>
        <v>0.75446035404139244</v>
      </c>
      <c r="F190" s="716">
        <f t="shared" si="87"/>
        <v>0.75446035404139244</v>
      </c>
      <c r="G190" s="716">
        <f t="shared" si="87"/>
        <v>0.75446035404139244</v>
      </c>
      <c r="H190" s="716">
        <f t="shared" si="87"/>
        <v>0.75446035404139244</v>
      </c>
      <c r="I190" s="716">
        <f t="shared" si="87"/>
        <v>0.75446035404139244</v>
      </c>
      <c r="J190" s="716">
        <f t="shared" si="87"/>
        <v>0.75446035404139244</v>
      </c>
      <c r="K190" s="716">
        <f t="shared" si="87"/>
        <v>0.75446035404139244</v>
      </c>
      <c r="L190" s="716">
        <f t="shared" si="87"/>
        <v>0.75446035404139244</v>
      </c>
    </row>
    <row r="191" spans="2:12">
      <c r="B191" s="719" t="str">
        <f t="shared" si="75"/>
        <v>Geography</v>
      </c>
      <c r="C191" s="715">
        <f t="shared" si="76"/>
        <v>0.85638232175894569</v>
      </c>
      <c r="D191" s="716">
        <f t="shared" ref="D191:L191" si="88">C191</f>
        <v>0.85638232175894569</v>
      </c>
      <c r="E191" s="716">
        <f t="shared" si="88"/>
        <v>0.85638232175894569</v>
      </c>
      <c r="F191" s="716">
        <f t="shared" si="88"/>
        <v>0.85638232175894569</v>
      </c>
      <c r="G191" s="716">
        <f t="shared" si="88"/>
        <v>0.85638232175894569</v>
      </c>
      <c r="H191" s="716">
        <f t="shared" si="88"/>
        <v>0.85638232175894569</v>
      </c>
      <c r="I191" s="716">
        <f t="shared" si="88"/>
        <v>0.85638232175894569</v>
      </c>
      <c r="J191" s="716">
        <f t="shared" si="88"/>
        <v>0.85638232175894569</v>
      </c>
      <c r="K191" s="716">
        <f t="shared" si="88"/>
        <v>0.85638232175894569</v>
      </c>
      <c r="L191" s="716">
        <f t="shared" si="88"/>
        <v>0.85638232175894569</v>
      </c>
    </row>
    <row r="192" spans="2:12">
      <c r="B192" s="719" t="str">
        <f t="shared" si="75"/>
        <v>History</v>
      </c>
      <c r="C192" s="715">
        <f t="shared" si="76"/>
        <v>0.81991512405946532</v>
      </c>
      <c r="D192" s="716">
        <f t="shared" ref="D192:L192" si="89">C192</f>
        <v>0.81991512405946532</v>
      </c>
      <c r="E192" s="716">
        <f t="shared" si="89"/>
        <v>0.81991512405946532</v>
      </c>
      <c r="F192" s="716">
        <f t="shared" si="89"/>
        <v>0.81991512405946532</v>
      </c>
      <c r="G192" s="716">
        <f t="shared" si="89"/>
        <v>0.81991512405946532</v>
      </c>
      <c r="H192" s="716">
        <f t="shared" si="89"/>
        <v>0.81991512405946532</v>
      </c>
      <c r="I192" s="716">
        <f t="shared" si="89"/>
        <v>0.81991512405946532</v>
      </c>
      <c r="J192" s="716">
        <f t="shared" si="89"/>
        <v>0.81991512405946532</v>
      </c>
      <c r="K192" s="716">
        <f t="shared" si="89"/>
        <v>0.81991512405946532</v>
      </c>
      <c r="L192" s="716">
        <f t="shared" si="89"/>
        <v>0.81991512405946532</v>
      </c>
    </row>
    <row r="193" spans="2:12">
      <c r="B193" s="719" t="str">
        <f t="shared" si="75"/>
        <v>Mathematics</v>
      </c>
      <c r="C193" s="715">
        <f t="shared" si="76"/>
        <v>0.87554525520953697</v>
      </c>
      <c r="D193" s="716">
        <f t="shared" ref="D193:L193" si="90">C193</f>
        <v>0.87554525520953697</v>
      </c>
      <c r="E193" s="716">
        <f t="shared" si="90"/>
        <v>0.87554525520953697</v>
      </c>
      <c r="F193" s="716">
        <f t="shared" si="90"/>
        <v>0.87554525520953697</v>
      </c>
      <c r="G193" s="716">
        <f t="shared" si="90"/>
        <v>0.87554525520953697</v>
      </c>
      <c r="H193" s="716">
        <f t="shared" si="90"/>
        <v>0.87554525520953697</v>
      </c>
      <c r="I193" s="716">
        <f t="shared" si="90"/>
        <v>0.87554525520953697</v>
      </c>
      <c r="J193" s="716">
        <f t="shared" si="90"/>
        <v>0.87554525520953697</v>
      </c>
      <c r="K193" s="716">
        <f t="shared" si="90"/>
        <v>0.87554525520953697</v>
      </c>
      <c r="L193" s="716">
        <f t="shared" si="90"/>
        <v>0.87554525520953697</v>
      </c>
    </row>
    <row r="194" spans="2:12">
      <c r="B194" s="719" t="str">
        <f t="shared" si="75"/>
        <v>Modern Foreign Languages</v>
      </c>
      <c r="C194" s="715">
        <f t="shared" si="76"/>
        <v>0.81147689295313175</v>
      </c>
      <c r="D194" s="716">
        <f t="shared" ref="D194:L194" si="91">C194</f>
        <v>0.81147689295313175</v>
      </c>
      <c r="E194" s="716">
        <f t="shared" si="91"/>
        <v>0.81147689295313175</v>
      </c>
      <c r="F194" s="716">
        <f t="shared" si="91"/>
        <v>0.81147689295313175</v>
      </c>
      <c r="G194" s="716">
        <f t="shared" si="91"/>
        <v>0.81147689295313175</v>
      </c>
      <c r="H194" s="716">
        <f t="shared" si="91"/>
        <v>0.81147689295313175</v>
      </c>
      <c r="I194" s="716">
        <f t="shared" si="91"/>
        <v>0.81147689295313175</v>
      </c>
      <c r="J194" s="716">
        <f t="shared" si="91"/>
        <v>0.81147689295313175</v>
      </c>
      <c r="K194" s="716">
        <f t="shared" si="91"/>
        <v>0.81147689295313175</v>
      </c>
      <c r="L194" s="716">
        <f t="shared" si="91"/>
        <v>0.81147689295313175</v>
      </c>
    </row>
    <row r="195" spans="2:12">
      <c r="B195" s="719" t="str">
        <f t="shared" si="75"/>
        <v>Music</v>
      </c>
      <c r="C195" s="715">
        <f t="shared" si="76"/>
        <v>0.75446035404139244</v>
      </c>
      <c r="D195" s="716">
        <f t="shared" ref="D195:L195" si="92">C195</f>
        <v>0.75446035404139244</v>
      </c>
      <c r="E195" s="716">
        <f t="shared" si="92"/>
        <v>0.75446035404139244</v>
      </c>
      <c r="F195" s="716">
        <f t="shared" si="92"/>
        <v>0.75446035404139244</v>
      </c>
      <c r="G195" s="716">
        <f t="shared" si="92"/>
        <v>0.75446035404139244</v>
      </c>
      <c r="H195" s="716">
        <f t="shared" si="92"/>
        <v>0.75446035404139244</v>
      </c>
      <c r="I195" s="716">
        <f t="shared" si="92"/>
        <v>0.75446035404139244</v>
      </c>
      <c r="J195" s="716">
        <f t="shared" si="92"/>
        <v>0.75446035404139244</v>
      </c>
      <c r="K195" s="716">
        <f t="shared" si="92"/>
        <v>0.75446035404139244</v>
      </c>
      <c r="L195" s="716">
        <f t="shared" si="92"/>
        <v>0.75446035404139244</v>
      </c>
    </row>
    <row r="196" spans="2:12">
      <c r="B196" s="719" t="str">
        <f t="shared" si="75"/>
        <v>Others</v>
      </c>
      <c r="C196" s="715">
        <f t="shared" si="76"/>
        <v>0.76407131645361848</v>
      </c>
      <c r="D196" s="716">
        <f t="shared" ref="D196:L196" si="93">C196</f>
        <v>0.76407131645361848</v>
      </c>
      <c r="E196" s="716">
        <f t="shared" si="93"/>
        <v>0.76407131645361848</v>
      </c>
      <c r="F196" s="716">
        <f t="shared" si="93"/>
        <v>0.76407131645361848</v>
      </c>
      <c r="G196" s="716">
        <f t="shared" si="93"/>
        <v>0.76407131645361848</v>
      </c>
      <c r="H196" s="716">
        <f t="shared" si="93"/>
        <v>0.76407131645361848</v>
      </c>
      <c r="I196" s="716">
        <f t="shared" si="93"/>
        <v>0.76407131645361848</v>
      </c>
      <c r="J196" s="716">
        <f t="shared" si="93"/>
        <v>0.76407131645361848</v>
      </c>
      <c r="K196" s="716">
        <f t="shared" si="93"/>
        <v>0.76407131645361848</v>
      </c>
      <c r="L196" s="716">
        <f t="shared" si="93"/>
        <v>0.76407131645361848</v>
      </c>
    </row>
    <row r="197" spans="2:12">
      <c r="B197" s="719" t="str">
        <f t="shared" si="75"/>
        <v>Physical Education</v>
      </c>
      <c r="C197" s="715">
        <f t="shared" si="76"/>
        <v>0.81914003264322566</v>
      </c>
      <c r="D197" s="716">
        <f t="shared" ref="D197:L197" si="94">C197</f>
        <v>0.81914003264322566</v>
      </c>
      <c r="E197" s="716">
        <f t="shared" si="94"/>
        <v>0.81914003264322566</v>
      </c>
      <c r="F197" s="716">
        <f t="shared" si="94"/>
        <v>0.81914003264322566</v>
      </c>
      <c r="G197" s="716">
        <f t="shared" si="94"/>
        <v>0.81914003264322566</v>
      </c>
      <c r="H197" s="716">
        <f t="shared" si="94"/>
        <v>0.81914003264322566</v>
      </c>
      <c r="I197" s="716">
        <f t="shared" si="94"/>
        <v>0.81914003264322566</v>
      </c>
      <c r="J197" s="716">
        <f t="shared" si="94"/>
        <v>0.81914003264322566</v>
      </c>
      <c r="K197" s="716">
        <f t="shared" si="94"/>
        <v>0.81914003264322566</v>
      </c>
      <c r="L197" s="716">
        <f t="shared" si="94"/>
        <v>0.81914003264322566</v>
      </c>
    </row>
    <row r="198" spans="2:12">
      <c r="B198" s="719" t="str">
        <f t="shared" si="75"/>
        <v>Physics</v>
      </c>
      <c r="C198" s="715">
        <f t="shared" si="76"/>
        <v>0.87966203703703705</v>
      </c>
      <c r="D198" s="716">
        <f t="shared" ref="D198:L198" si="95">C198</f>
        <v>0.87966203703703705</v>
      </c>
      <c r="E198" s="716">
        <f t="shared" si="95"/>
        <v>0.87966203703703705</v>
      </c>
      <c r="F198" s="716">
        <f t="shared" si="95"/>
        <v>0.87966203703703705</v>
      </c>
      <c r="G198" s="716">
        <f t="shared" si="95"/>
        <v>0.87966203703703705</v>
      </c>
      <c r="H198" s="716">
        <f t="shared" si="95"/>
        <v>0.87966203703703705</v>
      </c>
      <c r="I198" s="716">
        <f t="shared" si="95"/>
        <v>0.87966203703703705</v>
      </c>
      <c r="J198" s="716">
        <f t="shared" si="95"/>
        <v>0.87966203703703705</v>
      </c>
      <c r="K198" s="716">
        <f t="shared" si="95"/>
        <v>0.87966203703703705</v>
      </c>
      <c r="L198" s="716">
        <f t="shared" si="95"/>
        <v>0.87966203703703705</v>
      </c>
    </row>
    <row r="199" spans="2:12">
      <c r="B199" s="719" t="str">
        <f t="shared" si="75"/>
        <v>Religious Education</v>
      </c>
      <c r="C199" s="715">
        <f t="shared" si="76"/>
        <v>0.86198100407055644</v>
      </c>
      <c r="D199" s="716">
        <f t="shared" ref="D199:L199" si="96">C199</f>
        <v>0.86198100407055644</v>
      </c>
      <c r="E199" s="716">
        <f t="shared" si="96"/>
        <v>0.86198100407055644</v>
      </c>
      <c r="F199" s="716">
        <f t="shared" si="96"/>
        <v>0.86198100407055644</v>
      </c>
      <c r="G199" s="716">
        <f t="shared" si="96"/>
        <v>0.86198100407055644</v>
      </c>
      <c r="H199" s="716">
        <f t="shared" si="96"/>
        <v>0.86198100407055644</v>
      </c>
      <c r="I199" s="716">
        <f t="shared" si="96"/>
        <v>0.86198100407055644</v>
      </c>
      <c r="J199" s="716">
        <f t="shared" si="96"/>
        <v>0.86198100407055644</v>
      </c>
      <c r="K199" s="716">
        <f t="shared" si="96"/>
        <v>0.86198100407055644</v>
      </c>
      <c r="L199" s="716">
        <f t="shared" si="96"/>
        <v>0.86198100407055644</v>
      </c>
    </row>
    <row r="201" spans="2:12">
      <c r="B201" s="721" t="s">
        <v>700</v>
      </c>
      <c r="C201" s="707"/>
      <c r="D201" s="707"/>
      <c r="E201" s="707"/>
      <c r="F201" s="707"/>
      <c r="G201" s="707"/>
      <c r="H201" s="707"/>
      <c r="I201" s="707"/>
      <c r="J201" s="707"/>
      <c r="K201" s="707"/>
      <c r="L201" s="707"/>
    </row>
    <row r="203" spans="2:12">
      <c r="B203" s="706" t="str">
        <f t="shared" ref="B203:L203" si="97">B179</f>
        <v>Subject</v>
      </c>
      <c r="C203" s="705" t="str">
        <f t="shared" si="97"/>
        <v>2018/19</v>
      </c>
      <c r="D203" s="705" t="str">
        <f t="shared" si="97"/>
        <v>2019/20</v>
      </c>
      <c r="E203" s="705" t="str">
        <f t="shared" si="97"/>
        <v>2020/21</v>
      </c>
      <c r="F203" s="705" t="str">
        <f t="shared" si="97"/>
        <v>2021/22</v>
      </c>
      <c r="G203" s="705" t="str">
        <f t="shared" si="97"/>
        <v>2022/23</v>
      </c>
      <c r="H203" s="705" t="str">
        <f t="shared" si="97"/>
        <v>2023/24</v>
      </c>
      <c r="I203" s="705" t="str">
        <f t="shared" si="97"/>
        <v>2024/25</v>
      </c>
      <c r="J203" s="705" t="str">
        <f t="shared" si="97"/>
        <v>2025/26</v>
      </c>
      <c r="K203" s="705" t="str">
        <f t="shared" si="97"/>
        <v>2026/27</v>
      </c>
      <c r="L203" s="705" t="str">
        <f t="shared" si="97"/>
        <v>2027/28</v>
      </c>
    </row>
    <row r="204" spans="2:12">
      <c r="B204" s="706" t="str">
        <f t="shared" ref="B204:B223" si="98">B180</f>
        <v>Primary</v>
      </c>
      <c r="C204" s="715">
        <f t="shared" ref="C204:C223" si="99">H22</f>
        <v>0.87382203123993096</v>
      </c>
      <c r="D204" s="716">
        <f>C204</f>
        <v>0.87382203123993096</v>
      </c>
      <c r="E204" s="716">
        <f t="shared" ref="E204:L204" si="100">D204</f>
        <v>0.87382203123993096</v>
      </c>
      <c r="F204" s="716">
        <f t="shared" si="100"/>
        <v>0.87382203123993096</v>
      </c>
      <c r="G204" s="716">
        <f t="shared" si="100"/>
        <v>0.87382203123993096</v>
      </c>
      <c r="H204" s="716">
        <f t="shared" si="100"/>
        <v>0.87382203123993096</v>
      </c>
      <c r="I204" s="716">
        <f t="shared" si="100"/>
        <v>0.87382203123993096</v>
      </c>
      <c r="J204" s="716">
        <f t="shared" si="100"/>
        <v>0.87382203123993096</v>
      </c>
      <c r="K204" s="716">
        <f t="shared" si="100"/>
        <v>0.87382203123993096</v>
      </c>
      <c r="L204" s="716">
        <f t="shared" si="100"/>
        <v>0.87382203123993096</v>
      </c>
    </row>
    <row r="205" spans="2:12">
      <c r="B205" s="706" t="str">
        <f t="shared" si="98"/>
        <v>Art &amp; Design</v>
      </c>
      <c r="C205" s="715">
        <f t="shared" si="99"/>
        <v>0.75286900200693307</v>
      </c>
      <c r="D205" s="716">
        <f t="shared" ref="D205:L205" si="101">C205</f>
        <v>0.75286900200693307</v>
      </c>
      <c r="E205" s="716">
        <f t="shared" si="101"/>
        <v>0.75286900200693307</v>
      </c>
      <c r="F205" s="716">
        <f t="shared" si="101"/>
        <v>0.75286900200693307</v>
      </c>
      <c r="G205" s="716">
        <f t="shared" si="101"/>
        <v>0.75286900200693307</v>
      </c>
      <c r="H205" s="716">
        <f t="shared" si="101"/>
        <v>0.75286900200693307</v>
      </c>
      <c r="I205" s="716">
        <f t="shared" si="101"/>
        <v>0.75286900200693307</v>
      </c>
      <c r="J205" s="716">
        <f t="shared" si="101"/>
        <v>0.75286900200693307</v>
      </c>
      <c r="K205" s="716">
        <f t="shared" si="101"/>
        <v>0.75286900200693307</v>
      </c>
      <c r="L205" s="716">
        <f t="shared" si="101"/>
        <v>0.75286900200693307</v>
      </c>
    </row>
    <row r="206" spans="2:12">
      <c r="B206" s="706" t="str">
        <f t="shared" si="98"/>
        <v>Biology</v>
      </c>
      <c r="C206" s="715">
        <f t="shared" si="99"/>
        <v>0.76008667627164739</v>
      </c>
      <c r="D206" s="716">
        <f t="shared" ref="D206:L206" si="102">C206</f>
        <v>0.76008667627164739</v>
      </c>
      <c r="E206" s="716">
        <f t="shared" si="102"/>
        <v>0.76008667627164739</v>
      </c>
      <c r="F206" s="716">
        <f t="shared" si="102"/>
        <v>0.76008667627164739</v>
      </c>
      <c r="G206" s="716">
        <f t="shared" si="102"/>
        <v>0.76008667627164739</v>
      </c>
      <c r="H206" s="716">
        <f t="shared" si="102"/>
        <v>0.76008667627164739</v>
      </c>
      <c r="I206" s="716">
        <f t="shared" si="102"/>
        <v>0.76008667627164739</v>
      </c>
      <c r="J206" s="716">
        <f t="shared" si="102"/>
        <v>0.76008667627164739</v>
      </c>
      <c r="K206" s="716">
        <f t="shared" si="102"/>
        <v>0.76008667627164739</v>
      </c>
      <c r="L206" s="716">
        <f t="shared" si="102"/>
        <v>0.76008667627164739</v>
      </c>
    </row>
    <row r="207" spans="2:12">
      <c r="B207" s="706" t="str">
        <f t="shared" si="98"/>
        <v>Business Studies</v>
      </c>
      <c r="C207" s="715">
        <f t="shared" si="99"/>
        <v>0.78907407407407404</v>
      </c>
      <c r="D207" s="716">
        <f t="shared" ref="D207:L207" si="103">C207</f>
        <v>0.78907407407407404</v>
      </c>
      <c r="E207" s="716">
        <f t="shared" si="103"/>
        <v>0.78907407407407404</v>
      </c>
      <c r="F207" s="716">
        <f t="shared" si="103"/>
        <v>0.78907407407407404</v>
      </c>
      <c r="G207" s="716">
        <f t="shared" si="103"/>
        <v>0.78907407407407404</v>
      </c>
      <c r="H207" s="716">
        <f t="shared" si="103"/>
        <v>0.78907407407407404</v>
      </c>
      <c r="I207" s="716">
        <f t="shared" si="103"/>
        <v>0.78907407407407404</v>
      </c>
      <c r="J207" s="716">
        <f t="shared" si="103"/>
        <v>0.78907407407407404</v>
      </c>
      <c r="K207" s="716">
        <f t="shared" si="103"/>
        <v>0.78907407407407404</v>
      </c>
      <c r="L207" s="716">
        <f t="shared" si="103"/>
        <v>0.78907407407407404</v>
      </c>
    </row>
    <row r="208" spans="2:12">
      <c r="B208" s="706" t="str">
        <f t="shared" si="98"/>
        <v>Chemistry</v>
      </c>
      <c r="C208" s="715">
        <f t="shared" si="99"/>
        <v>0.85163919900761997</v>
      </c>
      <c r="D208" s="716">
        <f t="shared" ref="D208:L208" si="104">C208</f>
        <v>0.85163919900761997</v>
      </c>
      <c r="E208" s="716">
        <f t="shared" si="104"/>
        <v>0.85163919900761997</v>
      </c>
      <c r="F208" s="716">
        <f t="shared" si="104"/>
        <v>0.85163919900761997</v>
      </c>
      <c r="G208" s="716">
        <f t="shared" si="104"/>
        <v>0.85163919900761997</v>
      </c>
      <c r="H208" s="716">
        <f t="shared" si="104"/>
        <v>0.85163919900761997</v>
      </c>
      <c r="I208" s="716">
        <f t="shared" si="104"/>
        <v>0.85163919900761997</v>
      </c>
      <c r="J208" s="716">
        <f t="shared" si="104"/>
        <v>0.85163919900761997</v>
      </c>
      <c r="K208" s="716">
        <f t="shared" si="104"/>
        <v>0.85163919900761997</v>
      </c>
      <c r="L208" s="716">
        <f t="shared" si="104"/>
        <v>0.85163919900761997</v>
      </c>
    </row>
    <row r="209" spans="2:12">
      <c r="B209" s="706" t="str">
        <f t="shared" si="98"/>
        <v>Classics</v>
      </c>
      <c r="C209" s="715">
        <f t="shared" si="99"/>
        <v>0.74805910517103968</v>
      </c>
      <c r="D209" s="716">
        <f t="shared" ref="D209:L209" si="105">C209</f>
        <v>0.74805910517103968</v>
      </c>
      <c r="E209" s="716">
        <f t="shared" si="105"/>
        <v>0.74805910517103968</v>
      </c>
      <c r="F209" s="716">
        <f t="shared" si="105"/>
        <v>0.74805910517103968</v>
      </c>
      <c r="G209" s="716">
        <f t="shared" si="105"/>
        <v>0.74805910517103968</v>
      </c>
      <c r="H209" s="716">
        <f t="shared" si="105"/>
        <v>0.74805910517103968</v>
      </c>
      <c r="I209" s="716">
        <f t="shared" si="105"/>
        <v>0.74805910517103968</v>
      </c>
      <c r="J209" s="716">
        <f t="shared" si="105"/>
        <v>0.74805910517103968</v>
      </c>
      <c r="K209" s="716">
        <f t="shared" si="105"/>
        <v>0.74805910517103968</v>
      </c>
      <c r="L209" s="716">
        <f t="shared" si="105"/>
        <v>0.74805910517103968</v>
      </c>
    </row>
    <row r="210" spans="2:12">
      <c r="B210" s="706" t="str">
        <f t="shared" si="98"/>
        <v>Computing</v>
      </c>
      <c r="C210" s="715">
        <f t="shared" si="99"/>
        <v>0.83109006892012771</v>
      </c>
      <c r="D210" s="716">
        <f t="shared" ref="D210:L210" si="106">C210</f>
        <v>0.83109006892012771</v>
      </c>
      <c r="E210" s="716">
        <f t="shared" si="106"/>
        <v>0.83109006892012771</v>
      </c>
      <c r="F210" s="716">
        <f t="shared" si="106"/>
        <v>0.83109006892012771</v>
      </c>
      <c r="G210" s="716">
        <f t="shared" si="106"/>
        <v>0.83109006892012771</v>
      </c>
      <c r="H210" s="716">
        <f t="shared" si="106"/>
        <v>0.83109006892012771</v>
      </c>
      <c r="I210" s="716">
        <f t="shared" si="106"/>
        <v>0.83109006892012771</v>
      </c>
      <c r="J210" s="716">
        <f t="shared" si="106"/>
        <v>0.83109006892012771</v>
      </c>
      <c r="K210" s="716">
        <f t="shared" si="106"/>
        <v>0.83109006892012771</v>
      </c>
      <c r="L210" s="716">
        <f t="shared" si="106"/>
        <v>0.83109006892012771</v>
      </c>
    </row>
    <row r="211" spans="2:12">
      <c r="B211" s="706" t="str">
        <f t="shared" si="98"/>
        <v>Design &amp; Technology</v>
      </c>
      <c r="C211" s="715">
        <f t="shared" si="99"/>
        <v>0.74805910517103968</v>
      </c>
      <c r="D211" s="716">
        <f t="shared" ref="D211:L211" si="107">C211</f>
        <v>0.74805910517103968</v>
      </c>
      <c r="E211" s="716">
        <f t="shared" si="107"/>
        <v>0.74805910517103968</v>
      </c>
      <c r="F211" s="716">
        <f t="shared" si="107"/>
        <v>0.74805910517103968</v>
      </c>
      <c r="G211" s="716">
        <f t="shared" si="107"/>
        <v>0.74805910517103968</v>
      </c>
      <c r="H211" s="716">
        <f t="shared" si="107"/>
        <v>0.74805910517103968</v>
      </c>
      <c r="I211" s="716">
        <f t="shared" si="107"/>
        <v>0.74805910517103968</v>
      </c>
      <c r="J211" s="716">
        <f t="shared" si="107"/>
        <v>0.74805910517103968</v>
      </c>
      <c r="K211" s="716">
        <f t="shared" si="107"/>
        <v>0.74805910517103968</v>
      </c>
      <c r="L211" s="716">
        <f t="shared" si="107"/>
        <v>0.74805910517103968</v>
      </c>
    </row>
    <row r="212" spans="2:12">
      <c r="B212" s="706" t="str">
        <f t="shared" si="98"/>
        <v>Drama</v>
      </c>
      <c r="C212" s="715">
        <f t="shared" si="99"/>
        <v>0.82365870461108548</v>
      </c>
      <c r="D212" s="716">
        <f t="shared" ref="D212:L212" si="108">C212</f>
        <v>0.82365870461108548</v>
      </c>
      <c r="E212" s="716">
        <f t="shared" si="108"/>
        <v>0.82365870461108548</v>
      </c>
      <c r="F212" s="716">
        <f t="shared" si="108"/>
        <v>0.82365870461108548</v>
      </c>
      <c r="G212" s="716">
        <f t="shared" si="108"/>
        <v>0.82365870461108548</v>
      </c>
      <c r="H212" s="716">
        <f t="shared" si="108"/>
        <v>0.82365870461108548</v>
      </c>
      <c r="I212" s="716">
        <f t="shared" si="108"/>
        <v>0.82365870461108548</v>
      </c>
      <c r="J212" s="716">
        <f t="shared" si="108"/>
        <v>0.82365870461108548</v>
      </c>
      <c r="K212" s="716">
        <f t="shared" si="108"/>
        <v>0.82365870461108548</v>
      </c>
      <c r="L212" s="716">
        <f t="shared" si="108"/>
        <v>0.82365870461108548</v>
      </c>
    </row>
    <row r="213" spans="2:12">
      <c r="B213" s="706" t="str">
        <f t="shared" si="98"/>
        <v>English</v>
      </c>
      <c r="C213" s="715">
        <f t="shared" si="99"/>
        <v>0.84072631099995132</v>
      </c>
      <c r="D213" s="716">
        <f t="shared" ref="D213:L213" si="109">C213</f>
        <v>0.84072631099995132</v>
      </c>
      <c r="E213" s="716">
        <f t="shared" si="109"/>
        <v>0.84072631099995132</v>
      </c>
      <c r="F213" s="716">
        <f t="shared" si="109"/>
        <v>0.84072631099995132</v>
      </c>
      <c r="G213" s="716">
        <f t="shared" si="109"/>
        <v>0.84072631099995132</v>
      </c>
      <c r="H213" s="716">
        <f t="shared" si="109"/>
        <v>0.84072631099995132</v>
      </c>
      <c r="I213" s="716">
        <f t="shared" si="109"/>
        <v>0.84072631099995132</v>
      </c>
      <c r="J213" s="716">
        <f t="shared" si="109"/>
        <v>0.84072631099995132</v>
      </c>
      <c r="K213" s="716">
        <f t="shared" si="109"/>
        <v>0.84072631099995132</v>
      </c>
      <c r="L213" s="716">
        <f t="shared" si="109"/>
        <v>0.84072631099995132</v>
      </c>
    </row>
    <row r="214" spans="2:12">
      <c r="B214" s="706" t="str">
        <f t="shared" si="98"/>
        <v>Food</v>
      </c>
      <c r="C214" s="715">
        <f t="shared" si="99"/>
        <v>0.74805910517103968</v>
      </c>
      <c r="D214" s="716">
        <f t="shared" ref="D214:L214" si="110">C214</f>
        <v>0.74805910517103968</v>
      </c>
      <c r="E214" s="716">
        <f t="shared" si="110"/>
        <v>0.74805910517103968</v>
      </c>
      <c r="F214" s="716">
        <f t="shared" si="110"/>
        <v>0.74805910517103968</v>
      </c>
      <c r="G214" s="716">
        <f t="shared" si="110"/>
        <v>0.74805910517103968</v>
      </c>
      <c r="H214" s="716">
        <f t="shared" si="110"/>
        <v>0.74805910517103968</v>
      </c>
      <c r="I214" s="716">
        <f t="shared" si="110"/>
        <v>0.74805910517103968</v>
      </c>
      <c r="J214" s="716">
        <f t="shared" si="110"/>
        <v>0.74805910517103968</v>
      </c>
      <c r="K214" s="716">
        <f t="shared" si="110"/>
        <v>0.74805910517103968</v>
      </c>
      <c r="L214" s="716">
        <f t="shared" si="110"/>
        <v>0.74805910517103968</v>
      </c>
    </row>
    <row r="215" spans="2:12">
      <c r="B215" s="706" t="str">
        <f t="shared" si="98"/>
        <v>Geography</v>
      </c>
      <c r="C215" s="715">
        <f t="shared" si="99"/>
        <v>0.74805910517103968</v>
      </c>
      <c r="D215" s="716">
        <f t="shared" ref="D215:L215" si="111">C215</f>
        <v>0.74805910517103968</v>
      </c>
      <c r="E215" s="716">
        <f t="shared" si="111"/>
        <v>0.74805910517103968</v>
      </c>
      <c r="F215" s="716">
        <f t="shared" si="111"/>
        <v>0.74805910517103968</v>
      </c>
      <c r="G215" s="716">
        <f t="shared" si="111"/>
        <v>0.74805910517103968</v>
      </c>
      <c r="H215" s="716">
        <f t="shared" si="111"/>
        <v>0.74805910517103968</v>
      </c>
      <c r="I215" s="716">
        <f t="shared" si="111"/>
        <v>0.74805910517103968</v>
      </c>
      <c r="J215" s="716">
        <f t="shared" si="111"/>
        <v>0.74805910517103968</v>
      </c>
      <c r="K215" s="716">
        <f t="shared" si="111"/>
        <v>0.74805910517103968</v>
      </c>
      <c r="L215" s="716">
        <f t="shared" si="111"/>
        <v>0.74805910517103968</v>
      </c>
    </row>
    <row r="216" spans="2:12">
      <c r="B216" s="706" t="str">
        <f t="shared" si="98"/>
        <v>History</v>
      </c>
      <c r="C216" s="715">
        <f t="shared" si="99"/>
        <v>0.8598962612924379</v>
      </c>
      <c r="D216" s="716">
        <f t="shared" ref="D216:L216" si="112">C216</f>
        <v>0.8598962612924379</v>
      </c>
      <c r="E216" s="716">
        <f t="shared" si="112"/>
        <v>0.8598962612924379</v>
      </c>
      <c r="F216" s="716">
        <f t="shared" si="112"/>
        <v>0.8598962612924379</v>
      </c>
      <c r="G216" s="716">
        <f t="shared" si="112"/>
        <v>0.8598962612924379</v>
      </c>
      <c r="H216" s="716">
        <f t="shared" si="112"/>
        <v>0.8598962612924379</v>
      </c>
      <c r="I216" s="716">
        <f t="shared" si="112"/>
        <v>0.8598962612924379</v>
      </c>
      <c r="J216" s="716">
        <f t="shared" si="112"/>
        <v>0.8598962612924379</v>
      </c>
      <c r="K216" s="716">
        <f t="shared" si="112"/>
        <v>0.8598962612924379</v>
      </c>
      <c r="L216" s="716">
        <f t="shared" si="112"/>
        <v>0.8598962612924379</v>
      </c>
    </row>
    <row r="217" spans="2:12">
      <c r="B217" s="706" t="str">
        <f t="shared" si="98"/>
        <v>Mathematics</v>
      </c>
      <c r="C217" s="715">
        <f t="shared" si="99"/>
        <v>0.82965184677553061</v>
      </c>
      <c r="D217" s="716">
        <f t="shared" ref="D217:L217" si="113">C217</f>
        <v>0.82965184677553061</v>
      </c>
      <c r="E217" s="716">
        <f t="shared" si="113"/>
        <v>0.82965184677553061</v>
      </c>
      <c r="F217" s="716">
        <f t="shared" si="113"/>
        <v>0.82965184677553061</v>
      </c>
      <c r="G217" s="716">
        <f t="shared" si="113"/>
        <v>0.82965184677553061</v>
      </c>
      <c r="H217" s="716">
        <f t="shared" si="113"/>
        <v>0.82965184677553061</v>
      </c>
      <c r="I217" s="716">
        <f t="shared" si="113"/>
        <v>0.82965184677553061</v>
      </c>
      <c r="J217" s="716">
        <f t="shared" si="113"/>
        <v>0.82965184677553061</v>
      </c>
      <c r="K217" s="716">
        <f t="shared" si="113"/>
        <v>0.82965184677553061</v>
      </c>
      <c r="L217" s="716">
        <f t="shared" si="113"/>
        <v>0.82965184677553061</v>
      </c>
    </row>
    <row r="218" spans="2:12">
      <c r="B218" s="706" t="str">
        <f t="shared" si="98"/>
        <v>Modern Foreign Languages</v>
      </c>
      <c r="C218" s="715">
        <f t="shared" si="99"/>
        <v>0.78554937729652385</v>
      </c>
      <c r="D218" s="716">
        <f t="shared" ref="D218:L218" si="114">C218</f>
        <v>0.78554937729652385</v>
      </c>
      <c r="E218" s="716">
        <f t="shared" si="114"/>
        <v>0.78554937729652385</v>
      </c>
      <c r="F218" s="716">
        <f t="shared" si="114"/>
        <v>0.78554937729652385</v>
      </c>
      <c r="G218" s="716">
        <f t="shared" si="114"/>
        <v>0.78554937729652385</v>
      </c>
      <c r="H218" s="716">
        <f t="shared" si="114"/>
        <v>0.78554937729652385</v>
      </c>
      <c r="I218" s="716">
        <f t="shared" si="114"/>
        <v>0.78554937729652385</v>
      </c>
      <c r="J218" s="716">
        <f t="shared" si="114"/>
        <v>0.78554937729652385</v>
      </c>
      <c r="K218" s="716">
        <f t="shared" si="114"/>
        <v>0.78554937729652385</v>
      </c>
      <c r="L218" s="716">
        <f t="shared" si="114"/>
        <v>0.78554937729652385</v>
      </c>
    </row>
    <row r="219" spans="2:12">
      <c r="B219" s="706" t="str">
        <f t="shared" si="98"/>
        <v>Music</v>
      </c>
      <c r="C219" s="715">
        <f t="shared" si="99"/>
        <v>0.86061995948476855</v>
      </c>
      <c r="D219" s="716">
        <f t="shared" ref="D219:L219" si="115">C219</f>
        <v>0.86061995948476855</v>
      </c>
      <c r="E219" s="716">
        <f t="shared" si="115"/>
        <v>0.86061995948476855</v>
      </c>
      <c r="F219" s="716">
        <f t="shared" si="115"/>
        <v>0.86061995948476855</v>
      </c>
      <c r="G219" s="716">
        <f t="shared" si="115"/>
        <v>0.86061995948476855</v>
      </c>
      <c r="H219" s="716">
        <f t="shared" si="115"/>
        <v>0.86061995948476855</v>
      </c>
      <c r="I219" s="716">
        <f t="shared" si="115"/>
        <v>0.86061995948476855</v>
      </c>
      <c r="J219" s="716">
        <f t="shared" si="115"/>
        <v>0.86061995948476855</v>
      </c>
      <c r="K219" s="716">
        <f t="shared" si="115"/>
        <v>0.86061995948476855</v>
      </c>
      <c r="L219" s="716">
        <f t="shared" si="115"/>
        <v>0.86061995948476855</v>
      </c>
    </row>
    <row r="220" spans="2:12">
      <c r="B220" s="706" t="str">
        <f t="shared" si="98"/>
        <v>Others</v>
      </c>
      <c r="C220" s="715">
        <f t="shared" si="99"/>
        <v>0.74805910517103968</v>
      </c>
      <c r="D220" s="716">
        <f t="shared" ref="D220:L220" si="116">C220</f>
        <v>0.74805910517103968</v>
      </c>
      <c r="E220" s="716">
        <f t="shared" si="116"/>
        <v>0.74805910517103968</v>
      </c>
      <c r="F220" s="716">
        <f t="shared" si="116"/>
        <v>0.74805910517103968</v>
      </c>
      <c r="G220" s="716">
        <f t="shared" si="116"/>
        <v>0.74805910517103968</v>
      </c>
      <c r="H220" s="716">
        <f t="shared" si="116"/>
        <v>0.74805910517103968</v>
      </c>
      <c r="I220" s="716">
        <f t="shared" si="116"/>
        <v>0.74805910517103968</v>
      </c>
      <c r="J220" s="716">
        <f t="shared" si="116"/>
        <v>0.74805910517103968</v>
      </c>
      <c r="K220" s="716">
        <f t="shared" si="116"/>
        <v>0.74805910517103968</v>
      </c>
      <c r="L220" s="716">
        <f t="shared" si="116"/>
        <v>0.74805910517103968</v>
      </c>
    </row>
    <row r="221" spans="2:12">
      <c r="B221" s="706" t="str">
        <f t="shared" si="98"/>
        <v>Physical Education</v>
      </c>
      <c r="C221" s="715">
        <f t="shared" si="99"/>
        <v>0.78379963141424902</v>
      </c>
      <c r="D221" s="716">
        <f t="shared" ref="D221:L221" si="117">C221</f>
        <v>0.78379963141424902</v>
      </c>
      <c r="E221" s="716">
        <f t="shared" si="117"/>
        <v>0.78379963141424902</v>
      </c>
      <c r="F221" s="716">
        <f t="shared" si="117"/>
        <v>0.78379963141424902</v>
      </c>
      <c r="G221" s="716">
        <f t="shared" si="117"/>
        <v>0.78379963141424902</v>
      </c>
      <c r="H221" s="716">
        <f t="shared" si="117"/>
        <v>0.78379963141424902</v>
      </c>
      <c r="I221" s="716">
        <f t="shared" si="117"/>
        <v>0.78379963141424902</v>
      </c>
      <c r="J221" s="716">
        <f t="shared" si="117"/>
        <v>0.78379963141424902</v>
      </c>
      <c r="K221" s="716">
        <f t="shared" si="117"/>
        <v>0.78379963141424902</v>
      </c>
      <c r="L221" s="716">
        <f t="shared" si="117"/>
        <v>0.78379963141424902</v>
      </c>
    </row>
    <row r="222" spans="2:12">
      <c r="B222" s="706" t="str">
        <f t="shared" si="98"/>
        <v>Physics</v>
      </c>
      <c r="C222" s="715">
        <f t="shared" si="99"/>
        <v>0.7989060464156249</v>
      </c>
      <c r="D222" s="716">
        <f t="shared" ref="D222:L222" si="118">C222</f>
        <v>0.7989060464156249</v>
      </c>
      <c r="E222" s="716">
        <f t="shared" si="118"/>
        <v>0.7989060464156249</v>
      </c>
      <c r="F222" s="716">
        <f t="shared" si="118"/>
        <v>0.7989060464156249</v>
      </c>
      <c r="G222" s="716">
        <f t="shared" si="118"/>
        <v>0.7989060464156249</v>
      </c>
      <c r="H222" s="716">
        <f t="shared" si="118"/>
        <v>0.7989060464156249</v>
      </c>
      <c r="I222" s="716">
        <f t="shared" si="118"/>
        <v>0.7989060464156249</v>
      </c>
      <c r="J222" s="716">
        <f t="shared" si="118"/>
        <v>0.7989060464156249</v>
      </c>
      <c r="K222" s="716">
        <f t="shared" si="118"/>
        <v>0.7989060464156249</v>
      </c>
      <c r="L222" s="716">
        <f t="shared" si="118"/>
        <v>0.7989060464156249</v>
      </c>
    </row>
    <row r="223" spans="2:12">
      <c r="B223" s="719" t="str">
        <f t="shared" si="98"/>
        <v>Religious Education</v>
      </c>
      <c r="C223" s="715">
        <f t="shared" si="99"/>
        <v>0.85690883190883183</v>
      </c>
      <c r="D223" s="716">
        <f t="shared" ref="D223:L223" si="119">C223</f>
        <v>0.85690883190883183</v>
      </c>
      <c r="E223" s="716">
        <f t="shared" si="119"/>
        <v>0.85690883190883183</v>
      </c>
      <c r="F223" s="716">
        <f t="shared" si="119"/>
        <v>0.85690883190883183</v>
      </c>
      <c r="G223" s="716">
        <f t="shared" si="119"/>
        <v>0.85690883190883183</v>
      </c>
      <c r="H223" s="716">
        <f t="shared" si="119"/>
        <v>0.85690883190883183</v>
      </c>
      <c r="I223" s="716">
        <f t="shared" si="119"/>
        <v>0.85690883190883183</v>
      </c>
      <c r="J223" s="716">
        <f t="shared" si="119"/>
        <v>0.85690883190883183</v>
      </c>
      <c r="K223" s="716">
        <f t="shared" si="119"/>
        <v>0.85690883190883183</v>
      </c>
      <c r="L223" s="716">
        <f t="shared" si="119"/>
        <v>0.85690883190883183</v>
      </c>
    </row>
    <row r="225" spans="2:12" ht="15.75">
      <c r="B225" s="713" t="s">
        <v>1097</v>
      </c>
      <c r="C225" s="713"/>
      <c r="D225" s="707"/>
      <c r="E225" s="781"/>
      <c r="F225" s="707"/>
      <c r="G225" s="781" t="s">
        <v>1168</v>
      </c>
      <c r="H225" s="707"/>
      <c r="I225" s="707"/>
      <c r="J225" s="707"/>
      <c r="K225" s="707"/>
      <c r="L225" s="707"/>
    </row>
    <row r="227" spans="2:12">
      <c r="B227" s="719" t="str">
        <f t="shared" ref="B227:L227" si="120">B203</f>
        <v>Subject</v>
      </c>
      <c r="C227" s="705" t="str">
        <f t="shared" si="120"/>
        <v>2018/19</v>
      </c>
      <c r="D227" s="705" t="str">
        <f t="shared" si="120"/>
        <v>2019/20</v>
      </c>
      <c r="E227" s="705" t="str">
        <f t="shared" si="120"/>
        <v>2020/21</v>
      </c>
      <c r="F227" s="705" t="str">
        <f t="shared" si="120"/>
        <v>2021/22</v>
      </c>
      <c r="G227" s="705" t="str">
        <f t="shared" si="120"/>
        <v>2022/23</v>
      </c>
      <c r="H227" s="705" t="str">
        <f t="shared" si="120"/>
        <v>2023/24</v>
      </c>
      <c r="I227" s="705" t="str">
        <f t="shared" si="120"/>
        <v>2024/25</v>
      </c>
      <c r="J227" s="705" t="str">
        <f t="shared" si="120"/>
        <v>2025/26</v>
      </c>
      <c r="K227" s="705" t="str">
        <f t="shared" si="120"/>
        <v>2026/27</v>
      </c>
      <c r="L227" s="705" t="str">
        <f t="shared" si="120"/>
        <v>2027/28</v>
      </c>
    </row>
    <row r="228" spans="2:12">
      <c r="B228" s="719" t="str">
        <f t="shared" ref="B228:B247" si="121">B204</f>
        <v>Primary</v>
      </c>
      <c r="C228" s="717">
        <f t="shared" ref="C228:L228" si="122">C55/((C156*$E$45)+(C180*$E$46)+(C204*$E$49))</f>
        <v>11365.656743299869</v>
      </c>
      <c r="D228" s="717">
        <f t="shared" si="122"/>
        <v>11176.062996732189</v>
      </c>
      <c r="E228" s="717">
        <f t="shared" si="122"/>
        <v>11042.959441556564</v>
      </c>
      <c r="F228" s="717">
        <f t="shared" si="122"/>
        <v>10884.22598246533</v>
      </c>
      <c r="G228" s="717">
        <f t="shared" si="122"/>
        <v>10710.248310897545</v>
      </c>
      <c r="H228" s="717">
        <f t="shared" si="122"/>
        <v>11037.891635557855</v>
      </c>
      <c r="I228" s="717">
        <f t="shared" si="122"/>
        <v>11303.176663919985</v>
      </c>
      <c r="J228" s="717">
        <f t="shared" si="122"/>
        <v>11368.853160767783</v>
      </c>
      <c r="K228" s="717">
        <f t="shared" si="122"/>
        <v>11307.433482327277</v>
      </c>
      <c r="L228" s="717">
        <f t="shared" si="122"/>
        <v>11232.361491789441</v>
      </c>
    </row>
    <row r="229" spans="2:12">
      <c r="B229" s="719" t="str">
        <f t="shared" si="121"/>
        <v>Art &amp; Design</v>
      </c>
      <c r="C229" s="717">
        <f t="shared" ref="C229:L229" si="123">C56/((C157*$E$45)+(C181*$E$46)+(C205*$E$49))</f>
        <v>601.37828100531567</v>
      </c>
      <c r="D229" s="717">
        <f t="shared" si="123"/>
        <v>596.43129764205389</v>
      </c>
      <c r="E229" s="717">
        <f t="shared" si="123"/>
        <v>586.08122917259141</v>
      </c>
      <c r="F229" s="717">
        <f t="shared" si="123"/>
        <v>572.6014147866855</v>
      </c>
      <c r="G229" s="717">
        <f t="shared" si="123"/>
        <v>604.34299566594098</v>
      </c>
      <c r="H229" s="717">
        <f t="shared" si="123"/>
        <v>624.97561440824222</v>
      </c>
      <c r="I229" s="717">
        <f t="shared" si="123"/>
        <v>595.19466864154049</v>
      </c>
      <c r="J229" s="717">
        <f t="shared" si="123"/>
        <v>576.48017396416765</v>
      </c>
      <c r="K229" s="717">
        <f t="shared" si="123"/>
        <v>587.95883606172583</v>
      </c>
      <c r="L229" s="717">
        <f t="shared" si="123"/>
        <v>591.6931332791745</v>
      </c>
    </row>
    <row r="230" spans="2:12">
      <c r="B230" s="719" t="str">
        <f t="shared" si="121"/>
        <v>Biology</v>
      </c>
      <c r="C230" s="717">
        <f t="shared" ref="C230:L230" si="124">C57/((C158*$E$45)+(C182*$E$46)+(C206*$E$49))</f>
        <v>1046.8230888385285</v>
      </c>
      <c r="D230" s="717">
        <f t="shared" si="124"/>
        <v>1029.2915114712775</v>
      </c>
      <c r="E230" s="717">
        <f t="shared" si="124"/>
        <v>1051.598504240289</v>
      </c>
      <c r="F230" s="717">
        <f t="shared" si="124"/>
        <v>1077.1577295011768</v>
      </c>
      <c r="G230" s="717">
        <f t="shared" si="124"/>
        <v>1096.3843068725178</v>
      </c>
      <c r="H230" s="717">
        <f t="shared" si="124"/>
        <v>1079.6998931830231</v>
      </c>
      <c r="I230" s="717">
        <f t="shared" si="124"/>
        <v>1067.2107847897375</v>
      </c>
      <c r="J230" s="717">
        <f t="shared" si="124"/>
        <v>1050.756465498227</v>
      </c>
      <c r="K230" s="717">
        <f t="shared" si="124"/>
        <v>1024.8226214370366</v>
      </c>
      <c r="L230" s="717">
        <f t="shared" si="124"/>
        <v>998.51435176925634</v>
      </c>
    </row>
    <row r="231" spans="2:12">
      <c r="B231" s="719" t="str">
        <f t="shared" si="121"/>
        <v>Business Studies</v>
      </c>
      <c r="C231" s="717">
        <f t="shared" ref="C231:L231" si="125">C58/((C159*$E$45)+(C183*$E$46)+(C207*$E$49))</f>
        <v>228.42184454194251</v>
      </c>
      <c r="D231" s="717">
        <f t="shared" si="125"/>
        <v>254.53034635934887</v>
      </c>
      <c r="E231" s="717">
        <f t="shared" si="125"/>
        <v>268.27856988826642</v>
      </c>
      <c r="F231" s="717">
        <f t="shared" si="125"/>
        <v>285.8343016794056</v>
      </c>
      <c r="G231" s="717">
        <f t="shared" si="125"/>
        <v>291.92574254178561</v>
      </c>
      <c r="H231" s="717">
        <f t="shared" si="125"/>
        <v>309.17804326653231</v>
      </c>
      <c r="I231" s="717">
        <f t="shared" si="125"/>
        <v>312.30183463748284</v>
      </c>
      <c r="J231" s="717">
        <f t="shared" si="125"/>
        <v>312.08815225332376</v>
      </c>
      <c r="K231" s="717">
        <f t="shared" si="125"/>
        <v>294.43860811808219</v>
      </c>
      <c r="L231" s="717">
        <f t="shared" si="125"/>
        <v>274.93253687681829</v>
      </c>
    </row>
    <row r="232" spans="2:12">
      <c r="B232" s="719" t="str">
        <f t="shared" si="121"/>
        <v>Chemistry</v>
      </c>
      <c r="C232" s="717">
        <f t="shared" ref="C232:L232" si="126">C59/((C160*$E$45)+(C184*$E$46)+(C208*$E$49))</f>
        <v>894.10659529991449</v>
      </c>
      <c r="D232" s="717">
        <f t="shared" si="126"/>
        <v>894.54272328658385</v>
      </c>
      <c r="E232" s="717">
        <f t="shared" si="126"/>
        <v>912.76161696349811</v>
      </c>
      <c r="F232" s="717">
        <f t="shared" si="126"/>
        <v>934.39366773247275</v>
      </c>
      <c r="G232" s="717">
        <f t="shared" si="126"/>
        <v>942.52080177545486</v>
      </c>
      <c r="H232" s="717">
        <f t="shared" si="126"/>
        <v>926.22893077125184</v>
      </c>
      <c r="I232" s="717">
        <f t="shared" si="126"/>
        <v>918.9021208480516</v>
      </c>
      <c r="J232" s="717">
        <f t="shared" si="126"/>
        <v>904.83398716389956</v>
      </c>
      <c r="K232" s="717">
        <f t="shared" si="126"/>
        <v>873.152251086869</v>
      </c>
      <c r="L232" s="717">
        <f t="shared" si="126"/>
        <v>842.36174474354061</v>
      </c>
    </row>
    <row r="233" spans="2:12">
      <c r="B233" s="719" t="str">
        <f t="shared" si="121"/>
        <v>Classics</v>
      </c>
      <c r="C233" s="717">
        <f t="shared" ref="C233:L233" si="127">C60/((C161*$E$45)+(C185*$E$46)+(C209*$E$49))</f>
        <v>25.654941310015015</v>
      </c>
      <c r="D233" s="717">
        <f t="shared" si="127"/>
        <v>26.105369993520124</v>
      </c>
      <c r="E233" s="717">
        <f t="shared" si="127"/>
        <v>26.226325461705773</v>
      </c>
      <c r="F233" s="717">
        <f t="shared" si="127"/>
        <v>26.605898948894854</v>
      </c>
      <c r="G233" s="717">
        <f t="shared" si="127"/>
        <v>27.249352599855541</v>
      </c>
      <c r="H233" s="717">
        <f t="shared" si="127"/>
        <v>27.065069356808845</v>
      </c>
      <c r="I233" s="717">
        <f t="shared" si="127"/>
        <v>26.050100275382746</v>
      </c>
      <c r="J233" s="717">
        <f t="shared" si="127"/>
        <v>25.41019682364254</v>
      </c>
      <c r="K233" s="717">
        <f t="shared" si="127"/>
        <v>25.354046487735729</v>
      </c>
      <c r="L233" s="717">
        <f t="shared" si="127"/>
        <v>25.158833216289345</v>
      </c>
    </row>
    <row r="234" spans="2:12">
      <c r="B234" s="719" t="str">
        <f t="shared" si="121"/>
        <v>Computing</v>
      </c>
      <c r="C234" s="717">
        <f t="shared" ref="C234:L234" si="128">C61/((C162*$E$45)+(C186*$E$46)+(C210*$E$49))</f>
        <v>534.76525773836352</v>
      </c>
      <c r="D234" s="717">
        <f t="shared" si="128"/>
        <v>531.85596578174545</v>
      </c>
      <c r="E234" s="717">
        <f t="shared" si="128"/>
        <v>528.18862130732168</v>
      </c>
      <c r="F234" s="717">
        <f t="shared" si="128"/>
        <v>522.7304553757009</v>
      </c>
      <c r="G234" s="717">
        <f t="shared" si="128"/>
        <v>545.24902473936027</v>
      </c>
      <c r="H234" s="717">
        <f t="shared" si="128"/>
        <v>563.85786850245904</v>
      </c>
      <c r="I234" s="717">
        <f t="shared" si="128"/>
        <v>548.45839147860693</v>
      </c>
      <c r="J234" s="717">
        <f t="shared" si="128"/>
        <v>537.05584626751772</v>
      </c>
      <c r="K234" s="717">
        <f t="shared" si="128"/>
        <v>537.60137101303883</v>
      </c>
      <c r="L234" s="717">
        <f t="shared" si="128"/>
        <v>533.00855528330624</v>
      </c>
    </row>
    <row r="235" spans="2:12">
      <c r="B235" s="719" t="str">
        <f t="shared" si="121"/>
        <v>Design &amp; Technology</v>
      </c>
      <c r="C235" s="717">
        <f t="shared" ref="C235:L235" si="129">C62/((C163*$E$45)+(C187*$E$46)+(C211*$E$49))</f>
        <v>820.25982478114315</v>
      </c>
      <c r="D235" s="717">
        <f t="shared" si="129"/>
        <v>757.13686270976746</v>
      </c>
      <c r="E235" s="717">
        <f t="shared" si="129"/>
        <v>725.89469619117642</v>
      </c>
      <c r="F235" s="717">
        <f t="shared" si="129"/>
        <v>689.3842193213593</v>
      </c>
      <c r="G235" s="717">
        <f t="shared" si="129"/>
        <v>725.80681359830737</v>
      </c>
      <c r="H235" s="717">
        <f t="shared" si="129"/>
        <v>741.47319927260355</v>
      </c>
      <c r="I235" s="717">
        <f t="shared" si="129"/>
        <v>693.95825847332515</v>
      </c>
      <c r="J235" s="717">
        <f t="shared" si="129"/>
        <v>664.35744767790402</v>
      </c>
      <c r="K235" s="717">
        <f t="shared" si="129"/>
        <v>687.01882100545799</v>
      </c>
      <c r="L235" s="717">
        <f t="shared" si="129"/>
        <v>700.26619811056128</v>
      </c>
    </row>
    <row r="236" spans="2:12">
      <c r="B236" s="719" t="str">
        <f t="shared" si="121"/>
        <v>Drama</v>
      </c>
      <c r="C236" s="717">
        <f t="shared" ref="C236:L236" si="130">C63/((C164*$E$45)+(C188*$E$46)+(C212*$E$49))</f>
        <v>335.80631525856126</v>
      </c>
      <c r="D236" s="717">
        <f t="shared" si="130"/>
        <v>316.21949061662747</v>
      </c>
      <c r="E236" s="717">
        <f t="shared" si="130"/>
        <v>309.10094015990143</v>
      </c>
      <c r="F236" s="717">
        <f t="shared" si="130"/>
        <v>299.82871457219659</v>
      </c>
      <c r="G236" s="717">
        <f t="shared" si="130"/>
        <v>320.98035022363695</v>
      </c>
      <c r="H236" s="717">
        <f t="shared" si="130"/>
        <v>333.35388158405715</v>
      </c>
      <c r="I236" s="717">
        <f t="shared" si="130"/>
        <v>315.46868228723309</v>
      </c>
      <c r="J236" s="717">
        <f t="shared" si="130"/>
        <v>305.46810117288516</v>
      </c>
      <c r="K236" s="717">
        <f t="shared" si="130"/>
        <v>317.86181951620739</v>
      </c>
      <c r="L236" s="717">
        <f t="shared" si="130"/>
        <v>325.41098719223919</v>
      </c>
    </row>
    <row r="237" spans="2:12">
      <c r="B237" s="719" t="str">
        <f t="shared" si="121"/>
        <v>English</v>
      </c>
      <c r="C237" s="717">
        <f t="shared" ref="C237:L237" si="131">C64/((C165*$E$45)+(C189*$E$46)+(C213*$E$49))</f>
        <v>2368.8212173268348</v>
      </c>
      <c r="D237" s="717">
        <f t="shared" si="131"/>
        <v>2335.4709152373384</v>
      </c>
      <c r="E237" s="717">
        <f t="shared" si="131"/>
        <v>2352.5608906719685</v>
      </c>
      <c r="F237" s="717">
        <f t="shared" si="131"/>
        <v>2370.5132039072105</v>
      </c>
      <c r="G237" s="717">
        <f t="shared" si="131"/>
        <v>2419.7276253984455</v>
      </c>
      <c r="H237" s="717">
        <f t="shared" si="131"/>
        <v>2340.3059619975088</v>
      </c>
      <c r="I237" s="717">
        <f t="shared" si="131"/>
        <v>2288.914666388172</v>
      </c>
      <c r="J237" s="717">
        <f t="shared" si="131"/>
        <v>2235.1856856144905</v>
      </c>
      <c r="K237" s="717">
        <f t="shared" si="131"/>
        <v>2193.3294581735827</v>
      </c>
      <c r="L237" s="717">
        <f t="shared" si="131"/>
        <v>2153.4536901788383</v>
      </c>
    </row>
    <row r="238" spans="2:12">
      <c r="B238" s="719" t="str">
        <f t="shared" si="121"/>
        <v>Food</v>
      </c>
      <c r="C238" s="717">
        <f t="shared" ref="C238:L238" si="132">C65/((C166*$E$45)+(C190*$E$46)+(C214*$E$49))</f>
        <v>175.7654674503884</v>
      </c>
      <c r="D238" s="717">
        <f t="shared" si="132"/>
        <v>167.99573957649736</v>
      </c>
      <c r="E238" s="717">
        <f t="shared" si="132"/>
        <v>162.85663315424523</v>
      </c>
      <c r="F238" s="717">
        <f t="shared" si="132"/>
        <v>158.09308625682669</v>
      </c>
      <c r="G238" s="717">
        <f t="shared" si="132"/>
        <v>159.74939096990227</v>
      </c>
      <c r="H238" s="717">
        <f t="shared" si="132"/>
        <v>162.51322899250491</v>
      </c>
      <c r="I238" s="717">
        <f t="shared" si="132"/>
        <v>160.59718713079286</v>
      </c>
      <c r="J238" s="717">
        <f t="shared" si="132"/>
        <v>156.88883187611478</v>
      </c>
      <c r="K238" s="717">
        <f t="shared" si="132"/>
        <v>149.24796437878655</v>
      </c>
      <c r="L238" s="717">
        <f t="shared" si="132"/>
        <v>141.20708093307556</v>
      </c>
    </row>
    <row r="239" spans="2:12">
      <c r="B239" s="719" t="str">
        <f t="shared" si="121"/>
        <v>Geography</v>
      </c>
      <c r="C239" s="717">
        <f t="shared" ref="C239:L239" si="133">C66/((C167*$E$45)+(C191*$E$46)+(C215*$E$49))</f>
        <v>1107.4761043445603</v>
      </c>
      <c r="D239" s="717">
        <f t="shared" si="133"/>
        <v>1041.0330883997649</v>
      </c>
      <c r="E239" s="717">
        <f t="shared" si="133"/>
        <v>1050.5726650242777</v>
      </c>
      <c r="F239" s="717">
        <f t="shared" si="133"/>
        <v>1054.8710387354947</v>
      </c>
      <c r="G239" s="717">
        <f t="shared" si="133"/>
        <v>1130.1927748328567</v>
      </c>
      <c r="H239" s="717">
        <f t="shared" si="133"/>
        <v>1076.4328855582157</v>
      </c>
      <c r="I239" s="717">
        <f t="shared" si="133"/>
        <v>1007.4420636034076</v>
      </c>
      <c r="J239" s="717">
        <f t="shared" si="133"/>
        <v>959.52347456390714</v>
      </c>
      <c r="K239" s="717">
        <f t="shared" si="133"/>
        <v>980.89076876243325</v>
      </c>
      <c r="L239" s="717">
        <f t="shared" si="133"/>
        <v>996.43604529096433</v>
      </c>
    </row>
    <row r="240" spans="2:12">
      <c r="B240" s="719" t="str">
        <f t="shared" si="121"/>
        <v>History</v>
      </c>
      <c r="C240" s="717">
        <f t="shared" ref="C240:L240" si="134">C67/((C168*$E$45)+(C192*$E$46)+(C216*$E$49))</f>
        <v>1131.7030616108825</v>
      </c>
      <c r="D240" s="717">
        <f t="shared" si="134"/>
        <v>1075.1913024742389</v>
      </c>
      <c r="E240" s="717">
        <f t="shared" si="134"/>
        <v>1087.5615323542133</v>
      </c>
      <c r="F240" s="717">
        <f t="shared" si="134"/>
        <v>1096.0378105444449</v>
      </c>
      <c r="G240" s="717">
        <f t="shared" si="134"/>
        <v>1167.4401875926671</v>
      </c>
      <c r="H240" s="717">
        <f t="shared" si="134"/>
        <v>1118.7233141085178</v>
      </c>
      <c r="I240" s="717">
        <f t="shared" si="134"/>
        <v>1052.4554500867075</v>
      </c>
      <c r="J240" s="717">
        <f t="shared" si="134"/>
        <v>1006.3566251205581</v>
      </c>
      <c r="K240" s="717">
        <f t="shared" si="134"/>
        <v>1023.6506082602923</v>
      </c>
      <c r="L240" s="717">
        <f t="shared" si="134"/>
        <v>1035.13597077493</v>
      </c>
    </row>
    <row r="241" spans="2:23">
      <c r="B241" s="719" t="str">
        <f t="shared" si="121"/>
        <v>Mathematics</v>
      </c>
      <c r="C241" s="717">
        <f t="shared" ref="C241:L241" si="135">C68/((C169*$E$45)+(C193*$E$46)+(C217*$E$49))</f>
        <v>2744.4411818755211</v>
      </c>
      <c r="D241" s="717">
        <f t="shared" si="135"/>
        <v>2616.0500085755893</v>
      </c>
      <c r="E241" s="717">
        <f t="shared" si="135"/>
        <v>2631.9699060906037</v>
      </c>
      <c r="F241" s="717">
        <f t="shared" si="135"/>
        <v>2650.1731470389554</v>
      </c>
      <c r="G241" s="717">
        <f t="shared" si="135"/>
        <v>2700.7755161646028</v>
      </c>
      <c r="H241" s="717">
        <f t="shared" si="135"/>
        <v>2624.4424994691785</v>
      </c>
      <c r="I241" s="717">
        <f t="shared" si="135"/>
        <v>2556.7214035788747</v>
      </c>
      <c r="J241" s="717">
        <f t="shared" si="135"/>
        <v>2493.2295201376292</v>
      </c>
      <c r="K241" s="717">
        <f t="shared" si="135"/>
        <v>2451.8967286597817</v>
      </c>
      <c r="L241" s="717">
        <f t="shared" si="135"/>
        <v>2410.2994706734366</v>
      </c>
    </row>
    <row r="242" spans="2:23">
      <c r="B242" s="719" t="str">
        <f t="shared" si="121"/>
        <v>Modern Foreign Languages</v>
      </c>
      <c r="C242" s="717">
        <f t="shared" ref="C242:L242" si="136">C69/((C170*$E$45)+(C194*$E$46)+(C218*$E$49))</f>
        <v>1432.3616299692947</v>
      </c>
      <c r="D242" s="717">
        <f t="shared" si="136"/>
        <v>1615.2252007192803</v>
      </c>
      <c r="E242" s="717">
        <f t="shared" si="136"/>
        <v>1889.0932200192647</v>
      </c>
      <c r="F242" s="717">
        <f t="shared" si="136"/>
        <v>2170.7426643332515</v>
      </c>
      <c r="G242" s="717">
        <f t="shared" si="136"/>
        <v>2212.9560735563455</v>
      </c>
      <c r="H242" s="717">
        <f t="shared" si="136"/>
        <v>1415.5176464229032</v>
      </c>
      <c r="I242" s="717">
        <f t="shared" si="136"/>
        <v>1237.1372488488198</v>
      </c>
      <c r="J242" s="717">
        <f t="shared" si="136"/>
        <v>1103.4359991852016</v>
      </c>
      <c r="K242" s="717">
        <f t="shared" si="136"/>
        <v>1120.3981860608499</v>
      </c>
      <c r="L242" s="717">
        <f t="shared" si="136"/>
        <v>1206.7262110962683</v>
      </c>
    </row>
    <row r="243" spans="2:23">
      <c r="B243" s="719" t="str">
        <f t="shared" si="121"/>
        <v>Music</v>
      </c>
      <c r="C243" s="717">
        <f t="shared" ref="C243:L243" si="137">C70/((C171*$E$45)+(C195*$E$46)+(C219*$E$49))</f>
        <v>370.23125198726308</v>
      </c>
      <c r="D243" s="717">
        <f t="shared" si="137"/>
        <v>336.25315111038071</v>
      </c>
      <c r="E243" s="717">
        <f t="shared" si="137"/>
        <v>324.86279002555608</v>
      </c>
      <c r="F243" s="717">
        <f t="shared" si="137"/>
        <v>309.76313929837704</v>
      </c>
      <c r="G243" s="717">
        <f t="shared" si="137"/>
        <v>334.7277441658627</v>
      </c>
      <c r="H243" s="717">
        <f t="shared" si="137"/>
        <v>346.19794508738642</v>
      </c>
      <c r="I243" s="717">
        <f t="shared" si="137"/>
        <v>321.33765800280048</v>
      </c>
      <c r="J243" s="717">
        <f t="shared" si="137"/>
        <v>308.04167044631674</v>
      </c>
      <c r="K243" s="717">
        <f t="shared" si="137"/>
        <v>328.29459959793093</v>
      </c>
      <c r="L243" s="717">
        <f t="shared" si="137"/>
        <v>342.6932435429469</v>
      </c>
    </row>
    <row r="244" spans="2:23">
      <c r="B244" s="719" t="str">
        <f t="shared" si="121"/>
        <v>Others</v>
      </c>
      <c r="C244" s="717">
        <f t="shared" ref="C244:L244" si="138">C71/((C172*$E$45)+(C196*$E$46)+(C220*$E$49))</f>
        <v>840.0975431973776</v>
      </c>
      <c r="D244" s="717">
        <f t="shared" si="138"/>
        <v>915.54728397228973</v>
      </c>
      <c r="E244" s="717">
        <f t="shared" si="138"/>
        <v>939.19658321474935</v>
      </c>
      <c r="F244" s="717">
        <f t="shared" si="138"/>
        <v>971.80189653934826</v>
      </c>
      <c r="G244" s="717">
        <f t="shared" si="138"/>
        <v>1013.9341562349294</v>
      </c>
      <c r="H244" s="717">
        <f t="shared" si="138"/>
        <v>1072.1484162662741</v>
      </c>
      <c r="I244" s="717">
        <f t="shared" si="138"/>
        <v>1043.1710551433709</v>
      </c>
      <c r="J244" s="717">
        <f t="shared" si="138"/>
        <v>1028.0582416233083</v>
      </c>
      <c r="K244" s="717">
        <f t="shared" si="138"/>
        <v>1021.0110823919719</v>
      </c>
      <c r="L244" s="717">
        <f t="shared" si="138"/>
        <v>1000.9655413112014</v>
      </c>
    </row>
    <row r="245" spans="2:23">
      <c r="B245" s="719" t="str">
        <f t="shared" si="121"/>
        <v>Physical Education</v>
      </c>
      <c r="C245" s="717">
        <f t="shared" ref="C245:L245" si="139">C72/((C173*$E$45)+(C197*$E$46)+(C221*$E$49))</f>
        <v>1030.7763449154841</v>
      </c>
      <c r="D245" s="717">
        <f t="shared" si="139"/>
        <v>997.81366129351727</v>
      </c>
      <c r="E245" s="717">
        <f t="shared" si="139"/>
        <v>980.14670707424375</v>
      </c>
      <c r="F245" s="717">
        <f t="shared" si="139"/>
        <v>957.49166170273179</v>
      </c>
      <c r="G245" s="717">
        <f t="shared" si="139"/>
        <v>1020.5676394992706</v>
      </c>
      <c r="H245" s="717">
        <f t="shared" si="139"/>
        <v>1066.368318680856</v>
      </c>
      <c r="I245" s="717">
        <f t="shared" si="139"/>
        <v>1035.7911630089548</v>
      </c>
      <c r="J245" s="717">
        <f t="shared" si="139"/>
        <v>1012.861499054859</v>
      </c>
      <c r="K245" s="717">
        <f t="shared" si="139"/>
        <v>1020.7312124574333</v>
      </c>
      <c r="L245" s="717">
        <f t="shared" si="139"/>
        <v>1016.4976567404337</v>
      </c>
    </row>
    <row r="246" spans="2:23">
      <c r="B246" s="719" t="str">
        <f t="shared" si="121"/>
        <v>Physics</v>
      </c>
      <c r="C246" s="717">
        <f t="shared" ref="C246:L246" si="140">C73/((C174*$E$45)+(C198*$E$46)+(C222*$E$49))</f>
        <v>997.57741324713572</v>
      </c>
      <c r="D246" s="717">
        <f t="shared" si="140"/>
        <v>940.50619394155854</v>
      </c>
      <c r="E246" s="717">
        <f t="shared" si="140"/>
        <v>956.1573094678115</v>
      </c>
      <c r="F246" s="717">
        <f t="shared" si="140"/>
        <v>974.60989797734624</v>
      </c>
      <c r="G246" s="717">
        <f t="shared" si="140"/>
        <v>980.5800048186228</v>
      </c>
      <c r="H246" s="717">
        <f t="shared" si="140"/>
        <v>959.26672984637935</v>
      </c>
      <c r="I246" s="717">
        <f t="shared" si="140"/>
        <v>950.90934318528514</v>
      </c>
      <c r="J246" s="717">
        <f t="shared" si="140"/>
        <v>934.91268645407308</v>
      </c>
      <c r="K246" s="717">
        <f t="shared" si="140"/>
        <v>900.47117226230421</v>
      </c>
      <c r="L246" s="717">
        <f t="shared" si="140"/>
        <v>867.61230551096196</v>
      </c>
    </row>
    <row r="247" spans="2:23">
      <c r="B247" s="719" t="str">
        <f t="shared" si="121"/>
        <v>Religious Education</v>
      </c>
      <c r="C247" s="717">
        <f t="shared" ref="C247:L247" si="141">C74/((C175*$E$45)+(C199*$E$46)+(C223*$E$49))</f>
        <v>509.56395704879111</v>
      </c>
      <c r="D247" s="717">
        <f t="shared" si="141"/>
        <v>470.83689561909739</v>
      </c>
      <c r="E247" s="717">
        <f t="shared" si="141"/>
        <v>458.77539139220187</v>
      </c>
      <c r="F247" s="717">
        <f t="shared" si="141"/>
        <v>445.23197862143212</v>
      </c>
      <c r="G247" s="717">
        <f t="shared" si="141"/>
        <v>467.39411091219085</v>
      </c>
      <c r="H247" s="717">
        <f t="shared" si="141"/>
        <v>483.01183445228685</v>
      </c>
      <c r="I247" s="717">
        <f t="shared" si="141"/>
        <v>464.83959257381599</v>
      </c>
      <c r="J247" s="717">
        <f t="shared" si="141"/>
        <v>451.60601972151647</v>
      </c>
      <c r="K247" s="717">
        <f t="shared" si="141"/>
        <v>453.90488595468543</v>
      </c>
      <c r="L247" s="717">
        <f t="shared" si="141"/>
        <v>451.19485263357296</v>
      </c>
    </row>
    <row r="248" spans="2:23">
      <c r="B248" s="719" t="s">
        <v>8</v>
      </c>
      <c r="C248" s="717">
        <f>SUM(C228:C247)</f>
        <v>28561.68806504719</v>
      </c>
      <c r="D248" s="717">
        <f t="shared" ref="D248:L248" si="142">SUM(D228:D247)</f>
        <v>28094.100005512664</v>
      </c>
      <c r="E248" s="717">
        <f t="shared" si="142"/>
        <v>28284.843573430455</v>
      </c>
      <c r="F248" s="717">
        <f t="shared" si="142"/>
        <v>28452.091909338644</v>
      </c>
      <c r="G248" s="717">
        <f t="shared" si="142"/>
        <v>28872.752923060096</v>
      </c>
      <c r="H248" s="717">
        <f t="shared" si="142"/>
        <v>28308.652916784849</v>
      </c>
      <c r="I248" s="717">
        <f t="shared" si="142"/>
        <v>27900.038336902351</v>
      </c>
      <c r="J248" s="717">
        <f t="shared" si="142"/>
        <v>27435.403785387331</v>
      </c>
      <c r="K248" s="717">
        <f t="shared" si="142"/>
        <v>27299.468524013486</v>
      </c>
      <c r="L248" s="717">
        <f t="shared" si="142"/>
        <v>27145.929900947256</v>
      </c>
    </row>
    <row r="250" spans="2:23" ht="15.75">
      <c r="B250" s="713" t="s">
        <v>1098</v>
      </c>
      <c r="C250" s="707"/>
      <c r="D250" s="707"/>
      <c r="E250" s="707"/>
      <c r="F250" s="707"/>
      <c r="G250" s="781" t="s">
        <v>1169</v>
      </c>
      <c r="H250" s="707"/>
      <c r="I250" s="707"/>
      <c r="J250" s="707"/>
      <c r="K250" s="707"/>
      <c r="L250" s="707"/>
    </row>
    <row r="252" spans="2:23">
      <c r="B252" s="719" t="str">
        <f>B227</f>
        <v>Subject</v>
      </c>
      <c r="C252" s="705" t="str">
        <f>C227</f>
        <v>2018/19</v>
      </c>
      <c r="D252" s="705" t="str">
        <f t="shared" ref="D252:L252" si="143">D227</f>
        <v>2019/20</v>
      </c>
      <c r="E252" s="705" t="str">
        <f t="shared" si="143"/>
        <v>2020/21</v>
      </c>
      <c r="F252" s="705" t="str">
        <f t="shared" si="143"/>
        <v>2021/22</v>
      </c>
      <c r="G252" s="705" t="str">
        <f t="shared" si="143"/>
        <v>2022/23</v>
      </c>
      <c r="H252" s="705" t="str">
        <f t="shared" si="143"/>
        <v>2023/24</v>
      </c>
      <c r="I252" s="705" t="str">
        <f t="shared" si="143"/>
        <v>2024/25</v>
      </c>
      <c r="J252" s="705" t="str">
        <f t="shared" si="143"/>
        <v>2025/26</v>
      </c>
      <c r="K252" s="705" t="str">
        <f t="shared" si="143"/>
        <v>2026/27</v>
      </c>
      <c r="L252" s="705" t="str">
        <f t="shared" si="143"/>
        <v>2027/28</v>
      </c>
    </row>
    <row r="253" spans="2:23">
      <c r="B253" s="719" t="str">
        <f t="shared" ref="B253:B273" si="144">B228</f>
        <v>Primary</v>
      </c>
      <c r="C253" s="717">
        <f t="shared" ref="C253:L253" si="145">C55/((C82*C156*$E$45)+(C106*C180*$E$46)+(C130*C204*$E$49))</f>
        <v>12551.825169701613</v>
      </c>
      <c r="D253" s="717">
        <f t="shared" si="145"/>
        <v>12342.444610888844</v>
      </c>
      <c r="E253" s="717">
        <f t="shared" si="145"/>
        <v>12195.449800842778</v>
      </c>
      <c r="F253" s="717">
        <f t="shared" si="145"/>
        <v>12020.15024076503</v>
      </c>
      <c r="G253" s="717">
        <f t="shared" si="145"/>
        <v>11828.01551716114</v>
      </c>
      <c r="H253" s="717">
        <f t="shared" si="145"/>
        <v>12189.853096989542</v>
      </c>
      <c r="I253" s="717">
        <f t="shared" si="145"/>
        <v>12482.824402682347</v>
      </c>
      <c r="J253" s="717">
        <f t="shared" si="145"/>
        <v>12555.355178933178</v>
      </c>
      <c r="K253" s="717">
        <f t="shared" si="145"/>
        <v>12487.525480819253</v>
      </c>
      <c r="L253" s="717">
        <f t="shared" si="145"/>
        <v>12404.618657073419</v>
      </c>
      <c r="N253" s="10"/>
      <c r="O253" s="10"/>
      <c r="P253" s="10"/>
      <c r="Q253" s="10"/>
      <c r="R253" s="10"/>
      <c r="S253" s="10"/>
      <c r="T253" s="10"/>
      <c r="U253" s="10"/>
      <c r="V253" s="10"/>
      <c r="W253" s="10"/>
    </row>
    <row r="254" spans="2:23">
      <c r="B254" s="719" t="str">
        <f t="shared" si="144"/>
        <v>Art &amp; Design</v>
      </c>
      <c r="C254" s="717">
        <f t="shared" ref="C254:L254" si="146">C56/((C83*C157*$E$45)+(C107*C181*$E$46)+(C131*C205*$E$49))</f>
        <v>645.55239319127406</v>
      </c>
      <c r="D254" s="717">
        <f t="shared" si="146"/>
        <v>640.24203022989059</v>
      </c>
      <c r="E254" s="717">
        <f t="shared" si="146"/>
        <v>629.13169970883223</v>
      </c>
      <c r="F254" s="717">
        <f t="shared" si="146"/>
        <v>614.66172845870847</v>
      </c>
      <c r="G254" s="717">
        <f t="shared" si="146"/>
        <v>648.73488032914759</v>
      </c>
      <c r="H254" s="717">
        <f t="shared" si="146"/>
        <v>670.88306364004097</v>
      </c>
      <c r="I254" s="717">
        <f t="shared" si="146"/>
        <v>638.91456491232611</v>
      </c>
      <c r="J254" s="717">
        <f t="shared" si="146"/>
        <v>618.82540105667863</v>
      </c>
      <c r="K254" s="717">
        <f t="shared" si="146"/>
        <v>631.14722580785747</v>
      </c>
      <c r="L254" s="717">
        <f t="shared" si="146"/>
        <v>635.15582502361497</v>
      </c>
      <c r="N254" s="10"/>
      <c r="O254" s="10"/>
      <c r="P254" s="10"/>
      <c r="Q254" s="10"/>
      <c r="R254" s="10"/>
      <c r="S254" s="10"/>
      <c r="T254" s="10"/>
      <c r="U254" s="10"/>
      <c r="V254" s="10"/>
      <c r="W254" s="10"/>
    </row>
    <row r="255" spans="2:23">
      <c r="B255" s="719" t="str">
        <f t="shared" si="144"/>
        <v>Biology</v>
      </c>
      <c r="C255" s="717">
        <f t="shared" ref="C255:L255" si="147">C57/((C84*C158*$E$45)+(C108*C182*$E$46)+(C132*C206*$E$49))</f>
        <v>1179.0323883824035</v>
      </c>
      <c r="D255" s="717">
        <f t="shared" si="147"/>
        <v>1159.2866474297896</v>
      </c>
      <c r="E255" s="717">
        <f t="shared" si="147"/>
        <v>1184.4109184193201</v>
      </c>
      <c r="F255" s="717">
        <f t="shared" si="147"/>
        <v>1213.1981650189189</v>
      </c>
      <c r="G255" s="717">
        <f t="shared" si="147"/>
        <v>1234.8529772601189</v>
      </c>
      <c r="H255" s="717">
        <f t="shared" si="147"/>
        <v>1216.061393151183</v>
      </c>
      <c r="I255" s="717">
        <f t="shared" si="147"/>
        <v>1201.9949635369492</v>
      </c>
      <c r="J255" s="717">
        <f t="shared" si="147"/>
        <v>1183.4625337688963</v>
      </c>
      <c r="K255" s="717">
        <f t="shared" si="147"/>
        <v>1154.2533556093586</v>
      </c>
      <c r="L255" s="717">
        <f t="shared" si="147"/>
        <v>1124.6224634831381</v>
      </c>
    </row>
    <row r="256" spans="2:23">
      <c r="B256" s="719" t="str">
        <f t="shared" si="144"/>
        <v>Business Studies</v>
      </c>
      <c r="C256" s="717">
        <f t="shared" ref="C256:L256" si="148">C58/((C85*C159*$E$45)+(C109*C183*$E$46)+(C133*C207*$E$49))</f>
        <v>240.94666043336403</v>
      </c>
      <c r="D256" s="717">
        <f t="shared" si="148"/>
        <v>268.486742400732</v>
      </c>
      <c r="E256" s="717">
        <f t="shared" si="148"/>
        <v>282.98880787886901</v>
      </c>
      <c r="F256" s="717">
        <f t="shared" si="148"/>
        <v>301.5071547340977</v>
      </c>
      <c r="G256" s="717">
        <f t="shared" si="148"/>
        <v>307.93260119680809</v>
      </c>
      <c r="H256" s="717">
        <f t="shared" si="148"/>
        <v>326.13087926761028</v>
      </c>
      <c r="I256" s="717">
        <f t="shared" si="148"/>
        <v>329.42595422084173</v>
      </c>
      <c r="J256" s="717">
        <f t="shared" si="148"/>
        <v>329.20055521419323</v>
      </c>
      <c r="K256" s="717">
        <f t="shared" si="148"/>
        <v>310.58325210080005</v>
      </c>
      <c r="L256" s="717">
        <f t="shared" si="148"/>
        <v>290.0076248739793</v>
      </c>
    </row>
    <row r="257" spans="2:12">
      <c r="B257" s="719" t="str">
        <f t="shared" si="144"/>
        <v>Chemistry</v>
      </c>
      <c r="C257" s="717">
        <f t="shared" ref="C257:L257" si="149">C59/((C86*C160*$E$45)+(C110*C184*$E$46)+(C134*C208*$E$49))</f>
        <v>1024.4838177583074</v>
      </c>
      <c r="D257" s="717">
        <f t="shared" si="149"/>
        <v>1024.9835412444813</v>
      </c>
      <c r="E257" s="717">
        <f t="shared" si="149"/>
        <v>1045.8590854442161</v>
      </c>
      <c r="F257" s="717">
        <f t="shared" si="149"/>
        <v>1070.6454879539829</v>
      </c>
      <c r="G257" s="717">
        <f t="shared" si="149"/>
        <v>1079.9577079460464</v>
      </c>
      <c r="H257" s="717">
        <f t="shared" si="149"/>
        <v>1061.290181845075</v>
      </c>
      <c r="I257" s="717">
        <f t="shared" si="149"/>
        <v>1052.89498798165</v>
      </c>
      <c r="J257" s="717">
        <f t="shared" si="149"/>
        <v>1036.7754610916377</v>
      </c>
      <c r="K257" s="717">
        <f t="shared" si="149"/>
        <v>1000.4739439123355</v>
      </c>
      <c r="L257" s="717">
        <f t="shared" si="149"/>
        <v>965.19361418974415</v>
      </c>
    </row>
    <row r="258" spans="2:12">
      <c r="B258" s="719" t="str">
        <f t="shared" si="144"/>
        <v>Classics</v>
      </c>
      <c r="C258" s="717">
        <f t="shared" ref="C258:L258" si="150">C60/((C87*C161*$E$45)+(C111*C185*$E$46)+(C135*C209*$E$49))</f>
        <v>28.859880372993395</v>
      </c>
      <c r="D258" s="717">
        <f t="shared" si="150"/>
        <v>29.366578781126091</v>
      </c>
      <c r="E258" s="717">
        <f t="shared" si="150"/>
        <v>29.502644590052128</v>
      </c>
      <c r="F258" s="717">
        <f t="shared" si="150"/>
        <v>29.929636228842607</v>
      </c>
      <c r="G258" s="717">
        <f t="shared" si="150"/>
        <v>30.653473214781922</v>
      </c>
      <c r="H258" s="717">
        <f t="shared" si="150"/>
        <v>30.446168419779379</v>
      </c>
      <c r="I258" s="717">
        <f t="shared" si="150"/>
        <v>29.304404503102266</v>
      </c>
      <c r="J258" s="717">
        <f t="shared" si="150"/>
        <v>28.584561224401071</v>
      </c>
      <c r="K258" s="717">
        <f t="shared" si="150"/>
        <v>28.521396317586749</v>
      </c>
      <c r="L258" s="717">
        <f t="shared" si="150"/>
        <v>28.301796062295423</v>
      </c>
    </row>
    <row r="259" spans="2:12">
      <c r="B259" s="719" t="str">
        <f t="shared" si="144"/>
        <v>Computing</v>
      </c>
      <c r="C259" s="717">
        <f t="shared" ref="C259:L259" si="151">C61/((C88*C162*$E$45)+(C112*C186*$E$46)+(C136*C210*$E$49))</f>
        <v>620.44026560338978</v>
      </c>
      <c r="D259" s="717">
        <f t="shared" si="151"/>
        <v>617.0648745356981</v>
      </c>
      <c r="E259" s="717">
        <f t="shared" si="151"/>
        <v>612.80998297936617</v>
      </c>
      <c r="F259" s="717">
        <f t="shared" si="151"/>
        <v>606.47736156965789</v>
      </c>
      <c r="G259" s="717">
        <f t="shared" si="151"/>
        <v>632.60364212887987</v>
      </c>
      <c r="H259" s="717">
        <f t="shared" si="151"/>
        <v>654.193818004886</v>
      </c>
      <c r="I259" s="717">
        <f t="shared" si="151"/>
        <v>636.32718310934331</v>
      </c>
      <c r="J259" s="717">
        <f t="shared" si="151"/>
        <v>623.09783045984091</v>
      </c>
      <c r="K259" s="717">
        <f t="shared" si="151"/>
        <v>623.73075399611514</v>
      </c>
      <c r="L259" s="717">
        <f t="shared" si="151"/>
        <v>618.40212097445215</v>
      </c>
    </row>
    <row r="260" spans="2:12">
      <c r="B260" s="719" t="str">
        <f t="shared" si="144"/>
        <v>Design &amp; Technology</v>
      </c>
      <c r="C260" s="717">
        <f t="shared" ref="C260:L260" si="152">C62/((C89*C163*$E$45)+(C113*C187*$E$46)+(C137*C211*$E$49))</f>
        <v>948.59576499118168</v>
      </c>
      <c r="D260" s="717">
        <f t="shared" si="152"/>
        <v>875.59673140986217</v>
      </c>
      <c r="E260" s="717">
        <f t="shared" si="152"/>
        <v>839.46648834134157</v>
      </c>
      <c r="F260" s="717">
        <f t="shared" si="152"/>
        <v>797.2436673641497</v>
      </c>
      <c r="G260" s="717">
        <f t="shared" si="152"/>
        <v>839.36485584284117</v>
      </c>
      <c r="H260" s="717">
        <f t="shared" si="152"/>
        <v>857.48236770235587</v>
      </c>
      <c r="I260" s="717">
        <f t="shared" si="152"/>
        <v>802.53335002002791</v>
      </c>
      <c r="J260" s="717">
        <f t="shared" si="152"/>
        <v>768.30126536522539</v>
      </c>
      <c r="K260" s="717">
        <f t="shared" si="152"/>
        <v>794.50818434134044</v>
      </c>
      <c r="L260" s="717">
        <f t="shared" si="152"/>
        <v>809.82821518948663</v>
      </c>
    </row>
    <row r="261" spans="2:12">
      <c r="B261" s="719" t="str">
        <f t="shared" si="144"/>
        <v>Drama</v>
      </c>
      <c r="C261" s="717">
        <f t="shared" ref="C261:L261" si="153">C63/((C90*C164*$E$45)+(C114*C188*$E$46)+(C138*C212*$E$49))</f>
        <v>357.1831760371598</v>
      </c>
      <c r="D261" s="717">
        <f t="shared" si="153"/>
        <v>336.34948734163299</v>
      </c>
      <c r="E261" s="717">
        <f t="shared" si="153"/>
        <v>328.77778203002669</v>
      </c>
      <c r="F261" s="717">
        <f t="shared" si="153"/>
        <v>318.91530227946163</v>
      </c>
      <c r="G261" s="717">
        <f t="shared" si="153"/>
        <v>341.41341520073036</v>
      </c>
      <c r="H261" s="717">
        <f t="shared" si="153"/>
        <v>354.57462459224314</v>
      </c>
      <c r="I261" s="717">
        <f t="shared" si="153"/>
        <v>335.55088382674148</v>
      </c>
      <c r="J261" s="717">
        <f t="shared" si="153"/>
        <v>324.91368267139796</v>
      </c>
      <c r="K261" s="717">
        <f t="shared" si="153"/>
        <v>338.09636411492386</v>
      </c>
      <c r="L261" s="717">
        <f t="shared" si="153"/>
        <v>346.126099008045</v>
      </c>
    </row>
    <row r="262" spans="2:12">
      <c r="B262" s="719" t="str">
        <f t="shared" si="144"/>
        <v>English</v>
      </c>
      <c r="C262" s="717">
        <f t="shared" ref="C262:L262" si="154">C64/((C91*C165*$E$45)+(C115*C189*$E$46)+(C139*C213*$E$49))</f>
        <v>2558.1893120078576</v>
      </c>
      <c r="D262" s="717">
        <f t="shared" si="154"/>
        <v>2522.1729230404112</v>
      </c>
      <c r="E262" s="717">
        <f t="shared" si="154"/>
        <v>2540.6291037684286</v>
      </c>
      <c r="F262" s="717">
        <f t="shared" si="154"/>
        <v>2560.0165592286767</v>
      </c>
      <c r="G262" s="717">
        <f t="shared" si="154"/>
        <v>2613.1652756174981</v>
      </c>
      <c r="H262" s="717">
        <f t="shared" si="154"/>
        <v>2527.3944926778549</v>
      </c>
      <c r="I262" s="717">
        <f t="shared" si="154"/>
        <v>2471.8948786941528</v>
      </c>
      <c r="J262" s="717">
        <f t="shared" si="154"/>
        <v>2413.8707005269989</v>
      </c>
      <c r="K262" s="717">
        <f t="shared" si="154"/>
        <v>2368.6684062816212</v>
      </c>
      <c r="L262" s="717">
        <f t="shared" si="154"/>
        <v>2325.6048931949831</v>
      </c>
    </row>
    <row r="263" spans="2:12">
      <c r="B263" s="719" t="str">
        <f t="shared" si="144"/>
        <v>Food</v>
      </c>
      <c r="C263" s="717">
        <f t="shared" ref="C263:L263" si="155">C65/((C92*C166*$E$45)+(C116*C190*$E$46)+(C140*C214*$E$49))</f>
        <v>218.0656961519251</v>
      </c>
      <c r="D263" s="717">
        <f t="shared" si="155"/>
        <v>208.42608296562443</v>
      </c>
      <c r="E263" s="717">
        <f t="shared" si="155"/>
        <v>202.05018424203951</v>
      </c>
      <c r="F263" s="717">
        <f t="shared" si="155"/>
        <v>196.14022829104408</v>
      </c>
      <c r="G263" s="717">
        <f t="shared" si="155"/>
        <v>198.19514411458877</v>
      </c>
      <c r="H263" s="717">
        <f t="shared" si="155"/>
        <v>201.62413543576582</v>
      </c>
      <c r="I263" s="717">
        <f t="shared" si="155"/>
        <v>199.24697336581372</v>
      </c>
      <c r="J263" s="717">
        <f t="shared" si="155"/>
        <v>194.64615454787221</v>
      </c>
      <c r="K263" s="717">
        <f t="shared" si="155"/>
        <v>185.16641365121512</v>
      </c>
      <c r="L263" s="717">
        <f t="shared" si="155"/>
        <v>175.19038780438385</v>
      </c>
    </row>
    <row r="264" spans="2:12">
      <c r="B264" s="719" t="str">
        <f t="shared" si="144"/>
        <v>Geography</v>
      </c>
      <c r="C264" s="717">
        <f t="shared" ref="C264:L264" si="156">C66/((C93*C167*$E$45)+(C117*C191*$E$46)+(C141*C215*$E$49))</f>
        <v>1238.3641732283722</v>
      </c>
      <c r="D264" s="717">
        <f t="shared" si="156"/>
        <v>1164.0685291196694</v>
      </c>
      <c r="E264" s="717">
        <f t="shared" si="156"/>
        <v>1174.7355492686549</v>
      </c>
      <c r="F264" s="717">
        <f t="shared" si="156"/>
        <v>1179.5419301794811</v>
      </c>
      <c r="G264" s="717">
        <f t="shared" si="156"/>
        <v>1263.7656340430863</v>
      </c>
      <c r="H264" s="717">
        <f t="shared" si="156"/>
        <v>1203.6520834452244</v>
      </c>
      <c r="I264" s="717">
        <f t="shared" si="156"/>
        <v>1126.5075185600297</v>
      </c>
      <c r="J264" s="717">
        <f t="shared" si="156"/>
        <v>1072.9256275689902</v>
      </c>
      <c r="K264" s="717">
        <f t="shared" si="156"/>
        <v>1096.8182348320113</v>
      </c>
      <c r="L264" s="717">
        <f t="shared" si="156"/>
        <v>1114.2007439808242</v>
      </c>
    </row>
    <row r="265" spans="2:12">
      <c r="B265" s="719" t="str">
        <f t="shared" si="144"/>
        <v>History</v>
      </c>
      <c r="C265" s="717">
        <f t="shared" ref="C265:L265" si="157">C67/((C94*C168*$E$45)+(C118*C192*$E$46)+(C142*C216*$E$49))</f>
        <v>1179.8755448527156</v>
      </c>
      <c r="D265" s="717">
        <f t="shared" si="157"/>
        <v>1120.958285667233</v>
      </c>
      <c r="E265" s="717">
        <f t="shared" si="157"/>
        <v>1133.8550712417218</v>
      </c>
      <c r="F265" s="717">
        <f t="shared" si="157"/>
        <v>1142.6921537656369</v>
      </c>
      <c r="G265" s="717">
        <f t="shared" si="157"/>
        <v>1217.1338703088734</v>
      </c>
      <c r="H265" s="717">
        <f t="shared" si="157"/>
        <v>1166.3432967075139</v>
      </c>
      <c r="I265" s="717">
        <f t="shared" si="157"/>
        <v>1097.2546507356055</v>
      </c>
      <c r="J265" s="717">
        <f t="shared" si="157"/>
        <v>1049.1935664556136</v>
      </c>
      <c r="K265" s="717">
        <f t="shared" si="157"/>
        <v>1067.2236915580615</v>
      </c>
      <c r="L265" s="717">
        <f t="shared" si="157"/>
        <v>1079.1979441818016</v>
      </c>
    </row>
    <row r="266" spans="2:12">
      <c r="B266" s="719" t="str">
        <f t="shared" si="144"/>
        <v>Mathematics</v>
      </c>
      <c r="C266" s="717">
        <f t="shared" ref="C266:L266" si="158">C68/((C95*C169*$E$45)+(C119*C193*$E$46)+(C143*C217*$E$49))</f>
        <v>3115.5258268618177</v>
      </c>
      <c r="D266" s="717">
        <f t="shared" si="158"/>
        <v>2969.7744735449037</v>
      </c>
      <c r="E266" s="717">
        <f t="shared" si="158"/>
        <v>2987.8469511758963</v>
      </c>
      <c r="F266" s="717">
        <f t="shared" si="158"/>
        <v>3008.5115103880644</v>
      </c>
      <c r="G266" s="717">
        <f t="shared" si="158"/>
        <v>3065.9559872281948</v>
      </c>
      <c r="H266" s="717">
        <f t="shared" si="158"/>
        <v>2979.3017398981988</v>
      </c>
      <c r="I266" s="717">
        <f t="shared" si="158"/>
        <v>2902.4238586511897</v>
      </c>
      <c r="J266" s="717">
        <f t="shared" si="158"/>
        <v>2830.3470351566089</v>
      </c>
      <c r="K266" s="717">
        <f t="shared" si="158"/>
        <v>2783.4255051212936</v>
      </c>
      <c r="L266" s="717">
        <f t="shared" si="158"/>
        <v>2736.2037492174104</v>
      </c>
    </row>
    <row r="267" spans="2:12">
      <c r="B267" s="719" t="str">
        <f t="shared" si="144"/>
        <v>Modern Foreign Languages</v>
      </c>
      <c r="C267" s="717">
        <f t="shared" ref="C267:L267" si="159">C69/((C96*C170*$E$45)+(C120*C194*$E$46)+(C144*C218*$E$49))</f>
        <v>1600.3477250366259</v>
      </c>
      <c r="D267" s="717">
        <f t="shared" si="159"/>
        <v>1804.6573723483086</v>
      </c>
      <c r="E267" s="717">
        <f t="shared" si="159"/>
        <v>2110.6443888089575</v>
      </c>
      <c r="F267" s="717">
        <f t="shared" si="159"/>
        <v>2425.3254288724097</v>
      </c>
      <c r="G267" s="717">
        <f t="shared" si="159"/>
        <v>2472.4895890975522</v>
      </c>
      <c r="H267" s="717">
        <f t="shared" si="159"/>
        <v>1581.528294115679</v>
      </c>
      <c r="I267" s="717">
        <f t="shared" si="159"/>
        <v>1382.2276025333913</v>
      </c>
      <c r="J267" s="717">
        <f t="shared" si="159"/>
        <v>1232.8459894987611</v>
      </c>
      <c r="K267" s="717">
        <f t="shared" si="159"/>
        <v>1251.7974865300462</v>
      </c>
      <c r="L267" s="717">
        <f t="shared" si="159"/>
        <v>1348.2499853834947</v>
      </c>
    </row>
    <row r="268" spans="2:12">
      <c r="B268" s="719" t="str">
        <f t="shared" si="144"/>
        <v>Music</v>
      </c>
      <c r="C268" s="717">
        <f t="shared" ref="C268:L268" si="160">C70/((C97*C171*$E$45)+(C121*C195*$E$46)+(C145*C219*$E$49))</f>
        <v>409.34458408314538</v>
      </c>
      <c r="D268" s="717">
        <f t="shared" si="160"/>
        <v>371.77684365948971</v>
      </c>
      <c r="E268" s="717">
        <f t="shared" si="160"/>
        <v>359.18314014095262</v>
      </c>
      <c r="F268" s="717">
        <f t="shared" si="160"/>
        <v>342.48827655625848</v>
      </c>
      <c r="G268" s="717">
        <f t="shared" si="160"/>
        <v>370.09028406218494</v>
      </c>
      <c r="H268" s="717">
        <f t="shared" si="160"/>
        <v>382.77226215120044</v>
      </c>
      <c r="I268" s="717">
        <f t="shared" si="160"/>
        <v>355.285593151206</v>
      </c>
      <c r="J268" s="717">
        <f t="shared" si="160"/>
        <v>340.58494195801404</v>
      </c>
      <c r="K268" s="717">
        <f t="shared" si="160"/>
        <v>362.97750556665869</v>
      </c>
      <c r="L268" s="717">
        <f t="shared" si="160"/>
        <v>378.89730403152902</v>
      </c>
    </row>
    <row r="269" spans="2:12">
      <c r="B269" s="719" t="str">
        <f t="shared" si="144"/>
        <v>Others</v>
      </c>
      <c r="C269" s="717">
        <f t="shared" ref="C269:L269" si="161">C71/((C98*C172*$E$45)+(C122*C196*$E$46)+(C146*C220*$E$49))</f>
        <v>895.72352580467782</v>
      </c>
      <c r="D269" s="717">
        <f t="shared" si="161"/>
        <v>976.16907450934184</v>
      </c>
      <c r="E269" s="717">
        <f t="shared" si="161"/>
        <v>1001.3842818049653</v>
      </c>
      <c r="F269" s="717">
        <f t="shared" si="161"/>
        <v>1036.1485141819837</v>
      </c>
      <c r="G269" s="717">
        <f t="shared" si="161"/>
        <v>1081.0705074793475</v>
      </c>
      <c r="H269" s="717">
        <f t="shared" si="161"/>
        <v>1143.1393501626969</v>
      </c>
      <c r="I269" s="717">
        <f t="shared" si="161"/>
        <v>1112.2432901947843</v>
      </c>
      <c r="J269" s="717">
        <f t="shared" si="161"/>
        <v>1096.1298010879145</v>
      </c>
      <c r="K269" s="717">
        <f t="shared" si="161"/>
        <v>1088.6160232359102</v>
      </c>
      <c r="L269" s="717">
        <f t="shared" si="161"/>
        <v>1067.243192332021</v>
      </c>
    </row>
    <row r="270" spans="2:12">
      <c r="B270" s="719" t="str">
        <f t="shared" si="144"/>
        <v>Physical Education</v>
      </c>
      <c r="C270" s="717">
        <f t="shared" ref="C270:L270" si="162">C72/((C99*C173*$E$45)+(C123*C197*$E$46)+(C147*C221*$E$49))</f>
        <v>1078.2671831731634</v>
      </c>
      <c r="D270" s="717">
        <f t="shared" si="162"/>
        <v>1043.7858136751074</v>
      </c>
      <c r="E270" s="717">
        <f t="shared" si="162"/>
        <v>1025.3048919356518</v>
      </c>
      <c r="F270" s="717">
        <f t="shared" si="162"/>
        <v>1001.6060633023624</v>
      </c>
      <c r="G270" s="717">
        <f t="shared" si="162"/>
        <v>1067.5881332635656</v>
      </c>
      <c r="H270" s="717">
        <f t="shared" si="162"/>
        <v>1115.4989817925887</v>
      </c>
      <c r="I270" s="717">
        <f t="shared" si="162"/>
        <v>1083.5130483954738</v>
      </c>
      <c r="J270" s="717">
        <f t="shared" si="162"/>
        <v>1059.5269487096907</v>
      </c>
      <c r="K270" s="717">
        <f t="shared" si="162"/>
        <v>1067.7592424995426</v>
      </c>
      <c r="L270" s="717">
        <f t="shared" si="162"/>
        <v>1063.3306346640086</v>
      </c>
    </row>
    <row r="271" spans="2:12">
      <c r="B271" s="719" t="str">
        <f t="shared" si="144"/>
        <v>Physics</v>
      </c>
      <c r="C271" s="717">
        <f t="shared" ref="C271:L271" si="163">C73/((C100*C174*$E$45)+(C124*C198*$E$46)+(C148*C222*$E$49))</f>
        <v>1219.1223297023664</v>
      </c>
      <c r="D271" s="717">
        <f t="shared" si="163"/>
        <v>1149.3765667020834</v>
      </c>
      <c r="E271" s="717">
        <f t="shared" si="163"/>
        <v>1168.5035278475837</v>
      </c>
      <c r="F271" s="717">
        <f t="shared" si="163"/>
        <v>1191.0541213093563</v>
      </c>
      <c r="G271" s="717">
        <f t="shared" si="163"/>
        <v>1198.3500869800487</v>
      </c>
      <c r="H271" s="717">
        <f t="shared" si="163"/>
        <v>1172.3034974194734</v>
      </c>
      <c r="I271" s="717">
        <f t="shared" si="163"/>
        <v>1162.0900778279729</v>
      </c>
      <c r="J271" s="717">
        <f t="shared" si="163"/>
        <v>1142.5408366737197</v>
      </c>
      <c r="K271" s="717">
        <f t="shared" si="163"/>
        <v>1100.4504500406931</v>
      </c>
      <c r="L271" s="717">
        <f t="shared" si="163"/>
        <v>1060.2941898313898</v>
      </c>
    </row>
    <row r="272" spans="2:12">
      <c r="B272" s="719" t="str">
        <f t="shared" si="144"/>
        <v>Religious Education</v>
      </c>
      <c r="C272" s="717">
        <f t="shared" ref="C272:L272" si="164">C74/((C101*C175*$E$45)+(C125*C199*$E$46)+(C149*C223*$E$49))</f>
        <v>567.16004158139708</v>
      </c>
      <c r="D272" s="717">
        <f t="shared" si="164"/>
        <v>524.05565504275637</v>
      </c>
      <c r="E272" s="717">
        <f t="shared" si="164"/>
        <v>510.63083732511461</v>
      </c>
      <c r="F272" s="717">
        <f t="shared" si="164"/>
        <v>495.55661073595201</v>
      </c>
      <c r="G272" s="717">
        <f t="shared" si="164"/>
        <v>520.223731904327</v>
      </c>
      <c r="H272" s="717">
        <f t="shared" si="164"/>
        <v>537.60672889592831</v>
      </c>
      <c r="I272" s="717">
        <f t="shared" si="164"/>
        <v>517.38047600490233</v>
      </c>
      <c r="J272" s="717">
        <f t="shared" si="164"/>
        <v>502.65111058304234</v>
      </c>
      <c r="K272" s="717">
        <f t="shared" si="164"/>
        <v>505.20981798445558</v>
      </c>
      <c r="L272" s="717">
        <f t="shared" si="164"/>
        <v>502.19346922228846</v>
      </c>
    </row>
    <row r="273" spans="2:12">
      <c r="B273" s="719" t="str">
        <f t="shared" si="144"/>
        <v>Total</v>
      </c>
      <c r="C273" s="717">
        <f t="shared" ref="C273:L273" si="165">SUM(C253:C272)</f>
        <v>31676.905458955749</v>
      </c>
      <c r="D273" s="717">
        <f t="shared" si="165"/>
        <v>31149.042864536983</v>
      </c>
      <c r="E273" s="717">
        <f t="shared" si="165"/>
        <v>31363.165137794764</v>
      </c>
      <c r="F273" s="717">
        <f t="shared" si="165"/>
        <v>31551.810141184076</v>
      </c>
      <c r="G273" s="717">
        <f t="shared" si="165"/>
        <v>32011.557314379766</v>
      </c>
      <c r="H273" s="717">
        <f t="shared" si="165"/>
        <v>31372.080456314838</v>
      </c>
      <c r="I273" s="717">
        <f t="shared" si="165"/>
        <v>30919.838662907849</v>
      </c>
      <c r="J273" s="717">
        <f t="shared" si="165"/>
        <v>30403.77918255268</v>
      </c>
      <c r="K273" s="717">
        <f t="shared" si="165"/>
        <v>30246.952734321076</v>
      </c>
      <c r="L273" s="717">
        <f t="shared" si="165"/>
        <v>30072.862909722313</v>
      </c>
    </row>
  </sheetData>
  <mergeCells count="4">
    <mergeCell ref="B20:B21"/>
    <mergeCell ref="C20:E20"/>
    <mergeCell ref="F20:H20"/>
    <mergeCell ref="B13:Q15"/>
  </mergeCells>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C129:L129 C155 D155:L155 C179:L179 C203:L203 C227:L227 C252 D252:L252"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AA415"/>
  <sheetViews>
    <sheetView showGridLines="0" workbookViewId="0"/>
  </sheetViews>
  <sheetFormatPr defaultRowHeight="12.75"/>
  <cols>
    <col min="2" max="2" width="30.7109375" customWidth="1"/>
    <col min="3" max="27" width="14.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c r="L4" s="57"/>
      <c r="M4" s="57"/>
      <c r="N4" s="57"/>
      <c r="O4" s="57"/>
    </row>
    <row r="5" spans="1:17" s="46" customFormat="1">
      <c r="A5" s="1293" t="s">
        <v>304</v>
      </c>
      <c r="B5" s="1293"/>
      <c r="C5" s="1293"/>
      <c r="D5" s="1293"/>
      <c r="E5" s="1293"/>
      <c r="F5" s="1293"/>
      <c r="G5" s="1293"/>
      <c r="H5" s="1293"/>
      <c r="I5" s="1293"/>
      <c r="J5" s="1293"/>
      <c r="K5" s="1293"/>
      <c r="L5" s="1293"/>
      <c r="M5" s="1293"/>
      <c r="N5" s="1293"/>
      <c r="O5" s="1293"/>
      <c r="P5" s="58"/>
      <c r="Q5" s="58"/>
    </row>
    <row r="6" spans="1:17" s="45" customFormat="1">
      <c r="A6" s="55" t="s">
        <v>1392</v>
      </c>
      <c r="B6" s="60"/>
      <c r="C6" s="60"/>
      <c r="D6" s="60"/>
      <c r="E6" s="285"/>
      <c r="F6" s="60"/>
      <c r="G6" s="60"/>
      <c r="H6" s="60"/>
      <c r="I6" s="60"/>
      <c r="J6" s="60"/>
      <c r="K6" s="60"/>
      <c r="L6" s="60"/>
      <c r="M6" s="60"/>
      <c r="N6" s="60"/>
      <c r="O6" s="60"/>
      <c r="P6" s="44"/>
      <c r="Q6" s="44"/>
    </row>
    <row r="7" spans="1:17" s="45" customFormat="1">
      <c r="A7" s="53" t="s">
        <v>344</v>
      </c>
      <c r="B7" s="55"/>
      <c r="C7" s="60"/>
      <c r="D7" s="60"/>
      <c r="E7" s="285"/>
      <c r="F7" s="60"/>
      <c r="G7" s="60"/>
      <c r="H7" s="60"/>
      <c r="I7" s="60"/>
      <c r="J7" s="60"/>
      <c r="K7" s="60"/>
      <c r="L7" s="60"/>
      <c r="M7" s="60"/>
      <c r="N7" s="60"/>
      <c r="O7" s="60"/>
      <c r="P7" s="44"/>
      <c r="Q7" s="44"/>
    </row>
    <row r="8" spans="1:17" s="45" customFormat="1">
      <c r="A8" s="55" t="s">
        <v>24</v>
      </c>
      <c r="B8" s="60"/>
      <c r="C8" s="60"/>
      <c r="D8" s="60"/>
      <c r="E8" s="285"/>
      <c r="F8" s="60"/>
      <c r="G8" s="60"/>
      <c r="H8" s="60"/>
      <c r="I8" s="60"/>
      <c r="J8" s="60"/>
      <c r="K8" s="60"/>
      <c r="L8" s="60"/>
      <c r="M8" s="60"/>
      <c r="N8" s="60"/>
      <c r="O8" s="60"/>
      <c r="P8" s="44"/>
      <c r="Q8" s="44"/>
    </row>
    <row r="9" spans="1:17" s="49" customFormat="1">
      <c r="A9" s="54" t="s">
        <v>124</v>
      </c>
      <c r="B9" s="72"/>
      <c r="C9" s="70"/>
      <c r="D9" s="286"/>
      <c r="E9" s="286"/>
      <c r="F9" s="286"/>
      <c r="G9" s="71"/>
      <c r="H9" s="286"/>
      <c r="I9" s="286"/>
      <c r="J9" s="71"/>
      <c r="K9" s="287"/>
      <c r="L9" s="287"/>
      <c r="M9" s="287"/>
      <c r="N9" s="287"/>
      <c r="O9" s="287"/>
      <c r="P9" s="48"/>
      <c r="Q9" s="48"/>
    </row>
    <row r="11" spans="1:17">
      <c r="B11" s="75" t="s">
        <v>243</v>
      </c>
    </row>
    <row r="12" spans="1:17">
      <c r="B12" s="75"/>
    </row>
    <row r="13" spans="1:17">
      <c r="B13" s="147" t="s">
        <v>650</v>
      </c>
    </row>
    <row r="14" spans="1:17">
      <c r="B14" s="75"/>
    </row>
    <row r="15" spans="1:17">
      <c r="B15" s="147" t="s">
        <v>1319</v>
      </c>
    </row>
    <row r="16" spans="1:17">
      <c r="B16" s="75"/>
    </row>
    <row r="17" spans="2:27">
      <c r="B17" s="227"/>
      <c r="C17" s="76" t="str">
        <f>Data_selected_by_user_testing!D15</f>
        <v>2015/16</v>
      </c>
      <c r="D17" s="76" t="str">
        <f>Data_selected_by_user_testing!E15</f>
        <v>2016/17</v>
      </c>
      <c r="E17" s="76" t="str">
        <f>Data_selected_by_user_testing!F15</f>
        <v>2017/18</v>
      </c>
      <c r="F17" s="76" t="str">
        <f>Data_selected_by_user_testing!G15</f>
        <v>2018/19</v>
      </c>
      <c r="G17" s="76" t="str">
        <f>Data_selected_by_user_testing!H15</f>
        <v>2019/20</v>
      </c>
      <c r="H17" s="76" t="str">
        <f>Data_selected_by_user_testing!I15</f>
        <v>2020/21</v>
      </c>
      <c r="I17" s="76" t="str">
        <f>Data_selected_by_user_testing!J15</f>
        <v>2021/22</v>
      </c>
      <c r="J17" s="157"/>
      <c r="K17" s="157"/>
      <c r="L17" s="226"/>
    </row>
    <row r="18" spans="2:27" s="312" customFormat="1">
      <c r="B18" s="149" t="str">
        <f>Data_selected_by_user_testing!C16</f>
        <v>Male scalar selected</v>
      </c>
      <c r="C18" s="499">
        <f>Data_selected_by_user_testing!D16</f>
        <v>1</v>
      </c>
      <c r="D18" s="499">
        <f>Data_selected_by_user_testing!E16</f>
        <v>1.04995184684276</v>
      </c>
      <c r="E18" s="499">
        <f>Data_selected_by_user_testing!F16</f>
        <v>1.04558216311712</v>
      </c>
      <c r="F18" s="499">
        <f>Data_selected_by_user_testing!G16</f>
        <v>1.0079887616902601</v>
      </c>
      <c r="G18" s="499">
        <f>Data_selected_by_user_testing!H16</f>
        <v>1.04581566263681</v>
      </c>
      <c r="H18" s="499">
        <f>Data_selected_by_user_testing!I16</f>
        <v>1.0261777775287699</v>
      </c>
      <c r="I18" s="499">
        <f>Data_selected_by_user_testing!J16</f>
        <v>1.0261777775287699</v>
      </c>
      <c r="J18" s="156"/>
      <c r="K18" s="156"/>
      <c r="L18" s="151"/>
    </row>
    <row r="19" spans="2:27" s="312" customFormat="1">
      <c r="B19" s="149" t="str">
        <f>Data_selected_by_user_testing!C17</f>
        <v>Female scalar selected</v>
      </c>
      <c r="C19" s="499">
        <f>Data_selected_by_user_testing!D17</f>
        <v>1</v>
      </c>
      <c r="D19" s="499">
        <f>Data_selected_by_user_testing!E17</f>
        <v>0.99076950608168002</v>
      </c>
      <c r="E19" s="499">
        <f>Data_selected_by_user_testing!F17</f>
        <v>1.0070122869873499</v>
      </c>
      <c r="F19" s="499">
        <f>Data_selected_by_user_testing!G17</f>
        <v>1.0119890708727699</v>
      </c>
      <c r="G19" s="499">
        <f>Data_selected_by_user_testing!H17</f>
        <v>1.02883528649933</v>
      </c>
      <c r="H19" s="499">
        <f>Data_selected_by_user_testing!I17</f>
        <v>1.04206143174539</v>
      </c>
      <c r="I19" s="499">
        <f>Data_selected_by_user_testing!J17</f>
        <v>1.04206143174539</v>
      </c>
      <c r="J19" s="156"/>
      <c r="K19" s="156"/>
      <c r="L19" s="151"/>
    </row>
    <row r="21" spans="2:27">
      <c r="B21" s="75" t="s">
        <v>245</v>
      </c>
    </row>
    <row r="22" spans="2:27">
      <c r="B22" s="75"/>
    </row>
    <row r="23" spans="2:27">
      <c r="B23" s="147" t="s">
        <v>638</v>
      </c>
    </row>
    <row r="24" spans="2:27">
      <c r="B24" s="75"/>
    </row>
    <row r="25" spans="2:27">
      <c r="B25" s="147" t="s">
        <v>1319</v>
      </c>
    </row>
    <row r="27" spans="2:27" s="5" customFormat="1">
      <c r="B27" s="138"/>
      <c r="C27" s="138" t="str">
        <f>Data_selected_by_user_testing!D34</f>
        <v>2004/05</v>
      </c>
      <c r="D27" s="138" t="str">
        <f>Data_selected_by_user_testing!E34</f>
        <v>2005/06</v>
      </c>
      <c r="E27" s="138" t="str">
        <f>Data_selected_by_user_testing!F34</f>
        <v>2006/07</v>
      </c>
      <c r="F27" s="138" t="str">
        <f>Data_selected_by_user_testing!G34</f>
        <v>2007/08</v>
      </c>
      <c r="G27" s="138" t="str">
        <f>Data_selected_by_user_testing!H34</f>
        <v>2008/09</v>
      </c>
      <c r="H27" s="138" t="str">
        <f>Data_selected_by_user_testing!I34</f>
        <v>2009/10</v>
      </c>
      <c r="I27" s="138" t="str">
        <f>Data_selected_by_user_testing!J34</f>
        <v>2010/11</v>
      </c>
      <c r="J27" s="138" t="str">
        <f>Data_selected_by_user_testing!K34</f>
        <v>2011/12</v>
      </c>
      <c r="K27" s="138" t="str">
        <f>Data_selected_by_user_testing!L34</f>
        <v>2012/13</v>
      </c>
      <c r="L27" s="138" t="str">
        <f>Data_selected_by_user_testing!M34</f>
        <v>2013/14</v>
      </c>
      <c r="M27" s="138" t="str">
        <f>Data_selected_by_user_testing!N34</f>
        <v>2014/15</v>
      </c>
      <c r="N27" s="138" t="str">
        <f>Data_selected_by_user_testing!O34</f>
        <v>2015/16</v>
      </c>
      <c r="O27" s="138" t="str">
        <f>Data_selected_by_user_testing!P34</f>
        <v>2016/17</v>
      </c>
      <c r="P27" s="138" t="str">
        <f>Data_selected_by_user_testing!Q34</f>
        <v>2017/18</v>
      </c>
      <c r="Q27" s="138" t="str">
        <f>Data_selected_by_user_testing!R34</f>
        <v>2018/19</v>
      </c>
      <c r="R27" s="138" t="str">
        <f>Data_selected_by_user_testing!S34</f>
        <v>2019/20</v>
      </c>
      <c r="S27" s="138" t="str">
        <f>Data_selected_by_user_testing!T34</f>
        <v>2020/21</v>
      </c>
      <c r="T27" s="138" t="str">
        <f>Data_selected_by_user_testing!U34</f>
        <v>2021/22</v>
      </c>
      <c r="U27" s="138" t="str">
        <f>Data_selected_by_user_testing!V34</f>
        <v>2022/23</v>
      </c>
      <c r="V27" s="138" t="str">
        <f>Data_selected_by_user_testing!W34</f>
        <v>2023/24</v>
      </c>
      <c r="W27" s="138" t="str">
        <f>Data_selected_by_user_testing!X34</f>
        <v>2024/25</v>
      </c>
      <c r="X27" s="138" t="str">
        <f>Data_selected_by_user_testing!Y34</f>
        <v>2025/26</v>
      </c>
      <c r="Y27" s="138" t="str">
        <f>Data_selected_by_user_testing!Z34</f>
        <v>2026/27</v>
      </c>
      <c r="Z27" s="1012" t="str">
        <f>Data_selected_by_user_testing!AA34</f>
        <v>2027/28</v>
      </c>
      <c r="AA27" s="1012" t="str">
        <f>Data_selected_by_user_testing!AB34</f>
        <v>2028/29</v>
      </c>
    </row>
    <row r="28" spans="2:27" s="5" customFormat="1" ht="25.5">
      <c r="B28" s="149" t="str">
        <f>Data_selected_by_user_testing!C35</f>
        <v>State Funded Primary Pupils (FTE)</v>
      </c>
      <c r="C28" s="405">
        <f>Data_selected_by_user_testing!D35</f>
        <v>4133670.5</v>
      </c>
      <c r="D28" s="405">
        <f>Data_selected_by_user_testing!E35</f>
        <v>4085271.436729731</v>
      </c>
      <c r="E28" s="405">
        <f>Data_selected_by_user_testing!F35</f>
        <v>4047195.5</v>
      </c>
      <c r="F28" s="405">
        <f>Data_selected_by_user_testing!G35</f>
        <v>4028055.5</v>
      </c>
      <c r="G28" s="405">
        <f>Data_selected_by_user_testing!H35</f>
        <v>4016161.5</v>
      </c>
      <c r="H28" s="405">
        <f>Data_selected_by_user_testing!I35</f>
        <v>4036364.5</v>
      </c>
      <c r="I28" s="405">
        <f>Data_selected_by_user_testing!J35</f>
        <v>4074368</v>
      </c>
      <c r="J28" s="405">
        <f>Data_selected_by_user_testing!K35</f>
        <v>4150277.5</v>
      </c>
      <c r="K28" s="405">
        <f>Data_selected_by_user_testing!L35</f>
        <v>4247394.5</v>
      </c>
      <c r="L28" s="405">
        <f>Data_selected_by_user_testing!M35</f>
        <v>4359000</v>
      </c>
      <c r="M28" s="405">
        <f>Data_selected_by_user_testing!N35</f>
        <v>4463434</v>
      </c>
      <c r="N28" s="405">
        <f>Data_selected_by_user_testing!O35</f>
        <v>4574041.5</v>
      </c>
      <c r="O28" s="405">
        <f>Data_selected_by_user_testing!P35</f>
        <v>4659421</v>
      </c>
      <c r="P28" s="405">
        <f>Data_selected_by_user_testing!Q35</f>
        <v>4717394.1869075894</v>
      </c>
      <c r="Q28" s="405">
        <f>Data_selected_by_user_testing!R35</f>
        <v>4743197.9400571762</v>
      </c>
      <c r="R28" s="405">
        <f>Data_selected_by_user_testing!S35</f>
        <v>4743394.7508921698</v>
      </c>
      <c r="S28" s="405">
        <f>Data_selected_by_user_testing!T35</f>
        <v>4752324.1234839866</v>
      </c>
      <c r="T28" s="405">
        <f>Data_selected_by_user_testing!U35</f>
        <v>4754699.5674540829</v>
      </c>
      <c r="U28" s="405">
        <f>Data_selected_by_user_testing!V35</f>
        <v>4748628.8440450421</v>
      </c>
      <c r="V28" s="405">
        <f>Data_selected_by_user_testing!W35</f>
        <v>4733277.2129678745</v>
      </c>
      <c r="W28" s="405">
        <f>Data_selected_by_user_testing!X35</f>
        <v>4742429.7587460289</v>
      </c>
      <c r="X28" s="405">
        <f>Data_selected_by_user_testing!Y35</f>
        <v>4769065.3698165566</v>
      </c>
      <c r="Y28" s="405">
        <f>Data_selected_by_user_testing!Z35</f>
        <v>4797832.532279524</v>
      </c>
      <c r="Z28" s="405">
        <f>Data_selected_by_user_testing!AA35</f>
        <v>4819809.7676248243</v>
      </c>
      <c r="AA28" s="405">
        <f>Data_selected_by_user_testing!AB35</f>
        <v>4834650.7574622277</v>
      </c>
    </row>
    <row r="29" spans="2:27" s="5" customFormat="1">
      <c r="B29" s="138" t="str">
        <f>Data_selected_by_user_testing!C36</f>
        <v>Pupils FTE Years 7-9</v>
      </c>
      <c r="C29" s="405">
        <f>Data_selected_by_user_testing!D36</f>
        <v>1783139.5</v>
      </c>
      <c r="D29" s="405">
        <f>Data_selected_by_user_testing!E36</f>
        <v>1758000.0007601124</v>
      </c>
      <c r="E29" s="405">
        <f>Data_selected_by_user_testing!F36</f>
        <v>1722930</v>
      </c>
      <c r="F29" s="405">
        <f>Data_selected_by_user_testing!G36</f>
        <v>1701531</v>
      </c>
      <c r="G29" s="405">
        <f>Data_selected_by_user_testing!H36</f>
        <v>1691158</v>
      </c>
      <c r="H29" s="405">
        <f>Data_selected_by_user_testing!I36</f>
        <v>1680949</v>
      </c>
      <c r="I29" s="405">
        <f>Data_selected_by_user_testing!J36</f>
        <v>1672689.5</v>
      </c>
      <c r="J29" s="405">
        <f>Data_selected_by_user_testing!K36</f>
        <v>1641887</v>
      </c>
      <c r="K29" s="405">
        <f>Data_selected_by_user_testing!L36</f>
        <v>1612821</v>
      </c>
      <c r="L29" s="405">
        <f>Data_selected_by_user_testing!M36</f>
        <v>1587472</v>
      </c>
      <c r="M29" s="405">
        <f>Data_selected_by_user_testing!N36</f>
        <v>1595949</v>
      </c>
      <c r="N29" s="405">
        <f>Data_selected_by_user_testing!O36</f>
        <v>1630717</v>
      </c>
      <c r="O29" s="405">
        <f>Data_selected_by_user_testing!P36</f>
        <v>1678899</v>
      </c>
      <c r="P29" s="405">
        <f>Data_selected_by_user_testing!Q36</f>
        <v>1724020.9710333012</v>
      </c>
      <c r="Q29" s="405">
        <f>Data_selected_by_user_testing!R36</f>
        <v>1772854.5848039868</v>
      </c>
      <c r="R29" s="405">
        <f>Data_selected_by_user_testing!S36</f>
        <v>1834934.1224812306</v>
      </c>
      <c r="S29" s="405">
        <f>Data_selected_by_user_testing!T36</f>
        <v>1879210.7299530376</v>
      </c>
      <c r="T29" s="405">
        <f>Data_selected_by_user_testing!U36</f>
        <v>1914351.168622531</v>
      </c>
      <c r="U29" s="405">
        <f>Data_selected_by_user_testing!V36</f>
        <v>1936762.2517991117</v>
      </c>
      <c r="V29" s="405">
        <f>Data_selected_by_user_testing!W36</f>
        <v>1974817.9779716961</v>
      </c>
      <c r="W29" s="405">
        <f>Data_selected_by_user_testing!X36</f>
        <v>1978504.8643901525</v>
      </c>
      <c r="X29" s="405">
        <f>Data_selected_by_user_testing!Y36</f>
        <v>1953779.1387891811</v>
      </c>
      <c r="Y29" s="405">
        <f>Data_selected_by_user_testing!Z36</f>
        <v>1915886.5892006818</v>
      </c>
      <c r="Z29" s="405">
        <f>Data_selected_by_user_testing!AA36</f>
        <v>1907012.1075926665</v>
      </c>
      <c r="AA29" s="405">
        <f>Data_selected_by_user_testing!AB36</f>
        <v>1919851.9246029067</v>
      </c>
    </row>
    <row r="30" spans="2:27" s="5" customFormat="1">
      <c r="B30" s="138" t="str">
        <f>Data_selected_by_user_testing!C37</f>
        <v>Pupils FTE Years 10-11</v>
      </c>
      <c r="C30" s="405">
        <f>Data_selected_by_user_testing!D37</f>
        <v>1170159</v>
      </c>
      <c r="D30" s="405">
        <f>Data_selected_by_user_testing!E37</f>
        <v>1185802.5625101563</v>
      </c>
      <c r="E30" s="405">
        <f>Data_selected_by_user_testing!F37</f>
        <v>1189358</v>
      </c>
      <c r="F30" s="405">
        <f>Data_selected_by_user_testing!G37</f>
        <v>1166918.5</v>
      </c>
      <c r="G30" s="405">
        <f>Data_selected_by_user_testing!H37</f>
        <v>1146150</v>
      </c>
      <c r="H30" s="405">
        <f>Data_selected_by_user_testing!I37</f>
        <v>1133977</v>
      </c>
      <c r="I30" s="405">
        <f>Data_selected_by_user_testing!J37</f>
        <v>1116342.5</v>
      </c>
      <c r="J30" s="405">
        <f>Data_selected_by_user_testing!K37</f>
        <v>1120567</v>
      </c>
      <c r="K30" s="405">
        <f>Data_selected_by_user_testing!L37</f>
        <v>1117099</v>
      </c>
      <c r="L30" s="405">
        <f>Data_selected_by_user_testing!M37</f>
        <v>1099417.5</v>
      </c>
      <c r="M30" s="405">
        <f>Data_selected_by_user_testing!N37</f>
        <v>1081078</v>
      </c>
      <c r="N30" s="405">
        <f>Data_selected_by_user_testing!O37</f>
        <v>1057483</v>
      </c>
      <c r="O30" s="405">
        <f>Data_selected_by_user_testing!P37</f>
        <v>1041875</v>
      </c>
      <c r="P30" s="405">
        <f>Data_selected_by_user_testing!Q37</f>
        <v>1059242.1765030818</v>
      </c>
      <c r="Q30" s="405">
        <f>Data_selected_by_user_testing!R37</f>
        <v>1098492.845827396</v>
      </c>
      <c r="R30" s="405">
        <f>Data_selected_by_user_testing!S37</f>
        <v>1128522.0334177609</v>
      </c>
      <c r="S30" s="405">
        <f>Data_selected_by_user_testing!T37</f>
        <v>1154504.7206683625</v>
      </c>
      <c r="T30" s="405">
        <f>Data_selected_by_user_testing!U37</f>
        <v>1189761.543386043</v>
      </c>
      <c r="U30" s="405">
        <f>Data_selected_by_user_testing!V37</f>
        <v>1236679.5493941545</v>
      </c>
      <c r="V30" s="405">
        <f>Data_selected_by_user_testing!W37</f>
        <v>1258969.8278058928</v>
      </c>
      <c r="W30" s="405">
        <f>Data_selected_by_user_testing!X37</f>
        <v>1268399.1996321685</v>
      </c>
      <c r="X30" s="405">
        <f>Data_selected_by_user_testing!Y37</f>
        <v>1293612.6085987107</v>
      </c>
      <c r="Y30" s="405">
        <f>Data_selected_by_user_testing!Z37</f>
        <v>1318848.3464785134</v>
      </c>
      <c r="Z30" s="405">
        <f>Data_selected_by_user_testing!AA37</f>
        <v>1309459.1785579114</v>
      </c>
      <c r="AA30" s="405">
        <f>Data_selected_by_user_testing!AB37</f>
        <v>1272619.0523094554</v>
      </c>
    </row>
    <row r="31" spans="2:27" s="5" customFormat="1">
      <c r="B31" s="138" t="str">
        <f>Data_selected_by_user_testing!C38</f>
        <v>Pupils FTE Years 12-13</v>
      </c>
      <c r="C31" s="405">
        <f>Data_selected_by_user_testing!D38</f>
        <v>355184.5</v>
      </c>
      <c r="D31" s="405">
        <f>Data_selected_by_user_testing!E38</f>
        <v>361355</v>
      </c>
      <c r="E31" s="405">
        <f>Data_selected_by_user_testing!F38</f>
        <v>370116</v>
      </c>
      <c r="F31" s="405">
        <f>Data_selected_by_user_testing!G38</f>
        <v>380453</v>
      </c>
      <c r="G31" s="405">
        <f>Data_selected_by_user_testing!H38</f>
        <v>394342</v>
      </c>
      <c r="H31" s="405">
        <f>Data_selected_by_user_testing!I38</f>
        <v>412859.5</v>
      </c>
      <c r="I31" s="405">
        <f>Data_selected_by_user_testing!J38</f>
        <v>423222</v>
      </c>
      <c r="J31" s="405">
        <f>Data_selected_by_user_testing!K38</f>
        <v>423232.5</v>
      </c>
      <c r="K31" s="405">
        <f>Data_selected_by_user_testing!L38</f>
        <v>428860</v>
      </c>
      <c r="L31" s="405">
        <f>Data_selected_by_user_testing!M38</f>
        <v>439034.5</v>
      </c>
      <c r="M31" s="405">
        <f>Data_selected_by_user_testing!N38</f>
        <v>442836.5</v>
      </c>
      <c r="N31" s="405">
        <f>Data_selected_by_user_testing!O38</f>
        <v>433870.5</v>
      </c>
      <c r="O31" s="405">
        <f>Data_selected_by_user_testing!P38</f>
        <v>424809</v>
      </c>
      <c r="P31" s="405">
        <f>Data_selected_by_user_testing!Q38</f>
        <v>413917.41249859042</v>
      </c>
      <c r="Q31" s="405">
        <f>Data_selected_by_user_testing!R38</f>
        <v>402881.22419615899</v>
      </c>
      <c r="R31" s="405">
        <f>Data_selected_by_user_testing!S38</f>
        <v>396200.18966368359</v>
      </c>
      <c r="S31" s="405">
        <f>Data_selected_by_user_testing!T38</f>
        <v>397747.45923034835</v>
      </c>
      <c r="T31" s="405">
        <f>Data_selected_by_user_testing!U38</f>
        <v>404271.55224935681</v>
      </c>
      <c r="U31" s="405">
        <f>Data_selected_by_user_testing!V38</f>
        <v>416413.63672939758</v>
      </c>
      <c r="V31" s="405">
        <f>Data_selected_by_user_testing!W38</f>
        <v>428739.35339027015</v>
      </c>
      <c r="W31" s="405">
        <f>Data_selected_by_user_testing!X38</f>
        <v>441777.22358662885</v>
      </c>
      <c r="X31" s="405">
        <f>Data_selected_by_user_testing!Y38</f>
        <v>451142.12596132985</v>
      </c>
      <c r="Y31" s="405">
        <f>Data_selected_by_user_testing!Z38</f>
        <v>458855.32419299771</v>
      </c>
      <c r="Z31" s="405">
        <f>Data_selected_by_user_testing!AA38</f>
        <v>466275.03084775753</v>
      </c>
      <c r="AA31" s="405">
        <f>Data_selected_by_user_testing!AB38</f>
        <v>472066.1229340306</v>
      </c>
    </row>
    <row r="33" spans="2:15">
      <c r="B33" s="75" t="s">
        <v>1331</v>
      </c>
    </row>
    <row r="35" spans="2:15">
      <c r="B35" s="147" t="s">
        <v>308</v>
      </c>
    </row>
    <row r="36" spans="2:15">
      <c r="B36" s="147"/>
    </row>
    <row r="37" spans="2:15">
      <c r="B37" s="147" t="s">
        <v>1319</v>
      </c>
    </row>
    <row r="39" spans="2:15">
      <c r="B39" s="138" t="s">
        <v>305</v>
      </c>
      <c r="C39" s="529">
        <f>Data_selected_by_user_testing!D61</f>
        <v>22</v>
      </c>
    </row>
    <row r="40" spans="2:15">
      <c r="B40" s="138" t="s">
        <v>306</v>
      </c>
      <c r="C40" s="529">
        <f>Data_selected_by_user_testing!D73</f>
        <v>16</v>
      </c>
    </row>
    <row r="42" spans="2:15">
      <c r="B42" s="75" t="s">
        <v>1334</v>
      </c>
    </row>
    <row r="43" spans="2:15" ht="12.75" customHeight="1">
      <c r="B43" s="951"/>
      <c r="C43" s="951"/>
      <c r="D43" s="951"/>
      <c r="E43" s="951"/>
      <c r="F43" s="951"/>
      <c r="G43" s="951"/>
      <c r="H43" s="951"/>
      <c r="I43" s="951"/>
      <c r="J43" s="951"/>
      <c r="K43" s="951"/>
      <c r="L43" s="951"/>
      <c r="M43" s="951"/>
      <c r="N43" s="951"/>
      <c r="O43" s="951"/>
    </row>
    <row r="44" spans="2:15">
      <c r="B44" s="952" t="s">
        <v>307</v>
      </c>
      <c r="C44" s="951"/>
      <c r="D44" s="951"/>
      <c r="E44" s="951"/>
      <c r="F44" s="951"/>
      <c r="G44" s="951"/>
      <c r="H44" s="951"/>
      <c r="I44" s="951"/>
      <c r="J44" s="951"/>
      <c r="K44" s="951"/>
      <c r="L44" s="951"/>
      <c r="M44" s="951"/>
      <c r="N44" s="951"/>
      <c r="O44" s="951"/>
    </row>
    <row r="45" spans="2:15">
      <c r="B45" s="219"/>
      <c r="C45" s="219"/>
      <c r="D45" s="219"/>
      <c r="E45" s="219"/>
      <c r="F45" s="219"/>
      <c r="G45" s="219"/>
      <c r="H45" s="219"/>
      <c r="I45" s="219"/>
      <c r="J45" s="219"/>
      <c r="K45" s="219"/>
      <c r="L45" s="219"/>
      <c r="M45" s="219"/>
      <c r="N45" s="219"/>
      <c r="O45" s="219"/>
    </row>
    <row r="46" spans="2:15">
      <c r="B46" s="147" t="s">
        <v>1319</v>
      </c>
    </row>
    <row r="48" spans="2:15">
      <c r="B48" s="149" t="s">
        <v>284</v>
      </c>
      <c r="C48" s="530">
        <f>Data_selected_by_user_testing!D87</f>
        <v>0.5</v>
      </c>
    </row>
    <row r="49" spans="2:4" s="476" customFormat="1">
      <c r="B49" s="149" t="s">
        <v>285</v>
      </c>
      <c r="C49" s="530">
        <f>Data_selected_by_user_testing!D97</f>
        <v>0.6</v>
      </c>
    </row>
    <row r="51" spans="2:4">
      <c r="B51" s="75" t="s">
        <v>309</v>
      </c>
    </row>
    <row r="52" spans="2:4">
      <c r="B52" s="12"/>
    </row>
    <row r="53" spans="2:4">
      <c r="B53" s="147" t="s">
        <v>1479</v>
      </c>
    </row>
    <row r="54" spans="2:4">
      <c r="B54" s="12"/>
    </row>
    <row r="55" spans="2:4">
      <c r="B55" s="147" t="s">
        <v>310</v>
      </c>
    </row>
    <row r="56" spans="2:4">
      <c r="B56" s="12"/>
    </row>
    <row r="57" spans="2:4">
      <c r="B57" s="107" t="s">
        <v>820</v>
      </c>
    </row>
    <row r="59" spans="2:4">
      <c r="B59" s="8" t="str">
        <f>Calc_PRIM_retirement_rates!B122</f>
        <v>Age group</v>
      </c>
      <c r="C59" s="8" t="s">
        <v>302</v>
      </c>
      <c r="D59" s="8" t="s">
        <v>249</v>
      </c>
    </row>
    <row r="60" spans="2:4">
      <c r="B60" s="8" t="str">
        <f>Calc_PRIM_retirement_rates!B124</f>
        <v>20-24</v>
      </c>
      <c r="C60" s="531">
        <f>Calc_PRIM_retirement_rates!G124</f>
        <v>0</v>
      </c>
      <c r="D60" s="531">
        <f>Calc_SEC_retirement_rates!G124</f>
        <v>0</v>
      </c>
    </row>
    <row r="61" spans="2:4">
      <c r="B61" s="8" t="str">
        <f>Calc_PRIM_retirement_rates!B125</f>
        <v>25-29</v>
      </c>
      <c r="C61" s="531">
        <f>Calc_PRIM_retirement_rates!G125</f>
        <v>0</v>
      </c>
      <c r="D61" s="531">
        <f>Calc_SEC_retirement_rates!G125</f>
        <v>0</v>
      </c>
    </row>
    <row r="62" spans="2:4">
      <c r="B62" s="8" t="str">
        <f>Calc_PRIM_retirement_rates!B126</f>
        <v>30-34</v>
      </c>
      <c r="C62" s="531">
        <f>Calc_PRIM_retirement_rates!G126</f>
        <v>0</v>
      </c>
      <c r="D62" s="531">
        <f>Calc_SEC_retirement_rates!G126</f>
        <v>1.3675495236679334E-4</v>
      </c>
    </row>
    <row r="63" spans="2:4">
      <c r="B63" s="8" t="str">
        <f>Calc_PRIM_retirement_rates!B127</f>
        <v>35-39</v>
      </c>
      <c r="C63" s="531">
        <f>Calc_PRIM_retirement_rates!G127</f>
        <v>0</v>
      </c>
      <c r="D63" s="531">
        <f>Calc_SEC_retirement_rates!G127</f>
        <v>2.9430237562388706E-4</v>
      </c>
    </row>
    <row r="64" spans="2:4">
      <c r="B64" s="8" t="str">
        <f>Calc_PRIM_retirement_rates!B128</f>
        <v>40-44</v>
      </c>
      <c r="C64" s="531">
        <f>Calc_PRIM_retirement_rates!G128</f>
        <v>0</v>
      </c>
      <c r="D64" s="531">
        <f>Calc_SEC_retirement_rates!G128</f>
        <v>5.867800068469867E-4</v>
      </c>
    </row>
    <row r="65" spans="2:4">
      <c r="B65" s="8" t="str">
        <f>Calc_PRIM_retirement_rates!B129</f>
        <v>45-49</v>
      </c>
      <c r="C65" s="531">
        <f>Calc_PRIM_retirement_rates!G129</f>
        <v>1.7969965833458798E-3</v>
      </c>
      <c r="D65" s="531">
        <f>Calc_SEC_retirement_rates!G129</f>
        <v>1.2784718376320822E-3</v>
      </c>
    </row>
    <row r="66" spans="2:4">
      <c r="B66" s="8" t="str">
        <f>Calc_PRIM_retirement_rates!B130</f>
        <v>50-54</v>
      </c>
      <c r="C66" s="531">
        <f>Calc_PRIM_retirement_rates!G130</f>
        <v>2.4630965834811221E-2</v>
      </c>
      <c r="D66" s="531">
        <f>Calc_SEC_retirement_rates!G130</f>
        <v>2.851680041162662E-2</v>
      </c>
    </row>
    <row r="67" spans="2:4">
      <c r="B67" s="8" t="str">
        <f>Calc_PRIM_retirement_rates!B131</f>
        <v>55-59</v>
      </c>
      <c r="C67" s="531">
        <f>Calc_PRIM_retirement_rates!G131</f>
        <v>0.19383429271637809</v>
      </c>
      <c r="D67" s="531">
        <f>Calc_SEC_retirement_rates!G131</f>
        <v>0.19498527201154603</v>
      </c>
    </row>
    <row r="68" spans="2:4">
      <c r="B68" s="8" t="str">
        <f>Calc_PRIM_retirement_rates!B132</f>
        <v>60-64</v>
      </c>
      <c r="C68" s="531">
        <f>Calc_PRIM_retirement_rates!G132</f>
        <v>0.30320522641239545</v>
      </c>
      <c r="D68" s="531">
        <f>Calc_SEC_retirement_rates!G132</f>
        <v>0.30347001281562225</v>
      </c>
    </row>
    <row r="69" spans="2:4">
      <c r="B69" s="8" t="str">
        <f>Calc_PRIM_retirement_rates!B133</f>
        <v>65 plus</v>
      </c>
      <c r="C69" s="531">
        <f>Calc_PRIM_retirement_rates!G133</f>
        <v>0.28059541095745588</v>
      </c>
      <c r="D69" s="531">
        <f>Calc_SEC_retirement_rates!G133</f>
        <v>0.30359593504270954</v>
      </c>
    </row>
    <row r="70" spans="2:4">
      <c r="B70" s="8" t="str">
        <f>Calc_PRIM_retirement_rates!B134</f>
        <v>Total</v>
      </c>
      <c r="C70" s="531">
        <f>Calc_PRIM_retirement_rates!G134</f>
        <v>2.0660191429549314E-2</v>
      </c>
      <c r="D70" s="531">
        <f>Calc_SEC_retirement_rates!G134</f>
        <v>2.8636525417701206E-2</v>
      </c>
    </row>
    <row r="72" spans="2:4">
      <c r="B72" s="107" t="s">
        <v>303</v>
      </c>
      <c r="C72" s="5"/>
      <c r="D72" s="5"/>
    </row>
    <row r="73" spans="2:4">
      <c r="B73" s="12"/>
      <c r="C73" s="5"/>
      <c r="D73" s="5"/>
    </row>
    <row r="74" spans="2:4">
      <c r="B74" s="8" t="str">
        <f>B59</f>
        <v>Age group</v>
      </c>
      <c r="C74" s="8" t="str">
        <f>C59</f>
        <v xml:space="preserve">Primary </v>
      </c>
      <c r="D74" s="8" t="str">
        <f>D59</f>
        <v>Secondary</v>
      </c>
    </row>
    <row r="75" spans="2:4">
      <c r="B75" s="8" t="str">
        <f t="shared" ref="B75:B85" si="0">B60</f>
        <v>20-24</v>
      </c>
      <c r="C75" s="531">
        <f>Calc_PRIM_retirement_rates!G140</f>
        <v>0</v>
      </c>
      <c r="D75" s="531">
        <f>Calc_SEC_retirement_rates!G140</f>
        <v>0</v>
      </c>
    </row>
    <row r="76" spans="2:4">
      <c r="B76" s="8" t="str">
        <f t="shared" si="0"/>
        <v>25-29</v>
      </c>
      <c r="C76" s="531">
        <f>Calc_PRIM_retirement_rates!G141</f>
        <v>0</v>
      </c>
      <c r="D76" s="531">
        <f>Calc_SEC_retirement_rates!G141</f>
        <v>0</v>
      </c>
    </row>
    <row r="77" spans="2:4">
      <c r="B77" s="8" t="str">
        <f t="shared" si="0"/>
        <v>30-34</v>
      </c>
      <c r="C77" s="531">
        <f>Calc_PRIM_retirement_rates!G142</f>
        <v>1.0793960644809542E-4</v>
      </c>
      <c r="D77" s="531">
        <f>Calc_SEC_retirement_rates!G142</f>
        <v>8.3390080869827734E-5</v>
      </c>
    </row>
    <row r="78" spans="2:4">
      <c r="B78" s="8" t="str">
        <f t="shared" si="0"/>
        <v>35-39</v>
      </c>
      <c r="C78" s="531">
        <f>Calc_PRIM_retirement_rates!G143</f>
        <v>2.3851619259053014E-4</v>
      </c>
      <c r="D78" s="531">
        <f>Calc_SEC_retirement_rates!G143</f>
        <v>3.1078611452675474E-4</v>
      </c>
    </row>
    <row r="79" spans="2:4">
      <c r="B79" s="8" t="str">
        <f t="shared" si="0"/>
        <v>40-44</v>
      </c>
      <c r="C79" s="531">
        <f>Calc_PRIM_retirement_rates!G144</f>
        <v>4.8378125117575827E-4</v>
      </c>
      <c r="D79" s="531">
        <f>Calc_SEC_retirement_rates!G144</f>
        <v>7.2625946781635687E-4</v>
      </c>
    </row>
    <row r="80" spans="2:4">
      <c r="B80" s="8" t="str">
        <f t="shared" si="0"/>
        <v>45-49</v>
      </c>
      <c r="C80" s="531">
        <f>Calc_PRIM_retirement_rates!G145</f>
        <v>9.9930908894481666E-4</v>
      </c>
      <c r="D80" s="531">
        <f>Calc_SEC_retirement_rates!G145</f>
        <v>1.1082387547535681E-3</v>
      </c>
    </row>
    <row r="81" spans="2:4">
      <c r="B81" s="8" t="str">
        <f t="shared" si="0"/>
        <v>50-54</v>
      </c>
      <c r="C81" s="531">
        <f>Calc_PRIM_retirement_rates!G146</f>
        <v>1.7640121823441188E-2</v>
      </c>
      <c r="D81" s="531">
        <f>Calc_SEC_retirement_rates!G146</f>
        <v>2.5408034616035337E-2</v>
      </c>
    </row>
    <row r="82" spans="2:4">
      <c r="B82" s="8" t="str">
        <f t="shared" si="0"/>
        <v>55-59</v>
      </c>
      <c r="C82" s="531">
        <f>Calc_PRIM_retirement_rates!G147</f>
        <v>0.16206946780670012</v>
      </c>
      <c r="D82" s="531">
        <f>Calc_SEC_retirement_rates!G147</f>
        <v>0.17996697788897265</v>
      </c>
    </row>
    <row r="83" spans="2:4">
      <c r="B83" s="8" t="str">
        <f t="shared" si="0"/>
        <v>60-64</v>
      </c>
      <c r="C83" s="531">
        <f>Calc_PRIM_retirement_rates!G148</f>
        <v>0.30408450327683784</v>
      </c>
      <c r="D83" s="531">
        <f>Calc_SEC_retirement_rates!G148</f>
        <v>0.30867648888393739</v>
      </c>
    </row>
    <row r="84" spans="2:4">
      <c r="B84" s="8" t="str">
        <f t="shared" si="0"/>
        <v>65 plus</v>
      </c>
      <c r="C84" s="531">
        <f>Calc_PRIM_retirement_rates!G149</f>
        <v>0.29192442445261524</v>
      </c>
      <c r="D84" s="531">
        <f>Calc_SEC_retirement_rates!G149</f>
        <v>0.27865898869745503</v>
      </c>
    </row>
    <row r="85" spans="2:4">
      <c r="B85" s="8" t="str">
        <f t="shared" si="0"/>
        <v>Total</v>
      </c>
      <c r="C85" s="531">
        <f>Calc_PRIM_retirement_rates!G150</f>
        <v>2.1981751788749726E-2</v>
      </c>
      <c r="D85" s="531">
        <f>Calc_SEC_retirement_rates!G150</f>
        <v>2.2604136063578542E-2</v>
      </c>
    </row>
    <row r="87" spans="2:4">
      <c r="B87" s="75" t="s">
        <v>567</v>
      </c>
    </row>
    <row r="88" spans="2:4">
      <c r="B88" s="12"/>
    </row>
    <row r="89" spans="2:4">
      <c r="B89" s="147" t="s">
        <v>1480</v>
      </c>
    </row>
    <row r="91" spans="2:4">
      <c r="B91" s="147" t="s">
        <v>568</v>
      </c>
    </row>
    <row r="93" spans="2:4">
      <c r="B93" s="107" t="s">
        <v>820</v>
      </c>
      <c r="C93" s="5"/>
      <c r="D93" s="5"/>
    </row>
    <row r="94" spans="2:4">
      <c r="B94" s="5"/>
      <c r="C94" s="5"/>
      <c r="D94" s="5"/>
    </row>
    <row r="95" spans="2:4">
      <c r="B95" s="8" t="str">
        <f>Calc_PRIM_death_rates!B122</f>
        <v>Age group</v>
      </c>
      <c r="C95" s="8" t="s">
        <v>302</v>
      </c>
      <c r="D95" s="8" t="s">
        <v>249</v>
      </c>
    </row>
    <row r="96" spans="2:4">
      <c r="B96" s="8" t="str">
        <f>Calc_PRIM_death_rates!B124</f>
        <v>20-24</v>
      </c>
      <c r="C96" s="531">
        <f>Calc_PRIM_death_rates!G124</f>
        <v>0</v>
      </c>
      <c r="D96" s="531">
        <f>Calc_SEC_death_rates!G124</f>
        <v>0</v>
      </c>
    </row>
    <row r="97" spans="2:4">
      <c r="B97" s="8" t="str">
        <f>Calc_PRIM_death_rates!B125</f>
        <v>25-29</v>
      </c>
      <c r="C97" s="531">
        <f>Calc_PRIM_death_rates!G125</f>
        <v>0</v>
      </c>
      <c r="D97" s="531">
        <f>Calc_SEC_death_rates!G125</f>
        <v>9.0688386189630577E-5</v>
      </c>
    </row>
    <row r="98" spans="2:4">
      <c r="B98" s="8" t="str">
        <f>Calc_PRIM_death_rates!B126</f>
        <v>30-34</v>
      </c>
      <c r="C98" s="531">
        <f>Calc_PRIM_death_rates!G126</f>
        <v>0</v>
      </c>
      <c r="D98" s="531">
        <f>Calc_SEC_death_rates!G126</f>
        <v>2.7471462334357279E-4</v>
      </c>
    </row>
    <row r="99" spans="2:4">
      <c r="B99" s="8" t="str">
        <f>Calc_PRIM_death_rates!B127</f>
        <v>35-39</v>
      </c>
      <c r="C99" s="531">
        <f>Calc_PRIM_death_rates!G127</f>
        <v>5.4896380314404755E-4</v>
      </c>
      <c r="D99" s="531">
        <f>Calc_SEC_death_rates!G127</f>
        <v>5.4026158551724222E-4</v>
      </c>
    </row>
    <row r="100" spans="2:4">
      <c r="B100" s="8" t="str">
        <f>Calc_PRIM_death_rates!B128</f>
        <v>40-44</v>
      </c>
      <c r="C100" s="531">
        <f>Calc_PRIM_death_rates!G128</f>
        <v>3.7822019334025057E-4</v>
      </c>
      <c r="D100" s="531">
        <f>Calc_SEC_death_rates!G128</f>
        <v>8.0695048783280591E-4</v>
      </c>
    </row>
    <row r="101" spans="2:4">
      <c r="B101" s="8" t="str">
        <f>Calc_PRIM_death_rates!B129</f>
        <v>45-49</v>
      </c>
      <c r="C101" s="531">
        <f>Calc_PRIM_death_rates!G129</f>
        <v>1.6233927865748621E-3</v>
      </c>
      <c r="D101" s="531">
        <f>Calc_SEC_death_rates!G129</f>
        <v>1.2258158312552134E-3</v>
      </c>
    </row>
    <row r="102" spans="2:4">
      <c r="B102" s="8" t="str">
        <f>Calc_PRIM_death_rates!B130</f>
        <v>50-54</v>
      </c>
      <c r="C102" s="531">
        <f>Calc_PRIM_death_rates!G130</f>
        <v>1.7303929341985639E-3</v>
      </c>
      <c r="D102" s="531">
        <f>Calc_SEC_death_rates!G130</f>
        <v>1.4174160572794777E-3</v>
      </c>
    </row>
    <row r="103" spans="2:4">
      <c r="B103" s="8" t="str">
        <f>Calc_PRIM_death_rates!B131</f>
        <v>55-59</v>
      </c>
      <c r="C103" s="531">
        <f>Calc_PRIM_death_rates!G131</f>
        <v>3.3276267391990763E-3</v>
      </c>
      <c r="D103" s="531">
        <f>Calc_SEC_death_rates!G131</f>
        <v>1.9786959758091435E-3</v>
      </c>
    </row>
    <row r="104" spans="2:4">
      <c r="B104" s="8" t="str">
        <f>Calc_PRIM_death_rates!B132</f>
        <v>60-64</v>
      </c>
      <c r="C104" s="531">
        <f>Calc_PRIM_death_rates!G132</f>
        <v>2.5141040548892594E-3</v>
      </c>
      <c r="D104" s="531">
        <f>Calc_SEC_death_rates!G132</f>
        <v>3.2693402010639042E-3</v>
      </c>
    </row>
    <row r="105" spans="2:4">
      <c r="B105" s="8" t="str">
        <f>Calc_PRIM_death_rates!B133</f>
        <v>65 plus</v>
      </c>
      <c r="C105" s="531">
        <f>Calc_PRIM_death_rates!G133</f>
        <v>7.4758476275945535E-3</v>
      </c>
      <c r="D105" s="531">
        <f>Calc_SEC_death_rates!G133</f>
        <v>3.3959801814322042E-3</v>
      </c>
    </row>
    <row r="106" spans="2:4">
      <c r="B106" s="8" t="str">
        <f>Calc_PRIM_death_rates!B134</f>
        <v>Total</v>
      </c>
      <c r="C106" s="531">
        <f>Calc_PRIM_death_rates!G134</f>
        <v>7.3967844720480424E-4</v>
      </c>
      <c r="D106" s="531">
        <f>Calc_SEC_death_rates!G134</f>
        <v>8.2930029101691688E-4</v>
      </c>
    </row>
    <row r="107" spans="2:4">
      <c r="B107" s="5"/>
      <c r="C107" s="5"/>
      <c r="D107" s="5"/>
    </row>
    <row r="108" spans="2:4">
      <c r="B108" s="107" t="s">
        <v>303</v>
      </c>
      <c r="C108" s="5"/>
      <c r="D108" s="5"/>
    </row>
    <row r="109" spans="2:4">
      <c r="B109" s="5"/>
      <c r="C109" s="5"/>
      <c r="D109" s="5"/>
    </row>
    <row r="110" spans="2:4">
      <c r="B110" s="8" t="str">
        <f>B95</f>
        <v>Age group</v>
      </c>
      <c r="C110" s="8" t="str">
        <f>C95</f>
        <v xml:space="preserve">Primary </v>
      </c>
      <c r="D110" s="8" t="str">
        <f>D95</f>
        <v>Secondary</v>
      </c>
    </row>
    <row r="111" spans="2:4">
      <c r="B111" s="8" t="str">
        <f t="shared" ref="B111:B121" si="1">B96</f>
        <v>20-24</v>
      </c>
      <c r="C111" s="531">
        <f>Calc_PRIM_death_rates!G140</f>
        <v>0</v>
      </c>
      <c r="D111" s="531">
        <f>Calc_SEC_death_rates!G140</f>
        <v>0</v>
      </c>
    </row>
    <row r="112" spans="2:4">
      <c r="B112" s="8" t="str">
        <f t="shared" si="1"/>
        <v>25-29</v>
      </c>
      <c r="C112" s="531">
        <f>Calc_PRIM_death_rates!G141</f>
        <v>4.7007991317945123E-5</v>
      </c>
      <c r="D112" s="531">
        <f>Calc_SEC_death_rates!G141</f>
        <v>1.1697572781402302E-4</v>
      </c>
    </row>
    <row r="113" spans="2:17">
      <c r="B113" s="8" t="str">
        <f t="shared" si="1"/>
        <v>30-34</v>
      </c>
      <c r="C113" s="531">
        <f>Calc_PRIM_death_rates!G142</f>
        <v>2.4731273777705838E-4</v>
      </c>
      <c r="D113" s="531">
        <f>Calc_SEC_death_rates!G142</f>
        <v>9.1163996477451411E-5</v>
      </c>
    </row>
    <row r="114" spans="2:17">
      <c r="B114" s="8" t="str">
        <f t="shared" si="1"/>
        <v>35-39</v>
      </c>
      <c r="C114" s="531">
        <f>Calc_PRIM_death_rates!G143</f>
        <v>3.7325062040362858E-4</v>
      </c>
      <c r="D114" s="531">
        <f>Calc_SEC_death_rates!G143</f>
        <v>4.4654526899358231E-4</v>
      </c>
    </row>
    <row r="115" spans="2:17">
      <c r="B115" s="8" t="str">
        <f t="shared" si="1"/>
        <v>40-44</v>
      </c>
      <c r="C115" s="531">
        <f>Calc_PRIM_death_rates!G144</f>
        <v>4.3430692085088456E-4</v>
      </c>
      <c r="D115" s="531">
        <f>Calc_SEC_death_rates!G144</f>
        <v>3.9162094264832785E-4</v>
      </c>
    </row>
    <row r="116" spans="2:17">
      <c r="B116" s="8" t="str">
        <f t="shared" si="1"/>
        <v>45-49</v>
      </c>
      <c r="C116" s="531">
        <f>Calc_PRIM_death_rates!G145</f>
        <v>8.5395779031358305E-4</v>
      </c>
      <c r="D116" s="531">
        <f>Calc_SEC_death_rates!G145</f>
        <v>7.6273134291275906E-4</v>
      </c>
    </row>
    <row r="117" spans="2:17">
      <c r="B117" s="8" t="str">
        <f t="shared" si="1"/>
        <v>50-54</v>
      </c>
      <c r="C117" s="531">
        <f>Calc_PRIM_death_rates!G146</f>
        <v>1.1835844850004162E-3</v>
      </c>
      <c r="D117" s="531">
        <f>Calc_SEC_death_rates!G146</f>
        <v>1.2668050288782051E-3</v>
      </c>
    </row>
    <row r="118" spans="2:17">
      <c r="B118" s="8" t="str">
        <f t="shared" si="1"/>
        <v>55-59</v>
      </c>
      <c r="C118" s="531">
        <f>Calc_PRIM_death_rates!G147</f>
        <v>1.5086791551195916E-3</v>
      </c>
      <c r="D118" s="531">
        <f>Calc_SEC_death_rates!G147</f>
        <v>1.8192485805325503E-3</v>
      </c>
    </row>
    <row r="119" spans="2:17">
      <c r="B119" s="8" t="str">
        <f t="shared" si="1"/>
        <v>60-64</v>
      </c>
      <c r="C119" s="531">
        <f>Calc_PRIM_death_rates!G148</f>
        <v>4.1653745649940905E-4</v>
      </c>
      <c r="D119" s="531">
        <f>Calc_SEC_death_rates!G148</f>
        <v>1.7919233907897577E-3</v>
      </c>
    </row>
    <row r="120" spans="2:17">
      <c r="B120" s="8" t="str">
        <f t="shared" si="1"/>
        <v>65 plus</v>
      </c>
      <c r="C120" s="531">
        <f>Calc_PRIM_death_rates!G149</f>
        <v>5.3929572813174904E-3</v>
      </c>
      <c r="D120" s="531">
        <f>Calc_SEC_death_rates!G149</f>
        <v>6.8472071566812991E-3</v>
      </c>
    </row>
    <row r="121" spans="2:17">
      <c r="B121" s="8" t="str">
        <f t="shared" si="1"/>
        <v>Total</v>
      </c>
      <c r="C121" s="531">
        <f>Calc_PRIM_death_rates!G150</f>
        <v>5.1101379909205017E-4</v>
      </c>
      <c r="D121" s="531">
        <f>Calc_SEC_death_rates!G150</f>
        <v>5.4251779138837016E-4</v>
      </c>
    </row>
    <row r="123" spans="2:17">
      <c r="B123" s="75" t="s">
        <v>311</v>
      </c>
    </row>
    <row r="124" spans="2:17">
      <c r="B124" s="12"/>
    </row>
    <row r="125" spans="2:17">
      <c r="B125" s="147" t="s">
        <v>1481</v>
      </c>
    </row>
    <row r="127" spans="2:17" ht="12.75" customHeight="1">
      <c r="B127" s="776" t="s">
        <v>444</v>
      </c>
      <c r="C127" s="776"/>
      <c r="D127" s="776"/>
      <c r="E127" s="776"/>
      <c r="F127" s="776"/>
      <c r="G127" s="776"/>
      <c r="H127" s="776"/>
      <c r="I127" s="776"/>
      <c r="J127" s="776"/>
      <c r="K127" s="776"/>
      <c r="L127" s="776"/>
      <c r="M127" s="776"/>
      <c r="N127" s="776"/>
      <c r="O127" s="776"/>
      <c r="P127" s="776"/>
      <c r="Q127" s="776"/>
    </row>
    <row r="129" spans="2:4">
      <c r="B129" s="107" t="s">
        <v>820</v>
      </c>
      <c r="C129" s="5"/>
      <c r="D129" s="5"/>
    </row>
    <row r="130" spans="2:4">
      <c r="B130" s="5"/>
      <c r="C130" s="5"/>
      <c r="D130" s="5"/>
    </row>
    <row r="131" spans="2:4">
      <c r="B131" s="8" t="str">
        <f t="shared" ref="B131:B142" si="2">B110</f>
        <v>Age group</v>
      </c>
      <c r="C131" s="8" t="s">
        <v>302</v>
      </c>
      <c r="D131" s="8" t="str">
        <f>D110</f>
        <v>Secondary</v>
      </c>
    </row>
    <row r="132" spans="2:4">
      <c r="B132" s="8" t="str">
        <f t="shared" si="2"/>
        <v>20-24</v>
      </c>
      <c r="C132" s="531">
        <f>Calculation_PRIM_wastage_rates!G124</f>
        <v>0.12152304047694186</v>
      </c>
      <c r="D132" s="531">
        <f>Calculation_SEC_wastage_rates!G124</f>
        <v>0.14766015536156041</v>
      </c>
    </row>
    <row r="133" spans="2:4">
      <c r="B133" s="8" t="str">
        <f t="shared" si="2"/>
        <v>25-29</v>
      </c>
      <c r="C133" s="531">
        <f>Calculation_PRIM_wastage_rates!G125</f>
        <v>0.10899491455174873</v>
      </c>
      <c r="D133" s="531">
        <f>Calculation_SEC_wastage_rates!G125</f>
        <v>0.11329070792352844</v>
      </c>
    </row>
    <row r="134" spans="2:4">
      <c r="B134" s="8" t="str">
        <f t="shared" si="2"/>
        <v>30-34</v>
      </c>
      <c r="C134" s="531">
        <f>Calculation_PRIM_wastage_rates!G126</f>
        <v>8.8214966679192625E-2</v>
      </c>
      <c r="D134" s="531">
        <f>Calculation_SEC_wastage_rates!G126</f>
        <v>7.8531056665268828E-2</v>
      </c>
    </row>
    <row r="135" spans="2:4">
      <c r="B135" s="8" t="str">
        <f t="shared" si="2"/>
        <v>35-39</v>
      </c>
      <c r="C135" s="531">
        <f>Calculation_PRIM_wastage_rates!G127</f>
        <v>7.4667709343540944E-2</v>
      </c>
      <c r="D135" s="531">
        <f>Calculation_SEC_wastage_rates!G127</f>
        <v>7.5061107169139898E-2</v>
      </c>
    </row>
    <row r="136" spans="2:4">
      <c r="B136" s="8" t="str">
        <f t="shared" si="2"/>
        <v>40-44</v>
      </c>
      <c r="C136" s="531">
        <f>Calculation_PRIM_wastage_rates!G128</f>
        <v>8.2626584214150728E-2</v>
      </c>
      <c r="D136" s="531">
        <f>Calculation_SEC_wastage_rates!G128</f>
        <v>7.4700185914064701E-2</v>
      </c>
    </row>
    <row r="137" spans="2:4">
      <c r="B137" s="8" t="str">
        <f t="shared" si="2"/>
        <v>45-49</v>
      </c>
      <c r="C137" s="531">
        <f>Calculation_PRIM_wastage_rates!G129</f>
        <v>8.7622478253827546E-2</v>
      </c>
      <c r="D137" s="531">
        <f>Calculation_SEC_wastage_rates!G129</f>
        <v>8.8230864613054391E-2</v>
      </c>
    </row>
    <row r="138" spans="2:4">
      <c r="B138" s="8" t="str">
        <f t="shared" si="2"/>
        <v>50-54</v>
      </c>
      <c r="C138" s="531">
        <f>Calculation_PRIM_wastage_rates!G130</f>
        <v>8.5395655960684103E-2</v>
      </c>
      <c r="D138" s="531">
        <f>Calculation_SEC_wastage_rates!G130</f>
        <v>8.4703063996146771E-2</v>
      </c>
    </row>
    <row r="139" spans="2:4">
      <c r="B139" s="8" t="str">
        <f t="shared" si="2"/>
        <v>55-59</v>
      </c>
      <c r="C139" s="531">
        <f>Calculation_PRIM_wastage_rates!G131</f>
        <v>5.7947856018546372E-2</v>
      </c>
      <c r="D139" s="531">
        <f>Calculation_SEC_wastage_rates!G131</f>
        <v>5.8260339213633106E-2</v>
      </c>
    </row>
    <row r="140" spans="2:4">
      <c r="B140" s="8" t="str">
        <f t="shared" si="2"/>
        <v>60-64</v>
      </c>
      <c r="C140" s="531">
        <f>Calculation_PRIM_wastage_rates!G132</f>
        <v>5.7122251890471321E-2</v>
      </c>
      <c r="D140" s="531">
        <f>Calculation_SEC_wastage_rates!G132</f>
        <v>5.7845320088767388E-2</v>
      </c>
    </row>
    <row r="141" spans="2:4">
      <c r="B141" s="8" t="str">
        <f t="shared" si="2"/>
        <v>65 plus</v>
      </c>
      <c r="C141" s="531">
        <f>Calculation_PRIM_wastage_rates!G133</f>
        <v>6.5106284347873078E-2</v>
      </c>
      <c r="D141" s="531">
        <f>Calculation_SEC_wastage_rates!G133</f>
        <v>0.10683182004288448</v>
      </c>
    </row>
    <row r="142" spans="2:4">
      <c r="B142" s="8" t="str">
        <f t="shared" si="2"/>
        <v>Total</v>
      </c>
      <c r="C142" s="531">
        <f>Calculation_PRIM_wastage_rates!G134</f>
        <v>8.8468371990190281E-2</v>
      </c>
      <c r="D142" s="531">
        <f>Calculation_SEC_wastage_rates!G134</f>
        <v>8.4577021721594536E-2</v>
      </c>
    </row>
    <row r="143" spans="2:4">
      <c r="B143" s="5"/>
      <c r="C143" s="5"/>
      <c r="D143" s="5"/>
    </row>
    <row r="144" spans="2:4">
      <c r="B144" s="107" t="s">
        <v>303</v>
      </c>
      <c r="C144" s="5"/>
      <c r="D144" s="5"/>
    </row>
    <row r="145" spans="2:4">
      <c r="B145" s="5"/>
      <c r="C145" s="5"/>
      <c r="D145" s="5"/>
    </row>
    <row r="146" spans="2:4">
      <c r="B146" s="8" t="str">
        <f>B131</f>
        <v>Age group</v>
      </c>
      <c r="C146" s="8" t="str">
        <f>C131</f>
        <v xml:space="preserve">Primary </v>
      </c>
      <c r="D146" s="8" t="str">
        <f>D131</f>
        <v>Secondary</v>
      </c>
    </row>
    <row r="147" spans="2:4">
      <c r="B147" s="8" t="str">
        <f t="shared" ref="B147:B157" si="3">B132</f>
        <v>20-24</v>
      </c>
      <c r="C147" s="531">
        <f>Calculation_PRIM_wastage_rates!G140</f>
        <v>9.9022848364956784E-2</v>
      </c>
      <c r="D147" s="531">
        <f>Calculation_SEC_wastage_rates!G140</f>
        <v>0.12651998104337653</v>
      </c>
    </row>
    <row r="148" spans="2:4">
      <c r="B148" s="8" t="str">
        <f t="shared" si="3"/>
        <v>25-29</v>
      </c>
      <c r="C148" s="531">
        <f>Calculation_PRIM_wastage_rates!G141</f>
        <v>9.0726063084592523E-2</v>
      </c>
      <c r="D148" s="531">
        <f>Calculation_SEC_wastage_rates!G141</f>
        <v>0.10455560293214806</v>
      </c>
    </row>
    <row r="149" spans="2:4">
      <c r="B149" s="8" t="str">
        <f t="shared" si="3"/>
        <v>30-34</v>
      </c>
      <c r="C149" s="531">
        <f>Calculation_PRIM_wastage_rates!G142</f>
        <v>8.2141069873862022E-2</v>
      </c>
      <c r="D149" s="531">
        <f>Calculation_SEC_wastage_rates!G142</f>
        <v>8.7270459506493397E-2</v>
      </c>
    </row>
    <row r="150" spans="2:4">
      <c r="B150" s="8" t="str">
        <f t="shared" si="3"/>
        <v>35-39</v>
      </c>
      <c r="C150" s="531">
        <f>Calculation_PRIM_wastage_rates!G143</f>
        <v>7.7971803709781712E-2</v>
      </c>
      <c r="D150" s="531">
        <f>Calculation_SEC_wastage_rates!G143</f>
        <v>8.1979574415774803E-2</v>
      </c>
    </row>
    <row r="151" spans="2:4">
      <c r="B151" s="8" t="str">
        <f t="shared" si="3"/>
        <v>40-44</v>
      </c>
      <c r="C151" s="531">
        <f>Calculation_PRIM_wastage_rates!G144</f>
        <v>7.2406262687503026E-2</v>
      </c>
      <c r="D151" s="531">
        <f>Calculation_SEC_wastage_rates!G144</f>
        <v>8.0842578151038125E-2</v>
      </c>
    </row>
    <row r="152" spans="2:4">
      <c r="B152" s="8" t="str">
        <f t="shared" si="3"/>
        <v>45-49</v>
      </c>
      <c r="C152" s="531">
        <f>Calculation_PRIM_wastage_rates!G145</f>
        <v>7.6586405128215976E-2</v>
      </c>
      <c r="D152" s="531">
        <f>Calculation_SEC_wastage_rates!G145</f>
        <v>8.8269148170636053E-2</v>
      </c>
    </row>
    <row r="153" spans="2:4">
      <c r="B153" s="8" t="str">
        <f t="shared" si="3"/>
        <v>50-54</v>
      </c>
      <c r="C153" s="531">
        <f>Calculation_PRIM_wastage_rates!G146</f>
        <v>8.3295196484576964E-2</v>
      </c>
      <c r="D153" s="531">
        <f>Calculation_SEC_wastage_rates!G146</f>
        <v>8.7536873351951316E-2</v>
      </c>
    </row>
    <row r="154" spans="2:4">
      <c r="B154" s="8" t="str">
        <f t="shared" si="3"/>
        <v>55-59</v>
      </c>
      <c r="C154" s="531">
        <f>Calculation_PRIM_wastage_rates!G147</f>
        <v>5.3038311893721754E-2</v>
      </c>
      <c r="D154" s="531">
        <f>Calculation_SEC_wastage_rates!G147</f>
        <v>5.7297396975088274E-2</v>
      </c>
    </row>
    <row r="155" spans="2:4">
      <c r="B155" s="8" t="str">
        <f t="shared" si="3"/>
        <v>60-64</v>
      </c>
      <c r="C155" s="531">
        <f>Calculation_PRIM_wastage_rates!G148</f>
        <v>4.2213416409850574E-2</v>
      </c>
      <c r="D155" s="531">
        <f>Calculation_SEC_wastage_rates!G148</f>
        <v>5.214170948970194E-2</v>
      </c>
    </row>
    <row r="156" spans="2:4">
      <c r="B156" s="8" t="str">
        <f t="shared" si="3"/>
        <v>65 plus</v>
      </c>
      <c r="C156" s="531">
        <f>Calculation_PRIM_wastage_rates!G149</f>
        <v>7.3055045109373162E-2</v>
      </c>
      <c r="D156" s="531">
        <f>Calculation_SEC_wastage_rates!G149</f>
        <v>7.7040540050632281E-2</v>
      </c>
    </row>
    <row r="157" spans="2:4">
      <c r="B157" s="8" t="str">
        <f t="shared" si="3"/>
        <v>Total</v>
      </c>
      <c r="C157" s="531">
        <f>Calculation_PRIM_wastage_rates!G150</f>
        <v>7.9200026808663129E-2</v>
      </c>
      <c r="D157" s="531">
        <f>Calculation_SEC_wastage_rates!G150</f>
        <v>8.7736204760537742E-2</v>
      </c>
    </row>
    <row r="159" spans="2:4">
      <c r="B159" s="75" t="s">
        <v>312</v>
      </c>
    </row>
    <row r="160" spans="2:4">
      <c r="B160" s="12"/>
    </row>
    <row r="161" spans="2:17">
      <c r="B161" s="147" t="s">
        <v>651</v>
      </c>
    </row>
    <row r="163" spans="2:17">
      <c r="B163" s="147" t="s">
        <v>313</v>
      </c>
    </row>
    <row r="165" spans="2:17">
      <c r="B165" s="107" t="s">
        <v>35</v>
      </c>
      <c r="C165" s="5"/>
      <c r="D165" s="5"/>
      <c r="E165" s="5"/>
      <c r="F165" s="5"/>
      <c r="G165" s="5"/>
      <c r="H165" s="5"/>
      <c r="I165" s="5"/>
      <c r="J165" s="5"/>
      <c r="K165" s="5"/>
      <c r="L165" s="5"/>
      <c r="M165" s="5"/>
      <c r="N165" s="5"/>
      <c r="O165" s="5"/>
      <c r="P165" s="5"/>
      <c r="Q165" s="5"/>
    </row>
    <row r="166" spans="2:17">
      <c r="B166" s="12"/>
      <c r="C166" s="5"/>
      <c r="D166" s="5"/>
      <c r="E166" s="5"/>
      <c r="F166" s="5"/>
      <c r="G166" s="5"/>
      <c r="H166" s="5"/>
      <c r="I166" s="5"/>
      <c r="J166" s="5"/>
      <c r="K166" s="5"/>
      <c r="L166" s="5"/>
      <c r="M166" s="5"/>
      <c r="N166" s="5"/>
      <c r="O166" s="5"/>
      <c r="P166" s="5"/>
      <c r="Q166" s="5"/>
    </row>
    <row r="167" spans="2:17">
      <c r="B167" s="107" t="s">
        <v>46</v>
      </c>
      <c r="C167" s="5"/>
      <c r="D167" s="5"/>
      <c r="E167" s="5"/>
      <c r="F167" s="5"/>
      <c r="G167" s="5"/>
      <c r="H167" s="5"/>
      <c r="I167" s="5"/>
      <c r="J167" s="5"/>
      <c r="K167" s="5"/>
      <c r="L167" s="5"/>
      <c r="M167" s="5"/>
      <c r="N167" s="5"/>
      <c r="O167" s="5"/>
      <c r="P167" s="5"/>
      <c r="Q167" s="5"/>
    </row>
    <row r="168" spans="2:17">
      <c r="B168" s="75"/>
      <c r="C168" s="5"/>
      <c r="D168" s="5"/>
      <c r="E168" s="5"/>
      <c r="F168" s="5"/>
      <c r="G168" s="5"/>
      <c r="H168" s="5"/>
      <c r="I168" s="5"/>
      <c r="J168" s="5"/>
      <c r="K168" s="5"/>
      <c r="L168" s="5"/>
      <c r="M168" s="5"/>
      <c r="N168" s="5"/>
      <c r="O168" s="5"/>
      <c r="P168" s="5"/>
      <c r="Q168" s="5"/>
    </row>
    <row r="169" spans="2:17">
      <c r="B169" s="8" t="str">
        <f>Projected_PRIM_wastage_rates!B54</f>
        <v>Age group</v>
      </c>
      <c r="C169" s="8" t="str">
        <f>Projected_PRIM_wastage_rates!C54</f>
        <v>2015/16</v>
      </c>
      <c r="D169" s="8" t="str">
        <f>Projected_PRIM_wastage_rates!D54</f>
        <v>2016/17</v>
      </c>
      <c r="E169" s="8" t="str">
        <f>Projected_PRIM_wastage_rates!E54</f>
        <v>2017/18</v>
      </c>
      <c r="F169" s="8" t="str">
        <f>Projected_PRIM_wastage_rates!F54</f>
        <v>2018/19</v>
      </c>
      <c r="G169" s="8" t="str">
        <f>Projected_PRIM_wastage_rates!G54</f>
        <v>2019/20</v>
      </c>
      <c r="H169" s="8" t="str">
        <f>Projected_PRIM_wastage_rates!H54</f>
        <v>2020/21</v>
      </c>
      <c r="I169" s="8" t="str">
        <f>Projected_PRIM_wastage_rates!I54</f>
        <v>2021/22</v>
      </c>
      <c r="J169" s="8" t="str">
        <f>Projected_PRIM_wastage_rates!J54</f>
        <v>2022/23</v>
      </c>
      <c r="K169" s="8" t="str">
        <f>Projected_PRIM_wastage_rates!K54</f>
        <v>2023/24</v>
      </c>
      <c r="L169" s="8" t="str">
        <f>Projected_PRIM_wastage_rates!L54</f>
        <v>2024/25</v>
      </c>
      <c r="M169" s="8" t="str">
        <f>Projected_PRIM_wastage_rates!M54</f>
        <v>2025/26</v>
      </c>
      <c r="N169" s="8" t="str">
        <f>Projected_PRIM_wastage_rates!N54</f>
        <v>2026/27</v>
      </c>
      <c r="O169" s="8" t="str">
        <f>Projected_PRIM_wastage_rates!O54</f>
        <v>2027/28</v>
      </c>
      <c r="P169" s="8" t="str">
        <f>Projected_PRIM_wastage_rates!P54</f>
        <v>2028/29</v>
      </c>
      <c r="Q169" s="163"/>
    </row>
    <row r="170" spans="2:17">
      <c r="B170" s="8" t="str">
        <f>Projected_PRIM_wastage_rates!B55</f>
        <v>20-24</v>
      </c>
      <c r="C170" s="159">
        <f>Projected_PRIM_wastage_rates!C55</f>
        <v>0.12152304047694186</v>
      </c>
      <c r="D170" s="159">
        <f>Projected_PRIM_wastage_rates!D55</f>
        <v>0.12759334078271259</v>
      </c>
      <c r="E170" s="159">
        <f>Projected_PRIM_wastage_rates!E55</f>
        <v>0.12706232353045022</v>
      </c>
      <c r="F170" s="159">
        <f>Projected_PRIM_wastage_rates!F55</f>
        <v>0.12249385908718798</v>
      </c>
      <c r="G170" s="159">
        <f>Projected_PRIM_wastage_rates!G55</f>
        <v>0.12709069910203283</v>
      </c>
      <c r="H170" s="159">
        <f>Projected_PRIM_wastage_rates!H55</f>
        <v>0.12470424359516695</v>
      </c>
      <c r="I170" s="159">
        <f>Projected_PRIM_wastage_rates!I55</f>
        <v>0.12470424359516695</v>
      </c>
      <c r="J170" s="159">
        <f>Projected_PRIM_wastage_rates!J55</f>
        <v>0.12470424359516695</v>
      </c>
      <c r="K170" s="159">
        <f>Projected_PRIM_wastage_rates!K55</f>
        <v>0.12470424359516695</v>
      </c>
      <c r="L170" s="159">
        <f>Projected_PRIM_wastage_rates!L55</f>
        <v>0.12470424359516695</v>
      </c>
      <c r="M170" s="159">
        <f>Projected_PRIM_wastage_rates!M55</f>
        <v>0.12470424359516695</v>
      </c>
      <c r="N170" s="159">
        <f>Projected_PRIM_wastage_rates!N55</f>
        <v>0.12470424359516695</v>
      </c>
      <c r="O170" s="159">
        <f>Projected_PRIM_wastage_rates!O55</f>
        <v>0.12470424359516695</v>
      </c>
      <c r="P170" s="159">
        <f>Projected_PRIM_wastage_rates!P55</f>
        <v>0.12470424359516695</v>
      </c>
      <c r="Q170" s="532"/>
    </row>
    <row r="171" spans="2:17">
      <c r="B171" s="8" t="str">
        <f>Projected_PRIM_wastage_rates!B56</f>
        <v>25-29</v>
      </c>
      <c r="C171" s="159">
        <f>Projected_PRIM_wastage_rates!C56</f>
        <v>0.10899491455174873</v>
      </c>
      <c r="D171" s="159">
        <f>Projected_PRIM_wastage_rates!D56</f>
        <v>0.11443941183007739</v>
      </c>
      <c r="E171" s="159">
        <f>Projected_PRIM_wastage_rates!E56</f>
        <v>0.1139631385257831</v>
      </c>
      <c r="F171" s="159">
        <f>Projected_PRIM_wastage_rates!F56</f>
        <v>0.1098656489495529</v>
      </c>
      <c r="G171" s="159">
        <f>Projected_PRIM_wastage_rates!G56</f>
        <v>0.11398858878597959</v>
      </c>
      <c r="H171" s="159">
        <f>Projected_PRIM_wastage_rates!H56</f>
        <v>0.1118481591766517</v>
      </c>
      <c r="I171" s="159">
        <f>Projected_PRIM_wastage_rates!I56</f>
        <v>0.1118481591766517</v>
      </c>
      <c r="J171" s="159">
        <f>Projected_PRIM_wastage_rates!J56</f>
        <v>0.1118481591766517</v>
      </c>
      <c r="K171" s="159">
        <f>Projected_PRIM_wastage_rates!K56</f>
        <v>0.1118481591766517</v>
      </c>
      <c r="L171" s="159">
        <f>Projected_PRIM_wastage_rates!L56</f>
        <v>0.1118481591766517</v>
      </c>
      <c r="M171" s="159">
        <f>Projected_PRIM_wastage_rates!M56</f>
        <v>0.1118481591766517</v>
      </c>
      <c r="N171" s="159">
        <f>Projected_PRIM_wastage_rates!N56</f>
        <v>0.1118481591766517</v>
      </c>
      <c r="O171" s="159">
        <f>Projected_PRIM_wastage_rates!O56</f>
        <v>0.1118481591766517</v>
      </c>
      <c r="P171" s="159">
        <f>Projected_PRIM_wastage_rates!P56</f>
        <v>0.1118481591766517</v>
      </c>
      <c r="Q171" s="532"/>
    </row>
    <row r="172" spans="2:17">
      <c r="B172" s="8" t="str">
        <f>Projected_PRIM_wastage_rates!B57</f>
        <v>30-34</v>
      </c>
      <c r="C172" s="159">
        <f>Projected_PRIM_wastage_rates!C57</f>
        <v>8.8214966679192625E-2</v>
      </c>
      <c r="D172" s="159">
        <f>Projected_PRIM_wastage_rates!D57</f>
        <v>9.2621467183990835E-2</v>
      </c>
      <c r="E172" s="159">
        <f>Projected_PRIM_wastage_rates!E57</f>
        <v>9.2235995679734895E-2</v>
      </c>
      <c r="F172" s="159">
        <f>Projected_PRIM_wastage_rates!F57</f>
        <v>8.8919695025506923E-2</v>
      </c>
      <c r="G172" s="159">
        <f>Projected_PRIM_wastage_rates!G57</f>
        <v>9.2256593832083955E-2</v>
      </c>
      <c r="H172" s="159">
        <f>Projected_PRIM_wastage_rates!H57</f>
        <v>9.052423845162838E-2</v>
      </c>
      <c r="I172" s="159">
        <f>Projected_PRIM_wastage_rates!I57</f>
        <v>9.052423845162838E-2</v>
      </c>
      <c r="J172" s="159">
        <f>Projected_PRIM_wastage_rates!J57</f>
        <v>9.052423845162838E-2</v>
      </c>
      <c r="K172" s="159">
        <f>Projected_PRIM_wastage_rates!K57</f>
        <v>9.052423845162838E-2</v>
      </c>
      <c r="L172" s="159">
        <f>Projected_PRIM_wastage_rates!L57</f>
        <v>9.052423845162838E-2</v>
      </c>
      <c r="M172" s="159">
        <f>Projected_PRIM_wastage_rates!M57</f>
        <v>9.052423845162838E-2</v>
      </c>
      <c r="N172" s="159">
        <f>Projected_PRIM_wastage_rates!N57</f>
        <v>9.052423845162838E-2</v>
      </c>
      <c r="O172" s="159">
        <f>Projected_PRIM_wastage_rates!O57</f>
        <v>9.052423845162838E-2</v>
      </c>
      <c r="P172" s="159">
        <f>Projected_PRIM_wastage_rates!P57</f>
        <v>9.052423845162838E-2</v>
      </c>
      <c r="Q172" s="532"/>
    </row>
    <row r="173" spans="2:17">
      <c r="B173" s="8" t="str">
        <f>Projected_PRIM_wastage_rates!B58</f>
        <v>35-39</v>
      </c>
      <c r="C173" s="159">
        <f>Projected_PRIM_wastage_rates!C58</f>
        <v>7.4667709343540944E-2</v>
      </c>
      <c r="D173" s="159">
        <f>Projected_PRIM_wastage_rates!D58</f>
        <v>7.8397499324769221E-2</v>
      </c>
      <c r="E173" s="159">
        <f>Projected_PRIM_wastage_rates!E58</f>
        <v>7.807122505041994E-2</v>
      </c>
      <c r="F173" s="159">
        <f>Projected_PRIM_wastage_rates!F58</f>
        <v>7.5264211879444098E-2</v>
      </c>
      <c r="G173" s="159">
        <f>Projected_PRIM_wastage_rates!G58</f>
        <v>7.8088659924687998E-2</v>
      </c>
      <c r="H173" s="159">
        <f>Projected_PRIM_wastage_rates!H58</f>
        <v>7.6622344027319017E-2</v>
      </c>
      <c r="I173" s="159">
        <f>Projected_PRIM_wastage_rates!I58</f>
        <v>7.6622344027319017E-2</v>
      </c>
      <c r="J173" s="159">
        <f>Projected_PRIM_wastage_rates!J58</f>
        <v>7.6622344027319017E-2</v>
      </c>
      <c r="K173" s="159">
        <f>Projected_PRIM_wastage_rates!K58</f>
        <v>7.6622344027319017E-2</v>
      </c>
      <c r="L173" s="159">
        <f>Projected_PRIM_wastage_rates!L58</f>
        <v>7.6622344027319017E-2</v>
      </c>
      <c r="M173" s="159">
        <f>Projected_PRIM_wastage_rates!M58</f>
        <v>7.6622344027319017E-2</v>
      </c>
      <c r="N173" s="159">
        <f>Projected_PRIM_wastage_rates!N58</f>
        <v>7.6622344027319017E-2</v>
      </c>
      <c r="O173" s="159">
        <f>Projected_PRIM_wastage_rates!O58</f>
        <v>7.6622344027319017E-2</v>
      </c>
      <c r="P173" s="159">
        <f>Projected_PRIM_wastage_rates!P58</f>
        <v>7.6622344027319017E-2</v>
      </c>
      <c r="Q173" s="532"/>
    </row>
    <row r="174" spans="2:17">
      <c r="B174" s="8" t="str">
        <f>Projected_PRIM_wastage_rates!B59</f>
        <v>40-44</v>
      </c>
      <c r="C174" s="159">
        <f>Projected_PRIM_wastage_rates!C59</f>
        <v>8.2626584214150728E-2</v>
      </c>
      <c r="D174" s="159">
        <f>Projected_PRIM_wastage_rates!D59</f>
        <v>8.6753934693956397E-2</v>
      </c>
      <c r="E174" s="159">
        <f>Projected_PRIM_wastage_rates!E59</f>
        <v>8.63928826536106E-2</v>
      </c>
      <c r="F174" s="159">
        <f>Projected_PRIM_wastage_rates!F59</f>
        <v>8.3286668304717787E-2</v>
      </c>
      <c r="G174" s="159">
        <f>Projected_PRIM_wastage_rates!G59</f>
        <v>8.6412175921338236E-2</v>
      </c>
      <c r="H174" s="159">
        <f>Projected_PRIM_wastage_rates!H59</f>
        <v>8.478956455367094E-2</v>
      </c>
      <c r="I174" s="159">
        <f>Projected_PRIM_wastage_rates!I59</f>
        <v>8.478956455367094E-2</v>
      </c>
      <c r="J174" s="159">
        <f>Projected_PRIM_wastage_rates!J59</f>
        <v>8.478956455367094E-2</v>
      </c>
      <c r="K174" s="159">
        <f>Projected_PRIM_wastage_rates!K59</f>
        <v>8.478956455367094E-2</v>
      </c>
      <c r="L174" s="159">
        <f>Projected_PRIM_wastage_rates!L59</f>
        <v>8.478956455367094E-2</v>
      </c>
      <c r="M174" s="159">
        <f>Projected_PRIM_wastage_rates!M59</f>
        <v>8.478956455367094E-2</v>
      </c>
      <c r="N174" s="159">
        <f>Projected_PRIM_wastage_rates!N59</f>
        <v>8.478956455367094E-2</v>
      </c>
      <c r="O174" s="159">
        <f>Projected_PRIM_wastage_rates!O59</f>
        <v>8.478956455367094E-2</v>
      </c>
      <c r="P174" s="159">
        <f>Projected_PRIM_wastage_rates!P59</f>
        <v>8.478956455367094E-2</v>
      </c>
      <c r="Q174" s="532"/>
    </row>
    <row r="175" spans="2:17">
      <c r="B175" s="8" t="str">
        <f>Projected_PRIM_wastage_rates!B60</f>
        <v>45-49</v>
      </c>
      <c r="C175" s="159">
        <f>Projected_PRIM_wastage_rates!C60</f>
        <v>8.7622478253827546E-2</v>
      </c>
      <c r="D175" s="159">
        <f>Projected_PRIM_wastage_rates!D60</f>
        <v>9.1999382867545804E-2</v>
      </c>
      <c r="E175" s="159">
        <f>Projected_PRIM_wastage_rates!E60</f>
        <v>9.1616500350319818E-2</v>
      </c>
      <c r="F175" s="159">
        <f>Projected_PRIM_wastage_rates!F60</f>
        <v>8.8322473351307371E-2</v>
      </c>
      <c r="G175" s="159">
        <f>Projected_PRIM_wastage_rates!G60</f>
        <v>9.163696015690613E-2</v>
      </c>
      <c r="H175" s="159">
        <f>Projected_PRIM_wastage_rates!H60</f>
        <v>8.9916239996075731E-2</v>
      </c>
      <c r="I175" s="159">
        <f>Projected_PRIM_wastage_rates!I60</f>
        <v>8.9916239996075731E-2</v>
      </c>
      <c r="J175" s="159">
        <f>Projected_PRIM_wastage_rates!J60</f>
        <v>8.9916239996075731E-2</v>
      </c>
      <c r="K175" s="159">
        <f>Projected_PRIM_wastage_rates!K60</f>
        <v>8.9916239996075731E-2</v>
      </c>
      <c r="L175" s="159">
        <f>Projected_PRIM_wastage_rates!L60</f>
        <v>8.9916239996075731E-2</v>
      </c>
      <c r="M175" s="159">
        <f>Projected_PRIM_wastage_rates!M60</f>
        <v>8.9916239996075731E-2</v>
      </c>
      <c r="N175" s="159">
        <f>Projected_PRIM_wastage_rates!N60</f>
        <v>8.9916239996075731E-2</v>
      </c>
      <c r="O175" s="159">
        <f>Projected_PRIM_wastage_rates!O60</f>
        <v>8.9916239996075731E-2</v>
      </c>
      <c r="P175" s="159">
        <f>Projected_PRIM_wastage_rates!P60</f>
        <v>8.9916239996075731E-2</v>
      </c>
      <c r="Q175" s="532"/>
    </row>
    <row r="176" spans="2:17">
      <c r="B176" s="8" t="str">
        <f>Projected_PRIM_wastage_rates!B61</f>
        <v>50-54</v>
      </c>
      <c r="C176" s="159">
        <f>Projected_PRIM_wastage_rates!C61</f>
        <v>8.5395655960684103E-2</v>
      </c>
      <c r="D176" s="159">
        <f>Projected_PRIM_wastage_rates!D61</f>
        <v>8.9661326688269219E-2</v>
      </c>
      <c r="E176" s="159">
        <f>Projected_PRIM_wastage_rates!E61</f>
        <v>8.9288174680177468E-2</v>
      </c>
      <c r="F176" s="159">
        <f>Projected_PRIM_wastage_rates!F61</f>
        <v>8.6077861505537451E-2</v>
      </c>
      <c r="G176" s="159">
        <f>Projected_PRIM_wastage_rates!G61</f>
        <v>8.9308114524827897E-2</v>
      </c>
      <c r="H176" s="159">
        <f>Projected_PRIM_wastage_rates!H61</f>
        <v>8.7631124444346273E-2</v>
      </c>
      <c r="I176" s="159">
        <f>Projected_PRIM_wastage_rates!I61</f>
        <v>8.7631124444346273E-2</v>
      </c>
      <c r="J176" s="159">
        <f>Projected_PRIM_wastage_rates!J61</f>
        <v>8.7631124444346273E-2</v>
      </c>
      <c r="K176" s="159">
        <f>Projected_PRIM_wastage_rates!K61</f>
        <v>8.7631124444346273E-2</v>
      </c>
      <c r="L176" s="159">
        <f>Projected_PRIM_wastage_rates!L61</f>
        <v>8.7631124444346273E-2</v>
      </c>
      <c r="M176" s="159">
        <f>Projected_PRIM_wastage_rates!M61</f>
        <v>8.7631124444346273E-2</v>
      </c>
      <c r="N176" s="159">
        <f>Projected_PRIM_wastage_rates!N61</f>
        <v>8.7631124444346273E-2</v>
      </c>
      <c r="O176" s="159">
        <f>Projected_PRIM_wastage_rates!O61</f>
        <v>8.7631124444346273E-2</v>
      </c>
      <c r="P176" s="159">
        <f>Projected_PRIM_wastage_rates!P61</f>
        <v>8.7631124444346273E-2</v>
      </c>
      <c r="Q176" s="532"/>
    </row>
    <row r="177" spans="2:17">
      <c r="B177" s="8" t="str">
        <f>Projected_PRIM_wastage_rates!B62</f>
        <v>55-59</v>
      </c>
      <c r="C177" s="159">
        <f>Projected_PRIM_wastage_rates!C62</f>
        <v>5.7947856018546372E-2</v>
      </c>
      <c r="D177" s="159">
        <f>Projected_PRIM_wastage_rates!D62</f>
        <v>6.0842458447251106E-2</v>
      </c>
      <c r="E177" s="159">
        <f>Projected_PRIM_wastage_rates!E62</f>
        <v>6.0589244643871137E-2</v>
      </c>
      <c r="F177" s="159">
        <f>Projected_PRIM_wastage_rates!F62</f>
        <v>5.8410787630740042E-2</v>
      </c>
      <c r="G177" s="159">
        <f>Projected_PRIM_wastage_rates!G62</f>
        <v>6.0602775440418533E-2</v>
      </c>
      <c r="H177" s="159">
        <f>Projected_PRIM_wastage_rates!H62</f>
        <v>5.9464802101669073E-2</v>
      </c>
      <c r="I177" s="159">
        <f>Projected_PRIM_wastage_rates!I62</f>
        <v>5.9464802101669073E-2</v>
      </c>
      <c r="J177" s="159">
        <f>Projected_PRIM_wastage_rates!J62</f>
        <v>5.9464802101669073E-2</v>
      </c>
      <c r="K177" s="159">
        <f>Projected_PRIM_wastage_rates!K62</f>
        <v>5.9464802101669073E-2</v>
      </c>
      <c r="L177" s="159">
        <f>Projected_PRIM_wastage_rates!L62</f>
        <v>5.9464802101669073E-2</v>
      </c>
      <c r="M177" s="159">
        <f>Projected_PRIM_wastage_rates!M62</f>
        <v>5.9464802101669073E-2</v>
      </c>
      <c r="N177" s="159">
        <f>Projected_PRIM_wastage_rates!N62</f>
        <v>5.9464802101669073E-2</v>
      </c>
      <c r="O177" s="159">
        <f>Projected_PRIM_wastage_rates!O62</f>
        <v>5.9464802101669073E-2</v>
      </c>
      <c r="P177" s="159">
        <f>Projected_PRIM_wastage_rates!P62</f>
        <v>5.9464802101669073E-2</v>
      </c>
      <c r="Q177" s="532"/>
    </row>
    <row r="178" spans="2:17">
      <c r="B178" s="8" t="str">
        <f>Projected_PRIM_wastage_rates!B63</f>
        <v>60-64</v>
      </c>
      <c r="C178" s="159">
        <f>Projected_PRIM_wastage_rates!C63</f>
        <v>5.7122251890471321E-2</v>
      </c>
      <c r="D178" s="159">
        <f>Projected_PRIM_wastage_rates!D63</f>
        <v>5.9975613868217703E-2</v>
      </c>
      <c r="E178" s="159">
        <f>Projected_PRIM_wastage_rates!E63</f>
        <v>5.9726007693760005E-2</v>
      </c>
      <c r="F178" s="159">
        <f>Projected_PRIM_wastage_rates!F63</f>
        <v>5.7578587948035304E-2</v>
      </c>
      <c r="G178" s="159">
        <f>Projected_PRIM_wastage_rates!G63</f>
        <v>5.9739345712140041E-2</v>
      </c>
      <c r="H178" s="159">
        <f>Projected_PRIM_wastage_rates!H63</f>
        <v>5.8617585492402438E-2</v>
      </c>
      <c r="I178" s="159">
        <f>Projected_PRIM_wastage_rates!I63</f>
        <v>5.8617585492402438E-2</v>
      </c>
      <c r="J178" s="159">
        <f>Projected_PRIM_wastage_rates!J63</f>
        <v>5.8617585492402438E-2</v>
      </c>
      <c r="K178" s="159">
        <f>Projected_PRIM_wastage_rates!K63</f>
        <v>5.8617585492402438E-2</v>
      </c>
      <c r="L178" s="159">
        <f>Projected_PRIM_wastage_rates!L63</f>
        <v>5.8617585492402438E-2</v>
      </c>
      <c r="M178" s="159">
        <f>Projected_PRIM_wastage_rates!M63</f>
        <v>5.8617585492402438E-2</v>
      </c>
      <c r="N178" s="159">
        <f>Projected_PRIM_wastage_rates!N63</f>
        <v>5.8617585492402438E-2</v>
      </c>
      <c r="O178" s="159">
        <f>Projected_PRIM_wastage_rates!O63</f>
        <v>5.8617585492402438E-2</v>
      </c>
      <c r="P178" s="159">
        <f>Projected_PRIM_wastage_rates!P63</f>
        <v>5.8617585492402438E-2</v>
      </c>
      <c r="Q178" s="532"/>
    </row>
    <row r="179" spans="2:17">
      <c r="B179" s="8" t="str">
        <f>Projected_PRIM_wastage_rates!B64</f>
        <v>65 plus</v>
      </c>
      <c r="C179" s="159">
        <f>Projected_PRIM_wastage_rates!C64</f>
        <v>6.5106284347873078E-2</v>
      </c>
      <c r="D179" s="159">
        <f>Projected_PRIM_wastage_rates!D64</f>
        <v>6.8358463492119215E-2</v>
      </c>
      <c r="E179" s="159">
        <f>Projected_PRIM_wastage_rates!E64</f>
        <v>6.8073969620967428E-2</v>
      </c>
      <c r="F179" s="159">
        <f>Projected_PRIM_wastage_rates!F64</f>
        <v>6.5626402938066541E-2</v>
      </c>
      <c r="G179" s="159">
        <f>Projected_PRIM_wastage_rates!G64</f>
        <v>6.8089171907091461E-2</v>
      </c>
      <c r="H179" s="159">
        <f>Projected_PRIM_wastage_rates!H64</f>
        <v>6.6810622175256532E-2</v>
      </c>
      <c r="I179" s="159">
        <f>Projected_PRIM_wastage_rates!I64</f>
        <v>6.6810622175256532E-2</v>
      </c>
      <c r="J179" s="159">
        <f>Projected_PRIM_wastage_rates!J64</f>
        <v>6.6810622175256532E-2</v>
      </c>
      <c r="K179" s="159">
        <f>Projected_PRIM_wastage_rates!K64</f>
        <v>6.6810622175256532E-2</v>
      </c>
      <c r="L179" s="159">
        <f>Projected_PRIM_wastage_rates!L64</f>
        <v>6.6810622175256532E-2</v>
      </c>
      <c r="M179" s="159">
        <f>Projected_PRIM_wastage_rates!M64</f>
        <v>6.6810622175256532E-2</v>
      </c>
      <c r="N179" s="159">
        <f>Projected_PRIM_wastage_rates!N64</f>
        <v>6.6810622175256532E-2</v>
      </c>
      <c r="O179" s="159">
        <f>Projected_PRIM_wastage_rates!O64</f>
        <v>6.6810622175256532E-2</v>
      </c>
      <c r="P179" s="159">
        <f>Projected_PRIM_wastage_rates!P64</f>
        <v>6.6810622175256532E-2</v>
      </c>
      <c r="Q179" s="532"/>
    </row>
    <row r="180" spans="2:17">
      <c r="B180" s="8" t="str">
        <f>Projected_PRIM_wastage_rates!B65</f>
        <v>Total</v>
      </c>
      <c r="C180" s="159">
        <f>Projected_PRIM_wastage_rates!C65</f>
        <v>8.8468371990190281E-2</v>
      </c>
      <c r="D180" s="159">
        <f>Projected_PRIM_wastage_rates!D65</f>
        <v>9.2887530558272591E-2</v>
      </c>
      <c r="E180" s="159">
        <f>Projected_PRIM_wastage_rates!E65</f>
        <v>9.2500951752953184E-2</v>
      </c>
      <c r="F180" s="159">
        <f>Projected_PRIM_wastage_rates!F65</f>
        <v>8.9175124731145194E-2</v>
      </c>
      <c r="G180" s="159">
        <f>Projected_PRIM_wastage_rates!G65</f>
        <v>9.2521609075320657E-2</v>
      </c>
      <c r="H180" s="159">
        <f>Projected_PRIM_wastage_rates!H65</f>
        <v>9.0784277350481946E-2</v>
      </c>
      <c r="I180" s="159">
        <f>Projected_PRIM_wastage_rates!I65</f>
        <v>9.0784277350481946E-2</v>
      </c>
      <c r="J180" s="159">
        <f>Projected_PRIM_wastage_rates!J65</f>
        <v>9.0784277350481946E-2</v>
      </c>
      <c r="K180" s="159">
        <f>Projected_PRIM_wastage_rates!K65</f>
        <v>9.0784277350481946E-2</v>
      </c>
      <c r="L180" s="159">
        <f>Projected_PRIM_wastage_rates!L65</f>
        <v>9.0784277350481946E-2</v>
      </c>
      <c r="M180" s="159">
        <f>Projected_PRIM_wastage_rates!M65</f>
        <v>9.0784277350481946E-2</v>
      </c>
      <c r="N180" s="159">
        <f>Projected_PRIM_wastage_rates!N65</f>
        <v>9.0784277350481946E-2</v>
      </c>
      <c r="O180" s="159">
        <f>Projected_PRIM_wastage_rates!O65</f>
        <v>9.0784277350481946E-2</v>
      </c>
      <c r="P180" s="159">
        <f>Projected_PRIM_wastage_rates!P65</f>
        <v>9.0784277350481946E-2</v>
      </c>
      <c r="Q180" s="532"/>
    </row>
    <row r="181" spans="2:17">
      <c r="B181" s="5"/>
      <c r="C181" s="5"/>
      <c r="D181" s="5"/>
      <c r="E181" s="5"/>
      <c r="F181" s="5"/>
      <c r="G181" s="5"/>
      <c r="H181" s="5"/>
      <c r="I181" s="5"/>
      <c r="J181" s="5"/>
      <c r="K181" s="5"/>
      <c r="L181" s="5"/>
      <c r="M181" s="5"/>
      <c r="N181" s="5"/>
      <c r="O181" s="5"/>
      <c r="P181" s="5"/>
      <c r="Q181" s="239"/>
    </row>
    <row r="182" spans="2:17">
      <c r="B182" s="107" t="s">
        <v>47</v>
      </c>
      <c r="C182" s="5"/>
      <c r="D182" s="5"/>
      <c r="E182" s="5"/>
      <c r="F182" s="5"/>
      <c r="G182" s="5"/>
      <c r="H182" s="5"/>
      <c r="I182" s="5"/>
      <c r="J182" s="5"/>
      <c r="K182" s="5"/>
      <c r="L182" s="5"/>
      <c r="M182" s="5"/>
      <c r="N182" s="5"/>
      <c r="O182" s="5"/>
      <c r="P182" s="5"/>
      <c r="Q182" s="239"/>
    </row>
    <row r="183" spans="2:17">
      <c r="B183" s="5"/>
      <c r="C183" s="5"/>
      <c r="D183" s="5"/>
      <c r="E183" s="5"/>
      <c r="F183" s="5"/>
      <c r="G183" s="5"/>
      <c r="H183" s="5"/>
      <c r="I183" s="5"/>
      <c r="J183" s="5"/>
      <c r="K183" s="5"/>
      <c r="L183" s="5"/>
      <c r="M183" s="5"/>
      <c r="N183" s="5"/>
      <c r="O183" s="5"/>
      <c r="P183" s="5"/>
      <c r="Q183" s="239"/>
    </row>
    <row r="184" spans="2:17">
      <c r="B184" s="8" t="str">
        <f>Projected_PRIM_wastage_rates!B69</f>
        <v>Age group</v>
      </c>
      <c r="C184" s="8" t="str">
        <f>Projected_PRIM_wastage_rates!C69</f>
        <v>2015/16</v>
      </c>
      <c r="D184" s="8" t="str">
        <f>Projected_PRIM_wastage_rates!D69</f>
        <v>2016/17</v>
      </c>
      <c r="E184" s="8" t="str">
        <f>Projected_PRIM_wastage_rates!E69</f>
        <v>2017/18</v>
      </c>
      <c r="F184" s="8" t="str">
        <f>Projected_PRIM_wastage_rates!F69</f>
        <v>2018/19</v>
      </c>
      <c r="G184" s="8" t="str">
        <f>Projected_PRIM_wastage_rates!G69</f>
        <v>2019/20</v>
      </c>
      <c r="H184" s="8" t="str">
        <f>Projected_PRIM_wastage_rates!H69</f>
        <v>2020/21</v>
      </c>
      <c r="I184" s="8" t="str">
        <f>Projected_PRIM_wastage_rates!I69</f>
        <v>2021/22</v>
      </c>
      <c r="J184" s="8" t="str">
        <f>Projected_PRIM_wastage_rates!J69</f>
        <v>2022/23</v>
      </c>
      <c r="K184" s="8" t="str">
        <f>Projected_PRIM_wastage_rates!K69</f>
        <v>2023/24</v>
      </c>
      <c r="L184" s="8" t="str">
        <f>Projected_PRIM_wastage_rates!L69</f>
        <v>2024/25</v>
      </c>
      <c r="M184" s="8" t="str">
        <f>Projected_PRIM_wastage_rates!M69</f>
        <v>2025/26</v>
      </c>
      <c r="N184" s="8" t="str">
        <f>Projected_PRIM_wastage_rates!N69</f>
        <v>2026/27</v>
      </c>
      <c r="O184" s="8" t="str">
        <f>Projected_PRIM_wastage_rates!O69</f>
        <v>2027/28</v>
      </c>
      <c r="P184" s="8" t="str">
        <f>Projected_PRIM_wastage_rates!P69</f>
        <v>2028/29</v>
      </c>
      <c r="Q184" s="163"/>
    </row>
    <row r="185" spans="2:17">
      <c r="B185" s="8" t="str">
        <f>Projected_PRIM_wastage_rates!B70</f>
        <v>20-24</v>
      </c>
      <c r="C185" s="159">
        <f>Projected_PRIM_wastage_rates!C70</f>
        <v>9.9022848364956784E-2</v>
      </c>
      <c r="D185" s="159">
        <f>Projected_PRIM_wastage_rates!D70</f>
        <v>9.8108818565349323E-2</v>
      </c>
      <c r="E185" s="159">
        <f>Projected_PRIM_wastage_rates!E70</f>
        <v>9.9717224995996695E-2</v>
      </c>
      <c r="F185" s="159">
        <f>Projected_PRIM_wastage_rates!F70</f>
        <v>0.10021004031202779</v>
      </c>
      <c r="G185" s="159">
        <f>Projected_PRIM_wastage_rates!G70</f>
        <v>0.10187820056754002</v>
      </c>
      <c r="H185" s="159">
        <f>Projected_PRIM_wastage_rates!H70</f>
        <v>0.10318789114269351</v>
      </c>
      <c r="I185" s="159">
        <f>Projected_PRIM_wastage_rates!I70</f>
        <v>0.10318789114269351</v>
      </c>
      <c r="J185" s="159">
        <f>Projected_PRIM_wastage_rates!J70</f>
        <v>0.10318789114269351</v>
      </c>
      <c r="K185" s="159">
        <f>Projected_PRIM_wastage_rates!K70</f>
        <v>0.10318789114269351</v>
      </c>
      <c r="L185" s="159">
        <f>Projected_PRIM_wastage_rates!L70</f>
        <v>0.10318789114269351</v>
      </c>
      <c r="M185" s="159">
        <f>Projected_PRIM_wastage_rates!M70</f>
        <v>0.10318789114269351</v>
      </c>
      <c r="N185" s="159">
        <f>Projected_PRIM_wastage_rates!N70</f>
        <v>0.10318789114269351</v>
      </c>
      <c r="O185" s="159">
        <f>Projected_PRIM_wastage_rates!O70</f>
        <v>0.10318789114269351</v>
      </c>
      <c r="P185" s="159">
        <f>Projected_PRIM_wastage_rates!P70</f>
        <v>0.10318789114269351</v>
      </c>
      <c r="Q185" s="532"/>
    </row>
    <row r="186" spans="2:17">
      <c r="B186" s="8" t="str">
        <f>Projected_PRIM_wastage_rates!B71</f>
        <v>25-29</v>
      </c>
      <c r="C186" s="159">
        <f>Projected_PRIM_wastage_rates!C71</f>
        <v>9.0726063084592523E-2</v>
      </c>
      <c r="D186" s="159">
        <f>Projected_PRIM_wastage_rates!D71</f>
        <v>8.9888616711057079E-2</v>
      </c>
      <c r="E186" s="159">
        <f>Projected_PRIM_wastage_rates!E71</f>
        <v>9.1362260276174098E-2</v>
      </c>
      <c r="F186" s="159">
        <f>Projected_PRIM_wastage_rates!F71</f>
        <v>9.1813784284921096E-2</v>
      </c>
      <c r="G186" s="159">
        <f>Projected_PRIM_wastage_rates!G71</f>
        <v>9.3342175106593039E-2</v>
      </c>
      <c r="H186" s="159">
        <f>Projected_PRIM_wastage_rates!H71</f>
        <v>9.4542131194553056E-2</v>
      </c>
      <c r="I186" s="159">
        <f>Projected_PRIM_wastage_rates!I71</f>
        <v>9.4542131194553056E-2</v>
      </c>
      <c r="J186" s="159">
        <f>Projected_PRIM_wastage_rates!J71</f>
        <v>9.4542131194553056E-2</v>
      </c>
      <c r="K186" s="159">
        <f>Projected_PRIM_wastage_rates!K71</f>
        <v>9.4542131194553056E-2</v>
      </c>
      <c r="L186" s="159">
        <f>Projected_PRIM_wastage_rates!L71</f>
        <v>9.4542131194553056E-2</v>
      </c>
      <c r="M186" s="159">
        <f>Projected_PRIM_wastage_rates!M71</f>
        <v>9.4542131194553056E-2</v>
      </c>
      <c r="N186" s="159">
        <f>Projected_PRIM_wastage_rates!N71</f>
        <v>9.4542131194553056E-2</v>
      </c>
      <c r="O186" s="159">
        <f>Projected_PRIM_wastage_rates!O71</f>
        <v>9.4542131194553056E-2</v>
      </c>
      <c r="P186" s="159">
        <f>Projected_PRIM_wastage_rates!P71</f>
        <v>9.4542131194553056E-2</v>
      </c>
      <c r="Q186" s="532"/>
    </row>
    <row r="187" spans="2:17">
      <c r="B187" s="8" t="str">
        <f>Projected_PRIM_wastage_rates!B72</f>
        <v>30-34</v>
      </c>
      <c r="C187" s="159">
        <f>Projected_PRIM_wastage_rates!C72</f>
        <v>8.2141069873862022E-2</v>
      </c>
      <c r="D187" s="159">
        <f>Projected_PRIM_wastage_rates!D72</f>
        <v>8.1382867227947048E-2</v>
      </c>
      <c r="E187" s="159">
        <f>Projected_PRIM_wastage_rates!E72</f>
        <v>8.2717066629265507E-2</v>
      </c>
      <c r="F187" s="159">
        <f>Projected_PRIM_wastage_rates!F72</f>
        <v>8.3125864982144901E-2</v>
      </c>
      <c r="G187" s="159">
        <f>Projected_PRIM_wastage_rates!G72</f>
        <v>8.4509631157036316E-2</v>
      </c>
      <c r="H187" s="159">
        <f>Projected_PRIM_wastage_rates!H72</f>
        <v>8.5596040877854787E-2</v>
      </c>
      <c r="I187" s="159">
        <f>Projected_PRIM_wastage_rates!I72</f>
        <v>8.5596040877854787E-2</v>
      </c>
      <c r="J187" s="159">
        <f>Projected_PRIM_wastage_rates!J72</f>
        <v>8.5596040877854787E-2</v>
      </c>
      <c r="K187" s="159">
        <f>Projected_PRIM_wastage_rates!K72</f>
        <v>8.5596040877854787E-2</v>
      </c>
      <c r="L187" s="159">
        <f>Projected_PRIM_wastage_rates!L72</f>
        <v>8.5596040877854787E-2</v>
      </c>
      <c r="M187" s="159">
        <f>Projected_PRIM_wastage_rates!M72</f>
        <v>8.5596040877854787E-2</v>
      </c>
      <c r="N187" s="159">
        <f>Projected_PRIM_wastage_rates!N72</f>
        <v>8.5596040877854787E-2</v>
      </c>
      <c r="O187" s="159">
        <f>Projected_PRIM_wastage_rates!O72</f>
        <v>8.5596040877854787E-2</v>
      </c>
      <c r="P187" s="159">
        <f>Projected_PRIM_wastage_rates!P72</f>
        <v>8.5596040877854787E-2</v>
      </c>
      <c r="Q187" s="532"/>
    </row>
    <row r="188" spans="2:17">
      <c r="B188" s="8" t="str">
        <f>Projected_PRIM_wastage_rates!B73</f>
        <v>35-39</v>
      </c>
      <c r="C188" s="159">
        <f>Projected_PRIM_wastage_rates!C73</f>
        <v>7.7971803709781712E-2</v>
      </c>
      <c r="D188" s="159">
        <f>Projected_PRIM_wastage_rates!D73</f>
        <v>7.7252085449838137E-2</v>
      </c>
      <c r="E188" s="159">
        <f>Projected_PRIM_wastage_rates!E73</f>
        <v>7.8518564374316022E-2</v>
      </c>
      <c r="F188" s="159">
        <f>Projected_PRIM_wastage_rates!F73</f>
        <v>7.890661319053599E-2</v>
      </c>
      <c r="G188" s="159">
        <f>Projected_PRIM_wastage_rates!G73</f>
        <v>8.0220143008622791E-2</v>
      </c>
      <c r="H188" s="159">
        <f>Projected_PRIM_wastage_rates!H73</f>
        <v>8.125140940958564E-2</v>
      </c>
      <c r="I188" s="159">
        <f>Projected_PRIM_wastage_rates!I73</f>
        <v>8.125140940958564E-2</v>
      </c>
      <c r="J188" s="159">
        <f>Projected_PRIM_wastage_rates!J73</f>
        <v>8.125140940958564E-2</v>
      </c>
      <c r="K188" s="159">
        <f>Projected_PRIM_wastage_rates!K73</f>
        <v>8.125140940958564E-2</v>
      </c>
      <c r="L188" s="159">
        <f>Projected_PRIM_wastage_rates!L73</f>
        <v>8.125140940958564E-2</v>
      </c>
      <c r="M188" s="159">
        <f>Projected_PRIM_wastage_rates!M73</f>
        <v>8.125140940958564E-2</v>
      </c>
      <c r="N188" s="159">
        <f>Projected_PRIM_wastage_rates!N73</f>
        <v>8.125140940958564E-2</v>
      </c>
      <c r="O188" s="159">
        <f>Projected_PRIM_wastage_rates!O73</f>
        <v>8.125140940958564E-2</v>
      </c>
      <c r="P188" s="159">
        <f>Projected_PRIM_wastage_rates!P73</f>
        <v>8.125140940958564E-2</v>
      </c>
      <c r="Q188" s="532"/>
    </row>
    <row r="189" spans="2:17">
      <c r="B189" s="8" t="str">
        <f>Projected_PRIM_wastage_rates!B74</f>
        <v>40-44</v>
      </c>
      <c r="C189" s="159">
        <f>Projected_PRIM_wastage_rates!C74</f>
        <v>7.2406262687503026E-2</v>
      </c>
      <c r="D189" s="159">
        <f>Projected_PRIM_wastage_rates!D74</f>
        <v>7.1737917120117747E-2</v>
      </c>
      <c r="E189" s="159">
        <f>Projected_PRIM_wastage_rates!E74</f>
        <v>7.2913996181149243E-2</v>
      </c>
      <c r="F189" s="159">
        <f>Projected_PRIM_wastage_rates!F74</f>
        <v>7.3274346502495896E-2</v>
      </c>
      <c r="G189" s="159">
        <f>Projected_PRIM_wastage_rates!G74</f>
        <v>7.4494118016442928E-2</v>
      </c>
      <c r="H189" s="159">
        <f>Projected_PRIM_wastage_rates!H74</f>
        <v>7.5451773763472216E-2</v>
      </c>
      <c r="I189" s="159">
        <f>Projected_PRIM_wastage_rates!I74</f>
        <v>7.5451773763472216E-2</v>
      </c>
      <c r="J189" s="159">
        <f>Projected_PRIM_wastage_rates!J74</f>
        <v>7.5451773763472216E-2</v>
      </c>
      <c r="K189" s="159">
        <f>Projected_PRIM_wastage_rates!K74</f>
        <v>7.5451773763472216E-2</v>
      </c>
      <c r="L189" s="159">
        <f>Projected_PRIM_wastage_rates!L74</f>
        <v>7.5451773763472216E-2</v>
      </c>
      <c r="M189" s="159">
        <f>Projected_PRIM_wastage_rates!M74</f>
        <v>7.5451773763472216E-2</v>
      </c>
      <c r="N189" s="159">
        <f>Projected_PRIM_wastage_rates!N74</f>
        <v>7.5451773763472216E-2</v>
      </c>
      <c r="O189" s="159">
        <f>Projected_PRIM_wastage_rates!O74</f>
        <v>7.5451773763472216E-2</v>
      </c>
      <c r="P189" s="159">
        <f>Projected_PRIM_wastage_rates!P74</f>
        <v>7.5451773763472216E-2</v>
      </c>
      <c r="Q189" s="532"/>
    </row>
    <row r="190" spans="2:17">
      <c r="B190" s="8" t="str">
        <f>Projected_PRIM_wastage_rates!B75</f>
        <v>45-49</v>
      </c>
      <c r="C190" s="159">
        <f>Projected_PRIM_wastage_rates!C75</f>
        <v>7.6586405128215976E-2</v>
      </c>
      <c r="D190" s="159">
        <f>Projected_PRIM_wastage_rates!D75</f>
        <v>7.5879474781453987E-2</v>
      </c>
      <c r="E190" s="159">
        <f>Projected_PRIM_wastage_rates!E75</f>
        <v>7.7123450980304473E-2</v>
      </c>
      <c r="F190" s="159">
        <f>Projected_PRIM_wastage_rates!F75</f>
        <v>7.750460496718882E-2</v>
      </c>
      <c r="G190" s="159">
        <f>Projected_PRIM_wastage_rates!G75</f>
        <v>7.8794796062041844E-2</v>
      </c>
      <c r="H190" s="159">
        <f>Projected_PRIM_wastage_rates!H75</f>
        <v>7.9807738980141221E-2</v>
      </c>
      <c r="I190" s="159">
        <f>Projected_PRIM_wastage_rates!I75</f>
        <v>7.9807738980141221E-2</v>
      </c>
      <c r="J190" s="159">
        <f>Projected_PRIM_wastage_rates!J75</f>
        <v>7.9807738980141221E-2</v>
      </c>
      <c r="K190" s="159">
        <f>Projected_PRIM_wastage_rates!K75</f>
        <v>7.9807738980141221E-2</v>
      </c>
      <c r="L190" s="159">
        <f>Projected_PRIM_wastage_rates!L75</f>
        <v>7.9807738980141221E-2</v>
      </c>
      <c r="M190" s="159">
        <f>Projected_PRIM_wastage_rates!M75</f>
        <v>7.9807738980141221E-2</v>
      </c>
      <c r="N190" s="159">
        <f>Projected_PRIM_wastage_rates!N75</f>
        <v>7.9807738980141221E-2</v>
      </c>
      <c r="O190" s="159">
        <f>Projected_PRIM_wastage_rates!O75</f>
        <v>7.9807738980141221E-2</v>
      </c>
      <c r="P190" s="159">
        <f>Projected_PRIM_wastage_rates!P75</f>
        <v>7.9807738980141221E-2</v>
      </c>
      <c r="Q190" s="532"/>
    </row>
    <row r="191" spans="2:17">
      <c r="B191" s="8" t="str">
        <f>Projected_PRIM_wastage_rates!B76</f>
        <v>50-54</v>
      </c>
      <c r="C191" s="159">
        <f>Projected_PRIM_wastage_rates!C76</f>
        <v>8.3295196484576964E-2</v>
      </c>
      <c r="D191" s="159">
        <f>Projected_PRIM_wastage_rates!D76</f>
        <v>8.2526340680000809E-2</v>
      </c>
      <c r="E191" s="159">
        <f>Projected_PRIM_wastage_rates!E76</f>
        <v>8.387928630699451E-2</v>
      </c>
      <c r="F191" s="159">
        <f>Projected_PRIM_wastage_rates!F76</f>
        <v>8.429382849859185E-2</v>
      </c>
      <c r="G191" s="159">
        <f>Projected_PRIM_wastage_rates!G76</f>
        <v>8.5697037339227719E-2</v>
      </c>
      <c r="H191" s="159">
        <f>Projected_PRIM_wastage_rates!H76</f>
        <v>8.6798711706231851E-2</v>
      </c>
      <c r="I191" s="159">
        <f>Projected_PRIM_wastage_rates!I76</f>
        <v>8.6798711706231851E-2</v>
      </c>
      <c r="J191" s="159">
        <f>Projected_PRIM_wastage_rates!J76</f>
        <v>8.6798711706231851E-2</v>
      </c>
      <c r="K191" s="159">
        <f>Projected_PRIM_wastage_rates!K76</f>
        <v>8.6798711706231851E-2</v>
      </c>
      <c r="L191" s="159">
        <f>Projected_PRIM_wastage_rates!L76</f>
        <v>8.6798711706231851E-2</v>
      </c>
      <c r="M191" s="159">
        <f>Projected_PRIM_wastage_rates!M76</f>
        <v>8.6798711706231851E-2</v>
      </c>
      <c r="N191" s="159">
        <f>Projected_PRIM_wastage_rates!N76</f>
        <v>8.6798711706231851E-2</v>
      </c>
      <c r="O191" s="159">
        <f>Projected_PRIM_wastage_rates!O76</f>
        <v>8.6798711706231851E-2</v>
      </c>
      <c r="P191" s="159">
        <f>Projected_PRIM_wastage_rates!P76</f>
        <v>8.6798711706231851E-2</v>
      </c>
      <c r="Q191" s="532"/>
    </row>
    <row r="192" spans="2:17">
      <c r="B192" s="8" t="str">
        <f>Projected_PRIM_wastage_rates!B77</f>
        <v>55-59</v>
      </c>
      <c r="C192" s="159">
        <f>Projected_PRIM_wastage_rates!C77</f>
        <v>5.3038311893721754E-2</v>
      </c>
      <c r="D192" s="159">
        <f>Projected_PRIM_wastage_rates!D77</f>
        <v>5.2548742078348795E-2</v>
      </c>
      <c r="E192" s="159">
        <f>Projected_PRIM_wastage_rates!E77</f>
        <v>5.3410231758045101E-2</v>
      </c>
      <c r="F192" s="159">
        <f>Projected_PRIM_wastage_rates!F77</f>
        <v>5.3674191973987657E-2</v>
      </c>
      <c r="G192" s="159">
        <f>Projected_PRIM_wastage_rates!G77</f>
        <v>5.4567686812618039E-2</v>
      </c>
      <c r="H192" s="159">
        <f>Projected_PRIM_wastage_rates!H77</f>
        <v>5.5269179229330237E-2</v>
      </c>
      <c r="I192" s="159">
        <f>Projected_PRIM_wastage_rates!I77</f>
        <v>5.5269179229330237E-2</v>
      </c>
      <c r="J192" s="159">
        <f>Projected_PRIM_wastage_rates!J77</f>
        <v>5.5269179229330237E-2</v>
      </c>
      <c r="K192" s="159">
        <f>Projected_PRIM_wastage_rates!K77</f>
        <v>5.5269179229330237E-2</v>
      </c>
      <c r="L192" s="159">
        <f>Projected_PRIM_wastage_rates!L77</f>
        <v>5.5269179229330237E-2</v>
      </c>
      <c r="M192" s="159">
        <f>Projected_PRIM_wastage_rates!M77</f>
        <v>5.5269179229330237E-2</v>
      </c>
      <c r="N192" s="159">
        <f>Projected_PRIM_wastage_rates!N77</f>
        <v>5.5269179229330237E-2</v>
      </c>
      <c r="O192" s="159">
        <f>Projected_PRIM_wastage_rates!O77</f>
        <v>5.5269179229330237E-2</v>
      </c>
      <c r="P192" s="159">
        <f>Projected_PRIM_wastage_rates!P77</f>
        <v>5.5269179229330237E-2</v>
      </c>
      <c r="Q192" s="532"/>
    </row>
    <row r="193" spans="2:17">
      <c r="B193" s="8" t="str">
        <f>Projected_PRIM_wastage_rates!B78</f>
        <v>60-64</v>
      </c>
      <c r="C193" s="159">
        <f>Projected_PRIM_wastage_rates!C78</f>
        <v>4.2213416409850574E-2</v>
      </c>
      <c r="D193" s="159">
        <f>Projected_PRIM_wastage_rates!D78</f>
        <v>4.182376572640794E-2</v>
      </c>
      <c r="E193" s="159">
        <f>Projected_PRIM_wastage_rates!E78</f>
        <v>4.2509429000432954E-2</v>
      </c>
      <c r="F193" s="159">
        <f>Projected_PRIM_wastage_rates!F78</f>
        <v>4.2719516050970019E-2</v>
      </c>
      <c r="G193" s="159">
        <f>Projected_PRIM_wastage_rates!G78</f>
        <v>4.3430652366144136E-2</v>
      </c>
      <c r="H193" s="159">
        <f>Projected_PRIM_wastage_rates!H78</f>
        <v>4.3988973142913231E-2</v>
      </c>
      <c r="I193" s="159">
        <f>Projected_PRIM_wastage_rates!I78</f>
        <v>4.3988973142913231E-2</v>
      </c>
      <c r="J193" s="159">
        <f>Projected_PRIM_wastage_rates!J78</f>
        <v>4.3988973142913231E-2</v>
      </c>
      <c r="K193" s="159">
        <f>Projected_PRIM_wastage_rates!K78</f>
        <v>4.3988973142913231E-2</v>
      </c>
      <c r="L193" s="159">
        <f>Projected_PRIM_wastage_rates!L78</f>
        <v>4.3988973142913231E-2</v>
      </c>
      <c r="M193" s="159">
        <f>Projected_PRIM_wastage_rates!M78</f>
        <v>4.3988973142913231E-2</v>
      </c>
      <c r="N193" s="159">
        <f>Projected_PRIM_wastage_rates!N78</f>
        <v>4.3988973142913231E-2</v>
      </c>
      <c r="O193" s="159">
        <f>Projected_PRIM_wastage_rates!O78</f>
        <v>4.3988973142913231E-2</v>
      </c>
      <c r="P193" s="159">
        <f>Projected_PRIM_wastage_rates!P78</f>
        <v>4.3988973142913231E-2</v>
      </c>
      <c r="Q193" s="532"/>
    </row>
    <row r="194" spans="2:17">
      <c r="B194" s="8" t="str">
        <f>Projected_PRIM_wastage_rates!B79</f>
        <v>65 plus</v>
      </c>
      <c r="C194" s="159">
        <f>Projected_PRIM_wastage_rates!C79</f>
        <v>7.3055045109373162E-2</v>
      </c>
      <c r="D194" s="159">
        <f>Projected_PRIM_wastage_rates!D79</f>
        <v>7.23807109597885E-2</v>
      </c>
      <c r="E194" s="159">
        <f>Projected_PRIM_wastage_rates!E79</f>
        <v>7.3567328051553874E-2</v>
      </c>
      <c r="F194" s="159">
        <f>Projected_PRIM_wastage_rates!F79</f>
        <v>7.3930907222802836E-2</v>
      </c>
      <c r="G194" s="159">
        <f>Projected_PRIM_wastage_rates!G79</f>
        <v>7.5161608265323407E-2</v>
      </c>
      <c r="H194" s="159">
        <f>Projected_PRIM_wastage_rates!H79</f>
        <v>7.6127844902897451E-2</v>
      </c>
      <c r="I194" s="159">
        <f>Projected_PRIM_wastage_rates!I79</f>
        <v>7.6127844902897451E-2</v>
      </c>
      <c r="J194" s="159">
        <f>Projected_PRIM_wastage_rates!J79</f>
        <v>7.6127844902897451E-2</v>
      </c>
      <c r="K194" s="159">
        <f>Projected_PRIM_wastage_rates!K79</f>
        <v>7.6127844902897451E-2</v>
      </c>
      <c r="L194" s="159">
        <f>Projected_PRIM_wastage_rates!L79</f>
        <v>7.6127844902897451E-2</v>
      </c>
      <c r="M194" s="159">
        <f>Projected_PRIM_wastage_rates!M79</f>
        <v>7.6127844902897451E-2</v>
      </c>
      <c r="N194" s="159">
        <f>Projected_PRIM_wastage_rates!N79</f>
        <v>7.6127844902897451E-2</v>
      </c>
      <c r="O194" s="159">
        <f>Projected_PRIM_wastage_rates!O79</f>
        <v>7.6127844902897451E-2</v>
      </c>
      <c r="P194" s="159">
        <f>Projected_PRIM_wastage_rates!P79</f>
        <v>7.6127844902897451E-2</v>
      </c>
      <c r="Q194" s="532"/>
    </row>
    <row r="195" spans="2:17">
      <c r="B195" s="8" t="str">
        <f>Projected_PRIM_wastage_rates!B80</f>
        <v>Total</v>
      </c>
      <c r="C195" s="159">
        <f>Projected_PRIM_wastage_rates!C80</f>
        <v>7.9200026808663129E-2</v>
      </c>
      <c r="D195" s="159">
        <f>Projected_PRIM_wastage_rates!D80</f>
        <v>7.8468971442874985E-2</v>
      </c>
      <c r="E195" s="159">
        <f>Projected_PRIM_wastage_rates!E80</f>
        <v>7.9755400126051285E-2</v>
      </c>
      <c r="F195" s="159">
        <f>Projected_PRIM_wastage_rates!F80</f>
        <v>8.0149561543197467E-2</v>
      </c>
      <c r="G195" s="159">
        <f>Projected_PRIM_wastage_rates!G80</f>
        <v>8.1483782272445543E-2</v>
      </c>
      <c r="H195" s="159">
        <f>Projected_PRIM_wastage_rates!H80</f>
        <v>8.2531293330508779E-2</v>
      </c>
      <c r="I195" s="159">
        <f>Projected_PRIM_wastage_rates!I80</f>
        <v>8.2531293330508779E-2</v>
      </c>
      <c r="J195" s="159">
        <f>Projected_PRIM_wastage_rates!J80</f>
        <v>8.2531293330508779E-2</v>
      </c>
      <c r="K195" s="159">
        <f>Projected_PRIM_wastage_rates!K80</f>
        <v>8.2531293330508779E-2</v>
      </c>
      <c r="L195" s="159">
        <f>Projected_PRIM_wastage_rates!L80</f>
        <v>8.2531293330508779E-2</v>
      </c>
      <c r="M195" s="159">
        <f>Projected_PRIM_wastage_rates!M80</f>
        <v>8.2531293330508779E-2</v>
      </c>
      <c r="N195" s="159">
        <f>Projected_PRIM_wastage_rates!N80</f>
        <v>8.2531293330508779E-2</v>
      </c>
      <c r="O195" s="159">
        <f>Projected_PRIM_wastage_rates!O80</f>
        <v>8.2531293330508779E-2</v>
      </c>
      <c r="P195" s="159">
        <f>Projected_PRIM_wastage_rates!P80</f>
        <v>8.2531293330508779E-2</v>
      </c>
      <c r="Q195" s="532"/>
    </row>
    <row r="196" spans="2:17">
      <c r="B196" s="5"/>
      <c r="C196" s="5"/>
      <c r="D196" s="5"/>
      <c r="E196" s="5"/>
      <c r="F196" s="5"/>
      <c r="G196" s="5"/>
      <c r="H196" s="5"/>
      <c r="I196" s="5"/>
      <c r="J196" s="5"/>
      <c r="K196" s="5"/>
      <c r="L196" s="5"/>
      <c r="M196" s="5"/>
      <c r="N196" s="5"/>
      <c r="O196" s="5"/>
      <c r="P196" s="5"/>
      <c r="Q196" s="5"/>
    </row>
    <row r="197" spans="2:17">
      <c r="B197" s="107" t="s">
        <v>729</v>
      </c>
      <c r="C197" s="5"/>
      <c r="D197" s="5"/>
      <c r="E197" s="5"/>
      <c r="F197" s="5"/>
      <c r="G197" s="5"/>
      <c r="H197" s="5"/>
      <c r="I197" s="5"/>
      <c r="J197" s="5"/>
      <c r="K197" s="5"/>
      <c r="L197" s="5"/>
      <c r="M197" s="5"/>
      <c r="N197" s="5"/>
      <c r="O197" s="5"/>
      <c r="P197" s="5"/>
      <c r="Q197" s="5"/>
    </row>
    <row r="198" spans="2:17">
      <c r="B198" s="5"/>
      <c r="C198" s="5"/>
      <c r="D198" s="5"/>
      <c r="E198" s="5"/>
      <c r="F198" s="5"/>
      <c r="G198" s="5"/>
      <c r="H198" s="5"/>
      <c r="I198" s="5"/>
      <c r="J198" s="5"/>
      <c r="K198" s="5"/>
      <c r="L198" s="5"/>
      <c r="M198" s="5"/>
      <c r="N198" s="5"/>
      <c r="O198" s="5"/>
      <c r="P198" s="5"/>
      <c r="Q198" s="5"/>
    </row>
    <row r="199" spans="2:17">
      <c r="B199" s="107" t="s">
        <v>46</v>
      </c>
      <c r="C199" s="5"/>
      <c r="D199" s="5"/>
      <c r="E199" s="5"/>
      <c r="F199" s="5"/>
      <c r="G199" s="5"/>
      <c r="H199" s="5"/>
      <c r="I199" s="5"/>
      <c r="J199" s="5"/>
      <c r="K199" s="5"/>
      <c r="L199" s="5"/>
      <c r="M199" s="5"/>
      <c r="N199" s="5"/>
      <c r="O199" s="5"/>
      <c r="P199" s="5"/>
      <c r="Q199" s="5"/>
    </row>
    <row r="200" spans="2:17">
      <c r="B200" s="75"/>
      <c r="C200" s="5"/>
      <c r="D200" s="5"/>
      <c r="E200" s="5"/>
      <c r="F200" s="5"/>
      <c r="G200" s="5"/>
      <c r="H200" s="5"/>
      <c r="I200" s="5"/>
      <c r="J200" s="5"/>
      <c r="K200" s="5"/>
      <c r="L200" s="5"/>
      <c r="M200" s="5"/>
      <c r="N200" s="5"/>
      <c r="O200" s="5"/>
      <c r="P200" s="5"/>
      <c r="Q200" s="5"/>
    </row>
    <row r="201" spans="2:17">
      <c r="B201" s="8" t="str">
        <f>B184</f>
        <v>Age group</v>
      </c>
      <c r="C201" s="8" t="str">
        <f t="shared" ref="C201:P201" si="4">C184</f>
        <v>2015/16</v>
      </c>
      <c r="D201" s="8" t="str">
        <f t="shared" si="4"/>
        <v>2016/17</v>
      </c>
      <c r="E201" s="8" t="str">
        <f t="shared" si="4"/>
        <v>2017/18</v>
      </c>
      <c r="F201" s="8" t="str">
        <f t="shared" si="4"/>
        <v>2018/19</v>
      </c>
      <c r="G201" s="8" t="str">
        <f t="shared" si="4"/>
        <v>2019/20</v>
      </c>
      <c r="H201" s="8" t="str">
        <f t="shared" si="4"/>
        <v>2020/21</v>
      </c>
      <c r="I201" s="8" t="str">
        <f t="shared" si="4"/>
        <v>2021/22</v>
      </c>
      <c r="J201" s="8" t="str">
        <f t="shared" si="4"/>
        <v>2022/23</v>
      </c>
      <c r="K201" s="8" t="str">
        <f t="shared" si="4"/>
        <v>2023/24</v>
      </c>
      <c r="L201" s="8" t="str">
        <f t="shared" si="4"/>
        <v>2024/25</v>
      </c>
      <c r="M201" s="8" t="str">
        <f t="shared" si="4"/>
        <v>2025/26</v>
      </c>
      <c r="N201" s="8" t="str">
        <f t="shared" si="4"/>
        <v>2026/27</v>
      </c>
      <c r="O201" s="8" t="str">
        <f t="shared" si="4"/>
        <v>2027/28</v>
      </c>
      <c r="P201" s="8" t="str">
        <f t="shared" si="4"/>
        <v>2028/29</v>
      </c>
      <c r="Q201" s="163"/>
    </row>
    <row r="202" spans="2:17">
      <c r="B202" s="8" t="str">
        <f t="shared" ref="B202:B212" si="5">B185</f>
        <v>20-24</v>
      </c>
      <c r="C202" s="159">
        <f>Projected_SEC_wastage_rates!C55</f>
        <v>0.14766015536156041</v>
      </c>
      <c r="D202" s="159">
        <f>Projected_SEC_wastage_rates!D55</f>
        <v>0.15503605282695923</v>
      </c>
      <c r="E202" s="159">
        <f>Projected_SEC_wastage_rates!E55</f>
        <v>0.15439082464915035</v>
      </c>
      <c r="F202" s="159">
        <f>Projected_SEC_wastage_rates!F55</f>
        <v>0.14883977715389068</v>
      </c>
      <c r="G202" s="159">
        <f>Projected_SEC_wastage_rates!G55</f>
        <v>0.15442530322450462</v>
      </c>
      <c r="H202" s="533">
        <f>Projected_SEC_wastage_rates!H55</f>
        <v>0.15152557005847894</v>
      </c>
      <c r="I202" s="533">
        <f>Projected_SEC_wastage_rates!I55</f>
        <v>0.15152557005847894</v>
      </c>
      <c r="J202" s="533">
        <f>Projected_SEC_wastage_rates!J55</f>
        <v>0.15152557005847894</v>
      </c>
      <c r="K202" s="159">
        <f>Projected_SEC_wastage_rates!K55</f>
        <v>0.15152557005847894</v>
      </c>
      <c r="L202" s="159">
        <f>Projected_SEC_wastage_rates!L55</f>
        <v>0.15152557005847894</v>
      </c>
      <c r="M202" s="159">
        <f>Projected_SEC_wastage_rates!M55</f>
        <v>0.15152557005847894</v>
      </c>
      <c r="N202" s="159">
        <f>Projected_SEC_wastage_rates!N55</f>
        <v>0.15152557005847894</v>
      </c>
      <c r="O202" s="159">
        <f>Projected_SEC_wastage_rates!O55</f>
        <v>0.15152557005847894</v>
      </c>
      <c r="P202" s="159">
        <f>Projected_SEC_wastage_rates!P55</f>
        <v>0.15152557005847894</v>
      </c>
      <c r="Q202" s="532"/>
    </row>
    <row r="203" spans="2:17">
      <c r="B203" s="8" t="str">
        <f t="shared" si="5"/>
        <v>25-29</v>
      </c>
      <c r="C203" s="159">
        <f>Projected_SEC_wastage_rates!C56</f>
        <v>0.11329070792352844</v>
      </c>
      <c r="D203" s="159">
        <f>Projected_SEC_wastage_rates!D56</f>
        <v>0.11894978801443239</v>
      </c>
      <c r="E203" s="159">
        <f>Projected_SEC_wastage_rates!E56</f>
        <v>0.11845474345175272</v>
      </c>
      <c r="F203" s="159">
        <f>Projected_SEC_wastage_rates!F56</f>
        <v>0.11419576039085037</v>
      </c>
      <c r="G203" s="159">
        <f>Projected_SEC_wastage_rates!G56</f>
        <v>0.1184811967776382</v>
      </c>
      <c r="H203" s="533">
        <f>Projected_SEC_wastage_rates!H56</f>
        <v>0.11625640687162742</v>
      </c>
      <c r="I203" s="533">
        <f>Projected_SEC_wastage_rates!I56</f>
        <v>0.11625640687162742</v>
      </c>
      <c r="J203" s="533">
        <f>Projected_SEC_wastage_rates!J56</f>
        <v>0.11625640687162742</v>
      </c>
      <c r="K203" s="159">
        <f>Projected_SEC_wastage_rates!K56</f>
        <v>0.11625640687162742</v>
      </c>
      <c r="L203" s="159">
        <f>Projected_SEC_wastage_rates!L56</f>
        <v>0.11625640687162742</v>
      </c>
      <c r="M203" s="159">
        <f>Projected_SEC_wastage_rates!M56</f>
        <v>0.11625640687162742</v>
      </c>
      <c r="N203" s="159">
        <f>Projected_SEC_wastage_rates!N56</f>
        <v>0.11625640687162742</v>
      </c>
      <c r="O203" s="159">
        <f>Projected_SEC_wastage_rates!O56</f>
        <v>0.11625640687162742</v>
      </c>
      <c r="P203" s="159">
        <f>Projected_SEC_wastage_rates!P56</f>
        <v>0.11625640687162742</v>
      </c>
      <c r="Q203" s="532"/>
    </row>
    <row r="204" spans="2:17">
      <c r="B204" s="8" t="str">
        <f t="shared" si="5"/>
        <v>30-34</v>
      </c>
      <c r="C204" s="159">
        <f>Projected_SEC_wastage_rates!C57</f>
        <v>7.8531056665268828E-2</v>
      </c>
      <c r="D204" s="159">
        <f>Projected_SEC_wastage_rates!D57</f>
        <v>8.2453827980212446E-2</v>
      </c>
      <c r="E204" s="159">
        <f>Projected_SEC_wastage_rates!E57</f>
        <v>8.2110672099944909E-2</v>
      </c>
      <c r="F204" s="159">
        <f>Projected_SEC_wastage_rates!F57</f>
        <v>7.9158422562251973E-2</v>
      </c>
      <c r="G204" s="159">
        <f>Projected_SEC_wastage_rates!G57</f>
        <v>8.2129009063956995E-2</v>
      </c>
      <c r="H204" s="533">
        <f>Projected_SEC_wastage_rates!H57</f>
        <v>8.0586825195751458E-2</v>
      </c>
      <c r="I204" s="533">
        <f>Projected_SEC_wastage_rates!I57</f>
        <v>8.0586825195751458E-2</v>
      </c>
      <c r="J204" s="533">
        <f>Projected_SEC_wastage_rates!J57</f>
        <v>8.0586825195751458E-2</v>
      </c>
      <c r="K204" s="159">
        <f>Projected_SEC_wastage_rates!K57</f>
        <v>8.0586825195751458E-2</v>
      </c>
      <c r="L204" s="159">
        <f>Projected_SEC_wastage_rates!L57</f>
        <v>8.0586825195751458E-2</v>
      </c>
      <c r="M204" s="159">
        <f>Projected_SEC_wastage_rates!M57</f>
        <v>8.0586825195751458E-2</v>
      </c>
      <c r="N204" s="159">
        <f>Projected_SEC_wastage_rates!N57</f>
        <v>8.0586825195751458E-2</v>
      </c>
      <c r="O204" s="159">
        <f>Projected_SEC_wastage_rates!O57</f>
        <v>8.0586825195751458E-2</v>
      </c>
      <c r="P204" s="159">
        <f>Projected_SEC_wastage_rates!P57</f>
        <v>8.0586825195751458E-2</v>
      </c>
      <c r="Q204" s="532"/>
    </row>
    <row r="205" spans="2:17">
      <c r="B205" s="8" t="str">
        <f t="shared" si="5"/>
        <v>35-39</v>
      </c>
      <c r="C205" s="159">
        <f>Projected_SEC_wastage_rates!C58</f>
        <v>7.5061107169139898E-2</v>
      </c>
      <c r="D205" s="159">
        <f>Projected_SEC_wastage_rates!D58</f>
        <v>7.8810548098300764E-2</v>
      </c>
      <c r="E205" s="159">
        <f>Projected_SEC_wastage_rates!E58</f>
        <v>7.8482554799875259E-2</v>
      </c>
      <c r="F205" s="159">
        <f>Projected_SEC_wastage_rates!F58</f>
        <v>7.5660752466521236E-2</v>
      </c>
      <c r="G205" s="159">
        <f>Projected_SEC_wastage_rates!G58</f>
        <v>7.8500081532346652E-2</v>
      </c>
      <c r="H205" s="533">
        <f>Projected_SEC_wastage_rates!H58</f>
        <v>7.7026040133676796E-2</v>
      </c>
      <c r="I205" s="533">
        <f>Projected_SEC_wastage_rates!I58</f>
        <v>7.7026040133676796E-2</v>
      </c>
      <c r="J205" s="533">
        <f>Projected_SEC_wastage_rates!J58</f>
        <v>7.7026040133676796E-2</v>
      </c>
      <c r="K205" s="159">
        <f>Projected_SEC_wastage_rates!K58</f>
        <v>7.7026040133676796E-2</v>
      </c>
      <c r="L205" s="159">
        <f>Projected_SEC_wastage_rates!L58</f>
        <v>7.7026040133676796E-2</v>
      </c>
      <c r="M205" s="159">
        <f>Projected_SEC_wastage_rates!M58</f>
        <v>7.7026040133676796E-2</v>
      </c>
      <c r="N205" s="159">
        <f>Projected_SEC_wastage_rates!N58</f>
        <v>7.7026040133676796E-2</v>
      </c>
      <c r="O205" s="159">
        <f>Projected_SEC_wastage_rates!O58</f>
        <v>7.7026040133676796E-2</v>
      </c>
      <c r="P205" s="159">
        <f>Projected_SEC_wastage_rates!P58</f>
        <v>7.7026040133676796E-2</v>
      </c>
      <c r="Q205" s="532"/>
    </row>
    <row r="206" spans="2:17">
      <c r="B206" s="8" t="str">
        <f t="shared" si="5"/>
        <v>40-44</v>
      </c>
      <c r="C206" s="159">
        <f>Projected_SEC_wastage_rates!C59</f>
        <v>7.4700185914064701E-2</v>
      </c>
      <c r="D206" s="159">
        <f>Projected_SEC_wastage_rates!D59</f>
        <v>7.8431598159969765E-2</v>
      </c>
      <c r="E206" s="159">
        <f>Projected_SEC_wastage_rates!E59</f>
        <v>7.8105181973278787E-2</v>
      </c>
      <c r="F206" s="159">
        <f>Projected_SEC_wastage_rates!F59</f>
        <v>7.5296947897550287E-2</v>
      </c>
      <c r="G206" s="159">
        <f>Projected_SEC_wastage_rates!G59</f>
        <v>7.8122624430810472E-2</v>
      </c>
      <c r="H206" s="533">
        <f>Projected_SEC_wastage_rates!H59</f>
        <v>7.6655670762280845E-2</v>
      </c>
      <c r="I206" s="533">
        <f>Projected_SEC_wastage_rates!I59</f>
        <v>7.6655670762280845E-2</v>
      </c>
      <c r="J206" s="533">
        <f>Projected_SEC_wastage_rates!J59</f>
        <v>7.6655670762280845E-2</v>
      </c>
      <c r="K206" s="159">
        <f>Projected_SEC_wastage_rates!K59</f>
        <v>7.6655670762280845E-2</v>
      </c>
      <c r="L206" s="159">
        <f>Projected_SEC_wastage_rates!L59</f>
        <v>7.6655670762280845E-2</v>
      </c>
      <c r="M206" s="159">
        <f>Projected_SEC_wastage_rates!M59</f>
        <v>7.6655670762280845E-2</v>
      </c>
      <c r="N206" s="159">
        <f>Projected_SEC_wastage_rates!N59</f>
        <v>7.6655670762280845E-2</v>
      </c>
      <c r="O206" s="159">
        <f>Projected_SEC_wastage_rates!O59</f>
        <v>7.6655670762280845E-2</v>
      </c>
      <c r="P206" s="159">
        <f>Projected_SEC_wastage_rates!P59</f>
        <v>7.6655670762280845E-2</v>
      </c>
      <c r="Q206" s="532"/>
    </row>
    <row r="207" spans="2:17">
      <c r="B207" s="8" t="str">
        <f t="shared" si="5"/>
        <v>45-49</v>
      </c>
      <c r="C207" s="159">
        <f>Projected_SEC_wastage_rates!C60</f>
        <v>8.8230864613054391E-2</v>
      </c>
      <c r="D207" s="159">
        <f>Projected_SEC_wastage_rates!D60</f>
        <v>9.2638159249009977E-2</v>
      </c>
      <c r="E207" s="159">
        <f>Projected_SEC_wastage_rates!E60</f>
        <v>9.2252618275811174E-2</v>
      </c>
      <c r="F207" s="159">
        <f>Projected_SEC_wastage_rates!F60</f>
        <v>8.8935719964173682E-2</v>
      </c>
      <c r="G207" s="159">
        <f>Projected_SEC_wastage_rates!G60</f>
        <v>9.2273220140320147E-2</v>
      </c>
      <c r="H207" s="533">
        <f>Projected_SEC_wastage_rates!H60</f>
        <v>9.0540552558065951E-2</v>
      </c>
      <c r="I207" s="533">
        <f>Projected_SEC_wastage_rates!I60</f>
        <v>9.0540552558065951E-2</v>
      </c>
      <c r="J207" s="533">
        <f>Projected_SEC_wastage_rates!J60</f>
        <v>9.0540552558065951E-2</v>
      </c>
      <c r="K207" s="159">
        <f>Projected_SEC_wastage_rates!K60</f>
        <v>9.0540552558065951E-2</v>
      </c>
      <c r="L207" s="159">
        <f>Projected_SEC_wastage_rates!L60</f>
        <v>9.0540552558065951E-2</v>
      </c>
      <c r="M207" s="159">
        <f>Projected_SEC_wastage_rates!M60</f>
        <v>9.0540552558065951E-2</v>
      </c>
      <c r="N207" s="159">
        <f>Projected_SEC_wastage_rates!N60</f>
        <v>9.0540552558065951E-2</v>
      </c>
      <c r="O207" s="159">
        <f>Projected_SEC_wastage_rates!O60</f>
        <v>9.0540552558065951E-2</v>
      </c>
      <c r="P207" s="159">
        <f>Projected_SEC_wastage_rates!P60</f>
        <v>9.0540552558065951E-2</v>
      </c>
      <c r="Q207" s="532"/>
    </row>
    <row r="208" spans="2:17">
      <c r="B208" s="8" t="str">
        <f t="shared" si="5"/>
        <v>50-54</v>
      </c>
      <c r="C208" s="159">
        <f>Projected_SEC_wastage_rates!C61</f>
        <v>8.4703063996146771E-2</v>
      </c>
      <c r="D208" s="159">
        <f>Projected_SEC_wastage_rates!D61</f>
        <v>8.8934138475994795E-2</v>
      </c>
      <c r="E208" s="159">
        <f>Projected_SEC_wastage_rates!E61</f>
        <v>8.8564012875738993E-2</v>
      </c>
      <c r="F208" s="159">
        <f>Projected_SEC_wastage_rates!F61</f>
        <v>8.537973658884683E-2</v>
      </c>
      <c r="G208" s="159">
        <f>Projected_SEC_wastage_rates!G61</f>
        <v>8.858379100049836E-2</v>
      </c>
      <c r="H208" s="533">
        <f>Projected_SEC_wastage_rates!H61</f>
        <v>8.6920401961443058E-2</v>
      </c>
      <c r="I208" s="533">
        <f>Projected_SEC_wastage_rates!I61</f>
        <v>8.6920401961443058E-2</v>
      </c>
      <c r="J208" s="533">
        <f>Projected_SEC_wastage_rates!J61</f>
        <v>8.6920401961443058E-2</v>
      </c>
      <c r="K208" s="159">
        <f>Projected_SEC_wastage_rates!K61</f>
        <v>8.6920401961443058E-2</v>
      </c>
      <c r="L208" s="159">
        <f>Projected_SEC_wastage_rates!L61</f>
        <v>8.6920401961443058E-2</v>
      </c>
      <c r="M208" s="159">
        <f>Projected_SEC_wastage_rates!M61</f>
        <v>8.6920401961443058E-2</v>
      </c>
      <c r="N208" s="159">
        <f>Projected_SEC_wastage_rates!N61</f>
        <v>8.6920401961443058E-2</v>
      </c>
      <c r="O208" s="159">
        <f>Projected_SEC_wastage_rates!O61</f>
        <v>8.6920401961443058E-2</v>
      </c>
      <c r="P208" s="159">
        <f>Projected_SEC_wastage_rates!P61</f>
        <v>8.6920401961443058E-2</v>
      </c>
      <c r="Q208" s="532"/>
    </row>
    <row r="209" spans="2:17">
      <c r="B209" s="8" t="str">
        <f t="shared" si="5"/>
        <v>55-59</v>
      </c>
      <c r="C209" s="159">
        <f>Projected_SEC_wastage_rates!C62</f>
        <v>5.8260339213633106E-2</v>
      </c>
      <c r="D209" s="159">
        <f>Projected_SEC_wastage_rates!D62</f>
        <v>6.117055075503975E-2</v>
      </c>
      <c r="E209" s="159">
        <f>Projected_SEC_wastage_rates!E62</f>
        <v>6.0915971498927676E-2</v>
      </c>
      <c r="F209" s="159">
        <f>Projected_SEC_wastage_rates!F62</f>
        <v>5.8725767179604538E-2</v>
      </c>
      <c r="G209" s="159">
        <f>Projected_SEC_wastage_rates!G62</f>
        <v>6.0929575260151032E-2</v>
      </c>
      <c r="H209" s="533">
        <f>Projected_SEC_wastage_rates!H62</f>
        <v>5.9785465412318266E-2</v>
      </c>
      <c r="I209" s="533">
        <f>Projected_SEC_wastage_rates!I62</f>
        <v>5.9785465412318266E-2</v>
      </c>
      <c r="J209" s="533">
        <f>Projected_SEC_wastage_rates!J62</f>
        <v>5.9785465412318266E-2</v>
      </c>
      <c r="K209" s="159">
        <f>Projected_SEC_wastage_rates!K62</f>
        <v>5.9785465412318266E-2</v>
      </c>
      <c r="L209" s="159">
        <f>Projected_SEC_wastage_rates!L62</f>
        <v>5.9785465412318266E-2</v>
      </c>
      <c r="M209" s="159">
        <f>Projected_SEC_wastage_rates!M62</f>
        <v>5.9785465412318266E-2</v>
      </c>
      <c r="N209" s="159">
        <f>Projected_SEC_wastage_rates!N62</f>
        <v>5.9785465412318266E-2</v>
      </c>
      <c r="O209" s="159">
        <f>Projected_SEC_wastage_rates!O62</f>
        <v>5.9785465412318266E-2</v>
      </c>
      <c r="P209" s="159">
        <f>Projected_SEC_wastage_rates!P62</f>
        <v>5.9785465412318266E-2</v>
      </c>
      <c r="Q209" s="532"/>
    </row>
    <row r="210" spans="2:17">
      <c r="B210" s="8" t="str">
        <f t="shared" si="5"/>
        <v>60-64</v>
      </c>
      <c r="C210" s="159">
        <f>Projected_SEC_wastage_rates!C63</f>
        <v>5.7845320088767388E-2</v>
      </c>
      <c r="D210" s="159">
        <f>Projected_SEC_wastage_rates!D63</f>
        <v>6.0734800658411928E-2</v>
      </c>
      <c r="E210" s="159">
        <f>Projected_SEC_wastage_rates!E63</f>
        <v>6.0482034904615602E-2</v>
      </c>
      <c r="F210" s="159">
        <f>Projected_SEC_wastage_rates!F63</f>
        <v>5.8307432565853363E-2</v>
      </c>
      <c r="G210" s="159">
        <f>Projected_SEC_wastage_rates!G63</f>
        <v>6.0495541759072645E-2</v>
      </c>
      <c r="H210" s="533">
        <f>Projected_SEC_wastage_rates!H63</f>
        <v>5.9359582009131627E-2</v>
      </c>
      <c r="I210" s="533">
        <f>Projected_SEC_wastage_rates!I63</f>
        <v>5.9359582009131627E-2</v>
      </c>
      <c r="J210" s="533">
        <f>Projected_SEC_wastage_rates!J63</f>
        <v>5.9359582009131627E-2</v>
      </c>
      <c r="K210" s="159">
        <f>Projected_SEC_wastage_rates!K63</f>
        <v>5.9359582009131627E-2</v>
      </c>
      <c r="L210" s="159">
        <f>Projected_SEC_wastage_rates!L63</f>
        <v>5.9359582009131627E-2</v>
      </c>
      <c r="M210" s="159">
        <f>Projected_SEC_wastage_rates!M63</f>
        <v>5.9359582009131627E-2</v>
      </c>
      <c r="N210" s="159">
        <f>Projected_SEC_wastage_rates!N63</f>
        <v>5.9359582009131627E-2</v>
      </c>
      <c r="O210" s="159">
        <f>Projected_SEC_wastage_rates!O63</f>
        <v>5.9359582009131627E-2</v>
      </c>
      <c r="P210" s="159">
        <f>Projected_SEC_wastage_rates!P63</f>
        <v>5.9359582009131627E-2</v>
      </c>
      <c r="Q210" s="532"/>
    </row>
    <row r="211" spans="2:17">
      <c r="B211" s="8" t="str">
        <f t="shared" si="5"/>
        <v>65 plus</v>
      </c>
      <c r="C211" s="159">
        <f>Projected_SEC_wastage_rates!C64</f>
        <v>0.10683182004288448</v>
      </c>
      <c r="D211" s="159">
        <f>Projected_SEC_wastage_rates!D64</f>
        <v>0.11216826675559995</v>
      </c>
      <c r="E211" s="159">
        <f>Projected_SEC_wastage_rates!E64</f>
        <v>0.11170144549017806</v>
      </c>
      <c r="F211" s="159">
        <f>Projected_SEC_wastage_rates!F64</f>
        <v>0.10768527399414383</v>
      </c>
      <c r="G211" s="159">
        <f>Projected_SEC_wastage_rates!G64</f>
        <v>0.11172639066884568</v>
      </c>
      <c r="H211" s="533">
        <f>Projected_SEC_wastage_rates!H64</f>
        <v>0.1096284396609607</v>
      </c>
      <c r="I211" s="533">
        <f>Projected_SEC_wastage_rates!I64</f>
        <v>0.1096284396609607</v>
      </c>
      <c r="J211" s="533">
        <f>Projected_SEC_wastage_rates!J64</f>
        <v>0.1096284396609607</v>
      </c>
      <c r="K211" s="159">
        <f>Projected_SEC_wastage_rates!K64</f>
        <v>0.1096284396609607</v>
      </c>
      <c r="L211" s="159">
        <f>Projected_SEC_wastage_rates!L64</f>
        <v>0.1096284396609607</v>
      </c>
      <c r="M211" s="159">
        <f>Projected_SEC_wastage_rates!M64</f>
        <v>0.1096284396609607</v>
      </c>
      <c r="N211" s="159">
        <f>Projected_SEC_wastage_rates!N64</f>
        <v>0.1096284396609607</v>
      </c>
      <c r="O211" s="159">
        <f>Projected_SEC_wastage_rates!O64</f>
        <v>0.1096284396609607</v>
      </c>
      <c r="P211" s="159">
        <f>Projected_SEC_wastage_rates!P64</f>
        <v>0.1096284396609607</v>
      </c>
      <c r="Q211" s="532"/>
    </row>
    <row r="212" spans="2:17">
      <c r="B212" s="8" t="str">
        <f t="shared" si="5"/>
        <v>Total</v>
      </c>
      <c r="C212" s="159">
        <f>Projected_SEC_wastage_rates!C65</f>
        <v>8.4577021721594536E-2</v>
      </c>
      <c r="D212" s="159">
        <f>Projected_SEC_wastage_rates!D65</f>
        <v>8.8801800157048416E-2</v>
      </c>
      <c r="E212" s="159">
        <f>Projected_SEC_wastage_rates!E65</f>
        <v>8.8432225321668459E-2</v>
      </c>
      <c r="F212" s="159">
        <f>Projected_SEC_wastage_rates!F65</f>
        <v>8.5252687392600307E-2</v>
      </c>
      <c r="G212" s="159">
        <f>Projected_SEC_wastage_rates!G65</f>
        <v>8.845197401561726E-2</v>
      </c>
      <c r="H212" s="533">
        <f>Projected_SEC_wastage_rates!H65</f>
        <v>8.6791060180268387E-2</v>
      </c>
      <c r="I212" s="533">
        <f>Projected_SEC_wastage_rates!I65</f>
        <v>8.6791060180268387E-2</v>
      </c>
      <c r="J212" s="533">
        <f>Projected_SEC_wastage_rates!J65</f>
        <v>8.6791060180268387E-2</v>
      </c>
      <c r="K212" s="159">
        <f>Projected_SEC_wastage_rates!K65</f>
        <v>8.6791060180268387E-2</v>
      </c>
      <c r="L212" s="159">
        <f>Projected_SEC_wastage_rates!L65</f>
        <v>8.6791060180268387E-2</v>
      </c>
      <c r="M212" s="159">
        <f>Projected_SEC_wastage_rates!M65</f>
        <v>8.6791060180268387E-2</v>
      </c>
      <c r="N212" s="159">
        <f>Projected_SEC_wastage_rates!N65</f>
        <v>8.6791060180268387E-2</v>
      </c>
      <c r="O212" s="159">
        <f>Projected_SEC_wastage_rates!O65</f>
        <v>8.6791060180268387E-2</v>
      </c>
      <c r="P212" s="159">
        <f>Projected_SEC_wastage_rates!P65</f>
        <v>8.6791060180268387E-2</v>
      </c>
      <c r="Q212" s="532"/>
    </row>
    <row r="213" spans="2:17">
      <c r="B213" s="5"/>
      <c r="C213" s="5"/>
      <c r="D213" s="5"/>
      <c r="E213" s="5"/>
      <c r="F213" s="5"/>
      <c r="G213" s="5"/>
      <c r="H213" s="5"/>
      <c r="I213" s="5"/>
      <c r="J213" s="5"/>
      <c r="K213" s="5"/>
      <c r="L213" s="5"/>
      <c r="M213" s="5"/>
      <c r="N213" s="5"/>
      <c r="O213" s="5"/>
      <c r="P213" s="5"/>
      <c r="Q213" s="239"/>
    </row>
    <row r="214" spans="2:17">
      <c r="B214" s="107" t="s">
        <v>47</v>
      </c>
      <c r="C214" s="5"/>
      <c r="D214" s="5"/>
      <c r="E214" s="5"/>
      <c r="F214" s="5"/>
      <c r="G214" s="5"/>
      <c r="H214" s="5"/>
      <c r="I214" s="5"/>
      <c r="J214" s="5"/>
      <c r="K214" s="5"/>
      <c r="L214" s="5"/>
      <c r="M214" s="5"/>
      <c r="N214" s="5"/>
      <c r="O214" s="5"/>
      <c r="P214" s="5"/>
      <c r="Q214" s="239"/>
    </row>
    <row r="215" spans="2:17">
      <c r="B215" s="5"/>
      <c r="C215" s="5"/>
      <c r="D215" s="5"/>
      <c r="E215" s="5"/>
      <c r="F215" s="5"/>
      <c r="G215" s="5"/>
      <c r="H215" s="5"/>
      <c r="I215" s="5"/>
      <c r="J215" s="5"/>
      <c r="K215" s="5"/>
      <c r="L215" s="5"/>
      <c r="M215" s="5"/>
      <c r="N215" s="5"/>
      <c r="O215" s="5"/>
      <c r="P215" s="5"/>
      <c r="Q215" s="239"/>
    </row>
    <row r="216" spans="2:17">
      <c r="B216" s="8" t="str">
        <f>B201</f>
        <v>Age group</v>
      </c>
      <c r="C216" s="8" t="str">
        <f t="shared" ref="C216:P216" si="6">C201</f>
        <v>2015/16</v>
      </c>
      <c r="D216" s="8" t="str">
        <f t="shared" si="6"/>
        <v>2016/17</v>
      </c>
      <c r="E216" s="8" t="str">
        <f t="shared" si="6"/>
        <v>2017/18</v>
      </c>
      <c r="F216" s="8" t="str">
        <f t="shared" si="6"/>
        <v>2018/19</v>
      </c>
      <c r="G216" s="8" t="str">
        <f t="shared" si="6"/>
        <v>2019/20</v>
      </c>
      <c r="H216" s="8" t="str">
        <f t="shared" si="6"/>
        <v>2020/21</v>
      </c>
      <c r="I216" s="8" t="str">
        <f t="shared" si="6"/>
        <v>2021/22</v>
      </c>
      <c r="J216" s="8" t="str">
        <f t="shared" si="6"/>
        <v>2022/23</v>
      </c>
      <c r="K216" s="8" t="str">
        <f t="shared" si="6"/>
        <v>2023/24</v>
      </c>
      <c r="L216" s="8" t="str">
        <f t="shared" si="6"/>
        <v>2024/25</v>
      </c>
      <c r="M216" s="8" t="str">
        <f t="shared" si="6"/>
        <v>2025/26</v>
      </c>
      <c r="N216" s="8" t="str">
        <f t="shared" si="6"/>
        <v>2026/27</v>
      </c>
      <c r="O216" s="8" t="str">
        <f t="shared" si="6"/>
        <v>2027/28</v>
      </c>
      <c r="P216" s="8" t="str">
        <f t="shared" si="6"/>
        <v>2028/29</v>
      </c>
      <c r="Q216" s="163"/>
    </row>
    <row r="217" spans="2:17">
      <c r="B217" s="8" t="str">
        <f t="shared" ref="B217:B227" si="7">B202</f>
        <v>20-24</v>
      </c>
      <c r="C217" s="159">
        <f>Projected_SEC_wastage_rates!C70</f>
        <v>0.12651998104337653</v>
      </c>
      <c r="D217" s="159">
        <f>Projected_SEC_wastage_rates!D70</f>
        <v>0.12535213912780968</v>
      </c>
      <c r="E217" s="159">
        <f>Projected_SEC_wastage_rates!E70</f>
        <v>0.12740717546008676</v>
      </c>
      <c r="F217" s="159">
        <f>Projected_SEC_wastage_rates!F70</f>
        <v>0.12803683806292707</v>
      </c>
      <c r="G217" s="159">
        <f>Projected_SEC_wastage_rates!G70</f>
        <v>0.13016822094465208</v>
      </c>
      <c r="H217" s="533">
        <f>Projected_SEC_wastage_rates!H70</f>
        <v>0.13184159259046055</v>
      </c>
      <c r="I217" s="533">
        <f>Projected_SEC_wastage_rates!I70</f>
        <v>0.13184159259046055</v>
      </c>
      <c r="J217" s="533">
        <f>Projected_SEC_wastage_rates!J70</f>
        <v>0.13184159259046055</v>
      </c>
      <c r="K217" s="159">
        <f>Projected_SEC_wastage_rates!K70</f>
        <v>0.13184159259046055</v>
      </c>
      <c r="L217" s="159">
        <f>Projected_SEC_wastage_rates!L70</f>
        <v>0.13184159259046055</v>
      </c>
      <c r="M217" s="159">
        <f>Projected_SEC_wastage_rates!M70</f>
        <v>0.13184159259046055</v>
      </c>
      <c r="N217" s="159">
        <f>Projected_SEC_wastage_rates!N70</f>
        <v>0.13184159259046055</v>
      </c>
      <c r="O217" s="159">
        <f>Projected_SEC_wastage_rates!O70</f>
        <v>0.13184159259046055</v>
      </c>
      <c r="P217" s="159">
        <f>Projected_SEC_wastage_rates!P70</f>
        <v>0.13184159259046055</v>
      </c>
      <c r="Q217" s="532"/>
    </row>
    <row r="218" spans="2:17">
      <c r="B218" s="8" t="str">
        <f t="shared" si="7"/>
        <v>25-29</v>
      </c>
      <c r="C218" s="159">
        <f>Projected_SEC_wastage_rates!C71</f>
        <v>0.10455560293214806</v>
      </c>
      <c r="D218" s="159">
        <f>Projected_SEC_wastage_rates!D71</f>
        <v>0.10359050307515659</v>
      </c>
      <c r="E218" s="159">
        <f>Projected_SEC_wastage_rates!E71</f>
        <v>0.10528877682604369</v>
      </c>
      <c r="F218" s="159">
        <f>Projected_SEC_wastage_rates!F71</f>
        <v>0.10580912746584678</v>
      </c>
      <c r="G218" s="159">
        <f>Projected_SEC_wastage_rates!G71</f>
        <v>0.10757049369780675</v>
      </c>
      <c r="H218" s="533">
        <f>Projected_SEC_wastage_rates!H71</f>
        <v>0.10895336128847671</v>
      </c>
      <c r="I218" s="533">
        <f>Projected_SEC_wastage_rates!I71</f>
        <v>0.10895336128847671</v>
      </c>
      <c r="J218" s="533">
        <f>Projected_SEC_wastage_rates!J71</f>
        <v>0.10895336128847671</v>
      </c>
      <c r="K218" s="159">
        <f>Projected_SEC_wastage_rates!K71</f>
        <v>0.10895336128847671</v>
      </c>
      <c r="L218" s="159">
        <f>Projected_SEC_wastage_rates!L71</f>
        <v>0.10895336128847671</v>
      </c>
      <c r="M218" s="159">
        <f>Projected_SEC_wastage_rates!M71</f>
        <v>0.10895336128847671</v>
      </c>
      <c r="N218" s="159">
        <f>Projected_SEC_wastage_rates!N71</f>
        <v>0.10895336128847671</v>
      </c>
      <c r="O218" s="159">
        <f>Projected_SEC_wastage_rates!O71</f>
        <v>0.10895336128847671</v>
      </c>
      <c r="P218" s="159">
        <f>Projected_SEC_wastage_rates!P71</f>
        <v>0.10895336128847671</v>
      </c>
      <c r="Q218" s="532"/>
    </row>
    <row r="219" spans="2:17">
      <c r="B219" s="8" t="str">
        <f t="shared" si="7"/>
        <v>30-34</v>
      </c>
      <c r="C219" s="159">
        <f>Projected_SEC_wastage_rates!C72</f>
        <v>8.7270459506493397E-2</v>
      </c>
      <c r="D219" s="159">
        <f>Projected_SEC_wastage_rates!D72</f>
        <v>8.6464910060769715E-2</v>
      </c>
      <c r="E219" s="159">
        <f>Projected_SEC_wastage_rates!E72</f>
        <v>8.7882425014070828E-2</v>
      </c>
      <c r="F219" s="159">
        <f>Projected_SEC_wastage_rates!F72</f>
        <v>8.8316751230615942E-2</v>
      </c>
      <c r="G219" s="159">
        <f>Projected_SEC_wastage_rates!G72</f>
        <v>8.9786928209291308E-2</v>
      </c>
      <c r="H219" s="533">
        <f>Projected_SEC_wastage_rates!H72</f>
        <v>9.0941179982414591E-2</v>
      </c>
      <c r="I219" s="533">
        <f>Projected_SEC_wastage_rates!I72</f>
        <v>9.0941179982414591E-2</v>
      </c>
      <c r="J219" s="533">
        <f>Projected_SEC_wastage_rates!J72</f>
        <v>9.0941179982414591E-2</v>
      </c>
      <c r="K219" s="159">
        <f>Projected_SEC_wastage_rates!K72</f>
        <v>9.0941179982414591E-2</v>
      </c>
      <c r="L219" s="159">
        <f>Projected_SEC_wastage_rates!L72</f>
        <v>9.0941179982414591E-2</v>
      </c>
      <c r="M219" s="159">
        <f>Projected_SEC_wastage_rates!M72</f>
        <v>9.0941179982414591E-2</v>
      </c>
      <c r="N219" s="159">
        <f>Projected_SEC_wastage_rates!N72</f>
        <v>9.0941179982414591E-2</v>
      </c>
      <c r="O219" s="159">
        <f>Projected_SEC_wastage_rates!O72</f>
        <v>9.0941179982414591E-2</v>
      </c>
      <c r="P219" s="159">
        <f>Projected_SEC_wastage_rates!P72</f>
        <v>9.0941179982414591E-2</v>
      </c>
      <c r="Q219" s="532"/>
    </row>
    <row r="220" spans="2:17">
      <c r="B220" s="8" t="str">
        <f t="shared" si="7"/>
        <v>35-39</v>
      </c>
      <c r="C220" s="159">
        <f>Projected_SEC_wastage_rates!C73</f>
        <v>8.1979574415774803E-2</v>
      </c>
      <c r="D220" s="159">
        <f>Projected_SEC_wastage_rates!D73</f>
        <v>8.1222862452703534E-2</v>
      </c>
      <c r="E220" s="159">
        <f>Projected_SEC_wastage_rates!E73</f>
        <v>8.2554438718679027E-2</v>
      </c>
      <c r="F220" s="159">
        <f>Projected_SEC_wastage_rates!F73</f>
        <v>8.296243334356504E-2</v>
      </c>
      <c r="G220" s="159">
        <f>Projected_SEC_wastage_rates!G73</f>
        <v>8.4343478931146812E-2</v>
      </c>
      <c r="H220" s="533">
        <f>Projected_SEC_wastage_rates!H73</f>
        <v>8.5427752689580042E-2</v>
      </c>
      <c r="I220" s="533">
        <f>Projected_SEC_wastage_rates!I73</f>
        <v>8.5427752689580042E-2</v>
      </c>
      <c r="J220" s="533">
        <f>Projected_SEC_wastage_rates!J73</f>
        <v>8.5427752689580042E-2</v>
      </c>
      <c r="K220" s="159">
        <f>Projected_SEC_wastage_rates!K73</f>
        <v>8.5427752689580042E-2</v>
      </c>
      <c r="L220" s="159">
        <f>Projected_SEC_wastage_rates!L73</f>
        <v>8.5427752689580042E-2</v>
      </c>
      <c r="M220" s="159">
        <f>Projected_SEC_wastage_rates!M73</f>
        <v>8.5427752689580042E-2</v>
      </c>
      <c r="N220" s="159">
        <f>Projected_SEC_wastage_rates!N73</f>
        <v>8.5427752689580042E-2</v>
      </c>
      <c r="O220" s="159">
        <f>Projected_SEC_wastage_rates!O73</f>
        <v>8.5427752689580042E-2</v>
      </c>
      <c r="P220" s="159">
        <f>Projected_SEC_wastage_rates!P73</f>
        <v>8.5427752689580042E-2</v>
      </c>
      <c r="Q220" s="532"/>
    </row>
    <row r="221" spans="2:17">
      <c r="B221" s="8" t="str">
        <f t="shared" si="7"/>
        <v>40-44</v>
      </c>
      <c r="C221" s="159">
        <f>Projected_SEC_wastage_rates!C74</f>
        <v>8.0842578151038125E-2</v>
      </c>
      <c r="D221" s="159">
        <f>Projected_SEC_wastage_rates!D74</f>
        <v>8.0096361225073659E-2</v>
      </c>
      <c r="E221" s="159">
        <f>Projected_SEC_wastage_rates!E74</f>
        <v>8.1409469509830468E-2</v>
      </c>
      <c r="F221" s="159">
        <f>Projected_SEC_wastage_rates!F74</f>
        <v>8.1811805550028358E-2</v>
      </c>
      <c r="G221" s="159">
        <f>Projected_SEC_wastage_rates!G74</f>
        <v>8.3173697053367787E-2</v>
      </c>
      <c r="H221" s="533">
        <f>Projected_SEC_wastage_rates!H74</f>
        <v>8.4242932734059375E-2</v>
      </c>
      <c r="I221" s="533">
        <f>Projected_SEC_wastage_rates!I74</f>
        <v>8.4242932734059375E-2</v>
      </c>
      <c r="J221" s="533">
        <f>Projected_SEC_wastage_rates!J74</f>
        <v>8.4242932734059375E-2</v>
      </c>
      <c r="K221" s="159">
        <f>Projected_SEC_wastage_rates!K74</f>
        <v>8.4242932734059375E-2</v>
      </c>
      <c r="L221" s="159">
        <f>Projected_SEC_wastage_rates!L74</f>
        <v>8.4242932734059375E-2</v>
      </c>
      <c r="M221" s="159">
        <f>Projected_SEC_wastage_rates!M74</f>
        <v>8.4242932734059375E-2</v>
      </c>
      <c r="N221" s="159">
        <f>Projected_SEC_wastage_rates!N74</f>
        <v>8.4242932734059375E-2</v>
      </c>
      <c r="O221" s="159">
        <f>Projected_SEC_wastage_rates!O74</f>
        <v>8.4242932734059375E-2</v>
      </c>
      <c r="P221" s="159">
        <f>Projected_SEC_wastage_rates!P74</f>
        <v>8.4242932734059375E-2</v>
      </c>
      <c r="Q221" s="532"/>
    </row>
    <row r="222" spans="2:17">
      <c r="B222" s="8" t="str">
        <f t="shared" si="7"/>
        <v>45-49</v>
      </c>
      <c r="C222" s="159">
        <f>Projected_SEC_wastage_rates!C75</f>
        <v>8.8269148170636053E-2</v>
      </c>
      <c r="D222" s="159">
        <f>Projected_SEC_wastage_rates!D75</f>
        <v>8.7454380335271711E-2</v>
      </c>
      <c r="E222" s="159">
        <f>Projected_SEC_wastage_rates!E75</f>
        <v>8.8888116769737457E-2</v>
      </c>
      <c r="F222" s="159">
        <f>Projected_SEC_wastage_rates!F75</f>
        <v>8.9327413243932841E-2</v>
      </c>
      <c r="G222" s="159">
        <f>Projected_SEC_wastage_rates!G75</f>
        <v>9.0814414347188149E-2</v>
      </c>
      <c r="H222" s="533">
        <f>Projected_SEC_wastage_rates!H75</f>
        <v>9.1981874921638979E-2</v>
      </c>
      <c r="I222" s="533">
        <f>Projected_SEC_wastage_rates!I75</f>
        <v>9.1981874921638979E-2</v>
      </c>
      <c r="J222" s="533">
        <f>Projected_SEC_wastage_rates!J75</f>
        <v>9.1981874921638979E-2</v>
      </c>
      <c r="K222" s="159">
        <f>Projected_SEC_wastage_rates!K75</f>
        <v>9.1981874921638979E-2</v>
      </c>
      <c r="L222" s="159">
        <f>Projected_SEC_wastage_rates!L75</f>
        <v>9.1981874921638979E-2</v>
      </c>
      <c r="M222" s="159">
        <f>Projected_SEC_wastage_rates!M75</f>
        <v>9.1981874921638979E-2</v>
      </c>
      <c r="N222" s="159">
        <f>Projected_SEC_wastage_rates!N75</f>
        <v>9.1981874921638979E-2</v>
      </c>
      <c r="O222" s="159">
        <f>Projected_SEC_wastage_rates!O75</f>
        <v>9.1981874921638979E-2</v>
      </c>
      <c r="P222" s="159">
        <f>Projected_SEC_wastage_rates!P75</f>
        <v>9.1981874921638979E-2</v>
      </c>
      <c r="Q222" s="532"/>
    </row>
    <row r="223" spans="2:17">
      <c r="B223" s="8" t="str">
        <f t="shared" si="7"/>
        <v>50-54</v>
      </c>
      <c r="C223" s="159">
        <f>Projected_SEC_wastage_rates!C76</f>
        <v>8.7536873351951316E-2</v>
      </c>
      <c r="D223" s="159">
        <f>Projected_SEC_wastage_rates!D76</f>
        <v>8.6728864774847383E-2</v>
      </c>
      <c r="E223" s="159">
        <f>Projected_SEC_wastage_rates!E76</f>
        <v>8.8150707029870504E-2</v>
      </c>
      <c r="F223" s="159">
        <f>Projected_SEC_wastage_rates!F76</f>
        <v>8.8586359130548548E-2</v>
      </c>
      <c r="G223" s="159">
        <f>Projected_SEC_wastage_rates!G76</f>
        <v>9.0061024174310403E-2</v>
      </c>
      <c r="H223" s="533">
        <f>Projected_SEC_wastage_rates!H76</f>
        <v>9.1218799575649268E-2</v>
      </c>
      <c r="I223" s="533">
        <f>Projected_SEC_wastage_rates!I76</f>
        <v>9.1218799575649268E-2</v>
      </c>
      <c r="J223" s="533">
        <f>Projected_SEC_wastage_rates!J76</f>
        <v>9.1218799575649268E-2</v>
      </c>
      <c r="K223" s="159">
        <f>Projected_SEC_wastage_rates!K76</f>
        <v>9.1218799575649268E-2</v>
      </c>
      <c r="L223" s="159">
        <f>Projected_SEC_wastage_rates!L76</f>
        <v>9.1218799575649268E-2</v>
      </c>
      <c r="M223" s="159">
        <f>Projected_SEC_wastage_rates!M76</f>
        <v>9.1218799575649268E-2</v>
      </c>
      <c r="N223" s="159">
        <f>Projected_SEC_wastage_rates!N76</f>
        <v>9.1218799575649268E-2</v>
      </c>
      <c r="O223" s="159">
        <f>Projected_SEC_wastage_rates!O76</f>
        <v>9.1218799575649268E-2</v>
      </c>
      <c r="P223" s="159">
        <f>Projected_SEC_wastage_rates!P76</f>
        <v>9.1218799575649268E-2</v>
      </c>
      <c r="Q223" s="532"/>
    </row>
    <row r="224" spans="2:17">
      <c r="B224" s="8" t="str">
        <f t="shared" si="7"/>
        <v>55-59</v>
      </c>
      <c r="C224" s="159">
        <f>Projected_SEC_wastage_rates!C77</f>
        <v>5.7297396975088274E-2</v>
      </c>
      <c r="D224" s="159">
        <f>Projected_SEC_wastage_rates!D77</f>
        <v>5.6768513700774154E-2</v>
      </c>
      <c r="E224" s="159">
        <f>Projected_SEC_wastage_rates!E77</f>
        <v>5.7699182766305708E-2</v>
      </c>
      <c r="F224" s="159">
        <f>Projected_SEC_wastage_rates!F77</f>
        <v>5.7984339528247837E-2</v>
      </c>
      <c r="G224" s="159">
        <f>Projected_SEC_wastage_rates!G77</f>
        <v>5.8949583832530787E-2</v>
      </c>
      <c r="H224" s="533">
        <f>Projected_SEC_wastage_rates!H77</f>
        <v>5.9707407527144464E-2</v>
      </c>
      <c r="I224" s="533">
        <f>Projected_SEC_wastage_rates!I77</f>
        <v>5.9707407527144464E-2</v>
      </c>
      <c r="J224" s="533">
        <f>Projected_SEC_wastage_rates!J77</f>
        <v>5.9707407527144464E-2</v>
      </c>
      <c r="K224" s="159">
        <f>Projected_SEC_wastage_rates!K77</f>
        <v>5.9707407527144464E-2</v>
      </c>
      <c r="L224" s="159">
        <f>Projected_SEC_wastage_rates!L77</f>
        <v>5.9707407527144464E-2</v>
      </c>
      <c r="M224" s="159">
        <f>Projected_SEC_wastage_rates!M77</f>
        <v>5.9707407527144464E-2</v>
      </c>
      <c r="N224" s="159">
        <f>Projected_SEC_wastage_rates!N77</f>
        <v>5.9707407527144464E-2</v>
      </c>
      <c r="O224" s="159">
        <f>Projected_SEC_wastage_rates!O77</f>
        <v>5.9707407527144464E-2</v>
      </c>
      <c r="P224" s="159">
        <f>Projected_SEC_wastage_rates!P77</f>
        <v>5.9707407527144464E-2</v>
      </c>
      <c r="Q224" s="532"/>
    </row>
    <row r="225" spans="2:17">
      <c r="B225" s="8" t="str">
        <f t="shared" si="7"/>
        <v>60-64</v>
      </c>
      <c r="C225" s="159">
        <f>Projected_SEC_wastage_rates!C78</f>
        <v>5.214170948970194E-2</v>
      </c>
      <c r="D225" s="159">
        <f>Projected_SEC_wastage_rates!D78</f>
        <v>5.1660415757366442E-2</v>
      </c>
      <c r="E225" s="159">
        <f>Projected_SEC_wastage_rates!E78</f>
        <v>5.2507342120654756E-2</v>
      </c>
      <c r="F225" s="159">
        <f>Projected_SEC_wastage_rates!F78</f>
        <v>5.2766840140201353E-2</v>
      </c>
      <c r="G225" s="159">
        <f>Projected_SEC_wastage_rates!G78</f>
        <v>5.3645230621402328E-2</v>
      </c>
      <c r="H225" s="533">
        <f>Projected_SEC_wastage_rates!H78</f>
        <v>5.4334864444490996E-2</v>
      </c>
      <c r="I225" s="533">
        <f>Projected_SEC_wastage_rates!I78</f>
        <v>5.4334864444490996E-2</v>
      </c>
      <c r="J225" s="533">
        <f>Projected_SEC_wastage_rates!J78</f>
        <v>5.4334864444490996E-2</v>
      </c>
      <c r="K225" s="159">
        <f>Projected_SEC_wastage_rates!K78</f>
        <v>5.4334864444490996E-2</v>
      </c>
      <c r="L225" s="159">
        <f>Projected_SEC_wastage_rates!L78</f>
        <v>5.4334864444490996E-2</v>
      </c>
      <c r="M225" s="159">
        <f>Projected_SEC_wastage_rates!M78</f>
        <v>5.4334864444490996E-2</v>
      </c>
      <c r="N225" s="159">
        <f>Projected_SEC_wastage_rates!N78</f>
        <v>5.4334864444490996E-2</v>
      </c>
      <c r="O225" s="159">
        <f>Projected_SEC_wastage_rates!O78</f>
        <v>5.4334864444490996E-2</v>
      </c>
      <c r="P225" s="159">
        <f>Projected_SEC_wastage_rates!P78</f>
        <v>5.4334864444490996E-2</v>
      </c>
      <c r="Q225" s="532"/>
    </row>
    <row r="226" spans="2:17">
      <c r="B226" s="8" t="str">
        <f t="shared" si="7"/>
        <v>65 plus</v>
      </c>
      <c r="C226" s="159">
        <f>Projected_SEC_wastage_rates!C79</f>
        <v>7.7040540050632281E-2</v>
      </c>
      <c r="D226" s="159">
        <f>Projected_SEC_wastage_rates!D79</f>
        <v>7.6329417814230832E-2</v>
      </c>
      <c r="E226" s="159">
        <f>Projected_SEC_wastage_rates!E79</f>
        <v>7.7580770427127743E-2</v>
      </c>
      <c r="F226" s="159">
        <f>Projected_SEC_wastage_rates!F79</f>
        <v>7.7964184545375778E-2</v>
      </c>
      <c r="G226" s="159">
        <f>Projected_SEC_wastage_rates!G79</f>
        <v>7.9262026095055366E-2</v>
      </c>
      <c r="H226" s="533">
        <f>Projected_SEC_wastage_rates!H79</f>
        <v>8.0280975467599935E-2</v>
      </c>
      <c r="I226" s="533">
        <f>Projected_SEC_wastage_rates!I79</f>
        <v>8.0280975467599935E-2</v>
      </c>
      <c r="J226" s="533">
        <f>Projected_SEC_wastage_rates!J79</f>
        <v>8.0280975467599935E-2</v>
      </c>
      <c r="K226" s="159">
        <f>Projected_SEC_wastage_rates!K79</f>
        <v>8.0280975467599935E-2</v>
      </c>
      <c r="L226" s="159">
        <f>Projected_SEC_wastage_rates!L79</f>
        <v>8.0280975467599935E-2</v>
      </c>
      <c r="M226" s="159">
        <f>Projected_SEC_wastage_rates!M79</f>
        <v>8.0280975467599935E-2</v>
      </c>
      <c r="N226" s="159">
        <f>Projected_SEC_wastage_rates!N79</f>
        <v>8.0280975467599935E-2</v>
      </c>
      <c r="O226" s="159">
        <f>Projected_SEC_wastage_rates!O79</f>
        <v>8.0280975467599935E-2</v>
      </c>
      <c r="P226" s="159">
        <f>Projected_SEC_wastage_rates!P79</f>
        <v>8.0280975467599935E-2</v>
      </c>
      <c r="Q226" s="532"/>
    </row>
    <row r="227" spans="2:17">
      <c r="B227" s="8" t="str">
        <f t="shared" si="7"/>
        <v>Total</v>
      </c>
      <c r="C227" s="159">
        <f>Projected_SEC_wastage_rates!C80</f>
        <v>8.7736204760537742E-2</v>
      </c>
      <c r="D227" s="159">
        <f>Projected_SEC_wastage_rates!D80</f>
        <v>8.6926356256079126E-2</v>
      </c>
      <c r="E227" s="159">
        <f>Projected_SEC_wastage_rates!E80</f>
        <v>8.8351436207499523E-2</v>
      </c>
      <c r="F227" s="159">
        <f>Projected_SEC_wastage_rates!F80</f>
        <v>8.8788080337519684E-2</v>
      </c>
      <c r="G227" s="159">
        <f>Projected_SEC_wastage_rates!G80</f>
        <v>9.0266103361171732E-2</v>
      </c>
      <c r="H227" s="533">
        <f>Projected_SEC_wastage_rates!H80</f>
        <v>9.1426515148672657E-2</v>
      </c>
      <c r="I227" s="533">
        <f>Projected_SEC_wastage_rates!I80</f>
        <v>9.1426515148672657E-2</v>
      </c>
      <c r="J227" s="533">
        <f>Projected_SEC_wastage_rates!J80</f>
        <v>9.1426515148672657E-2</v>
      </c>
      <c r="K227" s="159">
        <f>Projected_SEC_wastage_rates!K80</f>
        <v>9.1426515148672657E-2</v>
      </c>
      <c r="L227" s="159">
        <f>Projected_SEC_wastage_rates!L80</f>
        <v>9.1426515148672657E-2</v>
      </c>
      <c r="M227" s="159">
        <f>Projected_SEC_wastage_rates!M80</f>
        <v>9.1426515148672657E-2</v>
      </c>
      <c r="N227" s="159">
        <f>Projected_SEC_wastage_rates!N80</f>
        <v>9.1426515148672657E-2</v>
      </c>
      <c r="O227" s="159">
        <f>Projected_SEC_wastage_rates!O80</f>
        <v>9.1426515148672657E-2</v>
      </c>
      <c r="P227" s="159">
        <f>Projected_SEC_wastage_rates!P80</f>
        <v>9.1426515148672657E-2</v>
      </c>
      <c r="Q227" s="532"/>
    </row>
    <row r="229" spans="2:17">
      <c r="B229" s="75" t="s">
        <v>314</v>
      </c>
    </row>
    <row r="230" spans="2:17">
      <c r="B230" s="12"/>
    </row>
    <row r="231" spans="2:17">
      <c r="B231" s="147" t="s">
        <v>315</v>
      </c>
    </row>
    <row r="233" spans="2:17" ht="25.5">
      <c r="B233" s="149" t="str">
        <f>Stock_calculations!B43</f>
        <v>Subject</v>
      </c>
      <c r="C233" s="149" t="str">
        <f>Stock_calculations!C43</f>
        <v>FTE rate</v>
      </c>
      <c r="D233" s="149" t="str">
        <f>Stock_calculations!D43</f>
        <v>Unqualified teacher rate</v>
      </c>
      <c r="F233" s="147"/>
    </row>
    <row r="234" spans="2:17">
      <c r="B234" s="149" t="s">
        <v>40</v>
      </c>
      <c r="C234" s="499">
        <f>Calc_Primary_teacher_need!R16</f>
        <v>0.89</v>
      </c>
      <c r="D234" s="499">
        <f>Calc_Primary_teacher_need!O48</f>
        <v>3.2452360303093598E-2</v>
      </c>
      <c r="F234" s="147"/>
    </row>
    <row r="235" spans="2:17">
      <c r="B235" s="149" t="str">
        <f>Stock_calculations!B44</f>
        <v>Art &amp; Design</v>
      </c>
      <c r="C235" s="499">
        <f>Stock_calculations!C44</f>
        <v>0.93100000000000005</v>
      </c>
      <c r="D235" s="499">
        <f>Teacher_need_by_subject!C600</f>
        <v>5.5482785567752567E-2</v>
      </c>
      <c r="F235" s="147"/>
    </row>
    <row r="236" spans="2:17">
      <c r="B236" s="149" t="str">
        <f>Stock_calculations!B45</f>
        <v>Biology</v>
      </c>
      <c r="C236" s="499">
        <f>Stock_calculations!C45</f>
        <v>0.93100000000000005</v>
      </c>
      <c r="D236" s="499">
        <f>Teacher_need_by_subject!C601</f>
        <v>4.7147483464243911E-2</v>
      </c>
    </row>
    <row r="237" spans="2:17">
      <c r="B237" s="149" t="str">
        <f>Stock_calculations!B46</f>
        <v>Business Studies</v>
      </c>
      <c r="C237" s="499">
        <f>Stock_calculations!C46</f>
        <v>0.93100000000000005</v>
      </c>
      <c r="D237" s="499">
        <f>Teacher_need_by_subject!C602</f>
        <v>9.1589119325306181E-2</v>
      </c>
    </row>
    <row r="238" spans="2:17">
      <c r="B238" s="149" t="str">
        <f>Stock_calculations!B47</f>
        <v>Chemistry</v>
      </c>
      <c r="C238" s="499">
        <f>Stock_calculations!C47</f>
        <v>0.93100000000000005</v>
      </c>
      <c r="D238" s="499">
        <f>Teacher_need_by_subject!C603</f>
        <v>4.6913086855563599E-2</v>
      </c>
    </row>
    <row r="239" spans="2:17">
      <c r="B239" s="149" t="str">
        <f>Stock_calculations!B48</f>
        <v>Classics</v>
      </c>
      <c r="C239" s="499">
        <f>Stock_calculations!C48</f>
        <v>0.93100000000000005</v>
      </c>
      <c r="D239" s="499">
        <f>Teacher_need_by_subject!C604</f>
        <v>6.704089375668533E-2</v>
      </c>
    </row>
    <row r="240" spans="2:17">
      <c r="B240" s="149" t="str">
        <f>Stock_calculations!B49</f>
        <v>Computing</v>
      </c>
      <c r="C240" s="499">
        <f>Stock_calculations!C49</f>
        <v>0.93100000000000005</v>
      </c>
      <c r="D240" s="499">
        <f>Teacher_need_by_subject!C605</f>
        <v>5.5336545757057175E-2</v>
      </c>
    </row>
    <row r="241" spans="2:4">
      <c r="B241" s="149" t="str">
        <f>Stock_calculations!B50</f>
        <v>Design &amp; Technology</v>
      </c>
      <c r="C241" s="499">
        <f>Stock_calculations!C50</f>
        <v>0.93100000000000005</v>
      </c>
      <c r="D241" s="499">
        <f>Teacher_need_by_subject!C606</f>
        <v>6.7710578130345755E-2</v>
      </c>
    </row>
    <row r="242" spans="2:4">
      <c r="B242" s="149" t="str">
        <f>Stock_calculations!B51</f>
        <v>Drama</v>
      </c>
      <c r="C242" s="499">
        <f>Stock_calculations!C51</f>
        <v>0.93100000000000005</v>
      </c>
      <c r="D242" s="499">
        <f>Teacher_need_by_subject!C607</f>
        <v>8.377556244402512E-2</v>
      </c>
    </row>
    <row r="243" spans="2:4">
      <c r="B243" s="149" t="str">
        <f>Stock_calculations!B52</f>
        <v>English</v>
      </c>
      <c r="C243" s="499">
        <f>Stock_calculations!C52</f>
        <v>0.93100000000000005</v>
      </c>
      <c r="D243" s="499">
        <f>Teacher_need_by_subject!C608</f>
        <v>8.773490743765272E-2</v>
      </c>
    </row>
    <row r="244" spans="2:4">
      <c r="B244" s="149" t="str">
        <f>Stock_calculations!B53</f>
        <v>Food</v>
      </c>
      <c r="C244" s="499">
        <f>Stock_calculations!C53</f>
        <v>0.93100000000000005</v>
      </c>
      <c r="D244" s="499">
        <f>Teacher_need_by_subject!C609</f>
        <v>0.10009363022572292</v>
      </c>
    </row>
    <row r="245" spans="2:4">
      <c r="B245" s="149" t="str">
        <f>Stock_calculations!B54</f>
        <v>Geography</v>
      </c>
      <c r="C245" s="499">
        <f>Stock_calculations!C54</f>
        <v>0.93100000000000005</v>
      </c>
      <c r="D245" s="499">
        <f>Teacher_need_by_subject!C610</f>
        <v>4.7550259871897121E-2</v>
      </c>
    </row>
    <row r="246" spans="2:4">
      <c r="B246" s="149" t="str">
        <f>Stock_calculations!B55</f>
        <v>History</v>
      </c>
      <c r="C246" s="499">
        <f>Stock_calculations!C55</f>
        <v>0.93100000000000005</v>
      </c>
      <c r="D246" s="499">
        <f>Teacher_need_by_subject!C611</f>
        <v>4.9790971050012442E-2</v>
      </c>
    </row>
    <row r="247" spans="2:4">
      <c r="B247" s="149" t="str">
        <f>Stock_calculations!B56</f>
        <v>Mathematics</v>
      </c>
      <c r="C247" s="499">
        <f>Stock_calculations!C56</f>
        <v>0.93100000000000005</v>
      </c>
      <c r="D247" s="499">
        <f>Teacher_need_by_subject!C612</f>
        <v>6.49038506637587E-2</v>
      </c>
    </row>
    <row r="248" spans="2:4">
      <c r="B248" s="149" t="str">
        <f>Stock_calculations!B57</f>
        <v>Modern Foreign Languages</v>
      </c>
      <c r="C248" s="499">
        <f>Stock_calculations!C57</f>
        <v>0.93100000000000005</v>
      </c>
      <c r="D248" s="499">
        <f>Teacher_need_by_subject!C613</f>
        <v>3.8975877543540892E-2</v>
      </c>
    </row>
    <row r="249" spans="2:4">
      <c r="B249" s="149" t="str">
        <f>Stock_calculations!B58</f>
        <v>Music</v>
      </c>
      <c r="C249" s="499">
        <f>Stock_calculations!C58</f>
        <v>0.93100000000000005</v>
      </c>
      <c r="D249" s="499">
        <f>Teacher_need_by_subject!C614</f>
        <v>4.5052436211548266E-2</v>
      </c>
    </row>
    <row r="250" spans="2:4">
      <c r="B250" s="149" t="str">
        <f>Stock_calculations!B59</f>
        <v>Others</v>
      </c>
      <c r="C250" s="499">
        <f>Stock_calculations!C59</f>
        <v>0.93100000000000005</v>
      </c>
      <c r="D250" s="499">
        <f>Teacher_need_by_subject!C615</f>
        <v>0.13826981448484513</v>
      </c>
    </row>
    <row r="251" spans="2:4">
      <c r="B251" s="149" t="str">
        <f>Stock_calculations!B60</f>
        <v>Physical Education</v>
      </c>
      <c r="C251" s="499">
        <f>Stock_calculations!C60</f>
        <v>0.93100000000000005</v>
      </c>
      <c r="D251" s="499">
        <f>Teacher_need_by_subject!C616</f>
        <v>4.057770218571477E-2</v>
      </c>
    </row>
    <row r="252" spans="2:4">
      <c r="B252" s="149" t="str">
        <f>Stock_calculations!B61</f>
        <v>Physics</v>
      </c>
      <c r="C252" s="499">
        <f>Stock_calculations!C61</f>
        <v>0.93100000000000005</v>
      </c>
      <c r="D252" s="499">
        <f>Teacher_need_by_subject!C617</f>
        <v>3.5327821376179305E-2</v>
      </c>
    </row>
    <row r="253" spans="2:4">
      <c r="B253" s="149" t="str">
        <f>Stock_calculations!B62</f>
        <v>Religious Education</v>
      </c>
      <c r="C253" s="499">
        <f>Stock_calculations!C62</f>
        <v>0.93100000000000005</v>
      </c>
      <c r="D253" s="499">
        <f>Teacher_need_by_subject!C618</f>
        <v>5.4816797336101404E-2</v>
      </c>
    </row>
    <row r="254" spans="2:4">
      <c r="B254" s="147"/>
      <c r="C254" s="228"/>
      <c r="D254" s="228"/>
    </row>
    <row r="255" spans="2:4">
      <c r="B255" s="75" t="s">
        <v>316</v>
      </c>
      <c r="C255" s="228"/>
      <c r="D255" s="228"/>
    </row>
    <row r="256" spans="2:4">
      <c r="B256" s="12"/>
    </row>
    <row r="257" spans="2:15">
      <c r="B257" s="107" t="s">
        <v>40</v>
      </c>
      <c r="C257" s="1028" t="s">
        <v>1682</v>
      </c>
    </row>
    <row r="258" spans="2:15">
      <c r="B258" s="5"/>
    </row>
    <row r="259" spans="2:15">
      <c r="B259" s="8"/>
      <c r="C259" s="8" t="str">
        <f>Calc_Primary_teacher_need!O18</f>
        <v>2016/17</v>
      </c>
      <c r="D259" s="8" t="str">
        <f>Calc_Primary_teacher_need!P18</f>
        <v>2017/18</v>
      </c>
      <c r="E259" s="8" t="str">
        <f>Calc_Primary_teacher_need!Q18</f>
        <v>2018/19</v>
      </c>
      <c r="F259" s="8" t="str">
        <f>Calc_Primary_teacher_need!R18</f>
        <v>2019/20</v>
      </c>
      <c r="G259" s="8" t="str">
        <f>Calc_Primary_teacher_need!S18</f>
        <v>2020/21</v>
      </c>
      <c r="H259" s="8" t="str">
        <f>Calc_Primary_teacher_need!T18</f>
        <v>2021/22</v>
      </c>
      <c r="I259" s="8" t="str">
        <f>Calc_Primary_teacher_need!U18</f>
        <v>2022/23</v>
      </c>
      <c r="J259" s="8" t="str">
        <f>Calc_Primary_teacher_need!V18</f>
        <v>2023/24</v>
      </c>
      <c r="K259" s="8" t="str">
        <f>Calc_Primary_teacher_need!W18</f>
        <v>2024/25</v>
      </c>
      <c r="L259" s="8" t="str">
        <f>Calc_Primary_teacher_need!X18</f>
        <v>2025/26</v>
      </c>
      <c r="M259" s="8" t="str">
        <f>Calc_Primary_teacher_need!Y18</f>
        <v>2026/27</v>
      </c>
      <c r="N259" s="8" t="str">
        <f>Calc_Primary_teacher_need!Z18</f>
        <v>2027/28</v>
      </c>
      <c r="O259" s="8" t="str">
        <f>Calc_Primary_teacher_need!AA18</f>
        <v>2028/29</v>
      </c>
    </row>
    <row r="260" spans="2:15">
      <c r="B260" s="8" t="s">
        <v>318</v>
      </c>
      <c r="C260" s="409">
        <f>Calc_Primary_teacher_need!O37</f>
        <v>0</v>
      </c>
      <c r="D260" s="300">
        <f>Calc_Primary_teacher_need!P37</f>
        <v>233874.9293606405</v>
      </c>
      <c r="E260" s="300">
        <f>Calc_Primary_teacher_need!Q37</f>
        <v>234512.82293686795</v>
      </c>
      <c r="F260" s="300">
        <f>Calc_Primary_teacher_need!R37</f>
        <v>234517.68818891392</v>
      </c>
      <c r="G260" s="300">
        <f>Calc_Primary_teacher_need!S37</f>
        <v>234738.21870850009</v>
      </c>
      <c r="H260" s="300">
        <f>Calc_Primary_teacher_need!T37</f>
        <v>234796.87086971366</v>
      </c>
      <c r="I260" s="300">
        <f>Calc_Primary_teacher_need!U37</f>
        <v>234646.8826972926</v>
      </c>
      <c r="J260" s="300">
        <f>Calc_Primary_teacher_need!V37</f>
        <v>234266.97887258511</v>
      </c>
      <c r="K260" s="300">
        <f>Calc_Primary_teacher_need!W37</f>
        <v>234493.25636880161</v>
      </c>
      <c r="L260" s="300">
        <f>Calc_Primary_teacher_need!X37</f>
        <v>235149.92191831602</v>
      </c>
      <c r="M260" s="300">
        <f>Calc_Primary_teacher_need!Y37</f>
        <v>235857.0054553418</v>
      </c>
      <c r="N260" s="300">
        <f>Calc_Primary_teacher_need!Z37</f>
        <v>236395.96134027644</v>
      </c>
      <c r="O260" s="300">
        <f>Calc_Primary_teacher_need!AA37</f>
        <v>236759.35296125183</v>
      </c>
    </row>
    <row r="261" spans="2:15">
      <c r="B261" s="8" t="s">
        <v>317</v>
      </c>
      <c r="C261" s="255">
        <f>Calc_Primary_teacher_need!O34</f>
        <v>20.045878339681273</v>
      </c>
      <c r="D261" s="255">
        <f>Calc_Primary_teacher_need!P34</f>
        <v>20.170585191853803</v>
      </c>
      <c r="E261" s="255">
        <f>Calc_Primary_teacher_need!Q34</f>
        <v>20.225750902047984</v>
      </c>
      <c r="F261" s="255">
        <f>Calc_Primary_teacher_need!R34</f>
        <v>20.226170518409532</v>
      </c>
      <c r="G261" s="255">
        <f>Calc_Primary_teacher_need!S34</f>
        <v>20.245208256374575</v>
      </c>
      <c r="H261" s="255">
        <f>Calc_Primary_teacher_need!T34</f>
        <v>20.250268028880232</v>
      </c>
      <c r="I261" s="255">
        <f>Calc_Primary_teacher_need!U34</f>
        <v>20.237340421739312</v>
      </c>
      <c r="J261" s="255">
        <f>Calc_Primary_teacher_need!V34</f>
        <v>20.204628222666607</v>
      </c>
      <c r="K261" s="255">
        <f>Calc_Primary_teacher_need!W34</f>
        <v>20.2241626568882</v>
      </c>
      <c r="L261" s="255">
        <f>Calc_Primary_teacher_need!X34</f>
        <v>20.280956637838841</v>
      </c>
      <c r="M261" s="255">
        <f>Calc_Primary_teacher_need!Y34</f>
        <v>20.342124343590747</v>
      </c>
      <c r="N261" s="255">
        <f>Calc_Primary_teacher_need!Z34</f>
        <v>20.388714512288242</v>
      </c>
      <c r="O261" s="255">
        <f>Calc_Primary_teacher_need!AA34</f>
        <v>20.420104620971276</v>
      </c>
    </row>
    <row r="262" spans="2:15">
      <c r="B262" s="5"/>
      <c r="C262" s="5"/>
      <c r="D262" s="5"/>
      <c r="E262" s="5"/>
      <c r="F262" s="5"/>
      <c r="G262" s="5"/>
      <c r="H262" s="5"/>
      <c r="I262" s="5"/>
      <c r="J262" s="5"/>
      <c r="K262" s="5"/>
      <c r="L262" s="5"/>
      <c r="M262" s="5"/>
      <c r="N262" s="5"/>
      <c r="O262" s="5"/>
    </row>
    <row r="263" spans="2:15">
      <c r="B263" s="671" t="s">
        <v>249</v>
      </c>
      <c r="C263" s="5"/>
      <c r="D263" s="164"/>
      <c r="E263" s="164"/>
      <c r="F263" s="164"/>
      <c r="G263" s="5"/>
      <c r="H263" s="5"/>
      <c r="I263" s="5"/>
      <c r="J263" s="5"/>
      <c r="K263" s="5"/>
      <c r="L263" s="5"/>
      <c r="M263" s="5"/>
      <c r="N263" s="5"/>
      <c r="O263" s="5"/>
    </row>
    <row r="264" spans="2:15">
      <c r="B264" s="5"/>
      <c r="C264" s="5"/>
      <c r="D264" s="5"/>
      <c r="E264" s="5"/>
      <c r="F264" s="5"/>
      <c r="G264" s="5"/>
      <c r="H264" s="5"/>
      <c r="I264" s="5"/>
      <c r="J264" s="5"/>
      <c r="K264" s="5"/>
      <c r="L264" s="5"/>
      <c r="M264" s="5"/>
      <c r="N264" s="5"/>
      <c r="O264" s="5"/>
    </row>
    <row r="265" spans="2:15">
      <c r="B265" s="8"/>
      <c r="C265" s="8" t="str">
        <f>C259</f>
        <v>2016/17</v>
      </c>
      <c r="D265" s="8" t="str">
        <f t="shared" ref="D265:O265" si="8">D259</f>
        <v>2017/18</v>
      </c>
      <c r="E265" s="8" t="str">
        <f t="shared" si="8"/>
        <v>2018/19</v>
      </c>
      <c r="F265" s="8" t="str">
        <f t="shared" si="8"/>
        <v>2019/20</v>
      </c>
      <c r="G265" s="8" t="str">
        <f t="shared" si="8"/>
        <v>2020/21</v>
      </c>
      <c r="H265" s="8" t="str">
        <f t="shared" si="8"/>
        <v>2021/22</v>
      </c>
      <c r="I265" s="8" t="str">
        <f t="shared" si="8"/>
        <v>2022/23</v>
      </c>
      <c r="J265" s="8" t="str">
        <f t="shared" si="8"/>
        <v>2023/24</v>
      </c>
      <c r="K265" s="8" t="str">
        <f t="shared" si="8"/>
        <v>2024/25</v>
      </c>
      <c r="L265" s="8" t="str">
        <f t="shared" si="8"/>
        <v>2025/26</v>
      </c>
      <c r="M265" s="8" t="str">
        <f t="shared" si="8"/>
        <v>2026/27</v>
      </c>
      <c r="N265" s="8" t="str">
        <f t="shared" si="8"/>
        <v>2027/28</v>
      </c>
      <c r="O265" s="8" t="str">
        <f t="shared" si="8"/>
        <v>2028/29</v>
      </c>
    </row>
    <row r="266" spans="2:15">
      <c r="B266" s="8" t="s">
        <v>318</v>
      </c>
      <c r="C266" s="534">
        <f>Calc_overall_Sec_teacher_need!O37</f>
        <v>0</v>
      </c>
      <c r="D266" s="300">
        <f>Calc_overall_Sec_teacher_need!P37</f>
        <v>216086.65028044561</v>
      </c>
      <c r="E266" s="300">
        <f>Calc_overall_Sec_teacher_need!Q37</f>
        <v>218139.92972489828</v>
      </c>
      <c r="F266" s="300">
        <f>Calc_overall_Sec_teacher_need!R37</f>
        <v>220381.43001067408</v>
      </c>
      <c r="G266" s="300">
        <f>Calc_overall_Sec_teacher_need!S37</f>
        <v>222241.67581267739</v>
      </c>
      <c r="H266" s="300">
        <f>Calc_overall_Sec_teacher_need!T37</f>
        <v>224207.98055398947</v>
      </c>
      <c r="I266" s="300">
        <f>Calc_overall_Sec_teacher_need!U37</f>
        <v>226261.9717199837</v>
      </c>
      <c r="J266" s="300">
        <f>Calc_overall_Sec_teacher_need!V37</f>
        <v>228907.94744799117</v>
      </c>
      <c r="K266" s="300">
        <f>Calc_overall_Sec_teacher_need!W37</f>
        <v>230542.58047555937</v>
      </c>
      <c r="L266" s="300">
        <f>Calc_overall_Sec_teacher_need!X37</f>
        <v>231158.36708432634</v>
      </c>
      <c r="M266" s="300">
        <f>Calc_overall_Sec_teacher_need!Y37</f>
        <v>231034.67755026979</v>
      </c>
      <c r="N266" s="300">
        <f>Calc_overall_Sec_teacher_need!Z37</f>
        <v>230762.88261235566</v>
      </c>
      <c r="O266" s="300">
        <f>Calc_overall_Sec_teacher_need!AA37</f>
        <v>230305.12482032957</v>
      </c>
    </row>
    <row r="267" spans="2:15">
      <c r="B267" s="8" t="s">
        <v>317</v>
      </c>
      <c r="C267" s="255">
        <f>Calc_overall_Sec_teacher_need!O34</f>
        <v>14.651626429594298</v>
      </c>
      <c r="D267" s="255">
        <f>Calc_overall_Sec_teacher_need!P34</f>
        <v>14.795826377453437</v>
      </c>
      <c r="E267" s="255">
        <f>Calc_overall_Sec_teacher_need!Q34</f>
        <v>15.009763040433512</v>
      </c>
      <c r="F267" s="255">
        <f>Calc_overall_Sec_teacher_need!R34</f>
        <v>15.244734301796441</v>
      </c>
      <c r="G267" s="255">
        <f>Calc_overall_Sec_teacher_need!S34</f>
        <v>15.44023143860764</v>
      </c>
      <c r="H267" s="255">
        <f>Calc_overall_Sec_teacher_need!T34</f>
        <v>15.647900915878008</v>
      </c>
      <c r="I267" s="255">
        <f>Calc_overall_Sec_teacher_need!U34</f>
        <v>15.865924842047171</v>
      </c>
      <c r="J267" s="255">
        <f>Calc_overall_Sec_teacher_need!V34</f>
        <v>16</v>
      </c>
      <c r="K267" s="255">
        <f>Calc_overall_Sec_teacher_need!W34</f>
        <v>16</v>
      </c>
      <c r="L267" s="255">
        <f>Calc_overall_Sec_teacher_need!X34</f>
        <v>16</v>
      </c>
      <c r="M267" s="255">
        <f>Calc_overall_Sec_teacher_need!Y34</f>
        <v>15.987168242605145</v>
      </c>
      <c r="N267" s="255">
        <f>Calc_overall_Sec_teacher_need!Z34</f>
        <v>15.959006384855895</v>
      </c>
      <c r="O267" s="255">
        <f>Calc_overall_Sec_teacher_need!AA34</f>
        <v>15.911661117855054</v>
      </c>
    </row>
    <row r="269" spans="2:15">
      <c r="B269" s="75" t="s">
        <v>1757</v>
      </c>
    </row>
    <row r="271" spans="2:15">
      <c r="B271" s="76" t="str">
        <f>Teacher_need_by_subject!B48</f>
        <v>Subject</v>
      </c>
      <c r="C271" s="149" t="str">
        <f>Teacher_need_by_subject!C49</f>
        <v>Years 7-9</v>
      </c>
      <c r="D271" s="149" t="str">
        <f>Teacher_need_by_subject!D49</f>
        <v>Years 10-11</v>
      </c>
      <c r="E271" s="149" t="str">
        <f>Teacher_need_by_subject!E49</f>
        <v>Years 12-13</v>
      </c>
    </row>
    <row r="272" spans="2:15">
      <c r="B272" s="76" t="str">
        <f>Teacher_need_by_subject!B50</f>
        <v>Art &amp; Design</v>
      </c>
      <c r="C272" s="498">
        <f>Teacher_need_by_subject!C50</f>
        <v>4.2323120688022325E-2</v>
      </c>
      <c r="D272" s="498">
        <f>Teacher_need_by_subject!D50</f>
        <v>3.8206168686262754E-2</v>
      </c>
      <c r="E272" s="498">
        <f>Teacher_need_by_subject!E50</f>
        <v>6.3067522109936464E-2</v>
      </c>
    </row>
    <row r="273" spans="2:5">
      <c r="B273" s="76" t="str">
        <f>Teacher_need_by_subject!B51</f>
        <v>Biology</v>
      </c>
      <c r="C273" s="498">
        <f>Teacher_need_by_subject!C51</f>
        <v>4.8660731229216284E-2</v>
      </c>
      <c r="D273" s="498">
        <f>Teacher_need_by_subject!D51</f>
        <v>7.7390224355128975E-2</v>
      </c>
      <c r="E273" s="498">
        <f>Teacher_need_by_subject!E51</f>
        <v>8.8798285817861672E-2</v>
      </c>
    </row>
    <row r="274" spans="2:5">
      <c r="B274" s="76" t="str">
        <f>Teacher_need_by_subject!B52</f>
        <v>Business Studies</v>
      </c>
      <c r="C274" s="498">
        <f>Teacher_need_by_subject!C52</f>
        <v>3.3558993125852123E-3</v>
      </c>
      <c r="D274" s="498">
        <f>Teacher_need_by_subject!D52</f>
        <v>2.8032311937612478E-2</v>
      </c>
      <c r="E274" s="498">
        <f>Teacher_need_by_subject!E52</f>
        <v>8.4240456299183863E-2</v>
      </c>
    </row>
    <row r="275" spans="2:5">
      <c r="B275" s="76" t="str">
        <f>Teacher_need_by_subject!B53</f>
        <v>Chemistry</v>
      </c>
      <c r="C275" s="498">
        <f>Teacher_need_by_subject!C53</f>
        <v>4.0482889083857936E-2</v>
      </c>
      <c r="D275" s="498">
        <f>Teacher_need_by_subject!D53</f>
        <v>7.362466418716257E-2</v>
      </c>
      <c r="E275" s="498">
        <f>Teacher_need_by_subject!E53</f>
        <v>7.520320190956406E-2</v>
      </c>
    </row>
    <row r="276" spans="2:5">
      <c r="B276" s="76" t="str">
        <f>Teacher_need_by_subject!B54</f>
        <v>Classics</v>
      </c>
      <c r="C276" s="498">
        <f>Teacher_need_by_subject!C54</f>
        <v>1.0766502332778803E-3</v>
      </c>
      <c r="D276" s="498">
        <f>Teacher_need_by_subject!D54</f>
        <v>1.4191836832633475E-3</v>
      </c>
      <c r="E276" s="498">
        <f>Teacher_need_by_subject!E54</f>
        <v>4.5152103651287991E-3</v>
      </c>
    </row>
    <row r="277" spans="2:5">
      <c r="B277" s="76" t="str">
        <f>Teacher_need_by_subject!B55</f>
        <v>Computing</v>
      </c>
      <c r="C277" s="498">
        <f>Teacher_need_by_subject!C55</f>
        <v>3.2213059272773403E-2</v>
      </c>
      <c r="D277" s="498">
        <f>Teacher_need_by_subject!D55</f>
        <v>3.8795357408518298E-2</v>
      </c>
      <c r="E277" s="498">
        <f>Teacher_need_by_subject!E55</f>
        <v>5.4428569074572337E-2</v>
      </c>
    </row>
    <row r="278" spans="2:5">
      <c r="B278" s="76" t="str">
        <f>Teacher_need_by_subject!B56</f>
        <v>Design &amp; Technology</v>
      </c>
      <c r="C278" s="499">
        <f>Teacher_need_by_subject!C56</f>
        <v>6.0673762388327113E-2</v>
      </c>
      <c r="D278" s="499">
        <f>Teacher_need_by_subject!D56</f>
        <v>4.3483999520095983E-2</v>
      </c>
      <c r="E278" s="499">
        <f>Teacher_need_by_subject!E56</f>
        <v>4.5847270184953708E-2</v>
      </c>
    </row>
    <row r="279" spans="2:5">
      <c r="B279" s="76" t="str">
        <f>Teacher_need_by_subject!B57</f>
        <v>Drama</v>
      </c>
      <c r="C279" s="498">
        <f>Teacher_need_by_subject!C57</f>
        <v>2.8484428187758766E-2</v>
      </c>
      <c r="D279" s="498">
        <f>Teacher_need_by_subject!D57</f>
        <v>2.1168027834433112E-2</v>
      </c>
      <c r="E279" s="498">
        <f>Teacher_need_by_subject!E57</f>
        <v>3.2801595540584122E-2</v>
      </c>
    </row>
    <row r="280" spans="2:5">
      <c r="B280" s="76" t="str">
        <f>Teacher_need_by_subject!B58</f>
        <v>English</v>
      </c>
      <c r="C280" s="498">
        <f>Teacher_need_by_subject!C58</f>
        <v>0.15490382983133591</v>
      </c>
      <c r="D280" s="498">
        <f>Teacher_need_by_subject!D58</f>
        <v>0.19872568302339533</v>
      </c>
      <c r="E280" s="498">
        <f>Teacher_need_by_subject!E58</f>
        <v>0.11501172526947405</v>
      </c>
    </row>
    <row r="281" spans="2:5">
      <c r="B281" s="76" t="str">
        <f>Teacher_need_by_subject!B59</f>
        <v>Food</v>
      </c>
      <c r="C281" s="498">
        <f>Teacher_need_by_subject!C59</f>
        <v>8.7345498448685721E-3</v>
      </c>
      <c r="D281" s="498">
        <f>Teacher_need_by_subject!D59</f>
        <v>1.7177990641871626E-2</v>
      </c>
      <c r="E281" s="498">
        <f>Teacher_need_by_subject!E59</f>
        <v>6.2735158624228765E-3</v>
      </c>
    </row>
    <row r="282" spans="2:5">
      <c r="B282" s="76" t="str">
        <f>Teacher_need_by_subject!B60</f>
        <v>Geography</v>
      </c>
      <c r="C282" s="498">
        <f>Teacher_need_by_subject!C60</f>
        <v>5.9155024810902866E-2</v>
      </c>
      <c r="D282" s="498">
        <f>Teacher_need_by_subject!D60</f>
        <v>5.3873382123575286E-2</v>
      </c>
      <c r="E282" s="498">
        <f>Teacher_need_by_subject!E60</f>
        <v>5.4348029349660668E-2</v>
      </c>
    </row>
    <row r="283" spans="2:5">
      <c r="B283" s="76" t="str">
        <f>Teacher_need_by_subject!B61</f>
        <v>History</v>
      </c>
      <c r="C283" s="498">
        <f>Teacher_need_by_subject!C61</f>
        <v>6.0679402394068972E-2</v>
      </c>
      <c r="D283" s="498">
        <f>Teacher_need_by_subject!D61</f>
        <v>5.7398742651469707E-2</v>
      </c>
      <c r="E283" s="498">
        <f>Teacher_need_by_subject!E61</f>
        <v>6.7587520509217083E-2</v>
      </c>
    </row>
    <row r="284" spans="2:5">
      <c r="B284" s="76" t="str">
        <f>Teacher_need_by_subject!B62</f>
        <v>Mathematics</v>
      </c>
      <c r="C284" s="498">
        <f>Teacher_need_by_subject!C62</f>
        <v>0.14968375882051274</v>
      </c>
      <c r="D284" s="498">
        <f>Teacher_need_by_subject!D62</f>
        <v>0.19176620803839234</v>
      </c>
      <c r="E284" s="498">
        <f>Teacher_need_by_subject!E62</f>
        <v>0.15248830650951367</v>
      </c>
    </row>
    <row r="285" spans="2:5">
      <c r="B285" s="149" t="str">
        <f>Teacher_need_by_subject!B63</f>
        <v>Modern Foreign Languages</v>
      </c>
      <c r="C285" s="499">
        <f>Teacher_need_by_subject!C63</f>
        <v>8.8453790847454195E-2</v>
      </c>
      <c r="D285" s="499">
        <f>Teacher_need_by_subject!D63</f>
        <v>6.882801103779243E-2</v>
      </c>
      <c r="E285" s="499">
        <f>Teacher_need_by_subject!E63</f>
        <v>5.7722668305050039E-2</v>
      </c>
    </row>
    <row r="286" spans="2:5">
      <c r="B286" s="76" t="str">
        <f>Teacher_need_by_subject!B64</f>
        <v>Music</v>
      </c>
      <c r="C286" s="498">
        <f>Teacher_need_by_subject!C64</f>
        <v>3.2702313242190272E-2</v>
      </c>
      <c r="D286" s="498">
        <f>Teacher_need_by_subject!D64</f>
        <v>1.7139711577684465E-2</v>
      </c>
      <c r="E286" s="498">
        <f>Teacher_need_by_subject!E64</f>
        <v>2.6244156785755483E-2</v>
      </c>
    </row>
    <row r="287" spans="2:5">
      <c r="B287" s="76" t="str">
        <f>Teacher_need_by_subject!B65</f>
        <v>Others</v>
      </c>
      <c r="C287" s="498">
        <f>Teacher_need_by_subject!C65</f>
        <v>3.5326082748277296E-2</v>
      </c>
      <c r="D287" s="498">
        <f>Teacher_need_by_subject!D65</f>
        <v>6.4683479304139174E-2</v>
      </c>
      <c r="E287" s="498">
        <f>Teacher_need_by_subject!E65</f>
        <v>0.3032528077324162</v>
      </c>
    </row>
    <row r="288" spans="2:5">
      <c r="B288" s="76" t="str">
        <f>Teacher_need_by_subject!B66</f>
        <v>Physical Education</v>
      </c>
      <c r="C288" s="498">
        <f>Teacher_need_by_subject!C66</f>
        <v>8.5112522551981984E-2</v>
      </c>
      <c r="D288" s="498">
        <f>Teacher_need_by_subject!D66</f>
        <v>0.10031653413317337</v>
      </c>
      <c r="E288" s="498">
        <f>Teacher_need_by_subject!E66</f>
        <v>6.7470679764317601E-2</v>
      </c>
    </row>
    <row r="289" spans="2:5">
      <c r="B289" s="76" t="str">
        <f>Teacher_need_by_subject!B67</f>
        <v>Physics</v>
      </c>
      <c r="C289" s="498">
        <f>Teacher_need_by_subject!C67</f>
        <v>4.1090048895139016E-2</v>
      </c>
      <c r="D289" s="498">
        <f>Teacher_need_by_subject!D67</f>
        <v>7.3657457948410318E-2</v>
      </c>
      <c r="E289" s="498">
        <f>Teacher_need_by_subject!E67</f>
        <v>6.1341588808146719E-2</v>
      </c>
    </row>
    <row r="290" spans="2:5">
      <c r="B290" s="76" t="str">
        <f>Teacher_need_by_subject!B68</f>
        <v>Religious Education</v>
      </c>
      <c r="C290" s="498">
        <f>Teacher_need_by_subject!C68</f>
        <v>3.7534705780395368E-2</v>
      </c>
      <c r="D290" s="498">
        <f>Teacher_need_by_subject!D68</f>
        <v>4.2268856628674266E-2</v>
      </c>
      <c r="E290" s="498">
        <f>Teacher_need_by_subject!E68</f>
        <v>3.8643303225684961E-2</v>
      </c>
    </row>
    <row r="291" spans="2:5">
      <c r="B291" s="76" t="str">
        <f>Teacher_need_by_subject!B69</f>
        <v>Total</v>
      </c>
      <c r="C291" s="498">
        <f>Teacher_need_by_subject!C69</f>
        <v>1.0106465701629459</v>
      </c>
      <c r="D291" s="498">
        <f>Teacher_need_by_subject!D69</f>
        <v>1.2079559947210559</v>
      </c>
      <c r="E291" s="498">
        <f>Teacher_need_by_subject!E69</f>
        <v>1.3992864134234446</v>
      </c>
    </row>
    <row r="293" spans="2:5">
      <c r="B293" s="75" t="s">
        <v>319</v>
      </c>
    </row>
    <row r="294" spans="2:5">
      <c r="B294" s="12"/>
    </row>
    <row r="295" spans="2:5">
      <c r="B295" s="147" t="s">
        <v>1320</v>
      </c>
    </row>
    <row r="297" spans="2:5">
      <c r="B297" s="147" t="s">
        <v>320</v>
      </c>
    </row>
    <row r="299" spans="2:5">
      <c r="B299" s="107" t="s">
        <v>821</v>
      </c>
      <c r="C299" s="5"/>
    </row>
    <row r="300" spans="2:5">
      <c r="B300" s="5"/>
      <c r="C300" s="5"/>
    </row>
    <row r="301" spans="2:5">
      <c r="B301" s="8" t="str">
        <f>Entrant_age_breakdowns!B57</f>
        <v>Age group</v>
      </c>
      <c r="C301" s="8" t="s">
        <v>302</v>
      </c>
    </row>
    <row r="302" spans="2:5">
      <c r="B302" s="8" t="str">
        <f>Entrant_age_breakdowns!B59</f>
        <v>20-24</v>
      </c>
      <c r="C302" s="531">
        <f>Entrant_age_breakdowns!K59</f>
        <v>0.31578470316889601</v>
      </c>
    </row>
    <row r="303" spans="2:5">
      <c r="B303" s="8" t="str">
        <f>Entrant_age_breakdowns!B60</f>
        <v>25-29</v>
      </c>
      <c r="C303" s="531">
        <f>Entrant_age_breakdowns!K60</f>
        <v>0.24143379282559391</v>
      </c>
    </row>
    <row r="304" spans="2:5">
      <c r="B304" s="8" t="str">
        <f>Entrant_age_breakdowns!B61</f>
        <v>30-34</v>
      </c>
      <c r="C304" s="531">
        <f>Entrant_age_breakdowns!K61</f>
        <v>0.11229914277047406</v>
      </c>
    </row>
    <row r="305" spans="2:3">
      <c r="B305" s="8" t="str">
        <f>Entrant_age_breakdowns!B62</f>
        <v>35-39</v>
      </c>
      <c r="C305" s="531">
        <f>Entrant_age_breakdowns!K62</f>
        <v>9.2901649617088577E-2</v>
      </c>
    </row>
    <row r="306" spans="2:3">
      <c r="B306" s="8" t="str">
        <f>Entrant_age_breakdowns!B63</f>
        <v>40-44</v>
      </c>
      <c r="C306" s="531">
        <f>Entrant_age_breakdowns!K63</f>
        <v>8.8335026112348544E-2</v>
      </c>
    </row>
    <row r="307" spans="2:3">
      <c r="B307" s="8" t="str">
        <f>Entrant_age_breakdowns!B64</f>
        <v>45-49</v>
      </c>
      <c r="C307" s="531">
        <f>Entrant_age_breakdowns!K64</f>
        <v>6.6105574498002223E-2</v>
      </c>
    </row>
    <row r="308" spans="2:3">
      <c r="B308" s="8" t="str">
        <f>Entrant_age_breakdowns!B65</f>
        <v>50-54</v>
      </c>
      <c r="C308" s="531">
        <f>Entrant_age_breakdowns!K65</f>
        <v>4.2316938750293381E-2</v>
      </c>
    </row>
    <row r="309" spans="2:3">
      <c r="B309" s="8" t="str">
        <f>Entrant_age_breakdowns!B66</f>
        <v>55-59</v>
      </c>
      <c r="C309" s="531">
        <f>Entrant_age_breakdowns!K66</f>
        <v>2.5096541374904274E-2</v>
      </c>
    </row>
    <row r="310" spans="2:3">
      <c r="B310" s="8" t="str">
        <f>Entrant_age_breakdowns!B67</f>
        <v>60-64</v>
      </c>
      <c r="C310" s="531">
        <f>Entrant_age_breakdowns!K67</f>
        <v>1.2341476663061674E-2</v>
      </c>
    </row>
    <row r="311" spans="2:3">
      <c r="B311" s="8" t="str">
        <f>Entrant_age_breakdowns!B68</f>
        <v>65 plus</v>
      </c>
      <c r="C311" s="531">
        <f>Entrant_age_breakdowns!K68</f>
        <v>3.3851542193372459E-3</v>
      </c>
    </row>
    <row r="312" spans="2:3">
      <c r="B312" s="8" t="str">
        <f>Entrant_age_breakdowns!B69</f>
        <v>Total</v>
      </c>
      <c r="C312" s="531">
        <f>Entrant_age_breakdowns!K69</f>
        <v>1</v>
      </c>
    </row>
    <row r="313" spans="2:3">
      <c r="B313" s="5"/>
      <c r="C313" s="5"/>
    </row>
    <row r="314" spans="2:3">
      <c r="B314" s="107" t="s">
        <v>321</v>
      </c>
      <c r="C314" s="5"/>
    </row>
    <row r="315" spans="2:3">
      <c r="B315" s="5"/>
      <c r="C315" s="5"/>
    </row>
    <row r="316" spans="2:3">
      <c r="B316" s="8" t="str">
        <f>B301</f>
        <v>Age group</v>
      </c>
      <c r="C316" s="8" t="s">
        <v>249</v>
      </c>
    </row>
    <row r="317" spans="2:3">
      <c r="B317" s="8" t="str">
        <f t="shared" ref="B317:B327" si="9">B302</f>
        <v>20-24</v>
      </c>
      <c r="C317" s="531">
        <f>Entrant_age_breakdowns!K76</f>
        <v>0.2567388535902444</v>
      </c>
    </row>
    <row r="318" spans="2:3">
      <c r="B318" s="8" t="str">
        <f t="shared" si="9"/>
        <v>25-29</v>
      </c>
      <c r="C318" s="531">
        <f>Entrant_age_breakdowns!K77</f>
        <v>0.26207420027744543</v>
      </c>
    </row>
    <row r="319" spans="2:3">
      <c r="B319" s="8" t="str">
        <f t="shared" si="9"/>
        <v>30-34</v>
      </c>
      <c r="C319" s="531">
        <f>Entrant_age_breakdowns!K78</f>
        <v>0.13015983735666406</v>
      </c>
    </row>
    <row r="320" spans="2:3">
      <c r="B320" s="8" t="str">
        <f t="shared" si="9"/>
        <v>35-39</v>
      </c>
      <c r="C320" s="531">
        <f>Entrant_age_breakdowns!K79</f>
        <v>9.7012404707566044E-2</v>
      </c>
    </row>
    <row r="321" spans="2:3">
      <c r="B321" s="8" t="str">
        <f t="shared" si="9"/>
        <v>40-44</v>
      </c>
      <c r="C321" s="531">
        <f>Entrant_age_breakdowns!K80</f>
        <v>8.3357552790127035E-2</v>
      </c>
    </row>
    <row r="322" spans="2:3">
      <c r="B322" s="8" t="str">
        <f t="shared" si="9"/>
        <v>45-49</v>
      </c>
      <c r="C322" s="531">
        <f>Entrant_age_breakdowns!K81</f>
        <v>6.7190929236437519E-2</v>
      </c>
    </row>
    <row r="323" spans="2:3">
      <c r="B323" s="8" t="str">
        <f t="shared" si="9"/>
        <v>50-54</v>
      </c>
      <c r="C323" s="531">
        <f>Entrant_age_breakdowns!K82</f>
        <v>4.9788746167093931E-2</v>
      </c>
    </row>
    <row r="324" spans="2:3">
      <c r="B324" s="8" t="str">
        <f t="shared" si="9"/>
        <v>55-59</v>
      </c>
      <c r="C324" s="531">
        <f>Entrant_age_breakdowns!K83</f>
        <v>3.2267370672373619E-2</v>
      </c>
    </row>
    <row r="325" spans="2:3">
      <c r="B325" s="8" t="str">
        <f t="shared" si="9"/>
        <v>60-64</v>
      </c>
      <c r="C325" s="531">
        <f>Entrant_age_breakdowns!K84</f>
        <v>1.6455408414047027E-2</v>
      </c>
    </row>
    <row r="326" spans="2:3">
      <c r="B326" s="8" t="str">
        <f t="shared" si="9"/>
        <v>65 plus</v>
      </c>
      <c r="C326" s="531">
        <f>Entrant_age_breakdowns!K85</f>
        <v>4.9546967880008726E-3</v>
      </c>
    </row>
    <row r="327" spans="2:3">
      <c r="B327" s="8" t="str">
        <f t="shared" si="9"/>
        <v>Total</v>
      </c>
      <c r="C327" s="531">
        <f>Entrant_age_breakdowns!K86</f>
        <v>1</v>
      </c>
    </row>
    <row r="329" spans="2:3">
      <c r="B329" s="75" t="s">
        <v>816</v>
      </c>
    </row>
    <row r="330" spans="2:3">
      <c r="B330" s="75"/>
    </row>
    <row r="331" spans="2:3">
      <c r="B331" s="147" t="s">
        <v>730</v>
      </c>
    </row>
    <row r="332" spans="2:3">
      <c r="B332" s="75"/>
    </row>
    <row r="333" spans="2:3">
      <c r="B333" s="107" t="s">
        <v>35</v>
      </c>
    </row>
    <row r="334" spans="2:3">
      <c r="B334" s="75"/>
    </row>
    <row r="335" spans="2:3">
      <c r="B335" s="8" t="str">
        <f>Data_selected_by_user_testing!C131</f>
        <v>New to state-funded sector</v>
      </c>
      <c r="C335" s="628">
        <f>Data_selected_by_user_testing!D131</f>
        <v>0.13665631794515024</v>
      </c>
    </row>
    <row r="336" spans="2:3">
      <c r="B336" s="8" t="str">
        <f>Data_selected_by_user_testing!C132</f>
        <v>Re-entrants</v>
      </c>
      <c r="C336" s="628">
        <f>Data_selected_by_user_testing!D132</f>
        <v>0.34266682135283477</v>
      </c>
    </row>
    <row r="337" spans="2:3">
      <c r="B337" s="8" t="str">
        <f>Data_selected_by_user_testing!C133</f>
        <v>NQTs</v>
      </c>
      <c r="C337" s="628">
        <f>Data_selected_by_user_testing!D133</f>
        <v>0.52067686070201502</v>
      </c>
    </row>
    <row r="338" spans="2:3">
      <c r="B338" s="8" t="str">
        <f>Data_selected_by_user_testing!C134</f>
        <v>Total</v>
      </c>
      <c r="C338" s="628">
        <f>Data_selected_by_user_testing!D134</f>
        <v>1</v>
      </c>
    </row>
    <row r="339" spans="2:3">
      <c r="B339" s="75"/>
    </row>
    <row r="340" spans="2:3">
      <c r="B340" s="107" t="s">
        <v>729</v>
      </c>
    </row>
    <row r="341" spans="2:3">
      <c r="B341" s="75"/>
    </row>
    <row r="342" spans="2:3">
      <c r="B342" s="8" t="str">
        <f>Data_selected_by_user_testing!C138</f>
        <v>New to state-funded sector</v>
      </c>
      <c r="C342" s="628">
        <f>Data_selected_by_user_testing!D138</f>
        <v>0.12684612446257185</v>
      </c>
    </row>
    <row r="343" spans="2:3">
      <c r="B343" s="8" t="str">
        <f>Data_selected_by_user_testing!C139</f>
        <v>Re-entrants</v>
      </c>
      <c r="C343" s="628">
        <f>Data_selected_by_user_testing!D139</f>
        <v>0.35907502473279856</v>
      </c>
    </row>
    <row r="344" spans="2:3">
      <c r="B344" s="8" t="str">
        <f>Data_selected_by_user_testing!C140</f>
        <v>NQTs</v>
      </c>
      <c r="C344" s="628">
        <f>Data_selected_by_user_testing!D140</f>
        <v>0.51407885080462956</v>
      </c>
    </row>
    <row r="345" spans="2:3">
      <c r="B345" s="8" t="str">
        <f>Data_selected_by_user_testing!C141</f>
        <v>Total</v>
      </c>
      <c r="C345" s="628">
        <f>Data_selected_by_user_testing!D141</f>
        <v>1</v>
      </c>
    </row>
    <row r="346" spans="2:3">
      <c r="B346" s="75"/>
    </row>
    <row r="347" spans="2:3">
      <c r="B347" s="75" t="s">
        <v>822</v>
      </c>
    </row>
    <row r="348" spans="2:3">
      <c r="B348" s="75"/>
    </row>
    <row r="349" spans="2:3" ht="25.5">
      <c r="B349" s="138" t="str">
        <f>RAW_DATA_INPUTS!B423</f>
        <v>Phase</v>
      </c>
      <c r="C349" s="76" t="str">
        <f>RAW_DATA_INPUTS!C423</f>
        <v>Average FTE rate</v>
      </c>
    </row>
    <row r="350" spans="2:3">
      <c r="B350" s="8" t="str">
        <f>RAW_DATA_INPUTS!B424</f>
        <v xml:space="preserve">Primary </v>
      </c>
      <c r="C350" s="255">
        <f>RAW_DATA_INPUTS!C424</f>
        <v>0.57799999999999996</v>
      </c>
    </row>
    <row r="351" spans="2:3">
      <c r="B351" s="8" t="str">
        <f>RAW_DATA_INPUTS!B425</f>
        <v>Secondary</v>
      </c>
      <c r="C351" s="255">
        <f>RAW_DATA_INPUTS!C425</f>
        <v>0.625</v>
      </c>
    </row>
    <row r="352" spans="2:3">
      <c r="B352" s="75"/>
    </row>
    <row r="353" spans="2:3">
      <c r="B353" s="75" t="s">
        <v>817</v>
      </c>
    </row>
    <row r="355" spans="2:3">
      <c r="B355" s="107" t="s">
        <v>35</v>
      </c>
    </row>
    <row r="357" spans="2:3" ht="25.5">
      <c r="B357" s="138" t="str">
        <f>'Calc_PRIM_part-time_entrants'!B46</f>
        <v>Entrant route</v>
      </c>
      <c r="C357" s="149" t="s">
        <v>728</v>
      </c>
    </row>
    <row r="358" spans="2:3">
      <c r="B358" s="138" t="str">
        <f>'Calc_PRIM_part-time_entrants'!B47</f>
        <v>New to state-funded sector</v>
      </c>
      <c r="C358" s="629">
        <f>'Calc_PRIM_part-time_entrants'!G47</f>
        <v>0.14023644614121178</v>
      </c>
    </row>
    <row r="359" spans="2:3">
      <c r="B359" s="138" t="str">
        <f>'Calc_PRIM_part-time_entrants'!B48</f>
        <v>Re-entrants</v>
      </c>
      <c r="C359" s="629">
        <f>'Calc_PRIM_part-time_entrants'!G48</f>
        <v>0.42815966636750707</v>
      </c>
    </row>
    <row r="360" spans="2:3">
      <c r="B360" s="138" t="str">
        <f>'Calc_PRIM_part-time_entrants'!B49</f>
        <v>NQTs</v>
      </c>
      <c r="C360" s="629">
        <f>'Calc_PRIM_part-time_entrants'!G49</f>
        <v>3.1560003997586947E-2</v>
      </c>
    </row>
    <row r="362" spans="2:3">
      <c r="B362" s="107" t="s">
        <v>729</v>
      </c>
    </row>
    <row r="364" spans="2:3" ht="25.5">
      <c r="B364" s="138" t="str">
        <f>B357</f>
        <v>Entrant route</v>
      </c>
      <c r="C364" s="149" t="s">
        <v>728</v>
      </c>
    </row>
    <row r="365" spans="2:3">
      <c r="B365" s="138" t="str">
        <f>B358</f>
        <v>New to state-funded sector</v>
      </c>
      <c r="C365" s="629">
        <f>'Calc_SEC_part-time_entrants'!G47</f>
        <v>0.15073275895046184</v>
      </c>
    </row>
    <row r="366" spans="2:3">
      <c r="B366" s="138" t="str">
        <f>B359</f>
        <v>Re-entrants</v>
      </c>
      <c r="C366" s="629">
        <f>'Calc_SEC_part-time_entrants'!G48</f>
        <v>0.29096991237775327</v>
      </c>
    </row>
    <row r="367" spans="2:3">
      <c r="B367" s="138" t="str">
        <f>B360</f>
        <v>NQTs</v>
      </c>
      <c r="C367" s="629">
        <f>'Calc_SEC_part-time_entrants'!G49</f>
        <v>3.7198344941724769E-2</v>
      </c>
    </row>
    <row r="369" spans="2:3">
      <c r="B369" s="75" t="s">
        <v>818</v>
      </c>
    </row>
    <row r="371" spans="2:3" ht="25.5">
      <c r="B371" s="138" t="s">
        <v>59</v>
      </c>
      <c r="C371" s="149" t="s">
        <v>727</v>
      </c>
    </row>
    <row r="372" spans="2:3">
      <c r="B372" s="8" t="str">
        <f>RAW_DATA_INPUTS!B478</f>
        <v>Art &amp; Design</v>
      </c>
      <c r="C372" s="628">
        <f>RAW_DATA_INPUTS!C509</f>
        <v>0.87353445960274267</v>
      </c>
    </row>
    <row r="373" spans="2:3">
      <c r="B373" s="8" t="str">
        <f>RAW_DATA_INPUTS!B479</f>
        <v>Biology</v>
      </c>
      <c r="C373" s="628">
        <f>RAW_DATA_INPUTS!C510</f>
        <v>0.79247145981751177</v>
      </c>
    </row>
    <row r="374" spans="2:3">
      <c r="B374" s="8" t="str">
        <f>RAW_DATA_INPUTS!B480</f>
        <v>Business Studies</v>
      </c>
      <c r="C374" s="628">
        <f>RAW_DATA_INPUTS!C511</f>
        <v>0.76197345289973084</v>
      </c>
    </row>
    <row r="375" spans="2:3">
      <c r="B375" s="8" t="str">
        <f>RAW_DATA_INPUTS!B481</f>
        <v>Chemistry</v>
      </c>
      <c r="C375" s="628">
        <f>RAW_DATA_INPUTS!C512</f>
        <v>0.8062879868928704</v>
      </c>
    </row>
    <row r="376" spans="2:3">
      <c r="B376" s="8" t="str">
        <f>RAW_DATA_INPUTS!B482</f>
        <v>Classics</v>
      </c>
      <c r="C376" s="628">
        <f>RAW_DATA_INPUTS!C513</f>
        <v>0.76197345289973084</v>
      </c>
    </row>
    <row r="377" spans="2:3">
      <c r="B377" s="8" t="str">
        <f>RAW_DATA_INPUTS!B483</f>
        <v>Computing</v>
      </c>
      <c r="C377" s="628">
        <f>RAW_DATA_INPUTS!C514</f>
        <v>0.84182925089482463</v>
      </c>
    </row>
    <row r="378" spans="2:3">
      <c r="B378" s="8" t="str">
        <f>RAW_DATA_INPUTS!B484</f>
        <v>Design &amp; Technology</v>
      </c>
      <c r="C378" s="628">
        <f>RAW_DATA_INPUTS!C515</f>
        <v>0.76197345289973084</v>
      </c>
    </row>
    <row r="379" spans="2:3">
      <c r="B379" s="8" t="str">
        <f>RAW_DATA_INPUTS!B485</f>
        <v>Drama</v>
      </c>
      <c r="C379" s="628">
        <f>RAW_DATA_INPUTS!C516</f>
        <v>0.76197345289973084</v>
      </c>
    </row>
    <row r="380" spans="2:3">
      <c r="B380" s="8" t="str">
        <f>RAW_DATA_INPUTS!B486</f>
        <v>English</v>
      </c>
      <c r="C380" s="628">
        <f>RAW_DATA_INPUTS!C517</f>
        <v>0.86821719957494592</v>
      </c>
    </row>
    <row r="381" spans="2:3">
      <c r="B381" s="8" t="s">
        <v>397</v>
      </c>
      <c r="C381" s="628">
        <f>RAW_DATA_INPUTS!C518</f>
        <v>0.76197345289973084</v>
      </c>
    </row>
    <row r="382" spans="2:3">
      <c r="B382" s="8" t="str">
        <f>RAW_DATA_INPUTS!B488</f>
        <v>Geography</v>
      </c>
      <c r="C382" s="628">
        <f>RAW_DATA_INPUTS!C519</f>
        <v>0.83368028279654371</v>
      </c>
    </row>
    <row r="383" spans="2:3">
      <c r="B383" s="8" t="str">
        <f>RAW_DATA_INPUTS!B489</f>
        <v>History</v>
      </c>
      <c r="C383" s="628">
        <f>RAW_DATA_INPUTS!C520</f>
        <v>0.90788935921763247</v>
      </c>
    </row>
    <row r="384" spans="2:3">
      <c r="B384" s="8" t="str">
        <f>RAW_DATA_INPUTS!B490</f>
        <v>Mathematics</v>
      </c>
      <c r="C384" s="628">
        <f>RAW_DATA_INPUTS!C521</f>
        <v>0.87219511552719786</v>
      </c>
    </row>
    <row r="385" spans="2:3">
      <c r="B385" s="8" t="str">
        <f>RAW_DATA_INPUTS!B491</f>
        <v>Modern Foreign Languages</v>
      </c>
      <c r="C385" s="628">
        <f>RAW_DATA_INPUTS!C522</f>
        <v>0.94246018280740651</v>
      </c>
    </row>
    <row r="386" spans="2:3">
      <c r="B386" s="8" t="str">
        <f>RAW_DATA_INPUTS!B492</f>
        <v>Music</v>
      </c>
      <c r="C386" s="628">
        <f>RAW_DATA_INPUTS!C523</f>
        <v>0.9619734528997308</v>
      </c>
    </row>
    <row r="387" spans="2:3">
      <c r="B387" s="8" t="str">
        <f>RAW_DATA_INPUTS!B493</f>
        <v>Others</v>
      </c>
      <c r="C387" s="628">
        <f>RAW_DATA_INPUTS!C524</f>
        <v>0.76197345289973084</v>
      </c>
    </row>
    <row r="388" spans="2:3">
      <c r="B388" s="8" t="str">
        <f>RAW_DATA_INPUTS!B494</f>
        <v>Physical Education</v>
      </c>
      <c r="C388" s="628">
        <f>RAW_DATA_INPUTS!C525</f>
        <v>0.87123879551164074</v>
      </c>
    </row>
    <row r="389" spans="2:3">
      <c r="B389" s="8" t="str">
        <f>RAW_DATA_INPUTS!B495</f>
        <v>Physics</v>
      </c>
      <c r="C389" s="628">
        <f>RAW_DATA_INPUTS!C526</f>
        <v>0.83555555555555561</v>
      </c>
    </row>
    <row r="390" spans="2:3">
      <c r="B390" s="8" t="str">
        <f>RAW_DATA_INPUTS!B496</f>
        <v>Primary</v>
      </c>
      <c r="C390" s="628">
        <f>RAW_DATA_INPUTS!C527</f>
        <v>0.86404708139829034</v>
      </c>
    </row>
    <row r="391" spans="2:3">
      <c r="B391" s="8" t="str">
        <f>RAW_DATA_INPUTS!B497</f>
        <v>Religious Education</v>
      </c>
      <c r="C391" s="628">
        <f>RAW_DATA_INPUTS!C528</f>
        <v>0.87026154540763678</v>
      </c>
    </row>
    <row r="393" spans="2:3">
      <c r="B393" s="75" t="s">
        <v>819</v>
      </c>
    </row>
    <row r="395" spans="2:3" ht="89.25">
      <c r="B395" s="138" t="str">
        <f t="shared" ref="B395:B415" si="10">B371</f>
        <v>Subject</v>
      </c>
      <c r="C395" s="149" t="s">
        <v>726</v>
      </c>
    </row>
    <row r="396" spans="2:3">
      <c r="B396" s="138" t="str">
        <f t="shared" si="10"/>
        <v>Art &amp; Design</v>
      </c>
      <c r="C396" s="628">
        <f>RAW_DATA_INPUTS!C478</f>
        <v>0.8356640040850567</v>
      </c>
    </row>
    <row r="397" spans="2:3">
      <c r="B397" s="138" t="str">
        <f t="shared" si="10"/>
        <v>Biology</v>
      </c>
      <c r="C397" s="628">
        <f>RAW_DATA_INPUTS!C479</f>
        <v>0.80718406160507539</v>
      </c>
    </row>
    <row r="398" spans="2:3">
      <c r="B398" s="138" t="str">
        <f t="shared" si="10"/>
        <v>Business Studies</v>
      </c>
      <c r="C398" s="628">
        <f>RAW_DATA_INPUTS!C480</f>
        <v>0.71816580359993998</v>
      </c>
    </row>
    <row r="399" spans="2:3">
      <c r="B399" s="138" t="str">
        <f t="shared" si="10"/>
        <v>Chemistry</v>
      </c>
      <c r="C399" s="628">
        <f>RAW_DATA_INPUTS!C481</f>
        <v>0.78667464266615916</v>
      </c>
    </row>
    <row r="400" spans="2:3">
      <c r="B400" s="138" t="str">
        <f t="shared" si="10"/>
        <v>Classics</v>
      </c>
      <c r="C400" s="628">
        <f>RAW_DATA_INPUTS!C482</f>
        <v>0.71816580359993998</v>
      </c>
    </row>
    <row r="401" spans="2:3">
      <c r="B401" s="138" t="str">
        <f t="shared" si="10"/>
        <v>Computing</v>
      </c>
      <c r="C401" s="628">
        <f>RAW_DATA_INPUTS!C483</f>
        <v>0.74559534501907387</v>
      </c>
    </row>
    <row r="402" spans="2:3">
      <c r="B402" s="138" t="str">
        <f t="shared" si="10"/>
        <v>Design &amp; Technology</v>
      </c>
      <c r="C402" s="628">
        <f>RAW_DATA_INPUTS!C484</f>
        <v>0.76073012587244093</v>
      </c>
    </row>
    <row r="403" spans="2:3">
      <c r="B403" s="138" t="str">
        <f t="shared" si="10"/>
        <v>Drama</v>
      </c>
      <c r="C403" s="628">
        <f>RAW_DATA_INPUTS!C485</f>
        <v>0.71816580359993998</v>
      </c>
    </row>
    <row r="404" spans="2:3">
      <c r="B404" s="138" t="str">
        <f t="shared" si="10"/>
        <v>English</v>
      </c>
      <c r="C404" s="628">
        <f>RAW_DATA_INPUTS!C486</f>
        <v>0.86426335010355448</v>
      </c>
    </row>
    <row r="405" spans="2:3">
      <c r="B405" s="138" t="str">
        <f t="shared" si="10"/>
        <v>Food</v>
      </c>
      <c r="C405" s="628">
        <f>RAW_DATA_INPUTS!C487</f>
        <v>0.71816580359993998</v>
      </c>
    </row>
    <row r="406" spans="2:3">
      <c r="B406" s="138" t="str">
        <f t="shared" si="10"/>
        <v>Geography</v>
      </c>
      <c r="C406" s="628">
        <f>RAW_DATA_INPUTS!C488</f>
        <v>0.82241629985327469</v>
      </c>
    </row>
    <row r="407" spans="2:3">
      <c r="B407" s="138" t="str">
        <f t="shared" si="10"/>
        <v>History</v>
      </c>
      <c r="C407" s="628">
        <f>RAW_DATA_INPUTS!C489</f>
        <v>0.91680469289164945</v>
      </c>
    </row>
    <row r="408" spans="2:3">
      <c r="B408" s="138" t="str">
        <f t="shared" si="10"/>
        <v>Mathematics</v>
      </c>
      <c r="C408" s="628">
        <f>RAW_DATA_INPUTS!C490</f>
        <v>0.83162473667079739</v>
      </c>
    </row>
    <row r="409" spans="2:3">
      <c r="B409" s="138" t="str">
        <f t="shared" si="10"/>
        <v>Modern Foreign Languages</v>
      </c>
      <c r="C409" s="628">
        <f>RAW_DATA_INPUTS!C491</f>
        <v>0.86415064366192196</v>
      </c>
    </row>
    <row r="410" spans="2:3">
      <c r="B410" s="138" t="str">
        <f t="shared" si="10"/>
        <v>Music</v>
      </c>
      <c r="C410" s="628">
        <f>RAW_DATA_INPUTS!C492</f>
        <v>0.91816580359993993</v>
      </c>
    </row>
    <row r="411" spans="2:3">
      <c r="B411" s="138" t="str">
        <f t="shared" si="10"/>
        <v>Others</v>
      </c>
      <c r="C411" s="628">
        <f>RAW_DATA_INPUTS!C493</f>
        <v>0.71816580359993998</v>
      </c>
    </row>
    <row r="412" spans="2:3">
      <c r="B412" s="138" t="str">
        <f t="shared" si="10"/>
        <v>Physical Education</v>
      </c>
      <c r="C412" s="628">
        <f>RAW_DATA_INPUTS!C494</f>
        <v>0.80146993443075787</v>
      </c>
    </row>
    <row r="413" spans="2:3">
      <c r="B413" s="138" t="str">
        <f t="shared" si="10"/>
        <v>Physics</v>
      </c>
      <c r="C413" s="628">
        <f>RAW_DATA_INPUTS!C495</f>
        <v>0.71816580359993998</v>
      </c>
    </row>
    <row r="414" spans="2:3">
      <c r="B414" s="138" t="str">
        <f t="shared" si="10"/>
        <v>Primary</v>
      </c>
      <c r="C414" s="628">
        <f>RAW_DATA_INPUTS!C496</f>
        <v>0.81859377286715618</v>
      </c>
    </row>
    <row r="415" spans="2:3">
      <c r="B415" s="138" t="str">
        <f t="shared" si="10"/>
        <v>Religious Education</v>
      </c>
      <c r="C415" s="628">
        <f>RAW_DATA_INPUTS!C497</f>
        <v>0.86469108669108663</v>
      </c>
    </row>
  </sheetData>
  <mergeCells count="1">
    <mergeCell ref="A5:O5"/>
  </mergeCells>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D68"/>
  <sheetViews>
    <sheetView showGridLines="0" workbookViewId="0"/>
  </sheetViews>
  <sheetFormatPr defaultColWidth="9.140625" defaultRowHeight="12.75"/>
  <cols>
    <col min="1" max="1" width="9.140625" style="302"/>
    <col min="2" max="2" width="43.7109375" style="302" customWidth="1"/>
    <col min="3" max="14" width="9.7109375" style="302" customWidth="1"/>
    <col min="15" max="15" width="9.140625" style="302"/>
    <col min="16" max="16" width="13.5703125" style="302" customWidth="1"/>
    <col min="17" max="17" width="20.7109375" style="302" bestFit="1" customWidth="1"/>
    <col min="18" max="16384" width="9.140625" style="302"/>
  </cols>
  <sheetData>
    <row r="1" spans="1:30" s="337" customFormat="1" ht="15">
      <c r="A1" s="336" t="str">
        <f>ModelBanner</f>
        <v>TSM_201819 Publication</v>
      </c>
    </row>
    <row r="2" spans="1:30" s="337" customFormat="1" ht="15">
      <c r="A2" s="940" t="s">
        <v>13</v>
      </c>
      <c r="B2" s="940" t="s">
        <v>30</v>
      </c>
    </row>
    <row r="3" spans="1:30" s="337" customFormat="1" ht="15">
      <c r="A3" s="338"/>
    </row>
    <row r="4" spans="1:30" s="341" customFormat="1">
      <c r="A4" s="339" t="s">
        <v>26</v>
      </c>
      <c r="B4" s="339"/>
      <c r="C4" s="339"/>
      <c r="D4" s="339"/>
      <c r="E4" s="340"/>
      <c r="F4" s="724"/>
      <c r="G4" s="339"/>
      <c r="H4" s="339"/>
      <c r="I4" s="339"/>
      <c r="J4" s="339"/>
      <c r="K4" s="339"/>
      <c r="L4" s="339"/>
    </row>
    <row r="5" spans="1:30" s="343" customFormat="1">
      <c r="A5" s="1347" t="s">
        <v>280</v>
      </c>
      <c r="B5" s="1347"/>
      <c r="C5" s="1347"/>
      <c r="D5" s="1347"/>
      <c r="E5" s="1347"/>
      <c r="F5" s="1347"/>
      <c r="G5" s="1347"/>
      <c r="H5" s="1347"/>
      <c r="I5" s="1347"/>
      <c r="J5" s="1347"/>
      <c r="K5" s="1347"/>
      <c r="L5" s="1347"/>
      <c r="M5" s="342"/>
      <c r="N5" s="342"/>
      <c r="O5" s="342"/>
      <c r="P5" s="342"/>
      <c r="Q5" s="342"/>
    </row>
    <row r="6" spans="1:30" s="347" customFormat="1">
      <c r="A6" s="344" t="s">
        <v>1392</v>
      </c>
      <c r="B6" s="345"/>
      <c r="C6" s="345"/>
      <c r="D6" s="345"/>
      <c r="E6" s="340"/>
      <c r="F6" s="345"/>
      <c r="G6" s="345"/>
      <c r="H6" s="345"/>
      <c r="I6" s="345"/>
      <c r="J6" s="345"/>
      <c r="K6" s="345"/>
      <c r="L6" s="345"/>
      <c r="M6" s="346"/>
      <c r="N6" s="346"/>
      <c r="O6" s="346"/>
      <c r="P6" s="346"/>
      <c r="Q6" s="346"/>
    </row>
    <row r="7" spans="1:30" s="347" customFormat="1">
      <c r="A7" s="348" t="s">
        <v>349</v>
      </c>
      <c r="B7" s="344"/>
      <c r="C7" s="345"/>
      <c r="D7" s="345"/>
      <c r="E7" s="340"/>
      <c r="F7" s="725"/>
      <c r="G7" s="345"/>
      <c r="H7" s="345"/>
      <c r="I7" s="345"/>
      <c r="J7" s="345"/>
      <c r="K7" s="345"/>
      <c r="L7" s="345"/>
      <c r="M7" s="346"/>
      <c r="N7" s="346"/>
      <c r="O7" s="346"/>
      <c r="P7" s="346"/>
      <c r="Q7" s="346"/>
    </row>
    <row r="8" spans="1:30" s="347" customFormat="1">
      <c r="A8" s="344" t="s">
        <v>24</v>
      </c>
      <c r="B8" s="345"/>
      <c r="C8" s="345"/>
      <c r="D8" s="345"/>
      <c r="E8" s="340"/>
      <c r="F8" s="345"/>
      <c r="G8" s="345"/>
      <c r="H8" s="345"/>
      <c r="I8" s="345"/>
      <c r="J8" s="345"/>
      <c r="K8" s="345"/>
      <c r="L8" s="345"/>
      <c r="M8" s="346"/>
      <c r="N8" s="346"/>
      <c r="O8" s="346"/>
      <c r="P8" s="346"/>
      <c r="Q8" s="346"/>
    </row>
    <row r="9" spans="1:30" s="355" customFormat="1" ht="13.5" customHeight="1">
      <c r="A9" s="349" t="s">
        <v>124</v>
      </c>
      <c r="B9" s="350"/>
      <c r="C9" s="548"/>
      <c r="D9" s="368"/>
      <c r="E9" s="368"/>
      <c r="F9" s="368"/>
      <c r="G9" s="353"/>
      <c r="H9" s="368"/>
      <c r="I9" s="368"/>
      <c r="J9" s="353"/>
      <c r="K9" s="369"/>
      <c r="L9" s="369"/>
      <c r="M9" s="354"/>
      <c r="N9" s="354"/>
      <c r="O9" s="354"/>
      <c r="P9" s="354"/>
      <c r="Q9" s="354"/>
    </row>
    <row r="10" spans="1:30">
      <c r="H10" s="269"/>
    </row>
    <row r="11" spans="1:30">
      <c r="B11" s="334" t="s">
        <v>188</v>
      </c>
      <c r="G11" s="451"/>
      <c r="P11" s="365"/>
      <c r="Q11" s="365"/>
      <c r="R11" s="365"/>
      <c r="S11" s="365"/>
      <c r="T11" s="365"/>
      <c r="U11" s="365"/>
      <c r="V11" s="365"/>
      <c r="W11" s="365"/>
      <c r="X11" s="365"/>
      <c r="Y11" s="365"/>
      <c r="Z11" s="365"/>
      <c r="AA11" s="365"/>
      <c r="AB11" s="365"/>
      <c r="AC11" s="365"/>
      <c r="AD11" s="365"/>
    </row>
    <row r="12" spans="1:30">
      <c r="G12" s="451"/>
      <c r="H12" s="451"/>
      <c r="P12" s="365"/>
      <c r="Q12" s="365"/>
      <c r="R12" s="365"/>
      <c r="S12" s="365"/>
      <c r="T12" s="365"/>
      <c r="U12" s="365"/>
      <c r="V12" s="365"/>
      <c r="W12" s="365"/>
      <c r="X12" s="365"/>
      <c r="Y12" s="365"/>
      <c r="Z12" s="365"/>
      <c r="AA12" s="365"/>
      <c r="AB12" s="365"/>
      <c r="AC12" s="365"/>
      <c r="AD12" s="365"/>
    </row>
    <row r="13" spans="1:30">
      <c r="B13" s="319" t="str">
        <f>Forecast_stock_figures!B14</f>
        <v>Phase/subject</v>
      </c>
      <c r="C13" s="319" t="str">
        <f>Forecast_stock_figures!C14</f>
        <v>2017/18</v>
      </c>
      <c r="D13" s="319" t="str">
        <f>Forecast_stock_figures!D14</f>
        <v>2018/19</v>
      </c>
      <c r="E13" s="319" t="str">
        <f>Forecast_stock_figures!E14</f>
        <v>2019/20</v>
      </c>
      <c r="F13" s="319" t="str">
        <f>Forecast_stock_figures!F14</f>
        <v>2020/21</v>
      </c>
      <c r="G13" s="319" t="str">
        <f>Forecast_stock_figures!G14</f>
        <v>2021/22</v>
      </c>
      <c r="H13" s="319" t="str">
        <f>Forecast_stock_figures!H14</f>
        <v>2022/23</v>
      </c>
      <c r="I13" s="319" t="str">
        <f>Forecast_stock_figures!I14</f>
        <v>2023/24</v>
      </c>
      <c r="J13" s="319" t="str">
        <f>Forecast_stock_figures!J14</f>
        <v>2024/25</v>
      </c>
      <c r="K13" s="319" t="str">
        <f>Forecast_stock_figures!K14</f>
        <v>2025/26</v>
      </c>
      <c r="L13" s="319" t="str">
        <f>Forecast_stock_figures!L14</f>
        <v>2026/27</v>
      </c>
      <c r="M13" s="319" t="str">
        <f>Forecast_stock_figures!M14</f>
        <v>2027/28</v>
      </c>
      <c r="N13" s="319" t="str">
        <f>Forecast_stock_figures!N14</f>
        <v>2028/29</v>
      </c>
      <c r="P13" s="367"/>
      <c r="Q13" s="367"/>
      <c r="R13" s="367"/>
      <c r="S13" s="367"/>
      <c r="T13" s="367"/>
      <c r="U13" s="367"/>
      <c r="V13" s="367"/>
      <c r="W13" s="367"/>
      <c r="X13" s="367"/>
      <c r="Y13" s="367"/>
      <c r="Z13" s="367"/>
      <c r="AA13" s="367"/>
      <c r="AB13" s="367"/>
      <c r="AC13" s="365"/>
      <c r="AD13" s="365"/>
    </row>
    <row r="14" spans="1:30">
      <c r="A14" s="370"/>
      <c r="B14" s="371" t="s">
        <v>495</v>
      </c>
      <c r="C14" s="317">
        <f>Forecast_stock_figures!C15</f>
        <v>243605.32104784102</v>
      </c>
      <c r="D14" s="317">
        <f>Forecast_stock_figures!D15</f>
        <v>244269.7542551799</v>
      </c>
      <c r="E14" s="317">
        <f>Forecast_stock_figures!E15</f>
        <v>244274.82192656255</v>
      </c>
      <c r="F14" s="317">
        <f>Forecast_stock_figures!F15</f>
        <v>244504.52764222646</v>
      </c>
      <c r="G14" s="317">
        <f>Forecast_stock_figures!G15</f>
        <v>244565.62003293994</v>
      </c>
      <c r="H14" s="317">
        <f>Forecast_stock_figures!H15</f>
        <v>244409.39158641128</v>
      </c>
      <c r="I14" s="317">
        <f>Forecast_stock_figures!I15</f>
        <v>244013.68182205909</v>
      </c>
      <c r="J14" s="317">
        <f>Forecast_stock_figures!J15</f>
        <v>244249.37361793657</v>
      </c>
      <c r="K14" s="317">
        <f>Forecast_stock_figures!K15</f>
        <v>244933.35980853782</v>
      </c>
      <c r="L14" s="317">
        <f>Forecast_stock_figures!L15</f>
        <v>245669.86163246437</v>
      </c>
      <c r="M14" s="317">
        <f>Forecast_stock_figures!M15</f>
        <v>246231.24083518205</v>
      </c>
      <c r="N14" s="317">
        <f>Forecast_stock_figures!N15</f>
        <v>246609.75140378298</v>
      </c>
      <c r="P14" s="367"/>
      <c r="Q14" s="367"/>
      <c r="R14" s="367"/>
      <c r="S14" s="367"/>
      <c r="T14" s="367"/>
      <c r="U14" s="367"/>
      <c r="V14" s="367"/>
      <c r="W14" s="367"/>
      <c r="X14" s="367"/>
      <c r="Y14" s="367"/>
      <c r="Z14" s="367"/>
      <c r="AA14" s="367"/>
      <c r="AB14" s="367"/>
      <c r="AC14" s="365"/>
      <c r="AD14" s="494"/>
    </row>
    <row r="15" spans="1:30">
      <c r="A15" s="370"/>
      <c r="B15" s="371" t="s">
        <v>622</v>
      </c>
      <c r="C15" s="317">
        <f>Forecast_stock_figures!C16</f>
        <v>8089.5540643163376</v>
      </c>
      <c r="D15" s="317">
        <f>Forecast_stock_figures!D16</f>
        <v>8060.7474464650004</v>
      </c>
      <c r="E15" s="317">
        <f>Forecast_stock_figures!E16</f>
        <v>8082.7517622230034</v>
      </c>
      <c r="F15" s="317">
        <f>Forecast_stock_figures!F16</f>
        <v>8093.4095363281858</v>
      </c>
      <c r="G15" s="317">
        <f>Forecast_stock_figures!G16</f>
        <v>8086.7132472732837</v>
      </c>
      <c r="H15" s="317">
        <f>Forecast_stock_figures!H16</f>
        <v>8060.4662653074993</v>
      </c>
      <c r="I15" s="317">
        <f>Forecast_stock_figures!I16</f>
        <v>8086.1586698513274</v>
      </c>
      <c r="J15" s="317">
        <f>Forecast_stock_figures!J16</f>
        <v>8141.5369499916969</v>
      </c>
      <c r="K15" s="317">
        <f>Forecast_stock_figures!K16</f>
        <v>8146.953482534841</v>
      </c>
      <c r="L15" s="317">
        <f>Forecast_stock_figures!L16</f>
        <v>8125.0765131323897</v>
      </c>
      <c r="M15" s="317">
        <f>Forecast_stock_figures!M16</f>
        <v>8125.0341687719756</v>
      </c>
      <c r="N15" s="317">
        <f>Forecast_stock_figures!N16</f>
        <v>8132.6904640469102</v>
      </c>
      <c r="P15" s="367"/>
      <c r="Q15" s="367"/>
      <c r="R15" s="367"/>
      <c r="S15" s="367"/>
      <c r="T15" s="367"/>
      <c r="U15" s="367"/>
      <c r="V15" s="367"/>
      <c r="W15" s="367"/>
      <c r="X15" s="367"/>
      <c r="Y15" s="367"/>
      <c r="Z15" s="367"/>
      <c r="AA15" s="367"/>
      <c r="AB15" s="367"/>
      <c r="AC15" s="365"/>
      <c r="AD15" s="494"/>
    </row>
    <row r="16" spans="1:30">
      <c r="A16" s="370"/>
      <c r="B16" s="371" t="s">
        <v>496</v>
      </c>
      <c r="C16" s="317">
        <f>Forecast_stock_figures!C17</f>
        <v>12318.6629831685</v>
      </c>
      <c r="D16" s="317">
        <f>Forecast_stock_figures!D17</f>
        <v>12430.855335898372</v>
      </c>
      <c r="E16" s="317">
        <f>Forecast_stock_figures!E17</f>
        <v>12542.486134861922</v>
      </c>
      <c r="F16" s="317">
        <f>Forecast_stock_figures!F17</f>
        <v>12643.543720995483</v>
      </c>
      <c r="G16" s="317">
        <f>Forecast_stock_figures!G17</f>
        <v>12764.282686945471</v>
      </c>
      <c r="H16" s="317">
        <f>Forecast_stock_figures!H17</f>
        <v>12906.83001619469</v>
      </c>
      <c r="I16" s="317">
        <f>Forecast_stock_figures!I17</f>
        <v>13058.37584260101</v>
      </c>
      <c r="J16" s="317">
        <f>Forecast_stock_figures!J17</f>
        <v>13161.944557002342</v>
      </c>
      <c r="K16" s="317">
        <f>Forecast_stock_figures!K17</f>
        <v>13230.669606666757</v>
      </c>
      <c r="L16" s="317">
        <f>Forecast_stock_figures!L17</f>
        <v>13263.185365824398</v>
      </c>
      <c r="M16" s="317">
        <f>Forecast_stock_figures!M17</f>
        <v>13249.674498322198</v>
      </c>
      <c r="N16" s="317">
        <f>Forecast_stock_figures!N17</f>
        <v>13195.732739952964</v>
      </c>
      <c r="P16" s="367"/>
      <c r="Q16" s="367"/>
      <c r="R16" s="367"/>
      <c r="S16" s="367"/>
      <c r="T16" s="367"/>
      <c r="U16" s="367"/>
      <c r="V16" s="367"/>
      <c r="W16" s="367"/>
      <c r="X16" s="367"/>
      <c r="Y16" s="367"/>
      <c r="Z16" s="367"/>
      <c r="AA16" s="367"/>
      <c r="AB16" s="367"/>
      <c r="AC16" s="365"/>
      <c r="AD16" s="494"/>
    </row>
    <row r="17" spans="1:30">
      <c r="A17" s="370"/>
      <c r="B17" s="371" t="s">
        <v>563</v>
      </c>
      <c r="C17" s="317">
        <f>Forecast_stock_figures!C18</f>
        <v>3881.3803858866468</v>
      </c>
      <c r="D17" s="317">
        <f>Forecast_stock_figures!D18</f>
        <v>3797.8888289148053</v>
      </c>
      <c r="E17" s="317">
        <f>Forecast_stock_figures!E18</f>
        <v>3742.9101835736583</v>
      </c>
      <c r="F17" s="317">
        <f>Forecast_stock_figures!F18</f>
        <v>3732.6662022919718</v>
      </c>
      <c r="G17" s="317">
        <f>Forecast_stock_figures!G18</f>
        <v>3743.6928729263068</v>
      </c>
      <c r="H17" s="317">
        <f>Forecast_stock_figures!H18</f>
        <v>3780.2009231604229</v>
      </c>
      <c r="I17" s="317">
        <f>Forecast_stock_figures!I18</f>
        <v>3822.013379152203</v>
      </c>
      <c r="J17" s="317">
        <f>Forecast_stock_figures!J18</f>
        <v>3886.3469314109389</v>
      </c>
      <c r="K17" s="317">
        <f>Forecast_stock_figures!K18</f>
        <v>3949.0410620806938</v>
      </c>
      <c r="L17" s="317">
        <f>Forecast_stock_figures!L18</f>
        <v>4005.3491520331768</v>
      </c>
      <c r="M17" s="317">
        <f>Forecast_stock_figures!M18</f>
        <v>4028.9808129980165</v>
      </c>
      <c r="N17" s="317">
        <f>Forecast_stock_figures!N18</f>
        <v>4020.706020224975</v>
      </c>
      <c r="P17" s="367"/>
      <c r="Q17" s="367"/>
      <c r="R17" s="367"/>
      <c r="S17" s="367"/>
      <c r="T17" s="367"/>
      <c r="U17" s="367"/>
      <c r="V17" s="367"/>
      <c r="W17" s="367"/>
      <c r="X17" s="367"/>
      <c r="Y17" s="367"/>
      <c r="Z17" s="367"/>
      <c r="AA17" s="367"/>
      <c r="AB17" s="367"/>
      <c r="AC17" s="365"/>
      <c r="AD17" s="365"/>
    </row>
    <row r="18" spans="1:30">
      <c r="A18" s="370"/>
      <c r="B18" s="371" t="s">
        <v>497</v>
      </c>
      <c r="C18" s="317">
        <f>Forecast_stock_figures!C19</f>
        <v>10896.284169016637</v>
      </c>
      <c r="D18" s="317">
        <f>Forecast_stock_figures!D19</f>
        <v>11002.935829109545</v>
      </c>
      <c r="E18" s="317">
        <f>Forecast_stock_figures!E19</f>
        <v>11103.173296540359</v>
      </c>
      <c r="F18" s="317">
        <f>Forecast_stock_figures!F19</f>
        <v>11193.803782266205</v>
      </c>
      <c r="G18" s="317">
        <f>Forecast_stock_figures!G19</f>
        <v>11305.034003721705</v>
      </c>
      <c r="H18" s="317">
        <f>Forecast_stock_figures!H19</f>
        <v>11439.711683313926</v>
      </c>
      <c r="I18" s="317">
        <f>Forecast_stock_figures!I19</f>
        <v>11572.64604515582</v>
      </c>
      <c r="J18" s="317">
        <f>Forecast_stock_figures!J19</f>
        <v>11664.160076164777</v>
      </c>
      <c r="K18" s="317">
        <f>Forecast_stock_figures!K19</f>
        <v>11734.231883996306</v>
      </c>
      <c r="L18" s="317">
        <f>Forecast_stock_figures!L19</f>
        <v>11774.418855501839</v>
      </c>
      <c r="M18" s="317">
        <f>Forecast_stock_figures!M19</f>
        <v>11759.590645675262</v>
      </c>
      <c r="N18" s="317">
        <f>Forecast_stock_figures!N19</f>
        <v>11698.057744069438</v>
      </c>
      <c r="P18" s="367"/>
      <c r="Q18" s="367"/>
      <c r="R18" s="367"/>
      <c r="S18" s="367"/>
      <c r="T18" s="367"/>
      <c r="U18" s="367"/>
      <c r="V18" s="367"/>
      <c r="W18" s="367"/>
      <c r="X18" s="367"/>
      <c r="Y18" s="367"/>
      <c r="Z18" s="367"/>
      <c r="AA18" s="367"/>
      <c r="AB18" s="367"/>
      <c r="AC18" s="365"/>
      <c r="AD18" s="365"/>
    </row>
    <row r="19" spans="1:30">
      <c r="A19" s="370"/>
      <c r="B19" s="371" t="s">
        <v>498</v>
      </c>
      <c r="C19" s="317">
        <f>Forecast_stock_figures!C20</f>
        <v>299.02120443268882</v>
      </c>
      <c r="D19" s="317">
        <f>Forecast_stock_figures!D20</f>
        <v>296.23168899349145</v>
      </c>
      <c r="E19" s="317">
        <f>Forecast_stock_figures!E20</f>
        <v>295.6987372940045</v>
      </c>
      <c r="F19" s="317">
        <f>Forecast_stock_figures!F20</f>
        <v>297.1058104636557</v>
      </c>
      <c r="G19" s="317">
        <f>Forecast_stock_figures!G20</f>
        <v>299.34681810002053</v>
      </c>
      <c r="H19" s="317">
        <f>Forecast_stock_figures!H20</f>
        <v>302.47448555318738</v>
      </c>
      <c r="I19" s="317">
        <f>Forecast_stock_figures!I20</f>
        <v>306.60569837949043</v>
      </c>
      <c r="J19" s="317">
        <f>Forecast_stock_figures!J20</f>
        <v>310.30065175411943</v>
      </c>
      <c r="K19" s="317">
        <f>Forecast_stock_figures!K20</f>
        <v>312.32041372516829</v>
      </c>
      <c r="L19" s="317">
        <f>Forecast_stock_figures!L20</f>
        <v>313.35029281296602</v>
      </c>
      <c r="M19" s="317">
        <f>Forecast_stock_figures!M20</f>
        <v>314.31083600030951</v>
      </c>
      <c r="N19" s="317">
        <f>Forecast_stock_figures!N20</f>
        <v>314.97140769012987</v>
      </c>
      <c r="P19" s="364"/>
      <c r="Q19" s="364"/>
      <c r="R19" s="364"/>
      <c r="S19" s="364"/>
      <c r="T19" s="364"/>
      <c r="U19" s="364"/>
      <c r="V19" s="364"/>
      <c r="W19" s="364"/>
      <c r="X19" s="364"/>
      <c r="Y19" s="364"/>
      <c r="Z19" s="364"/>
      <c r="AA19" s="364"/>
      <c r="AB19" s="364"/>
      <c r="AC19" s="365"/>
      <c r="AD19" s="365"/>
    </row>
    <row r="20" spans="1:30">
      <c r="A20" s="370"/>
      <c r="B20" s="371" t="s">
        <v>499</v>
      </c>
      <c r="C20" s="317">
        <f>Forecast_stock_figures!C21</f>
        <v>6886.2117410603414</v>
      </c>
      <c r="D20" s="317">
        <f>Forecast_stock_figures!D21</f>
        <v>6858.8559812158583</v>
      </c>
      <c r="E20" s="317">
        <f>Forecast_stock_figures!E21</f>
        <v>6873.8926369224801</v>
      </c>
      <c r="F20" s="317">
        <f>Forecast_stock_figures!F21</f>
        <v>6881.6845608980666</v>
      </c>
      <c r="G20" s="317">
        <f>Forecast_stock_figures!G21</f>
        <v>6879.4126362278994</v>
      </c>
      <c r="H20" s="317">
        <f>Forecast_stock_figures!H21</f>
        <v>6866.6071292678153</v>
      </c>
      <c r="I20" s="317">
        <f>Forecast_stock_figures!I21</f>
        <v>6890.5558365845072</v>
      </c>
      <c r="J20" s="317">
        <f>Forecast_stock_figures!J21</f>
        <v>6940.5384940871572</v>
      </c>
      <c r="K20" s="317">
        <f>Forecast_stock_figures!K21</f>
        <v>6958.6896565772204</v>
      </c>
      <c r="L20" s="317">
        <f>Forecast_stock_figures!L21</f>
        <v>6956.2019716804443</v>
      </c>
      <c r="M20" s="317">
        <f>Forecast_stock_figures!M21</f>
        <v>6955.3875819762616</v>
      </c>
      <c r="N20" s="317">
        <f>Forecast_stock_figures!N21</f>
        <v>6947.8634032138971</v>
      </c>
      <c r="P20" s="364"/>
      <c r="Q20" s="364"/>
      <c r="R20" s="364"/>
      <c r="S20" s="364"/>
      <c r="T20" s="364"/>
      <c r="U20" s="364"/>
      <c r="V20" s="364"/>
      <c r="W20" s="364"/>
      <c r="X20" s="364"/>
      <c r="Y20" s="364"/>
      <c r="Z20" s="364"/>
      <c r="AA20" s="364"/>
      <c r="AB20" s="364"/>
      <c r="AC20" s="365"/>
      <c r="AD20" s="494"/>
    </row>
    <row r="21" spans="1:30">
      <c r="A21" s="370"/>
      <c r="B21" s="371" t="s">
        <v>623</v>
      </c>
      <c r="C21" s="317">
        <f>Forecast_stock_figures!C22</f>
        <v>9723.9372735583838</v>
      </c>
      <c r="D21" s="317">
        <f>Forecast_stock_figures!D22</f>
        <v>9730.713572541621</v>
      </c>
      <c r="E21" s="317">
        <f>Forecast_stock_figures!E22</f>
        <v>9795.7800392161698</v>
      </c>
      <c r="F21" s="317">
        <f>Forecast_stock_figures!F22</f>
        <v>9817.6475451427996</v>
      </c>
      <c r="G21" s="317">
        <f>Forecast_stock_figures!G22</f>
        <v>9802.422714787177</v>
      </c>
      <c r="H21" s="317">
        <f>Forecast_stock_figures!H22</f>
        <v>9744.7648783038912</v>
      </c>
      <c r="I21" s="317">
        <f>Forecast_stock_figures!I22</f>
        <v>9758.6780163501626</v>
      </c>
      <c r="J21" s="317">
        <f>Forecast_stock_figures!J22</f>
        <v>9803.3475100151809</v>
      </c>
      <c r="K21" s="317">
        <f>Forecast_stock_figures!K22</f>
        <v>9778.1954784920508</v>
      </c>
      <c r="L21" s="317">
        <f>Forecast_stock_figures!L22</f>
        <v>9717.0736890616008</v>
      </c>
      <c r="M21" s="317">
        <f>Forecast_stock_figures!M22</f>
        <v>9702.3721370678686</v>
      </c>
      <c r="N21" s="317">
        <f>Forecast_stock_figures!N22</f>
        <v>9713.8346471091481</v>
      </c>
      <c r="P21" s="364"/>
      <c r="Q21" s="364"/>
      <c r="R21" s="364"/>
      <c r="S21" s="364"/>
      <c r="T21" s="364"/>
      <c r="U21" s="364"/>
      <c r="V21" s="364"/>
      <c r="W21" s="364"/>
      <c r="X21" s="364"/>
      <c r="Y21" s="364"/>
      <c r="Z21" s="364"/>
      <c r="AA21" s="364"/>
      <c r="AB21" s="364"/>
      <c r="AC21" s="365"/>
      <c r="AD21" s="494"/>
    </row>
    <row r="22" spans="1:30">
      <c r="A22" s="370"/>
      <c r="B22" s="371" t="s">
        <v>500</v>
      </c>
      <c r="C22" s="317">
        <f>Forecast_stock_figures!C23</f>
        <v>4794.803353271901</v>
      </c>
      <c r="D22" s="317">
        <f>Forecast_stock_figures!D23</f>
        <v>4785.8628625012416</v>
      </c>
      <c r="E22" s="317">
        <f>Forecast_stock_figures!E23</f>
        <v>4806.7824513610158</v>
      </c>
      <c r="F22" s="317">
        <f>Forecast_stock_figures!F23</f>
        <v>4815.2135337316658</v>
      </c>
      <c r="G22" s="317">
        <f>Forecast_stock_figures!G23</f>
        <v>4809.377669292955</v>
      </c>
      <c r="H22" s="317">
        <f>Forecast_stock_figures!H23</f>
        <v>4787.1443549504802</v>
      </c>
      <c r="I22" s="317">
        <f>Forecast_stock_figures!I23</f>
        <v>4799.1267567244358</v>
      </c>
      <c r="J22" s="317">
        <f>Forecast_stock_figures!J23</f>
        <v>4827.4090092019815</v>
      </c>
      <c r="K22" s="317">
        <f>Forecast_stock_figures!K23</f>
        <v>4821.6459302537714</v>
      </c>
      <c r="L22" s="317">
        <f>Forecast_stock_figures!L23</f>
        <v>4798.481226743882</v>
      </c>
      <c r="M22" s="317">
        <f>Forecast_stock_figures!M23</f>
        <v>4796.064068420972</v>
      </c>
      <c r="N22" s="317">
        <f>Forecast_stock_figures!N23</f>
        <v>4804.5450930303432</v>
      </c>
      <c r="P22" s="365"/>
      <c r="Q22" s="365"/>
      <c r="R22" s="365"/>
      <c r="S22" s="365"/>
      <c r="T22" s="365"/>
      <c r="U22" s="365"/>
      <c r="V22" s="365"/>
      <c r="W22" s="365"/>
      <c r="X22" s="365"/>
      <c r="Y22" s="365"/>
      <c r="Z22" s="365"/>
      <c r="AA22" s="365"/>
      <c r="AB22" s="365"/>
      <c r="AC22" s="365"/>
      <c r="AD22" s="365"/>
    </row>
    <row r="23" spans="1:30">
      <c r="A23" s="370"/>
      <c r="B23" s="371" t="s">
        <v>501</v>
      </c>
      <c r="C23" s="317">
        <f>Forecast_stock_figures!C24</f>
        <v>30334.045422360272</v>
      </c>
      <c r="D23" s="317">
        <f>Forecast_stock_figures!D24</f>
        <v>31134.668074249341</v>
      </c>
      <c r="E23" s="317">
        <f>Forecast_stock_figures!E24</f>
        <v>31550.424741367737</v>
      </c>
      <c r="F23" s="317">
        <f>Forecast_stock_figures!F24</f>
        <v>31856.821512469844</v>
      </c>
      <c r="G23" s="317">
        <f>Forecast_stock_figures!G24</f>
        <v>32164.831007781457</v>
      </c>
      <c r="H23" s="317">
        <f>Forecast_stock_figures!H24</f>
        <v>32472.152387487833</v>
      </c>
      <c r="I23" s="317">
        <f>Forecast_stock_figures!I24</f>
        <v>32827.766062176583</v>
      </c>
      <c r="J23" s="317">
        <f>Forecast_stock_figures!J24</f>
        <v>33010.891318920854</v>
      </c>
      <c r="K23" s="317">
        <f>Forecast_stock_figures!K24</f>
        <v>33087.00301484338</v>
      </c>
      <c r="L23" s="317">
        <f>Forecast_stock_figures!L24</f>
        <v>33063.748664034851</v>
      </c>
      <c r="M23" s="317">
        <f>Forecast_stock_figures!M24</f>
        <v>32971.683142454873</v>
      </c>
      <c r="N23" s="317">
        <f>Forecast_stock_figures!N24</f>
        <v>32821.598064010017</v>
      </c>
      <c r="P23" s="365"/>
      <c r="Q23" s="365"/>
      <c r="R23" s="365"/>
      <c r="S23" s="365"/>
      <c r="T23" s="365"/>
      <c r="U23" s="365"/>
      <c r="V23" s="365"/>
      <c r="W23" s="365"/>
      <c r="X23" s="365"/>
      <c r="Y23" s="365"/>
      <c r="Z23" s="365"/>
      <c r="AA23" s="365"/>
      <c r="AB23" s="365"/>
      <c r="AC23" s="365"/>
      <c r="AD23" s="365"/>
    </row>
    <row r="24" spans="1:30">
      <c r="A24" s="370"/>
      <c r="B24" s="371" t="s">
        <v>406</v>
      </c>
      <c r="C24" s="317">
        <f>Forecast_stock_figures!C25</f>
        <v>1956.2535049672433</v>
      </c>
      <c r="D24" s="317">
        <f>Forecast_stock_figures!D25</f>
        <v>1959.5361842003301</v>
      </c>
      <c r="E24" s="317">
        <f>Forecast_stock_figures!E25</f>
        <v>1973.050169889354</v>
      </c>
      <c r="F24" s="317">
        <f>Forecast_stock_figures!F25</f>
        <v>1977.0348444722242</v>
      </c>
      <c r="G24" s="317">
        <f>Forecast_stock_figures!G25</f>
        <v>1977.4852088545217</v>
      </c>
      <c r="H24" s="317">
        <f>Forecast_stock_figures!H25</f>
        <v>1974.7794548706556</v>
      </c>
      <c r="I24" s="317">
        <f>Forecast_stock_figures!I25</f>
        <v>1978.0669447893681</v>
      </c>
      <c r="J24" s="317">
        <f>Forecast_stock_figures!J25</f>
        <v>1987.8032804778159</v>
      </c>
      <c r="K24" s="317">
        <f>Forecast_stock_figures!K25</f>
        <v>1996.0406566594697</v>
      </c>
      <c r="L24" s="317">
        <f>Forecast_stock_figures!L25</f>
        <v>1999.9762782551843</v>
      </c>
      <c r="M24" s="317">
        <f>Forecast_stock_figures!M25</f>
        <v>1994.0423995431088</v>
      </c>
      <c r="N24" s="317">
        <f>Forecast_stock_figures!N25</f>
        <v>1978.4589946281467</v>
      </c>
    </row>
    <row r="25" spans="1:30">
      <c r="A25" s="370"/>
      <c r="B25" s="371" t="s">
        <v>502</v>
      </c>
      <c r="C25" s="317">
        <f>Forecast_stock_figures!C26</f>
        <v>10803.079082425373</v>
      </c>
      <c r="D25" s="317">
        <f>Forecast_stock_figures!D26</f>
        <v>10913.97383137792</v>
      </c>
      <c r="E25" s="317">
        <f>Forecast_stock_figures!E26</f>
        <v>11040.073537517266</v>
      </c>
      <c r="F25" s="317">
        <f>Forecast_stock_figures!F26</f>
        <v>11141.835814652577</v>
      </c>
      <c r="G25" s="317">
        <f>Forecast_stock_figures!G26</f>
        <v>11235.812997276715</v>
      </c>
      <c r="H25" s="317">
        <f>Forecast_stock_figures!H26</f>
        <v>11318.429527654655</v>
      </c>
      <c r="I25" s="317">
        <f>Forecast_stock_figures!I26</f>
        <v>11447.571971044999</v>
      </c>
      <c r="J25" s="317">
        <f>Forecast_stock_figures!J26</f>
        <v>11514.819044284342</v>
      </c>
      <c r="K25" s="317">
        <f>Forecast_stock_figures!K26</f>
        <v>11515.740365562662</v>
      </c>
      <c r="L25" s="317">
        <f>Forecast_stock_figures!L26</f>
        <v>11475.359015980936</v>
      </c>
      <c r="M25" s="317">
        <f>Forecast_stock_figures!M26</f>
        <v>11454.130023559828</v>
      </c>
      <c r="N25" s="317">
        <f>Forecast_stock_figures!N26</f>
        <v>11445.395839009616</v>
      </c>
    </row>
    <row r="26" spans="1:30">
      <c r="A26" s="370"/>
      <c r="B26" s="371" t="s">
        <v>503</v>
      </c>
      <c r="C26" s="317">
        <f>Forecast_stock_figures!C27</f>
        <v>11478.78528353108</v>
      </c>
      <c r="D26" s="317">
        <f>Forecast_stock_figures!D27</f>
        <v>11581.968504481012</v>
      </c>
      <c r="E26" s="317">
        <f>Forecast_stock_figures!E27</f>
        <v>11702.36853693105</v>
      </c>
      <c r="F26" s="317">
        <f>Forecast_stock_figures!F27</f>
        <v>11805.823561991971</v>
      </c>
      <c r="G26" s="317">
        <f>Forecast_stock_figures!G27</f>
        <v>11905.04406842778</v>
      </c>
      <c r="H26" s="317">
        <f>Forecast_stock_figures!H27</f>
        <v>11996.878419563651</v>
      </c>
      <c r="I26" s="317">
        <f>Forecast_stock_figures!I27</f>
        <v>12135.936933273137</v>
      </c>
      <c r="J26" s="317">
        <f>Forecast_stock_figures!J27</f>
        <v>12213.749991184312</v>
      </c>
      <c r="K26" s="317">
        <f>Forecast_stock_figures!K27</f>
        <v>12222.822653396182</v>
      </c>
      <c r="L26" s="317">
        <f>Forecast_stock_figures!L27</f>
        <v>12188.797624594896</v>
      </c>
      <c r="M26" s="317">
        <f>Forecast_stock_figures!M27</f>
        <v>12171.21671946704</v>
      </c>
      <c r="N26" s="317">
        <f>Forecast_stock_figures!N27</f>
        <v>12163.2752523872</v>
      </c>
      <c r="Q26" s="535"/>
    </row>
    <row r="27" spans="1:30">
      <c r="A27" s="370"/>
      <c r="B27" s="371" t="s">
        <v>624</v>
      </c>
      <c r="C27" s="317">
        <f>Forecast_stock_figures!C28</f>
        <v>31263.995988909792</v>
      </c>
      <c r="D27" s="317">
        <f>Forecast_stock_figures!D28</f>
        <v>31800.404380466622</v>
      </c>
      <c r="E27" s="317">
        <f>Forecast_stock_figures!E28</f>
        <v>32332.887872631094</v>
      </c>
      <c r="F27" s="317">
        <f>Forecast_stock_figures!F28</f>
        <v>32621.070537865755</v>
      </c>
      <c r="G27" s="317">
        <f>Forecast_stock_figures!G28</f>
        <v>32924.224090463504</v>
      </c>
      <c r="H27" s="317">
        <f>Forecast_stock_figures!H28</f>
        <v>33241.002281772227</v>
      </c>
      <c r="I27" s="317">
        <f>Forecast_stock_figures!I28</f>
        <v>33619.675080212059</v>
      </c>
      <c r="J27" s="317">
        <f>Forecast_stock_figures!J28</f>
        <v>33841.805741803691</v>
      </c>
      <c r="K27" s="317">
        <f>Forecast_stock_figures!K28</f>
        <v>33939.843565007715</v>
      </c>
      <c r="L27" s="317">
        <f>Forecast_stock_figures!L28</f>
        <v>33934.401268075904</v>
      </c>
      <c r="M27" s="317">
        <f>Forecast_stock_figures!M28</f>
        <v>33872.600336963915</v>
      </c>
      <c r="N27" s="317">
        <f>Forecast_stock_figures!N28</f>
        <v>33758.753682238399</v>
      </c>
    </row>
    <row r="28" spans="1:30" ht="25.5">
      <c r="A28" s="370"/>
      <c r="B28" s="536" t="s">
        <v>625</v>
      </c>
      <c r="C28" s="276">
        <f>Forecast_stock_figures!C29</f>
        <v>14971.501798068488</v>
      </c>
      <c r="D28" s="276">
        <f>Forecast_stock_figures!D29</f>
        <v>15518.448326772366</v>
      </c>
      <c r="E28" s="276">
        <f>Forecast_stock_figures!E29</f>
        <v>16134.071227593558</v>
      </c>
      <c r="F28" s="276">
        <f>Forecast_stock_figures!F29</f>
        <v>16812.756948289185</v>
      </c>
      <c r="G28" s="276">
        <f>Forecast_stock_figures!G29</f>
        <v>17630.402554431716</v>
      </c>
      <c r="H28" s="276">
        <f>Forecast_stock_figures!H29</f>
        <v>18578.0202666437</v>
      </c>
      <c r="I28" s="276">
        <f>Forecast_stock_figures!I29</f>
        <v>19452.46551534941</v>
      </c>
      <c r="J28" s="276">
        <f>Forecast_stock_figures!J29</f>
        <v>19600.61185016208</v>
      </c>
      <c r="K28" s="276">
        <f>Forecast_stock_figures!K29</f>
        <v>19598.097876335123</v>
      </c>
      <c r="L28" s="276">
        <f>Forecast_stock_figures!L29</f>
        <v>19497.170074560905</v>
      </c>
      <c r="M28" s="276">
        <f>Forecast_stock_figures!M29</f>
        <v>19427.392336902663</v>
      </c>
      <c r="N28" s="276">
        <f>Forecast_stock_figures!N29</f>
        <v>19438.746388143565</v>
      </c>
    </row>
    <row r="29" spans="1:30">
      <c r="A29" s="370"/>
      <c r="B29" s="371" t="s">
        <v>504</v>
      </c>
      <c r="C29" s="317">
        <f>Forecast_stock_figures!C30</f>
        <v>5031.0938936371076</v>
      </c>
      <c r="D29" s="317">
        <f>Forecast_stock_figures!D30</f>
        <v>5031.8745371214309</v>
      </c>
      <c r="E29" s="317">
        <f>Forecast_stock_figures!E30</f>
        <v>5063.8831159871925</v>
      </c>
      <c r="F29" s="317">
        <f>Forecast_stock_figures!F30</f>
        <v>5075.1545133812051</v>
      </c>
      <c r="G29" s="317">
        <f>Forecast_stock_figures!G30</f>
        <v>5065.2937855486989</v>
      </c>
      <c r="H29" s="317">
        <f>Forecast_stock_figures!H30</f>
        <v>5030.6980732445454</v>
      </c>
      <c r="I29" s="317">
        <f>Forecast_stock_figures!I30</f>
        <v>5038.2076146806994</v>
      </c>
      <c r="J29" s="317">
        <f>Forecast_stock_figures!J30</f>
        <v>5061.6281804127666</v>
      </c>
      <c r="K29" s="317">
        <f>Forecast_stock_figures!K30</f>
        <v>5041.1826092764768</v>
      </c>
      <c r="L29" s="317">
        <f>Forecast_stock_figures!L30</f>
        <v>5000.3471421257582</v>
      </c>
      <c r="M29" s="317">
        <f>Forecast_stock_figures!M30</f>
        <v>4995.1881811491194</v>
      </c>
      <c r="N29" s="317">
        <f>Forecast_stock_figures!N30</f>
        <v>5012.5751161913176</v>
      </c>
    </row>
    <row r="30" spans="1:30">
      <c r="A30" s="370"/>
      <c r="B30" s="371" t="s">
        <v>505</v>
      </c>
      <c r="C30" s="317">
        <f>Forecast_stock_figures!C31</f>
        <v>13467.698732576104</v>
      </c>
      <c r="D30" s="317">
        <f>Forecast_stock_figures!D31</f>
        <v>13191.52552967619</v>
      </c>
      <c r="E30" s="317">
        <f>Forecast_stock_figures!E31</f>
        <v>13018.58476788241</v>
      </c>
      <c r="F30" s="317">
        <f>Forecast_stock_figures!F31</f>
        <v>12986.409988305681</v>
      </c>
      <c r="G30" s="317">
        <f>Forecast_stock_figures!G31</f>
        <v>13000.806126678135</v>
      </c>
      <c r="H30" s="317">
        <f>Forecast_stock_figures!H31</f>
        <v>13068.681049346382</v>
      </c>
      <c r="I30" s="317">
        <f>Forecast_stock_figures!I31</f>
        <v>13197.505351724647</v>
      </c>
      <c r="J30" s="317">
        <f>Forecast_stock_figures!J31</f>
        <v>13404.409559926506</v>
      </c>
      <c r="K30" s="317">
        <f>Forecast_stock_figures!K31</f>
        <v>13547.048201836704</v>
      </c>
      <c r="L30" s="317">
        <f>Forecast_stock_figures!L31</f>
        <v>13653.49407142097</v>
      </c>
      <c r="M30" s="317">
        <f>Forecast_stock_figures!M31</f>
        <v>13739.843528795254</v>
      </c>
      <c r="N30" s="317">
        <f>Forecast_stock_figures!N31</f>
        <v>13788.227928042717</v>
      </c>
    </row>
    <row r="31" spans="1:30">
      <c r="A31" s="370"/>
      <c r="B31" s="371" t="s">
        <v>626</v>
      </c>
      <c r="C31" s="317">
        <f>Forecast_stock_figures!C32</f>
        <v>16467.262477428438</v>
      </c>
      <c r="D31" s="317">
        <f>Forecast_stock_figures!D32</f>
        <v>16482.014449636485</v>
      </c>
      <c r="E31" s="317">
        <f>Forecast_stock_figures!E32</f>
        <v>16590.416376455454</v>
      </c>
      <c r="F31" s="317">
        <f>Forecast_stock_figures!F32</f>
        <v>16626.361766054804</v>
      </c>
      <c r="G31" s="317">
        <f>Forecast_stock_figures!G32</f>
        <v>16616.544724022035</v>
      </c>
      <c r="H31" s="317">
        <f>Forecast_stock_figures!H32</f>
        <v>16557.647838055684</v>
      </c>
      <c r="I31" s="317">
        <f>Forecast_stock_figures!I32</f>
        <v>16586.779985111461</v>
      </c>
      <c r="J31" s="317">
        <f>Forecast_stock_figures!J32</f>
        <v>16667.969198455685</v>
      </c>
      <c r="K31" s="317">
        <f>Forecast_stock_figures!K32</f>
        <v>16678.773728357537</v>
      </c>
      <c r="L31" s="317">
        <f>Forecast_stock_figures!L32</f>
        <v>16639.88761305494</v>
      </c>
      <c r="M31" s="317">
        <f>Forecast_stock_figures!M32</f>
        <v>16605.50062864659</v>
      </c>
      <c r="N31" s="317">
        <f>Forecast_stock_figures!N32</f>
        <v>16557.904130163955</v>
      </c>
    </row>
    <row r="32" spans="1:30">
      <c r="A32" s="370"/>
      <c r="B32" s="371" t="s">
        <v>506</v>
      </c>
      <c r="C32" s="317">
        <f>Forecast_stock_figures!C33</f>
        <v>10747.938420584598</v>
      </c>
      <c r="D32" s="317">
        <f>Forecast_stock_figures!D33</f>
        <v>10870.436031513067</v>
      </c>
      <c r="E32" s="317">
        <f>Forecast_stock_figures!E33</f>
        <v>10983.264747183021</v>
      </c>
      <c r="F32" s="317">
        <f>Forecast_stock_figures!F33</f>
        <v>11078.439550324605</v>
      </c>
      <c r="G32" s="317">
        <f>Forecast_stock_figures!G33</f>
        <v>11190.530438833801</v>
      </c>
      <c r="H32" s="317">
        <f>Forecast_stock_figures!H33</f>
        <v>11321.974429879834</v>
      </c>
      <c r="I32" s="317">
        <f>Forecast_stock_figures!I33</f>
        <v>11450.519442099525</v>
      </c>
      <c r="J32" s="317">
        <f>Forecast_stock_figures!J33</f>
        <v>11533.445875248595</v>
      </c>
      <c r="K32" s="317">
        <f>Forecast_stock_figures!K33</f>
        <v>11596.832841396888</v>
      </c>
      <c r="L32" s="317">
        <f>Forecast_stock_figures!L33</f>
        <v>11630.671884863244</v>
      </c>
      <c r="M32" s="317">
        <f>Forecast_stock_figures!M33</f>
        <v>11609.264983572455</v>
      </c>
      <c r="N32" s="317">
        <f>Forecast_stock_figures!N33</f>
        <v>11541.782789734341</v>
      </c>
    </row>
    <row r="33" spans="1:16">
      <c r="A33" s="370"/>
      <c r="B33" s="371" t="s">
        <v>627</v>
      </c>
      <c r="C33" s="317">
        <f>Forecast_stock_figures!C34</f>
        <v>7253.8944869877287</v>
      </c>
      <c r="D33" s="317">
        <f>Forecast_stock_figures!D34</f>
        <v>7249.5624630229613</v>
      </c>
      <c r="E33" s="317">
        <f>Forecast_stock_figures!E34</f>
        <v>7287.7369741211323</v>
      </c>
      <c r="F33" s="317">
        <f>Forecast_stock_figures!F34</f>
        <v>7301.1702138647452</v>
      </c>
      <c r="G33" s="317">
        <f>Forecast_stock_figures!G34</f>
        <v>7296.432424840199</v>
      </c>
      <c r="H33" s="317">
        <f>Forecast_stock_figures!H34</f>
        <v>7272.0769251326656</v>
      </c>
      <c r="I33" s="317">
        <f>Forecast_stock_figures!I34</f>
        <v>7288.0563023744571</v>
      </c>
      <c r="J33" s="317">
        <f>Forecast_stock_figures!J34</f>
        <v>7328.5650940326677</v>
      </c>
      <c r="K33" s="317">
        <f>Forecast_stock_figures!K34</f>
        <v>7335.0529973574376</v>
      </c>
      <c r="L33" s="317">
        <f>Forecast_stock_figures!L34</f>
        <v>7319.1753367670381</v>
      </c>
      <c r="M33" s="317">
        <f>Forecast_stock_figures!M34</f>
        <v>7308.7509548267399</v>
      </c>
      <c r="N33" s="317">
        <f>Forecast_stock_figures!N34</f>
        <v>7294.859870680898</v>
      </c>
    </row>
    <row r="34" spans="1:16">
      <c r="A34" s="372"/>
      <c r="B34" s="319" t="s">
        <v>554</v>
      </c>
      <c r="C34" s="317">
        <f>SUM(C15:C33)</f>
        <v>210665.40426618766</v>
      </c>
      <c r="D34" s="317">
        <f t="shared" ref="D34:N34" si="0">SUM(D15:D33)</f>
        <v>212698.50385815764</v>
      </c>
      <c r="E34" s="317">
        <f t="shared" si="0"/>
        <v>214920.23730955189</v>
      </c>
      <c r="F34" s="317">
        <f t="shared" si="0"/>
        <v>216757.95394379064</v>
      </c>
      <c r="G34" s="317">
        <f t="shared" si="0"/>
        <v>218697.69007643341</v>
      </c>
      <c r="H34" s="317">
        <f t="shared" si="0"/>
        <v>220720.5403897037</v>
      </c>
      <c r="I34" s="317">
        <f t="shared" si="0"/>
        <v>223316.71144763532</v>
      </c>
      <c r="J34" s="317">
        <f t="shared" si="0"/>
        <v>224901.28331453755</v>
      </c>
      <c r="K34" s="317">
        <f t="shared" si="0"/>
        <v>225490.18602435637</v>
      </c>
      <c r="L34" s="317">
        <f t="shared" si="0"/>
        <v>225356.16604052536</v>
      </c>
      <c r="M34" s="317">
        <f t="shared" si="0"/>
        <v>225081.02798511446</v>
      </c>
      <c r="N34" s="317">
        <f t="shared" si="0"/>
        <v>224629.97957456802</v>
      </c>
    </row>
    <row r="36" spans="1:16">
      <c r="B36" s="334" t="s">
        <v>393</v>
      </c>
      <c r="E36" s="681" t="s">
        <v>870</v>
      </c>
    </row>
    <row r="38" spans="1:16">
      <c r="B38" s="319" t="str">
        <f>B13</f>
        <v>Phase/subject</v>
      </c>
      <c r="C38" s="319" t="str">
        <f t="shared" ref="C38:N38" si="1">C13</f>
        <v>2017/18</v>
      </c>
      <c r="D38" s="319" t="str">
        <f t="shared" si="1"/>
        <v>2018/19</v>
      </c>
      <c r="E38" s="319" t="str">
        <f t="shared" si="1"/>
        <v>2019/20</v>
      </c>
      <c r="F38" s="319" t="str">
        <f t="shared" si="1"/>
        <v>2020/21</v>
      </c>
      <c r="G38" s="319" t="str">
        <f t="shared" si="1"/>
        <v>2021/22</v>
      </c>
      <c r="H38" s="319" t="str">
        <f t="shared" si="1"/>
        <v>2022/23</v>
      </c>
      <c r="I38" s="319" t="str">
        <f t="shared" si="1"/>
        <v>2023/24</v>
      </c>
      <c r="J38" s="319" t="str">
        <f t="shared" si="1"/>
        <v>2024/25</v>
      </c>
      <c r="K38" s="319" t="str">
        <f t="shared" si="1"/>
        <v>2025/26</v>
      </c>
      <c r="L38" s="319" t="str">
        <f t="shared" si="1"/>
        <v>2026/27</v>
      </c>
      <c r="M38" s="319" t="str">
        <f t="shared" si="1"/>
        <v>2027/28</v>
      </c>
      <c r="N38" s="319" t="str">
        <f t="shared" si="1"/>
        <v>2028/29</v>
      </c>
    </row>
    <row r="39" spans="1:16">
      <c r="B39" s="319" t="str">
        <f>Entrant_need_figures!B43</f>
        <v>PRIMARY All Central Scenario</v>
      </c>
      <c r="C39" s="380">
        <v>243605.32104784102</v>
      </c>
      <c r="D39" s="380">
        <v>244269.7542551799</v>
      </c>
      <c r="E39" s="380">
        <v>244274.82192656255</v>
      </c>
      <c r="F39" s="380">
        <v>244504.52764222646</v>
      </c>
      <c r="G39" s="380">
        <v>244565.62003293994</v>
      </c>
      <c r="H39" s="380">
        <v>244409.39158641128</v>
      </c>
      <c r="I39" s="380">
        <v>244013.68182205909</v>
      </c>
      <c r="J39" s="380">
        <v>244249.37361793657</v>
      </c>
      <c r="K39" s="380">
        <v>244933.35980853782</v>
      </c>
      <c r="L39" s="380">
        <v>245669.86163246437</v>
      </c>
      <c r="M39" s="380">
        <v>246231.24083518205</v>
      </c>
      <c r="N39" s="380">
        <v>246609.75140378298</v>
      </c>
      <c r="P39" s="914"/>
    </row>
    <row r="40" spans="1:16">
      <c r="B40" s="319" t="str">
        <f>Entrant_need_figures!B44</f>
        <v>ART &amp; DESIGN All Central Scenario</v>
      </c>
      <c r="C40" s="380">
        <v>8089.5540643163376</v>
      </c>
      <c r="D40" s="380">
        <v>8060.7474464650004</v>
      </c>
      <c r="E40" s="380">
        <v>8082.7517622230034</v>
      </c>
      <c r="F40" s="380">
        <v>8093.4095363281858</v>
      </c>
      <c r="G40" s="380">
        <v>8086.7132472732837</v>
      </c>
      <c r="H40" s="380">
        <v>8060.4662653074993</v>
      </c>
      <c r="I40" s="380">
        <v>8086.1586698513274</v>
      </c>
      <c r="J40" s="380">
        <v>8141.5369499916969</v>
      </c>
      <c r="K40" s="380">
        <v>8146.953482534841</v>
      </c>
      <c r="L40" s="380">
        <v>8125.0765131323897</v>
      </c>
      <c r="M40" s="380">
        <v>8125.0341687719756</v>
      </c>
      <c r="N40" s="380">
        <v>8132.6904640469102</v>
      </c>
      <c r="P40" s="914"/>
    </row>
    <row r="41" spans="1:16">
      <c r="B41" s="319" t="str">
        <f>Entrant_need_figures!B45</f>
        <v>BIOLOGY All Central Scenario</v>
      </c>
      <c r="C41" s="380">
        <v>12318.6629831685</v>
      </c>
      <c r="D41" s="380">
        <v>12430.855335898372</v>
      </c>
      <c r="E41" s="380">
        <v>12542.486134861922</v>
      </c>
      <c r="F41" s="380">
        <v>12643.543720995483</v>
      </c>
      <c r="G41" s="380">
        <v>12764.282686945471</v>
      </c>
      <c r="H41" s="380">
        <v>12906.83001619469</v>
      </c>
      <c r="I41" s="380">
        <v>13058.37584260101</v>
      </c>
      <c r="J41" s="380">
        <v>13161.944557002342</v>
      </c>
      <c r="K41" s="380">
        <v>13230.669606666757</v>
      </c>
      <c r="L41" s="380">
        <v>13263.185365824398</v>
      </c>
      <c r="M41" s="380">
        <v>13249.674498322198</v>
      </c>
      <c r="N41" s="380">
        <v>13195.732739952964</v>
      </c>
      <c r="P41" s="914"/>
    </row>
    <row r="42" spans="1:16">
      <c r="B42" s="319" t="str">
        <f>Entrant_need_figures!B46</f>
        <v>BUSINESS STUDIES All Central Scenario</v>
      </c>
      <c r="C42" s="380">
        <v>3881.3803858866468</v>
      </c>
      <c r="D42" s="380">
        <v>3797.8888289148053</v>
      </c>
      <c r="E42" s="380">
        <v>3742.9101835736583</v>
      </c>
      <c r="F42" s="380">
        <v>3732.6662022919718</v>
      </c>
      <c r="G42" s="380">
        <v>3743.6928729263068</v>
      </c>
      <c r="H42" s="380">
        <v>3780.2009231604229</v>
      </c>
      <c r="I42" s="380">
        <v>3822.013379152203</v>
      </c>
      <c r="J42" s="380">
        <v>3886.3469314109389</v>
      </c>
      <c r="K42" s="380">
        <v>3949.0410620806938</v>
      </c>
      <c r="L42" s="380">
        <v>4005.3491520331768</v>
      </c>
      <c r="M42" s="380">
        <v>4028.9808129980165</v>
      </c>
      <c r="N42" s="380">
        <v>4020.706020224975</v>
      </c>
      <c r="P42" s="914"/>
    </row>
    <row r="43" spans="1:16">
      <c r="B43" s="319" t="str">
        <f>Entrant_need_figures!B47</f>
        <v>CHEMISTRY All Central Scenario</v>
      </c>
      <c r="C43" s="380">
        <v>10896.284169016637</v>
      </c>
      <c r="D43" s="380">
        <v>11002.935829109545</v>
      </c>
      <c r="E43" s="380">
        <v>11103.173296540359</v>
      </c>
      <c r="F43" s="380">
        <v>11193.803782266205</v>
      </c>
      <c r="G43" s="380">
        <v>11305.034003721705</v>
      </c>
      <c r="H43" s="380">
        <v>11439.711683313926</v>
      </c>
      <c r="I43" s="380">
        <v>11572.64604515582</v>
      </c>
      <c r="J43" s="380">
        <v>11664.160076164777</v>
      </c>
      <c r="K43" s="380">
        <v>11734.231883996306</v>
      </c>
      <c r="L43" s="380">
        <v>11774.418855501839</v>
      </c>
      <c r="M43" s="380">
        <v>11759.590645675262</v>
      </c>
      <c r="N43" s="380">
        <v>11698.057744069438</v>
      </c>
      <c r="P43" s="914"/>
    </row>
    <row r="44" spans="1:16">
      <c r="B44" s="319" t="str">
        <f>Entrant_need_figures!B48</f>
        <v>CLASSICS All Central Scenario</v>
      </c>
      <c r="C44" s="380">
        <v>299.02120443268882</v>
      </c>
      <c r="D44" s="380">
        <v>296.23168899349145</v>
      </c>
      <c r="E44" s="380">
        <v>295.6987372940045</v>
      </c>
      <c r="F44" s="380">
        <v>297.1058104636557</v>
      </c>
      <c r="G44" s="380">
        <v>299.34681810002053</v>
      </c>
      <c r="H44" s="380">
        <v>302.47448555318738</v>
      </c>
      <c r="I44" s="380">
        <v>306.60569837949043</v>
      </c>
      <c r="J44" s="380">
        <v>310.30065175411943</v>
      </c>
      <c r="K44" s="380">
        <v>312.32041372516829</v>
      </c>
      <c r="L44" s="380">
        <v>313.35029281296602</v>
      </c>
      <c r="M44" s="380">
        <v>314.31083600030951</v>
      </c>
      <c r="N44" s="380">
        <v>314.97140769012987</v>
      </c>
      <c r="P44" s="914"/>
    </row>
    <row r="45" spans="1:16">
      <c r="B45" s="319" t="str">
        <f>Entrant_need_figures!B49</f>
        <v>COMPUTING All Central Scenario</v>
      </c>
      <c r="C45" s="380">
        <v>6886.2117410603414</v>
      </c>
      <c r="D45" s="380">
        <v>6858.8559812158583</v>
      </c>
      <c r="E45" s="380">
        <v>6873.8926369224801</v>
      </c>
      <c r="F45" s="380">
        <v>6881.6845608980666</v>
      </c>
      <c r="G45" s="380">
        <v>6879.4126362278994</v>
      </c>
      <c r="H45" s="380">
        <v>6866.6071292678153</v>
      </c>
      <c r="I45" s="380">
        <v>6890.5558365845072</v>
      </c>
      <c r="J45" s="380">
        <v>6940.5384940871572</v>
      </c>
      <c r="K45" s="380">
        <v>6958.6896565772204</v>
      </c>
      <c r="L45" s="380">
        <v>6956.2019716804443</v>
      </c>
      <c r="M45" s="380">
        <v>6955.3875819762616</v>
      </c>
      <c r="N45" s="380">
        <v>6947.8634032138971</v>
      </c>
      <c r="P45" s="914"/>
    </row>
    <row r="46" spans="1:16">
      <c r="B46" s="319" t="str">
        <f>Entrant_need_figures!B50</f>
        <v>DESIGN &amp; TECHNOLOGY All Central Scenario</v>
      </c>
      <c r="C46" s="380">
        <v>9723.9372735583838</v>
      </c>
      <c r="D46" s="380">
        <v>9730.713572541621</v>
      </c>
      <c r="E46" s="380">
        <v>9795.7800392161698</v>
      </c>
      <c r="F46" s="380">
        <v>9817.6475451427996</v>
      </c>
      <c r="G46" s="380">
        <v>9802.422714787177</v>
      </c>
      <c r="H46" s="380">
        <v>9744.7648783038912</v>
      </c>
      <c r="I46" s="380">
        <v>9758.6780163501626</v>
      </c>
      <c r="J46" s="380">
        <v>9803.3475100151809</v>
      </c>
      <c r="K46" s="380">
        <v>9778.1954784920508</v>
      </c>
      <c r="L46" s="380">
        <v>9717.0736890616008</v>
      </c>
      <c r="M46" s="380">
        <v>9702.3721370678686</v>
      </c>
      <c r="N46" s="380">
        <v>9713.8346471091481</v>
      </c>
      <c r="P46" s="914"/>
    </row>
    <row r="47" spans="1:16">
      <c r="B47" s="319" t="str">
        <f>Entrant_need_figures!B51</f>
        <v>DRAMA All Central Scenario</v>
      </c>
      <c r="C47" s="380">
        <v>4794.803353271901</v>
      </c>
      <c r="D47" s="380">
        <v>4785.8628625012416</v>
      </c>
      <c r="E47" s="380">
        <v>4806.7824513610158</v>
      </c>
      <c r="F47" s="380">
        <v>4815.2135337316658</v>
      </c>
      <c r="G47" s="380">
        <v>4809.377669292955</v>
      </c>
      <c r="H47" s="380">
        <v>4787.1443549504802</v>
      </c>
      <c r="I47" s="380">
        <v>4799.1267567244358</v>
      </c>
      <c r="J47" s="380">
        <v>4827.4090092019815</v>
      </c>
      <c r="K47" s="380">
        <v>4821.6459302537714</v>
      </c>
      <c r="L47" s="380">
        <v>4798.481226743882</v>
      </c>
      <c r="M47" s="380">
        <v>4796.064068420972</v>
      </c>
      <c r="N47" s="380">
        <v>4804.5450930303432</v>
      </c>
      <c r="P47" s="914"/>
    </row>
    <row r="48" spans="1:16">
      <c r="B48" s="319" t="str">
        <f>Entrant_need_figures!B52</f>
        <v>ENGLISH All Central Scenario</v>
      </c>
      <c r="C48" s="380">
        <v>30334.045422360272</v>
      </c>
      <c r="D48" s="380">
        <v>31134.668074249341</v>
      </c>
      <c r="E48" s="380">
        <v>31550.424741367737</v>
      </c>
      <c r="F48" s="380">
        <v>31856.821512469844</v>
      </c>
      <c r="G48" s="380">
        <v>32164.831007781457</v>
      </c>
      <c r="H48" s="380">
        <v>32472.152387487833</v>
      </c>
      <c r="I48" s="380">
        <v>32827.766062176583</v>
      </c>
      <c r="J48" s="380">
        <v>33010.891318920854</v>
      </c>
      <c r="K48" s="380">
        <v>33087.00301484338</v>
      </c>
      <c r="L48" s="380">
        <v>33063.748664034851</v>
      </c>
      <c r="M48" s="380">
        <v>32971.683142454873</v>
      </c>
      <c r="N48" s="380">
        <v>32821.598064010017</v>
      </c>
      <c r="P48" s="914"/>
    </row>
    <row r="49" spans="2:16">
      <c r="B49" s="319" t="str">
        <f>Entrant_need_figures!B53</f>
        <v>FOOD All Central Scenario</v>
      </c>
      <c r="C49" s="380">
        <v>1956.2535049672433</v>
      </c>
      <c r="D49" s="380">
        <v>1959.5361842003301</v>
      </c>
      <c r="E49" s="380">
        <v>1973.050169889354</v>
      </c>
      <c r="F49" s="380">
        <v>1977.0348444722242</v>
      </c>
      <c r="G49" s="380">
        <v>1977.4852088545217</v>
      </c>
      <c r="H49" s="380">
        <v>1974.7794548706556</v>
      </c>
      <c r="I49" s="380">
        <v>1978.0669447893681</v>
      </c>
      <c r="J49" s="380">
        <v>1987.8032804778159</v>
      </c>
      <c r="K49" s="380">
        <v>1996.0406566594697</v>
      </c>
      <c r="L49" s="380">
        <v>1999.9762782551843</v>
      </c>
      <c r="M49" s="380">
        <v>1994.0423995431088</v>
      </c>
      <c r="N49" s="380">
        <v>1978.4589946281467</v>
      </c>
      <c r="P49" s="914"/>
    </row>
    <row r="50" spans="2:16">
      <c r="B50" s="319" t="str">
        <f>Entrant_need_figures!B54</f>
        <v>GEOGRAPHY All Central Scenario</v>
      </c>
      <c r="C50" s="380">
        <v>10803.079082425373</v>
      </c>
      <c r="D50" s="380">
        <v>10913.97383137792</v>
      </c>
      <c r="E50" s="380">
        <v>11040.073537517266</v>
      </c>
      <c r="F50" s="380">
        <v>11141.835814652577</v>
      </c>
      <c r="G50" s="380">
        <v>11235.812997276715</v>
      </c>
      <c r="H50" s="380">
        <v>11318.429527654655</v>
      </c>
      <c r="I50" s="380">
        <v>11447.571971044999</v>
      </c>
      <c r="J50" s="380">
        <v>11514.819044284342</v>
      </c>
      <c r="K50" s="380">
        <v>11515.740365562662</v>
      </c>
      <c r="L50" s="380">
        <v>11475.359015980936</v>
      </c>
      <c r="M50" s="380">
        <v>11454.130023559828</v>
      </c>
      <c r="N50" s="380">
        <v>11445.395839009616</v>
      </c>
      <c r="P50" s="914"/>
    </row>
    <row r="51" spans="2:16">
      <c r="B51" s="319" t="str">
        <f>Entrant_need_figures!B55</f>
        <v>HISTORY All Central Scenario</v>
      </c>
      <c r="C51" s="380">
        <v>11478.78528353108</v>
      </c>
      <c r="D51" s="380">
        <v>11581.968504481012</v>
      </c>
      <c r="E51" s="380">
        <v>11702.36853693105</v>
      </c>
      <c r="F51" s="380">
        <v>11805.823561991971</v>
      </c>
      <c r="G51" s="380">
        <v>11905.04406842778</v>
      </c>
      <c r="H51" s="380">
        <v>11996.878419563651</v>
      </c>
      <c r="I51" s="380">
        <v>12135.936933273137</v>
      </c>
      <c r="J51" s="380">
        <v>12213.749991184312</v>
      </c>
      <c r="K51" s="380">
        <v>12222.822653396182</v>
      </c>
      <c r="L51" s="380">
        <v>12188.797624594896</v>
      </c>
      <c r="M51" s="380">
        <v>12171.21671946704</v>
      </c>
      <c r="N51" s="380">
        <v>12163.2752523872</v>
      </c>
      <c r="P51" s="914"/>
    </row>
    <row r="52" spans="2:16">
      <c r="B52" s="319" t="str">
        <f>Entrant_need_figures!B56</f>
        <v>MATHEMATICS All Central Scenario</v>
      </c>
      <c r="C52" s="380">
        <v>31263.995988909792</v>
      </c>
      <c r="D52" s="380">
        <v>31800.404380466622</v>
      </c>
      <c r="E52" s="380">
        <v>32332.887872631094</v>
      </c>
      <c r="F52" s="380">
        <v>32621.070537865755</v>
      </c>
      <c r="G52" s="380">
        <v>32924.224090463504</v>
      </c>
      <c r="H52" s="380">
        <v>33241.002281772227</v>
      </c>
      <c r="I52" s="380">
        <v>33619.675080212059</v>
      </c>
      <c r="J52" s="380">
        <v>33841.805741803691</v>
      </c>
      <c r="K52" s="380">
        <v>33939.843565007715</v>
      </c>
      <c r="L52" s="380">
        <v>33934.401268075904</v>
      </c>
      <c r="M52" s="380">
        <v>33872.600336963915</v>
      </c>
      <c r="N52" s="380">
        <v>33758.753682238399</v>
      </c>
      <c r="P52" s="914"/>
    </row>
    <row r="53" spans="2:16" ht="25.5">
      <c r="B53" s="315" t="str">
        <f>Entrant_need_figures!B57</f>
        <v>MODERN FOREIGN LANGUAGES All Central Scenario</v>
      </c>
      <c r="C53" s="537">
        <v>14971.501798068488</v>
      </c>
      <c r="D53" s="537">
        <v>15518.448326772366</v>
      </c>
      <c r="E53" s="537">
        <v>16134.071227593558</v>
      </c>
      <c r="F53" s="537">
        <v>16812.756948289185</v>
      </c>
      <c r="G53" s="537">
        <v>17630.402554431716</v>
      </c>
      <c r="H53" s="537">
        <v>18578.0202666437</v>
      </c>
      <c r="I53" s="537">
        <v>19452.46551534941</v>
      </c>
      <c r="J53" s="537">
        <v>19600.61185016208</v>
      </c>
      <c r="K53" s="537">
        <v>19598.097876335123</v>
      </c>
      <c r="L53" s="537">
        <v>19497.170074560905</v>
      </c>
      <c r="M53" s="537">
        <v>19427.392336902663</v>
      </c>
      <c r="N53" s="537">
        <v>19438.746388143565</v>
      </c>
      <c r="P53" s="914"/>
    </row>
    <row r="54" spans="2:16">
      <c r="B54" s="319" t="str">
        <f>Entrant_need_figures!B58</f>
        <v>MUSIC All Central Scenario</v>
      </c>
      <c r="C54" s="380">
        <v>5031.0938936371076</v>
      </c>
      <c r="D54" s="380">
        <v>5031.8745371214309</v>
      </c>
      <c r="E54" s="380">
        <v>5063.8831159871925</v>
      </c>
      <c r="F54" s="380">
        <v>5075.1545133812051</v>
      </c>
      <c r="G54" s="380">
        <v>5065.2937855486989</v>
      </c>
      <c r="H54" s="380">
        <v>5030.6980732445454</v>
      </c>
      <c r="I54" s="380">
        <v>5038.2076146806994</v>
      </c>
      <c r="J54" s="380">
        <v>5061.6281804127666</v>
      </c>
      <c r="K54" s="380">
        <v>5041.1826092764768</v>
      </c>
      <c r="L54" s="380">
        <v>5000.3471421257582</v>
      </c>
      <c r="M54" s="380">
        <v>4995.1881811491194</v>
      </c>
      <c r="N54" s="380">
        <v>5012.5751161913176</v>
      </c>
      <c r="P54" s="914"/>
    </row>
    <row r="55" spans="2:16">
      <c r="B55" s="319" t="str">
        <f>Entrant_need_figures!B59</f>
        <v>OTHERS All Central Scenario</v>
      </c>
      <c r="C55" s="380">
        <v>13467.698732576104</v>
      </c>
      <c r="D55" s="380">
        <v>13191.52552967619</v>
      </c>
      <c r="E55" s="380">
        <v>13018.58476788241</v>
      </c>
      <c r="F55" s="380">
        <v>12986.409988305681</v>
      </c>
      <c r="G55" s="380">
        <v>13000.806126678135</v>
      </c>
      <c r="H55" s="380">
        <v>13068.681049346382</v>
      </c>
      <c r="I55" s="380">
        <v>13197.505351724647</v>
      </c>
      <c r="J55" s="380">
        <v>13404.409559926506</v>
      </c>
      <c r="K55" s="380">
        <v>13547.048201836704</v>
      </c>
      <c r="L55" s="380">
        <v>13653.49407142097</v>
      </c>
      <c r="M55" s="380">
        <v>13739.843528795254</v>
      </c>
      <c r="N55" s="380">
        <v>13788.227928042717</v>
      </c>
      <c r="P55" s="914"/>
    </row>
    <row r="56" spans="2:16">
      <c r="B56" s="319" t="str">
        <f>Entrant_need_figures!B60</f>
        <v>PHYSICAL EDUCATION All Central Scenario</v>
      </c>
      <c r="C56" s="380">
        <v>16467.262477428438</v>
      </c>
      <c r="D56" s="380">
        <v>16482.014449636485</v>
      </c>
      <c r="E56" s="380">
        <v>16590.416376455454</v>
      </c>
      <c r="F56" s="380">
        <v>16626.361766054804</v>
      </c>
      <c r="G56" s="380">
        <v>16616.544724022035</v>
      </c>
      <c r="H56" s="380">
        <v>16557.647838055684</v>
      </c>
      <c r="I56" s="380">
        <v>16586.779985111461</v>
      </c>
      <c r="J56" s="380">
        <v>16667.969198455685</v>
      </c>
      <c r="K56" s="380">
        <v>16678.773728357537</v>
      </c>
      <c r="L56" s="380">
        <v>16639.88761305494</v>
      </c>
      <c r="M56" s="380">
        <v>16605.50062864659</v>
      </c>
      <c r="N56" s="380">
        <v>16557.904130163955</v>
      </c>
      <c r="P56" s="914"/>
    </row>
    <row r="57" spans="2:16">
      <c r="B57" s="319" t="str">
        <f>Entrant_need_figures!B61</f>
        <v>PHYSICS All Central Scenario</v>
      </c>
      <c r="C57" s="380">
        <v>10747.938420584598</v>
      </c>
      <c r="D57" s="380">
        <v>10870.436031513067</v>
      </c>
      <c r="E57" s="380">
        <v>10983.264747183021</v>
      </c>
      <c r="F57" s="380">
        <v>11078.439550324605</v>
      </c>
      <c r="G57" s="380">
        <v>11190.530438833801</v>
      </c>
      <c r="H57" s="380">
        <v>11321.974429879834</v>
      </c>
      <c r="I57" s="380">
        <v>11450.519442099525</v>
      </c>
      <c r="J57" s="380">
        <v>11533.445875248595</v>
      </c>
      <c r="K57" s="380">
        <v>11596.832841396888</v>
      </c>
      <c r="L57" s="380">
        <v>11630.671884863244</v>
      </c>
      <c r="M57" s="380">
        <v>11609.264983572455</v>
      </c>
      <c r="N57" s="380">
        <v>11541.782789734341</v>
      </c>
      <c r="P57" s="914"/>
    </row>
    <row r="58" spans="2:16">
      <c r="B58" s="319" t="str">
        <f>Entrant_need_figures!B62</f>
        <v>RELIGIOUS EDUCATION All Central Scenario</v>
      </c>
      <c r="C58" s="380">
        <v>7253.8944869877287</v>
      </c>
      <c r="D58" s="380">
        <v>7249.5624630229613</v>
      </c>
      <c r="E58" s="380">
        <v>7287.7369741211323</v>
      </c>
      <c r="F58" s="380">
        <v>7301.1702138647452</v>
      </c>
      <c r="G58" s="380">
        <v>7296.432424840199</v>
      </c>
      <c r="H58" s="380">
        <v>7272.0769251326656</v>
      </c>
      <c r="I58" s="380">
        <v>7288.0563023744571</v>
      </c>
      <c r="J58" s="380">
        <v>7328.5650940326677</v>
      </c>
      <c r="K58" s="380">
        <v>7335.0529973574376</v>
      </c>
      <c r="L58" s="380">
        <v>7319.1753367670381</v>
      </c>
      <c r="M58" s="380">
        <v>7308.7509548267399</v>
      </c>
      <c r="N58" s="380">
        <v>7294.859870680898</v>
      </c>
      <c r="P58" s="914"/>
    </row>
    <row r="59" spans="2:16">
      <c r="B59" s="319" t="str">
        <f>Entrant_need_figures!B63</f>
        <v>SECONDARY All Central Scenario</v>
      </c>
      <c r="C59" s="380">
        <v>210665.40426618766</v>
      </c>
      <c r="D59" s="380">
        <v>212698.50385815764</v>
      </c>
      <c r="E59" s="380">
        <v>214920.23730955189</v>
      </c>
      <c r="F59" s="380">
        <v>216757.95394379064</v>
      </c>
      <c r="G59" s="380">
        <v>218697.69007643341</v>
      </c>
      <c r="H59" s="380">
        <v>220720.5403897037</v>
      </c>
      <c r="I59" s="380">
        <v>223316.71144763532</v>
      </c>
      <c r="J59" s="380">
        <v>224901.28331453755</v>
      </c>
      <c r="K59" s="380">
        <v>225490.18602435637</v>
      </c>
      <c r="L59" s="380">
        <v>225356.16604052536</v>
      </c>
      <c r="M59" s="380">
        <v>225081.02798511446</v>
      </c>
      <c r="N59" s="380">
        <v>224629.97957456802</v>
      </c>
      <c r="P59" s="914"/>
    </row>
    <row r="62" spans="2:16">
      <c r="B62" s="318" t="s">
        <v>1273</v>
      </c>
      <c r="C62" s="302">
        <f>C16+C18+C19+C20+C23+C25+C26+C27+C28+C32</f>
        <v>139999.52609355777</v>
      </c>
      <c r="D62" s="302">
        <f t="shared" ref="D62:N62" si="2">D16+D18+D19+D20+D23+D25+D26+D27+D28+D32</f>
        <v>142408.77798407761</v>
      </c>
      <c r="E62" s="302">
        <f t="shared" si="2"/>
        <v>144558.3414688425</v>
      </c>
      <c r="F62" s="302">
        <f t="shared" si="2"/>
        <v>146332.88580021737</v>
      </c>
      <c r="G62" s="302">
        <f t="shared" si="2"/>
        <v>148298.9213022101</v>
      </c>
      <c r="H62" s="302">
        <f t="shared" si="2"/>
        <v>150444.08062733151</v>
      </c>
      <c r="I62" s="302">
        <f t="shared" si="2"/>
        <v>152762.11842687655</v>
      </c>
      <c r="J62" s="302">
        <f t="shared" si="2"/>
        <v>153792.26760061225</v>
      </c>
      <c r="K62" s="302">
        <f t="shared" si="2"/>
        <v>154196.2518775074</v>
      </c>
      <c r="L62" s="302">
        <f t="shared" si="2"/>
        <v>154097.3050179304</v>
      </c>
      <c r="M62" s="302">
        <f t="shared" si="2"/>
        <v>153785.25110489482</v>
      </c>
      <c r="N62" s="302">
        <f t="shared" si="2"/>
        <v>153326.17731044957</v>
      </c>
      <c r="P62" s="6"/>
    </row>
    <row r="63" spans="2:16">
      <c r="B63" s="318" t="s">
        <v>1274</v>
      </c>
      <c r="C63" s="302">
        <f>C15+C17+C21+C22+C24+C29+C30+C31+C33</f>
        <v>70665.878172629891</v>
      </c>
      <c r="D63" s="302">
        <f t="shared" ref="D63:N63" si="3">D15+D17+D21+D22+D24+D29+D30+D31+D33</f>
        <v>70289.725874080061</v>
      </c>
      <c r="E63" s="302">
        <f t="shared" si="3"/>
        <v>70361.895840709389</v>
      </c>
      <c r="F63" s="302">
        <f t="shared" si="3"/>
        <v>70425.068143573269</v>
      </c>
      <c r="G63" s="302">
        <f t="shared" si="3"/>
        <v>70398.76877422331</v>
      </c>
      <c r="H63" s="302">
        <f t="shared" si="3"/>
        <v>70276.459762372222</v>
      </c>
      <c r="I63" s="302">
        <f t="shared" si="3"/>
        <v>70554.593020758766</v>
      </c>
      <c r="J63" s="302">
        <f t="shared" si="3"/>
        <v>71109.015713925241</v>
      </c>
      <c r="K63" s="302">
        <f t="shared" si="3"/>
        <v>71293.934146848973</v>
      </c>
      <c r="L63" s="302">
        <f t="shared" si="3"/>
        <v>71258.861022594938</v>
      </c>
      <c r="M63" s="302">
        <f t="shared" si="3"/>
        <v>71295.776880219652</v>
      </c>
      <c r="N63" s="302">
        <f t="shared" si="3"/>
        <v>71303.802264118407</v>
      </c>
      <c r="P63" s="6"/>
    </row>
    <row r="64" spans="2:16">
      <c r="C64" s="302">
        <f>SUM(C62:C63)-C34</f>
        <v>0</v>
      </c>
      <c r="D64" s="302">
        <f t="shared" ref="D64:N64" si="4">SUM(D62:D63)-D34</f>
        <v>0</v>
      </c>
      <c r="E64" s="302">
        <f t="shared" si="4"/>
        <v>0</v>
      </c>
      <c r="F64" s="302">
        <f t="shared" si="4"/>
        <v>0</v>
      </c>
      <c r="G64" s="302">
        <f t="shared" si="4"/>
        <v>0</v>
      </c>
      <c r="H64" s="302">
        <f t="shared" si="4"/>
        <v>0</v>
      </c>
      <c r="I64" s="302">
        <f t="shared" si="4"/>
        <v>0</v>
      </c>
      <c r="J64" s="302">
        <f t="shared" si="4"/>
        <v>0</v>
      </c>
      <c r="K64" s="302">
        <f t="shared" si="4"/>
        <v>0</v>
      </c>
      <c r="L64" s="302">
        <f t="shared" si="4"/>
        <v>0</v>
      </c>
      <c r="M64" s="302">
        <f t="shared" si="4"/>
        <v>0</v>
      </c>
      <c r="N64" s="302">
        <f t="shared" si="4"/>
        <v>0</v>
      </c>
    </row>
    <row r="67" spans="3:8">
      <c r="C67" s="378"/>
    </row>
    <row r="68" spans="3:8">
      <c r="C68" s="1133"/>
      <c r="D68" s="1133"/>
      <c r="E68" s="1133"/>
      <c r="F68" s="1133"/>
      <c r="G68" s="1133"/>
      <c r="H68" s="1133"/>
    </row>
  </sheetData>
  <mergeCells count="1">
    <mergeCell ref="A5:L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Q9"/>
  <sheetViews>
    <sheetView showGridLines="0" zoomScaleNormal="100" workbookViewId="0"/>
  </sheetViews>
  <sheetFormatPr defaultRowHeight="12.75"/>
  <cols>
    <col min="1" max="1" width="8.7109375" customWidth="1"/>
    <col min="2" max="19" width="10.7109375" customWidth="1"/>
    <col min="20" max="25" width="8.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c r="L4" s="57"/>
      <c r="M4" s="57"/>
      <c r="N4" s="57"/>
      <c r="O4" s="57"/>
      <c r="P4" s="57"/>
      <c r="Q4" s="57"/>
    </row>
    <row r="5" spans="1:17" s="46" customFormat="1" ht="13.15" customHeight="1">
      <c r="A5" s="59" t="s">
        <v>1309</v>
      </c>
      <c r="B5" s="59"/>
      <c r="C5" s="59"/>
      <c r="D5" s="59"/>
      <c r="E5" s="59"/>
      <c r="F5" s="59"/>
      <c r="G5" s="59"/>
      <c r="H5" s="59"/>
      <c r="I5" s="59"/>
      <c r="J5" s="59"/>
      <c r="K5" s="59"/>
      <c r="L5" s="59"/>
      <c r="M5" s="59"/>
      <c r="N5" s="59"/>
      <c r="O5" s="59"/>
      <c r="P5" s="59"/>
      <c r="Q5" s="59"/>
    </row>
    <row r="6" spans="1:17" s="45" customFormat="1">
      <c r="A6" s="55" t="s">
        <v>1392</v>
      </c>
      <c r="B6" s="60"/>
      <c r="C6" s="60"/>
      <c r="D6" s="60"/>
      <c r="E6" s="285"/>
      <c r="F6" s="60"/>
      <c r="G6" s="60"/>
      <c r="H6" s="60"/>
      <c r="I6" s="60"/>
      <c r="J6" s="60"/>
      <c r="K6" s="60"/>
      <c r="L6" s="60"/>
      <c r="M6" s="60"/>
      <c r="N6" s="60"/>
      <c r="O6" s="60"/>
      <c r="P6" s="60"/>
      <c r="Q6" s="60"/>
    </row>
    <row r="7" spans="1:17" s="45" customFormat="1">
      <c r="A7" s="53" t="s">
        <v>343</v>
      </c>
      <c r="B7" s="55"/>
      <c r="C7" s="60"/>
      <c r="D7" s="60"/>
      <c r="E7" s="285"/>
      <c r="F7" s="60"/>
      <c r="G7" s="60"/>
      <c r="H7" s="60"/>
      <c r="I7" s="60"/>
      <c r="J7" s="60"/>
      <c r="K7" s="60"/>
      <c r="L7" s="60"/>
      <c r="M7" s="60"/>
      <c r="N7" s="60"/>
      <c r="O7" s="60"/>
      <c r="P7" s="60"/>
      <c r="Q7" s="60"/>
    </row>
    <row r="8" spans="1:17" s="45" customFormat="1">
      <c r="A8" s="55" t="s">
        <v>24</v>
      </c>
      <c r="B8" s="60"/>
      <c r="C8" s="60"/>
      <c r="D8" s="60"/>
      <c r="E8" s="285"/>
      <c r="F8" s="60"/>
      <c r="G8" s="60"/>
      <c r="H8" s="60"/>
      <c r="I8" s="60"/>
      <c r="J8" s="60"/>
      <c r="K8" s="60"/>
      <c r="L8" s="60"/>
      <c r="M8" s="60"/>
      <c r="N8" s="60"/>
      <c r="O8" s="60"/>
      <c r="P8" s="60"/>
      <c r="Q8" s="60"/>
    </row>
    <row r="9" spans="1:17" s="49" customFormat="1" ht="13.5" customHeight="1">
      <c r="A9" s="54" t="s">
        <v>124</v>
      </c>
      <c r="B9" s="72"/>
      <c r="C9" s="70"/>
      <c r="D9" s="286"/>
      <c r="E9" s="286"/>
      <c r="F9" s="286"/>
      <c r="G9" s="71"/>
      <c r="H9" s="286"/>
      <c r="I9" s="286"/>
      <c r="J9" s="71"/>
      <c r="K9" s="287"/>
      <c r="L9" s="287"/>
      <c r="M9" s="287"/>
      <c r="N9" s="287"/>
      <c r="O9" s="287"/>
      <c r="P9" s="287"/>
      <c r="Q9" s="287"/>
    </row>
  </sheetData>
  <hyperlinks>
    <hyperlink ref="A2" location="'Title_&amp;_Contents'!A1" display="Contents"/>
    <hyperlink ref="B2" location="Map_of_sheets!A1" display="Map of shee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E129"/>
  <sheetViews>
    <sheetView showGridLines="0" workbookViewId="0"/>
  </sheetViews>
  <sheetFormatPr defaultColWidth="9.140625" defaultRowHeight="12.75"/>
  <cols>
    <col min="1" max="1" width="9.140625" style="302"/>
    <col min="2" max="2" width="35.7109375" style="302" customWidth="1"/>
    <col min="3" max="14" width="10.7109375" style="302" customWidth="1"/>
    <col min="15" max="16384" width="9.140625" style="302"/>
  </cols>
  <sheetData>
    <row r="1" spans="1:31" s="337" customFormat="1" ht="15">
      <c r="A1" s="336" t="str">
        <f>ModelBanner</f>
        <v>TSM_201819 Publication</v>
      </c>
    </row>
    <row r="2" spans="1:31" s="337" customFormat="1" ht="15">
      <c r="A2" s="940" t="s">
        <v>13</v>
      </c>
      <c r="B2" s="940" t="s">
        <v>30</v>
      </c>
    </row>
    <row r="3" spans="1:31" s="337" customFormat="1" ht="15">
      <c r="A3" s="338"/>
    </row>
    <row r="4" spans="1:31" s="341" customFormat="1">
      <c r="A4" s="339" t="s">
        <v>26</v>
      </c>
      <c r="B4" s="339"/>
      <c r="C4" s="339"/>
      <c r="D4" s="339"/>
      <c r="E4" s="340"/>
      <c r="F4" s="339"/>
      <c r="G4" s="339"/>
      <c r="H4" s="339"/>
      <c r="I4" s="339"/>
      <c r="J4" s="339"/>
      <c r="K4" s="339"/>
      <c r="L4" s="339"/>
    </row>
    <row r="5" spans="1:31" s="343" customFormat="1">
      <c r="A5" s="682" t="s">
        <v>1206</v>
      </c>
      <c r="B5" s="682"/>
      <c r="C5" s="682"/>
      <c r="D5" s="682"/>
      <c r="E5" s="682"/>
      <c r="F5" s="682"/>
      <c r="G5" s="682"/>
      <c r="H5" s="682"/>
      <c r="I5" s="682"/>
      <c r="J5" s="682"/>
      <c r="K5" s="682"/>
      <c r="L5" s="682"/>
      <c r="M5" s="342"/>
      <c r="N5" s="342"/>
      <c r="O5" s="342"/>
      <c r="P5" s="342"/>
      <c r="Q5" s="342"/>
    </row>
    <row r="6" spans="1:31" s="347" customFormat="1">
      <c r="A6" s="344" t="s">
        <v>1392</v>
      </c>
      <c r="B6" s="345"/>
      <c r="C6" s="345"/>
      <c r="D6" s="345"/>
      <c r="E6" s="340"/>
      <c r="F6" s="345"/>
      <c r="G6" s="345"/>
      <c r="H6" s="345"/>
      <c r="I6" s="345"/>
      <c r="J6" s="345"/>
      <c r="K6" s="345"/>
      <c r="L6" s="345"/>
      <c r="M6" s="346"/>
      <c r="N6" s="346"/>
      <c r="O6" s="346"/>
      <c r="P6" s="346"/>
      <c r="Q6" s="346"/>
    </row>
    <row r="7" spans="1:31" s="347" customFormat="1">
      <c r="A7" s="348" t="s">
        <v>349</v>
      </c>
      <c r="B7" s="344"/>
      <c r="C7" s="345"/>
      <c r="D7" s="345"/>
      <c r="E7" s="340"/>
      <c r="F7" s="345"/>
      <c r="G7" s="345"/>
      <c r="H7" s="345"/>
      <c r="I7" s="345"/>
      <c r="J7" s="345"/>
      <c r="K7" s="345"/>
      <c r="L7" s="345"/>
      <c r="M7" s="346"/>
      <c r="N7" s="346"/>
      <c r="O7" s="346"/>
      <c r="P7" s="346"/>
      <c r="Q7" s="346"/>
    </row>
    <row r="8" spans="1:31" s="347" customFormat="1">
      <c r="A8" s="344" t="s">
        <v>24</v>
      </c>
      <c r="B8" s="345"/>
      <c r="C8" s="345"/>
      <c r="D8" s="345"/>
      <c r="E8" s="340"/>
      <c r="F8" s="345"/>
      <c r="G8" s="345"/>
      <c r="H8" s="345"/>
      <c r="I8" s="345"/>
      <c r="J8" s="345"/>
      <c r="K8" s="345"/>
      <c r="L8" s="345"/>
      <c r="M8" s="346"/>
      <c r="N8" s="346"/>
      <c r="O8" s="346"/>
      <c r="P8" s="346"/>
      <c r="Q8" s="346"/>
    </row>
    <row r="9" spans="1:31" s="347" customFormat="1" ht="15">
      <c r="A9" s="348" t="s">
        <v>124</v>
      </c>
      <c r="B9" s="345"/>
      <c r="C9" s="346"/>
      <c r="D9" s="346"/>
      <c r="E9" s="337"/>
      <c r="F9" s="346"/>
      <c r="G9" s="346"/>
      <c r="H9" s="346"/>
      <c r="I9" s="346"/>
      <c r="J9" s="346"/>
      <c r="K9" s="346"/>
      <c r="L9" s="346"/>
      <c r="M9" s="346"/>
      <c r="N9" s="346"/>
      <c r="O9" s="346"/>
      <c r="P9" s="346"/>
      <c r="Q9" s="346"/>
    </row>
    <row r="10" spans="1:31" s="355" customFormat="1" ht="13.5" customHeight="1">
      <c r="A10" s="349">
        <f>SUM(A14:A2220)</f>
        <v>0</v>
      </c>
      <c r="B10" s="350"/>
      <c r="C10" s="351"/>
      <c r="D10" s="352"/>
      <c r="E10" s="352"/>
      <c r="F10" s="352"/>
      <c r="G10" s="353"/>
      <c r="H10" s="352"/>
      <c r="I10" s="352"/>
      <c r="J10" s="353"/>
      <c r="K10" s="354"/>
      <c r="L10" s="354"/>
      <c r="M10" s="354"/>
      <c r="N10" s="354"/>
      <c r="O10" s="354"/>
      <c r="P10" s="354"/>
      <c r="Q10" s="354"/>
    </row>
    <row r="12" spans="1:31">
      <c r="B12" s="334" t="s">
        <v>391</v>
      </c>
    </row>
    <row r="13" spans="1:31">
      <c r="B13" s="334"/>
      <c r="C13" s="269"/>
      <c r="D13" s="269"/>
      <c r="E13" s="269"/>
      <c r="F13" s="269"/>
      <c r="G13" s="269"/>
      <c r="H13" s="269"/>
      <c r="I13" s="269"/>
      <c r="J13" s="269"/>
      <c r="K13" s="269"/>
      <c r="L13" s="269"/>
      <c r="M13" s="269"/>
      <c r="N13" s="269"/>
    </row>
    <row r="14" spans="1:31">
      <c r="B14" s="356"/>
      <c r="C14" s="356" t="str">
        <f>'Art_&amp;_Design_1'!C293</f>
        <v>2017/18</v>
      </c>
      <c r="D14" s="356" t="str">
        <f>'Art_&amp;_Design_1'!D293</f>
        <v>2018/19</v>
      </c>
      <c r="E14" s="356" t="str">
        <f>'Art_&amp;_Design_1'!E293</f>
        <v>2019/20</v>
      </c>
      <c r="F14" s="356" t="str">
        <f>'Art_&amp;_Design_1'!F293</f>
        <v>2020/21</v>
      </c>
      <c r="G14" s="356" t="str">
        <f>'Art_&amp;_Design_1'!G293</f>
        <v>2021/22</v>
      </c>
      <c r="H14" s="356" t="str">
        <f>'Art_&amp;_Design_1'!H293</f>
        <v>2022/23</v>
      </c>
      <c r="I14" s="356" t="str">
        <f>'Art_&amp;_Design_1'!I293</f>
        <v>2023/24</v>
      </c>
      <c r="J14" s="356" t="str">
        <f>'Art_&amp;_Design_1'!J293</f>
        <v>2024/25</v>
      </c>
      <c r="K14" s="356" t="str">
        <f>'Art_&amp;_Design_1'!K293</f>
        <v>2025/26</v>
      </c>
      <c r="L14" s="356" t="str">
        <f>'Art_&amp;_Design_1'!L293</f>
        <v>2026/27</v>
      </c>
      <c r="M14" s="356" t="str">
        <f>'Art_&amp;_Design_1'!M293</f>
        <v>2027/28</v>
      </c>
      <c r="N14" s="356" t="str">
        <f>'Art_&amp;_Design_1'!N293</f>
        <v>2028/29</v>
      </c>
      <c r="AD14" s="318"/>
      <c r="AE14" s="269"/>
    </row>
    <row r="15" spans="1:31">
      <c r="B15" s="356" t="str">
        <f>Primary_1!B296</f>
        <v>Primary</v>
      </c>
      <c r="C15" s="1010">
        <f>OUTPUTS_FOR_SECTION_2_OF_MODEL!C83</f>
        <v>27567.610098506135</v>
      </c>
      <c r="D15" s="1010">
        <f>OUTPUTS_FOR_SECTION_2_OF_MODEL!D83</f>
        <v>26168.018656485227</v>
      </c>
      <c r="E15" s="276">
        <f>'Re-entrants_expected'!C14+New_to_SF_sector_expected!C14+NQT_entrants_required_inc_UGs!C14+Entrants_via_other_initiatives!C14</f>
        <v>25492.593807015372</v>
      </c>
      <c r="F15" s="276">
        <f>'Re-entrants_expected'!D14+New_to_SF_sector_expected!D14+NQT_entrants_required_inc_UGs!D14+Entrants_via_other_initiatives!D14</f>
        <v>25178.924285860096</v>
      </c>
      <c r="G15" s="276">
        <f>'Re-entrants_expected'!E14+New_to_SF_sector_expected!E14+NQT_entrants_required_inc_UGs!E14+Entrants_via_other_initiatives!E14</f>
        <v>24958.713813880742</v>
      </c>
      <c r="H15" s="276">
        <f>'Re-entrants_expected'!F14+New_to_SF_sector_expected!F14+NQT_entrants_required_inc_UGs!F14+Entrants_via_other_initiatives!F14</f>
        <v>24696.100468209581</v>
      </c>
      <c r="I15" s="276">
        <f>'Re-entrants_expected'!G14+New_to_SF_sector_expected!G14+NQT_entrants_required_inc_UGs!G14+Entrants_via_other_initiatives!G14</f>
        <v>24408.266644993811</v>
      </c>
      <c r="J15" s="276">
        <f>'Re-entrants_expected'!H14+New_to_SF_sector_expected!H14+NQT_entrants_required_inc_UGs!H14+Entrants_via_other_initiatives!H14</f>
        <v>24950.329485232243</v>
      </c>
      <c r="K15" s="276">
        <f>'Re-entrants_expected'!I14+New_to_SF_sector_expected!I14+NQT_entrants_required_inc_UGs!I14+Entrants_via_other_initiatives!I14</f>
        <v>25389.224909382261</v>
      </c>
      <c r="L15" s="276">
        <f>'Re-entrants_expected'!J14+New_to_SF_sector_expected!J14+NQT_entrants_required_inc_UGs!J14+Entrants_via_other_initiatives!J14</f>
        <v>25497.882054938753</v>
      </c>
      <c r="M15" s="276">
        <f>'Re-entrants_expected'!K14+New_to_SF_sector_expected!K14+NQT_entrants_required_inc_UGs!K14+Entrants_via_other_initiatives!K14</f>
        <v>25396.267516090727</v>
      </c>
      <c r="N15" s="276">
        <f>'Re-entrants_expected'!L14+New_to_SF_sector_expected!L14+NQT_entrants_required_inc_UGs!L14+Entrants_via_other_initiatives!L14</f>
        <v>25272.066186930482</v>
      </c>
      <c r="AD15" s="318"/>
      <c r="AE15" s="269"/>
    </row>
    <row r="16" spans="1:31">
      <c r="B16" s="356" t="str">
        <f>'Art_&amp;_Design_1'!B296</f>
        <v>Art &amp; Design</v>
      </c>
      <c r="C16" s="1010">
        <f>OUTPUTS_FOR_SECTION_2_OF_MODEL!C65</f>
        <v>784.26817674174765</v>
      </c>
      <c r="D16" s="1010">
        <f>OUTPUTS_FOR_SECTION_2_OF_MODEL!D65</f>
        <v>847.98779009243503</v>
      </c>
      <c r="E16" s="276">
        <f>'Re-entrants_expected'!C15+New_to_SF_sector_expected!C15+NQT_entrants_required_inc_UGs!C15+Entrants_via_other_initiatives!C15</f>
        <v>901.07800660747716</v>
      </c>
      <c r="F16" s="276">
        <f>'Re-entrants_expected'!D15+New_to_SF_sector_expected!D15+NQT_entrants_required_inc_UGs!D15+Entrants_via_other_initiatives!D15</f>
        <v>893.66567056461827</v>
      </c>
      <c r="G16" s="276">
        <f>'Re-entrants_expected'!E15+New_to_SF_sector_expected!E15+NQT_entrants_required_inc_UGs!E15+Entrants_via_other_initiatives!E15</f>
        <v>878.15759626382442</v>
      </c>
      <c r="H16" s="276">
        <f>'Re-entrants_expected'!F15+New_to_SF_sector_expected!F15+NQT_entrants_required_inc_UGs!F15+Entrants_via_other_initiatives!F15</f>
        <v>857.96005228869774</v>
      </c>
      <c r="I16" s="276">
        <f>'Re-entrants_expected'!G15+New_to_SF_sector_expected!G15+NQT_entrants_required_inc_UGs!G15+Entrants_via_other_initiatives!G15</f>
        <v>905.52020091501095</v>
      </c>
      <c r="J16" s="276">
        <f>'Re-entrants_expected'!H15+New_to_SF_sector_expected!H15+NQT_entrants_required_inc_UGs!H15+Entrants_via_other_initiatives!H15</f>
        <v>936.43518330567122</v>
      </c>
      <c r="K16" s="276">
        <f>'Re-entrants_expected'!I15+New_to_SF_sector_expected!I15+NQT_entrants_required_inc_UGs!I15+Entrants_via_other_initiatives!I15</f>
        <v>891.81276162212566</v>
      </c>
      <c r="L16" s="276">
        <f>'Re-entrants_expected'!J15+New_to_SF_sector_expected!J15+NQT_entrants_required_inc_UGs!J15+Entrants_via_other_initiatives!J15</f>
        <v>863.77180954390406</v>
      </c>
      <c r="M16" s="276">
        <f>'Re-entrants_expected'!K15+New_to_SF_sector_expected!K15+NQT_entrants_required_inc_UGs!K15+Entrants_via_other_initiatives!K15</f>
        <v>880.97091747327249</v>
      </c>
      <c r="N16" s="276">
        <f>'Re-entrants_expected'!L15+New_to_SF_sector_expected!L15+NQT_entrants_required_inc_UGs!L15+Entrants_via_other_initiatives!L15</f>
        <v>886.56621946381574</v>
      </c>
      <c r="AD16" s="318"/>
      <c r="AE16" s="269"/>
    </row>
    <row r="17" spans="2:16">
      <c r="B17" s="356" t="str">
        <f>Biology_1!B296</f>
        <v>Biology</v>
      </c>
      <c r="C17" s="1010">
        <f>OUTPUTS_FOR_SECTION_2_OF_MODEL!C66</f>
        <v>1754.8582177378757</v>
      </c>
      <c r="D17" s="1010">
        <f>OUTPUTS_FOR_SECTION_2_OF_MODEL!D66</f>
        <v>1564.951730038006</v>
      </c>
      <c r="E17" s="276">
        <f>'Re-entrants_expected'!C16+New_to_SF_sector_expected!C16+NQT_entrants_required_inc_UGs!C16+Entrants_via_other_initiatives!C16</f>
        <v>1616.5168720308891</v>
      </c>
      <c r="F17" s="276">
        <f>'Re-entrants_expected'!D16+New_to_SF_sector_expected!D16+NQT_entrants_required_inc_UGs!D16+Entrants_via_other_initiatives!D16</f>
        <v>1589.631948099769</v>
      </c>
      <c r="G17" s="276">
        <f>'Re-entrants_expected'!E16+New_to_SF_sector_expected!E16+NQT_entrants_required_inc_UGs!E16+Entrants_via_other_initiatives!E16</f>
        <v>1623.8400396573034</v>
      </c>
      <c r="H17" s="276">
        <f>'Re-entrants_expected'!F16+New_to_SF_sector_expected!F16+NQT_entrants_required_inc_UGs!F16+Entrants_via_other_initiatives!F16</f>
        <v>1663.0354761250419</v>
      </c>
      <c r="I17" s="276">
        <f>'Re-entrants_expected'!G16+New_to_SF_sector_expected!G16+NQT_entrants_required_inc_UGs!G16+Entrants_via_other_initiatives!G16</f>
        <v>1692.5197067368224</v>
      </c>
      <c r="J17" s="276">
        <f>'Re-entrants_expected'!H16+New_to_SF_sector_expected!H16+NQT_entrants_required_inc_UGs!H16+Entrants_via_other_initiatives!H16</f>
        <v>1666.9339203879388</v>
      </c>
      <c r="K17" s="276">
        <f>'Re-entrants_expected'!I16+New_to_SF_sector_expected!I16+NQT_entrants_required_inc_UGs!I16+Entrants_via_other_initiatives!I16</f>
        <v>1647.7816945449745</v>
      </c>
      <c r="L17" s="276">
        <f>'Re-entrants_expected'!J16+New_to_SF_sector_expected!J16+NQT_entrants_required_inc_UGs!J16+Entrants_via_other_initiatives!J16</f>
        <v>1622.5487612370466</v>
      </c>
      <c r="M17" s="276">
        <f>'Re-entrants_expected'!K16+New_to_SF_sector_expected!K16+NQT_entrants_required_inc_UGs!K16+Entrants_via_other_initiatives!K16</f>
        <v>1582.7788414961647</v>
      </c>
      <c r="N17" s="276">
        <f>'Re-entrants_expected'!L16+New_to_SF_sector_expected!L16+NQT_entrants_required_inc_UGs!L16+Entrants_via_other_initiatives!L16</f>
        <v>1542.4347347474536</v>
      </c>
    </row>
    <row r="18" spans="2:16">
      <c r="B18" s="356" t="str">
        <f>Business_Studies_1!B296</f>
        <v>Business Studies</v>
      </c>
      <c r="C18" s="1010">
        <f>OUTPUTS_FOR_SECTION_2_OF_MODEL!C67</f>
        <v>263.62978834821001</v>
      </c>
      <c r="D18" s="1010">
        <f>OUTPUTS_FOR_SECTION_2_OF_MODEL!D67</f>
        <v>325.98949134777433</v>
      </c>
      <c r="E18" s="276">
        <f>'Re-entrants_expected'!C17+New_to_SF_sector_expected!C17+NQT_entrants_required_inc_UGs!C17+Entrants_via_other_initiatives!C17</f>
        <v>350.31454337488356</v>
      </c>
      <c r="F18" s="276">
        <f>'Re-entrants_expected'!D17+New_to_SF_sector_expected!D17+NQT_entrants_required_inc_UGs!D17+Entrants_via_other_initiatives!D17</f>
        <v>390.35531929413946</v>
      </c>
      <c r="G18" s="276">
        <f>'Re-entrants_expected'!E17+New_to_SF_sector_expected!E17+NQT_entrants_required_inc_UGs!E17+Entrants_via_other_initiatives!E17</f>
        <v>411.44000433118822</v>
      </c>
      <c r="H18" s="276">
        <f>'Re-entrants_expected'!F17+New_to_SF_sector_expected!F17+NQT_entrants_required_inc_UGs!F17+Entrants_via_other_initiatives!F17</f>
        <v>438.36399742982371</v>
      </c>
      <c r="I18" s="276">
        <f>'Re-entrants_expected'!G17+New_to_SF_sector_expected!G17+NQT_entrants_required_inc_UGs!G17+Entrants_via_other_initiatives!G17</f>
        <v>447.70601254435428</v>
      </c>
      <c r="J18" s="276">
        <f>'Re-entrants_expected'!H17+New_to_SF_sector_expected!H17+NQT_entrants_required_inc_UGs!H17+Entrants_via_other_initiatives!H17</f>
        <v>474.16465472315019</v>
      </c>
      <c r="K18" s="276">
        <f>'Re-entrants_expected'!I17+New_to_SF_sector_expected!I17+NQT_entrants_required_inc_UGs!I17+Entrants_via_other_initiatives!I17</f>
        <v>478.95539419864724</v>
      </c>
      <c r="L18" s="276">
        <f>'Re-entrants_expected'!J17+New_to_SF_sector_expected!J17+NQT_entrants_required_inc_UGs!J17+Entrants_via_other_initiatives!J17</f>
        <v>478.62768453066838</v>
      </c>
      <c r="M18" s="276">
        <f>'Re-entrants_expected'!K17+New_to_SF_sector_expected!K17+NQT_entrants_required_inc_UGs!K17+Entrants_via_other_initiatives!K17</f>
        <v>451.55981802731083</v>
      </c>
      <c r="N18" s="276">
        <f>'Re-entrants_expected'!L17+New_to_SF_sector_expected!L17+NQT_entrants_required_inc_UGs!L17+Entrants_via_other_initiatives!L17</f>
        <v>421.64472626529425</v>
      </c>
    </row>
    <row r="19" spans="2:16">
      <c r="B19" s="356" t="str">
        <f>Chemistry_1!B296</f>
        <v>Chemistry</v>
      </c>
      <c r="C19" s="1010">
        <f>OUTPUTS_FOR_SECTION_2_OF_MODEL!C68</f>
        <v>1591.8760582329605</v>
      </c>
      <c r="D19" s="1010">
        <f>OUTPUTS_FOR_SECTION_2_OF_MODEL!D68</f>
        <v>1438.5478249984121</v>
      </c>
      <c r="E19" s="276">
        <f>'Re-entrants_expected'!C18+New_to_SF_sector_expected!C18+NQT_entrants_required_inc_UGs!C18+Entrants_via_other_initiatives!C18</f>
        <v>1446.9078103826337</v>
      </c>
      <c r="F19" s="276">
        <f>'Re-entrants_expected'!D18+New_to_SF_sector_expected!D18+NQT_entrants_required_inc_UGs!D18+Entrants_via_other_initiatives!D18</f>
        <v>1447.6081676110557</v>
      </c>
      <c r="G19" s="276">
        <f>'Re-entrants_expected'!E18+New_to_SF_sector_expected!E18+NQT_entrants_required_inc_UGs!E18+Entrants_via_other_initiatives!E18</f>
        <v>1476.8650240167299</v>
      </c>
      <c r="H19" s="276">
        <f>'Re-entrants_expected'!F18+New_to_SF_sector_expected!F18+NQT_entrants_required_inc_UGs!F18+Entrants_via_other_initiatives!F18</f>
        <v>1511.6029073553927</v>
      </c>
      <c r="I19" s="276">
        <f>'Re-entrants_expected'!G18+New_to_SF_sector_expected!G18+NQT_entrants_required_inc_UGs!G18+Entrants_via_other_initiatives!G18</f>
        <v>1524.6538860757134</v>
      </c>
      <c r="J19" s="276">
        <f>'Re-entrants_expected'!H18+New_to_SF_sector_expected!H18+NQT_entrants_required_inc_UGs!H18+Entrants_via_other_initiatives!H18</f>
        <v>1498.4915438938874</v>
      </c>
      <c r="K19" s="276">
        <f>'Re-entrants_expected'!I18+New_to_SF_sector_expected!I18+NQT_entrants_required_inc_UGs!I18+Entrants_via_other_initiatives!I18</f>
        <v>1486.7257676817808</v>
      </c>
      <c r="L19" s="276">
        <f>'Re-entrants_expected'!J18+New_to_SF_sector_expected!J18+NQT_entrants_required_inc_UGs!J18+Entrants_via_other_initiatives!J18</f>
        <v>1464.134419689306</v>
      </c>
      <c r="M19" s="276">
        <f>'Re-entrants_expected'!K18+New_to_SF_sector_expected!K18+NQT_entrants_required_inc_UGs!K18+Entrants_via_other_initiatives!K18</f>
        <v>1413.2582238277173</v>
      </c>
      <c r="N19" s="276">
        <f>'Re-entrants_expected'!L18+New_to_SF_sector_expected!L18+NQT_entrants_required_inc_UGs!L18+Entrants_via_other_initiatives!L18</f>
        <v>1363.8132114839525</v>
      </c>
    </row>
    <row r="20" spans="2:16">
      <c r="B20" s="356" t="str">
        <f>Classics_1!B296</f>
        <v>Classics</v>
      </c>
      <c r="C20" s="1010">
        <f>OUTPUTS_FOR_SECTION_2_OF_MODEL!C69</f>
        <v>35.315407536400862</v>
      </c>
      <c r="D20" s="1010">
        <f>OUTPUTS_FOR_SECTION_2_OF_MODEL!D69</f>
        <v>36.270167729320221</v>
      </c>
      <c r="E20" s="276">
        <f>'Re-entrants_expected'!C19+New_to_SF_sector_expected!C19+NQT_entrants_required_inc_UGs!C19+Entrants_via_other_initiatives!C19</f>
        <v>36.744991908102591</v>
      </c>
      <c r="F20" s="276">
        <f>'Re-entrants_expected'!D19+New_to_SF_sector_expected!D19+NQT_entrants_required_inc_UGs!D19+Entrants_via_other_initiatives!D19</f>
        <v>37.390130719007274</v>
      </c>
      <c r="G20" s="276">
        <f>'Re-entrants_expected'!E19+New_to_SF_sector_expected!E19+NQT_entrants_required_inc_UGs!E19+Entrants_via_other_initiatives!E19</f>
        <v>37.56337249906106</v>
      </c>
      <c r="H20" s="276">
        <f>'Re-entrants_expected'!F19+New_to_SF_sector_expected!F19+NQT_entrants_required_inc_UGs!F19+Entrants_via_other_initiatives!F19</f>
        <v>38.10702701562191</v>
      </c>
      <c r="I20" s="276">
        <f>'Re-entrants_expected'!G19+New_to_SF_sector_expected!G19+NQT_entrants_required_inc_UGs!G19+Entrants_via_other_initiatives!G19</f>
        <v>39.028631119567365</v>
      </c>
      <c r="J20" s="276">
        <f>'Re-entrants_expected'!H19+New_to_SF_sector_expected!H19+NQT_entrants_required_inc_UGs!H19+Entrants_via_other_initiatives!H19</f>
        <v>38.764686400586214</v>
      </c>
      <c r="K20" s="276">
        <f>'Re-entrants_expected'!I19+New_to_SF_sector_expected!I19+NQT_entrants_required_inc_UGs!I19+Entrants_via_other_initiatives!I19</f>
        <v>37.31096915238431</v>
      </c>
      <c r="L20" s="276">
        <f>'Re-entrants_expected'!J19+New_to_SF_sector_expected!J19+NQT_entrants_required_inc_UGs!J19+Entrants_via_other_initiatives!J19</f>
        <v>36.394449918447023</v>
      </c>
      <c r="M20" s="276">
        <f>'Re-entrants_expected'!K19+New_to_SF_sector_expected!K19+NQT_entrants_required_inc_UGs!K19+Entrants_via_other_initiatives!K19</f>
        <v>36.314027062919877</v>
      </c>
      <c r="N20" s="276">
        <f>'Re-entrants_expected'!L19+New_to_SF_sector_expected!L19+NQT_entrants_required_inc_UGs!L19+Entrants_via_other_initiatives!L19</f>
        <v>36.034427511590891</v>
      </c>
    </row>
    <row r="21" spans="2:16">
      <c r="B21" s="356" t="str">
        <f>Computing_1!B296</f>
        <v>Computing</v>
      </c>
      <c r="C21" s="1010">
        <f>OUTPUTS_FOR_SECTION_2_OF_MODEL!C70</f>
        <v>726.8391924291152</v>
      </c>
      <c r="D21" s="1010">
        <f>OUTPUTS_FOR_SECTION_2_OF_MODEL!D70</f>
        <v>798.98281434623186</v>
      </c>
      <c r="E21" s="276">
        <f>'Re-entrants_expected'!C20+New_to_SF_sector_expected!C20+NQT_entrants_required_inc_UGs!C20+Entrants_via_other_initiatives!C20</f>
        <v>849.5530840155069</v>
      </c>
      <c r="F21" s="276">
        <f>'Re-entrants_expected'!D20+New_to_SF_sector_expected!D20+NQT_entrants_required_inc_UGs!D20+Entrants_via_other_initiatives!D20</f>
        <v>844.93124682941277</v>
      </c>
      <c r="G21" s="276">
        <f>'Re-entrants_expected'!E20+New_to_SF_sector_expected!E20+NQT_entrants_required_inc_UGs!E20+Entrants_via_other_initiatives!E20</f>
        <v>839.10513198124454</v>
      </c>
      <c r="H21" s="276">
        <f>'Re-entrants_expected'!F20+New_to_SF_sector_expected!F20+NQT_entrants_required_inc_UGs!F20+Entrants_via_other_initiatives!F20</f>
        <v>830.43403446102116</v>
      </c>
      <c r="I21" s="276">
        <f>'Re-entrants_expected'!G20+New_to_SF_sector_expected!G20+NQT_entrants_required_inc_UGs!G20+Entrants_via_other_initiatives!G20</f>
        <v>866.20808629718908</v>
      </c>
      <c r="J21" s="276">
        <f>'Re-entrants_expected'!H20+New_to_SF_sector_expected!H20+NQT_entrants_required_inc_UGs!H20+Entrants_via_other_initiatives!H20</f>
        <v>895.77096529902212</v>
      </c>
      <c r="K21" s="276">
        <f>'Re-entrants_expected'!I20+New_to_SF_sector_expected!I20+NQT_entrants_required_inc_UGs!I20+Entrants_via_other_initiatives!I20</f>
        <v>871.30663630882373</v>
      </c>
      <c r="L21" s="276">
        <f>'Re-entrants_expected'!J20+New_to_SF_sector_expected!J20+NQT_entrants_required_inc_UGs!J20+Entrants_via_other_initiatives!J20</f>
        <v>853.19202001778842</v>
      </c>
      <c r="M21" s="276">
        <f>'Re-entrants_expected'!K20+New_to_SF_sector_expected!K20+NQT_entrants_required_inc_UGs!K20+Entrants_via_other_initiatives!K20</f>
        <v>854.05866612700709</v>
      </c>
      <c r="N21" s="276">
        <f>'Re-entrants_expected'!L20+New_to_SF_sector_expected!L20+NQT_entrants_required_inc_UGs!L20+Entrants_via_other_initiatives!L20</f>
        <v>846.76230438501386</v>
      </c>
      <c r="P21" s="318"/>
    </row>
    <row r="22" spans="2:16">
      <c r="B22" s="356" t="str">
        <f>'Design_&amp;_Technology_1'!B296</f>
        <v>Design &amp; Technology</v>
      </c>
      <c r="C22" s="1010">
        <f>OUTPUTS_FOR_SECTION_2_OF_MODEL!C71</f>
        <v>1130.059481511199</v>
      </c>
      <c r="D22" s="1010">
        <f>OUTPUTS_FOR_SECTION_2_OF_MODEL!D71</f>
        <v>1136.4889128051518</v>
      </c>
      <c r="E22" s="276">
        <f>'Re-entrants_expected'!C21+New_to_SF_sector_expected!C21+NQT_entrants_required_inc_UGs!C21+Entrants_via_other_initiatives!C21</f>
        <v>1227.1310065905341</v>
      </c>
      <c r="F22" s="276">
        <f>'Re-entrants_expected'!D21+New_to_SF_sector_expected!D21+NQT_entrants_required_inc_UGs!D21+Entrants_via_other_initiatives!D21</f>
        <v>1132.6973385679771</v>
      </c>
      <c r="G22" s="276">
        <f>'Re-entrants_expected'!E21+New_to_SF_sector_expected!E21+NQT_entrants_required_inc_UGs!E21+Entrants_via_other_initiatives!E21</f>
        <v>1085.9582077587156</v>
      </c>
      <c r="H22" s="276">
        <f>'Re-entrants_expected'!F21+New_to_SF_sector_expected!F21+NQT_entrants_required_inc_UGs!F21+Entrants_via_other_initiatives!F21</f>
        <v>1031.3375413810672</v>
      </c>
      <c r="I22" s="276">
        <f>'Re-entrants_expected'!G21+New_to_SF_sector_expected!G21+NQT_entrants_required_inc_UGs!G21+Entrants_via_other_initiatives!G21</f>
        <v>1085.8267330096287</v>
      </c>
      <c r="J22" s="276">
        <f>'Re-entrants_expected'!H21+New_to_SF_sector_expected!H21+NQT_entrants_required_inc_UGs!H21+Entrants_via_other_initiatives!H21</f>
        <v>1109.2640720591962</v>
      </c>
      <c r="K22" s="276">
        <f>'Re-entrants_expected'!I21+New_to_SF_sector_expected!I21+NQT_entrants_required_inc_UGs!I21+Entrants_via_other_initiatives!I21</f>
        <v>1038.1804283531726</v>
      </c>
      <c r="L22" s="276">
        <f>'Re-entrants_expected'!J21+New_to_SF_sector_expected!J21+NQT_entrants_required_inc_UGs!J21+Entrants_via_other_initiatives!J21</f>
        <v>993.8968103459481</v>
      </c>
      <c r="M22" s="276">
        <f>'Re-entrants_expected'!K21+New_to_SF_sector_expected!K21+NQT_entrants_required_inc_UGs!K21+Entrants_via_other_initiatives!K21</f>
        <v>1027.7988411684194</v>
      </c>
      <c r="N22" s="276">
        <f>'Re-entrants_expected'!L21+New_to_SF_sector_expected!L21+NQT_entrants_required_inc_UGs!L21+Entrants_via_other_initiatives!L21</f>
        <v>1047.6172776083695</v>
      </c>
      <c r="P22" s="318"/>
    </row>
    <row r="23" spans="2:16">
      <c r="B23" s="356" t="str">
        <f>Drama_1!B296</f>
        <v>Drama</v>
      </c>
      <c r="C23" s="1010">
        <f>OUTPUTS_FOR_SECTION_2_OF_MODEL!C72</f>
        <v>468.76901163447405</v>
      </c>
      <c r="D23" s="1010">
        <f>OUTPUTS_FOR_SECTION_2_OF_MODEL!D72</f>
        <v>476.88945248559162</v>
      </c>
      <c r="E23" s="276">
        <f>'Re-entrants_expected'!C22+New_to_SF_sector_expected!C22+NQT_entrants_required_inc_UGs!C22+Entrants_via_other_initiatives!C22</f>
        <v>531.64237814670241</v>
      </c>
      <c r="F23" s="276">
        <f>'Re-entrants_expected'!D22+New_to_SF_sector_expected!D22+NQT_entrants_required_inc_UGs!D22+Entrants_via_other_initiatives!D22</f>
        <v>500.63287784900183</v>
      </c>
      <c r="G23" s="276">
        <f>'Re-entrants_expected'!E22+New_to_SF_sector_expected!E22+NQT_entrants_required_inc_UGs!E22+Entrants_via_other_initiatives!E22</f>
        <v>489.36291977552969</v>
      </c>
      <c r="H23" s="276">
        <f>'Re-entrants_expected'!F22+New_to_SF_sector_expected!F22+NQT_entrants_required_inc_UGs!F22+Entrants_via_other_initiatives!F22</f>
        <v>474.68330287087286</v>
      </c>
      <c r="I23" s="276">
        <f>'Re-entrants_expected'!G22+New_to_SF_sector_expected!G22+NQT_entrants_required_inc_UGs!G22+Entrants_via_other_initiatives!G22</f>
        <v>508.17018316008341</v>
      </c>
      <c r="J23" s="276">
        <f>'Re-entrants_expected'!H22+New_to_SF_sector_expected!H22+NQT_entrants_required_inc_UGs!H22+Entrants_via_other_initiatives!H22</f>
        <v>527.75973028775275</v>
      </c>
      <c r="K23" s="276">
        <f>'Re-entrants_expected'!I22+New_to_SF_sector_expected!I22+NQT_entrants_required_inc_UGs!I22+Entrants_via_other_initiatives!I22</f>
        <v>499.44421191976147</v>
      </c>
      <c r="L23" s="276">
        <f>'Re-entrants_expected'!J22+New_to_SF_sector_expected!J22+NQT_entrants_required_inc_UGs!J22+Entrants_via_other_initiatives!J22</f>
        <v>483.61147594995941</v>
      </c>
      <c r="M23" s="276">
        <f>'Re-entrants_expected'!K22+New_to_SF_sector_expected!K22+NQT_entrants_required_inc_UGs!K22+Entrants_via_other_initiatives!K22</f>
        <v>503.23298273743859</v>
      </c>
      <c r="N23" s="276">
        <f>'Re-entrants_expected'!L22+New_to_SF_sector_expected!L22+NQT_entrants_required_inc_UGs!L22+Entrants_via_other_initiatives!L22</f>
        <v>515.1846860674475</v>
      </c>
    </row>
    <row r="24" spans="2:16">
      <c r="B24" s="356" t="str">
        <f>English_1!B296</f>
        <v>English</v>
      </c>
      <c r="C24" s="1010">
        <f>OUTPUTS_FOR_SECTION_2_OF_MODEL!C73</f>
        <v>4039.537608063712</v>
      </c>
      <c r="D24" s="1010">
        <f>OUTPUTS_FOR_SECTION_2_OF_MODEL!D73</f>
        <v>4228.7636458328525</v>
      </c>
      <c r="E24" s="276">
        <f>'Re-entrants_expected'!C23+New_to_SF_sector_expected!C23+NQT_entrants_required_inc_UGs!C23+Entrants_via_other_initiatives!C23</f>
        <v>3912.914128603627</v>
      </c>
      <c r="F24" s="276">
        <f>'Re-entrants_expected'!D23+New_to_SF_sector_expected!D23+NQT_entrants_required_inc_UGs!D23+Entrants_via_other_initiatives!D23</f>
        <v>3858.6056594459533</v>
      </c>
      <c r="G24" s="276">
        <f>'Re-entrants_expected'!E23+New_to_SF_sector_expected!E23+NQT_entrants_required_inc_UGs!E23+Entrants_via_other_initiatives!E23</f>
        <v>3886.4354044751385</v>
      </c>
      <c r="H24" s="276">
        <f>'Re-entrants_expected'!F23+New_to_SF_sector_expected!F23+NQT_entrants_required_inc_UGs!F23+Entrants_via_other_initiatives!F23</f>
        <v>3915.6694020272062</v>
      </c>
      <c r="I24" s="276">
        <f>'Re-entrants_expected'!G23+New_to_SF_sector_expected!G23+NQT_entrants_required_inc_UGs!G23+Entrants_via_other_initiatives!G23</f>
        <v>3995.8114014758789</v>
      </c>
      <c r="J24" s="276">
        <f>'Re-entrants_expected'!H23+New_to_SF_sector_expected!H23+NQT_entrants_required_inc_UGs!H23+Entrants_via_other_initiatives!H23</f>
        <v>3866.479170970556</v>
      </c>
      <c r="K24" s="276">
        <f>'Re-entrants_expected'!I23+New_to_SF_sector_expected!I23+NQT_entrants_required_inc_UGs!I23+Entrants_via_other_initiatives!I23</f>
        <v>3782.7922950591205</v>
      </c>
      <c r="L24" s="276">
        <f>'Re-entrants_expected'!J23+New_to_SF_sector_expected!J23+NQT_entrants_required_inc_UGs!J23+Entrants_via_other_initiatives!J23</f>
        <v>3695.2986739401767</v>
      </c>
      <c r="M24" s="276">
        <f>'Re-entrants_expected'!K23+New_to_SF_sector_expected!K23+NQT_entrants_required_inc_UGs!K23+Entrants_via_other_initiatives!K23</f>
        <v>3627.1389424051795</v>
      </c>
      <c r="N24" s="276">
        <f>'Re-entrants_expected'!L23+New_to_SF_sector_expected!L23+NQT_entrants_required_inc_UGs!L23+Entrants_via_other_initiatives!L23</f>
        <v>3562.2042407503127</v>
      </c>
    </row>
    <row r="25" spans="2:16">
      <c r="B25" s="356" t="str">
        <f>Food_1!B296</f>
        <v>Food</v>
      </c>
      <c r="C25" s="1010">
        <f>OUTPUTS_FOR_SECTION_2_OF_MODEL!C74</f>
        <v>211.65522159252305</v>
      </c>
      <c r="D25" s="1010">
        <f>OUTPUTS_FOR_SECTION_2_OF_MODEL!D74</f>
        <v>247.51398484695662</v>
      </c>
      <c r="E25" s="276">
        <f>'Re-entrants_expected'!C24+New_to_SF_sector_expected!C24+NQT_entrants_required_inc_UGs!C24+Entrants_via_other_initiatives!C24</f>
        <v>251.74490173817554</v>
      </c>
      <c r="F25" s="276">
        <f>'Re-entrants_expected'!D24+New_to_SF_sector_expected!D24+NQT_entrants_required_inc_UGs!D24+Entrants_via_other_initiatives!D24</f>
        <v>240.61649632089893</v>
      </c>
      <c r="G25" s="276">
        <f>'Re-entrants_expected'!E24+New_to_SF_sector_expected!E24+NQT_entrants_required_inc_UGs!E24+Entrants_via_other_initiatives!E24</f>
        <v>233.25587048205455</v>
      </c>
      <c r="H25" s="276">
        <f>'Re-entrants_expected'!F24+New_to_SF_sector_expected!F24+NQT_entrants_required_inc_UGs!F24+Entrants_via_other_initiatives!F24</f>
        <v>226.43315005231881</v>
      </c>
      <c r="I25" s="276">
        <f>'Re-entrants_expected'!G24+New_to_SF_sector_expected!G24+NQT_entrants_required_inc_UGs!G24+Entrants_via_other_initiatives!G24</f>
        <v>228.80543781333409</v>
      </c>
      <c r="J25" s="276">
        <f>'Re-entrants_expected'!H24+New_to_SF_sector_expected!H24+NQT_entrants_required_inc_UGs!H24+Entrants_via_other_initiatives!H24</f>
        <v>232.76402047188006</v>
      </c>
      <c r="K25" s="276">
        <f>'Re-entrants_expected'!I24+New_to_SF_sector_expected!I24+NQT_entrants_required_inc_UGs!I24+Entrants_via_other_initiatives!I24</f>
        <v>230.01971707030845</v>
      </c>
      <c r="L25" s="276">
        <f>'Re-entrants_expected'!J24+New_to_SF_sector_expected!J24+NQT_entrants_required_inc_UGs!J24+Entrants_via_other_initiatives!J24</f>
        <v>224.70832375317298</v>
      </c>
      <c r="M25" s="276">
        <f>'Re-entrants_expected'!K24+New_to_SF_sector_expected!K24+NQT_entrants_required_inc_UGs!K24+Entrants_via_other_initiatives!K24</f>
        <v>213.76448213734329</v>
      </c>
      <c r="N25" s="276">
        <f>'Re-entrants_expected'!L24+New_to_SF_sector_expected!L24+NQT_entrants_required_inc_UGs!L24+Entrants_via_other_initiatives!L24</f>
        <v>202.24770673036528</v>
      </c>
    </row>
    <row r="26" spans="2:16">
      <c r="B26" s="356" t="str">
        <f>Geography_1!B296</f>
        <v>Geography</v>
      </c>
      <c r="C26" s="1010">
        <f>OUTPUTS_FOR_SECTION_2_OF_MODEL!C75</f>
        <v>1291.2464891690154</v>
      </c>
      <c r="D26" s="1010">
        <f>OUTPUTS_FOR_SECTION_2_OF_MODEL!D75</f>
        <v>1278.9675184822354</v>
      </c>
      <c r="E26" s="276">
        <f>'Re-entrants_expected'!C25+New_to_SF_sector_expected!C25+NQT_entrants_required_inc_UGs!C25+Entrants_via_other_initiatives!C25</f>
        <v>1357.3808848553588</v>
      </c>
      <c r="F26" s="276">
        <f>'Re-entrants_expected'!D25+New_to_SF_sector_expected!D25+NQT_entrants_required_inc_UGs!D25+Entrants_via_other_initiatives!D25</f>
        <v>1305.2374475649265</v>
      </c>
      <c r="G26" s="276">
        <f>'Re-entrants_expected'!E25+New_to_SF_sector_expected!E25+NQT_entrants_required_inc_UGs!E25+Entrants_via_other_initiatives!E25</f>
        <v>1312.7239577484927</v>
      </c>
      <c r="H26" s="276">
        <f>'Re-entrants_expected'!F25+New_to_SF_sector_expected!F25+NQT_entrants_required_inc_UGs!F25+Entrants_via_other_initiatives!F25</f>
        <v>1316.0972540517175</v>
      </c>
      <c r="I26" s="276">
        <f>'Re-entrants_expected'!G25+New_to_SF_sector_expected!G25+NQT_entrants_required_inc_UGs!G25+Entrants_via_other_initiatives!G25</f>
        <v>1375.2085717267385</v>
      </c>
      <c r="J26" s="276">
        <f>'Re-entrants_expected'!H25+New_to_SF_sector_expected!H25+NQT_entrants_required_inc_UGs!H25+Entrants_via_other_initiatives!H25</f>
        <v>1333.0186534144525</v>
      </c>
      <c r="K26" s="276">
        <f>'Re-entrants_expected'!I25+New_to_SF_sector_expected!I25+NQT_entrants_required_inc_UGs!I25+Entrants_via_other_initiatives!I25</f>
        <v>1278.8757379091594</v>
      </c>
      <c r="L26" s="276">
        <f>'Re-entrants_expected'!J25+New_to_SF_sector_expected!J25+NQT_entrants_required_inc_UGs!J25+Entrants_via_other_initiatives!J25</f>
        <v>1241.2699804477099</v>
      </c>
      <c r="M26" s="276">
        <f>'Re-entrants_expected'!K25+New_to_SF_sector_expected!K25+NQT_entrants_required_inc_UGs!K25+Entrants_via_other_initiatives!K25</f>
        <v>1258.0386979609664</v>
      </c>
      <c r="N26" s="276">
        <f>'Re-entrants_expected'!L25+New_to_SF_sector_expected!L25+NQT_entrants_required_inc_UGs!L25+Entrants_via_other_initiatives!L25</f>
        <v>1270.2383872782209</v>
      </c>
    </row>
    <row r="27" spans="2:16">
      <c r="B27" s="356" t="str">
        <f>History_1!B296</f>
        <v>History</v>
      </c>
      <c r="C27" s="1010">
        <f>OUTPUTS_FOR_SECTION_2_OF_MODEL!C76</f>
        <v>1364.77471129794</v>
      </c>
      <c r="D27" s="1010">
        <f>OUTPUTS_FOR_SECTION_2_OF_MODEL!D76</f>
        <v>1349.6959609004903</v>
      </c>
      <c r="E27" s="276">
        <f>'Re-entrants_expected'!C26+New_to_SF_sector_expected!C26+NQT_entrants_required_inc_UGs!C26+Entrants_via_other_initiatives!C26</f>
        <v>1429.9252576724452</v>
      </c>
      <c r="F27" s="276">
        <f>'Re-entrants_expected'!D26+New_to_SF_sector_expected!D26+NQT_entrants_required_inc_UGs!D26+Entrants_via_other_initiatives!D26</f>
        <v>1382.3160766202275</v>
      </c>
      <c r="G27" s="276">
        <f>'Re-entrants_expected'!E26+New_to_SF_sector_expected!E26+NQT_entrants_required_inc_UGs!E26+Entrants_via_other_initiatives!E26</f>
        <v>1392.7375627500296</v>
      </c>
      <c r="H27" s="276">
        <f>'Re-entrants_expected'!F26+New_to_SF_sector_expected!F26+NQT_entrants_required_inc_UGs!F26+Entrants_via_other_initiatives!F26</f>
        <v>1399.8785307392218</v>
      </c>
      <c r="I27" s="276">
        <f>'Re-entrants_expected'!G26+New_to_SF_sector_expected!G26+NQT_entrants_required_inc_UGs!G26+Entrants_via_other_initiatives!G26</f>
        <v>1460.0325367086323</v>
      </c>
      <c r="J27" s="276">
        <f>'Re-entrants_expected'!H26+New_to_SF_sector_expected!H26+NQT_entrants_required_inc_UGs!H26+Entrants_via_other_initiatives!H26</f>
        <v>1418.9902742584986</v>
      </c>
      <c r="K27" s="276">
        <f>'Re-entrants_expected'!I26+New_to_SF_sector_expected!I26+NQT_entrants_required_inc_UGs!I26+Entrants_via_other_initiatives!I26</f>
        <v>1363.1619159777106</v>
      </c>
      <c r="L27" s="276">
        <f>'Re-entrants_expected'!J26+New_to_SF_sector_expected!J26+NQT_entrants_required_inc_UGs!J26+Entrants_via_other_initiatives!J26</f>
        <v>1324.3252678599069</v>
      </c>
      <c r="M27" s="276">
        <f>'Re-entrants_expected'!K26+New_to_SF_sector_expected!K26+NQT_entrants_required_inc_UGs!K26+Entrants_via_other_initiatives!K26</f>
        <v>1338.8948439444662</v>
      </c>
      <c r="N27" s="276">
        <f>'Re-entrants_expected'!L26+New_to_SF_sector_expected!L26+NQT_entrants_required_inc_UGs!L26+Entrants_via_other_initiatives!L26</f>
        <v>1348.5708602597178</v>
      </c>
    </row>
    <row r="28" spans="2:16">
      <c r="B28" s="356" t="str">
        <f>Mathematics_1!B296</f>
        <v>Mathematics</v>
      </c>
      <c r="C28" s="1010">
        <f>OUTPUTS_FOR_SECTION_2_OF_MODEL!C77</f>
        <v>4773.4029155564294</v>
      </c>
      <c r="D28" s="1010">
        <f>OUTPUTS_FOR_SECTION_2_OF_MODEL!D77</f>
        <v>4492.3907511657389</v>
      </c>
      <c r="E28" s="276">
        <f>'Re-entrants_expected'!C27+New_to_SF_sector_expected!C27+NQT_entrants_required_inc_UGs!C27+Entrants_via_other_initiatives!C27</f>
        <v>4534.1002153363606</v>
      </c>
      <c r="F28" s="276">
        <f>'Re-entrants_expected'!D27+New_to_SF_sector_expected!D27+NQT_entrants_required_inc_UGs!D27+Entrants_via_other_initiatives!D27</f>
        <v>4327.5293604006165</v>
      </c>
      <c r="G28" s="276">
        <f>'Re-entrants_expected'!E27+New_to_SF_sector_expected!E27+NQT_entrants_required_inc_UGs!E27+Entrants_via_other_initiatives!E27</f>
        <v>4353.1431682321218</v>
      </c>
      <c r="H28" s="276">
        <f>'Re-entrants_expected'!F27+New_to_SF_sector_expected!F27+NQT_entrants_required_inc_UGs!F27+Entrants_via_other_initiatives!F27</f>
        <v>4382.430688150007</v>
      </c>
      <c r="I28" s="276">
        <f>'Re-entrants_expected'!G27+New_to_SF_sector_expected!G27+NQT_entrants_required_inc_UGs!G27+Entrants_via_other_initiatives!G27</f>
        <v>4463.84574483494</v>
      </c>
      <c r="J28" s="276">
        <f>'Re-entrants_expected'!H27+New_to_SF_sector_expected!H27+NQT_entrants_required_inc_UGs!H27+Entrants_via_other_initiatives!H27</f>
        <v>4341.0321890949162</v>
      </c>
      <c r="K28" s="276">
        <f>'Re-entrants_expected'!I27+New_to_SF_sector_expected!I27+NQT_entrants_required_inc_UGs!I27+Entrants_via_other_initiatives!I27</f>
        <v>4232.0745067582511</v>
      </c>
      <c r="L28" s="276">
        <f>'Re-entrants_expected'!J27+New_to_SF_sector_expected!J27+NQT_entrants_required_inc_UGs!J27+Entrants_via_other_initiatives!J27</f>
        <v>4129.9212799682773</v>
      </c>
      <c r="M28" s="276">
        <f>'Re-entrants_expected'!K27+New_to_SF_sector_expected!K27+NQT_entrants_required_inc_UGs!K27+Entrants_via_other_initiatives!K27</f>
        <v>4063.4202125427619</v>
      </c>
      <c r="N28" s="276">
        <f>'Re-entrants_expected'!L27+New_to_SF_sector_expected!L27+NQT_entrants_required_inc_UGs!L27+Entrants_via_other_initiatives!L27</f>
        <v>3996.4936402218709</v>
      </c>
    </row>
    <row r="29" spans="2:16">
      <c r="B29" s="356" t="str">
        <f>Modern_Foreign_Languages_1!B296</f>
        <v>Modern Foreign Languages</v>
      </c>
      <c r="C29" s="1010">
        <f>OUTPUTS_FOR_SECTION_2_OF_MODEL!C78</f>
        <v>1858.4175746536107</v>
      </c>
      <c r="D29" s="1010">
        <f>OUTPUTS_FOR_SECTION_2_OF_MODEL!D78</f>
        <v>2277.0468819951711</v>
      </c>
      <c r="E29" s="276">
        <f>'Re-entrants_expected'!C28+New_to_SF_sector_expected!C28+NQT_entrants_required_inc_UGs!C28+Entrants_via_other_initiatives!C28</f>
        <v>2397.1091773555454</v>
      </c>
      <c r="F29" s="276">
        <f>'Re-entrants_expected'!D28+New_to_SF_sector_expected!D28+NQT_entrants_required_inc_UGs!D28+Entrants_via_other_initiatives!D28</f>
        <v>2539.1599817656106</v>
      </c>
      <c r="G29" s="276">
        <f>'Re-entrants_expected'!E28+New_to_SF_sector_expected!E28+NQT_entrants_required_inc_UGs!E28+Entrants_via_other_initiatives!E28</f>
        <v>2751.9042275669963</v>
      </c>
      <c r="H29" s="276">
        <f>'Re-entrants_expected'!F28+New_to_SF_sector_expected!F28+NQT_entrants_required_inc_UGs!F28+Entrants_via_other_initiatives!F28</f>
        <v>2970.6931857086374</v>
      </c>
      <c r="I29" s="276">
        <f>'Re-entrants_expected'!G28+New_to_SF_sector_expected!G28+NQT_entrants_required_inc_UGs!G28+Entrants_via_other_initiatives!G28</f>
        <v>3003.4851120198118</v>
      </c>
      <c r="J29" s="276">
        <f>'Re-entrants_expected'!H28+New_to_SF_sector_expected!H28+NQT_entrants_required_inc_UGs!H28+Entrants_via_other_initiatives!H28</f>
        <v>2384.0245514652083</v>
      </c>
      <c r="K29" s="276">
        <f>'Re-entrants_expected'!I28+New_to_SF_sector_expected!I28+NQT_entrants_required_inc_UGs!I28+Entrants_via_other_initiatives!I28</f>
        <v>2245.4563343924387</v>
      </c>
      <c r="L29" s="276">
        <f>'Re-entrants_expected'!J28+New_to_SF_sector_expected!J28+NQT_entrants_required_inc_UGs!J28+Entrants_via_other_initiatives!J28</f>
        <v>2141.5954615709479</v>
      </c>
      <c r="M29" s="276">
        <f>'Re-entrants_expected'!K28+New_to_SF_sector_expected!K28+NQT_entrants_required_inc_UGs!K28+Entrants_via_other_initiatives!K28</f>
        <v>2154.7719093476026</v>
      </c>
      <c r="N29" s="276">
        <f>'Re-entrants_expected'!L28+New_to_SF_sector_expected!L28+NQT_entrants_required_inc_UGs!L28+Entrants_via_other_initiatives!L28</f>
        <v>2221.8326440205547</v>
      </c>
    </row>
    <row r="30" spans="2:16">
      <c r="B30" s="356" t="str">
        <f>Music_1!B296</f>
        <v>Music</v>
      </c>
      <c r="C30" s="1010">
        <f>OUTPUTS_FOR_SECTION_2_OF_MODEL!C79</f>
        <v>528.29000145633813</v>
      </c>
      <c r="D30" s="1010">
        <f>OUTPUTS_FOR_SECTION_2_OF_MODEL!D79</f>
        <v>510.31303476271</v>
      </c>
      <c r="E30" s="276">
        <f>'Re-entrants_expected'!C29+New_to_SF_sector_expected!C29+NQT_entrants_required_inc_UGs!C29+Entrants_via_other_initiatives!C29</f>
        <v>583.35285853253015</v>
      </c>
      <c r="F30" s="276">
        <f>'Re-entrants_expected'!D29+New_to_SF_sector_expected!D29+NQT_entrants_required_inc_UGs!D29+Entrants_via_other_initiatives!D29</f>
        <v>529.815448690322</v>
      </c>
      <c r="G30" s="276">
        <f>'Re-entrants_expected'!E29+New_to_SF_sector_expected!E29+NQT_entrants_required_inc_UGs!E29+Entrants_via_other_initiatives!E29</f>
        <v>511.86828819837422</v>
      </c>
      <c r="H30" s="276">
        <f>'Re-entrants_expected'!F29+New_to_SF_sector_expected!F29+NQT_entrants_required_inc_UGs!F29+Entrants_via_other_initiatives!F29</f>
        <v>488.07660565601088</v>
      </c>
      <c r="I30" s="276">
        <f>'Re-entrants_expected'!G29+New_to_SF_sector_expected!G29+NQT_entrants_required_inc_UGs!G29+Entrants_via_other_initiatives!G29</f>
        <v>527.41194953477088</v>
      </c>
      <c r="J30" s="276">
        <f>'Re-entrants_expected'!H29+New_to_SF_sector_expected!H29+NQT_entrants_required_inc_UGs!H29+Entrants_via_other_initiatives!H29</f>
        <v>545.48490923117038</v>
      </c>
      <c r="K30" s="276">
        <f>'Re-entrants_expected'!I29+New_to_SF_sector_expected!I29+NQT_entrants_required_inc_UGs!I29+Entrants_via_other_initiatives!I29</f>
        <v>506.31393309965932</v>
      </c>
      <c r="L30" s="276">
        <f>'Re-entrants_expected'!J29+New_to_SF_sector_expected!J29+NQT_entrants_required_inc_UGs!J29+Entrants_via_other_initiatives!J29</f>
        <v>485.36418262220758</v>
      </c>
      <c r="M30" s="276">
        <f>'Re-entrants_expected'!K29+New_to_SF_sector_expected!K29+NQT_entrants_required_inc_UGs!K29+Entrants_via_other_initiatives!K29</f>
        <v>517.27560028572077</v>
      </c>
      <c r="N30" s="276">
        <f>'Re-entrants_expected'!L29+New_to_SF_sector_expected!L29+NQT_entrants_required_inc_UGs!L29+Entrants_via_other_initiatives!L29</f>
        <v>539.96274530449432</v>
      </c>
    </row>
    <row r="31" spans="2:16">
      <c r="B31" s="356" t="str">
        <f>Others_1!B296</f>
        <v>Others</v>
      </c>
      <c r="C31" s="1010">
        <f>OUTPUTS_FOR_SECTION_2_OF_MODEL!C80</f>
        <v>1131.1011987364636</v>
      </c>
      <c r="D31" s="1010">
        <f>OUTPUTS_FOR_SECTION_2_OF_MODEL!D80</f>
        <v>1198.8933853926105</v>
      </c>
      <c r="E31" s="276">
        <f>'Re-entrants_expected'!C30+New_to_SF_sector_expected!C30+NQT_entrants_required_inc_UGs!C30+Entrants_via_other_initiatives!C30</f>
        <v>1264.3565472365167</v>
      </c>
      <c r="F31" s="276">
        <f>'Re-entrants_expected'!D30+New_to_SF_sector_expected!D30+NQT_entrants_required_inc_UGs!D30+Entrants_via_other_initiatives!D30</f>
        <v>1377.9092822831963</v>
      </c>
      <c r="G31" s="276">
        <f>'Re-entrants_expected'!E30+New_to_SF_sector_expected!E30+NQT_entrants_required_inc_UGs!E30+Entrants_via_other_initiatives!E30</f>
        <v>1413.5017519635107</v>
      </c>
      <c r="H31" s="276">
        <f>'Re-entrants_expected'!F30+New_to_SF_sector_expected!F30+NQT_entrants_required_inc_UGs!F30+Entrants_via_other_initiatives!F30</f>
        <v>1462.5731267228691</v>
      </c>
      <c r="I31" s="276">
        <f>'Re-entrants_expected'!G30+New_to_SF_sector_expected!G30+NQT_entrants_required_inc_UGs!G30+Entrants_via_other_initiatives!G30</f>
        <v>1525.9826662785176</v>
      </c>
      <c r="J31" s="276">
        <f>'Re-entrants_expected'!H30+New_to_SF_sector_expected!H30+NQT_entrants_required_inc_UGs!H30+Entrants_via_other_initiatives!H30</f>
        <v>1613.5958028829023</v>
      </c>
      <c r="K31" s="276">
        <f>'Re-entrants_expected'!I30+New_to_SF_sector_expected!I30+NQT_entrants_required_inc_UGs!I30+Entrants_via_other_initiatives!I30</f>
        <v>1569.9845382695837</v>
      </c>
      <c r="L31" s="276">
        <f>'Re-entrants_expected'!J30+New_to_SF_sector_expected!J30+NQT_entrants_required_inc_UGs!J30+Entrants_via_other_initiatives!J30</f>
        <v>1547.239578620575</v>
      </c>
      <c r="M31" s="276">
        <f>'Re-entrants_expected'!K30+New_to_SF_sector_expected!K30+NQT_entrants_required_inc_UGs!K30+Entrants_via_other_initiatives!K30</f>
        <v>1536.6335222337812</v>
      </c>
      <c r="N31" s="276">
        <f>'Re-entrants_expected'!L30+New_to_SF_sector_expected!L30+NQT_entrants_required_inc_UGs!L30+Entrants_via_other_initiatives!L30</f>
        <v>1506.4647503886572</v>
      </c>
    </row>
    <row r="32" spans="2:16">
      <c r="B32" s="356" t="str">
        <f>Physical_Education_1!B296</f>
        <v>Physical Education</v>
      </c>
      <c r="C32" s="1010">
        <f>OUTPUTS_FOR_SECTION_2_OF_MODEL!C81</f>
        <v>1350.1164811655508</v>
      </c>
      <c r="D32" s="1010">
        <f>OUTPUTS_FOR_SECTION_2_OF_MODEL!D81</f>
        <v>1562.3252945531117</v>
      </c>
      <c r="E32" s="276">
        <f>'Re-entrants_expected'!C31+New_to_SF_sector_expected!C31+NQT_entrants_required_inc_UGs!C31+Entrants_via_other_initiatives!C31</f>
        <v>1679.0326689226463</v>
      </c>
      <c r="F32" s="276">
        <f>'Re-entrants_expected'!D31+New_to_SF_sector_expected!D31+NQT_entrants_required_inc_UGs!D31+Entrants_via_other_initiatives!D31</f>
        <v>1629.075240799119</v>
      </c>
      <c r="G32" s="276">
        <f>'Re-entrants_expected'!E31+New_to_SF_sector_expected!E31+NQT_entrants_required_inc_UGs!E31+Entrants_via_other_initiatives!E31</f>
        <v>1602.299641891789</v>
      </c>
      <c r="H32" s="276">
        <f>'Re-entrants_expected'!F31+New_to_SF_sector_expected!F31+NQT_entrants_required_inc_UGs!F31+Entrants_via_other_initiatives!F31</f>
        <v>1567.9642153906434</v>
      </c>
      <c r="I32" s="276">
        <f>'Re-entrants_expected'!G31+New_to_SF_sector_expected!G31+NQT_entrants_required_inc_UGs!G31+Entrants_via_other_initiatives!G31</f>
        <v>1663.5606074572115</v>
      </c>
      <c r="J32" s="276">
        <f>'Re-entrants_expected'!H31+New_to_SF_sector_expected!H31+NQT_entrants_required_inc_UGs!H31+Entrants_via_other_initiatives!H31</f>
        <v>1732.974984164634</v>
      </c>
      <c r="K32" s="276">
        <f>'Re-entrants_expected'!I31+New_to_SF_sector_expected!I31+NQT_entrants_required_inc_UGs!I31+Entrants_via_other_initiatives!I31</f>
        <v>1686.6330032076307</v>
      </c>
      <c r="L32" s="276">
        <f>'Re-entrants_expected'!J31+New_to_SF_sector_expected!J31+NQT_entrants_required_inc_UGs!J31+Entrants_via_other_initiatives!J31</f>
        <v>1651.8813715740948</v>
      </c>
      <c r="M32" s="276">
        <f>'Re-entrants_expected'!K31+New_to_SF_sector_expected!K31+NQT_entrants_required_inc_UGs!K31+Entrants_via_other_initiatives!K31</f>
        <v>1663.8085145874102</v>
      </c>
      <c r="N32" s="276">
        <f>'Re-entrants_expected'!L31+New_to_SF_sector_expected!L31+NQT_entrants_required_inc_UGs!L31+Entrants_via_other_initiatives!L31</f>
        <v>1657.3922422394267</v>
      </c>
    </row>
    <row r="33" spans="2:14">
      <c r="B33" s="356" t="str">
        <f>Physics_1!B296</f>
        <v>Physics</v>
      </c>
      <c r="C33" s="1010">
        <f>OUTPUTS_FOR_SECTION_2_OF_MODEL!C82</f>
        <v>1687.9302005483253</v>
      </c>
      <c r="D33" s="1010">
        <f>OUTPUTS_FOR_SECTION_2_OF_MODEL!D82</f>
        <v>1465.611605238164</v>
      </c>
      <c r="E33" s="276">
        <f>'Re-entrants_expected'!C32+New_to_SF_sector_expected!C32+NQT_entrants_required_inc_UGs!C32+Entrants_via_other_initiatives!C32</f>
        <v>1550.8624100000545</v>
      </c>
      <c r="F33" s="276">
        <f>'Re-entrants_expected'!D32+New_to_SF_sector_expected!D32+NQT_entrants_required_inc_UGs!D32+Entrants_via_other_initiatives!D32</f>
        <v>1462.6053123830898</v>
      </c>
      <c r="G33" s="276">
        <f>'Re-entrants_expected'!E32+New_to_SF_sector_expected!E32+NQT_entrants_required_inc_UGs!E32+Entrants_via_other_initiatives!E32</f>
        <v>1486.8087909073329</v>
      </c>
      <c r="H33" s="276">
        <f>'Re-entrants_expected'!F32+New_to_SF_sector_expected!F32+NQT_entrants_required_inc_UGs!F32+Entrants_via_other_initiatives!F32</f>
        <v>1515.3445734819404</v>
      </c>
      <c r="I33" s="276">
        <f>'Re-entrants_expected'!G32+New_to_SF_sector_expected!G32+NQT_entrants_required_inc_UGs!G32+Entrants_via_other_initiatives!G32</f>
        <v>1524.5769730816937</v>
      </c>
      <c r="J33" s="276">
        <f>'Re-entrants_expected'!H32+New_to_SF_sector_expected!H32+NQT_entrants_required_inc_UGs!H32+Entrants_via_other_initiatives!H32</f>
        <v>1491.617316486821</v>
      </c>
      <c r="K33" s="276">
        <f>'Re-entrants_expected'!I32+New_to_SF_sector_expected!I32+NQT_entrants_required_inc_UGs!I32+Entrants_via_other_initiatives!I32</f>
        <v>1478.6931368504693</v>
      </c>
      <c r="L33" s="276">
        <f>'Re-entrants_expected'!J32+New_to_SF_sector_expected!J32+NQT_entrants_required_inc_UGs!J32+Entrants_via_other_initiatives!J32</f>
        <v>1453.9553003043052</v>
      </c>
      <c r="M33" s="276">
        <f>'Re-entrants_expected'!K32+New_to_SF_sector_expected!K32+NQT_entrants_required_inc_UGs!K32+Entrants_via_other_initiatives!K32</f>
        <v>1400.6936367708263</v>
      </c>
      <c r="N33" s="276">
        <f>'Re-entrants_expected'!L32+New_to_SF_sector_expected!L32+NQT_entrants_required_inc_UGs!L32+Entrants_via_other_initiatives!L32</f>
        <v>1349.8794392516111</v>
      </c>
    </row>
    <row r="34" spans="2:14">
      <c r="B34" s="356" t="str">
        <f>Religious_Education_1!B296</f>
        <v>Religious Education</v>
      </c>
      <c r="C34" s="1010">
        <f>OUTPUTS_FOR_SECTION_2_OF_MODEL!C84</f>
        <v>734.82659603874527</v>
      </c>
      <c r="D34" s="1010">
        <f>OUTPUTS_FOR_SECTION_2_OF_MODEL!D84</f>
        <v>775.45274589812868</v>
      </c>
      <c r="E34" s="276">
        <f>'Re-entrants_expected'!C33+New_to_SF_sector_expected!C33+NQT_entrants_required_inc_UGs!C33+Entrants_via_other_initiatives!C33</f>
        <v>852.8668848079551</v>
      </c>
      <c r="F34" s="276">
        <f>'Re-entrants_expected'!D33+New_to_SF_sector_expected!D33+NQT_entrants_required_inc_UGs!D33+Entrants_via_other_initiatives!D33</f>
        <v>790.2736495792492</v>
      </c>
      <c r="G34" s="276">
        <f>'Re-entrants_expected'!E33+New_to_SF_sector_expected!E33+NQT_entrants_required_inc_UGs!E33+Entrants_via_other_initiatives!E33</f>
        <v>770.77904959115835</v>
      </c>
      <c r="H34" s="276">
        <f>'Re-entrants_expected'!F33+New_to_SF_sector_expected!F33+NQT_entrants_required_inc_UGs!F33+Entrants_via_other_initiatives!F33</f>
        <v>748.88929111053517</v>
      </c>
      <c r="I34" s="276">
        <f>'Re-entrants_expected'!G33+New_to_SF_sector_expected!G33+NQT_entrants_required_inc_UGs!G33+Entrants_via_other_initiatives!G33</f>
        <v>784.70919348457733</v>
      </c>
      <c r="J34" s="276">
        <f>'Re-entrants_expected'!H33+New_to_SF_sector_expected!H33+NQT_entrants_required_inc_UGs!H33+Entrants_via_other_initiatives!H33</f>
        <v>809.95159007221469</v>
      </c>
      <c r="K34" s="276">
        <f>'Re-entrants_expected'!I33+New_to_SF_sector_expected!I33+NQT_entrants_required_inc_UGs!I33+Entrants_via_other_initiatives!I33</f>
        <v>780.58041217902382</v>
      </c>
      <c r="L34" s="276">
        <f>'Re-entrants_expected'!J33+New_to_SF_sector_expected!J33+NQT_entrants_required_inc_UGs!J33+Entrants_via_other_initiatives!J33</f>
        <v>759.19143744454823</v>
      </c>
      <c r="M34" s="276">
        <f>'Re-entrants_expected'!K33+New_to_SF_sector_expected!K33+NQT_entrants_required_inc_UGs!K33+Entrants_via_other_initiatives!K33</f>
        <v>762.90701692772961</v>
      </c>
      <c r="N34" s="276">
        <f>'Re-entrants_expected'!L33+New_to_SF_sector_expected!L33+NQT_entrants_required_inc_UGs!L33+Entrants_via_other_initiatives!L33</f>
        <v>758.52688203280672</v>
      </c>
    </row>
    <row r="35" spans="2:14" ht="25.5">
      <c r="B35" s="315" t="s">
        <v>1482</v>
      </c>
      <c r="C35" s="1010">
        <f>SUM(C16:C34)</f>
        <v>25726.914332450637</v>
      </c>
      <c r="D35" s="1010">
        <f t="shared" ref="D35:N35" si="0">SUM(D16:D34)</f>
        <v>26013.082992911095</v>
      </c>
      <c r="E35" s="276">
        <f t="shared" si="0"/>
        <v>26773.534628117941</v>
      </c>
      <c r="F35" s="276">
        <f t="shared" si="0"/>
        <v>26280.056655388191</v>
      </c>
      <c r="G35" s="276">
        <f t="shared" si="0"/>
        <v>26557.750010090593</v>
      </c>
      <c r="H35" s="276">
        <f t="shared" si="0"/>
        <v>26839.574362018644</v>
      </c>
      <c r="I35" s="276">
        <f t="shared" si="0"/>
        <v>27623.063634274476</v>
      </c>
      <c r="J35" s="276">
        <f t="shared" si="0"/>
        <v>26917.518218870457</v>
      </c>
      <c r="K35" s="276">
        <f t="shared" si="0"/>
        <v>26106.103394555023</v>
      </c>
      <c r="L35" s="276">
        <f t="shared" si="0"/>
        <v>25450.928289338994</v>
      </c>
      <c r="M35" s="276">
        <f t="shared" si="0"/>
        <v>25287.319697064035</v>
      </c>
      <c r="N35" s="276">
        <f t="shared" si="0"/>
        <v>25073.871126010978</v>
      </c>
    </row>
    <row r="36" spans="2:14">
      <c r="C36" s="269"/>
      <c r="D36" s="269"/>
      <c r="E36" s="269"/>
      <c r="F36" s="269"/>
      <c r="G36" s="269"/>
      <c r="H36" s="269"/>
      <c r="I36" s="269"/>
      <c r="J36" s="269"/>
      <c r="K36" s="269"/>
      <c r="L36" s="269"/>
      <c r="M36" s="269"/>
      <c r="N36" s="269"/>
    </row>
    <row r="37" spans="2:14">
      <c r="B37" s="319"/>
      <c r="C37" s="319" t="str">
        <f t="shared" ref="C37:N37" si="1">C14</f>
        <v>2017/18</v>
      </c>
      <c r="D37" s="319" t="str">
        <f t="shared" si="1"/>
        <v>2018/19</v>
      </c>
      <c r="E37" s="319" t="str">
        <f t="shared" si="1"/>
        <v>2019/20</v>
      </c>
      <c r="F37" s="319" t="str">
        <f t="shared" si="1"/>
        <v>2020/21</v>
      </c>
      <c r="G37" s="319" t="str">
        <f t="shared" si="1"/>
        <v>2021/22</v>
      </c>
      <c r="H37" s="319" t="str">
        <f t="shared" si="1"/>
        <v>2022/23</v>
      </c>
      <c r="I37" s="319" t="str">
        <f t="shared" si="1"/>
        <v>2023/24</v>
      </c>
      <c r="J37" s="319" t="str">
        <f t="shared" si="1"/>
        <v>2024/25</v>
      </c>
      <c r="K37" s="319" t="str">
        <f t="shared" si="1"/>
        <v>2025/26</v>
      </c>
      <c r="L37" s="319" t="str">
        <f t="shared" si="1"/>
        <v>2026/27</v>
      </c>
      <c r="M37" s="319" t="str">
        <f t="shared" si="1"/>
        <v>2027/28</v>
      </c>
      <c r="N37" s="319" t="str">
        <f t="shared" si="1"/>
        <v>2028/29</v>
      </c>
    </row>
    <row r="38" spans="2:14">
      <c r="B38" s="319" t="s">
        <v>392</v>
      </c>
      <c r="C38" s="1011">
        <f>C35+C15</f>
        <v>53294.524430956772</v>
      </c>
      <c r="D38" s="1011">
        <f t="shared" ref="D38:N38" si="2">D35+D15</f>
        <v>52181.101649396325</v>
      </c>
      <c r="E38" s="317">
        <f t="shared" si="2"/>
        <v>52266.128435133316</v>
      </c>
      <c r="F38" s="317">
        <f t="shared" si="2"/>
        <v>51458.980941248286</v>
      </c>
      <c r="G38" s="317">
        <f t="shared" si="2"/>
        <v>51516.463823971339</v>
      </c>
      <c r="H38" s="317">
        <f t="shared" si="2"/>
        <v>51535.674830228221</v>
      </c>
      <c r="I38" s="317">
        <f t="shared" si="2"/>
        <v>52031.330279268288</v>
      </c>
      <c r="J38" s="317">
        <f t="shared" si="2"/>
        <v>51867.8477041027</v>
      </c>
      <c r="K38" s="317">
        <f t="shared" si="2"/>
        <v>51495.328303937284</v>
      </c>
      <c r="L38" s="317">
        <f t="shared" si="2"/>
        <v>50948.81034427775</v>
      </c>
      <c r="M38" s="317">
        <f t="shared" si="2"/>
        <v>50683.587213154766</v>
      </c>
      <c r="N38" s="317">
        <f t="shared" si="2"/>
        <v>50345.93731294146</v>
      </c>
    </row>
    <row r="40" spans="2:14">
      <c r="B40" s="334" t="s">
        <v>390</v>
      </c>
      <c r="E40" s="681" t="s">
        <v>870</v>
      </c>
    </row>
    <row r="42" spans="2:14">
      <c r="B42" s="319"/>
      <c r="C42" s="319" t="str">
        <f t="shared" ref="C42:N42" si="3">C14</f>
        <v>2017/18</v>
      </c>
      <c r="D42" s="319" t="str">
        <f t="shared" si="3"/>
        <v>2018/19</v>
      </c>
      <c r="E42" s="319" t="str">
        <f t="shared" si="3"/>
        <v>2019/20</v>
      </c>
      <c r="F42" s="319" t="str">
        <f t="shared" si="3"/>
        <v>2020/21</v>
      </c>
      <c r="G42" s="319" t="str">
        <f t="shared" si="3"/>
        <v>2021/22</v>
      </c>
      <c r="H42" s="319" t="str">
        <f t="shared" si="3"/>
        <v>2022/23</v>
      </c>
      <c r="I42" s="319" t="str">
        <f t="shared" si="3"/>
        <v>2023/24</v>
      </c>
      <c r="J42" s="319" t="str">
        <f t="shared" si="3"/>
        <v>2024/25</v>
      </c>
      <c r="K42" s="319" t="str">
        <f t="shared" si="3"/>
        <v>2025/26</v>
      </c>
      <c r="L42" s="319" t="str">
        <f t="shared" si="3"/>
        <v>2026/27</v>
      </c>
      <c r="M42" s="319" t="str">
        <f t="shared" si="3"/>
        <v>2027/28</v>
      </c>
      <c r="N42" s="319" t="str">
        <f t="shared" si="3"/>
        <v>2028/29</v>
      </c>
    </row>
    <row r="43" spans="2:14">
      <c r="B43" s="319" t="s">
        <v>539</v>
      </c>
      <c r="C43" s="380">
        <v>27567.610098506135</v>
      </c>
      <c r="D43" s="380">
        <v>26168.018656485227</v>
      </c>
      <c r="E43" s="380">
        <v>25492.593807015372</v>
      </c>
      <c r="F43" s="380">
        <v>25178.924285860096</v>
      </c>
      <c r="G43" s="380">
        <v>24958.713813880742</v>
      </c>
      <c r="H43" s="380">
        <v>24696.100468209581</v>
      </c>
      <c r="I43" s="380">
        <v>24408.266644993811</v>
      </c>
      <c r="J43" s="380">
        <v>24950.329485232243</v>
      </c>
      <c r="K43" s="380">
        <v>25389.224909382261</v>
      </c>
      <c r="L43" s="380">
        <v>25497.882054938753</v>
      </c>
      <c r="M43" s="380">
        <v>25396.267516090727</v>
      </c>
      <c r="N43" s="380">
        <v>25272.066186930482</v>
      </c>
    </row>
    <row r="44" spans="2:14">
      <c r="B44" s="319" t="s">
        <v>616</v>
      </c>
      <c r="C44" s="380">
        <v>784.26817674174765</v>
      </c>
      <c r="D44" s="380">
        <v>847.98779009243503</v>
      </c>
      <c r="E44" s="380">
        <v>901.07800660747716</v>
      </c>
      <c r="F44" s="380">
        <v>893.66567056461827</v>
      </c>
      <c r="G44" s="380">
        <v>878.15759626382442</v>
      </c>
      <c r="H44" s="380">
        <v>857.96005228869774</v>
      </c>
      <c r="I44" s="380">
        <v>905.52020091501095</v>
      </c>
      <c r="J44" s="380">
        <v>936.43518330567122</v>
      </c>
      <c r="K44" s="380">
        <v>891.81276162212566</v>
      </c>
      <c r="L44" s="380">
        <v>863.77180954390406</v>
      </c>
      <c r="M44" s="380">
        <v>880.97091747327249</v>
      </c>
      <c r="N44" s="380">
        <v>886.56621946381574</v>
      </c>
    </row>
    <row r="45" spans="2:14">
      <c r="B45" s="319" t="s">
        <v>540</v>
      </c>
      <c r="C45" s="380">
        <v>1754.8582177378757</v>
      </c>
      <c r="D45" s="380">
        <v>1564.951730038006</v>
      </c>
      <c r="E45" s="380">
        <v>1616.5168720308891</v>
      </c>
      <c r="F45" s="380">
        <v>1589.631948099769</v>
      </c>
      <c r="G45" s="380">
        <v>1623.8400396573034</v>
      </c>
      <c r="H45" s="380">
        <v>1663.0354761250419</v>
      </c>
      <c r="I45" s="380">
        <v>1692.5197067368224</v>
      </c>
      <c r="J45" s="380">
        <v>1666.9339203879388</v>
      </c>
      <c r="K45" s="380">
        <v>1647.7816945449745</v>
      </c>
      <c r="L45" s="380">
        <v>1622.5487612370466</v>
      </c>
      <c r="M45" s="380">
        <v>1582.7788414961647</v>
      </c>
      <c r="N45" s="380">
        <v>1542.4347347474536</v>
      </c>
    </row>
    <row r="46" spans="2:14" ht="25.5">
      <c r="B46" s="315" t="s">
        <v>562</v>
      </c>
      <c r="C46" s="537">
        <v>263.62978834821001</v>
      </c>
      <c r="D46" s="537">
        <v>325.98949134777433</v>
      </c>
      <c r="E46" s="537">
        <v>350.31454337488356</v>
      </c>
      <c r="F46" s="537">
        <v>390.35531929413946</v>
      </c>
      <c r="G46" s="537">
        <v>411.44000433118822</v>
      </c>
      <c r="H46" s="537">
        <v>438.36399742982371</v>
      </c>
      <c r="I46" s="537">
        <v>447.70601254435428</v>
      </c>
      <c r="J46" s="537">
        <v>474.16465472315019</v>
      </c>
      <c r="K46" s="537">
        <v>478.95539419864724</v>
      </c>
      <c r="L46" s="537">
        <v>478.62768453066838</v>
      </c>
      <c r="M46" s="537">
        <v>451.55981802731083</v>
      </c>
      <c r="N46" s="537">
        <v>421.64472626529425</v>
      </c>
    </row>
    <row r="47" spans="2:14">
      <c r="B47" s="319" t="s">
        <v>541</v>
      </c>
      <c r="C47" s="380">
        <v>1591.8760582329605</v>
      </c>
      <c r="D47" s="380">
        <v>1438.5478249984121</v>
      </c>
      <c r="E47" s="380">
        <v>1446.9078103826337</v>
      </c>
      <c r="F47" s="380">
        <v>1447.6081676110557</v>
      </c>
      <c r="G47" s="380">
        <v>1476.8650240167299</v>
      </c>
      <c r="H47" s="380">
        <v>1511.6029073553927</v>
      </c>
      <c r="I47" s="380">
        <v>1524.6538860757134</v>
      </c>
      <c r="J47" s="380">
        <v>1498.4915438938874</v>
      </c>
      <c r="K47" s="380">
        <v>1486.7257676817808</v>
      </c>
      <c r="L47" s="380">
        <v>1464.134419689306</v>
      </c>
      <c r="M47" s="380">
        <v>1413.2582238277173</v>
      </c>
      <c r="N47" s="380">
        <v>1363.8132114839525</v>
      </c>
    </row>
    <row r="48" spans="2:14">
      <c r="B48" s="319" t="s">
        <v>542</v>
      </c>
      <c r="C48" s="380">
        <v>35.315407536400862</v>
      </c>
      <c r="D48" s="380">
        <v>36.270167729320221</v>
      </c>
      <c r="E48" s="380">
        <v>36.744991908102591</v>
      </c>
      <c r="F48" s="380">
        <v>37.390130719007274</v>
      </c>
      <c r="G48" s="380">
        <v>37.56337249906106</v>
      </c>
      <c r="H48" s="380">
        <v>38.10702701562191</v>
      </c>
      <c r="I48" s="380">
        <v>39.028631119567365</v>
      </c>
      <c r="J48" s="380">
        <v>38.764686400586214</v>
      </c>
      <c r="K48" s="380">
        <v>37.31096915238431</v>
      </c>
      <c r="L48" s="380">
        <v>36.394449918447023</v>
      </c>
      <c r="M48" s="380">
        <v>36.314027062919877</v>
      </c>
      <c r="N48" s="380">
        <v>36.034427511590891</v>
      </c>
    </row>
    <row r="49" spans="2:14">
      <c r="B49" s="319" t="s">
        <v>543</v>
      </c>
      <c r="C49" s="380">
        <v>726.8391924291152</v>
      </c>
      <c r="D49" s="380">
        <v>798.98281434623186</v>
      </c>
      <c r="E49" s="380">
        <v>849.5530840155069</v>
      </c>
      <c r="F49" s="380">
        <v>844.93124682941277</v>
      </c>
      <c r="G49" s="380">
        <v>839.10513198124454</v>
      </c>
      <c r="H49" s="380">
        <v>830.43403446102116</v>
      </c>
      <c r="I49" s="380">
        <v>866.20808629718908</v>
      </c>
      <c r="J49" s="380">
        <v>895.77096529902212</v>
      </c>
      <c r="K49" s="380">
        <v>871.30663630882373</v>
      </c>
      <c r="L49" s="380">
        <v>853.19202001778842</v>
      </c>
      <c r="M49" s="380">
        <v>854.05866612700709</v>
      </c>
      <c r="N49" s="380">
        <v>846.76230438501386</v>
      </c>
    </row>
    <row r="50" spans="2:14" ht="25.5">
      <c r="B50" s="315" t="s">
        <v>617</v>
      </c>
      <c r="C50" s="537">
        <v>1130.059481511199</v>
      </c>
      <c r="D50" s="537">
        <v>1136.4889128051518</v>
      </c>
      <c r="E50" s="537">
        <v>1227.1310065905341</v>
      </c>
      <c r="F50" s="537">
        <v>1132.6973385679771</v>
      </c>
      <c r="G50" s="537">
        <v>1085.9582077587156</v>
      </c>
      <c r="H50" s="537">
        <v>1031.3375413810672</v>
      </c>
      <c r="I50" s="537">
        <v>1085.8267330096287</v>
      </c>
      <c r="J50" s="537">
        <v>1109.2640720591962</v>
      </c>
      <c r="K50" s="537">
        <v>1038.1804283531726</v>
      </c>
      <c r="L50" s="537">
        <v>993.8968103459481</v>
      </c>
      <c r="M50" s="537">
        <v>1027.7988411684194</v>
      </c>
      <c r="N50" s="537">
        <v>1047.6172776083695</v>
      </c>
    </row>
    <row r="51" spans="2:14">
      <c r="B51" s="319" t="s">
        <v>544</v>
      </c>
      <c r="C51" s="380">
        <v>468.76901163447405</v>
      </c>
      <c r="D51" s="380">
        <v>476.88945248559162</v>
      </c>
      <c r="E51" s="380">
        <v>531.64237814670241</v>
      </c>
      <c r="F51" s="380">
        <v>500.63287784900183</v>
      </c>
      <c r="G51" s="380">
        <v>489.36291977552969</v>
      </c>
      <c r="H51" s="380">
        <v>474.68330287087286</v>
      </c>
      <c r="I51" s="380">
        <v>508.17018316008341</v>
      </c>
      <c r="J51" s="380">
        <v>527.75973028775275</v>
      </c>
      <c r="K51" s="380">
        <v>499.44421191976147</v>
      </c>
      <c r="L51" s="380">
        <v>483.61147594995941</v>
      </c>
      <c r="M51" s="380">
        <v>503.23298273743859</v>
      </c>
      <c r="N51" s="380">
        <v>515.1846860674475</v>
      </c>
    </row>
    <row r="52" spans="2:14">
      <c r="B52" s="319" t="s">
        <v>545</v>
      </c>
      <c r="C52" s="380">
        <v>4039.537608063712</v>
      </c>
      <c r="D52" s="380">
        <v>4228.7636458328525</v>
      </c>
      <c r="E52" s="380">
        <v>3912.914128603627</v>
      </c>
      <c r="F52" s="380">
        <v>3858.6056594459533</v>
      </c>
      <c r="G52" s="380">
        <v>3886.4354044751385</v>
      </c>
      <c r="H52" s="380">
        <v>3915.6694020272062</v>
      </c>
      <c r="I52" s="380">
        <v>3995.8114014758789</v>
      </c>
      <c r="J52" s="380">
        <v>3866.479170970556</v>
      </c>
      <c r="K52" s="380">
        <v>3782.7922950591205</v>
      </c>
      <c r="L52" s="380">
        <v>3695.2986739401767</v>
      </c>
      <c r="M52" s="380">
        <v>3627.1389424051795</v>
      </c>
      <c r="N52" s="380">
        <v>3562.2042407503127</v>
      </c>
    </row>
    <row r="53" spans="2:14">
      <c r="B53" s="319" t="s">
        <v>402</v>
      </c>
      <c r="C53" s="380">
        <v>211.65522159252305</v>
      </c>
      <c r="D53" s="380">
        <v>247.51398484695662</v>
      </c>
      <c r="E53" s="380">
        <v>251.74490173817554</v>
      </c>
      <c r="F53" s="380">
        <v>240.61649632089893</v>
      </c>
      <c r="G53" s="380">
        <v>233.25587048205455</v>
      </c>
      <c r="H53" s="380">
        <v>226.43315005231881</v>
      </c>
      <c r="I53" s="380">
        <v>228.80543781333409</v>
      </c>
      <c r="J53" s="380">
        <v>232.76402047188006</v>
      </c>
      <c r="K53" s="380">
        <v>230.01971707030845</v>
      </c>
      <c r="L53" s="380">
        <v>224.70832375317298</v>
      </c>
      <c r="M53" s="380">
        <v>213.76448213734329</v>
      </c>
      <c r="N53" s="380">
        <v>202.24770673036528</v>
      </c>
    </row>
    <row r="54" spans="2:14">
      <c r="B54" s="319" t="s">
        <v>546</v>
      </c>
      <c r="C54" s="380">
        <v>1291.2464891690154</v>
      </c>
      <c r="D54" s="380">
        <v>1278.9675184822354</v>
      </c>
      <c r="E54" s="380">
        <v>1357.3808848553588</v>
      </c>
      <c r="F54" s="380">
        <v>1305.2374475649265</v>
      </c>
      <c r="G54" s="380">
        <v>1312.7239577484927</v>
      </c>
      <c r="H54" s="380">
        <v>1316.0972540517175</v>
      </c>
      <c r="I54" s="380">
        <v>1375.2085717267385</v>
      </c>
      <c r="J54" s="380">
        <v>1333.0186534144525</v>
      </c>
      <c r="K54" s="380">
        <v>1278.8757379091594</v>
      </c>
      <c r="L54" s="380">
        <v>1241.2699804477099</v>
      </c>
      <c r="M54" s="380">
        <v>1258.0386979609664</v>
      </c>
      <c r="N54" s="380">
        <v>1270.2383872782209</v>
      </c>
    </row>
    <row r="55" spans="2:14">
      <c r="B55" s="319" t="s">
        <v>547</v>
      </c>
      <c r="C55" s="380">
        <v>1364.77471129794</v>
      </c>
      <c r="D55" s="380">
        <v>1349.6959609004903</v>
      </c>
      <c r="E55" s="380">
        <v>1429.9252576724452</v>
      </c>
      <c r="F55" s="380">
        <v>1382.3160766202275</v>
      </c>
      <c r="G55" s="380">
        <v>1392.7375627500296</v>
      </c>
      <c r="H55" s="380">
        <v>1399.8785307392218</v>
      </c>
      <c r="I55" s="380">
        <v>1460.0325367086323</v>
      </c>
      <c r="J55" s="380">
        <v>1418.9902742584986</v>
      </c>
      <c r="K55" s="380">
        <v>1363.1619159777106</v>
      </c>
      <c r="L55" s="380">
        <v>1324.3252678599069</v>
      </c>
      <c r="M55" s="380">
        <v>1338.8948439444662</v>
      </c>
      <c r="N55" s="380">
        <v>1348.5708602597178</v>
      </c>
    </row>
    <row r="56" spans="2:14">
      <c r="B56" s="319" t="s">
        <v>618</v>
      </c>
      <c r="C56" s="380">
        <v>4773.4029155564294</v>
      </c>
      <c r="D56" s="380">
        <v>4492.3907511657389</v>
      </c>
      <c r="E56" s="380">
        <v>4534.1002153363606</v>
      </c>
      <c r="F56" s="380">
        <v>4327.5293604006165</v>
      </c>
      <c r="G56" s="380">
        <v>4353.1431682321218</v>
      </c>
      <c r="H56" s="380">
        <v>4382.430688150007</v>
      </c>
      <c r="I56" s="380">
        <v>4463.84574483494</v>
      </c>
      <c r="J56" s="380">
        <v>4341.0321890949162</v>
      </c>
      <c r="K56" s="380">
        <v>4232.0745067582511</v>
      </c>
      <c r="L56" s="380">
        <v>4129.9212799682773</v>
      </c>
      <c r="M56" s="380">
        <v>4063.4202125427619</v>
      </c>
      <c r="N56" s="380">
        <v>3996.4936402218709</v>
      </c>
    </row>
    <row r="57" spans="2:14" ht="25.5">
      <c r="B57" s="315" t="s">
        <v>619</v>
      </c>
      <c r="C57" s="537">
        <v>1858.4175746536107</v>
      </c>
      <c r="D57" s="537">
        <v>2277.0468819951711</v>
      </c>
      <c r="E57" s="537">
        <v>2397.1091773555454</v>
      </c>
      <c r="F57" s="537">
        <v>2539.1599817656106</v>
      </c>
      <c r="G57" s="537">
        <v>2751.9042275669963</v>
      </c>
      <c r="H57" s="537">
        <v>2970.6931857086374</v>
      </c>
      <c r="I57" s="537">
        <v>3003.4851120198118</v>
      </c>
      <c r="J57" s="537">
        <v>2384.0245514652083</v>
      </c>
      <c r="K57" s="537">
        <v>2245.4563343924387</v>
      </c>
      <c r="L57" s="537">
        <v>2141.5954615709479</v>
      </c>
      <c r="M57" s="537">
        <v>2154.7719093476026</v>
      </c>
      <c r="N57" s="537">
        <v>2221.8326440205547</v>
      </c>
    </row>
    <row r="58" spans="2:14">
      <c r="B58" s="319" t="s">
        <v>548</v>
      </c>
      <c r="C58" s="380">
        <v>528.29000145633813</v>
      </c>
      <c r="D58" s="380">
        <v>510.31303476271</v>
      </c>
      <c r="E58" s="380">
        <v>583.35285853253015</v>
      </c>
      <c r="F58" s="380">
        <v>529.815448690322</v>
      </c>
      <c r="G58" s="380">
        <v>511.86828819837422</v>
      </c>
      <c r="H58" s="380">
        <v>488.07660565601088</v>
      </c>
      <c r="I58" s="380">
        <v>527.41194953477088</v>
      </c>
      <c r="J58" s="380">
        <v>545.48490923117038</v>
      </c>
      <c r="K58" s="380">
        <v>506.31393309965932</v>
      </c>
      <c r="L58" s="380">
        <v>485.36418262220758</v>
      </c>
      <c r="M58" s="380">
        <v>517.27560028572077</v>
      </c>
      <c r="N58" s="380">
        <v>539.96274530449432</v>
      </c>
    </row>
    <row r="59" spans="2:14">
      <c r="B59" s="319" t="s">
        <v>549</v>
      </c>
      <c r="C59" s="380">
        <v>1131.1011987364636</v>
      </c>
      <c r="D59" s="380">
        <v>1198.8933853926105</v>
      </c>
      <c r="E59" s="380">
        <v>1264.3565472365167</v>
      </c>
      <c r="F59" s="380">
        <v>1377.9092822831963</v>
      </c>
      <c r="G59" s="380">
        <v>1413.5017519635107</v>
      </c>
      <c r="H59" s="380">
        <v>1462.5731267228691</v>
      </c>
      <c r="I59" s="380">
        <v>1525.9826662785176</v>
      </c>
      <c r="J59" s="380">
        <v>1613.5958028829023</v>
      </c>
      <c r="K59" s="380">
        <v>1569.9845382695837</v>
      </c>
      <c r="L59" s="380">
        <v>1547.239578620575</v>
      </c>
      <c r="M59" s="380">
        <v>1536.6335222337812</v>
      </c>
      <c r="N59" s="380">
        <v>1506.4647503886572</v>
      </c>
    </row>
    <row r="60" spans="2:14" ht="25.5">
      <c r="B60" s="331" t="s">
        <v>620</v>
      </c>
      <c r="C60" s="537">
        <v>1350.1164811655508</v>
      </c>
      <c r="D60" s="537">
        <v>1562.3252945531117</v>
      </c>
      <c r="E60" s="537">
        <v>1679.0326689226463</v>
      </c>
      <c r="F60" s="537">
        <v>1629.075240799119</v>
      </c>
      <c r="G60" s="537">
        <v>1602.299641891789</v>
      </c>
      <c r="H60" s="537">
        <v>1567.9642153906434</v>
      </c>
      <c r="I60" s="537">
        <v>1663.5606074572115</v>
      </c>
      <c r="J60" s="537">
        <v>1732.974984164634</v>
      </c>
      <c r="K60" s="537">
        <v>1686.6330032076307</v>
      </c>
      <c r="L60" s="537">
        <v>1651.8813715740948</v>
      </c>
      <c r="M60" s="537">
        <v>1663.8085145874102</v>
      </c>
      <c r="N60" s="537">
        <v>1657.3922422394267</v>
      </c>
    </row>
    <row r="61" spans="2:14">
      <c r="B61" s="319" t="s">
        <v>550</v>
      </c>
      <c r="C61" s="380">
        <v>1687.9302005483253</v>
      </c>
      <c r="D61" s="380">
        <v>1465.611605238164</v>
      </c>
      <c r="E61" s="380">
        <v>1550.8624100000545</v>
      </c>
      <c r="F61" s="380">
        <v>1462.6053123830898</v>
      </c>
      <c r="G61" s="380">
        <v>1486.8087909073329</v>
      </c>
      <c r="H61" s="380">
        <v>1515.3445734819404</v>
      </c>
      <c r="I61" s="380">
        <v>1524.5769730816937</v>
      </c>
      <c r="J61" s="380">
        <v>1491.617316486821</v>
      </c>
      <c r="K61" s="380">
        <v>1478.6931368504693</v>
      </c>
      <c r="L61" s="380">
        <v>1453.9553003043052</v>
      </c>
      <c r="M61" s="380">
        <v>1400.6936367708263</v>
      </c>
      <c r="N61" s="380">
        <v>1349.8794392516111</v>
      </c>
    </row>
    <row r="62" spans="2:14" ht="25.5">
      <c r="B62" s="315" t="s">
        <v>621</v>
      </c>
      <c r="C62" s="537">
        <v>734.82659603874527</v>
      </c>
      <c r="D62" s="537">
        <v>775.45274589812868</v>
      </c>
      <c r="E62" s="537">
        <v>852.8668848079551</v>
      </c>
      <c r="F62" s="537">
        <v>790.2736495792492</v>
      </c>
      <c r="G62" s="537">
        <v>770.77904959115835</v>
      </c>
      <c r="H62" s="537">
        <v>748.88929111053517</v>
      </c>
      <c r="I62" s="537">
        <v>784.70919348457733</v>
      </c>
      <c r="J62" s="537">
        <v>809.95159007221469</v>
      </c>
      <c r="K62" s="537">
        <v>780.58041217902382</v>
      </c>
      <c r="L62" s="537">
        <v>759.19143744454823</v>
      </c>
      <c r="M62" s="537">
        <v>762.90701692772961</v>
      </c>
      <c r="N62" s="537">
        <v>758.52688203280672</v>
      </c>
    </row>
    <row r="63" spans="2:14">
      <c r="B63" s="319" t="s">
        <v>555</v>
      </c>
      <c r="C63" s="380">
        <v>25726.914332450637</v>
      </c>
      <c r="D63" s="380">
        <v>26013.082992911095</v>
      </c>
      <c r="E63" s="380">
        <v>26773.534628117941</v>
      </c>
      <c r="F63" s="380">
        <v>26280.056655388191</v>
      </c>
      <c r="G63" s="380">
        <v>26557.750010090593</v>
      </c>
      <c r="H63" s="380">
        <v>26839.574362018644</v>
      </c>
      <c r="I63" s="380">
        <v>27623.063634274476</v>
      </c>
      <c r="J63" s="380">
        <v>26917.518218870457</v>
      </c>
      <c r="K63" s="380">
        <v>26106.103394555023</v>
      </c>
      <c r="L63" s="380">
        <v>25450.928289338994</v>
      </c>
      <c r="M63" s="380">
        <v>25287.319697064035</v>
      </c>
      <c r="N63" s="380">
        <v>25073.871126010978</v>
      </c>
    </row>
    <row r="66" spans="2:14">
      <c r="B66" s="318" t="s">
        <v>1273</v>
      </c>
      <c r="C66" s="302">
        <f>C17+C19+C20+C21+C24+C26+C27+C28+C29+C33</f>
        <v>19124.198375225387</v>
      </c>
      <c r="D66" s="302">
        <f t="shared" ref="D66:N66" si="4">D17+D19+D20+D21+D24+D26+D27+D28+D29+D33</f>
        <v>18931.228900726623</v>
      </c>
      <c r="E66" s="302">
        <f t="shared" si="4"/>
        <v>19132.014832160527</v>
      </c>
      <c r="F66" s="302">
        <f t="shared" si="4"/>
        <v>18795.01533143967</v>
      </c>
      <c r="G66" s="302">
        <f t="shared" si="4"/>
        <v>19161.126679834451</v>
      </c>
      <c r="H66" s="302">
        <f t="shared" si="4"/>
        <v>19543.293079115807</v>
      </c>
      <c r="I66" s="302">
        <f t="shared" si="4"/>
        <v>19945.370650076988</v>
      </c>
      <c r="J66" s="302">
        <f t="shared" si="4"/>
        <v>18935.123271671884</v>
      </c>
      <c r="K66" s="302">
        <f t="shared" si="4"/>
        <v>18424.178994635113</v>
      </c>
      <c r="L66" s="302">
        <f t="shared" si="4"/>
        <v>17962.635614953913</v>
      </c>
      <c r="M66" s="302">
        <f t="shared" si="4"/>
        <v>17729.368001485611</v>
      </c>
      <c r="N66" s="302">
        <f t="shared" si="4"/>
        <v>17538.2638899103</v>
      </c>
    </row>
    <row r="67" spans="2:14">
      <c r="B67" s="318" t="s">
        <v>1274</v>
      </c>
      <c r="C67" s="302">
        <f>C16+C18+C22+C23+C25+C30+C31+C32+C34</f>
        <v>6602.7159572252522</v>
      </c>
      <c r="D67" s="302">
        <f t="shared" ref="D67:N67" si="5">D16+D18+D22+D23+D25+D30+D31+D32+D34</f>
        <v>7081.8540921844688</v>
      </c>
      <c r="E67" s="302">
        <f t="shared" si="5"/>
        <v>7641.5197959574207</v>
      </c>
      <c r="F67" s="302">
        <f t="shared" si="5"/>
        <v>7485.0413239485224</v>
      </c>
      <c r="G67" s="302">
        <f t="shared" si="5"/>
        <v>7396.623330256145</v>
      </c>
      <c r="H67" s="302">
        <f t="shared" si="5"/>
        <v>7296.2812829028389</v>
      </c>
      <c r="I67" s="302">
        <f t="shared" si="5"/>
        <v>7677.6929841974888</v>
      </c>
      <c r="J67" s="302">
        <f t="shared" si="5"/>
        <v>7982.3949471985707</v>
      </c>
      <c r="K67" s="302">
        <f t="shared" si="5"/>
        <v>7681.9243999199134</v>
      </c>
      <c r="L67" s="302">
        <f t="shared" si="5"/>
        <v>7488.2926743850785</v>
      </c>
      <c r="M67" s="302">
        <f t="shared" si="5"/>
        <v>7557.9516955784256</v>
      </c>
      <c r="N67" s="302">
        <f t="shared" si="5"/>
        <v>7535.6072361006763</v>
      </c>
    </row>
    <row r="68" spans="2:14">
      <c r="C68" s="302">
        <f>SUM(C66:C67)-C35</f>
        <v>0</v>
      </c>
      <c r="D68" s="302">
        <f t="shared" ref="D68:N68" si="6">SUM(D66:D67)-D35</f>
        <v>0</v>
      </c>
      <c r="E68" s="302">
        <f t="shared" si="6"/>
        <v>0</v>
      </c>
      <c r="F68" s="302">
        <f t="shared" si="6"/>
        <v>0</v>
      </c>
      <c r="G68" s="302">
        <f t="shared" si="6"/>
        <v>0</v>
      </c>
      <c r="H68" s="302">
        <f t="shared" si="6"/>
        <v>0</v>
      </c>
      <c r="I68" s="302">
        <f t="shared" si="6"/>
        <v>0</v>
      </c>
      <c r="J68" s="302">
        <f t="shared" si="6"/>
        <v>0</v>
      </c>
      <c r="K68" s="302">
        <f t="shared" si="6"/>
        <v>0</v>
      </c>
      <c r="L68" s="302">
        <f t="shared" si="6"/>
        <v>0</v>
      </c>
      <c r="M68" s="302">
        <f t="shared" si="6"/>
        <v>0</v>
      </c>
      <c r="N68" s="302">
        <f t="shared" si="6"/>
        <v>0</v>
      </c>
    </row>
    <row r="74" spans="2:14">
      <c r="C74" s="378"/>
      <c r="D74" s="378"/>
      <c r="E74" s="378"/>
      <c r="F74" s="378"/>
      <c r="G74" s="378"/>
      <c r="H74" s="378"/>
      <c r="I74" s="378"/>
      <c r="J74" s="378"/>
      <c r="K74" s="378"/>
      <c r="L74" s="378"/>
      <c r="M74" s="378"/>
    </row>
    <row r="75" spans="2:14">
      <c r="C75" s="378"/>
      <c r="D75" s="378"/>
      <c r="E75" s="378"/>
      <c r="F75" s="378"/>
      <c r="G75" s="378"/>
      <c r="H75" s="378"/>
      <c r="I75" s="378"/>
      <c r="J75" s="378"/>
      <c r="K75" s="378"/>
      <c r="L75" s="378"/>
      <c r="M75" s="378"/>
    </row>
    <row r="76" spans="2:14">
      <c r="C76" s="378"/>
      <c r="D76" s="378"/>
      <c r="E76" s="378"/>
      <c r="F76" s="378"/>
      <c r="G76" s="378"/>
      <c r="H76" s="378"/>
      <c r="I76" s="378"/>
      <c r="J76" s="378"/>
      <c r="K76" s="378"/>
      <c r="L76" s="378"/>
      <c r="M76" s="378"/>
    </row>
    <row r="77" spans="2:14">
      <c r="C77" s="378"/>
      <c r="D77" s="378"/>
      <c r="E77" s="378"/>
      <c r="F77" s="378"/>
      <c r="G77" s="378"/>
      <c r="H77" s="378"/>
      <c r="I77" s="378"/>
      <c r="J77" s="378"/>
      <c r="K77" s="378"/>
      <c r="L77" s="378"/>
      <c r="M77" s="378"/>
    </row>
    <row r="78" spans="2:14">
      <c r="C78" s="378"/>
      <c r="D78" s="378"/>
      <c r="E78" s="378"/>
      <c r="F78" s="378"/>
      <c r="G78" s="378"/>
      <c r="H78" s="378"/>
      <c r="I78" s="378"/>
      <c r="J78" s="378"/>
      <c r="K78" s="378"/>
      <c r="L78" s="378"/>
      <c r="M78" s="378"/>
    </row>
    <row r="79" spans="2:14">
      <c r="C79" s="378"/>
      <c r="D79" s="378"/>
      <c r="E79" s="378"/>
      <c r="F79" s="378"/>
      <c r="G79" s="378"/>
      <c r="H79" s="378"/>
      <c r="I79" s="378"/>
      <c r="J79" s="378"/>
      <c r="K79" s="378"/>
      <c r="L79" s="378"/>
      <c r="M79" s="378"/>
    </row>
    <row r="80" spans="2:14">
      <c r="C80" s="378"/>
      <c r="D80" s="378"/>
      <c r="E80" s="378"/>
      <c r="F80" s="378"/>
      <c r="G80" s="378"/>
      <c r="H80" s="378"/>
      <c r="I80" s="378"/>
      <c r="J80" s="378"/>
      <c r="K80" s="378"/>
      <c r="L80" s="378"/>
      <c r="M80" s="378"/>
    </row>
    <row r="81" spans="2:14">
      <c r="C81" s="378"/>
      <c r="D81" s="378"/>
      <c r="E81" s="378"/>
      <c r="F81" s="378"/>
      <c r="G81" s="378"/>
      <c r="H81" s="378"/>
      <c r="I81" s="378"/>
      <c r="J81" s="378"/>
      <c r="K81" s="378"/>
      <c r="L81" s="378"/>
      <c r="M81" s="378"/>
    </row>
    <row r="82" spans="2:14">
      <c r="C82" s="378"/>
      <c r="D82" s="378"/>
      <c r="E82" s="378"/>
      <c r="F82" s="378"/>
      <c r="G82" s="378"/>
      <c r="H82" s="378"/>
      <c r="I82" s="378"/>
      <c r="J82" s="378"/>
      <c r="K82" s="378"/>
      <c r="L82" s="378"/>
      <c r="M82" s="378"/>
    </row>
    <row r="83" spans="2:14">
      <c r="C83" s="378"/>
      <c r="D83" s="378"/>
      <c r="E83" s="378"/>
      <c r="F83" s="378"/>
      <c r="G83" s="378"/>
      <c r="H83" s="378"/>
      <c r="I83" s="378"/>
      <c r="J83" s="378"/>
      <c r="K83" s="378"/>
      <c r="L83" s="378"/>
      <c r="M83" s="378"/>
    </row>
    <row r="84" spans="2:14">
      <c r="B84" s="357" t="s">
        <v>1125</v>
      </c>
      <c r="C84" s="378"/>
      <c r="D84" s="378"/>
      <c r="E84" s="378"/>
      <c r="F84" s="378"/>
      <c r="G84" s="378"/>
      <c r="H84" s="378"/>
      <c r="I84" s="378"/>
      <c r="J84" s="378"/>
      <c r="K84" s="378"/>
      <c r="L84" s="378"/>
      <c r="M84" s="378"/>
    </row>
    <row r="87" spans="2:14">
      <c r="C87" s="322" t="str">
        <f>C42</f>
        <v>2017/18</v>
      </c>
      <c r="D87" s="322" t="str">
        <f t="shared" ref="D87:N87" si="7">D42</f>
        <v>2018/19</v>
      </c>
      <c r="E87" s="322" t="str">
        <f t="shared" si="7"/>
        <v>2019/20</v>
      </c>
      <c r="F87" s="322" t="str">
        <f t="shared" si="7"/>
        <v>2020/21</v>
      </c>
      <c r="G87" s="322" t="str">
        <f t="shared" si="7"/>
        <v>2021/22</v>
      </c>
      <c r="H87" s="322" t="str">
        <f t="shared" si="7"/>
        <v>2022/23</v>
      </c>
      <c r="I87" s="322" t="str">
        <f t="shared" si="7"/>
        <v>2023/24</v>
      </c>
      <c r="J87" s="322" t="str">
        <f t="shared" si="7"/>
        <v>2024/25</v>
      </c>
      <c r="K87" s="322" t="str">
        <f t="shared" si="7"/>
        <v>2025/26</v>
      </c>
      <c r="L87" s="322" t="str">
        <f t="shared" si="7"/>
        <v>2026/27</v>
      </c>
      <c r="M87" s="322" t="str">
        <f t="shared" si="7"/>
        <v>2027/28</v>
      </c>
      <c r="N87" s="322" t="str">
        <f t="shared" si="7"/>
        <v>2028/29</v>
      </c>
    </row>
    <row r="88" spans="2:14">
      <c r="B88" s="492" t="s">
        <v>495</v>
      </c>
      <c r="C88" s="493">
        <f>C15</f>
        <v>27567.610098506135</v>
      </c>
      <c r="D88" s="493">
        <f t="shared" ref="D88:N88" si="8">D15</f>
        <v>26168.018656485227</v>
      </c>
      <c r="E88" s="493">
        <f t="shared" si="8"/>
        <v>25492.593807015372</v>
      </c>
      <c r="F88" s="493">
        <f t="shared" si="8"/>
        <v>25178.924285860096</v>
      </c>
      <c r="G88" s="493">
        <f t="shared" si="8"/>
        <v>24958.713813880742</v>
      </c>
      <c r="H88" s="493">
        <f t="shared" si="8"/>
        <v>24696.100468209581</v>
      </c>
      <c r="I88" s="493">
        <f t="shared" si="8"/>
        <v>24408.266644993811</v>
      </c>
      <c r="J88" s="493">
        <f t="shared" si="8"/>
        <v>24950.329485232243</v>
      </c>
      <c r="K88" s="493">
        <f t="shared" si="8"/>
        <v>25389.224909382261</v>
      </c>
      <c r="L88" s="493">
        <f t="shared" si="8"/>
        <v>25497.882054938753</v>
      </c>
      <c r="M88" s="493">
        <f t="shared" si="8"/>
        <v>25396.267516090727</v>
      </c>
      <c r="N88" s="493">
        <f t="shared" si="8"/>
        <v>25272.066186930482</v>
      </c>
    </row>
    <row r="89" spans="2:14" s="528" customFormat="1">
      <c r="B89" s="492" t="s">
        <v>622</v>
      </c>
      <c r="C89" s="493">
        <f t="shared" ref="C89:N107" si="9">C16</f>
        <v>784.26817674174765</v>
      </c>
      <c r="D89" s="493">
        <f t="shared" si="9"/>
        <v>847.98779009243503</v>
      </c>
      <c r="E89" s="493">
        <f t="shared" si="9"/>
        <v>901.07800660747716</v>
      </c>
      <c r="F89" s="493">
        <f t="shared" si="9"/>
        <v>893.66567056461827</v>
      </c>
      <c r="G89" s="493">
        <f t="shared" si="9"/>
        <v>878.15759626382442</v>
      </c>
      <c r="H89" s="493">
        <f t="shared" si="9"/>
        <v>857.96005228869774</v>
      </c>
      <c r="I89" s="493">
        <f t="shared" si="9"/>
        <v>905.52020091501095</v>
      </c>
      <c r="J89" s="493">
        <f t="shared" si="9"/>
        <v>936.43518330567122</v>
      </c>
      <c r="K89" s="493">
        <f t="shared" si="9"/>
        <v>891.81276162212566</v>
      </c>
      <c r="L89" s="493">
        <f t="shared" si="9"/>
        <v>863.77180954390406</v>
      </c>
      <c r="M89" s="493">
        <f t="shared" si="9"/>
        <v>880.97091747327249</v>
      </c>
      <c r="N89" s="493">
        <f t="shared" si="9"/>
        <v>886.56621946381574</v>
      </c>
    </row>
    <row r="90" spans="2:14">
      <c r="B90" s="492" t="s">
        <v>496</v>
      </c>
      <c r="C90" s="493">
        <f t="shared" si="9"/>
        <v>1754.8582177378757</v>
      </c>
      <c r="D90" s="493">
        <f t="shared" si="9"/>
        <v>1564.951730038006</v>
      </c>
      <c r="E90" s="493">
        <f t="shared" si="9"/>
        <v>1616.5168720308891</v>
      </c>
      <c r="F90" s="493">
        <f t="shared" si="9"/>
        <v>1589.631948099769</v>
      </c>
      <c r="G90" s="493">
        <f t="shared" si="9"/>
        <v>1623.8400396573034</v>
      </c>
      <c r="H90" s="493">
        <f t="shared" si="9"/>
        <v>1663.0354761250419</v>
      </c>
      <c r="I90" s="493">
        <f t="shared" si="9"/>
        <v>1692.5197067368224</v>
      </c>
      <c r="J90" s="493">
        <f t="shared" si="9"/>
        <v>1666.9339203879388</v>
      </c>
      <c r="K90" s="493">
        <f t="shared" si="9"/>
        <v>1647.7816945449745</v>
      </c>
      <c r="L90" s="493">
        <f t="shared" si="9"/>
        <v>1622.5487612370466</v>
      </c>
      <c r="M90" s="493">
        <f t="shared" si="9"/>
        <v>1582.7788414961647</v>
      </c>
      <c r="N90" s="493">
        <f t="shared" si="9"/>
        <v>1542.4347347474536</v>
      </c>
    </row>
    <row r="91" spans="2:14">
      <c r="B91" s="492" t="s">
        <v>563</v>
      </c>
      <c r="C91" s="493">
        <f t="shared" si="9"/>
        <v>263.62978834821001</v>
      </c>
      <c r="D91" s="493">
        <f t="shared" si="9"/>
        <v>325.98949134777433</v>
      </c>
      <c r="E91" s="493">
        <f t="shared" si="9"/>
        <v>350.31454337488356</v>
      </c>
      <c r="F91" s="493">
        <f t="shared" si="9"/>
        <v>390.35531929413946</v>
      </c>
      <c r="G91" s="493">
        <f t="shared" si="9"/>
        <v>411.44000433118822</v>
      </c>
      <c r="H91" s="493">
        <f t="shared" si="9"/>
        <v>438.36399742982371</v>
      </c>
      <c r="I91" s="493">
        <f t="shared" si="9"/>
        <v>447.70601254435428</v>
      </c>
      <c r="J91" s="493">
        <f t="shared" si="9"/>
        <v>474.16465472315019</v>
      </c>
      <c r="K91" s="493">
        <f t="shared" si="9"/>
        <v>478.95539419864724</v>
      </c>
      <c r="L91" s="493">
        <f t="shared" si="9"/>
        <v>478.62768453066838</v>
      </c>
      <c r="M91" s="493">
        <f t="shared" si="9"/>
        <v>451.55981802731083</v>
      </c>
      <c r="N91" s="493">
        <f t="shared" si="9"/>
        <v>421.64472626529425</v>
      </c>
    </row>
    <row r="92" spans="2:14">
      <c r="B92" s="492" t="s">
        <v>497</v>
      </c>
      <c r="C92" s="493">
        <f t="shared" si="9"/>
        <v>1591.8760582329605</v>
      </c>
      <c r="D92" s="493">
        <f t="shared" si="9"/>
        <v>1438.5478249984121</v>
      </c>
      <c r="E92" s="493">
        <f t="shared" si="9"/>
        <v>1446.9078103826337</v>
      </c>
      <c r="F92" s="493">
        <f t="shared" si="9"/>
        <v>1447.6081676110557</v>
      </c>
      <c r="G92" s="493">
        <f t="shared" si="9"/>
        <v>1476.8650240167299</v>
      </c>
      <c r="H92" s="493">
        <f t="shared" si="9"/>
        <v>1511.6029073553927</v>
      </c>
      <c r="I92" s="493">
        <f t="shared" si="9"/>
        <v>1524.6538860757134</v>
      </c>
      <c r="J92" s="493">
        <f t="shared" si="9"/>
        <v>1498.4915438938874</v>
      </c>
      <c r="K92" s="493">
        <f t="shared" si="9"/>
        <v>1486.7257676817808</v>
      </c>
      <c r="L92" s="493">
        <f t="shared" si="9"/>
        <v>1464.134419689306</v>
      </c>
      <c r="M92" s="493">
        <f t="shared" si="9"/>
        <v>1413.2582238277173</v>
      </c>
      <c r="N92" s="493">
        <f t="shared" si="9"/>
        <v>1363.8132114839525</v>
      </c>
    </row>
    <row r="93" spans="2:14">
      <c r="B93" s="492" t="s">
        <v>498</v>
      </c>
      <c r="C93" s="493">
        <f t="shared" si="9"/>
        <v>35.315407536400862</v>
      </c>
      <c r="D93" s="493">
        <f t="shared" si="9"/>
        <v>36.270167729320221</v>
      </c>
      <c r="E93" s="493">
        <f t="shared" si="9"/>
        <v>36.744991908102591</v>
      </c>
      <c r="F93" s="493">
        <f t="shared" si="9"/>
        <v>37.390130719007274</v>
      </c>
      <c r="G93" s="493">
        <f t="shared" si="9"/>
        <v>37.56337249906106</v>
      </c>
      <c r="H93" s="493">
        <f t="shared" si="9"/>
        <v>38.10702701562191</v>
      </c>
      <c r="I93" s="493">
        <f t="shared" si="9"/>
        <v>39.028631119567365</v>
      </c>
      <c r="J93" s="493">
        <f t="shared" si="9"/>
        <v>38.764686400586214</v>
      </c>
      <c r="K93" s="493">
        <f t="shared" si="9"/>
        <v>37.31096915238431</v>
      </c>
      <c r="L93" s="493">
        <f t="shared" si="9"/>
        <v>36.394449918447023</v>
      </c>
      <c r="M93" s="493">
        <f t="shared" si="9"/>
        <v>36.314027062919877</v>
      </c>
      <c r="N93" s="493">
        <f t="shared" si="9"/>
        <v>36.034427511590891</v>
      </c>
    </row>
    <row r="94" spans="2:14">
      <c r="B94" s="492" t="s">
        <v>499</v>
      </c>
      <c r="C94" s="493">
        <f t="shared" si="9"/>
        <v>726.8391924291152</v>
      </c>
      <c r="D94" s="493">
        <f t="shared" si="9"/>
        <v>798.98281434623186</v>
      </c>
      <c r="E94" s="493">
        <f t="shared" si="9"/>
        <v>849.5530840155069</v>
      </c>
      <c r="F94" s="493">
        <f t="shared" si="9"/>
        <v>844.93124682941277</v>
      </c>
      <c r="G94" s="493">
        <f t="shared" si="9"/>
        <v>839.10513198124454</v>
      </c>
      <c r="H94" s="493">
        <f t="shared" si="9"/>
        <v>830.43403446102116</v>
      </c>
      <c r="I94" s="493">
        <f t="shared" si="9"/>
        <v>866.20808629718908</v>
      </c>
      <c r="J94" s="493">
        <f t="shared" si="9"/>
        <v>895.77096529902212</v>
      </c>
      <c r="K94" s="493">
        <f t="shared" si="9"/>
        <v>871.30663630882373</v>
      </c>
      <c r="L94" s="493">
        <f t="shared" si="9"/>
        <v>853.19202001778842</v>
      </c>
      <c r="M94" s="493">
        <f t="shared" si="9"/>
        <v>854.05866612700709</v>
      </c>
      <c r="N94" s="493">
        <f t="shared" si="9"/>
        <v>846.76230438501386</v>
      </c>
    </row>
    <row r="95" spans="2:14" ht="25.5">
      <c r="B95" s="492" t="s">
        <v>623</v>
      </c>
      <c r="C95" s="493">
        <f t="shared" si="9"/>
        <v>1130.059481511199</v>
      </c>
      <c r="D95" s="493">
        <f t="shared" si="9"/>
        <v>1136.4889128051518</v>
      </c>
      <c r="E95" s="493">
        <f t="shared" si="9"/>
        <v>1227.1310065905341</v>
      </c>
      <c r="F95" s="493">
        <f t="shared" si="9"/>
        <v>1132.6973385679771</v>
      </c>
      <c r="G95" s="493">
        <f t="shared" si="9"/>
        <v>1085.9582077587156</v>
      </c>
      <c r="H95" s="493">
        <f t="shared" si="9"/>
        <v>1031.3375413810672</v>
      </c>
      <c r="I95" s="493">
        <f t="shared" si="9"/>
        <v>1085.8267330096287</v>
      </c>
      <c r="J95" s="493">
        <f t="shared" si="9"/>
        <v>1109.2640720591962</v>
      </c>
      <c r="K95" s="493">
        <f t="shared" si="9"/>
        <v>1038.1804283531726</v>
      </c>
      <c r="L95" s="493">
        <f t="shared" si="9"/>
        <v>993.8968103459481</v>
      </c>
      <c r="M95" s="493">
        <f t="shared" si="9"/>
        <v>1027.7988411684194</v>
      </c>
      <c r="N95" s="493">
        <f t="shared" si="9"/>
        <v>1047.6172776083695</v>
      </c>
    </row>
    <row r="96" spans="2:14">
      <c r="B96" s="492" t="s">
        <v>500</v>
      </c>
      <c r="C96" s="493">
        <f t="shared" si="9"/>
        <v>468.76901163447405</v>
      </c>
      <c r="D96" s="493">
        <f t="shared" si="9"/>
        <v>476.88945248559162</v>
      </c>
      <c r="E96" s="493">
        <f t="shared" si="9"/>
        <v>531.64237814670241</v>
      </c>
      <c r="F96" s="493">
        <f t="shared" si="9"/>
        <v>500.63287784900183</v>
      </c>
      <c r="G96" s="493">
        <f t="shared" si="9"/>
        <v>489.36291977552969</v>
      </c>
      <c r="H96" s="493">
        <f t="shared" si="9"/>
        <v>474.68330287087286</v>
      </c>
      <c r="I96" s="493">
        <f t="shared" si="9"/>
        <v>508.17018316008341</v>
      </c>
      <c r="J96" s="493">
        <f t="shared" si="9"/>
        <v>527.75973028775275</v>
      </c>
      <c r="K96" s="493">
        <f t="shared" si="9"/>
        <v>499.44421191976147</v>
      </c>
      <c r="L96" s="493">
        <f t="shared" si="9"/>
        <v>483.61147594995941</v>
      </c>
      <c r="M96" s="493">
        <f t="shared" si="9"/>
        <v>503.23298273743859</v>
      </c>
      <c r="N96" s="493">
        <f t="shared" si="9"/>
        <v>515.1846860674475</v>
      </c>
    </row>
    <row r="97" spans="2:14">
      <c r="B97" s="492" t="s">
        <v>501</v>
      </c>
      <c r="C97" s="493">
        <f t="shared" si="9"/>
        <v>4039.537608063712</v>
      </c>
      <c r="D97" s="493">
        <f t="shared" si="9"/>
        <v>4228.7636458328525</v>
      </c>
      <c r="E97" s="493">
        <f t="shared" si="9"/>
        <v>3912.914128603627</v>
      </c>
      <c r="F97" s="493">
        <f t="shared" si="9"/>
        <v>3858.6056594459533</v>
      </c>
      <c r="G97" s="493">
        <f t="shared" si="9"/>
        <v>3886.4354044751385</v>
      </c>
      <c r="H97" s="493">
        <f t="shared" si="9"/>
        <v>3915.6694020272062</v>
      </c>
      <c r="I97" s="493">
        <f t="shared" si="9"/>
        <v>3995.8114014758789</v>
      </c>
      <c r="J97" s="493">
        <f t="shared" si="9"/>
        <v>3866.479170970556</v>
      </c>
      <c r="K97" s="493">
        <f t="shared" si="9"/>
        <v>3782.7922950591205</v>
      </c>
      <c r="L97" s="493">
        <f t="shared" si="9"/>
        <v>3695.2986739401767</v>
      </c>
      <c r="M97" s="493">
        <f t="shared" si="9"/>
        <v>3627.1389424051795</v>
      </c>
      <c r="N97" s="493">
        <f t="shared" si="9"/>
        <v>3562.2042407503127</v>
      </c>
    </row>
    <row r="98" spans="2:14">
      <c r="B98" s="492" t="s">
        <v>406</v>
      </c>
      <c r="C98" s="493">
        <f t="shared" si="9"/>
        <v>211.65522159252305</v>
      </c>
      <c r="D98" s="493">
        <f t="shared" si="9"/>
        <v>247.51398484695662</v>
      </c>
      <c r="E98" s="493">
        <f t="shared" si="9"/>
        <v>251.74490173817554</v>
      </c>
      <c r="F98" s="493">
        <f t="shared" si="9"/>
        <v>240.61649632089893</v>
      </c>
      <c r="G98" s="493">
        <f t="shared" si="9"/>
        <v>233.25587048205455</v>
      </c>
      <c r="H98" s="493">
        <f t="shared" si="9"/>
        <v>226.43315005231881</v>
      </c>
      <c r="I98" s="493">
        <f t="shared" si="9"/>
        <v>228.80543781333409</v>
      </c>
      <c r="J98" s="493">
        <f t="shared" si="9"/>
        <v>232.76402047188006</v>
      </c>
      <c r="K98" s="493">
        <f t="shared" si="9"/>
        <v>230.01971707030845</v>
      </c>
      <c r="L98" s="493">
        <f t="shared" si="9"/>
        <v>224.70832375317298</v>
      </c>
      <c r="M98" s="493">
        <f t="shared" si="9"/>
        <v>213.76448213734329</v>
      </c>
      <c r="N98" s="493">
        <f t="shared" si="9"/>
        <v>202.24770673036528</v>
      </c>
    </row>
    <row r="99" spans="2:14">
      <c r="B99" s="492" t="s">
        <v>502</v>
      </c>
      <c r="C99" s="493">
        <f t="shared" si="9"/>
        <v>1291.2464891690154</v>
      </c>
      <c r="D99" s="493">
        <f t="shared" si="9"/>
        <v>1278.9675184822354</v>
      </c>
      <c r="E99" s="493">
        <f t="shared" si="9"/>
        <v>1357.3808848553588</v>
      </c>
      <c r="F99" s="493">
        <f t="shared" si="9"/>
        <v>1305.2374475649265</v>
      </c>
      <c r="G99" s="493">
        <f t="shared" si="9"/>
        <v>1312.7239577484927</v>
      </c>
      <c r="H99" s="493">
        <f t="shared" si="9"/>
        <v>1316.0972540517175</v>
      </c>
      <c r="I99" s="493">
        <f t="shared" si="9"/>
        <v>1375.2085717267385</v>
      </c>
      <c r="J99" s="493">
        <f t="shared" si="9"/>
        <v>1333.0186534144525</v>
      </c>
      <c r="K99" s="493">
        <f t="shared" si="9"/>
        <v>1278.8757379091594</v>
      </c>
      <c r="L99" s="493">
        <f t="shared" si="9"/>
        <v>1241.2699804477099</v>
      </c>
      <c r="M99" s="493">
        <f t="shared" si="9"/>
        <v>1258.0386979609664</v>
      </c>
      <c r="N99" s="493">
        <f t="shared" si="9"/>
        <v>1270.2383872782209</v>
      </c>
    </row>
    <row r="100" spans="2:14">
      <c r="B100" s="492" t="s">
        <v>503</v>
      </c>
      <c r="C100" s="493">
        <f t="shared" si="9"/>
        <v>1364.77471129794</v>
      </c>
      <c r="D100" s="493">
        <f t="shared" si="9"/>
        <v>1349.6959609004903</v>
      </c>
      <c r="E100" s="493">
        <f t="shared" si="9"/>
        <v>1429.9252576724452</v>
      </c>
      <c r="F100" s="493">
        <f t="shared" si="9"/>
        <v>1382.3160766202275</v>
      </c>
      <c r="G100" s="493">
        <f t="shared" si="9"/>
        <v>1392.7375627500296</v>
      </c>
      <c r="H100" s="493">
        <f t="shared" si="9"/>
        <v>1399.8785307392218</v>
      </c>
      <c r="I100" s="493">
        <f t="shared" si="9"/>
        <v>1460.0325367086323</v>
      </c>
      <c r="J100" s="493">
        <f t="shared" si="9"/>
        <v>1418.9902742584986</v>
      </c>
      <c r="K100" s="493">
        <f t="shared" si="9"/>
        <v>1363.1619159777106</v>
      </c>
      <c r="L100" s="493">
        <f t="shared" si="9"/>
        <v>1324.3252678599069</v>
      </c>
      <c r="M100" s="493">
        <f t="shared" si="9"/>
        <v>1338.8948439444662</v>
      </c>
      <c r="N100" s="493">
        <f t="shared" si="9"/>
        <v>1348.5708602597178</v>
      </c>
    </row>
    <row r="101" spans="2:14">
      <c r="B101" s="492" t="s">
        <v>624</v>
      </c>
      <c r="C101" s="493">
        <f t="shared" si="9"/>
        <v>4773.4029155564294</v>
      </c>
      <c r="D101" s="493">
        <f t="shared" si="9"/>
        <v>4492.3907511657389</v>
      </c>
      <c r="E101" s="493">
        <f t="shared" si="9"/>
        <v>4534.1002153363606</v>
      </c>
      <c r="F101" s="493">
        <f t="shared" si="9"/>
        <v>4327.5293604006165</v>
      </c>
      <c r="G101" s="493">
        <f t="shared" si="9"/>
        <v>4353.1431682321218</v>
      </c>
      <c r="H101" s="493">
        <f t="shared" si="9"/>
        <v>4382.430688150007</v>
      </c>
      <c r="I101" s="493">
        <f t="shared" si="9"/>
        <v>4463.84574483494</v>
      </c>
      <c r="J101" s="493">
        <f t="shared" si="9"/>
        <v>4341.0321890949162</v>
      </c>
      <c r="K101" s="493">
        <f t="shared" si="9"/>
        <v>4232.0745067582511</v>
      </c>
      <c r="L101" s="493">
        <f t="shared" si="9"/>
        <v>4129.9212799682773</v>
      </c>
      <c r="M101" s="493">
        <f t="shared" si="9"/>
        <v>4063.4202125427619</v>
      </c>
      <c r="N101" s="493">
        <f t="shared" si="9"/>
        <v>3996.4936402218709</v>
      </c>
    </row>
    <row r="102" spans="2:14" ht="25.5">
      <c r="B102" s="492" t="s">
        <v>625</v>
      </c>
      <c r="C102" s="493">
        <f t="shared" si="9"/>
        <v>1858.4175746536107</v>
      </c>
      <c r="D102" s="493">
        <f t="shared" si="9"/>
        <v>2277.0468819951711</v>
      </c>
      <c r="E102" s="493">
        <f t="shared" si="9"/>
        <v>2397.1091773555454</v>
      </c>
      <c r="F102" s="493">
        <f t="shared" si="9"/>
        <v>2539.1599817656106</v>
      </c>
      <c r="G102" s="493">
        <f t="shared" si="9"/>
        <v>2751.9042275669963</v>
      </c>
      <c r="H102" s="493">
        <f t="shared" si="9"/>
        <v>2970.6931857086374</v>
      </c>
      <c r="I102" s="493">
        <f t="shared" si="9"/>
        <v>3003.4851120198118</v>
      </c>
      <c r="J102" s="493">
        <f t="shared" si="9"/>
        <v>2384.0245514652083</v>
      </c>
      <c r="K102" s="493">
        <f t="shared" si="9"/>
        <v>2245.4563343924387</v>
      </c>
      <c r="L102" s="493">
        <f t="shared" si="9"/>
        <v>2141.5954615709479</v>
      </c>
      <c r="M102" s="493">
        <f t="shared" si="9"/>
        <v>2154.7719093476026</v>
      </c>
      <c r="N102" s="493">
        <f t="shared" si="9"/>
        <v>2221.8326440205547</v>
      </c>
    </row>
    <row r="103" spans="2:14">
      <c r="B103" s="492" t="s">
        <v>504</v>
      </c>
      <c r="C103" s="493">
        <f t="shared" si="9"/>
        <v>528.29000145633813</v>
      </c>
      <c r="D103" s="493">
        <f t="shared" si="9"/>
        <v>510.31303476271</v>
      </c>
      <c r="E103" s="493">
        <f t="shared" si="9"/>
        <v>583.35285853253015</v>
      </c>
      <c r="F103" s="493">
        <f t="shared" si="9"/>
        <v>529.815448690322</v>
      </c>
      <c r="G103" s="493">
        <f t="shared" si="9"/>
        <v>511.86828819837422</v>
      </c>
      <c r="H103" s="493">
        <f t="shared" si="9"/>
        <v>488.07660565601088</v>
      </c>
      <c r="I103" s="493">
        <f t="shared" si="9"/>
        <v>527.41194953477088</v>
      </c>
      <c r="J103" s="493">
        <f t="shared" si="9"/>
        <v>545.48490923117038</v>
      </c>
      <c r="K103" s="493">
        <f t="shared" si="9"/>
        <v>506.31393309965932</v>
      </c>
      <c r="L103" s="493">
        <f t="shared" si="9"/>
        <v>485.36418262220758</v>
      </c>
      <c r="M103" s="493">
        <f t="shared" si="9"/>
        <v>517.27560028572077</v>
      </c>
      <c r="N103" s="493">
        <f t="shared" si="9"/>
        <v>539.96274530449432</v>
      </c>
    </row>
    <row r="104" spans="2:14">
      <c r="B104" s="492" t="s">
        <v>505</v>
      </c>
      <c r="C104" s="493">
        <f t="shared" si="9"/>
        <v>1131.1011987364636</v>
      </c>
      <c r="D104" s="493">
        <f t="shared" si="9"/>
        <v>1198.8933853926105</v>
      </c>
      <c r="E104" s="493">
        <f t="shared" si="9"/>
        <v>1264.3565472365167</v>
      </c>
      <c r="F104" s="493">
        <f t="shared" si="9"/>
        <v>1377.9092822831963</v>
      </c>
      <c r="G104" s="493">
        <f t="shared" si="9"/>
        <v>1413.5017519635107</v>
      </c>
      <c r="H104" s="493">
        <f t="shared" si="9"/>
        <v>1462.5731267228691</v>
      </c>
      <c r="I104" s="493">
        <f t="shared" si="9"/>
        <v>1525.9826662785176</v>
      </c>
      <c r="J104" s="493">
        <f t="shared" si="9"/>
        <v>1613.5958028829023</v>
      </c>
      <c r="K104" s="493">
        <f t="shared" si="9"/>
        <v>1569.9845382695837</v>
      </c>
      <c r="L104" s="493">
        <f t="shared" si="9"/>
        <v>1547.239578620575</v>
      </c>
      <c r="M104" s="493">
        <f t="shared" si="9"/>
        <v>1536.6335222337812</v>
      </c>
      <c r="N104" s="493">
        <f t="shared" si="9"/>
        <v>1506.4647503886572</v>
      </c>
    </row>
    <row r="105" spans="2:14" ht="25.5">
      <c r="B105" s="492" t="s">
        <v>626</v>
      </c>
      <c r="C105" s="493">
        <f t="shared" si="9"/>
        <v>1350.1164811655508</v>
      </c>
      <c r="D105" s="493">
        <f t="shared" si="9"/>
        <v>1562.3252945531117</v>
      </c>
      <c r="E105" s="493">
        <f t="shared" si="9"/>
        <v>1679.0326689226463</v>
      </c>
      <c r="F105" s="493">
        <f t="shared" si="9"/>
        <v>1629.075240799119</v>
      </c>
      <c r="G105" s="493">
        <f t="shared" si="9"/>
        <v>1602.299641891789</v>
      </c>
      <c r="H105" s="493">
        <f t="shared" si="9"/>
        <v>1567.9642153906434</v>
      </c>
      <c r="I105" s="493">
        <f t="shared" si="9"/>
        <v>1663.5606074572115</v>
      </c>
      <c r="J105" s="493">
        <f t="shared" si="9"/>
        <v>1732.974984164634</v>
      </c>
      <c r="K105" s="493">
        <f t="shared" si="9"/>
        <v>1686.6330032076307</v>
      </c>
      <c r="L105" s="493">
        <f t="shared" si="9"/>
        <v>1651.8813715740948</v>
      </c>
      <c r="M105" s="493">
        <f t="shared" si="9"/>
        <v>1663.8085145874102</v>
      </c>
      <c r="N105" s="493">
        <f t="shared" si="9"/>
        <v>1657.3922422394267</v>
      </c>
    </row>
    <row r="106" spans="2:14">
      <c r="B106" s="492" t="s">
        <v>506</v>
      </c>
      <c r="C106" s="493">
        <f t="shared" si="9"/>
        <v>1687.9302005483253</v>
      </c>
      <c r="D106" s="493">
        <f t="shared" si="9"/>
        <v>1465.611605238164</v>
      </c>
      <c r="E106" s="493">
        <f t="shared" si="9"/>
        <v>1550.8624100000545</v>
      </c>
      <c r="F106" s="493">
        <f t="shared" si="9"/>
        <v>1462.6053123830898</v>
      </c>
      <c r="G106" s="493">
        <f t="shared" si="9"/>
        <v>1486.8087909073329</v>
      </c>
      <c r="H106" s="493">
        <f t="shared" si="9"/>
        <v>1515.3445734819404</v>
      </c>
      <c r="I106" s="493">
        <f t="shared" si="9"/>
        <v>1524.5769730816937</v>
      </c>
      <c r="J106" s="493">
        <f t="shared" si="9"/>
        <v>1491.617316486821</v>
      </c>
      <c r="K106" s="493">
        <f t="shared" si="9"/>
        <v>1478.6931368504693</v>
      </c>
      <c r="L106" s="493">
        <f t="shared" si="9"/>
        <v>1453.9553003043052</v>
      </c>
      <c r="M106" s="493">
        <f t="shared" si="9"/>
        <v>1400.6936367708263</v>
      </c>
      <c r="N106" s="493">
        <f t="shared" si="9"/>
        <v>1349.8794392516111</v>
      </c>
    </row>
    <row r="107" spans="2:14" ht="25.5">
      <c r="B107" s="492" t="s">
        <v>627</v>
      </c>
      <c r="C107" s="493">
        <f t="shared" si="9"/>
        <v>734.82659603874527</v>
      </c>
      <c r="D107" s="493">
        <f t="shared" si="9"/>
        <v>775.45274589812868</v>
      </c>
      <c r="E107" s="493">
        <f t="shared" si="9"/>
        <v>852.8668848079551</v>
      </c>
      <c r="F107" s="493">
        <f t="shared" si="9"/>
        <v>790.2736495792492</v>
      </c>
      <c r="G107" s="493">
        <f t="shared" si="9"/>
        <v>770.77904959115835</v>
      </c>
      <c r="H107" s="493">
        <f t="shared" si="9"/>
        <v>748.88929111053517</v>
      </c>
      <c r="I107" s="493">
        <f t="shared" si="9"/>
        <v>784.70919348457733</v>
      </c>
      <c r="J107" s="493">
        <f t="shared" si="9"/>
        <v>809.95159007221469</v>
      </c>
      <c r="K107" s="493">
        <f t="shared" si="9"/>
        <v>780.58041217902382</v>
      </c>
      <c r="L107" s="493">
        <f t="shared" si="9"/>
        <v>759.19143744454823</v>
      </c>
      <c r="M107" s="493">
        <f t="shared" si="9"/>
        <v>762.90701692772961</v>
      </c>
      <c r="N107" s="493">
        <f t="shared" si="9"/>
        <v>758.52688203280672</v>
      </c>
    </row>
    <row r="108" spans="2:14">
      <c r="B108" s="492" t="s">
        <v>554</v>
      </c>
      <c r="C108" s="493">
        <f>C35</f>
        <v>25726.914332450637</v>
      </c>
      <c r="D108" s="493">
        <f t="shared" ref="D108:N108" si="10">D35</f>
        <v>26013.082992911095</v>
      </c>
      <c r="E108" s="493">
        <f t="shared" si="10"/>
        <v>26773.534628117941</v>
      </c>
      <c r="F108" s="493">
        <f t="shared" si="10"/>
        <v>26280.056655388191</v>
      </c>
      <c r="G108" s="493">
        <f t="shared" si="10"/>
        <v>26557.750010090593</v>
      </c>
      <c r="H108" s="493">
        <f t="shared" si="10"/>
        <v>26839.574362018644</v>
      </c>
      <c r="I108" s="493">
        <f t="shared" si="10"/>
        <v>27623.063634274476</v>
      </c>
      <c r="J108" s="493">
        <f t="shared" si="10"/>
        <v>26917.518218870457</v>
      </c>
      <c r="K108" s="493">
        <f t="shared" si="10"/>
        <v>26106.103394555023</v>
      </c>
      <c r="L108" s="493">
        <f t="shared" si="10"/>
        <v>25450.928289338994</v>
      </c>
      <c r="M108" s="493">
        <f t="shared" si="10"/>
        <v>25287.319697064035</v>
      </c>
      <c r="N108" s="493">
        <f t="shared" si="10"/>
        <v>25073.871126010978</v>
      </c>
    </row>
    <row r="109" spans="2:14">
      <c r="B109" s="493" t="str">
        <f>B43</f>
        <v>PRIMARY All Central Scenario</v>
      </c>
      <c r="C109" s="493">
        <f t="shared" ref="C109:N109" si="11">C43</f>
        <v>27567.610098506135</v>
      </c>
      <c r="D109" s="493">
        <f t="shared" si="11"/>
        <v>26168.018656485227</v>
      </c>
      <c r="E109" s="493">
        <f t="shared" si="11"/>
        <v>25492.593807015372</v>
      </c>
      <c r="F109" s="493">
        <f t="shared" si="11"/>
        <v>25178.924285860096</v>
      </c>
      <c r="G109" s="493">
        <f t="shared" si="11"/>
        <v>24958.713813880742</v>
      </c>
      <c r="H109" s="493">
        <f t="shared" si="11"/>
        <v>24696.100468209581</v>
      </c>
      <c r="I109" s="493">
        <f t="shared" si="11"/>
        <v>24408.266644993811</v>
      </c>
      <c r="J109" s="493">
        <f t="shared" si="11"/>
        <v>24950.329485232243</v>
      </c>
      <c r="K109" s="493">
        <f t="shared" si="11"/>
        <v>25389.224909382261</v>
      </c>
      <c r="L109" s="493">
        <f t="shared" si="11"/>
        <v>25497.882054938753</v>
      </c>
      <c r="M109" s="493">
        <f t="shared" si="11"/>
        <v>25396.267516090727</v>
      </c>
      <c r="N109" s="493">
        <f t="shared" si="11"/>
        <v>25272.066186930482</v>
      </c>
    </row>
    <row r="110" spans="2:14">
      <c r="B110" s="493" t="str">
        <f t="shared" ref="B110:B120" si="12">B44</f>
        <v>ART &amp; DESIGN All Central Scenario</v>
      </c>
      <c r="C110" s="493">
        <f t="shared" ref="C110:N110" si="13">C44</f>
        <v>784.26817674174765</v>
      </c>
      <c r="D110" s="493">
        <f t="shared" si="13"/>
        <v>847.98779009243503</v>
      </c>
      <c r="E110" s="493">
        <f t="shared" si="13"/>
        <v>901.07800660747716</v>
      </c>
      <c r="F110" s="493">
        <f t="shared" si="13"/>
        <v>893.66567056461827</v>
      </c>
      <c r="G110" s="493">
        <f t="shared" si="13"/>
        <v>878.15759626382442</v>
      </c>
      <c r="H110" s="493">
        <f t="shared" si="13"/>
        <v>857.96005228869774</v>
      </c>
      <c r="I110" s="493">
        <f t="shared" si="13"/>
        <v>905.52020091501095</v>
      </c>
      <c r="J110" s="493">
        <f t="shared" si="13"/>
        <v>936.43518330567122</v>
      </c>
      <c r="K110" s="493">
        <f t="shared" si="13"/>
        <v>891.81276162212566</v>
      </c>
      <c r="L110" s="493">
        <f t="shared" si="13"/>
        <v>863.77180954390406</v>
      </c>
      <c r="M110" s="493">
        <f t="shared" si="13"/>
        <v>880.97091747327249</v>
      </c>
      <c r="N110" s="493">
        <f t="shared" si="13"/>
        <v>886.56621946381574</v>
      </c>
    </row>
    <row r="111" spans="2:14">
      <c r="B111" s="493" t="str">
        <f t="shared" si="12"/>
        <v>BIOLOGY All Central Scenario</v>
      </c>
      <c r="C111" s="493">
        <f t="shared" ref="C111:N111" si="14">C45</f>
        <v>1754.8582177378757</v>
      </c>
      <c r="D111" s="493">
        <f t="shared" si="14"/>
        <v>1564.951730038006</v>
      </c>
      <c r="E111" s="493">
        <f t="shared" si="14"/>
        <v>1616.5168720308891</v>
      </c>
      <c r="F111" s="493">
        <f t="shared" si="14"/>
        <v>1589.631948099769</v>
      </c>
      <c r="G111" s="493">
        <f t="shared" si="14"/>
        <v>1623.8400396573034</v>
      </c>
      <c r="H111" s="493">
        <f t="shared" si="14"/>
        <v>1663.0354761250419</v>
      </c>
      <c r="I111" s="493">
        <f t="shared" si="14"/>
        <v>1692.5197067368224</v>
      </c>
      <c r="J111" s="493">
        <f t="shared" si="14"/>
        <v>1666.9339203879388</v>
      </c>
      <c r="K111" s="493">
        <f t="shared" si="14"/>
        <v>1647.7816945449745</v>
      </c>
      <c r="L111" s="493">
        <f t="shared" si="14"/>
        <v>1622.5487612370466</v>
      </c>
      <c r="M111" s="493">
        <f t="shared" si="14"/>
        <v>1582.7788414961647</v>
      </c>
      <c r="N111" s="493">
        <f t="shared" si="14"/>
        <v>1542.4347347474536</v>
      </c>
    </row>
    <row r="112" spans="2:14" ht="25.5">
      <c r="B112" s="493" t="str">
        <f t="shared" si="12"/>
        <v>BUSINESS STUDIES All Central Scenario</v>
      </c>
      <c r="C112" s="493">
        <f t="shared" ref="C112:N112" si="15">C46</f>
        <v>263.62978834821001</v>
      </c>
      <c r="D112" s="493">
        <f t="shared" si="15"/>
        <v>325.98949134777433</v>
      </c>
      <c r="E112" s="493">
        <f t="shared" si="15"/>
        <v>350.31454337488356</v>
      </c>
      <c r="F112" s="493">
        <f t="shared" si="15"/>
        <v>390.35531929413946</v>
      </c>
      <c r="G112" s="493">
        <f t="shared" si="15"/>
        <v>411.44000433118822</v>
      </c>
      <c r="H112" s="493">
        <f t="shared" si="15"/>
        <v>438.36399742982371</v>
      </c>
      <c r="I112" s="493">
        <f t="shared" si="15"/>
        <v>447.70601254435428</v>
      </c>
      <c r="J112" s="493">
        <f t="shared" si="15"/>
        <v>474.16465472315019</v>
      </c>
      <c r="K112" s="493">
        <f t="shared" si="15"/>
        <v>478.95539419864724</v>
      </c>
      <c r="L112" s="493">
        <f t="shared" si="15"/>
        <v>478.62768453066838</v>
      </c>
      <c r="M112" s="493">
        <f t="shared" si="15"/>
        <v>451.55981802731083</v>
      </c>
      <c r="N112" s="493">
        <f t="shared" si="15"/>
        <v>421.64472626529425</v>
      </c>
    </row>
    <row r="113" spans="2:14">
      <c r="B113" s="493" t="str">
        <f t="shared" si="12"/>
        <v>CHEMISTRY All Central Scenario</v>
      </c>
      <c r="C113" s="493">
        <f t="shared" ref="C113:N113" si="16">C47</f>
        <v>1591.8760582329605</v>
      </c>
      <c r="D113" s="493">
        <f t="shared" si="16"/>
        <v>1438.5478249984121</v>
      </c>
      <c r="E113" s="493">
        <f t="shared" si="16"/>
        <v>1446.9078103826337</v>
      </c>
      <c r="F113" s="493">
        <f t="shared" si="16"/>
        <v>1447.6081676110557</v>
      </c>
      <c r="G113" s="493">
        <f t="shared" si="16"/>
        <v>1476.8650240167299</v>
      </c>
      <c r="H113" s="493">
        <f t="shared" si="16"/>
        <v>1511.6029073553927</v>
      </c>
      <c r="I113" s="493">
        <f t="shared" si="16"/>
        <v>1524.6538860757134</v>
      </c>
      <c r="J113" s="493">
        <f t="shared" si="16"/>
        <v>1498.4915438938874</v>
      </c>
      <c r="K113" s="493">
        <f t="shared" si="16"/>
        <v>1486.7257676817808</v>
      </c>
      <c r="L113" s="493">
        <f t="shared" si="16"/>
        <v>1464.134419689306</v>
      </c>
      <c r="M113" s="493">
        <f t="shared" si="16"/>
        <v>1413.2582238277173</v>
      </c>
      <c r="N113" s="493">
        <f t="shared" si="16"/>
        <v>1363.8132114839525</v>
      </c>
    </row>
    <row r="114" spans="2:14">
      <c r="B114" s="493" t="str">
        <f t="shared" si="12"/>
        <v>CLASSICS All Central Scenario</v>
      </c>
      <c r="C114" s="493">
        <f t="shared" ref="C114:N114" si="17">C48</f>
        <v>35.315407536400862</v>
      </c>
      <c r="D114" s="493">
        <f t="shared" si="17"/>
        <v>36.270167729320221</v>
      </c>
      <c r="E114" s="493">
        <f t="shared" si="17"/>
        <v>36.744991908102591</v>
      </c>
      <c r="F114" s="493">
        <f t="shared" si="17"/>
        <v>37.390130719007274</v>
      </c>
      <c r="G114" s="493">
        <f t="shared" si="17"/>
        <v>37.56337249906106</v>
      </c>
      <c r="H114" s="493">
        <f t="shared" si="17"/>
        <v>38.10702701562191</v>
      </c>
      <c r="I114" s="493">
        <f t="shared" si="17"/>
        <v>39.028631119567365</v>
      </c>
      <c r="J114" s="493">
        <f t="shared" si="17"/>
        <v>38.764686400586214</v>
      </c>
      <c r="K114" s="493">
        <f t="shared" si="17"/>
        <v>37.31096915238431</v>
      </c>
      <c r="L114" s="493">
        <f t="shared" si="17"/>
        <v>36.394449918447023</v>
      </c>
      <c r="M114" s="493">
        <f t="shared" si="17"/>
        <v>36.314027062919877</v>
      </c>
      <c r="N114" s="493">
        <f t="shared" si="17"/>
        <v>36.034427511590891</v>
      </c>
    </row>
    <row r="115" spans="2:14">
      <c r="B115" s="493" t="str">
        <f t="shared" si="12"/>
        <v>COMPUTING All Central Scenario</v>
      </c>
      <c r="C115" s="493">
        <f t="shared" ref="C115:N115" si="18">C49</f>
        <v>726.8391924291152</v>
      </c>
      <c r="D115" s="493">
        <f t="shared" si="18"/>
        <v>798.98281434623186</v>
      </c>
      <c r="E115" s="493">
        <f t="shared" si="18"/>
        <v>849.5530840155069</v>
      </c>
      <c r="F115" s="493">
        <f t="shared" si="18"/>
        <v>844.93124682941277</v>
      </c>
      <c r="G115" s="493">
        <f t="shared" si="18"/>
        <v>839.10513198124454</v>
      </c>
      <c r="H115" s="493">
        <f t="shared" si="18"/>
        <v>830.43403446102116</v>
      </c>
      <c r="I115" s="493">
        <f t="shared" si="18"/>
        <v>866.20808629718908</v>
      </c>
      <c r="J115" s="493">
        <f t="shared" si="18"/>
        <v>895.77096529902212</v>
      </c>
      <c r="K115" s="493">
        <f t="shared" si="18"/>
        <v>871.30663630882373</v>
      </c>
      <c r="L115" s="493">
        <f t="shared" si="18"/>
        <v>853.19202001778842</v>
      </c>
      <c r="M115" s="493">
        <f t="shared" si="18"/>
        <v>854.05866612700709</v>
      </c>
      <c r="N115" s="493">
        <f t="shared" si="18"/>
        <v>846.76230438501386</v>
      </c>
    </row>
    <row r="116" spans="2:14" ht="25.5">
      <c r="B116" s="493" t="str">
        <f t="shared" si="12"/>
        <v>DESIGN &amp; TECHNOLOGY All Central Scenario</v>
      </c>
      <c r="C116" s="493">
        <f t="shared" ref="C116:N116" si="19">C50</f>
        <v>1130.059481511199</v>
      </c>
      <c r="D116" s="493">
        <f t="shared" si="19"/>
        <v>1136.4889128051518</v>
      </c>
      <c r="E116" s="493">
        <f t="shared" si="19"/>
        <v>1227.1310065905341</v>
      </c>
      <c r="F116" s="493">
        <f t="shared" si="19"/>
        <v>1132.6973385679771</v>
      </c>
      <c r="G116" s="493">
        <f t="shared" si="19"/>
        <v>1085.9582077587156</v>
      </c>
      <c r="H116" s="493">
        <f t="shared" si="19"/>
        <v>1031.3375413810672</v>
      </c>
      <c r="I116" s="493">
        <f t="shared" si="19"/>
        <v>1085.8267330096287</v>
      </c>
      <c r="J116" s="493">
        <f t="shared" si="19"/>
        <v>1109.2640720591962</v>
      </c>
      <c r="K116" s="493">
        <f t="shared" si="19"/>
        <v>1038.1804283531726</v>
      </c>
      <c r="L116" s="493">
        <f t="shared" si="19"/>
        <v>993.8968103459481</v>
      </c>
      <c r="M116" s="493">
        <f t="shared" si="19"/>
        <v>1027.7988411684194</v>
      </c>
      <c r="N116" s="493">
        <f t="shared" si="19"/>
        <v>1047.6172776083695</v>
      </c>
    </row>
    <row r="117" spans="2:14">
      <c r="B117" s="493" t="str">
        <f t="shared" si="12"/>
        <v>DRAMA All Central Scenario</v>
      </c>
      <c r="C117" s="493">
        <f t="shared" ref="C117:N117" si="20">C51</f>
        <v>468.76901163447405</v>
      </c>
      <c r="D117" s="493">
        <f t="shared" si="20"/>
        <v>476.88945248559162</v>
      </c>
      <c r="E117" s="493">
        <f t="shared" si="20"/>
        <v>531.64237814670241</v>
      </c>
      <c r="F117" s="493">
        <f t="shared" si="20"/>
        <v>500.63287784900183</v>
      </c>
      <c r="G117" s="493">
        <f t="shared" si="20"/>
        <v>489.36291977552969</v>
      </c>
      <c r="H117" s="493">
        <f t="shared" si="20"/>
        <v>474.68330287087286</v>
      </c>
      <c r="I117" s="493">
        <f t="shared" si="20"/>
        <v>508.17018316008341</v>
      </c>
      <c r="J117" s="493">
        <f t="shared" si="20"/>
        <v>527.75973028775275</v>
      </c>
      <c r="K117" s="493">
        <f t="shared" si="20"/>
        <v>499.44421191976147</v>
      </c>
      <c r="L117" s="493">
        <f t="shared" si="20"/>
        <v>483.61147594995941</v>
      </c>
      <c r="M117" s="493">
        <f t="shared" si="20"/>
        <v>503.23298273743859</v>
      </c>
      <c r="N117" s="493">
        <f t="shared" si="20"/>
        <v>515.1846860674475</v>
      </c>
    </row>
    <row r="118" spans="2:14">
      <c r="B118" s="493" t="str">
        <f t="shared" si="12"/>
        <v>ENGLISH All Central Scenario</v>
      </c>
      <c r="C118" s="493">
        <f>C52</f>
        <v>4039.537608063712</v>
      </c>
      <c r="D118" s="493">
        <f t="shared" ref="D118:N118" si="21">D52</f>
        <v>4228.7636458328525</v>
      </c>
      <c r="E118" s="493">
        <f t="shared" si="21"/>
        <v>3912.914128603627</v>
      </c>
      <c r="F118" s="493">
        <f t="shared" si="21"/>
        <v>3858.6056594459533</v>
      </c>
      <c r="G118" s="493">
        <f t="shared" si="21"/>
        <v>3886.4354044751385</v>
      </c>
      <c r="H118" s="493">
        <f t="shared" si="21"/>
        <v>3915.6694020272062</v>
      </c>
      <c r="I118" s="493">
        <f t="shared" si="21"/>
        <v>3995.8114014758789</v>
      </c>
      <c r="J118" s="493">
        <f t="shared" si="21"/>
        <v>3866.479170970556</v>
      </c>
      <c r="K118" s="493">
        <f t="shared" si="21"/>
        <v>3782.7922950591205</v>
      </c>
      <c r="L118" s="493">
        <f t="shared" si="21"/>
        <v>3695.2986739401767</v>
      </c>
      <c r="M118" s="493">
        <f t="shared" si="21"/>
        <v>3627.1389424051795</v>
      </c>
      <c r="N118" s="493">
        <f t="shared" si="21"/>
        <v>3562.2042407503127</v>
      </c>
    </row>
    <row r="119" spans="2:14">
      <c r="B119" s="493" t="str">
        <f t="shared" si="12"/>
        <v>FOOD All Central Scenario</v>
      </c>
      <c r="C119" s="493">
        <f>C53</f>
        <v>211.65522159252305</v>
      </c>
      <c r="D119" s="493">
        <f t="shared" ref="D119:N119" si="22">D53</f>
        <v>247.51398484695662</v>
      </c>
      <c r="E119" s="493">
        <f t="shared" si="22"/>
        <v>251.74490173817554</v>
      </c>
      <c r="F119" s="493">
        <f t="shared" si="22"/>
        <v>240.61649632089893</v>
      </c>
      <c r="G119" s="493">
        <f t="shared" si="22"/>
        <v>233.25587048205455</v>
      </c>
      <c r="H119" s="493">
        <f t="shared" si="22"/>
        <v>226.43315005231881</v>
      </c>
      <c r="I119" s="493">
        <f t="shared" si="22"/>
        <v>228.80543781333409</v>
      </c>
      <c r="J119" s="493">
        <f t="shared" si="22"/>
        <v>232.76402047188006</v>
      </c>
      <c r="K119" s="493">
        <f t="shared" si="22"/>
        <v>230.01971707030845</v>
      </c>
      <c r="L119" s="493">
        <f t="shared" si="22"/>
        <v>224.70832375317298</v>
      </c>
      <c r="M119" s="493">
        <f t="shared" si="22"/>
        <v>213.76448213734329</v>
      </c>
      <c r="N119" s="493">
        <f t="shared" si="22"/>
        <v>202.24770673036528</v>
      </c>
    </row>
    <row r="120" spans="2:14">
      <c r="B120" s="493" t="str">
        <f t="shared" si="12"/>
        <v>GEOGRAPHY All Central Scenario</v>
      </c>
      <c r="C120" s="493">
        <f>C54</f>
        <v>1291.2464891690154</v>
      </c>
      <c r="D120" s="493">
        <f t="shared" ref="D120:N120" si="23">D54</f>
        <v>1278.9675184822354</v>
      </c>
      <c r="E120" s="493">
        <f t="shared" si="23"/>
        <v>1357.3808848553588</v>
      </c>
      <c r="F120" s="493">
        <f t="shared" si="23"/>
        <v>1305.2374475649265</v>
      </c>
      <c r="G120" s="493">
        <f t="shared" si="23"/>
        <v>1312.7239577484927</v>
      </c>
      <c r="H120" s="493">
        <f t="shared" si="23"/>
        <v>1316.0972540517175</v>
      </c>
      <c r="I120" s="493">
        <f t="shared" si="23"/>
        <v>1375.2085717267385</v>
      </c>
      <c r="J120" s="493">
        <f t="shared" si="23"/>
        <v>1333.0186534144525</v>
      </c>
      <c r="K120" s="493">
        <f t="shared" si="23"/>
        <v>1278.8757379091594</v>
      </c>
      <c r="L120" s="493">
        <f t="shared" si="23"/>
        <v>1241.2699804477099</v>
      </c>
      <c r="M120" s="493">
        <f t="shared" si="23"/>
        <v>1258.0386979609664</v>
      </c>
      <c r="N120" s="493">
        <f t="shared" si="23"/>
        <v>1270.2383872782209</v>
      </c>
    </row>
    <row r="121" spans="2:14">
      <c r="B121" s="493" t="str">
        <f t="shared" ref="B121:I129" si="24">B55</f>
        <v>HISTORY All Central Scenario</v>
      </c>
      <c r="C121" s="493">
        <f t="shared" si="24"/>
        <v>1364.77471129794</v>
      </c>
      <c r="D121" s="493">
        <f t="shared" si="24"/>
        <v>1349.6959609004903</v>
      </c>
      <c r="E121" s="493">
        <f t="shared" si="24"/>
        <v>1429.9252576724452</v>
      </c>
      <c r="F121" s="493">
        <f t="shared" si="24"/>
        <v>1382.3160766202275</v>
      </c>
      <c r="G121" s="493">
        <f t="shared" si="24"/>
        <v>1392.7375627500296</v>
      </c>
      <c r="H121" s="493">
        <f t="shared" si="24"/>
        <v>1399.8785307392218</v>
      </c>
      <c r="I121" s="493">
        <f t="shared" si="24"/>
        <v>1460.0325367086323</v>
      </c>
      <c r="J121" s="493">
        <f t="shared" ref="J121:J129" si="25">J55</f>
        <v>1418.9902742584986</v>
      </c>
      <c r="K121" s="493">
        <f t="shared" ref="K121:N129" si="26">K55</f>
        <v>1363.1619159777106</v>
      </c>
      <c r="L121" s="493">
        <f t="shared" si="26"/>
        <v>1324.3252678599069</v>
      </c>
      <c r="M121" s="493">
        <f t="shared" si="26"/>
        <v>1338.8948439444662</v>
      </c>
      <c r="N121" s="493">
        <f t="shared" si="26"/>
        <v>1348.5708602597178</v>
      </c>
    </row>
    <row r="122" spans="2:14">
      <c r="B122" s="493" t="str">
        <f t="shared" si="24"/>
        <v>MATHEMATICS All Central Scenario</v>
      </c>
      <c r="C122" s="493">
        <f t="shared" si="24"/>
        <v>4773.4029155564294</v>
      </c>
      <c r="D122" s="493">
        <f t="shared" si="24"/>
        <v>4492.3907511657389</v>
      </c>
      <c r="E122" s="493">
        <f t="shared" si="24"/>
        <v>4534.1002153363606</v>
      </c>
      <c r="F122" s="493">
        <f t="shared" si="24"/>
        <v>4327.5293604006165</v>
      </c>
      <c r="G122" s="493">
        <f t="shared" si="24"/>
        <v>4353.1431682321218</v>
      </c>
      <c r="H122" s="493">
        <f t="shared" si="24"/>
        <v>4382.430688150007</v>
      </c>
      <c r="I122" s="493">
        <f t="shared" si="24"/>
        <v>4463.84574483494</v>
      </c>
      <c r="J122" s="493">
        <f t="shared" si="25"/>
        <v>4341.0321890949162</v>
      </c>
      <c r="K122" s="493">
        <f t="shared" si="26"/>
        <v>4232.0745067582511</v>
      </c>
      <c r="L122" s="493">
        <f t="shared" si="26"/>
        <v>4129.9212799682773</v>
      </c>
      <c r="M122" s="493">
        <f t="shared" si="26"/>
        <v>4063.4202125427619</v>
      </c>
      <c r="N122" s="493">
        <f t="shared" si="26"/>
        <v>3996.4936402218709</v>
      </c>
    </row>
    <row r="123" spans="2:14" ht="25.5">
      <c r="B123" s="493" t="str">
        <f t="shared" si="24"/>
        <v>MODERN FOREIGN LANGUAGES All Central Scenario</v>
      </c>
      <c r="C123" s="493">
        <f t="shared" si="24"/>
        <v>1858.4175746536107</v>
      </c>
      <c r="D123" s="493">
        <f t="shared" si="24"/>
        <v>2277.0468819951711</v>
      </c>
      <c r="E123" s="493">
        <f t="shared" si="24"/>
        <v>2397.1091773555454</v>
      </c>
      <c r="F123" s="493">
        <f t="shared" si="24"/>
        <v>2539.1599817656106</v>
      </c>
      <c r="G123" s="493">
        <f t="shared" si="24"/>
        <v>2751.9042275669963</v>
      </c>
      <c r="H123" s="493">
        <f t="shared" si="24"/>
        <v>2970.6931857086374</v>
      </c>
      <c r="I123" s="493">
        <f t="shared" si="24"/>
        <v>3003.4851120198118</v>
      </c>
      <c r="J123" s="493">
        <f t="shared" si="25"/>
        <v>2384.0245514652083</v>
      </c>
      <c r="K123" s="493">
        <f t="shared" si="26"/>
        <v>2245.4563343924387</v>
      </c>
      <c r="L123" s="493">
        <f t="shared" si="26"/>
        <v>2141.5954615709479</v>
      </c>
      <c r="M123" s="493">
        <f t="shared" si="26"/>
        <v>2154.7719093476026</v>
      </c>
      <c r="N123" s="493">
        <f t="shared" si="26"/>
        <v>2221.8326440205547</v>
      </c>
    </row>
    <row r="124" spans="2:14">
      <c r="B124" s="493" t="str">
        <f t="shared" si="24"/>
        <v>MUSIC All Central Scenario</v>
      </c>
      <c r="C124" s="493">
        <f t="shared" si="24"/>
        <v>528.29000145633813</v>
      </c>
      <c r="D124" s="493">
        <f t="shared" si="24"/>
        <v>510.31303476271</v>
      </c>
      <c r="E124" s="493">
        <f t="shared" si="24"/>
        <v>583.35285853253015</v>
      </c>
      <c r="F124" s="493">
        <f t="shared" si="24"/>
        <v>529.815448690322</v>
      </c>
      <c r="G124" s="493">
        <f t="shared" si="24"/>
        <v>511.86828819837422</v>
      </c>
      <c r="H124" s="493">
        <f t="shared" si="24"/>
        <v>488.07660565601088</v>
      </c>
      <c r="I124" s="493">
        <f t="shared" si="24"/>
        <v>527.41194953477088</v>
      </c>
      <c r="J124" s="493">
        <f t="shared" si="25"/>
        <v>545.48490923117038</v>
      </c>
      <c r="K124" s="493">
        <f t="shared" si="26"/>
        <v>506.31393309965932</v>
      </c>
      <c r="L124" s="493">
        <f t="shared" si="26"/>
        <v>485.36418262220758</v>
      </c>
      <c r="M124" s="493">
        <f t="shared" si="26"/>
        <v>517.27560028572077</v>
      </c>
      <c r="N124" s="493">
        <f t="shared" si="26"/>
        <v>539.96274530449432</v>
      </c>
    </row>
    <row r="125" spans="2:14">
      <c r="B125" s="493" t="str">
        <f t="shared" si="24"/>
        <v>OTHERS All Central Scenario</v>
      </c>
      <c r="C125" s="493">
        <f t="shared" si="24"/>
        <v>1131.1011987364636</v>
      </c>
      <c r="D125" s="493">
        <f t="shared" si="24"/>
        <v>1198.8933853926105</v>
      </c>
      <c r="E125" s="493">
        <f t="shared" si="24"/>
        <v>1264.3565472365167</v>
      </c>
      <c r="F125" s="493">
        <f t="shared" si="24"/>
        <v>1377.9092822831963</v>
      </c>
      <c r="G125" s="493">
        <f t="shared" si="24"/>
        <v>1413.5017519635107</v>
      </c>
      <c r="H125" s="493">
        <f t="shared" si="24"/>
        <v>1462.5731267228691</v>
      </c>
      <c r="I125" s="493">
        <f t="shared" si="24"/>
        <v>1525.9826662785176</v>
      </c>
      <c r="J125" s="493">
        <f t="shared" si="25"/>
        <v>1613.5958028829023</v>
      </c>
      <c r="K125" s="493">
        <f t="shared" si="26"/>
        <v>1569.9845382695837</v>
      </c>
      <c r="L125" s="493">
        <f t="shared" si="26"/>
        <v>1547.239578620575</v>
      </c>
      <c r="M125" s="493">
        <f t="shared" si="26"/>
        <v>1536.6335222337812</v>
      </c>
      <c r="N125" s="493">
        <f t="shared" si="26"/>
        <v>1506.4647503886572</v>
      </c>
    </row>
    <row r="126" spans="2:14" ht="25.5">
      <c r="B126" s="493" t="str">
        <f t="shared" si="24"/>
        <v>PHYSICAL EDUCATION All Central Scenario</v>
      </c>
      <c r="C126" s="493">
        <f t="shared" si="24"/>
        <v>1350.1164811655508</v>
      </c>
      <c r="D126" s="493">
        <f t="shared" si="24"/>
        <v>1562.3252945531117</v>
      </c>
      <c r="E126" s="493">
        <f t="shared" si="24"/>
        <v>1679.0326689226463</v>
      </c>
      <c r="F126" s="493">
        <f t="shared" si="24"/>
        <v>1629.075240799119</v>
      </c>
      <c r="G126" s="493">
        <f t="shared" si="24"/>
        <v>1602.299641891789</v>
      </c>
      <c r="H126" s="493">
        <f t="shared" si="24"/>
        <v>1567.9642153906434</v>
      </c>
      <c r="I126" s="493">
        <f t="shared" si="24"/>
        <v>1663.5606074572115</v>
      </c>
      <c r="J126" s="493">
        <f t="shared" si="25"/>
        <v>1732.974984164634</v>
      </c>
      <c r="K126" s="493">
        <f t="shared" si="26"/>
        <v>1686.6330032076307</v>
      </c>
      <c r="L126" s="493">
        <f t="shared" si="26"/>
        <v>1651.8813715740948</v>
      </c>
      <c r="M126" s="493">
        <f t="shared" si="26"/>
        <v>1663.8085145874102</v>
      </c>
      <c r="N126" s="493">
        <f t="shared" si="26"/>
        <v>1657.3922422394267</v>
      </c>
    </row>
    <row r="127" spans="2:14">
      <c r="B127" s="493" t="str">
        <f t="shared" si="24"/>
        <v>PHYSICS All Central Scenario</v>
      </c>
      <c r="C127" s="493">
        <f t="shared" si="24"/>
        <v>1687.9302005483253</v>
      </c>
      <c r="D127" s="493">
        <f t="shared" si="24"/>
        <v>1465.611605238164</v>
      </c>
      <c r="E127" s="493">
        <f t="shared" si="24"/>
        <v>1550.8624100000545</v>
      </c>
      <c r="F127" s="493">
        <f t="shared" si="24"/>
        <v>1462.6053123830898</v>
      </c>
      <c r="G127" s="493">
        <f t="shared" si="24"/>
        <v>1486.8087909073329</v>
      </c>
      <c r="H127" s="493">
        <f t="shared" si="24"/>
        <v>1515.3445734819404</v>
      </c>
      <c r="I127" s="493">
        <f t="shared" si="24"/>
        <v>1524.5769730816937</v>
      </c>
      <c r="J127" s="493">
        <f t="shared" si="25"/>
        <v>1491.617316486821</v>
      </c>
      <c r="K127" s="493">
        <f t="shared" si="26"/>
        <v>1478.6931368504693</v>
      </c>
      <c r="L127" s="493">
        <f t="shared" si="26"/>
        <v>1453.9553003043052</v>
      </c>
      <c r="M127" s="493">
        <f t="shared" si="26"/>
        <v>1400.6936367708263</v>
      </c>
      <c r="N127" s="493">
        <f t="shared" si="26"/>
        <v>1349.8794392516111</v>
      </c>
    </row>
    <row r="128" spans="2:14" ht="25.5">
      <c r="B128" s="493" t="str">
        <f t="shared" si="24"/>
        <v>RELIGIOUS EDUCATION All Central Scenario</v>
      </c>
      <c r="C128" s="493">
        <f t="shared" si="24"/>
        <v>734.82659603874527</v>
      </c>
      <c r="D128" s="493">
        <f t="shared" si="24"/>
        <v>775.45274589812868</v>
      </c>
      <c r="E128" s="493">
        <f t="shared" si="24"/>
        <v>852.8668848079551</v>
      </c>
      <c r="F128" s="493">
        <f t="shared" si="24"/>
        <v>790.2736495792492</v>
      </c>
      <c r="G128" s="493">
        <f t="shared" si="24"/>
        <v>770.77904959115835</v>
      </c>
      <c r="H128" s="493">
        <f t="shared" si="24"/>
        <v>748.88929111053517</v>
      </c>
      <c r="I128" s="493">
        <f t="shared" si="24"/>
        <v>784.70919348457733</v>
      </c>
      <c r="J128" s="493">
        <f t="shared" si="25"/>
        <v>809.95159007221469</v>
      </c>
      <c r="K128" s="493">
        <f t="shared" si="26"/>
        <v>780.58041217902382</v>
      </c>
      <c r="L128" s="493">
        <f t="shared" si="26"/>
        <v>759.19143744454823</v>
      </c>
      <c r="M128" s="493">
        <f t="shared" si="26"/>
        <v>762.90701692772961</v>
      </c>
      <c r="N128" s="493">
        <f t="shared" si="26"/>
        <v>758.52688203280672</v>
      </c>
    </row>
    <row r="129" spans="2:14">
      <c r="B129" s="493" t="str">
        <f t="shared" si="24"/>
        <v>SECONDARY All Central Scenario</v>
      </c>
      <c r="C129" s="493">
        <f t="shared" si="24"/>
        <v>25726.914332450637</v>
      </c>
      <c r="D129" s="493">
        <f t="shared" si="24"/>
        <v>26013.082992911095</v>
      </c>
      <c r="E129" s="493">
        <f t="shared" si="24"/>
        <v>26773.534628117941</v>
      </c>
      <c r="F129" s="493">
        <f t="shared" si="24"/>
        <v>26280.056655388191</v>
      </c>
      <c r="G129" s="493">
        <f t="shared" si="24"/>
        <v>26557.750010090593</v>
      </c>
      <c r="H129" s="493">
        <f t="shared" si="24"/>
        <v>26839.574362018644</v>
      </c>
      <c r="I129" s="493">
        <f t="shared" si="24"/>
        <v>27623.063634274476</v>
      </c>
      <c r="J129" s="493">
        <f t="shared" si="25"/>
        <v>26917.518218870457</v>
      </c>
      <c r="K129" s="493">
        <f t="shared" si="26"/>
        <v>26106.103394555023</v>
      </c>
      <c r="L129" s="493">
        <f t="shared" si="26"/>
        <v>25450.928289338994</v>
      </c>
      <c r="M129" s="493">
        <f t="shared" si="26"/>
        <v>25287.319697064035</v>
      </c>
      <c r="N129" s="493">
        <f t="shared" si="26"/>
        <v>25073.871126010978</v>
      </c>
    </row>
  </sheetData>
  <hyperlinks>
    <hyperlink ref="A2" location="'Title_&amp;_Contents'!A1" display="Contents"/>
    <hyperlink ref="B2" location="Map_of_sheets!A1" display="Map of sheets"/>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Q36"/>
  <sheetViews>
    <sheetView showGridLines="0" zoomScaleNormal="100" workbookViewId="0"/>
  </sheetViews>
  <sheetFormatPr defaultColWidth="9.140625" defaultRowHeight="12.75"/>
  <cols>
    <col min="1" max="1" width="9.140625" style="302"/>
    <col min="2" max="2" width="32.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c r="A4" s="339" t="s">
        <v>26</v>
      </c>
      <c r="B4" s="339"/>
      <c r="C4" s="339"/>
      <c r="D4" s="339"/>
      <c r="E4" s="340"/>
      <c r="F4" s="339"/>
      <c r="G4" s="339"/>
      <c r="H4" s="339"/>
      <c r="I4" s="339"/>
      <c r="J4" s="339"/>
      <c r="K4" s="339"/>
      <c r="L4" s="339"/>
    </row>
    <row r="5" spans="1:17" s="343" customFormat="1">
      <c r="A5" s="1347" t="s">
        <v>359</v>
      </c>
      <c r="B5" s="1347"/>
      <c r="C5" s="1347"/>
      <c r="D5" s="1347"/>
      <c r="E5" s="1347"/>
      <c r="F5" s="1347"/>
      <c r="G5" s="1347"/>
      <c r="H5" s="1347"/>
      <c r="I5" s="1347"/>
      <c r="J5" s="1347"/>
      <c r="K5" s="1347"/>
      <c r="L5" s="1347"/>
      <c r="M5" s="342"/>
      <c r="N5" s="342"/>
      <c r="O5" s="342"/>
      <c r="P5" s="342"/>
      <c r="Q5" s="342"/>
    </row>
    <row r="6" spans="1:17" s="347" customFormat="1">
      <c r="A6" s="344" t="s">
        <v>1392</v>
      </c>
      <c r="B6" s="345"/>
      <c r="C6" s="345"/>
      <c r="D6" s="345"/>
      <c r="E6" s="340"/>
      <c r="F6" s="345"/>
      <c r="G6" s="345"/>
      <c r="H6" s="345"/>
      <c r="I6" s="345"/>
      <c r="J6" s="345"/>
      <c r="K6" s="345"/>
      <c r="L6" s="345"/>
      <c r="M6" s="346"/>
      <c r="N6" s="346"/>
      <c r="O6" s="346"/>
      <c r="P6" s="346"/>
      <c r="Q6" s="346"/>
    </row>
    <row r="7" spans="1:17" s="347" customFormat="1">
      <c r="A7" s="348" t="s">
        <v>349</v>
      </c>
      <c r="B7" s="344"/>
      <c r="C7" s="345"/>
      <c r="D7" s="345"/>
      <c r="E7" s="340"/>
      <c r="F7" s="345"/>
      <c r="G7" s="345"/>
      <c r="H7" s="345"/>
      <c r="I7" s="345"/>
      <c r="J7" s="345"/>
      <c r="K7" s="345"/>
      <c r="L7" s="345"/>
      <c r="M7" s="346"/>
      <c r="N7" s="346"/>
      <c r="O7" s="346"/>
      <c r="P7" s="346"/>
      <c r="Q7" s="346"/>
    </row>
    <row r="8" spans="1:17" s="347" customFormat="1">
      <c r="A8" s="344" t="s">
        <v>24</v>
      </c>
      <c r="B8" s="345"/>
      <c r="C8" s="345"/>
      <c r="D8" s="345"/>
      <c r="E8" s="340"/>
      <c r="F8" s="345"/>
      <c r="G8" s="345"/>
      <c r="H8" s="345"/>
      <c r="I8" s="345"/>
      <c r="J8" s="345"/>
      <c r="K8" s="345"/>
      <c r="L8" s="345"/>
      <c r="M8" s="346"/>
      <c r="N8" s="346"/>
      <c r="O8" s="346"/>
      <c r="P8" s="346"/>
      <c r="Q8" s="346"/>
    </row>
    <row r="9" spans="1:17" s="347" customFormat="1">
      <c r="A9" s="348" t="s">
        <v>124</v>
      </c>
      <c r="B9" s="345"/>
      <c r="C9" s="345"/>
      <c r="D9" s="345"/>
      <c r="E9" s="340"/>
      <c r="F9" s="345"/>
      <c r="G9" s="345"/>
      <c r="H9" s="345"/>
      <c r="I9" s="345"/>
      <c r="J9" s="345"/>
      <c r="K9" s="345"/>
      <c r="L9" s="345"/>
      <c r="M9" s="346"/>
      <c r="N9" s="346"/>
      <c r="O9" s="346"/>
      <c r="P9" s="346"/>
      <c r="Q9" s="346"/>
    </row>
    <row r="10" spans="1:17" s="355" customFormat="1" ht="13.5" customHeight="1">
      <c r="A10" s="349">
        <f>SUM(A13:A2221)</f>
        <v>0</v>
      </c>
      <c r="B10" s="350"/>
      <c r="C10" s="351"/>
      <c r="D10" s="352"/>
      <c r="E10" s="352"/>
      <c r="F10" s="352"/>
      <c r="G10" s="353"/>
      <c r="H10" s="352"/>
      <c r="I10" s="352"/>
      <c r="J10" s="353"/>
      <c r="K10" s="354"/>
      <c r="L10" s="354"/>
      <c r="M10" s="354"/>
      <c r="N10" s="354"/>
      <c r="O10" s="354"/>
      <c r="P10" s="354"/>
      <c r="Q10" s="354"/>
    </row>
    <row r="13" spans="1:17">
      <c r="B13" s="356"/>
      <c r="C13" s="356" t="str">
        <f>'Art_&amp;_Design_1'!C293</f>
        <v>2017/18</v>
      </c>
      <c r="D13" s="356" t="str">
        <f>'Art_&amp;_Design_1'!D293</f>
        <v>2018/19</v>
      </c>
      <c r="E13" s="356" t="str">
        <f>'Art_&amp;_Design_1'!E293</f>
        <v>2019/20</v>
      </c>
      <c r="F13" s="356" t="str">
        <f>'Art_&amp;_Design_1'!F293</f>
        <v>2020/21</v>
      </c>
      <c r="G13" s="356" t="str">
        <f>'Art_&amp;_Design_1'!G293</f>
        <v>2021/22</v>
      </c>
      <c r="H13" s="356" t="str">
        <f>'Art_&amp;_Design_1'!H293</f>
        <v>2022/23</v>
      </c>
      <c r="I13" s="356" t="str">
        <f>'Art_&amp;_Design_1'!I293</f>
        <v>2023/24</v>
      </c>
      <c r="J13" s="356" t="str">
        <f>'Art_&amp;_Design_1'!J293</f>
        <v>2024/25</v>
      </c>
      <c r="K13" s="356" t="str">
        <f>'Art_&amp;_Design_1'!K293</f>
        <v>2025/26</v>
      </c>
      <c r="L13" s="356" t="str">
        <f>'Art_&amp;_Design_1'!L293</f>
        <v>2026/27</v>
      </c>
      <c r="M13" s="356" t="str">
        <f>'Art_&amp;_Design_1'!M293</f>
        <v>2027/28</v>
      </c>
      <c r="N13" s="356" t="str">
        <f>'Art_&amp;_Design_1'!N293</f>
        <v>2028/29</v>
      </c>
    </row>
    <row r="14" spans="1:17">
      <c r="B14" s="373" t="str">
        <f>Primary_1!B282</f>
        <v>Primary Wastage</v>
      </c>
      <c r="C14" s="276">
        <f>Primary_1!C282</f>
        <v>19560.892471246716</v>
      </c>
      <c r="D14" s="276">
        <f>Primary_1!D282</f>
        <v>19783.496295357807</v>
      </c>
      <c r="E14" s="276">
        <f>Primary_1!E282</f>
        <v>20286.419929483258</v>
      </c>
      <c r="F14" s="276">
        <f>Primary_1!F282</f>
        <v>20491.711798712782</v>
      </c>
      <c r="G14" s="276">
        <f>Primary_1!G282</f>
        <v>20545.870717475424</v>
      </c>
      <c r="H14" s="276">
        <f>Primary_1!H282</f>
        <v>20576.362910991291</v>
      </c>
      <c r="I14" s="276">
        <f>Primary_1!I282</f>
        <v>20580.829067717696</v>
      </c>
      <c r="J14" s="276">
        <f>Primary_1!J282</f>
        <v>20558.969800268515</v>
      </c>
      <c r="K14" s="276">
        <f>Primary_1!K282</f>
        <v>20591.226262430369</v>
      </c>
      <c r="L14" s="276">
        <f>Primary_1!L282</f>
        <v>20661.181428673921</v>
      </c>
      <c r="M14" s="276">
        <f>Primary_1!M282</f>
        <v>20733.166143527997</v>
      </c>
      <c r="N14" s="276">
        <f>Primary_1!N282</f>
        <v>20787.06908374359</v>
      </c>
    </row>
    <row r="15" spans="1:17">
      <c r="B15" s="356" t="str">
        <f>'Art_&amp;_Design_1'!B282</f>
        <v>Art &amp; Design Wastage</v>
      </c>
      <c r="C15" s="276">
        <f>'Art_&amp;_Design_1'!C282</f>
        <v>655.43402618677703</v>
      </c>
      <c r="D15" s="276">
        <f>'Art_&amp;_Design_1'!D282</f>
        <v>651.31641724489111</v>
      </c>
      <c r="E15" s="276">
        <f>'Art_&amp;_Design_1'!E282</f>
        <v>668.20157554700029</v>
      </c>
      <c r="F15" s="276">
        <f>'Art_&amp;_Design_1'!F282</f>
        <v>679.04290117416315</v>
      </c>
      <c r="G15" s="276">
        <f>'Art_&amp;_Design_1'!G282</f>
        <v>683.41759447921231</v>
      </c>
      <c r="H15" s="276">
        <f>'Art_&amp;_Design_1'!H282</f>
        <v>685.24787181215265</v>
      </c>
      <c r="I15" s="276">
        <f>'Art_&amp;_Design_1'!I282</f>
        <v>684.58459218049666</v>
      </c>
      <c r="J15" s="276">
        <f>'Art_&amp;_Design_1'!J282</f>
        <v>688.21962759234168</v>
      </c>
      <c r="K15" s="276">
        <f>'Art_&amp;_Design_1'!K282</f>
        <v>694.15283585544216</v>
      </c>
      <c r="L15" s="276">
        <f>'Art_&amp;_Design_1'!L282</f>
        <v>695.1178977220934</v>
      </c>
      <c r="M15" s="276">
        <f>'Art_&amp;_Design_1'!M282</f>
        <v>693.38096833403597</v>
      </c>
      <c r="N15" s="276">
        <f>'Art_&amp;_Design_1'!N282</f>
        <v>693.57029492443667</v>
      </c>
    </row>
    <row r="16" spans="1:17">
      <c r="B16" s="356" t="str">
        <f>Biology_1!B282</f>
        <v>Biology Wastage</v>
      </c>
      <c r="C16" s="276">
        <f>Biology_1!C282</f>
        <v>1139.8556086692879</v>
      </c>
      <c r="D16" s="276">
        <f>Biology_1!D282</f>
        <v>1178.248711625296</v>
      </c>
      <c r="E16" s="276">
        <f>Biology_1!E282</f>
        <v>1224.5710898156481</v>
      </c>
      <c r="F16" s="276">
        <f>Biology_1!F282</f>
        <v>1245.9622063092681</v>
      </c>
      <c r="G16" s="276">
        <f>Biology_1!G282</f>
        <v>1260.7094232642398</v>
      </c>
      <c r="H16" s="276">
        <f>Biology_1!H282</f>
        <v>1276.4553700892593</v>
      </c>
      <c r="I16" s="276">
        <f>Biology_1!I282</f>
        <v>1293.7048921778871</v>
      </c>
      <c r="J16" s="276">
        <f>Biology_1!J282</f>
        <v>1311.2023567712185</v>
      </c>
      <c r="K16" s="276">
        <f>Biology_1!K282</f>
        <v>1322.6925701280679</v>
      </c>
      <c r="L16" s="276">
        <f>Biology_1!L282</f>
        <v>1329.9565133217857</v>
      </c>
      <c r="M16" s="276">
        <f>Biology_1!M282</f>
        <v>1333.0267194712176</v>
      </c>
      <c r="N16" s="276">
        <f>Biology_1!N282</f>
        <v>1330.9388907193033</v>
      </c>
    </row>
    <row r="17" spans="2:14">
      <c r="B17" s="356" t="str">
        <f>Business_Studies_1!B282</f>
        <v>Business Studies Wastage</v>
      </c>
      <c r="C17" s="276">
        <f>Business_Studies_1!C282</f>
        <v>321.19525066338622</v>
      </c>
      <c r="D17" s="276">
        <f>Business_Studies_1!D282</f>
        <v>306.2327050016064</v>
      </c>
      <c r="E17" s="276">
        <f>Business_Studies_1!E282</f>
        <v>309.32154807738698</v>
      </c>
      <c r="F17" s="276">
        <f>Business_Studies_1!F282</f>
        <v>306.79134665270146</v>
      </c>
      <c r="G17" s="276">
        <f>Business_Studies_1!G282</f>
        <v>307.87640587627186</v>
      </c>
      <c r="H17" s="276">
        <f>Business_Studies_1!H282</f>
        <v>310.41121387944622</v>
      </c>
      <c r="I17" s="276">
        <f>Business_Studies_1!I282</f>
        <v>314.8423648346303</v>
      </c>
      <c r="J17" s="276">
        <f>Business_Studies_1!J282</f>
        <v>319.38357976122097</v>
      </c>
      <c r="K17" s="276">
        <f>Business_Studies_1!K282</f>
        <v>325.67914703129668</v>
      </c>
      <c r="L17" s="276">
        <f>Business_Studies_1!L282</f>
        <v>331.56488836281915</v>
      </c>
      <c r="M17" s="276">
        <f>Business_Studies_1!M282</f>
        <v>336.67729183985966</v>
      </c>
      <c r="N17" s="276">
        <f>Business_Studies_1!N282</f>
        <v>338.68593122039448</v>
      </c>
    </row>
    <row r="18" spans="2:14">
      <c r="B18" s="356" t="str">
        <f>Chemistry_1!B282</f>
        <v>Chemistry Wastage</v>
      </c>
      <c r="C18" s="276">
        <f>Chemistry_1!C282</f>
        <v>1025.1473840688291</v>
      </c>
      <c r="D18" s="276">
        <f>Chemistry_1!D282</f>
        <v>1052.2229277551162</v>
      </c>
      <c r="E18" s="276">
        <f>Chemistry_1!E282</f>
        <v>1095.9550680956904</v>
      </c>
      <c r="F18" s="276">
        <f>Chemistry_1!F282</f>
        <v>1110.7689893582015</v>
      </c>
      <c r="G18" s="276">
        <f>Chemistry_1!G282</f>
        <v>1123.4073926436529</v>
      </c>
      <c r="H18" s="276">
        <f>Chemistry_1!H282</f>
        <v>1137.3871384986955</v>
      </c>
      <c r="I18" s="276">
        <f>Chemistry_1!I282</f>
        <v>1153.2359509622536</v>
      </c>
      <c r="J18" s="276">
        <f>Chemistry_1!J282</f>
        <v>1168.2291355142584</v>
      </c>
      <c r="K18" s="276">
        <f>Chemistry_1!K282</f>
        <v>1178.0336884052313</v>
      </c>
      <c r="L18" s="276">
        <f>Chemistry_1!L282</f>
        <v>1185.1847951506656</v>
      </c>
      <c r="M18" s="276">
        <f>Chemistry_1!M282</f>
        <v>1188.8558592016952</v>
      </c>
      <c r="N18" s="276">
        <f>Chemistry_1!N282</f>
        <v>1186.3135006074388</v>
      </c>
    </row>
    <row r="19" spans="2:14">
      <c r="B19" s="356" t="str">
        <f>Classics_1!B282</f>
        <v>Classics Wastage</v>
      </c>
      <c r="C19" s="276">
        <f>Classics_1!C282</f>
        <v>25.974288086439117</v>
      </c>
      <c r="D19" s="276">
        <f>Classics_1!D282</f>
        <v>25.392430454229206</v>
      </c>
      <c r="E19" s="276">
        <f>Classics_1!E282</f>
        <v>26.075832798415096</v>
      </c>
      <c r="F19" s="276">
        <f>Classics_1!F282</f>
        <v>26.25914729432667</v>
      </c>
      <c r="G19" s="276">
        <f>Classics_1!G282</f>
        <v>26.5675158549885</v>
      </c>
      <c r="H19" s="276">
        <f>Classics_1!H282</f>
        <v>26.902090820892919</v>
      </c>
      <c r="I19" s="276">
        <f>Classics_1!I282</f>
        <v>27.283153528593694</v>
      </c>
      <c r="J19" s="276">
        <f>Classics_1!J282</f>
        <v>27.733441828764231</v>
      </c>
      <c r="K19" s="276">
        <f>Classics_1!K282</f>
        <v>28.114552674327943</v>
      </c>
      <c r="L19" s="276">
        <f>Classics_1!L282</f>
        <v>28.308981011166047</v>
      </c>
      <c r="M19" s="276">
        <f>Classics_1!M282</f>
        <v>28.394680528492337</v>
      </c>
      <c r="N19" s="276">
        <f>Classics_1!N282</f>
        <v>28.470206540918923</v>
      </c>
    </row>
    <row r="20" spans="2:14">
      <c r="B20" s="356" t="str">
        <f>Computing_1!B282</f>
        <v>Computing Wastage</v>
      </c>
      <c r="C20" s="276">
        <f>Computing_1!C282</f>
        <v>660.69023127634</v>
      </c>
      <c r="D20" s="276">
        <f>Computing_1!D282</f>
        <v>645.53990654415679</v>
      </c>
      <c r="E20" s="276">
        <f>Computing_1!E282</f>
        <v>670.48855498379896</v>
      </c>
      <c r="F20" s="276">
        <f>Computing_1!F282</f>
        <v>675.40680057130692</v>
      </c>
      <c r="G20" s="276">
        <f>Computing_1!G282</f>
        <v>681.85104347687206</v>
      </c>
      <c r="H20" s="276">
        <f>Computing_1!H282</f>
        <v>685.73394780211072</v>
      </c>
      <c r="I20" s="276">
        <f>Computing_1!I282</f>
        <v>687.35625032712755</v>
      </c>
      <c r="J20" s="276">
        <f>Computing_1!J282</f>
        <v>692.45764209060189</v>
      </c>
      <c r="K20" s="276">
        <f>Computing_1!K282</f>
        <v>699.85503961383722</v>
      </c>
      <c r="L20" s="276">
        <f>Computing_1!L282</f>
        <v>702.95013273875611</v>
      </c>
      <c r="M20" s="276">
        <f>Computing_1!M282</f>
        <v>703.30094454156665</v>
      </c>
      <c r="N20" s="276">
        <f>Computing_1!N282</f>
        <v>703.64881449441179</v>
      </c>
    </row>
    <row r="21" spans="2:14">
      <c r="B21" s="356" t="str">
        <f>'Design_&amp;_Technology_1'!B282</f>
        <v>Design &amp; Technology Wastage</v>
      </c>
      <c r="C21" s="276">
        <f>'Design_&amp;_Technology_1'!C282</f>
        <v>764.67680364728506</v>
      </c>
      <c r="D21" s="276">
        <f>'Design_&amp;_Technology_1'!D282</f>
        <v>765.61011371335394</v>
      </c>
      <c r="E21" s="276">
        <f>'Design_&amp;_Technology_1'!E282</f>
        <v>794.74588984556897</v>
      </c>
      <c r="F21" s="276">
        <f>'Design_&amp;_Technology_1'!F282</f>
        <v>807.61471986433276</v>
      </c>
      <c r="G21" s="276">
        <f>'Design_&amp;_Technology_1'!G282</f>
        <v>814.50323972068077</v>
      </c>
      <c r="H21" s="276">
        <f>'Design_&amp;_Technology_1'!H282</f>
        <v>816.51310172885155</v>
      </c>
      <c r="I21" s="276">
        <f>'Design_&amp;_Technology_1'!I282</f>
        <v>813.61055335776064</v>
      </c>
      <c r="J21" s="276">
        <f>'Design_&amp;_Technology_1'!J282</f>
        <v>816.53291377257051</v>
      </c>
      <c r="K21" s="276">
        <f>'Design_&amp;_Technology_1'!K282</f>
        <v>821.65164552490205</v>
      </c>
      <c r="L21" s="276">
        <f>'Design_&amp;_Technology_1'!L282</f>
        <v>819.93799841456575</v>
      </c>
      <c r="M21" s="276">
        <f>'Design_&amp;_Technology_1'!M282</f>
        <v>814.73079587913821</v>
      </c>
      <c r="N21" s="276">
        <f>'Design_&amp;_Technology_1'!N282</f>
        <v>813.6687665518175</v>
      </c>
    </row>
    <row r="22" spans="2:14">
      <c r="B22" s="356" t="str">
        <f>Drama_1!B282</f>
        <v>Drama Wastage</v>
      </c>
      <c r="C22" s="276">
        <f>Drama_1!C282</f>
        <v>390.86352119356729</v>
      </c>
      <c r="D22" s="276">
        <f>Drama_1!D282</f>
        <v>390.21826957408985</v>
      </c>
      <c r="E22" s="276">
        <f>Drama_1!E282</f>
        <v>399.79781045893424</v>
      </c>
      <c r="F22" s="276">
        <f>Drama_1!F282</f>
        <v>405.93688656001018</v>
      </c>
      <c r="G22" s="276">
        <f>Drama_1!G282</f>
        <v>408.03855554091081</v>
      </c>
      <c r="H22" s="276">
        <f>Drama_1!H282</f>
        <v>408.4679768456607</v>
      </c>
      <c r="I22" s="276">
        <f>Drama_1!I282</f>
        <v>407.12457338156389</v>
      </c>
      <c r="J22" s="276">
        <f>Drama_1!J282</f>
        <v>408.75408073956135</v>
      </c>
      <c r="K22" s="276">
        <f>Drama_1!K282</f>
        <v>411.69720915206881</v>
      </c>
      <c r="L22" s="276">
        <f>Drama_1!L282</f>
        <v>411.33936920319752</v>
      </c>
      <c r="M22" s="276">
        <f>Drama_1!M282</f>
        <v>409.31053682429337</v>
      </c>
      <c r="N22" s="276">
        <f>Drama_1!N282</f>
        <v>409.17504946698847</v>
      </c>
    </row>
    <row r="23" spans="2:14">
      <c r="B23" s="356" t="str">
        <f>English_1!B282</f>
        <v>English Wastage</v>
      </c>
      <c r="C23" s="276">
        <f>English_1!C282</f>
        <v>2609.1720588073522</v>
      </c>
      <c r="D23" s="276">
        <f>English_1!D282</f>
        <v>2676.4848213743635</v>
      </c>
      <c r="E23" s="276">
        <f>English_1!E282</f>
        <v>2819.9444133791708</v>
      </c>
      <c r="F23" s="276">
        <f>English_1!F282</f>
        <v>2884.6989252228527</v>
      </c>
      <c r="G23" s="276">
        <f>English_1!G282</f>
        <v>2917.9950605542458</v>
      </c>
      <c r="H23" s="276">
        <f>English_1!H282</f>
        <v>2949.9101420007091</v>
      </c>
      <c r="I23" s="276">
        <f>English_1!I282</f>
        <v>2980.6269774913007</v>
      </c>
      <c r="J23" s="276">
        <f>English_1!J282</f>
        <v>3015.4375819472552</v>
      </c>
      <c r="K23" s="276">
        <f>English_1!K282</f>
        <v>3032.1333120760023</v>
      </c>
      <c r="L23" s="276">
        <f>English_1!L282</f>
        <v>3037.8267922451214</v>
      </c>
      <c r="M23" s="276">
        <f>English_1!M282</f>
        <v>3033.5746435226488</v>
      </c>
      <c r="N23" s="276">
        <f>English_1!N282</f>
        <v>3022.679717009501</v>
      </c>
    </row>
    <row r="24" spans="2:14">
      <c r="B24" s="356" t="str">
        <f>Food_1!B282</f>
        <v>Food Wastage</v>
      </c>
      <c r="C24" s="276">
        <f>Food_1!C282</f>
        <v>157.93620230488926</v>
      </c>
      <c r="D24" s="276">
        <f>Food_1!D282</f>
        <v>156.79720398123777</v>
      </c>
      <c r="E24" s="276">
        <f>Food_1!E282</f>
        <v>162.07843862789986</v>
      </c>
      <c r="F24" s="276">
        <f>Food_1!F282</f>
        <v>166.47494501548786</v>
      </c>
      <c r="G24" s="276">
        <f>Food_1!G282</f>
        <v>167.98750927613821</v>
      </c>
      <c r="H24" s="276">
        <f>Food_1!H282</f>
        <v>168.84469074452679</v>
      </c>
      <c r="I24" s="276">
        <f>Food_1!I282</f>
        <v>169.16969478319371</v>
      </c>
      <c r="J24" s="276">
        <f>Food_1!J282</f>
        <v>169.88053905049978</v>
      </c>
      <c r="K24" s="276">
        <f>Food_1!K282</f>
        <v>171.05858560668023</v>
      </c>
      <c r="L24" s="276">
        <f>Food_1!L282</f>
        <v>171.99430175919383</v>
      </c>
      <c r="M24" s="276">
        <f>Food_1!M282</f>
        <v>172.45953699377031</v>
      </c>
      <c r="N24" s="276">
        <f>Food_1!N282</f>
        <v>171.96541466206304</v>
      </c>
    </row>
    <row r="25" spans="2:14">
      <c r="B25" s="356" t="str">
        <f>Geography_1!B282</f>
        <v>Geography Wastage</v>
      </c>
      <c r="C25" s="276">
        <f>Geography_1!C282</f>
        <v>934.667089283633</v>
      </c>
      <c r="D25" s="276">
        <f>Geography_1!D282</f>
        <v>939.59319338477474</v>
      </c>
      <c r="E25" s="276">
        <f>Geography_1!E282</f>
        <v>976.84930246882459</v>
      </c>
      <c r="F25" s="276">
        <f>Geography_1!F282</f>
        <v>990.92874901644473</v>
      </c>
      <c r="G25" s="276">
        <f>Geography_1!G282</f>
        <v>1002.0475648164027</v>
      </c>
      <c r="H25" s="276">
        <f>Geography_1!H282</f>
        <v>1011.8329787806863</v>
      </c>
      <c r="I25" s="276">
        <f>Geography_1!I282</f>
        <v>1020.0972946701354</v>
      </c>
      <c r="J25" s="276">
        <f>Geography_1!J282</f>
        <v>1032.8514158645701</v>
      </c>
      <c r="K25" s="276">
        <f>Geography_1!K282</f>
        <v>1039.0946939026267</v>
      </c>
      <c r="L25" s="276">
        <f>Geography_1!L282</f>
        <v>1038.5685261479905</v>
      </c>
      <c r="M25" s="276">
        <f>Geography_1!M282</f>
        <v>1033.9724668347908</v>
      </c>
      <c r="N25" s="276">
        <f>Geography_1!N282</f>
        <v>1031.5151335875191</v>
      </c>
    </row>
    <row r="26" spans="2:14">
      <c r="B26" s="356" t="str">
        <f>History_1!B282</f>
        <v>History Wastage</v>
      </c>
      <c r="C26" s="276">
        <f>History_1!C282</f>
        <v>1000.662431270393</v>
      </c>
      <c r="D26" s="276">
        <f>History_1!D282</f>
        <v>1001.8628202280956</v>
      </c>
      <c r="E26" s="276">
        <f>History_1!E282</f>
        <v>1038.9476101227478</v>
      </c>
      <c r="F26" s="276">
        <f>History_1!F282</f>
        <v>1051.3535907368646</v>
      </c>
      <c r="G26" s="276">
        <f>History_1!G282</f>
        <v>1062.1631324193406</v>
      </c>
      <c r="H26" s="276">
        <f>History_1!H282</f>
        <v>1072.1770856772191</v>
      </c>
      <c r="I26" s="276">
        <f>History_1!I282</f>
        <v>1081.1787271332109</v>
      </c>
      <c r="J26" s="276">
        <f>History_1!J282</f>
        <v>1094.7928805415086</v>
      </c>
      <c r="K26" s="276">
        <f>History_1!K282</f>
        <v>1101.9825067934219</v>
      </c>
      <c r="L26" s="276">
        <f>History_1!L282</f>
        <v>1102.1607655806501</v>
      </c>
      <c r="M26" s="276">
        <f>History_1!M282</f>
        <v>1098.0876412483931</v>
      </c>
      <c r="N26" s="276">
        <f>History_1!N282</f>
        <v>1095.8804003032556</v>
      </c>
    </row>
    <row r="27" spans="2:14">
      <c r="B27" s="356" t="str">
        <f>Mathematics_1!B282</f>
        <v>Mathematics Wastage</v>
      </c>
      <c r="C27" s="276">
        <f>Mathematics_1!C282</f>
        <v>2960.3692980600567</v>
      </c>
      <c r="D27" s="276">
        <f>Mathematics_1!D282</f>
        <v>3036.9562807235816</v>
      </c>
      <c r="E27" s="276">
        <f>Mathematics_1!E282</f>
        <v>3192.8683364784933</v>
      </c>
      <c r="F27" s="276">
        <f>Mathematics_1!F282</f>
        <v>3255.6471280514188</v>
      </c>
      <c r="G27" s="276">
        <f>Mathematics_1!G282</f>
        <v>3292.5410347133447</v>
      </c>
      <c r="H27" s="276">
        <f>Mathematics_1!H282</f>
        <v>3328.5067978074176</v>
      </c>
      <c r="I27" s="276">
        <f>Mathematics_1!I282</f>
        <v>3364.1439078298381</v>
      </c>
      <c r="J27" s="276">
        <f>Mathematics_1!J282</f>
        <v>3405.5024042233977</v>
      </c>
      <c r="K27" s="276">
        <f>Mathematics_1!K282</f>
        <v>3427.8338939147729</v>
      </c>
      <c r="L27" s="276">
        <f>Mathematics_1!L282</f>
        <v>3435.7030873925632</v>
      </c>
      <c r="M27" s="276">
        <f>Mathematics_1!M282</f>
        <v>3432.0045394372937</v>
      </c>
      <c r="N27" s="276">
        <f>Mathematics_1!N282</f>
        <v>3422.4586393556133</v>
      </c>
    </row>
    <row r="28" spans="2:14">
      <c r="B28" s="356" t="str">
        <f>Modern_Foreign_Languages_1!B282</f>
        <v>Modern Foreign Languages Wastage</v>
      </c>
      <c r="C28" s="276">
        <f>Modern_Foreign_Languages_1!C282</f>
        <v>1259.3099524965305</v>
      </c>
      <c r="D28" s="276">
        <f>Modern_Foreign_Languages_1!D282</f>
        <v>1284.6101159754514</v>
      </c>
      <c r="E28" s="276">
        <f>Modern_Foreign_Languages_1!E282</f>
        <v>1376.9702787718634</v>
      </c>
      <c r="F28" s="276">
        <f>Modern_Foreign_Languages_1!F282</f>
        <v>1457.5412961061556</v>
      </c>
      <c r="G28" s="276">
        <f>Modern_Foreign_Languages_1!G282</f>
        <v>1531.793014999198</v>
      </c>
      <c r="H28" s="276">
        <f>Modern_Foreign_Languages_1!H282</f>
        <v>1617.6681968581029</v>
      </c>
      <c r="I28" s="276">
        <f>Modern_Foreign_Languages_1!I282</f>
        <v>1714.5212711293175</v>
      </c>
      <c r="J28" s="276">
        <f>Modern_Foreign_Languages_1!J282</f>
        <v>1801.9836234803508</v>
      </c>
      <c r="K28" s="276">
        <f>Modern_Foreign_Languages_1!K282</f>
        <v>1814.3636634633683</v>
      </c>
      <c r="L28" s="276">
        <f>Modern_Foreign_Languages_1!L282</f>
        <v>1811.4712725321126</v>
      </c>
      <c r="M28" s="276">
        <f>Modern_Foreign_Languages_1!M282</f>
        <v>1798.9351619376885</v>
      </c>
      <c r="N28" s="276">
        <f>Modern_Foreign_Languages_1!N282</f>
        <v>1790.0533122142174</v>
      </c>
    </row>
    <row r="29" spans="2:14">
      <c r="B29" s="356" t="str">
        <f>Music_1!B282</f>
        <v>Music Wastage</v>
      </c>
      <c r="C29" s="276">
        <f>Music_1!C282</f>
        <v>405.07637477354729</v>
      </c>
      <c r="D29" s="276">
        <f>Music_1!D282</f>
        <v>404.12518963318166</v>
      </c>
      <c r="E29" s="276">
        <f>Music_1!E282</f>
        <v>416.27191736990926</v>
      </c>
      <c r="F29" s="276">
        <f>Music_1!F282</f>
        <v>420.66017903126976</v>
      </c>
      <c r="G29" s="276">
        <f>Music_1!G282</f>
        <v>422.83610044246154</v>
      </c>
      <c r="H29" s="276">
        <f>Music_1!H282</f>
        <v>422.77561787223112</v>
      </c>
      <c r="I29" s="276">
        <f>Music_1!I282</f>
        <v>420.24920315071222</v>
      </c>
      <c r="J29" s="276">
        <f>Music_1!J282</f>
        <v>421.43014076071961</v>
      </c>
      <c r="K29" s="276">
        <f>Music_1!K282</f>
        <v>423.89685267888751</v>
      </c>
      <c r="L29" s="276">
        <f>Music_1!L282</f>
        <v>422.22325431593674</v>
      </c>
      <c r="M29" s="276">
        <f>Music_1!M282</f>
        <v>418.65718468284763</v>
      </c>
      <c r="N29" s="276">
        <f>Music_1!N282</f>
        <v>418.34999726171668</v>
      </c>
    </row>
    <row r="30" spans="2:14">
      <c r="B30" s="356" t="str">
        <f>Others_1!B282</f>
        <v>Others Wastage</v>
      </c>
      <c r="C30" s="276">
        <f>Others_1!C282</f>
        <v>1109.6047093651628</v>
      </c>
      <c r="D30" s="276">
        <f>Others_1!D282</f>
        <v>1075.5475565518041</v>
      </c>
      <c r="E30" s="276">
        <f>Others_1!E282</f>
        <v>1085.3936731521608</v>
      </c>
      <c r="F30" s="276">
        <f>Others_1!F282</f>
        <v>1080.3408037904458</v>
      </c>
      <c r="G30" s="276">
        <f>Others_1!G282</f>
        <v>1083.5332960410637</v>
      </c>
      <c r="H30" s="276">
        <f>Others_1!H282</f>
        <v>1089.34453669355</v>
      </c>
      <c r="I30" s="276">
        <f>Others_1!I282</f>
        <v>1098.7322635913429</v>
      </c>
      <c r="J30" s="276">
        <f>Others_1!J282</f>
        <v>1112.6225608706741</v>
      </c>
      <c r="K30" s="276">
        <f>Others_1!K282</f>
        <v>1132.7572380059169</v>
      </c>
      <c r="L30" s="276">
        <f>Others_1!L282</f>
        <v>1146.2211481724507</v>
      </c>
      <c r="M30" s="276">
        <f>Others_1!M282</f>
        <v>1155.8937079591999</v>
      </c>
      <c r="N30" s="276">
        <f>Others_1!N282</f>
        <v>1163.4453670565451</v>
      </c>
    </row>
    <row r="31" spans="2:14">
      <c r="B31" s="356" t="str">
        <f>Physical_Education_1!B282</f>
        <v>Physical Education Wastage</v>
      </c>
      <c r="C31" s="276">
        <f>Physical_Education_1!C282</f>
        <v>1355.7700776184997</v>
      </c>
      <c r="D31" s="276">
        <f>Physical_Education_1!D282</f>
        <v>1318.1965158703015</v>
      </c>
      <c r="E31" s="276">
        <f>Physical_Education_1!E282</f>
        <v>1359.5321417745731</v>
      </c>
      <c r="F31" s="276">
        <f>Physical_Education_1!F282</f>
        <v>1368.9173895744609</v>
      </c>
      <c r="G31" s="276">
        <f>Physical_Education_1!G282</f>
        <v>1375.0673874572203</v>
      </c>
      <c r="H31" s="276">
        <f>Physical_Education_1!H282</f>
        <v>1376.3638060943447</v>
      </c>
      <c r="I31" s="276">
        <f>Physical_Education_1!I282</f>
        <v>1372.6778037223755</v>
      </c>
      <c r="J31" s="276">
        <f>Physical_Education_1!J282</f>
        <v>1376.6000603452628</v>
      </c>
      <c r="K31" s="276">
        <f>Physical_Education_1!K282</f>
        <v>1384.8027212835384</v>
      </c>
      <c r="L31" s="276">
        <f>Physical_Education_1!L282</f>
        <v>1386.2170782876597</v>
      </c>
      <c r="M31" s="276">
        <f>Physical_Education_1!M282</f>
        <v>1382.9426255935955</v>
      </c>
      <c r="N31" s="276">
        <f>Physical_Education_1!N282</f>
        <v>1380.0305243959858</v>
      </c>
    </row>
    <row r="32" spans="2:14">
      <c r="B32" s="356" t="str">
        <f>Physics_1!B282</f>
        <v>Physics Wastage</v>
      </c>
      <c r="C32" s="276">
        <f>Physics_1!C282</f>
        <v>1012.8930527338358</v>
      </c>
      <c r="D32" s="276">
        <f>Physics_1!D282</f>
        <v>1043.7172579265816</v>
      </c>
      <c r="E32" s="276">
        <f>Physics_1!E282</f>
        <v>1095.5643539563871</v>
      </c>
      <c r="F32" s="276">
        <f>Physics_1!F282</f>
        <v>1105.0738793156775</v>
      </c>
      <c r="G32" s="276">
        <f>Physics_1!G282</f>
        <v>1118.9359721182486</v>
      </c>
      <c r="H32" s="276">
        <f>Physics_1!H282</f>
        <v>1133.5551217305185</v>
      </c>
      <c r="I32" s="276">
        <f>Physics_1!I282</f>
        <v>1149.4524801628663</v>
      </c>
      <c r="J32" s="276">
        <f>Physics_1!J282</f>
        <v>1164.2311630704985</v>
      </c>
      <c r="K32" s="276">
        <f>Physics_1!K282</f>
        <v>1173.1640213751166</v>
      </c>
      <c r="L32" s="276">
        <f>Physics_1!L282</f>
        <v>1179.5896224288501</v>
      </c>
      <c r="M32" s="276">
        <f>Physics_1!M282</f>
        <v>1182.5003407690588</v>
      </c>
      <c r="N32" s="276">
        <f>Physics_1!N282</f>
        <v>1179.0704270897811</v>
      </c>
    </row>
    <row r="33" spans="2:14">
      <c r="B33" s="356" t="str">
        <f>Religious_Education_1!B282</f>
        <v>Religious Education Wastage</v>
      </c>
      <c r="C33" s="276">
        <f>Religious_Education_1!C282</f>
        <v>592.85262233505023</v>
      </c>
      <c r="D33" s="276">
        <f>Religious_Education_1!D282</f>
        <v>587.47914704882464</v>
      </c>
      <c r="E33" s="276">
        <f>Religious_Education_1!E282</f>
        <v>603.92281577653887</v>
      </c>
      <c r="F33" s="276">
        <f>Religious_Education_1!F282</f>
        <v>612.27257959815893</v>
      </c>
      <c r="G33" s="276">
        <f>Religious_Education_1!G282</f>
        <v>615.38330856267817</v>
      </c>
      <c r="H33" s="276">
        <f>Religious_Education_1!H282</f>
        <v>616.22883436172128</v>
      </c>
      <c r="I33" s="276">
        <f>Religious_Education_1!I282</f>
        <v>614.86186356678218</v>
      </c>
      <c r="J33" s="276">
        <f>Religious_Education_1!J282</f>
        <v>616.92804041862496</v>
      </c>
      <c r="K33" s="276">
        <f>Religious_Education_1!K282</f>
        <v>620.99714256503728</v>
      </c>
      <c r="L33" s="276">
        <f>Religious_Education_1!L282</f>
        <v>621.73678627264508</v>
      </c>
      <c r="M33" s="276">
        <f>Religious_Education_1!M282</f>
        <v>620.33221820198105</v>
      </c>
      <c r="N33" s="276">
        <f>Religious_Education_1!N282</f>
        <v>619.40374426842448</v>
      </c>
    </row>
    <row r="34" spans="2:14">
      <c r="B34" s="319" t="s">
        <v>328</v>
      </c>
      <c r="C34" s="319">
        <f>SUM(C14:C33)</f>
        <v>37943.043454087587</v>
      </c>
      <c r="D34" s="319">
        <f t="shared" ref="D34:N34" si="0">SUM(D14:D33)</f>
        <v>38323.647879968754</v>
      </c>
      <c r="E34" s="319">
        <f t="shared" si="0"/>
        <v>39603.920580984275</v>
      </c>
      <c r="F34" s="319">
        <f t="shared" si="0"/>
        <v>40143.404261956333</v>
      </c>
      <c r="G34" s="319">
        <f t="shared" si="0"/>
        <v>40442.525269732592</v>
      </c>
      <c r="H34" s="319">
        <f t="shared" si="0"/>
        <v>40710.689431089377</v>
      </c>
      <c r="I34" s="319">
        <f t="shared" si="0"/>
        <v>40948.282885699096</v>
      </c>
      <c r="J34" s="319">
        <f t="shared" si="0"/>
        <v>41203.742988912425</v>
      </c>
      <c r="K34" s="319">
        <f t="shared" si="0"/>
        <v>41395.187582480903</v>
      </c>
      <c r="L34" s="319">
        <f t="shared" si="0"/>
        <v>41519.25463973415</v>
      </c>
      <c r="M34" s="319">
        <f t="shared" si="0"/>
        <v>41570.204007329572</v>
      </c>
      <c r="N34" s="319">
        <f t="shared" si="0"/>
        <v>41586.393215473923</v>
      </c>
    </row>
    <row r="35" spans="2:14">
      <c r="B35" s="319" t="s">
        <v>1672</v>
      </c>
      <c r="C35" s="319">
        <f t="shared" ref="C35:N35" si="1">C34-C14</f>
        <v>18382.150982840871</v>
      </c>
      <c r="D35" s="319">
        <f t="shared" si="1"/>
        <v>18540.151584610947</v>
      </c>
      <c r="E35" s="319">
        <f t="shared" si="1"/>
        <v>19317.500651501017</v>
      </c>
      <c r="F35" s="319">
        <f t="shared" si="1"/>
        <v>19651.692463243551</v>
      </c>
      <c r="G35" s="319">
        <f t="shared" si="1"/>
        <v>19896.654552257169</v>
      </c>
      <c r="H35" s="319">
        <f t="shared" si="1"/>
        <v>20134.326520098086</v>
      </c>
      <c r="I35" s="319">
        <f t="shared" si="1"/>
        <v>20367.453817981401</v>
      </c>
      <c r="J35" s="319">
        <f t="shared" si="1"/>
        <v>20644.773188643911</v>
      </c>
      <c r="K35" s="319">
        <f t="shared" si="1"/>
        <v>20803.961320050534</v>
      </c>
      <c r="L35" s="319">
        <f t="shared" si="1"/>
        <v>20858.073211060229</v>
      </c>
      <c r="M35" s="319">
        <f t="shared" si="1"/>
        <v>20837.037863801575</v>
      </c>
      <c r="N35" s="319">
        <f t="shared" si="1"/>
        <v>20799.324131730333</v>
      </c>
    </row>
    <row r="36" spans="2:14">
      <c r="B36" s="372"/>
      <c r="C36" s="372"/>
      <c r="D36" s="372"/>
      <c r="E36" s="372"/>
      <c r="F36" s="372"/>
      <c r="G36" s="372"/>
      <c r="H36" s="372"/>
      <c r="I36" s="372"/>
      <c r="J36" s="372"/>
      <c r="K36" s="372"/>
      <c r="L36" s="372"/>
      <c r="M36" s="372"/>
      <c r="N36" s="372"/>
    </row>
  </sheetData>
  <mergeCells count="1">
    <mergeCell ref="A5:L5"/>
  </mergeCells>
  <hyperlinks>
    <hyperlink ref="A2" location="'Title_&amp;_Contents'!A1" display="Contents"/>
    <hyperlink ref="B2" location="Map_of_sheets!A1" display="Map of shee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Q36"/>
  <sheetViews>
    <sheetView showGridLines="0" workbookViewId="0"/>
  </sheetViews>
  <sheetFormatPr defaultColWidth="9.140625" defaultRowHeight="12.75"/>
  <cols>
    <col min="1" max="1" width="9.140625" style="302"/>
    <col min="2" max="2" width="32.7109375" style="302" customWidth="1"/>
    <col min="3" max="14" width="10.7109375" style="302" customWidth="1"/>
    <col min="15" max="16384" width="9.140625" style="302"/>
  </cols>
  <sheetData>
    <row r="1" spans="1:17" s="337" customFormat="1" ht="15">
      <c r="A1" s="336" t="str">
        <f>ModelBanner</f>
        <v>TSM_201819 Publication</v>
      </c>
    </row>
    <row r="2" spans="1:17" s="337" customFormat="1" ht="15">
      <c r="A2" s="940" t="s">
        <v>13</v>
      </c>
      <c r="B2" s="940" t="s">
        <v>30</v>
      </c>
    </row>
    <row r="3" spans="1:17" s="337" customFormat="1" ht="15">
      <c r="A3" s="338"/>
    </row>
    <row r="4" spans="1:17" s="341" customFormat="1" ht="15">
      <c r="A4" s="339" t="s">
        <v>26</v>
      </c>
      <c r="B4" s="339"/>
      <c r="E4" s="337"/>
    </row>
    <row r="5" spans="1:17" s="343" customFormat="1" ht="13.15" customHeight="1">
      <c r="A5" s="682" t="s">
        <v>360</v>
      </c>
      <c r="B5" s="682"/>
      <c r="C5" s="682"/>
      <c r="D5" s="682"/>
      <c r="E5" s="682"/>
      <c r="F5" s="682"/>
      <c r="G5" s="682"/>
      <c r="H5" s="682"/>
      <c r="I5" s="682"/>
      <c r="J5" s="682"/>
      <c r="K5" s="682"/>
      <c r="L5" s="682"/>
      <c r="M5" s="342"/>
      <c r="N5" s="342"/>
      <c r="O5" s="342"/>
      <c r="P5" s="342"/>
      <c r="Q5" s="342"/>
    </row>
    <row r="6" spans="1:17" s="347" customFormat="1" ht="13.5" customHeight="1">
      <c r="A6" s="344" t="s">
        <v>1392</v>
      </c>
      <c r="B6" s="345"/>
      <c r="C6" s="345"/>
      <c r="D6" s="345"/>
      <c r="E6" s="340"/>
      <c r="F6" s="345"/>
      <c r="G6" s="345"/>
      <c r="H6" s="345"/>
      <c r="I6" s="345"/>
      <c r="J6" s="345"/>
      <c r="K6" s="345"/>
      <c r="L6" s="345"/>
      <c r="M6" s="346"/>
      <c r="N6" s="346"/>
      <c r="O6" s="346"/>
      <c r="P6" s="346"/>
      <c r="Q6" s="346"/>
    </row>
    <row r="7" spans="1:17" s="347" customFormat="1" ht="12" customHeight="1">
      <c r="A7" s="348" t="s">
        <v>349</v>
      </c>
      <c r="B7" s="344"/>
      <c r="C7" s="345"/>
      <c r="D7" s="345"/>
      <c r="E7" s="340"/>
      <c r="F7" s="345"/>
      <c r="G7" s="345"/>
      <c r="H7" s="345"/>
      <c r="I7" s="345"/>
      <c r="J7" s="345"/>
      <c r="K7" s="345"/>
      <c r="L7" s="345"/>
      <c r="M7" s="346"/>
      <c r="N7" s="346"/>
      <c r="O7" s="346"/>
      <c r="P7" s="346"/>
      <c r="Q7" s="346"/>
    </row>
    <row r="8" spans="1:17" s="347" customFormat="1">
      <c r="A8" s="344" t="s">
        <v>24</v>
      </c>
      <c r="B8" s="345"/>
      <c r="C8" s="345"/>
      <c r="D8" s="345"/>
      <c r="E8" s="340"/>
      <c r="F8" s="345"/>
      <c r="G8" s="345"/>
      <c r="H8" s="345"/>
      <c r="I8" s="345"/>
      <c r="J8" s="345"/>
      <c r="K8" s="345"/>
      <c r="L8" s="345"/>
      <c r="M8" s="346"/>
      <c r="N8" s="346"/>
      <c r="O8" s="346"/>
      <c r="P8" s="346"/>
      <c r="Q8" s="346"/>
    </row>
    <row r="9" spans="1:17" s="347" customFormat="1" ht="15">
      <c r="A9" s="348" t="s">
        <v>124</v>
      </c>
      <c r="B9" s="345"/>
      <c r="C9" s="346"/>
      <c r="D9" s="346"/>
      <c r="E9" s="337"/>
      <c r="F9" s="346"/>
      <c r="G9" s="346"/>
      <c r="H9" s="346"/>
      <c r="I9" s="346"/>
      <c r="J9" s="346"/>
      <c r="K9" s="346"/>
      <c r="L9" s="346"/>
      <c r="M9" s="346"/>
      <c r="N9" s="346"/>
      <c r="O9" s="346"/>
      <c r="P9" s="346"/>
      <c r="Q9" s="346"/>
    </row>
    <row r="10" spans="1:17" s="355" customFormat="1">
      <c r="A10" s="349">
        <f>SUM(A13:A2219)</f>
        <v>0</v>
      </c>
      <c r="B10" s="350"/>
      <c r="C10" s="351"/>
      <c r="D10" s="352"/>
      <c r="E10" s="352"/>
      <c r="F10" s="352"/>
      <c r="G10" s="353"/>
      <c r="H10" s="352"/>
      <c r="I10" s="352"/>
      <c r="J10" s="353"/>
      <c r="K10" s="354"/>
      <c r="L10" s="354"/>
      <c r="M10" s="354"/>
      <c r="N10" s="354"/>
      <c r="O10" s="354"/>
      <c r="P10" s="354"/>
      <c r="Q10" s="354"/>
    </row>
    <row r="13" spans="1:17">
      <c r="B13" s="356"/>
      <c r="C13" s="356" t="str">
        <f>'Art_&amp;_Design_1'!C293</f>
        <v>2017/18</v>
      </c>
      <c r="D13" s="356" t="str">
        <f>'Art_&amp;_Design_1'!D293</f>
        <v>2018/19</v>
      </c>
      <c r="E13" s="356" t="str">
        <f>'Art_&amp;_Design_1'!E293</f>
        <v>2019/20</v>
      </c>
      <c r="F13" s="356" t="str">
        <f>'Art_&amp;_Design_1'!F293</f>
        <v>2020/21</v>
      </c>
      <c r="G13" s="356" t="str">
        <f>'Art_&amp;_Design_1'!G293</f>
        <v>2021/22</v>
      </c>
      <c r="H13" s="356" t="str">
        <f>'Art_&amp;_Design_1'!H293</f>
        <v>2022/23</v>
      </c>
      <c r="I13" s="356" t="str">
        <f>'Art_&amp;_Design_1'!I293</f>
        <v>2023/24</v>
      </c>
      <c r="J13" s="356" t="str">
        <f>'Art_&amp;_Design_1'!J293</f>
        <v>2024/25</v>
      </c>
      <c r="K13" s="356" t="str">
        <f>'Art_&amp;_Design_1'!K293</f>
        <v>2025/26</v>
      </c>
      <c r="L13" s="356" t="str">
        <f>'Art_&amp;_Design_1'!L293</f>
        <v>2026/27</v>
      </c>
      <c r="M13" s="356" t="str">
        <f>'Art_&amp;_Design_1'!M293</f>
        <v>2027/28</v>
      </c>
      <c r="N13" s="356" t="str">
        <f>'Art_&amp;_Design_1'!N293</f>
        <v>2028/29</v>
      </c>
    </row>
    <row r="14" spans="1:17">
      <c r="B14" s="373" t="str">
        <f>Primary_1!B280</f>
        <v>Primary Retirements</v>
      </c>
      <c r="C14" s="276">
        <f>Primary_1!C280</f>
        <v>5769.3880036971213</v>
      </c>
      <c r="D14" s="276">
        <f>Primary_1!D280</f>
        <v>5579.5713608204587</v>
      </c>
      <c r="E14" s="276">
        <f>Primary_1!E280</f>
        <v>5403.2559156435054</v>
      </c>
      <c r="F14" s="276">
        <f>Primary_1!F280</f>
        <v>5253.0354177965819</v>
      </c>
      <c r="G14" s="276">
        <f>Primary_1!G280</f>
        <v>5139.6336606845225</v>
      </c>
      <c r="H14" s="276">
        <f>Primary_1!H280</f>
        <v>5054.6192540728553</v>
      </c>
      <c r="I14" s="276">
        <f>Primary_1!I280</f>
        <v>4991.6192821778568</v>
      </c>
      <c r="J14" s="276">
        <f>Primary_1!J280</f>
        <v>4944.7870500405879</v>
      </c>
      <c r="K14" s="276">
        <f>Primary_1!K280</f>
        <v>4919.666483332453</v>
      </c>
      <c r="L14" s="276">
        <f>Primary_1!L280</f>
        <v>4909.9022167811527</v>
      </c>
      <c r="M14" s="276">
        <f>Primary_1!M280</f>
        <v>4907.5858854310209</v>
      </c>
      <c r="N14" s="276">
        <f>Primary_1!N280</f>
        <v>4907.6840118537821</v>
      </c>
    </row>
    <row r="15" spans="1:17">
      <c r="B15" s="356" t="str">
        <f>'Art_&amp;_Design_1'!B280</f>
        <v>Art &amp; Design Retirements</v>
      </c>
      <c r="C15" s="276">
        <f>'Art_&amp;_Design_1'!C280</f>
        <v>224.59549124423935</v>
      </c>
      <c r="D15" s="276">
        <f>'Art_&amp;_Design_1'!D280</f>
        <v>219.59956850758496</v>
      </c>
      <c r="E15" s="276">
        <f>'Art_&amp;_Design_1'!E280</f>
        <v>215.90020803041051</v>
      </c>
      <c r="F15" s="276">
        <f>'Art_&amp;_Design_1'!F280</f>
        <v>213.09616227326393</v>
      </c>
      <c r="G15" s="276">
        <f>'Art_&amp;_Design_1'!G280</f>
        <v>210.38318831247489</v>
      </c>
      <c r="H15" s="276">
        <f>'Art_&amp;_Design_1'!H280</f>
        <v>207.64681962882742</v>
      </c>
      <c r="I15" s="276">
        <f>'Art_&amp;_Design_1'!I280</f>
        <v>204.80131227480967</v>
      </c>
      <c r="J15" s="276">
        <f>'Art_&amp;_Design_1'!J280</f>
        <v>202.96167210700941</v>
      </c>
      <c r="K15" s="276">
        <f>'Art_&amp;_Design_1'!K280</f>
        <v>201.65960389178724</v>
      </c>
      <c r="L15" s="276">
        <f>'Art_&amp;_Design_1'!L280</f>
        <v>199.52992893780299</v>
      </c>
      <c r="M15" s="276">
        <f>'Art_&amp;_Design_1'!M280</f>
        <v>196.97299333566235</v>
      </c>
      <c r="N15" s="276">
        <f>'Art_&amp;_Design_1'!N280</f>
        <v>194.81525555691721</v>
      </c>
    </row>
    <row r="16" spans="1:17">
      <c r="B16" s="356" t="str">
        <f>Biology_1!B280</f>
        <v>Biology Retirements</v>
      </c>
      <c r="C16" s="276">
        <f>Biology_1!C280</f>
        <v>268.68391891985027</v>
      </c>
      <c r="D16" s="276">
        <f>Biology_1!D280</f>
        <v>266.81229042562626</v>
      </c>
      <c r="E16" s="276">
        <f>Biology_1!E280</f>
        <v>262.88828272775879</v>
      </c>
      <c r="F16" s="276">
        <f>Biology_1!F280</f>
        <v>261.18200704451749</v>
      </c>
      <c r="G16" s="276">
        <f>Biology_1!G280</f>
        <v>261.46424120853914</v>
      </c>
      <c r="H16" s="276">
        <f>Biology_1!H280</f>
        <v>263.68284430660208</v>
      </c>
      <c r="I16" s="276">
        <f>Biology_1!I280</f>
        <v>267.32486700188701</v>
      </c>
      <c r="J16" s="276">
        <f>Biology_1!J280</f>
        <v>271.70428200222648</v>
      </c>
      <c r="K16" s="276">
        <f>Biology_1!K280</f>
        <v>275.51879908157292</v>
      </c>
      <c r="L16" s="276">
        <f>Biology_1!L280</f>
        <v>278.75999958657741</v>
      </c>
      <c r="M16" s="276">
        <f>Biology_1!M280</f>
        <v>281.25175641661025</v>
      </c>
      <c r="N16" s="276">
        <f>Biology_1!N280</f>
        <v>282.74524137685171</v>
      </c>
    </row>
    <row r="17" spans="2:14">
      <c r="B17" s="356" t="str">
        <f>Business_Studies_1!B280</f>
        <v>Business Studies Retirements</v>
      </c>
      <c r="C17" s="276">
        <f>Business_Studies_1!C280</f>
        <v>102.17735341936826</v>
      </c>
      <c r="D17" s="276">
        <f>Business_Studies_1!D280</f>
        <v>100.31874949342904</v>
      </c>
      <c r="E17" s="276">
        <f>Business_Studies_1!E280</f>
        <v>98.928324490165863</v>
      </c>
      <c r="F17" s="276">
        <f>Business_Studies_1!F280</f>
        <v>97.486397567959841</v>
      </c>
      <c r="G17" s="276">
        <f>Business_Studies_1!G280</f>
        <v>96.602703032399774</v>
      </c>
      <c r="H17" s="276">
        <f>Business_Studies_1!H280</f>
        <v>95.984961102104805</v>
      </c>
      <c r="I17" s="276">
        <f>Business_Studies_1!I280</f>
        <v>95.760580302552853</v>
      </c>
      <c r="J17" s="276">
        <f>Business_Studies_1!J280</f>
        <v>95.605965356527676</v>
      </c>
      <c r="K17" s="276">
        <f>Business_Studies_1!K280</f>
        <v>95.816600561066963</v>
      </c>
      <c r="L17" s="276">
        <f>Business_Studies_1!L280</f>
        <v>95.977842451674832</v>
      </c>
      <c r="M17" s="276">
        <f>Business_Studies_1!M280</f>
        <v>96.017946533862641</v>
      </c>
      <c r="N17" s="276">
        <f>Business_Studies_1!N280</f>
        <v>95.509166992513087</v>
      </c>
    </row>
    <row r="18" spans="2:14">
      <c r="B18" s="356" t="str">
        <f>Chemistry_1!B280</f>
        <v>Chemistry Retirements</v>
      </c>
      <c r="C18" s="276">
        <f>Chemistry_1!C280</f>
        <v>273.94019946751246</v>
      </c>
      <c r="D18" s="276">
        <f>Chemistry_1!D280</f>
        <v>272.2080712647446</v>
      </c>
      <c r="E18" s="276">
        <f>Chemistry_1!E280</f>
        <v>267.31589532157477</v>
      </c>
      <c r="F18" s="276">
        <f>Chemistry_1!F280</f>
        <v>262.83298181452346</v>
      </c>
      <c r="G18" s="276">
        <f>Chemistry_1!G280</f>
        <v>259.3430664900028</v>
      </c>
      <c r="H18" s="276">
        <f>Chemistry_1!H280</f>
        <v>257.21811847026174</v>
      </c>
      <c r="I18" s="276">
        <f>Chemistry_1!I280</f>
        <v>256.34789054754299</v>
      </c>
      <c r="J18" s="276">
        <f>Chemistry_1!J280</f>
        <v>256.13713912738478</v>
      </c>
      <c r="K18" s="276">
        <f>Chemistry_1!K280</f>
        <v>255.78384096333849</v>
      </c>
      <c r="L18" s="276">
        <f>Chemistry_1!L280</f>
        <v>255.52493133002514</v>
      </c>
      <c r="M18" s="276">
        <f>Chemistry_1!M280</f>
        <v>255.13030274301536</v>
      </c>
      <c r="N18" s="276">
        <f>Chemistry_1!N280</f>
        <v>254.11526527005088</v>
      </c>
    </row>
    <row r="19" spans="2:14">
      <c r="B19" s="356" t="str">
        <f>Classics_1!B280</f>
        <v>Classics Retirements</v>
      </c>
      <c r="C19" s="276">
        <f>Classics_1!C280</f>
        <v>16.070459308069804</v>
      </c>
      <c r="D19" s="276">
        <f>Classics_1!D280</f>
        <v>13.394628080634249</v>
      </c>
      <c r="E19" s="276">
        <f>Classics_1!E280</f>
        <v>11.485031735709498</v>
      </c>
      <c r="F19" s="276">
        <f>Classics_1!F280</f>
        <v>10.111041382276969</v>
      </c>
      <c r="G19" s="276">
        <f>Classics_1!G280</f>
        <v>9.1552576915941941</v>
      </c>
      <c r="H19" s="276">
        <f>Classics_1!H280</f>
        <v>8.4935682751488351</v>
      </c>
      <c r="I19" s="276">
        <f>Classics_1!I280</f>
        <v>8.0500082033263034</v>
      </c>
      <c r="J19" s="276">
        <f>Classics_1!J280</f>
        <v>7.7695871787026665</v>
      </c>
      <c r="K19" s="276">
        <f>Classics_1!K280</f>
        <v>7.586629495617859</v>
      </c>
      <c r="L19" s="276">
        <f>Classics_1!L280</f>
        <v>7.4509912383998724</v>
      </c>
      <c r="M19" s="276">
        <f>Classics_1!M280</f>
        <v>7.3533242692161673</v>
      </c>
      <c r="N19" s="276">
        <f>Classics_1!N280</f>
        <v>7.2935596917707679</v>
      </c>
    </row>
    <row r="20" spans="2:14">
      <c r="B20" s="356" t="str">
        <f>Computing_1!B280</f>
        <v>Computing Retirements</v>
      </c>
      <c r="C20" s="276">
        <f>Computing_1!C280</f>
        <v>178.59411482869638</v>
      </c>
      <c r="D20" s="276">
        <f>Computing_1!D280</f>
        <v>175.49333407048334</v>
      </c>
      <c r="E20" s="276">
        <f>Computing_1!E280</f>
        <v>172.91494064879419</v>
      </c>
      <c r="F20" s="276">
        <f>Computing_1!F280</f>
        <v>170.59861650587317</v>
      </c>
      <c r="G20" s="276">
        <f>Computing_1!G280</f>
        <v>168.34893514035724</v>
      </c>
      <c r="H20" s="276">
        <f>Computing_1!H280</f>
        <v>166.23828230236117</v>
      </c>
      <c r="I20" s="276">
        <f>Computing_1!I280</f>
        <v>164.28469958529132</v>
      </c>
      <c r="J20" s="276">
        <f>Computing_1!J280</f>
        <v>163.23603119839927</v>
      </c>
      <c r="K20" s="276">
        <f>Computing_1!K280</f>
        <v>162.81407475285187</v>
      </c>
      <c r="L20" s="276">
        <f>Computing_1!L280</f>
        <v>161.96691920351367</v>
      </c>
      <c r="M20" s="276">
        <f>Computing_1!M280</f>
        <v>160.85445045334166</v>
      </c>
      <c r="N20" s="276">
        <f>Computing_1!N280</f>
        <v>159.82524537088784</v>
      </c>
    </row>
    <row r="21" spans="2:14">
      <c r="B21" s="356" t="str">
        <f>'Design_&amp;_Technology_1'!B280</f>
        <v>Design &amp; Technology Retirements</v>
      </c>
      <c r="C21" s="276">
        <f>'Design_&amp;_Technology_1'!C280</f>
        <v>379.64010623066986</v>
      </c>
      <c r="D21" s="276">
        <f>'Design_&amp;_Technology_1'!D280</f>
        <v>355.88892620205604</v>
      </c>
      <c r="E21" s="276">
        <f>'Design_&amp;_Technology_1'!E280</f>
        <v>333.63545710839162</v>
      </c>
      <c r="F21" s="276">
        <f>'Design_&amp;_Technology_1'!F280</f>
        <v>314.33591419229799</v>
      </c>
      <c r="G21" s="276">
        <f>'Design_&amp;_Technology_1'!G280</f>
        <v>297.24238717852552</v>
      </c>
      <c r="H21" s="276">
        <f>'Design_&amp;_Technology_1'!H280</f>
        <v>282.33988304551758</v>
      </c>
      <c r="I21" s="276">
        <f>'Design_&amp;_Technology_1'!I280</f>
        <v>269.25805013297651</v>
      </c>
      <c r="J21" s="276">
        <f>'Design_&amp;_Technology_1'!J280</f>
        <v>259.53814788545066</v>
      </c>
      <c r="K21" s="276">
        <f>'Design_&amp;_Technology_1'!K280</f>
        <v>252.06845435276074</v>
      </c>
      <c r="L21" s="276">
        <f>'Design_&amp;_Technology_1'!L280</f>
        <v>244.8347890807178</v>
      </c>
      <c r="M21" s="276">
        <f>'Design_&amp;_Technology_1'!M280</f>
        <v>238.18926620975918</v>
      </c>
      <c r="N21" s="276">
        <f>'Design_&amp;_Technology_1'!N280</f>
        <v>233.30227470330715</v>
      </c>
    </row>
    <row r="22" spans="2:14">
      <c r="B22" s="356" t="str">
        <f>Drama_1!B280</f>
        <v>Drama Retirements</v>
      </c>
      <c r="C22" s="276">
        <f>Drama_1!C280</f>
        <v>95.140433357687414</v>
      </c>
      <c r="D22" s="276">
        <f>Drama_1!D280</f>
        <v>92.798229583339634</v>
      </c>
      <c r="E22" s="276">
        <f>Drama_1!E280</f>
        <v>91.583402958061043</v>
      </c>
      <c r="F22" s="276">
        <f>Drama_1!F280</f>
        <v>91.712460360670434</v>
      </c>
      <c r="G22" s="276">
        <f>Drama_1!G280</f>
        <v>92.392568522322918</v>
      </c>
      <c r="H22" s="276">
        <f>Drama_1!H280</f>
        <v>93.41657249656086</v>
      </c>
      <c r="I22" s="276">
        <f>Drama_1!I280</f>
        <v>94.576276547723523</v>
      </c>
      <c r="J22" s="276">
        <f>Drama_1!J280</f>
        <v>96.538161606343706</v>
      </c>
      <c r="K22" s="276">
        <f>Drama_1!K280</f>
        <v>98.825219282653961</v>
      </c>
      <c r="L22" s="276">
        <f>Drama_1!L280</f>
        <v>100.47666138270198</v>
      </c>
      <c r="M22" s="276">
        <f>Drama_1!M280</f>
        <v>101.70396199968455</v>
      </c>
      <c r="N22" s="276">
        <f>Drama_1!N280</f>
        <v>103.08413767795336</v>
      </c>
    </row>
    <row r="23" spans="2:14">
      <c r="B23" s="356" t="str">
        <f>English_1!B280</f>
        <v>English Retirements</v>
      </c>
      <c r="C23" s="276">
        <f>English_1!C280</f>
        <v>748.23515596602419</v>
      </c>
      <c r="D23" s="276">
        <f>English_1!D280</f>
        <v>732.72540825006297</v>
      </c>
      <c r="E23" s="276">
        <f>English_1!E280</f>
        <v>722.96779160425012</v>
      </c>
      <c r="F23" s="276">
        <f>English_1!F280</f>
        <v>712.17027888135476</v>
      </c>
      <c r="G23" s="276">
        <f>English_1!G280</f>
        <v>705.40424257837071</v>
      </c>
      <c r="H23" s="276">
        <f>English_1!H280</f>
        <v>703.73540695976226</v>
      </c>
      <c r="I23" s="276">
        <f>English_1!I280</f>
        <v>706.0255322385583</v>
      </c>
      <c r="J23" s="276">
        <f>English_1!J280</f>
        <v>712.01305211227236</v>
      </c>
      <c r="K23" s="276">
        <f>English_1!K280</f>
        <v>717.10870029302896</v>
      </c>
      <c r="L23" s="276">
        <f>English_1!L280</f>
        <v>721.73141145839008</v>
      </c>
      <c r="M23" s="276">
        <f>English_1!M280</f>
        <v>725.44397898278214</v>
      </c>
      <c r="N23" s="276">
        <f>English_1!N280</f>
        <v>728.32090911872911</v>
      </c>
    </row>
    <row r="24" spans="2:14">
      <c r="B24" s="356" t="str">
        <f>Food_1!B280</f>
        <v>Food Retirements</v>
      </c>
      <c r="C24" s="276">
        <f>Food_1!C280</f>
        <v>93.914202462538697</v>
      </c>
      <c r="D24" s="276">
        <f>Food_1!D280</f>
        <v>85.746379068320849</v>
      </c>
      <c r="E24" s="276">
        <f>Food_1!E280</f>
        <v>78.725636069574207</v>
      </c>
      <c r="F24" s="276">
        <f>Food_1!F280</f>
        <v>72.610875802353092</v>
      </c>
      <c r="G24" s="276">
        <f>Food_1!G280</f>
        <v>67.212521023659804</v>
      </c>
      <c r="H24" s="276">
        <f>Food_1!H280</f>
        <v>62.631661759810825</v>
      </c>
      <c r="I24" s="276">
        <f>Food_1!I280</f>
        <v>58.774802363543614</v>
      </c>
      <c r="J24" s="276">
        <f>Food_1!J280</f>
        <v>55.679125442574829</v>
      </c>
      <c r="K24" s="276">
        <f>Food_1!K280</f>
        <v>53.24008856730665</v>
      </c>
      <c r="L24" s="276">
        <f>Food_1!L280</f>
        <v>51.230795397500145</v>
      </c>
      <c r="M24" s="276">
        <f>Food_1!M280</f>
        <v>49.53005336719994</v>
      </c>
      <c r="N24" s="276">
        <f>Food_1!N280</f>
        <v>47.985817413636731</v>
      </c>
    </row>
    <row r="25" spans="2:14">
      <c r="B25" s="356" t="str">
        <f>Geography_1!B280</f>
        <v>Geography Retirements</v>
      </c>
      <c r="C25" s="276">
        <f>Geography_1!C280</f>
        <v>219.4044938417984</v>
      </c>
      <c r="D25" s="276">
        <f>Geography_1!D280</f>
        <v>221.58525090847507</v>
      </c>
      <c r="E25" s="276">
        <f>Geography_1!E280</f>
        <v>223.68433745635008</v>
      </c>
      <c r="F25" s="276">
        <f>Geography_1!F280</f>
        <v>227.07538032858278</v>
      </c>
      <c r="G25" s="276">
        <f>Geography_1!G280</f>
        <v>231.24097040121069</v>
      </c>
      <c r="H25" s="276">
        <f>Geography_1!H280</f>
        <v>236.14495453954891</v>
      </c>
      <c r="I25" s="276">
        <f>Geography_1!I280</f>
        <v>241.35938779172577</v>
      </c>
      <c r="J25" s="276">
        <f>Geography_1!J280</f>
        <v>247.5044227925182</v>
      </c>
      <c r="K25" s="276">
        <f>Geography_1!K280</f>
        <v>252.47143802193736</v>
      </c>
      <c r="L25" s="276">
        <f>Geography_1!L280</f>
        <v>256.03245350387851</v>
      </c>
      <c r="M25" s="276">
        <f>Geography_1!M280</f>
        <v>258.51200013615744</v>
      </c>
      <c r="N25" s="276">
        <f>Geography_1!N280</f>
        <v>260.86345029778818</v>
      </c>
    </row>
    <row r="26" spans="2:14">
      <c r="B26" s="356" t="str">
        <f>History_1!B280</f>
        <v>History Retirements</v>
      </c>
      <c r="C26" s="276">
        <f>History_1!C280</f>
        <v>234.74323701619051</v>
      </c>
      <c r="D26" s="276">
        <f>History_1!D280</f>
        <v>237.36678891429244</v>
      </c>
      <c r="E26" s="276">
        <f>History_1!E280</f>
        <v>239.63307744741661</v>
      </c>
      <c r="F26" s="276">
        <f>History_1!F280</f>
        <v>242.91503605322163</v>
      </c>
      <c r="G26" s="276">
        <f>History_1!G280</f>
        <v>246.81765385892072</v>
      </c>
      <c r="H26" s="276">
        <f>History_1!H280</f>
        <v>251.34280881928274</v>
      </c>
      <c r="I26" s="276">
        <f>History_1!I280</f>
        <v>256.1738494150278</v>
      </c>
      <c r="J26" s="276">
        <f>History_1!J280</f>
        <v>261.96704972032734</v>
      </c>
      <c r="K26" s="276">
        <f>History_1!K280</f>
        <v>266.67942271530683</v>
      </c>
      <c r="L26" s="276">
        <f>History_1!L280</f>
        <v>270.07074791421962</v>
      </c>
      <c r="M26" s="276">
        <f>History_1!M280</f>
        <v>272.49136712556498</v>
      </c>
      <c r="N26" s="276">
        <f>History_1!N280</f>
        <v>274.87491728586883</v>
      </c>
    </row>
    <row r="27" spans="2:14">
      <c r="B27" s="356" t="str">
        <f>Mathematics_1!B280</f>
        <v>Mathematics Retirements</v>
      </c>
      <c r="C27" s="276">
        <f>Mathematics_1!C280</f>
        <v>933.43151023459359</v>
      </c>
      <c r="D27" s="276">
        <f>Mathematics_1!D280</f>
        <v>896.09676119888013</v>
      </c>
      <c r="E27" s="276">
        <f>Mathematics_1!E280</f>
        <v>861.41788010642244</v>
      </c>
      <c r="F27" s="276">
        <f>Mathematics_1!F280</f>
        <v>833.09342497293198</v>
      </c>
      <c r="G27" s="276">
        <f>Mathematics_1!G280</f>
        <v>807.45105415322223</v>
      </c>
      <c r="H27" s="276">
        <f>Mathematics_1!H280</f>
        <v>787.74388700303712</v>
      </c>
      <c r="I27" s="276">
        <f>Mathematics_1!I280</f>
        <v>773.02412568327259</v>
      </c>
      <c r="J27" s="276">
        <f>Mathematics_1!J280</f>
        <v>763.31629403884995</v>
      </c>
      <c r="K27" s="276">
        <f>Mathematics_1!K280</f>
        <v>754.29945527764562</v>
      </c>
      <c r="L27" s="276">
        <f>Mathematics_1!L280</f>
        <v>746.07260520909608</v>
      </c>
      <c r="M27" s="276">
        <f>Mathematics_1!M280</f>
        <v>738.55912874931835</v>
      </c>
      <c r="N27" s="276">
        <f>Mathematics_1!N280</f>
        <v>732.15559578187026</v>
      </c>
    </row>
    <row r="28" spans="2:14" ht="25.5">
      <c r="B28" s="331" t="str">
        <f>Modern_Foreign_Languages_1!B280</f>
        <v>Modern Foreign Languages Retirements</v>
      </c>
      <c r="C28" s="276">
        <f>Modern_Foreign_Languages_1!C280</f>
        <v>442.29103399063627</v>
      </c>
      <c r="D28" s="276">
        <f>Modern_Foreign_Languages_1!D280</f>
        <v>434.68897447168638</v>
      </c>
      <c r="E28" s="276">
        <f>Modern_Foreign_Languages_1!E280</f>
        <v>433.44383086198383</v>
      </c>
      <c r="F28" s="276">
        <f>Modern_Foreign_Languages_1!F280</f>
        <v>434.08448385478044</v>
      </c>
      <c r="G28" s="276">
        <f>Modern_Foreign_Languages_1!G280</f>
        <v>436.98555150457003</v>
      </c>
      <c r="H28" s="276">
        <f>Modern_Foreign_Languages_1!H280</f>
        <v>443.32235979576274</v>
      </c>
      <c r="I28" s="276">
        <f>Modern_Foreign_Languages_1!I280</f>
        <v>452.65992127179584</v>
      </c>
      <c r="J28" s="276">
        <f>Modern_Foreign_Languages_1!J280</f>
        <v>461.42366114738724</v>
      </c>
      <c r="K28" s="276">
        <f>Modern_Foreign_Languages_1!K280</f>
        <v>458.80297021779779</v>
      </c>
      <c r="L28" s="276">
        <f>Modern_Foreign_Languages_1!L280</f>
        <v>454.546259608887</v>
      </c>
      <c r="M28" s="276">
        <f>Modern_Foreign_Languages_1!M280</f>
        <v>449.38700145031885</v>
      </c>
      <c r="N28" s="276">
        <f>Modern_Foreign_Languages_1!N280</f>
        <v>445.35385469668938</v>
      </c>
    </row>
    <row r="29" spans="2:14">
      <c r="B29" s="356" t="str">
        <f>Music_1!B280</f>
        <v>Music Retirements</v>
      </c>
      <c r="C29" s="276">
        <f>Music_1!C280</f>
        <v>100.79736411989163</v>
      </c>
      <c r="D29" s="276">
        <f>Music_1!D280</f>
        <v>102.20473924073264</v>
      </c>
      <c r="E29" s="276">
        <f>Music_1!E280</f>
        <v>102.59206234012521</v>
      </c>
      <c r="F29" s="276">
        <f>Music_1!F280</f>
        <v>103.41478948937329</v>
      </c>
      <c r="G29" s="276">
        <f>Music_1!G280</f>
        <v>104.09938346406204</v>
      </c>
      <c r="H29" s="276">
        <f>Music_1!H280</f>
        <v>104.69435606183683</v>
      </c>
      <c r="I29" s="276">
        <f>Music_1!I280</f>
        <v>105.1054949669697</v>
      </c>
      <c r="J29" s="276">
        <f>Music_1!J280</f>
        <v>106.37132421844987</v>
      </c>
      <c r="K29" s="276">
        <f>Music_1!K280</f>
        <v>107.92760326893426</v>
      </c>
      <c r="L29" s="276">
        <f>Music_1!L280</f>
        <v>108.69360655501666</v>
      </c>
      <c r="M29" s="276">
        <f>Music_1!M280</f>
        <v>109.03725793327517</v>
      </c>
      <c r="N29" s="276">
        <f>Music_1!N280</f>
        <v>109.86140186354103</v>
      </c>
    </row>
    <row r="30" spans="2:14">
      <c r="B30" s="356" t="str">
        <f>Others_1!B280</f>
        <v>Others Retirements</v>
      </c>
      <c r="C30" s="276">
        <f>Others_1!C280</f>
        <v>423.34342320737483</v>
      </c>
      <c r="D30" s="276">
        <f>Others_1!D280</f>
        <v>389.68178721114748</v>
      </c>
      <c r="E30" s="276">
        <f>Others_1!E280</f>
        <v>363.39955333931653</v>
      </c>
      <c r="F30" s="276">
        <f>Others_1!F280</f>
        <v>343.3815694230251</v>
      </c>
      <c r="G30" s="276">
        <f>Others_1!G280</f>
        <v>329.96816067741759</v>
      </c>
      <c r="H30" s="276">
        <f>Others_1!H280</f>
        <v>320.68492257571887</v>
      </c>
      <c r="I30" s="276">
        <f>Others_1!I280</f>
        <v>314.88431835920312</v>
      </c>
      <c r="J30" s="276">
        <f>Others_1!J280</f>
        <v>312.00943338618782</v>
      </c>
      <c r="K30" s="276">
        <f>Others_1!K280</f>
        <v>311.77748802402675</v>
      </c>
      <c r="L30" s="276">
        <f>Others_1!L280</f>
        <v>311.36975129391305</v>
      </c>
      <c r="M30" s="276">
        <f>Others_1!M280</f>
        <v>311.00210194924495</v>
      </c>
      <c r="N30" s="276">
        <f>Others_1!N280</f>
        <v>310.73598276209958</v>
      </c>
    </row>
    <row r="31" spans="2:14">
      <c r="B31" s="356" t="str">
        <f>Physical_Education_1!B280</f>
        <v>Physical Education Retirements</v>
      </c>
      <c r="C31" s="276">
        <f>Physical_Education_1!C280</f>
        <v>214.36696161447696</v>
      </c>
      <c r="D31" s="276">
        <f>Physical_Education_1!D280</f>
        <v>220.31292995687375</v>
      </c>
      <c r="E31" s="276">
        <f>Physical_Education_1!E280</f>
        <v>229.57538670601951</v>
      </c>
      <c r="F31" s="276">
        <f>Physical_Education_1!F280</f>
        <v>241.48959838344166</v>
      </c>
      <c r="G31" s="276">
        <f>Physical_Education_1!G280</f>
        <v>253.57899444232547</v>
      </c>
      <c r="H31" s="276">
        <f>Physical_Education_1!H280</f>
        <v>266.20857041431134</v>
      </c>
      <c r="I31" s="276">
        <f>Physical_Education_1!I280</f>
        <v>278.85842455300269</v>
      </c>
      <c r="J31" s="276">
        <f>Physical_Education_1!J280</f>
        <v>293.24523840842062</v>
      </c>
      <c r="K31" s="276">
        <f>Physical_Education_1!K280</f>
        <v>308.11690576533374</v>
      </c>
      <c r="L31" s="276">
        <f>Physical_Education_1!L280</f>
        <v>320.92460810234974</v>
      </c>
      <c r="M31" s="276">
        <f>Physical_Education_1!M280</f>
        <v>331.73464700794585</v>
      </c>
      <c r="N31" s="276">
        <f>Physical_Education_1!N280</f>
        <v>341.26450393230141</v>
      </c>
    </row>
    <row r="32" spans="2:14">
      <c r="B32" s="356" t="str">
        <f>Physics_1!B280</f>
        <v>Physics Retirements</v>
      </c>
      <c r="C32" s="276">
        <f>Physics_1!C280</f>
        <v>292.01605981262537</v>
      </c>
      <c r="D32" s="276">
        <f>Physics_1!D280</f>
        <v>291.24985052597725</v>
      </c>
      <c r="E32" s="276">
        <f>Physics_1!E280</f>
        <v>285.24425068109485</v>
      </c>
      <c r="F32" s="276">
        <f>Physics_1!F280</f>
        <v>278.67074530552549</v>
      </c>
      <c r="G32" s="276">
        <f>Physics_1!G280</f>
        <v>272.54982538620669</v>
      </c>
      <c r="H32" s="276">
        <f>Physics_1!H280</f>
        <v>267.61177023480525</v>
      </c>
      <c r="I32" s="276">
        <f>Physics_1!I280</f>
        <v>263.99622723737616</v>
      </c>
      <c r="J32" s="276">
        <f>Physics_1!J280</f>
        <v>261.31072621523015</v>
      </c>
      <c r="K32" s="276">
        <f>Physics_1!K280</f>
        <v>258.76845739071848</v>
      </c>
      <c r="L32" s="276">
        <f>Physics_1!L280</f>
        <v>256.73048361093794</v>
      </c>
      <c r="M32" s="276">
        <f>Physics_1!M280</f>
        <v>254.91307038555752</v>
      </c>
      <c r="N32" s="276">
        <f>Physics_1!N280</f>
        <v>252.77401990738787</v>
      </c>
    </row>
    <row r="33" spans="2:14">
      <c r="B33" s="356" t="str">
        <f>Religious_Education_1!B280</f>
        <v>Religious Education Retirements</v>
      </c>
      <c r="C33" s="276">
        <f>Religious_Education_1!C280</f>
        <v>197.80074950842032</v>
      </c>
      <c r="D33" s="276">
        <f>Religious_Education_1!D280</f>
        <v>187.45159920710557</v>
      </c>
      <c r="E33" s="276">
        <f>Religious_Education_1!E280</f>
        <v>179.03379791184864</v>
      </c>
      <c r="F33" s="276">
        <f>Religious_Education_1!F280</f>
        <v>172.91147565740692</v>
      </c>
      <c r="G33" s="276">
        <f>Religious_Education_1!G280</f>
        <v>168.17777453767221</v>
      </c>
      <c r="H33" s="276">
        <f>Religious_Education_1!H280</f>
        <v>164.72283905468879</v>
      </c>
      <c r="I33" s="276">
        <f>Religious_Education_1!I280</f>
        <v>162.19986461464254</v>
      </c>
      <c r="J33" s="276">
        <f>Religious_Education_1!J280</f>
        <v>161.27352814317936</v>
      </c>
      <c r="K33" s="276">
        <f>Religious_Education_1!K280</f>
        <v>161.35798825019742</v>
      </c>
      <c r="L33" s="276">
        <f>Religious_Education_1!L280</f>
        <v>161.24284034223021</v>
      </c>
      <c r="M33" s="276">
        <f>Religious_Education_1!M280</f>
        <v>160.98270670897449</v>
      </c>
      <c r="N33" s="276">
        <f>Religious_Education_1!N280</f>
        <v>160.9327104566656</v>
      </c>
    </row>
    <row r="34" spans="2:14" s="320" customFormat="1">
      <c r="B34" s="319" t="s">
        <v>253</v>
      </c>
      <c r="C34" s="319">
        <f>SUM(C14:C33)</f>
        <v>11208.574272247784</v>
      </c>
      <c r="D34" s="319">
        <f t="shared" ref="D34:N34" si="0">SUM(D14:D33)</f>
        <v>10875.19562740191</v>
      </c>
      <c r="E34" s="319">
        <f t="shared" si="0"/>
        <v>10577.625063188776</v>
      </c>
      <c r="F34" s="319">
        <f t="shared" si="0"/>
        <v>10336.208657089963</v>
      </c>
      <c r="G34" s="319">
        <f t="shared" si="0"/>
        <v>10158.052140288375</v>
      </c>
      <c r="H34" s="319">
        <f t="shared" si="0"/>
        <v>10038.483840918803</v>
      </c>
      <c r="I34" s="319">
        <f t="shared" si="0"/>
        <v>9965.0849152690844</v>
      </c>
      <c r="J34" s="319">
        <f t="shared" si="0"/>
        <v>9934.391892128031</v>
      </c>
      <c r="K34" s="319">
        <f t="shared" si="0"/>
        <v>9920.2902235063375</v>
      </c>
      <c r="L34" s="319">
        <f t="shared" si="0"/>
        <v>9913.0698429889871</v>
      </c>
      <c r="M34" s="319">
        <f t="shared" si="0"/>
        <v>9906.653201188512</v>
      </c>
      <c r="N34" s="319">
        <f t="shared" si="0"/>
        <v>9903.4973220106149</v>
      </c>
    </row>
    <row r="35" spans="2:14">
      <c r="B35" s="319" t="s">
        <v>1758</v>
      </c>
      <c r="C35" s="319">
        <f>C34-C14</f>
        <v>5439.186268550663</v>
      </c>
      <c r="D35" s="319">
        <f t="shared" ref="D35:N35" si="1">D34-D14</f>
        <v>5295.6242665814516</v>
      </c>
      <c r="E35" s="319">
        <f t="shared" si="1"/>
        <v>5174.3691475452706</v>
      </c>
      <c r="F35" s="319">
        <f t="shared" si="1"/>
        <v>5083.1732392933809</v>
      </c>
      <c r="G35" s="319">
        <f t="shared" si="1"/>
        <v>5018.4184796038526</v>
      </c>
      <c r="H35" s="319">
        <f t="shared" si="1"/>
        <v>4983.864586845948</v>
      </c>
      <c r="I35" s="319">
        <f t="shared" si="1"/>
        <v>4973.4656330912276</v>
      </c>
      <c r="J35" s="319">
        <f t="shared" si="1"/>
        <v>4989.6048420874431</v>
      </c>
      <c r="K35" s="319">
        <f t="shared" si="1"/>
        <v>5000.6237401738845</v>
      </c>
      <c r="L35" s="319">
        <f t="shared" si="1"/>
        <v>5003.1676262078345</v>
      </c>
      <c r="M35" s="319">
        <f t="shared" si="1"/>
        <v>4999.0673157574911</v>
      </c>
      <c r="N35" s="319">
        <f t="shared" si="1"/>
        <v>4995.8133101568328</v>
      </c>
    </row>
    <row r="36" spans="2:14">
      <c r="B36" s="992"/>
    </row>
  </sheetData>
  <hyperlinks>
    <hyperlink ref="A2" location="'Title_&amp;_Contents'!A1" display="Contents"/>
    <hyperlink ref="B2" location="Map_of_sheets!A1" display="Map of shee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Q36"/>
  <sheetViews>
    <sheetView showGridLines="0" zoomScaleNormal="100" workbookViewId="0"/>
  </sheetViews>
  <sheetFormatPr defaultRowHeight="12.75"/>
  <cols>
    <col min="2" max="2" width="32.7109375" customWidth="1"/>
    <col min="3" max="14" width="10.7109375" customWidth="1"/>
  </cols>
  <sheetData>
    <row r="1" spans="1:17" s="65" customFormat="1" ht="15">
      <c r="A1" s="64" t="str">
        <f>ModelBanner</f>
        <v>TSM_201819 Publication</v>
      </c>
    </row>
    <row r="2" spans="1:17" s="65" customFormat="1" ht="15">
      <c r="A2" s="940" t="s">
        <v>13</v>
      </c>
      <c r="B2" s="940" t="s">
        <v>30</v>
      </c>
    </row>
    <row r="3" spans="1:17" s="65" customFormat="1" ht="15">
      <c r="A3" s="66"/>
    </row>
    <row r="4" spans="1:17" s="56" customFormat="1">
      <c r="A4" s="57" t="s">
        <v>26</v>
      </c>
      <c r="B4" s="57"/>
      <c r="C4" s="57"/>
      <c r="D4" s="57"/>
      <c r="E4" s="285"/>
      <c r="F4" s="57"/>
      <c r="G4" s="57"/>
      <c r="H4" s="57"/>
      <c r="I4" s="57"/>
      <c r="J4" s="57"/>
      <c r="K4" s="57"/>
      <c r="L4" s="57"/>
    </row>
    <row r="5" spans="1:17" s="46" customFormat="1" ht="13.15" customHeight="1">
      <c r="A5" s="59" t="s">
        <v>556</v>
      </c>
      <c r="B5" s="59"/>
      <c r="C5" s="59"/>
      <c r="D5" s="59"/>
      <c r="E5" s="59"/>
      <c r="F5" s="59"/>
      <c r="G5" s="59"/>
      <c r="H5" s="59"/>
      <c r="I5" s="59"/>
      <c r="J5" s="59"/>
      <c r="K5" s="59"/>
      <c r="L5" s="59"/>
      <c r="M5" s="58"/>
      <c r="N5" s="58"/>
      <c r="O5" s="58"/>
      <c r="P5" s="58"/>
      <c r="Q5" s="58"/>
    </row>
    <row r="6" spans="1:17" s="45" customFormat="1">
      <c r="A6" s="55" t="s">
        <v>1392</v>
      </c>
      <c r="B6" s="60"/>
      <c r="C6" s="60"/>
      <c r="D6" s="60"/>
      <c r="E6" s="285"/>
      <c r="F6" s="60"/>
      <c r="G6" s="60"/>
      <c r="H6" s="60"/>
      <c r="I6" s="60"/>
      <c r="J6" s="60"/>
      <c r="K6" s="60"/>
      <c r="L6" s="60"/>
      <c r="M6" s="44"/>
      <c r="N6" s="44"/>
      <c r="O6" s="44"/>
      <c r="P6" s="44"/>
      <c r="Q6" s="44"/>
    </row>
    <row r="7" spans="1:17" s="45" customFormat="1">
      <c r="A7" s="53" t="s">
        <v>349</v>
      </c>
      <c r="B7" s="55"/>
      <c r="C7" s="60"/>
      <c r="D7" s="60"/>
      <c r="E7" s="285"/>
      <c r="F7" s="60"/>
      <c r="G7" s="60"/>
      <c r="H7" s="60"/>
      <c r="I7" s="60"/>
      <c r="J7" s="60"/>
      <c r="K7" s="60"/>
      <c r="L7" s="60"/>
      <c r="M7" s="44"/>
      <c r="N7" s="44"/>
      <c r="O7" s="44"/>
      <c r="P7" s="44"/>
      <c r="Q7" s="44"/>
    </row>
    <row r="8" spans="1:17" s="45" customFormat="1">
      <c r="A8" s="55" t="s">
        <v>24</v>
      </c>
      <c r="B8" s="60"/>
      <c r="C8" s="60"/>
      <c r="D8" s="60"/>
      <c r="E8" s="285"/>
      <c r="F8" s="60"/>
      <c r="G8" s="60"/>
      <c r="H8" s="60"/>
      <c r="I8" s="60"/>
      <c r="J8" s="60"/>
      <c r="K8" s="60"/>
      <c r="L8" s="60"/>
      <c r="M8" s="44"/>
      <c r="N8" s="44"/>
      <c r="O8" s="44"/>
      <c r="P8" s="44"/>
      <c r="Q8" s="44"/>
    </row>
    <row r="9" spans="1:17" s="45" customFormat="1" ht="15.75" customHeight="1">
      <c r="A9" s="53" t="s">
        <v>124</v>
      </c>
      <c r="B9" s="60"/>
      <c r="C9" s="60"/>
      <c r="D9" s="60"/>
      <c r="E9" s="285"/>
      <c r="F9" s="60"/>
      <c r="G9" s="60"/>
      <c r="H9" s="60"/>
      <c r="I9" s="60"/>
      <c r="J9" s="60"/>
      <c r="K9" s="60"/>
      <c r="L9" s="60"/>
      <c r="M9" s="44"/>
      <c r="N9" s="44"/>
      <c r="O9" s="44"/>
      <c r="P9" s="44"/>
      <c r="Q9" s="44"/>
    </row>
    <row r="10" spans="1:17" s="49" customFormat="1" ht="13.5" customHeight="1">
      <c r="A10" s="54">
        <f>SUM(A13:A2221)</f>
        <v>0</v>
      </c>
      <c r="B10" s="72"/>
      <c r="C10" s="70"/>
      <c r="D10" s="47"/>
      <c r="E10" s="47"/>
      <c r="F10" s="47"/>
      <c r="G10" s="71"/>
      <c r="H10" s="47"/>
      <c r="I10" s="47"/>
      <c r="J10" s="71"/>
      <c r="K10" s="48"/>
      <c r="L10" s="48"/>
      <c r="M10" s="48"/>
      <c r="N10" s="48"/>
      <c r="O10" s="48"/>
      <c r="P10" s="48"/>
      <c r="Q10" s="48"/>
    </row>
    <row r="13" spans="1:17">
      <c r="B13" s="138"/>
      <c r="C13" s="138" t="str">
        <f>'Art_&amp;_Design_1'!C293</f>
        <v>2017/18</v>
      </c>
      <c r="D13" s="138" t="str">
        <f>'Art_&amp;_Design_1'!D293</f>
        <v>2018/19</v>
      </c>
      <c r="E13" s="138" t="str">
        <f>'Art_&amp;_Design_1'!E293</f>
        <v>2019/20</v>
      </c>
      <c r="F13" s="138" t="str">
        <f>'Art_&amp;_Design_1'!F293</f>
        <v>2020/21</v>
      </c>
      <c r="G13" s="138" t="str">
        <f>'Art_&amp;_Design_1'!G293</f>
        <v>2021/22</v>
      </c>
      <c r="H13" s="138" t="str">
        <f>'Art_&amp;_Design_1'!H293</f>
        <v>2022/23</v>
      </c>
      <c r="I13" s="138" t="str">
        <f>'Art_&amp;_Design_1'!I293</f>
        <v>2023/24</v>
      </c>
      <c r="J13" s="138" t="str">
        <f>'Art_&amp;_Design_1'!J293</f>
        <v>2024/25</v>
      </c>
      <c r="K13" s="138" t="str">
        <f>'Art_&amp;_Design_1'!K293</f>
        <v>2025/26</v>
      </c>
      <c r="L13" s="138" t="str">
        <f>'Art_&amp;_Design_1'!L293</f>
        <v>2026/27</v>
      </c>
      <c r="M13" s="138" t="str">
        <f>'Art_&amp;_Design_1'!M293</f>
        <v>2027/28</v>
      </c>
      <c r="N13" s="138" t="str">
        <f>'Art_&amp;_Design_1'!N293</f>
        <v>2028/29</v>
      </c>
    </row>
    <row r="14" spans="1:17">
      <c r="B14" s="266" t="str">
        <f>Primary_1!B281</f>
        <v>Primary Deaths</v>
      </c>
      <c r="C14" s="162">
        <f>Primary_1!C281</f>
        <v>139.7185757212942</v>
      </c>
      <c r="D14" s="162">
        <f>Primary_1!D281</f>
        <v>140.51779296808175</v>
      </c>
      <c r="E14" s="162">
        <f>Primary_1!E281</f>
        <v>140.45037584672642</v>
      </c>
      <c r="F14" s="162">
        <f>Primary_1!F281</f>
        <v>139.88163053099592</v>
      </c>
      <c r="G14" s="162">
        <f>Primary_1!G281</f>
        <v>139.34638702601171</v>
      </c>
      <c r="H14" s="162">
        <f>Primary_1!H281</f>
        <v>138.81986781332816</v>
      </c>
      <c r="I14" s="162">
        <f>Primary_1!I281</f>
        <v>138.30799970793373</v>
      </c>
      <c r="J14" s="162">
        <f>Primary_1!J281</f>
        <v>137.79869884641153</v>
      </c>
      <c r="K14" s="162">
        <f>Primary_1!K281</f>
        <v>137.56902860683539</v>
      </c>
      <c r="L14" s="162">
        <f>Primary_1!L281</f>
        <v>137.55631123749336</v>
      </c>
      <c r="M14" s="162">
        <f>Primary_1!M281</f>
        <v>137.62097654505649</v>
      </c>
      <c r="N14" s="162">
        <f>Primary_1!N281</f>
        <v>137.67307017714899</v>
      </c>
    </row>
    <row r="15" spans="1:17">
      <c r="B15" s="189" t="str">
        <f>'Art_&amp;_Design_1'!B281</f>
        <v>Art &amp; Design Deaths</v>
      </c>
      <c r="C15" s="162">
        <f>'Art_&amp;_Design_1'!C281</f>
        <v>5.9717388910167131</v>
      </c>
      <c r="D15" s="162">
        <f>'Art_&amp;_Design_1'!D281</f>
        <v>5.8784221912961723</v>
      </c>
      <c r="E15" s="162">
        <f>'Art_&amp;_Design_1'!E281</f>
        <v>5.7974893576853654</v>
      </c>
      <c r="F15" s="162">
        <f>'Art_&amp;_Design_1'!F281</f>
        <v>5.7270648814030949</v>
      </c>
      <c r="G15" s="162">
        <f>'Art_&amp;_Design_1'!G281</f>
        <v>5.6534946120506664</v>
      </c>
      <c r="H15" s="162">
        <f>'Art_&amp;_Design_1'!H281</f>
        <v>5.5769272229370319</v>
      </c>
      <c r="I15" s="162">
        <f>'Art_&amp;_Design_1'!I281</f>
        <v>5.497219149287516</v>
      </c>
      <c r="J15" s="162">
        <f>'Art_&amp;_Design_1'!J281</f>
        <v>5.4449282621282364</v>
      </c>
      <c r="K15" s="162">
        <f>'Art_&amp;_Design_1'!K281</f>
        <v>5.4112144334625336</v>
      </c>
      <c r="L15" s="162">
        <f>'Art_&amp;_Design_1'!L281</f>
        <v>5.3621639242979526</v>
      </c>
      <c r="M15" s="162">
        <f>'Art_&amp;_Design_1'!M281</f>
        <v>5.3064669884013318</v>
      </c>
      <c r="N15" s="162">
        <f>'Art_&amp;_Design_1'!N281</f>
        <v>5.2645689396474538</v>
      </c>
    </row>
    <row r="16" spans="1:17">
      <c r="B16" s="138" t="str">
        <f>Biology_1!B281</f>
        <v>Biology Deaths</v>
      </c>
      <c r="C16" s="162">
        <f>Biology_1!C281</f>
        <v>7.4976744162598683</v>
      </c>
      <c r="D16" s="162">
        <f>Biology_1!D281</f>
        <v>7.6983752572122555</v>
      </c>
      <c r="E16" s="162">
        <f>Biology_1!E281</f>
        <v>7.7872742581655929</v>
      </c>
      <c r="F16" s="162">
        <f>Biology_1!F281</f>
        <v>7.859629848890064</v>
      </c>
      <c r="G16" s="162">
        <f>Biology_1!G281</f>
        <v>7.9256398063693307</v>
      </c>
      <c r="H16" s="162">
        <f>Biology_1!H281</f>
        <v>7.9998328008311574</v>
      </c>
      <c r="I16" s="162">
        <f>Biology_1!I281</f>
        <v>8.0842311208547688</v>
      </c>
      <c r="J16" s="162">
        <f>Biology_1!J281</f>
        <v>8.1732837071219624</v>
      </c>
      <c r="K16" s="162">
        <f>Biology_1!K281</f>
        <v>8.2415641198464016</v>
      </c>
      <c r="L16" s="162">
        <f>Biology_1!L281</f>
        <v>8.2932507362791625</v>
      </c>
      <c r="M16" s="162">
        <f>Biology_1!M281</f>
        <v>8.3267734737062504</v>
      </c>
      <c r="N16" s="162">
        <f>Biology_1!N281</f>
        <v>8.3371336543583201</v>
      </c>
    </row>
    <row r="17" spans="2:14">
      <c r="B17" s="138" t="str">
        <f>Business_Studies_1!B281</f>
        <v>Business Studies Deaths</v>
      </c>
      <c r="C17" s="162">
        <f>Business_Studies_1!C281</f>
        <v>3.0215373653203184</v>
      </c>
      <c r="D17" s="162">
        <f>Business_Studies_1!D281</f>
        <v>2.9295938245803406</v>
      </c>
      <c r="E17" s="162">
        <f>Business_Studies_1!E281</f>
        <v>2.8677031470255807</v>
      </c>
      <c r="F17" s="162">
        <f>Business_Studies_1!F281</f>
        <v>2.8116678549825442</v>
      </c>
      <c r="G17" s="162">
        <f>Business_Studies_1!G281</f>
        <v>2.7748937162328735</v>
      </c>
      <c r="H17" s="162">
        <f>Business_Studies_1!H281</f>
        <v>2.7480838630664479</v>
      </c>
      <c r="I17" s="162">
        <f>Business_Studies_1!I281</f>
        <v>2.7342449383203871</v>
      </c>
      <c r="J17" s="162">
        <f>Business_Studies_1!J281</f>
        <v>2.7250965898110389</v>
      </c>
      <c r="K17" s="162">
        <f>Business_Studies_1!K281</f>
        <v>2.7287067991749772</v>
      </c>
      <c r="L17" s="162">
        <f>Business_Studies_1!L281</f>
        <v>2.7346060717011715</v>
      </c>
      <c r="M17" s="162">
        <f>Business_Studies_1!M281</f>
        <v>2.7406262130988175</v>
      </c>
      <c r="N17" s="162">
        <f>Business_Studies_1!N281</f>
        <v>2.7347551324392452</v>
      </c>
    </row>
    <row r="18" spans="2:14">
      <c r="B18" s="138" t="str">
        <f>Chemistry_1!B281</f>
        <v>Chemistry Deaths</v>
      </c>
      <c r="C18" s="162">
        <f>Chemistry_1!C281</f>
        <v>7.412103254371198</v>
      </c>
      <c r="D18" s="162">
        <f>Chemistry_1!D281</f>
        <v>7.4651658856432839</v>
      </c>
      <c r="E18" s="162">
        <f>Chemistry_1!E281</f>
        <v>7.4559058714339743</v>
      </c>
      <c r="F18" s="162">
        <f>Chemistry_1!F281</f>
        <v>7.4438813034011861</v>
      </c>
      <c r="G18" s="162">
        <f>Chemistry_1!G281</f>
        <v>7.4389433069400113</v>
      </c>
      <c r="H18" s="162">
        <f>Chemistry_1!H281</f>
        <v>7.4521284139056725</v>
      </c>
      <c r="I18" s="162">
        <f>Chemistry_1!I281</f>
        <v>7.484828054373013</v>
      </c>
      <c r="J18" s="162">
        <f>Chemistry_1!J281</f>
        <v>7.5254041857198466</v>
      </c>
      <c r="K18" s="162">
        <f>Chemistry_1!K281</f>
        <v>7.5549767009439286</v>
      </c>
      <c r="L18" s="162">
        <f>Chemistry_1!L281</f>
        <v>7.5806604689417778</v>
      </c>
      <c r="M18" s="162">
        <f>Chemistry_1!M281</f>
        <v>7.5973345067860434</v>
      </c>
      <c r="N18" s="162">
        <f>Chemistry_1!N281</f>
        <v>7.5923291325049789</v>
      </c>
    </row>
    <row r="19" spans="2:14">
      <c r="B19" s="138" t="str">
        <f>Classics_1!B281</f>
        <v>Classics Deaths</v>
      </c>
      <c r="C19" s="162">
        <f>Classics_1!C281</f>
        <v>0.30608116448462452</v>
      </c>
      <c r="D19" s="162">
        <f>Classics_1!D281</f>
        <v>0.27262463365413386</v>
      </c>
      <c r="E19" s="162">
        <f>Classics_1!E281</f>
        <v>0.25018161682239148</v>
      </c>
      <c r="F19" s="162">
        <f>Classics_1!F281</f>
        <v>0.23452331260463688</v>
      </c>
      <c r="G19" s="162">
        <f>Classics_1!G281</f>
        <v>0.22412610218724838</v>
      </c>
      <c r="H19" s="162">
        <f>Classics_1!H281</f>
        <v>0.21727414155925173</v>
      </c>
      <c r="I19" s="162">
        <f>Classics_1!I281</f>
        <v>0.21315297733086319</v>
      </c>
      <c r="J19" s="162">
        <f>Classics_1!J281</f>
        <v>0.21121204633072441</v>
      </c>
      <c r="K19" s="162">
        <f>Classics_1!K281</f>
        <v>0.21036329806423668</v>
      </c>
      <c r="L19" s="162">
        <f>Classics_1!L281</f>
        <v>0.20969866879929966</v>
      </c>
      <c r="M19" s="162">
        <f>Classics_1!M281</f>
        <v>0.20924204201020336</v>
      </c>
      <c r="N19" s="162">
        <f>Classics_1!N281</f>
        <v>0.20920388526931327</v>
      </c>
    </row>
    <row r="20" spans="2:14">
      <c r="B20" s="138" t="str">
        <f>Computing_1!B281</f>
        <v>Computing Deaths</v>
      </c>
      <c r="C20" s="162">
        <f>Computing_1!C281</f>
        <v>5.4105038317506446</v>
      </c>
      <c r="D20" s="162">
        <f>Computing_1!D281</f>
        <v>5.3053335760748332</v>
      </c>
      <c r="E20" s="162">
        <f>Computing_1!E281</f>
        <v>5.2377414537024407</v>
      </c>
      <c r="F20" s="162">
        <f>Computing_1!F281</f>
        <v>5.1818711316948818</v>
      </c>
      <c r="G20" s="162">
        <f>Computing_1!G281</f>
        <v>5.1281774491339762</v>
      </c>
      <c r="H20" s="162">
        <f>Computing_1!H281</f>
        <v>5.0742436434207292</v>
      </c>
      <c r="I20" s="162">
        <f>Computing_1!I281</f>
        <v>5.020146642410932</v>
      </c>
      <c r="J20" s="162">
        <f>Computing_1!J281</f>
        <v>4.9878693519806978</v>
      </c>
      <c r="K20" s="162">
        <f>Computing_1!K281</f>
        <v>4.9728463543147896</v>
      </c>
      <c r="L20" s="162">
        <f>Computing_1!L281</f>
        <v>4.9479632959327979</v>
      </c>
      <c r="M20" s="162">
        <f>Computing_1!M281</f>
        <v>4.9173801601348481</v>
      </c>
      <c r="N20" s="162">
        <f>Computing_1!N281</f>
        <v>4.8908321000728776</v>
      </c>
    </row>
    <row r="21" spans="2:14">
      <c r="B21" s="138" t="str">
        <f>'Design_&amp;_Technology_1'!B281</f>
        <v>Design &amp; Technology Deaths</v>
      </c>
      <c r="C21" s="162">
        <f>'Design_&amp;_Technology_1'!C281</f>
        <v>8.5055013213957231</v>
      </c>
      <c r="D21" s="162">
        <f>'Design_&amp;_Technology_1'!D281</f>
        <v>8.2135739065046831</v>
      </c>
      <c r="E21" s="162">
        <f>'Design_&amp;_Technology_1'!E281</f>
        <v>7.9438617422790259</v>
      </c>
      <c r="F21" s="162">
        <f>'Design_&amp;_Technology_1'!F281</f>
        <v>7.7116101326011472</v>
      </c>
      <c r="G21" s="162">
        <f>'Design_&amp;_Technology_1'!G281</f>
        <v>7.4927303157937359</v>
      </c>
      <c r="H21" s="162">
        <f>'Design_&amp;_Technology_1'!H281</f>
        <v>7.2895800416429974</v>
      </c>
      <c r="I21" s="162">
        <f>'Design_&amp;_Technology_1'!I281</f>
        <v>7.0981246525610917</v>
      </c>
      <c r="J21" s="162">
        <f>'Design_&amp;_Technology_1'!J281</f>
        <v>6.9663229554343058</v>
      </c>
      <c r="K21" s="162">
        <f>'Design_&amp;_Technology_1'!K281</f>
        <v>6.8733179103308562</v>
      </c>
      <c r="L21" s="162">
        <f>'Design_&amp;_Technology_1'!L281</f>
        <v>6.7705035037744725</v>
      </c>
      <c r="M21" s="162">
        <f>'Design_&amp;_Technology_1'!M281</f>
        <v>6.6686830153478294</v>
      </c>
      <c r="N21" s="162">
        <f>'Design_&amp;_Technology_1'!N281</f>
        <v>6.6015828256376388</v>
      </c>
    </row>
    <row r="22" spans="2:14">
      <c r="B22" s="138" t="str">
        <f>Drama_1!B281</f>
        <v>Drama Deaths</v>
      </c>
      <c r="C22" s="162">
        <f>Drama_1!C281</f>
        <v>2.7827405632388205</v>
      </c>
      <c r="D22" s="162">
        <f>Drama_1!D281</f>
        <v>2.8134440988214982</v>
      </c>
      <c r="E22" s="162">
        <f>Drama_1!E281</f>
        <v>2.8414005983733688</v>
      </c>
      <c r="F22" s="162">
        <f>Drama_1!F281</f>
        <v>2.8760528154279763</v>
      </c>
      <c r="G22" s="162">
        <f>Drama_1!G281</f>
        <v>2.9038882392077485</v>
      </c>
      <c r="H22" s="162">
        <f>Drama_1!H281</f>
        <v>2.9242302433580107</v>
      </c>
      <c r="I22" s="162">
        <f>Drama_1!I281</f>
        <v>2.9358521877157995</v>
      </c>
      <c r="J22" s="162">
        <f>Drama_1!J281</f>
        <v>2.959855215545514</v>
      </c>
      <c r="K22" s="162">
        <f>Drama_1!K281</f>
        <v>2.9887037364983158</v>
      </c>
      <c r="L22" s="162">
        <f>Drama_1!L281</f>
        <v>3.0007525147098866</v>
      </c>
      <c r="M22" s="162">
        <f>Drama_1!M281</f>
        <v>3.0024762640397715</v>
      </c>
      <c r="N22" s="162">
        <f>Drama_1!N281</f>
        <v>3.0100193187013562</v>
      </c>
    </row>
    <row r="23" spans="2:14">
      <c r="B23" s="356" t="str">
        <f>English_1!B281</f>
        <v>English Deaths</v>
      </c>
      <c r="C23" s="162">
        <f>English_1!C281</f>
        <v>18.593571124023153</v>
      </c>
      <c r="D23" s="162">
        <f>English_1!D281</f>
        <v>18.930764319357159</v>
      </c>
      <c r="E23" s="162">
        <f>English_1!E281</f>
        <v>19.302007950133952</v>
      </c>
      <c r="F23" s="162">
        <f>English_1!F281</f>
        <v>19.493494181094896</v>
      </c>
      <c r="G23" s="162">
        <f>English_1!G281</f>
        <v>19.643117873231486</v>
      </c>
      <c r="H23" s="162">
        <f>English_1!H281</f>
        <v>19.805034436085403</v>
      </c>
      <c r="I23" s="162">
        <f>English_1!I281</f>
        <v>19.980232147408294</v>
      </c>
      <c r="J23" s="162">
        <f>English_1!J281</f>
        <v>20.187996400925933</v>
      </c>
      <c r="K23" s="162">
        <f>English_1!K281</f>
        <v>20.331911290409497</v>
      </c>
      <c r="L23" s="162">
        <f>English_1!L281</f>
        <v>20.433462287147432</v>
      </c>
      <c r="M23" s="162">
        <f>English_1!M281</f>
        <v>20.491247856942579</v>
      </c>
      <c r="N23" s="162">
        <f>English_1!N281</f>
        <v>20.514484454637945</v>
      </c>
    </row>
    <row r="24" spans="2:14">
      <c r="B24" s="356" t="str">
        <f>Food_1!B281</f>
        <v>Food Deaths</v>
      </c>
      <c r="C24" s="162">
        <f>Food_1!C281</f>
        <v>1.7892105290084455</v>
      </c>
      <c r="D24" s="162">
        <f>Food_1!D281</f>
        <v>1.6877225643112226</v>
      </c>
      <c r="E24" s="162">
        <f>Food_1!E281</f>
        <v>1.6123933373553416</v>
      </c>
      <c r="F24" s="162">
        <f>Food_1!F281</f>
        <v>1.5465302139655435</v>
      </c>
      <c r="G24" s="162">
        <f>Food_1!G281</f>
        <v>1.4836261224729999</v>
      </c>
      <c r="H24" s="162">
        <f>Food_1!H281</f>
        <v>1.42726618656724</v>
      </c>
      <c r="I24" s="162">
        <f>Food_1!I281</f>
        <v>1.3776074476274363</v>
      </c>
      <c r="J24" s="162">
        <f>Food_1!J281</f>
        <v>1.3379930340109329</v>
      </c>
      <c r="K24" s="162">
        <f>Food_1!K281</f>
        <v>1.3080122203017017</v>
      </c>
      <c r="L24" s="162">
        <f>Food_1!L281</f>
        <v>1.2836424108152924</v>
      </c>
      <c r="M24" s="162">
        <f>Food_1!M281</f>
        <v>1.2628537946037077</v>
      </c>
      <c r="N24" s="162">
        <f>Food_1!N281</f>
        <v>1.2424830807980529</v>
      </c>
    </row>
    <row r="25" spans="2:14">
      <c r="B25" s="138" t="str">
        <f>Geography_1!B281</f>
        <v>Geography Deaths</v>
      </c>
      <c r="C25" s="162">
        <f>Geography_1!C281</f>
        <v>6.7159661703889997</v>
      </c>
      <c r="D25" s="162">
        <f>Geography_1!D281</f>
        <v>6.8943252364385978</v>
      </c>
      <c r="E25" s="162">
        <f>Geography_1!E281</f>
        <v>7.0410026734656013</v>
      </c>
      <c r="F25" s="162">
        <f>Geography_1!F281</f>
        <v>7.1721327560225649</v>
      </c>
      <c r="G25" s="162">
        <f>Geography_1!G281</f>
        <v>7.2838035231815947</v>
      </c>
      <c r="H25" s="162">
        <f>Geography_1!H281</f>
        <v>7.3844389470472054</v>
      </c>
      <c r="I25" s="162">
        <f>Geography_1!I281</f>
        <v>7.4738889213212651</v>
      </c>
      <c r="J25" s="162">
        <f>Geography_1!J281</f>
        <v>7.5787280699679407</v>
      </c>
      <c r="K25" s="162">
        <f>Geography_1!K281</f>
        <v>7.6510822735044659</v>
      </c>
      <c r="L25" s="162">
        <f>Geography_1!L281</f>
        <v>7.6879084593930376</v>
      </c>
      <c r="M25" s="162">
        <f>Geography_1!M281</f>
        <v>7.6995809379455782</v>
      </c>
      <c r="N25" s="162">
        <f>Geography_1!N281</f>
        <v>7.7131795035014594</v>
      </c>
    </row>
    <row r="26" spans="2:14">
      <c r="B26" s="138" t="str">
        <f>History_1!B281</f>
        <v>History Deaths</v>
      </c>
      <c r="C26" s="162">
        <f>History_1!C281</f>
        <v>7.0854953229007904</v>
      </c>
      <c r="D26" s="162">
        <f>History_1!D281</f>
        <v>7.2831308081703536</v>
      </c>
      <c r="E26" s="162">
        <f>History_1!E281</f>
        <v>7.4390623994963718</v>
      </c>
      <c r="F26" s="162">
        <f>History_1!F281</f>
        <v>7.5750383569601869</v>
      </c>
      <c r="G26" s="162">
        <f>History_1!G281</f>
        <v>7.692152959693539</v>
      </c>
      <c r="H26" s="162">
        <f>History_1!H281</f>
        <v>7.7988949344473122</v>
      </c>
      <c r="I26" s="162">
        <f>History_1!I281</f>
        <v>7.896186638220648</v>
      </c>
      <c r="J26" s="162">
        <f>History_1!J281</f>
        <v>8.009650892371404</v>
      </c>
      <c r="K26" s="162">
        <f>History_1!K281</f>
        <v>8.0914776315247572</v>
      </c>
      <c r="L26" s="162">
        <f>History_1!L281</f>
        <v>8.1372320655956081</v>
      </c>
      <c r="M26" s="162">
        <f>History_1!M281</f>
        <v>8.1574257568990305</v>
      </c>
      <c r="N26" s="162">
        <f>History_1!N281</f>
        <v>8.1785698416780832</v>
      </c>
    </row>
    <row r="27" spans="2:14">
      <c r="B27" s="138" t="str">
        <f>Mathematics_1!B281</f>
        <v>Mathematics Deaths</v>
      </c>
      <c r="C27" s="162">
        <f>Mathematics_1!C281</f>
        <v>23.10267867268248</v>
      </c>
      <c r="D27" s="162">
        <f>Mathematics_1!D281</f>
        <v>22.929317686447167</v>
      </c>
      <c r="E27" s="162">
        <f>Mathematics_1!E281</f>
        <v>22.715199697065273</v>
      </c>
      <c r="F27" s="162">
        <f>Mathematics_1!F281</f>
        <v>22.556354370100021</v>
      </c>
      <c r="G27" s="162">
        <f>Mathematics_1!G281</f>
        <v>22.373598362230979</v>
      </c>
      <c r="H27" s="162">
        <f>Mathematics_1!H281</f>
        <v>22.264822730278979</v>
      </c>
      <c r="I27" s="162">
        <f>Mathematics_1!I281</f>
        <v>22.221543654067638</v>
      </c>
      <c r="J27" s="162">
        <f>Mathematics_1!J281</f>
        <v>22.257541711892841</v>
      </c>
      <c r="K27" s="162">
        <f>Mathematics_1!K281</f>
        <v>22.266498552998534</v>
      </c>
      <c r="L27" s="162">
        <f>Mathematics_1!L281</f>
        <v>22.252632202806375</v>
      </c>
      <c r="M27" s="162">
        <f>Mathematics_1!M281</f>
        <v>22.216565729041093</v>
      </c>
      <c r="N27" s="162">
        <f>Mathematics_1!N281</f>
        <v>22.172417913220563</v>
      </c>
    </row>
    <row r="28" spans="2:14">
      <c r="B28" s="138" t="str">
        <f>Modern_Foreign_Languages_1!B281</f>
        <v>Modern Foreign Languages Deaths</v>
      </c>
      <c r="C28" s="162">
        <f>Modern_Foreign_Languages_1!C281</f>
        <v>10.816640683616745</v>
      </c>
      <c r="D28" s="162">
        <f>Modern_Foreign_Languages_1!D281</f>
        <v>10.80126284415457</v>
      </c>
      <c r="E28" s="162">
        <f>Modern_Foreign_Languages_1!E281</f>
        <v>10.926896858858337</v>
      </c>
      <c r="F28" s="162">
        <f>Modern_Foreign_Languages_1!F281</f>
        <v>11.064971017096614</v>
      </c>
      <c r="G28" s="162">
        <f>Modern_Foreign_Languages_1!G281</f>
        <v>11.233665518409898</v>
      </c>
      <c r="H28" s="162">
        <f>Modern_Foreign_Languages_1!H281</f>
        <v>11.476148507981826</v>
      </c>
      <c r="I28" s="162">
        <f>Modern_Foreign_Languages_1!I281</f>
        <v>11.795106518117402</v>
      </c>
      <c r="J28" s="162">
        <f>Modern_Foreign_Languages_1!J281</f>
        <v>12.108114849131455</v>
      </c>
      <c r="K28" s="162">
        <f>Modern_Foreign_Languages_1!K281</f>
        <v>12.136999480570898</v>
      </c>
      <c r="L28" s="162">
        <f>Modern_Foreign_Languages_1!L281</f>
        <v>12.112248256970027</v>
      </c>
      <c r="M28" s="162">
        <f>Modern_Foreign_Languages_1!M281</f>
        <v>12.053074450386518</v>
      </c>
      <c r="N28" s="162">
        <f>Modern_Foreign_Languages_1!N281</f>
        <v>12.011979464130512</v>
      </c>
    </row>
    <row r="29" spans="2:14">
      <c r="B29" s="138" t="str">
        <f>Music_1!B281</f>
        <v>Music Deaths</v>
      </c>
      <c r="C29" s="162">
        <f>Music_1!C281</f>
        <v>3.1471221953475763</v>
      </c>
      <c r="D29" s="162">
        <f>Music_1!D281</f>
        <v>3.2024624044724579</v>
      </c>
      <c r="E29" s="162">
        <f>Music_1!E281</f>
        <v>3.2385864033920688</v>
      </c>
      <c r="F29" s="162">
        <f>Music_1!F281</f>
        <v>3.2778812379082707</v>
      </c>
      <c r="G29" s="162">
        <f>Music_1!G281</f>
        <v>3.3039381555478897</v>
      </c>
      <c r="H29" s="162">
        <f>Music_1!H281</f>
        <v>3.3171856449786046</v>
      </c>
      <c r="I29" s="162">
        <f>Music_1!I281</f>
        <v>3.3165474723941442</v>
      </c>
      <c r="J29" s="162">
        <f>Music_1!J281</f>
        <v>3.3322000006298058</v>
      </c>
      <c r="K29" s="162">
        <f>Music_1!K281</f>
        <v>3.3531067013444642</v>
      </c>
      <c r="L29" s="162">
        <f>Music_1!L281</f>
        <v>3.3525333310538796</v>
      </c>
      <c r="M29" s="162">
        <f>Music_1!M281</f>
        <v>3.3404275342009346</v>
      </c>
      <c r="N29" s="162">
        <f>Music_1!N281</f>
        <v>3.3419202154616827</v>
      </c>
    </row>
    <row r="30" spans="2:14">
      <c r="B30" s="138" t="str">
        <f>Others_1!B281</f>
        <v>Others Deaths</v>
      </c>
      <c r="C30" s="162">
        <f>Others_1!C281</f>
        <v>10.228610691519702</v>
      </c>
      <c r="D30" s="162">
        <f>Others_1!D281</f>
        <v>9.837244529573109</v>
      </c>
      <c r="E30" s="162">
        <f>Others_1!E281</f>
        <v>9.5254816628985601</v>
      </c>
      <c r="F30" s="162">
        <f>Others_1!F281</f>
        <v>9.2710341494773107</v>
      </c>
      <c r="G30" s="162">
        <f>Others_1!G281</f>
        <v>9.1052686084664476</v>
      </c>
      <c r="H30" s="162">
        <f>Others_1!H281</f>
        <v>8.9857252385288202</v>
      </c>
      <c r="I30" s="162">
        <f>Others_1!I281</f>
        <v>8.9130197974329981</v>
      </c>
      <c r="J30" s="162">
        <f>Others_1!J281</f>
        <v>8.8875086368454337</v>
      </c>
      <c r="K30" s="162">
        <f>Others_1!K281</f>
        <v>8.9139905107696329</v>
      </c>
      <c r="L30" s="162">
        <f>Others_1!L281</f>
        <v>8.9274683252985341</v>
      </c>
      <c r="M30" s="162">
        <f>Others_1!M281</f>
        <v>8.9365756750744954</v>
      </c>
      <c r="N30" s="162">
        <f>Others_1!N281</f>
        <v>8.9457311026049293</v>
      </c>
    </row>
    <row r="31" spans="2:14">
      <c r="B31" s="138" t="str">
        <f>Physical_Education_1!B281</f>
        <v>Physical Education Deaths</v>
      </c>
      <c r="C31" s="162">
        <f>Physical_Education_1!C281</f>
        <v>8.750073177591597</v>
      </c>
      <c r="D31" s="162">
        <f>Physical_Education_1!D281</f>
        <v>9.0638765178894936</v>
      </c>
      <c r="E31" s="162">
        <f>Physical_Education_1!E281</f>
        <v>9.4390858926086008</v>
      </c>
      <c r="F31" s="162">
        <f>Physical_Education_1!F281</f>
        <v>9.8081351256911429</v>
      </c>
      <c r="G31" s="162">
        <f>Physical_Education_1!G281</f>
        <v>10.110398414118707</v>
      </c>
      <c r="H31" s="162">
        <f>Physical_Education_1!H281</f>
        <v>10.357954810442763</v>
      </c>
      <c r="I31" s="162">
        <f>Physical_Education_1!I281</f>
        <v>10.550863366498419</v>
      </c>
      <c r="J31" s="162">
        <f>Physical_Education_1!J281</f>
        <v>10.753198108122621</v>
      </c>
      <c r="K31" s="162">
        <f>Physical_Education_1!K281</f>
        <v>10.951082929597465</v>
      </c>
      <c r="L31" s="162">
        <f>Physical_Education_1!L281</f>
        <v>11.090250837645588</v>
      </c>
      <c r="M31" s="162">
        <f>Physical_Education_1!M281</f>
        <v>11.180979379228411</v>
      </c>
      <c r="N31" s="162">
        <f>Physical_Education_1!N281</f>
        <v>11.249787383396111</v>
      </c>
    </row>
    <row r="32" spans="2:14">
      <c r="B32" s="138" t="str">
        <f>Physics_1!B281</f>
        <v>Physics Deaths</v>
      </c>
      <c r="C32" s="162">
        <f>Physics_1!C281</f>
        <v>8.1351111033438013</v>
      </c>
      <c r="D32" s="162">
        <f>Physics_1!D281</f>
        <v>8.1468858571363754</v>
      </c>
      <c r="E32" s="162">
        <f>Physics_1!E281</f>
        <v>8.0720384116191788</v>
      </c>
      <c r="F32" s="162">
        <f>Physics_1!F281</f>
        <v>8.0034001975380722</v>
      </c>
      <c r="G32" s="162">
        <f>Physics_1!G281</f>
        <v>7.9520314706959851</v>
      </c>
      <c r="H32" s="162">
        <f>Physics_1!H281</f>
        <v>7.9280576443813127</v>
      </c>
      <c r="I32" s="162">
        <f>Physics_1!I281</f>
        <v>7.931120024068445</v>
      </c>
      <c r="J32" s="162">
        <f>Physics_1!J281</f>
        <v>7.9488679632157204</v>
      </c>
      <c r="K32" s="162">
        <f>Physics_1!K281</f>
        <v>7.9586863192240695</v>
      </c>
      <c r="L32" s="162">
        <f>Physics_1!L281</f>
        <v>7.9698498572370635</v>
      </c>
      <c r="M32" s="162">
        <f>Physics_1!M281</f>
        <v>7.9752888210376369</v>
      </c>
      <c r="N32" s="162">
        <f>Physics_1!N281</f>
        <v>7.9605028325364415</v>
      </c>
    </row>
    <row r="33" spans="2:14">
      <c r="B33" s="138" t="str">
        <f>Religious_Education_1!B281</f>
        <v>Religious Education Deaths</v>
      </c>
      <c r="C33" s="162">
        <f>Religious_Education_1!C281</f>
        <v>4.9214581596978562</v>
      </c>
      <c r="D33" s="162">
        <f>Religious_Education_1!D281</f>
        <v>4.8540236069658054</v>
      </c>
      <c r="E33" s="162">
        <f>Religious_Education_1!E281</f>
        <v>4.8158312993259278</v>
      </c>
      <c r="F33" s="162">
        <f>Religious_Education_1!F281</f>
        <v>4.7955737673786505</v>
      </c>
      <c r="G33" s="162">
        <f>Religious_Education_1!G281</f>
        <v>4.7708542889941965</v>
      </c>
      <c r="H33" s="162">
        <f>Religious_Education_1!H281</f>
        <v>4.7442734640779864</v>
      </c>
      <c r="I33" s="162">
        <f>Religious_Education_1!I281</f>
        <v>4.7147916898814728</v>
      </c>
      <c r="J33" s="162">
        <f>Religious_Education_1!J281</f>
        <v>4.7076177024507224</v>
      </c>
      <c r="K33" s="162">
        <f>Religious_Education_1!K281</f>
        <v>4.7154358730365926</v>
      </c>
      <c r="L33" s="162">
        <f>Religious_Education_1!L281</f>
        <v>4.7119126554880975</v>
      </c>
      <c r="M33" s="162">
        <f>Religious_Education_1!M281</f>
        <v>4.7006910257871404</v>
      </c>
      <c r="N33" s="162">
        <f>Religious_Education_1!N281</f>
        <v>4.69290368180837</v>
      </c>
    </row>
    <row r="34" spans="2:14">
      <c r="B34" s="8" t="s">
        <v>628</v>
      </c>
      <c r="C34" s="242">
        <f>SUM(C14:C33)</f>
        <v>283.91239435925326</v>
      </c>
      <c r="D34" s="242">
        <f t="shared" ref="D34:N34" si="0">SUM(D14:D33)</f>
        <v>284.72534271678529</v>
      </c>
      <c r="E34" s="242">
        <f t="shared" si="0"/>
        <v>284.75952047843339</v>
      </c>
      <c r="F34" s="242">
        <f t="shared" si="0"/>
        <v>284.29247718523476</v>
      </c>
      <c r="G34" s="242">
        <f t="shared" si="0"/>
        <v>283.84073587097112</v>
      </c>
      <c r="H34" s="242">
        <f t="shared" si="0"/>
        <v>283.59197072886695</v>
      </c>
      <c r="I34" s="242">
        <f t="shared" si="0"/>
        <v>283.54670710782625</v>
      </c>
      <c r="J34" s="242">
        <f t="shared" si="0"/>
        <v>283.90208853004862</v>
      </c>
      <c r="K34" s="242">
        <f t="shared" si="0"/>
        <v>284.22900574275349</v>
      </c>
      <c r="L34" s="242">
        <f t="shared" si="0"/>
        <v>284.41505111138088</v>
      </c>
      <c r="M34" s="242">
        <f t="shared" si="0"/>
        <v>284.40467016972866</v>
      </c>
      <c r="N34" s="242">
        <f t="shared" si="0"/>
        <v>284.33745463955438</v>
      </c>
    </row>
    <row r="35" spans="2:14">
      <c r="B35" s="1113" t="s">
        <v>1759</v>
      </c>
      <c r="C35" s="242">
        <f>C34-C14</f>
        <v>144.19381863795905</v>
      </c>
      <c r="D35" s="242">
        <f t="shared" ref="D35:M35" si="1">D34-D14</f>
        <v>144.20754974870354</v>
      </c>
      <c r="E35" s="242">
        <f t="shared" si="1"/>
        <v>144.30914463170697</v>
      </c>
      <c r="F35" s="242">
        <f t="shared" si="1"/>
        <v>144.41084665423884</v>
      </c>
      <c r="G35" s="242">
        <f t="shared" si="1"/>
        <v>144.4943488449594</v>
      </c>
      <c r="H35" s="242">
        <f t="shared" si="1"/>
        <v>144.7721029155388</v>
      </c>
      <c r="I35" s="242">
        <f t="shared" si="1"/>
        <v>145.23870739989252</v>
      </c>
      <c r="J35" s="242">
        <f t="shared" si="1"/>
        <v>146.10338968363709</v>
      </c>
      <c r="K35" s="242">
        <f t="shared" si="1"/>
        <v>146.6599771359181</v>
      </c>
      <c r="L35" s="242">
        <f t="shared" si="1"/>
        <v>146.85873987388752</v>
      </c>
      <c r="M35" s="242">
        <f t="shared" si="1"/>
        <v>146.78369362467217</v>
      </c>
      <c r="N35" s="242">
        <f>N34-N14</f>
        <v>146.66438446240539</v>
      </c>
    </row>
    <row r="36" spans="2:14">
      <c r="B36" s="186"/>
      <c r="C36" s="1134"/>
      <c r="D36" s="1134"/>
      <c r="E36" s="1134"/>
      <c r="F36" s="1134"/>
      <c r="G36" s="1134"/>
      <c r="H36" s="1134"/>
      <c r="I36" s="1134"/>
      <c r="J36" s="1134"/>
      <c r="K36" s="1134"/>
      <c r="L36" s="1134"/>
      <c r="M36" s="1134"/>
      <c r="N36" s="1134"/>
    </row>
  </sheetData>
  <hyperlinks>
    <hyperlink ref="A2" location="'Title_&amp;_Contents'!A1" display="Contents"/>
    <hyperlink ref="B2" location="Map_of_sheets!A1" display="Map of shee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Z46"/>
  <sheetViews>
    <sheetView showGridLines="0" zoomScaleNormal="100" workbookViewId="0"/>
  </sheetViews>
  <sheetFormatPr defaultColWidth="9.140625" defaultRowHeight="12.75"/>
  <cols>
    <col min="1" max="1" width="9.140625" style="302"/>
    <col min="2" max="2" width="33.7109375" style="302" customWidth="1"/>
    <col min="3" max="14" width="10.7109375" style="302" customWidth="1"/>
    <col min="15" max="16384" width="9.140625" style="302"/>
  </cols>
  <sheetData>
    <row r="1" spans="1:26" s="337" customFormat="1" ht="15">
      <c r="A1" s="336" t="str">
        <f>ModelBanner</f>
        <v>TSM_201819 Publication</v>
      </c>
    </row>
    <row r="2" spans="1:26" s="337" customFormat="1" ht="15">
      <c r="A2" s="940" t="s">
        <v>13</v>
      </c>
      <c r="B2" s="940" t="s">
        <v>30</v>
      </c>
      <c r="Q2" s="474"/>
      <c r="R2" s="474"/>
      <c r="S2" s="474"/>
      <c r="T2" s="474"/>
      <c r="U2" s="474"/>
      <c r="V2" s="474"/>
    </row>
    <row r="3" spans="1:26" s="337" customFormat="1" ht="15">
      <c r="A3" s="338"/>
      <c r="Q3" s="474"/>
      <c r="R3" s="474"/>
      <c r="S3" s="474"/>
      <c r="T3" s="474"/>
      <c r="U3" s="474"/>
      <c r="V3" s="474"/>
    </row>
    <row r="4" spans="1:26" s="341" customFormat="1" ht="15">
      <c r="A4" s="339" t="s">
        <v>26</v>
      </c>
      <c r="B4" s="339"/>
      <c r="E4" s="337"/>
      <c r="Q4" s="474"/>
      <c r="R4" s="474"/>
      <c r="S4" s="474"/>
      <c r="T4" s="474"/>
      <c r="U4" s="474"/>
      <c r="V4" s="474"/>
    </row>
    <row r="5" spans="1:26" s="343" customFormat="1" ht="13.9" customHeight="1">
      <c r="A5" s="682" t="s">
        <v>1498</v>
      </c>
      <c r="B5" s="682"/>
      <c r="C5" s="682"/>
      <c r="D5" s="682"/>
      <c r="E5" s="682"/>
      <c r="F5" s="682"/>
      <c r="G5" s="682"/>
      <c r="H5" s="682"/>
      <c r="I5" s="682"/>
      <c r="J5" s="682"/>
      <c r="K5" s="341"/>
      <c r="L5" s="341"/>
      <c r="M5" s="341"/>
      <c r="N5" s="341"/>
      <c r="O5" s="342"/>
      <c r="P5" s="342"/>
      <c r="Q5" s="474"/>
      <c r="R5" s="474"/>
      <c r="S5" s="474"/>
      <c r="T5" s="474"/>
      <c r="U5" s="474"/>
      <c r="V5" s="474"/>
    </row>
    <row r="6" spans="1:26" s="347" customFormat="1" ht="15">
      <c r="A6" s="344" t="s">
        <v>1392</v>
      </c>
      <c r="B6" s="345"/>
      <c r="C6" s="346"/>
      <c r="D6" s="346"/>
      <c r="E6" s="337"/>
      <c r="F6" s="346"/>
      <c r="G6" s="346"/>
      <c r="H6" s="346"/>
      <c r="I6" s="346"/>
      <c r="J6" s="346"/>
      <c r="K6" s="346"/>
      <c r="L6" s="346"/>
      <c r="M6" s="346"/>
      <c r="N6" s="346"/>
      <c r="O6" s="346"/>
      <c r="P6" s="346"/>
      <c r="Q6" s="474"/>
      <c r="R6" s="474"/>
      <c r="S6" s="474"/>
      <c r="T6" s="474"/>
      <c r="U6" s="474"/>
      <c r="V6" s="474"/>
    </row>
    <row r="7" spans="1:26" s="347" customFormat="1" ht="15">
      <c r="A7" s="348" t="s">
        <v>349</v>
      </c>
      <c r="B7" s="344"/>
      <c r="C7" s="346"/>
      <c r="D7" s="346"/>
      <c r="E7" s="337"/>
      <c r="F7" s="346"/>
      <c r="G7" s="346"/>
      <c r="H7" s="346"/>
      <c r="I7" s="726"/>
      <c r="J7" s="346"/>
      <c r="K7" s="346"/>
      <c r="L7" s="346"/>
      <c r="M7" s="346"/>
      <c r="N7" s="346"/>
      <c r="O7" s="346"/>
      <c r="P7" s="346"/>
      <c r="Q7" s="474"/>
      <c r="R7" s="474"/>
      <c r="S7" s="474"/>
      <c r="T7" s="474"/>
      <c r="U7" s="474"/>
      <c r="V7" s="474"/>
    </row>
    <row r="8" spans="1:26" s="347" customFormat="1" ht="15">
      <c r="A8" s="344" t="s">
        <v>24</v>
      </c>
      <c r="B8" s="345"/>
      <c r="C8" s="547"/>
      <c r="D8" s="346"/>
      <c r="E8" s="337"/>
      <c r="F8" s="346"/>
      <c r="G8" s="346"/>
      <c r="H8" s="346"/>
      <c r="I8" s="346"/>
      <c r="J8" s="346"/>
      <c r="K8" s="346"/>
      <c r="L8" s="346"/>
      <c r="M8" s="346"/>
      <c r="N8" s="346"/>
      <c r="O8" s="346"/>
      <c r="P8" s="346"/>
      <c r="Q8" s="474"/>
      <c r="R8" s="474"/>
      <c r="S8" s="474"/>
      <c r="T8" s="474"/>
      <c r="U8" s="474"/>
      <c r="V8" s="474"/>
    </row>
    <row r="9" spans="1:26" s="347" customFormat="1" ht="15">
      <c r="A9" s="348" t="s">
        <v>124</v>
      </c>
      <c r="B9" s="345"/>
      <c r="C9" s="346"/>
      <c r="D9" s="346"/>
      <c r="E9" s="337"/>
      <c r="F9" s="346"/>
      <c r="G9" s="346"/>
      <c r="H9" s="346"/>
      <c r="I9" s="346"/>
      <c r="J9" s="346"/>
      <c r="K9" s="346"/>
      <c r="L9" s="346"/>
      <c r="M9" s="346"/>
      <c r="N9" s="346"/>
      <c r="O9" s="346"/>
      <c r="P9" s="346"/>
      <c r="Q9" s="474"/>
      <c r="R9" s="474"/>
      <c r="S9" s="474"/>
      <c r="T9" s="474"/>
      <c r="U9" s="474"/>
      <c r="V9" s="474"/>
    </row>
    <row r="10" spans="1:26" s="355" customFormat="1" ht="13.5" customHeight="1">
      <c r="A10" s="349">
        <f>SUM(A13:A2222)</f>
        <v>0</v>
      </c>
      <c r="B10" s="350"/>
      <c r="C10" s="351"/>
      <c r="D10" s="352"/>
      <c r="E10" s="352"/>
      <c r="F10" s="352"/>
      <c r="G10" s="353"/>
      <c r="H10" s="352"/>
      <c r="I10" s="352"/>
      <c r="J10" s="353"/>
      <c r="K10" s="354"/>
      <c r="L10" s="354"/>
      <c r="M10" s="354"/>
      <c r="N10" s="354"/>
      <c r="O10" s="354"/>
      <c r="P10" s="354"/>
    </row>
    <row r="12" spans="1:26">
      <c r="C12" s="392"/>
      <c r="D12" s="392"/>
      <c r="E12" s="392"/>
      <c r="F12" s="392"/>
      <c r="G12" s="392"/>
      <c r="H12" s="392"/>
      <c r="I12" s="392"/>
      <c r="J12" s="392"/>
      <c r="K12" s="392"/>
      <c r="L12" s="392"/>
      <c r="M12" s="392"/>
      <c r="N12" s="392"/>
      <c r="P12" s="374"/>
    </row>
    <row r="13" spans="1:26">
      <c r="B13" s="356"/>
      <c r="C13" s="356" t="str">
        <f>'Art_&amp;_Design_1'!C293</f>
        <v>2017/18</v>
      </c>
      <c r="D13" s="356" t="str">
        <f>'Art_&amp;_Design_1'!D293</f>
        <v>2018/19</v>
      </c>
      <c r="E13" s="356" t="str">
        <f>'Art_&amp;_Design_1'!E293</f>
        <v>2019/20</v>
      </c>
      <c r="F13" s="356" t="str">
        <f>'Art_&amp;_Design_1'!F293</f>
        <v>2020/21</v>
      </c>
      <c r="G13" s="356" t="str">
        <f>'Art_&amp;_Design_1'!G293</f>
        <v>2021/22</v>
      </c>
      <c r="H13" s="356" t="str">
        <f>'Art_&amp;_Design_1'!H293</f>
        <v>2022/23</v>
      </c>
      <c r="I13" s="356" t="str">
        <f>'Art_&amp;_Design_1'!I293</f>
        <v>2023/24</v>
      </c>
      <c r="J13" s="356" t="str">
        <f>'Art_&amp;_Design_1'!J293</f>
        <v>2024/25</v>
      </c>
      <c r="K13" s="356" t="str">
        <f>'Art_&amp;_Design_1'!K293</f>
        <v>2025/26</v>
      </c>
      <c r="L13" s="356" t="str">
        <f>'Art_&amp;_Design_1'!L293</f>
        <v>2026/27</v>
      </c>
      <c r="M13" s="356" t="str">
        <f>'Art_&amp;_Design_1'!M293</f>
        <v>2027/28</v>
      </c>
      <c r="N13" s="356" t="str">
        <f>'Art_&amp;_Design_1'!N293</f>
        <v>2028/29</v>
      </c>
      <c r="P13" s="376"/>
    </row>
    <row r="14" spans="1:26">
      <c r="B14" s="373" t="str">
        <f>Primary_1!B279</f>
        <v>Primary Leavers</v>
      </c>
      <c r="C14" s="276">
        <f>Primary_1!C279</f>
        <v>25469.999050665137</v>
      </c>
      <c r="D14" s="276">
        <f>Primary_1!D279</f>
        <v>25503.585449146347</v>
      </c>
      <c r="E14" s="276">
        <f>Primary_1!E279</f>
        <v>25830.126220973485</v>
      </c>
      <c r="F14" s="276">
        <f>Primary_1!F279</f>
        <v>25884.628847040363</v>
      </c>
      <c r="G14" s="276">
        <f>Primary_1!G279</f>
        <v>25824.850765185955</v>
      </c>
      <c r="H14" s="276">
        <f>Primary_1!H279</f>
        <v>25769.802032877469</v>
      </c>
      <c r="I14" s="276">
        <f>Primary_1!I279</f>
        <v>25710.756349603485</v>
      </c>
      <c r="J14" s="276">
        <f>Primary_1!J279</f>
        <v>25641.555549155513</v>
      </c>
      <c r="K14" s="276">
        <f>Primary_1!K279</f>
        <v>25648.461774369662</v>
      </c>
      <c r="L14" s="276">
        <f>Primary_1!L279</f>
        <v>25708.639956692565</v>
      </c>
      <c r="M14" s="276">
        <f>Primary_1!M279</f>
        <v>25778.373005504072</v>
      </c>
      <c r="N14" s="276">
        <f>Primary_1!N279</f>
        <v>25832.426165774519</v>
      </c>
      <c r="P14" s="377"/>
    </row>
    <row r="15" spans="1:26">
      <c r="B15" s="356" t="str">
        <f>'Art_&amp;_Design_1'!B279</f>
        <v>Art &amp; Design Leavers</v>
      </c>
      <c r="C15" s="276">
        <f>'Art_&amp;_Design_1'!C279</f>
        <v>886.0012563220331</v>
      </c>
      <c r="D15" s="276">
        <f>'Art_&amp;_Design_1'!D279</f>
        <v>876.79440794377228</v>
      </c>
      <c r="E15" s="276">
        <f>'Art_&amp;_Design_1'!E279</f>
        <v>889.89927293509618</v>
      </c>
      <c r="F15" s="276">
        <f>'Art_&amp;_Design_1'!F279</f>
        <v>897.86612832883031</v>
      </c>
      <c r="G15" s="276">
        <f>'Art_&amp;_Design_1'!G279</f>
        <v>899.45427740373793</v>
      </c>
      <c r="H15" s="276">
        <f>'Art_&amp;_Design_1'!H279</f>
        <v>898.47161866391718</v>
      </c>
      <c r="I15" s="276">
        <f>'Art_&amp;_Design_1'!I279</f>
        <v>894.88312360459372</v>
      </c>
      <c r="J15" s="276">
        <f>'Art_&amp;_Design_1'!J279</f>
        <v>896.62622796147957</v>
      </c>
      <c r="K15" s="276">
        <f>'Art_&amp;_Design_1'!K279</f>
        <v>901.22365418069194</v>
      </c>
      <c r="L15" s="276">
        <f>'Art_&amp;_Design_1'!L279</f>
        <v>900.0099905841945</v>
      </c>
      <c r="M15" s="276">
        <f>'Art_&amp;_Design_1'!M279</f>
        <v>895.66042865809982</v>
      </c>
      <c r="N15" s="276">
        <f>'Art_&amp;_Design_1'!N279</f>
        <v>893.65011942100114</v>
      </c>
      <c r="P15" s="375"/>
      <c r="Q15" s="375"/>
      <c r="R15" s="375"/>
      <c r="S15" s="375"/>
      <c r="T15" s="375"/>
      <c r="U15" s="375"/>
      <c r="V15" s="375"/>
      <c r="W15" s="375"/>
      <c r="X15" s="375"/>
      <c r="Y15" s="375"/>
      <c r="Z15" s="375"/>
    </row>
    <row r="16" spans="1:26">
      <c r="B16" s="356" t="str">
        <f>Biology_1!B279</f>
        <v>Biology Leavers</v>
      </c>
      <c r="C16" s="276">
        <f>Biology_1!C279</f>
        <v>1416.0372020053983</v>
      </c>
      <c r="D16" s="276">
        <f>Biology_1!D279</f>
        <v>1452.7593773081346</v>
      </c>
      <c r="E16" s="276">
        <f>Biology_1!E279</f>
        <v>1495.2466468015721</v>
      </c>
      <c r="F16" s="276">
        <f>Biology_1!F279</f>
        <v>1515.0038432026759</v>
      </c>
      <c r="G16" s="276">
        <f>Biology_1!G279</f>
        <v>1530.0993042791483</v>
      </c>
      <c r="H16" s="276">
        <f>Biology_1!H279</f>
        <v>1548.1380471966927</v>
      </c>
      <c r="I16" s="276">
        <f>Biology_1!I279</f>
        <v>1569.113990300629</v>
      </c>
      <c r="J16" s="276">
        <f>Biology_1!J279</f>
        <v>1591.0799224805669</v>
      </c>
      <c r="K16" s="276">
        <f>Biology_1!K279</f>
        <v>1606.452933329487</v>
      </c>
      <c r="L16" s="276">
        <f>Biology_1!L279</f>
        <v>1617.0097636446426</v>
      </c>
      <c r="M16" s="276">
        <f>Biology_1!M279</f>
        <v>1622.6052493615341</v>
      </c>
      <c r="N16" s="276">
        <f>Biology_1!N279</f>
        <v>1622.0212657505137</v>
      </c>
      <c r="P16" s="375"/>
      <c r="Q16" s="375"/>
      <c r="R16" s="375"/>
      <c r="S16" s="375"/>
      <c r="T16" s="375"/>
      <c r="U16" s="375"/>
      <c r="V16" s="375"/>
      <c r="W16" s="375"/>
      <c r="X16" s="375"/>
    </row>
    <row r="17" spans="2:24">
      <c r="B17" s="356" t="str">
        <f>Business_Studies_1!B279</f>
        <v>Business Studies Leavers</v>
      </c>
      <c r="C17" s="276">
        <f>Business_Studies_1!C279</f>
        <v>426.39414144807483</v>
      </c>
      <c r="D17" s="276">
        <f>Business_Studies_1!D279</f>
        <v>409.48104831961575</v>
      </c>
      <c r="E17" s="276">
        <f>Business_Studies_1!E279</f>
        <v>411.11757571457838</v>
      </c>
      <c r="F17" s="276">
        <f>Business_Studies_1!F279</f>
        <v>407.08941207564385</v>
      </c>
      <c r="G17" s="276">
        <f>Business_Studies_1!G279</f>
        <v>407.2540026249045</v>
      </c>
      <c r="H17" s="276">
        <f>Business_Studies_1!H279</f>
        <v>409.14425884461747</v>
      </c>
      <c r="I17" s="276">
        <f>Business_Studies_1!I279</f>
        <v>413.3371900755036</v>
      </c>
      <c r="J17" s="276">
        <f>Business_Studies_1!J279</f>
        <v>417.71464170755974</v>
      </c>
      <c r="K17" s="276">
        <f>Business_Studies_1!K279</f>
        <v>424.22445439153853</v>
      </c>
      <c r="L17" s="276">
        <f>Business_Studies_1!L279</f>
        <v>430.27733688619526</v>
      </c>
      <c r="M17" s="276">
        <f>Business_Studies_1!M279</f>
        <v>435.43586458682114</v>
      </c>
      <c r="N17" s="276">
        <f>Business_Studies_1!N279</f>
        <v>436.92985334534683</v>
      </c>
      <c r="P17" s="375"/>
      <c r="Q17" s="375"/>
      <c r="R17" s="375"/>
      <c r="S17" s="375"/>
      <c r="T17" s="375"/>
      <c r="U17" s="375"/>
      <c r="V17" s="375"/>
      <c r="W17" s="375"/>
      <c r="X17" s="375"/>
    </row>
    <row r="18" spans="2:24">
      <c r="B18" s="356" t="str">
        <f>Chemistry_1!B279</f>
        <v>Chemistry Leavers</v>
      </c>
      <c r="C18" s="276">
        <f>Chemistry_1!C279</f>
        <v>1306.499686790713</v>
      </c>
      <c r="D18" s="276">
        <f>Chemistry_1!D279</f>
        <v>1331.8961649055041</v>
      </c>
      <c r="E18" s="276">
        <f>Chemistry_1!E279</f>
        <v>1370.7268692886992</v>
      </c>
      <c r="F18" s="276">
        <f>Chemistry_1!F279</f>
        <v>1381.0458524761259</v>
      </c>
      <c r="G18" s="276">
        <f>Chemistry_1!G279</f>
        <v>1390.1894024405958</v>
      </c>
      <c r="H18" s="276">
        <f>Chemistry_1!H279</f>
        <v>1402.0573853828628</v>
      </c>
      <c r="I18" s="276">
        <f>Chemistry_1!I279</f>
        <v>1417.0686695641693</v>
      </c>
      <c r="J18" s="276">
        <f>Chemistry_1!J279</f>
        <v>1431.891678827363</v>
      </c>
      <c r="K18" s="276">
        <f>Chemistry_1!K279</f>
        <v>1441.3725060695133</v>
      </c>
      <c r="L18" s="276">
        <f>Chemistry_1!L279</f>
        <v>1448.2903869496326</v>
      </c>
      <c r="M18" s="276">
        <f>Chemistry_1!M279</f>
        <v>1451.583496451497</v>
      </c>
      <c r="N18" s="276">
        <f>Chemistry_1!N279</f>
        <v>1448.0210950099945</v>
      </c>
      <c r="P18" s="375"/>
      <c r="Q18" s="375"/>
      <c r="R18" s="375"/>
      <c r="S18" s="375"/>
      <c r="T18" s="375"/>
      <c r="U18" s="375"/>
      <c r="V18" s="375"/>
      <c r="W18" s="375"/>
      <c r="X18" s="375"/>
    </row>
    <row r="19" spans="2:24">
      <c r="B19" s="356" t="str">
        <f>Classics_1!B279</f>
        <v>Classics Leavers</v>
      </c>
      <c r="C19" s="276">
        <f>Classics_1!C279</f>
        <v>42.350828558993548</v>
      </c>
      <c r="D19" s="276">
        <f>Classics_1!D279</f>
        <v>39.059683168517594</v>
      </c>
      <c r="E19" s="276">
        <f>Classics_1!E279</f>
        <v>37.811046150946986</v>
      </c>
      <c r="F19" s="276">
        <f>Classics_1!F279</f>
        <v>36.604711989208276</v>
      </c>
      <c r="G19" s="276">
        <f>Classics_1!G279</f>
        <v>35.946899648769943</v>
      </c>
      <c r="H19" s="276">
        <f>Classics_1!H279</f>
        <v>35.612933237601005</v>
      </c>
      <c r="I19" s="276">
        <f>Classics_1!I279</f>
        <v>35.546314709250858</v>
      </c>
      <c r="J19" s="276">
        <f>Classics_1!J279</f>
        <v>35.714241053797622</v>
      </c>
      <c r="K19" s="276">
        <f>Classics_1!K279</f>
        <v>35.911545468010033</v>
      </c>
      <c r="L19" s="276">
        <f>Classics_1!L279</f>
        <v>35.969670918365217</v>
      </c>
      <c r="M19" s="276">
        <f>Classics_1!M279</f>
        <v>35.957246839718707</v>
      </c>
      <c r="N19" s="276">
        <f>Classics_1!N279</f>
        <v>35.972970117958994</v>
      </c>
    </row>
    <row r="20" spans="2:24">
      <c r="B20" s="356" t="str">
        <f>Computing_1!B279</f>
        <v>Computing Leavers</v>
      </c>
      <c r="C20" s="276">
        <f>Computing_1!C279</f>
        <v>844.69484993678702</v>
      </c>
      <c r="D20" s="276">
        <f>Computing_1!D279</f>
        <v>826.33857419071501</v>
      </c>
      <c r="E20" s="276">
        <f>Computing_1!E279</f>
        <v>848.64123708629563</v>
      </c>
      <c r="F20" s="276">
        <f>Computing_1!F279</f>
        <v>851.18728820887486</v>
      </c>
      <c r="G20" s="276">
        <f>Computing_1!G279</f>
        <v>855.32815606636314</v>
      </c>
      <c r="H20" s="276">
        <f>Computing_1!H279</f>
        <v>857.04647374789261</v>
      </c>
      <c r="I20" s="276">
        <f>Computing_1!I279</f>
        <v>856.66109655482956</v>
      </c>
      <c r="J20" s="276">
        <f>Computing_1!J279</f>
        <v>860.68154264098166</v>
      </c>
      <c r="K20" s="276">
        <f>Computing_1!K279</f>
        <v>867.64196072100378</v>
      </c>
      <c r="L20" s="276">
        <f>Computing_1!L279</f>
        <v>869.86501523820266</v>
      </c>
      <c r="M20" s="276">
        <f>Computing_1!M279</f>
        <v>869.07277515504325</v>
      </c>
      <c r="N20" s="276">
        <f>Computing_1!N279</f>
        <v>868.36489196537241</v>
      </c>
      <c r="P20" s="375"/>
    </row>
    <row r="21" spans="2:24">
      <c r="B21" s="356" t="str">
        <f>'Design_&amp;_Technology_1'!B279</f>
        <v>Design &amp; Technology Leavers</v>
      </c>
      <c r="C21" s="276">
        <f>'Design_&amp;_Technology_1'!C279</f>
        <v>1152.8224111993504</v>
      </c>
      <c r="D21" s="276">
        <f>'Design_&amp;_Technology_1'!D279</f>
        <v>1129.7126138219146</v>
      </c>
      <c r="E21" s="276">
        <f>'Design_&amp;_Technology_1'!E279</f>
        <v>1136.3252086962393</v>
      </c>
      <c r="F21" s="276">
        <f>'Design_&amp;_Technology_1'!F279</f>
        <v>1129.6622441892318</v>
      </c>
      <c r="G21" s="276">
        <f>'Design_&amp;_Technology_1'!G279</f>
        <v>1119.238357215</v>
      </c>
      <c r="H21" s="276">
        <f>'Design_&amp;_Technology_1'!H279</f>
        <v>1106.1425648160121</v>
      </c>
      <c r="I21" s="276">
        <f>'Design_&amp;_Technology_1'!I279</f>
        <v>1089.9667281432983</v>
      </c>
      <c r="J21" s="276">
        <f>'Design_&amp;_Technology_1'!J279</f>
        <v>1083.0373846134557</v>
      </c>
      <c r="K21" s="276">
        <f>'Design_&amp;_Technology_1'!K279</f>
        <v>1080.5934177879935</v>
      </c>
      <c r="L21" s="276">
        <f>'Design_&amp;_Technology_1'!L279</f>
        <v>1071.5432909990582</v>
      </c>
      <c r="M21" s="276">
        <f>'Design_&amp;_Technology_1'!M279</f>
        <v>1059.5887451042454</v>
      </c>
      <c r="N21" s="276">
        <f>'Design_&amp;_Technology_1'!N279</f>
        <v>1053.5726240807621</v>
      </c>
      <c r="P21" s="375"/>
    </row>
    <row r="22" spans="2:24">
      <c r="B22" s="356" t="str">
        <f>Drama_1!B279</f>
        <v>Drama Leavers</v>
      </c>
      <c r="C22" s="276">
        <f>Drama_1!C279</f>
        <v>488.78669511449357</v>
      </c>
      <c r="D22" s="276">
        <f>Drama_1!D279</f>
        <v>485.829943256251</v>
      </c>
      <c r="E22" s="276">
        <f>Drama_1!E279</f>
        <v>494.22261401536866</v>
      </c>
      <c r="F22" s="276">
        <f>Drama_1!F279</f>
        <v>500.52539973610862</v>
      </c>
      <c r="G22" s="276">
        <f>Drama_1!G279</f>
        <v>503.33501230244144</v>
      </c>
      <c r="H22" s="276">
        <f>Drama_1!H279</f>
        <v>504.8087795855796</v>
      </c>
      <c r="I22" s="276">
        <f>Drama_1!I279</f>
        <v>504.63670211700332</v>
      </c>
      <c r="J22" s="276">
        <f>Drama_1!J279</f>
        <v>508.25209756145068</v>
      </c>
      <c r="K22" s="276">
        <f>Drama_1!K279</f>
        <v>513.51113217122122</v>
      </c>
      <c r="L22" s="276">
        <f>Drama_1!L279</f>
        <v>514.81678310060943</v>
      </c>
      <c r="M22" s="276">
        <f>Drama_1!M279</f>
        <v>514.01697508801772</v>
      </c>
      <c r="N22" s="276">
        <f>Drama_1!N279</f>
        <v>515.26920646364317</v>
      </c>
      <c r="P22" s="375"/>
    </row>
    <row r="23" spans="2:24">
      <c r="B23" s="356" t="str">
        <f>English_1!B279</f>
        <v>English Leavers</v>
      </c>
      <c r="C23" s="276">
        <f>English_1!C279</f>
        <v>3376.0007858974</v>
      </c>
      <c r="D23" s="276">
        <f>English_1!D279</f>
        <v>3428.1409939437831</v>
      </c>
      <c r="E23" s="276">
        <f>English_1!E279</f>
        <v>3562.2142129335552</v>
      </c>
      <c r="F23" s="276">
        <f>English_1!F279</f>
        <v>3616.3626982853016</v>
      </c>
      <c r="G23" s="276">
        <f>English_1!G279</f>
        <v>3643.0424210058482</v>
      </c>
      <c r="H23" s="276">
        <f>English_1!H279</f>
        <v>3673.4505833965568</v>
      </c>
      <c r="I23" s="276">
        <f>English_1!I279</f>
        <v>3706.6327418772676</v>
      </c>
      <c r="J23" s="276">
        <f>English_1!J279</f>
        <v>3747.6386304604534</v>
      </c>
      <c r="K23" s="276">
        <f>English_1!K279</f>
        <v>3769.5739236594413</v>
      </c>
      <c r="L23" s="276">
        <f>English_1!L279</f>
        <v>3779.9916659906585</v>
      </c>
      <c r="M23" s="276">
        <f>English_1!M279</f>
        <v>3779.509870362373</v>
      </c>
      <c r="N23" s="276">
        <f>English_1!N279</f>
        <v>3771.5151105828681</v>
      </c>
    </row>
    <row r="24" spans="2:24">
      <c r="B24" s="356" t="str">
        <f>Food_1!B279</f>
        <v>Food Leavers</v>
      </c>
      <c r="C24" s="276">
        <f>Food_1!C279</f>
        <v>253.63961529643643</v>
      </c>
      <c r="D24" s="276">
        <f>Food_1!D279</f>
        <v>244.23130561386981</v>
      </c>
      <c r="E24" s="276">
        <f>Food_1!E279</f>
        <v>242.41646803482939</v>
      </c>
      <c r="F24" s="276">
        <f>Food_1!F279</f>
        <v>240.63235103180645</v>
      </c>
      <c r="G24" s="276">
        <f>Food_1!G279</f>
        <v>236.68365642227101</v>
      </c>
      <c r="H24" s="276">
        <f>Food_1!H279</f>
        <v>232.90361869090486</v>
      </c>
      <c r="I24" s="276">
        <f>Food_1!I279</f>
        <v>229.32210459436473</v>
      </c>
      <c r="J24" s="276">
        <f>Food_1!J279</f>
        <v>226.89765752708556</v>
      </c>
      <c r="K24" s="276">
        <f>Food_1!K279</f>
        <v>225.60668639428854</v>
      </c>
      <c r="L24" s="276">
        <f>Food_1!L279</f>
        <v>224.50873956750928</v>
      </c>
      <c r="M24" s="276">
        <f>Food_1!M279</f>
        <v>223.25244415557398</v>
      </c>
      <c r="N24" s="276">
        <f>Food_1!N279</f>
        <v>221.19371515649783</v>
      </c>
    </row>
    <row r="25" spans="2:24">
      <c r="B25" s="356" t="str">
        <f>Geography_1!B279</f>
        <v>Geography Leavers</v>
      </c>
      <c r="C25" s="276">
        <f>Geography_1!C279</f>
        <v>1160.7875492958203</v>
      </c>
      <c r="D25" s="276">
        <f>Geography_1!D279</f>
        <v>1168.0727695296882</v>
      </c>
      <c r="E25" s="276">
        <f>Geography_1!E279</f>
        <v>1207.5746425986401</v>
      </c>
      <c r="F25" s="276">
        <f>Geography_1!F279</f>
        <v>1225.1762621010498</v>
      </c>
      <c r="G25" s="276">
        <f>Geography_1!G279</f>
        <v>1240.572338740795</v>
      </c>
      <c r="H25" s="276">
        <f>Geography_1!H279</f>
        <v>1255.3623722672826</v>
      </c>
      <c r="I25" s="276">
        <f>Geography_1!I279</f>
        <v>1268.9305713831823</v>
      </c>
      <c r="J25" s="276">
        <f>Geography_1!J279</f>
        <v>1287.9345667270561</v>
      </c>
      <c r="K25" s="276">
        <f>Geography_1!K279</f>
        <v>1299.2172141980686</v>
      </c>
      <c r="L25" s="276">
        <f>Geography_1!L279</f>
        <v>1302.2888881112622</v>
      </c>
      <c r="M25" s="276">
        <f>Geography_1!M279</f>
        <v>1300.1840479088939</v>
      </c>
      <c r="N25" s="276">
        <f>Geography_1!N279</f>
        <v>1300.0917633888087</v>
      </c>
    </row>
    <row r="26" spans="2:24">
      <c r="B26" s="356" t="str">
        <f>History_1!B279</f>
        <v>History Leavers</v>
      </c>
      <c r="C26" s="276">
        <f>History_1!C279</f>
        <v>1242.4911636094844</v>
      </c>
      <c r="D26" s="276">
        <f>History_1!D279</f>
        <v>1246.5127399505586</v>
      </c>
      <c r="E26" s="276">
        <f>History_1!E279</f>
        <v>1286.0197499696606</v>
      </c>
      <c r="F26" s="276">
        <f>History_1!F279</f>
        <v>1301.8436651470465</v>
      </c>
      <c r="G26" s="276">
        <f>History_1!G279</f>
        <v>1316.6729392379552</v>
      </c>
      <c r="H26" s="276">
        <f>History_1!H279</f>
        <v>1331.3187894309494</v>
      </c>
      <c r="I26" s="276">
        <f>History_1!I279</f>
        <v>1345.2487631864597</v>
      </c>
      <c r="J26" s="276">
        <f>History_1!J279</f>
        <v>1364.7695811542071</v>
      </c>
      <c r="K26" s="276">
        <f>History_1!K279</f>
        <v>1376.7534071402536</v>
      </c>
      <c r="L26" s="276">
        <f>History_1!L279</f>
        <v>1380.3687455604654</v>
      </c>
      <c r="M26" s="276">
        <f>History_1!M279</f>
        <v>1378.7364341308569</v>
      </c>
      <c r="N26" s="276">
        <f>History_1!N279</f>
        <v>1378.9338874308028</v>
      </c>
    </row>
    <row r="27" spans="2:24">
      <c r="B27" s="356" t="str">
        <f>Mathematics_1!B279</f>
        <v>Mathematics Leavers</v>
      </c>
      <c r="C27" s="276">
        <f>Mathematics_1!C279</f>
        <v>3916.9034869673328</v>
      </c>
      <c r="D27" s="276">
        <f>Mathematics_1!D279</f>
        <v>3955.9823596089091</v>
      </c>
      <c r="E27" s="276">
        <f>Mathematics_1!E279</f>
        <v>4077.0014162819816</v>
      </c>
      <c r="F27" s="276">
        <f>Mathematics_1!F279</f>
        <v>4111.2969073944514</v>
      </c>
      <c r="G27" s="276">
        <f>Mathematics_1!G279</f>
        <v>4122.3656872287975</v>
      </c>
      <c r="H27" s="276">
        <f>Mathematics_1!H279</f>
        <v>4138.5155075407347</v>
      </c>
      <c r="I27" s="276">
        <f>Mathematics_1!I279</f>
        <v>4159.3895771671778</v>
      </c>
      <c r="J27" s="276">
        <f>Mathematics_1!J279</f>
        <v>4191.0762399741407</v>
      </c>
      <c r="K27" s="276">
        <f>Mathematics_1!K279</f>
        <v>4204.399847745417</v>
      </c>
      <c r="L27" s="276">
        <f>Mathematics_1!L279</f>
        <v>4204.0283248044652</v>
      </c>
      <c r="M27" s="276">
        <f>Mathematics_1!M279</f>
        <v>4192.7802339156533</v>
      </c>
      <c r="N27" s="276">
        <f>Mathematics_1!N279</f>
        <v>4176.7866530507035</v>
      </c>
    </row>
    <row r="28" spans="2:24">
      <c r="B28" s="356" t="str">
        <f>Modern_Foreign_Languages_1!B279</f>
        <v>Modern Foreign Languages Leavers</v>
      </c>
      <c r="C28" s="276">
        <f>Modern_Foreign_Languages_1!C279</f>
        <v>1712.4176271707834</v>
      </c>
      <c r="D28" s="276">
        <f>Modern_Foreign_Languages_1!D279</f>
        <v>1730.1003532912928</v>
      </c>
      <c r="E28" s="276">
        <f>Modern_Foreign_Languages_1!E279</f>
        <v>1821.3410064927052</v>
      </c>
      <c r="F28" s="276">
        <f>Modern_Foreign_Languages_1!F279</f>
        <v>1902.6907509780331</v>
      </c>
      <c r="G28" s="276">
        <f>Modern_Foreign_Languages_1!G279</f>
        <v>1980.0122320221783</v>
      </c>
      <c r="H28" s="276">
        <f>Modern_Foreign_Languages_1!H279</f>
        <v>2072.466705161848</v>
      </c>
      <c r="I28" s="276">
        <f>Modern_Foreign_Languages_1!I279</f>
        <v>2178.9762989192309</v>
      </c>
      <c r="J28" s="276">
        <f>Modern_Foreign_Languages_1!J279</f>
        <v>2275.5153994768698</v>
      </c>
      <c r="K28" s="276">
        <f>Modern_Foreign_Languages_1!K279</f>
        <v>2285.3036331617368</v>
      </c>
      <c r="L28" s="276">
        <f>Modern_Foreign_Languages_1!L279</f>
        <v>2278.1297803979701</v>
      </c>
      <c r="M28" s="276">
        <f>Modern_Foreign_Languages_1!M279</f>
        <v>2260.3752378383942</v>
      </c>
      <c r="N28" s="276">
        <f>Modern_Foreign_Languages_1!N279</f>
        <v>2247.4191463750371</v>
      </c>
    </row>
    <row r="29" spans="2:24">
      <c r="B29" s="356" t="str">
        <f>Music_1!B279</f>
        <v>Music Leavers</v>
      </c>
      <c r="C29" s="276">
        <f>Music_1!C279</f>
        <v>509.02086108878643</v>
      </c>
      <c r="D29" s="276">
        <f>Music_1!D279</f>
        <v>509.53239127838674</v>
      </c>
      <c r="E29" s="276">
        <f>Music_1!E279</f>
        <v>522.10256611342652</v>
      </c>
      <c r="F29" s="276">
        <f>Music_1!F279</f>
        <v>527.35284975855132</v>
      </c>
      <c r="G29" s="276">
        <f>Music_1!G279</f>
        <v>530.23942206207141</v>
      </c>
      <c r="H29" s="276">
        <f>Music_1!H279</f>
        <v>530.7871595790466</v>
      </c>
      <c r="I29" s="276">
        <f>Music_1!I279</f>
        <v>528.67124559007607</v>
      </c>
      <c r="J29" s="276">
        <f>Music_1!J279</f>
        <v>531.13366497979928</v>
      </c>
      <c r="K29" s="276">
        <f>Music_1!K279</f>
        <v>535.17756264916625</v>
      </c>
      <c r="L29" s="276">
        <f>Music_1!L279</f>
        <v>534.26939420200733</v>
      </c>
      <c r="M29" s="276">
        <f>Music_1!M279</f>
        <v>531.03487015032385</v>
      </c>
      <c r="N29" s="276">
        <f>Music_1!N279</f>
        <v>531.55331934071933</v>
      </c>
      <c r="Q29" s="466"/>
      <c r="R29" s="466"/>
      <c r="S29" s="466"/>
    </row>
    <row r="30" spans="2:24">
      <c r="B30" s="356" t="str">
        <f>Others_1!B279</f>
        <v>Others Leavers</v>
      </c>
      <c r="C30" s="276">
        <f>Others_1!C279</f>
        <v>1543.1767432640572</v>
      </c>
      <c r="D30" s="276">
        <f>Others_1!D279</f>
        <v>1475.0665882925246</v>
      </c>
      <c r="E30" s="276">
        <f>Others_1!E279</f>
        <v>1458.3187081543761</v>
      </c>
      <c r="F30" s="276">
        <f>Others_1!F279</f>
        <v>1432.9934073629479</v>
      </c>
      <c r="G30" s="276">
        <f>Others_1!G279</f>
        <v>1422.6067253269475</v>
      </c>
      <c r="H30" s="276">
        <f>Others_1!H279</f>
        <v>1419.0151845077978</v>
      </c>
      <c r="I30" s="276">
        <f>Others_1!I279</f>
        <v>1422.5296017479789</v>
      </c>
      <c r="J30" s="276">
        <f>Others_1!J279</f>
        <v>1433.5195028937073</v>
      </c>
      <c r="K30" s="276">
        <f>Others_1!K279</f>
        <v>1453.4487165407131</v>
      </c>
      <c r="L30" s="276">
        <f>Others_1!L279</f>
        <v>1466.5183677916625</v>
      </c>
      <c r="M30" s="276">
        <f>Others_1!M279</f>
        <v>1475.8323855835195</v>
      </c>
      <c r="N30" s="276">
        <f>Others_1!N279</f>
        <v>1483.1270809212497</v>
      </c>
      <c r="Q30" s="466"/>
      <c r="R30" s="466"/>
      <c r="S30" s="466"/>
    </row>
    <row r="31" spans="2:24">
      <c r="B31" s="356" t="str">
        <f>Physical_Education_1!B279</f>
        <v>Physical Education Leavers</v>
      </c>
      <c r="C31" s="276">
        <f>Physical_Education_1!C279</f>
        <v>1578.8871124105681</v>
      </c>
      <c r="D31" s="276">
        <f>Physical_Education_1!D279</f>
        <v>1547.5733223450648</v>
      </c>
      <c r="E31" s="276">
        <f>Physical_Education_1!E279</f>
        <v>1598.5466143732015</v>
      </c>
      <c r="F31" s="276">
        <f>Physical_Education_1!F279</f>
        <v>1620.2151230835937</v>
      </c>
      <c r="G31" s="276">
        <f>Physical_Education_1!G279</f>
        <v>1638.7567803136642</v>
      </c>
      <c r="H31" s="276">
        <f>Physical_Education_1!H279</f>
        <v>1652.930331319099</v>
      </c>
      <c r="I31" s="276">
        <f>Physical_Education_1!I279</f>
        <v>1662.0870916418767</v>
      </c>
      <c r="J31" s="276">
        <f>Physical_Education_1!J279</f>
        <v>1680.5984968618061</v>
      </c>
      <c r="K31" s="276">
        <f>Physical_Education_1!K279</f>
        <v>1703.8707099784697</v>
      </c>
      <c r="L31" s="276">
        <f>Physical_Education_1!L279</f>
        <v>1718.2319372276547</v>
      </c>
      <c r="M31" s="276">
        <f>Physical_Education_1!M279</f>
        <v>1725.8582519807696</v>
      </c>
      <c r="N31" s="276">
        <f>Physical_Education_1!N279</f>
        <v>1732.5448157116834</v>
      </c>
      <c r="Q31" s="466"/>
      <c r="R31" s="466"/>
      <c r="S31" s="466"/>
    </row>
    <row r="32" spans="2:24">
      <c r="B32" s="356" t="str">
        <f>Physics_1!B279</f>
        <v>Physics Leavers</v>
      </c>
      <c r="C32" s="276">
        <f>Physics_1!C279</f>
        <v>1313.044223649805</v>
      </c>
      <c r="D32" s="276">
        <f>Physics_1!D279</f>
        <v>1343.113994309695</v>
      </c>
      <c r="E32" s="276">
        <f>Physics_1!E279</f>
        <v>1388.8806430491013</v>
      </c>
      <c r="F32" s="276">
        <f>Physics_1!F279</f>
        <v>1391.7480248187412</v>
      </c>
      <c r="G32" s="276">
        <f>Physics_1!G279</f>
        <v>1399.4378289751512</v>
      </c>
      <c r="H32" s="276">
        <f>Physics_1!H279</f>
        <v>1409.0949496097051</v>
      </c>
      <c r="I32" s="276">
        <f>Physics_1!I279</f>
        <v>1421.3798274243111</v>
      </c>
      <c r="J32" s="276">
        <f>Physics_1!J279</f>
        <v>1433.4907572489446</v>
      </c>
      <c r="K32" s="276">
        <f>Physics_1!K279</f>
        <v>1439.8911650850591</v>
      </c>
      <c r="L32" s="276">
        <f>Physics_1!L279</f>
        <v>1444.289955897025</v>
      </c>
      <c r="M32" s="276">
        <f>Physics_1!M279</f>
        <v>1445.3886999756539</v>
      </c>
      <c r="N32" s="276">
        <f>Physics_1!N279</f>
        <v>1439.804949829705</v>
      </c>
      <c r="Q32" s="466"/>
      <c r="R32" s="466"/>
      <c r="S32" s="466"/>
    </row>
    <row r="33" spans="2:14">
      <c r="B33" s="356" t="str">
        <f>Religious_Education_1!B279</f>
        <v>Religious Education Leavers</v>
      </c>
      <c r="C33" s="276">
        <f>Religious_Education_1!C279</f>
        <v>795.57483000316824</v>
      </c>
      <c r="D33" s="276">
        <f>Religious_Education_1!D279</f>
        <v>779.78476986289604</v>
      </c>
      <c r="E33" s="276">
        <f>Religious_Education_1!E279</f>
        <v>787.77244498771347</v>
      </c>
      <c r="F33" s="276">
        <f>Religious_Education_1!F279</f>
        <v>789.97962902294444</v>
      </c>
      <c r="G33" s="276">
        <f>Religious_Education_1!G279</f>
        <v>788.3319373893446</v>
      </c>
      <c r="H33" s="276">
        <f>Religious_Education_1!H279</f>
        <v>785.69594688048812</v>
      </c>
      <c r="I33" s="276">
        <f>Religious_Education_1!I279</f>
        <v>781.77651987130605</v>
      </c>
      <c r="J33" s="276">
        <f>Religious_Education_1!J279</f>
        <v>782.90918626425503</v>
      </c>
      <c r="K33" s="276">
        <f>Religious_Education_1!K279</f>
        <v>787.07056668827136</v>
      </c>
      <c r="L33" s="276">
        <f>Religious_Education_1!L279</f>
        <v>787.69153927036325</v>
      </c>
      <c r="M33" s="276">
        <f>Religious_Education_1!M279</f>
        <v>786.01561593674273</v>
      </c>
      <c r="N33" s="276">
        <f>Religious_Education_1!N279</f>
        <v>785.02935840689838</v>
      </c>
    </row>
    <row r="34" spans="2:14">
      <c r="B34" s="319" t="s">
        <v>329</v>
      </c>
      <c r="C34" s="1135">
        <f>SUM(C14:C33)</f>
        <v>49435.530120694631</v>
      </c>
      <c r="D34" s="1135">
        <f t="shared" ref="D34:N34" si="0">SUM(D14:D33)</f>
        <v>49483.568850087446</v>
      </c>
      <c r="E34" s="1135">
        <f t="shared" si="0"/>
        <v>50466.305164651472</v>
      </c>
      <c r="F34" s="1135">
        <f t="shared" si="0"/>
        <v>50763.905396231523</v>
      </c>
      <c r="G34" s="1135">
        <f t="shared" si="0"/>
        <v>50884.418145891934</v>
      </c>
      <c r="H34" s="1135">
        <f t="shared" si="0"/>
        <v>51032.765242737063</v>
      </c>
      <c r="I34" s="1135">
        <f t="shared" si="0"/>
        <v>51196.914508076014</v>
      </c>
      <c r="J34" s="1135">
        <f t="shared" si="0"/>
        <v>51422.036969570494</v>
      </c>
      <c r="K34" s="1135">
        <f t="shared" si="0"/>
        <v>51599.70681173</v>
      </c>
      <c r="L34" s="1135">
        <f t="shared" si="0"/>
        <v>51716.739533834516</v>
      </c>
      <c r="M34" s="1135">
        <f t="shared" si="0"/>
        <v>51761.261878687794</v>
      </c>
      <c r="N34" s="1135">
        <f t="shared" si="0"/>
        <v>51774.227992124092</v>
      </c>
    </row>
    <row r="35" spans="2:14">
      <c r="B35" s="319" t="s">
        <v>1760</v>
      </c>
      <c r="C35" s="1135">
        <f>C34-C14</f>
        <v>23965.531070029494</v>
      </c>
      <c r="D35" s="1135">
        <f t="shared" ref="D35:N35" si="1">D34-D14</f>
        <v>23979.983400941099</v>
      </c>
      <c r="E35" s="1135">
        <f t="shared" si="1"/>
        <v>24636.178943677987</v>
      </c>
      <c r="F35" s="1135">
        <f t="shared" si="1"/>
        <v>24879.27654919116</v>
      </c>
      <c r="G35" s="1135">
        <f t="shared" si="1"/>
        <v>25059.567380705979</v>
      </c>
      <c r="H35" s="1135">
        <f t="shared" si="1"/>
        <v>25262.963209859594</v>
      </c>
      <c r="I35" s="1135">
        <f t="shared" si="1"/>
        <v>25486.158158472528</v>
      </c>
      <c r="J35" s="1135">
        <f t="shared" si="1"/>
        <v>25780.481420414981</v>
      </c>
      <c r="K35" s="1135">
        <f t="shared" si="1"/>
        <v>25951.245037360339</v>
      </c>
      <c r="L35" s="1135">
        <f t="shared" si="1"/>
        <v>26008.099577141951</v>
      </c>
      <c r="M35" s="1135">
        <f t="shared" si="1"/>
        <v>25982.888873183721</v>
      </c>
      <c r="N35" s="1135">
        <f t="shared" si="1"/>
        <v>25941.801826349572</v>
      </c>
    </row>
    <row r="46" spans="2:14" ht="10.15" customHeight="1"/>
  </sheetData>
  <hyperlinks>
    <hyperlink ref="A2" location="'Title_&amp;_Contents'!A1" display="Contents"/>
    <hyperlink ref="B2" location="Map_of_sheets!A1" display="Map of shee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655"/>
  <sheetViews>
    <sheetView showGridLines="0" zoomScaleNormal="100" workbookViewId="0"/>
  </sheetViews>
  <sheetFormatPr defaultColWidth="9.140625" defaultRowHeight="12.75"/>
  <cols>
    <col min="1" max="1" width="9.140625" style="302"/>
    <col min="2" max="2" width="34.140625" style="302" customWidth="1"/>
    <col min="3" max="23" width="9.7109375" style="302" customWidth="1"/>
    <col min="24" max="16384" width="9.140625" style="302"/>
  </cols>
  <sheetData>
    <row r="1" spans="1:23" s="337" customFormat="1" ht="15">
      <c r="A1" s="336" t="str">
        <f>ModelBanner</f>
        <v>TSM_201819 Publication</v>
      </c>
    </row>
    <row r="2" spans="1:23" s="337" customFormat="1" ht="15">
      <c r="A2" s="940" t="s">
        <v>13</v>
      </c>
      <c r="B2" s="940" t="s">
        <v>30</v>
      </c>
      <c r="Q2" s="474"/>
      <c r="R2" s="474"/>
      <c r="S2" s="474"/>
      <c r="T2" s="474"/>
      <c r="U2" s="474"/>
      <c r="V2" s="474"/>
      <c r="W2" s="474"/>
    </row>
    <row r="3" spans="1:23" s="337" customFormat="1" ht="15">
      <c r="A3" s="338"/>
      <c r="Q3" s="474"/>
      <c r="R3" s="474"/>
      <c r="S3" s="474"/>
      <c r="T3" s="474"/>
      <c r="U3" s="474"/>
      <c r="V3" s="474"/>
      <c r="W3" s="474"/>
    </row>
    <row r="4" spans="1:23" s="341" customFormat="1" ht="15">
      <c r="A4" s="339" t="s">
        <v>26</v>
      </c>
      <c r="B4" s="339"/>
      <c r="E4" s="337"/>
      <c r="Q4" s="474"/>
      <c r="R4" s="474"/>
      <c r="S4" s="474"/>
      <c r="T4" s="474"/>
      <c r="U4" s="474"/>
      <c r="V4" s="474"/>
      <c r="W4" s="474"/>
    </row>
    <row r="5" spans="1:23" s="343" customFormat="1" ht="13.9" customHeight="1">
      <c r="A5" s="682" t="s">
        <v>946</v>
      </c>
      <c r="B5" s="682"/>
      <c r="C5" s="682"/>
      <c r="D5" s="682"/>
      <c r="E5" s="682"/>
      <c r="F5" s="682"/>
      <c r="G5" s="682"/>
      <c r="H5" s="682"/>
      <c r="I5" s="682"/>
      <c r="J5" s="682"/>
      <c r="K5" s="682"/>
      <c r="L5" s="682"/>
      <c r="M5" s="342"/>
      <c r="N5" s="342"/>
      <c r="O5" s="342"/>
      <c r="P5" s="342"/>
      <c r="Q5" s="474"/>
      <c r="R5" s="474"/>
      <c r="S5" s="474"/>
      <c r="T5" s="474"/>
      <c r="U5" s="474"/>
      <c r="V5" s="474"/>
      <c r="W5" s="474"/>
    </row>
    <row r="6" spans="1:23" s="347" customFormat="1" ht="15">
      <c r="A6" s="344" t="s">
        <v>1392</v>
      </c>
      <c r="B6" s="345"/>
      <c r="C6" s="346"/>
      <c r="D6" s="346"/>
      <c r="E6" s="337"/>
      <c r="F6" s="346"/>
      <c r="G6" s="346"/>
      <c r="H6" s="346"/>
      <c r="I6" s="346"/>
      <c r="J6" s="346"/>
      <c r="K6" s="346"/>
      <c r="L6" s="346"/>
      <c r="M6" s="346"/>
      <c r="N6" s="346"/>
      <c r="O6" s="346"/>
      <c r="P6" s="346"/>
      <c r="Q6" s="474"/>
      <c r="R6" s="474"/>
      <c r="S6" s="474"/>
      <c r="T6" s="474"/>
      <c r="U6" s="474"/>
      <c r="V6" s="474"/>
      <c r="W6" s="474"/>
    </row>
    <row r="7" spans="1:23" s="347" customFormat="1" ht="15">
      <c r="A7" s="348" t="s">
        <v>947</v>
      </c>
      <c r="B7" s="344"/>
      <c r="C7" s="346"/>
      <c r="D7" s="346"/>
      <c r="E7" s="337"/>
      <c r="F7" s="346"/>
      <c r="G7" s="346"/>
      <c r="H7" s="346"/>
      <c r="I7" s="346"/>
      <c r="J7" s="346"/>
      <c r="K7" s="346"/>
      <c r="L7" s="346"/>
      <c r="M7" s="346"/>
      <c r="N7" s="346"/>
      <c r="O7" s="346"/>
      <c r="P7" s="346"/>
      <c r="Q7" s="474"/>
      <c r="R7" s="474"/>
      <c r="S7" s="474"/>
      <c r="T7" s="474"/>
      <c r="U7" s="474"/>
      <c r="V7" s="474"/>
      <c r="W7" s="474"/>
    </row>
    <row r="8" spans="1:23" s="347" customFormat="1" ht="15">
      <c r="A8" s="344" t="s">
        <v>24</v>
      </c>
      <c r="B8" s="345"/>
      <c r="C8" s="547"/>
      <c r="D8" s="346"/>
      <c r="E8" s="337"/>
      <c r="F8" s="346"/>
      <c r="G8" s="346"/>
      <c r="H8" s="346"/>
      <c r="I8" s="346"/>
      <c r="J8" s="346"/>
      <c r="K8" s="346"/>
      <c r="L8" s="346"/>
      <c r="M8" s="346"/>
      <c r="N8" s="346"/>
      <c r="O8" s="346"/>
      <c r="P8" s="346"/>
      <c r="Q8" s="474"/>
      <c r="R8" s="474"/>
      <c r="S8" s="474"/>
      <c r="T8" s="474"/>
      <c r="U8" s="474"/>
      <c r="V8" s="474"/>
      <c r="W8" s="474"/>
    </row>
    <row r="9" spans="1:23" s="347" customFormat="1" ht="15">
      <c r="A9" s="348" t="s">
        <v>124</v>
      </c>
      <c r="B9" s="345"/>
      <c r="C9" s="346"/>
      <c r="D9" s="346"/>
      <c r="E9" s="337"/>
      <c r="F9" s="346"/>
      <c r="G9" s="346"/>
      <c r="H9" s="346"/>
      <c r="I9" s="346"/>
      <c r="J9" s="346"/>
      <c r="K9" s="346"/>
      <c r="L9" s="346"/>
      <c r="M9" s="346"/>
      <c r="N9" s="346"/>
      <c r="O9" s="346"/>
      <c r="P9" s="346"/>
      <c r="Q9" s="474"/>
      <c r="R9" s="474"/>
      <c r="S9" s="474"/>
      <c r="T9" s="474"/>
      <c r="U9" s="474"/>
      <c r="V9" s="474"/>
      <c r="W9" s="474"/>
    </row>
    <row r="10" spans="1:23" s="355" customFormat="1" ht="13.5" customHeight="1">
      <c r="A10" s="349">
        <f>SUM(A12:A2123)</f>
        <v>0</v>
      </c>
      <c r="B10" s="350"/>
      <c r="C10" s="351"/>
      <c r="D10" s="352"/>
      <c r="E10" s="352"/>
      <c r="F10" s="352"/>
      <c r="G10" s="353"/>
      <c r="H10" s="352"/>
      <c r="I10" s="352"/>
      <c r="J10" s="353"/>
      <c r="K10" s="354"/>
      <c r="L10" s="354"/>
      <c r="M10" s="354"/>
      <c r="N10" s="354"/>
      <c r="O10" s="354"/>
      <c r="P10" s="354"/>
    </row>
    <row r="12" spans="1:23">
      <c r="B12" s="681" t="s">
        <v>1411</v>
      </c>
    </row>
    <row r="14" spans="1:23">
      <c r="B14" s="690" t="s">
        <v>1032</v>
      </c>
    </row>
    <row r="15" spans="1:23">
      <c r="B15" s="690"/>
    </row>
    <row r="16" spans="1:23">
      <c r="B16" s="690" t="s">
        <v>1407</v>
      </c>
    </row>
    <row r="17" spans="2:21">
      <c r="B17" s="690"/>
    </row>
    <row r="18" spans="2:21">
      <c r="B18" s="690" t="s">
        <v>1408</v>
      </c>
      <c r="G18" s="269"/>
    </row>
    <row r="19" spans="2:21">
      <c r="B19" s="690"/>
      <c r="G19" s="269"/>
    </row>
    <row r="20" spans="2:21">
      <c r="B20" s="811" t="s">
        <v>1200</v>
      </c>
      <c r="G20" s="269"/>
    </row>
    <row r="21" spans="2:21">
      <c r="B21" s="690"/>
      <c r="G21" s="269"/>
    </row>
    <row r="22" spans="2:21">
      <c r="B22" s="334" t="s">
        <v>975</v>
      </c>
      <c r="G22" s="269"/>
    </row>
    <row r="24" spans="2:21">
      <c r="B24" s="319" t="s">
        <v>353</v>
      </c>
      <c r="C24" s="685" t="s">
        <v>141</v>
      </c>
      <c r="D24" s="685" t="s">
        <v>142</v>
      </c>
      <c r="E24" s="685" t="s">
        <v>143</v>
      </c>
      <c r="F24" s="685" t="s">
        <v>144</v>
      </c>
      <c r="G24" s="685" t="s">
        <v>145</v>
      </c>
      <c r="H24" s="685" t="s">
        <v>146</v>
      </c>
      <c r="I24" s="685" t="s">
        <v>147</v>
      </c>
      <c r="J24" s="685" t="s">
        <v>148</v>
      </c>
      <c r="K24" s="685" t="s">
        <v>149</v>
      </c>
      <c r="L24" s="685" t="s">
        <v>150</v>
      </c>
      <c r="M24" s="685" t="s">
        <v>151</v>
      </c>
      <c r="N24" s="685" t="s">
        <v>152</v>
      </c>
      <c r="O24" s="685" t="s">
        <v>153</v>
      </c>
      <c r="P24" s="685" t="s">
        <v>154</v>
      </c>
      <c r="Q24" s="685" t="s">
        <v>183</v>
      </c>
      <c r="R24" s="685" t="s">
        <v>184</v>
      </c>
      <c r="S24" s="685" t="s">
        <v>185</v>
      </c>
      <c r="T24" s="685" t="s">
        <v>1149</v>
      </c>
      <c r="U24" s="685" t="s">
        <v>1543</v>
      </c>
    </row>
    <row r="25" spans="2:21">
      <c r="B25" s="319" t="s">
        <v>948</v>
      </c>
      <c r="C25" s="433">
        <v>216803.06543690819</v>
      </c>
      <c r="D25" s="433">
        <v>219759.26699999999</v>
      </c>
      <c r="E25" s="300">
        <f>RAW_DATA_INPUTS!I176+RAW_DATA_INPUTS!I142</f>
        <v>225242.84299999999</v>
      </c>
      <c r="F25" s="300">
        <f>RAW_DATA_INPUTS!J176+RAW_DATA_INPUTS!J142</f>
        <v>230506.90999999997</v>
      </c>
      <c r="G25" s="300">
        <f>RAW_DATA_INPUTS!K176+RAW_DATA_INPUTS!K142</f>
        <v>235669.495</v>
      </c>
      <c r="H25" s="300">
        <f>RAW_DATA_INPUTS!L176+RAW_DATA_INPUTS!L142</f>
        <v>239334.26899999997</v>
      </c>
      <c r="I25" s="300">
        <f>RAW_DATA_INPUTS!AR50+RAW_DATA_INPUTS!AQ50</f>
        <v>241507.71000000002</v>
      </c>
      <c r="J25" s="686"/>
      <c r="K25" s="686"/>
      <c r="L25" s="686"/>
      <c r="M25" s="686"/>
      <c r="N25" s="686"/>
      <c r="O25" s="686"/>
      <c r="P25" s="686"/>
      <c r="Q25" s="686"/>
      <c r="R25" s="686"/>
      <c r="S25" s="686"/>
      <c r="T25" s="686"/>
      <c r="U25" s="686"/>
    </row>
    <row r="26" spans="2:21">
      <c r="B26" s="319" t="s">
        <v>949</v>
      </c>
      <c r="C26" s="317"/>
      <c r="D26" s="317"/>
      <c r="E26" s="317"/>
      <c r="F26" s="317"/>
      <c r="G26" s="317"/>
      <c r="H26" s="317"/>
      <c r="I26" s="317">
        <f>I25</f>
        <v>241507.71000000002</v>
      </c>
      <c r="J26" s="317">
        <f>Teacher_need_figures!C14</f>
        <v>243605.32104784102</v>
      </c>
      <c r="K26" s="317">
        <f>Teacher_need_figures!D14</f>
        <v>244269.7542551799</v>
      </c>
      <c r="L26" s="317">
        <f>Teacher_need_figures!E14</f>
        <v>244274.82192656255</v>
      </c>
      <c r="M26" s="317">
        <f>Teacher_need_figures!F14</f>
        <v>244504.52764222646</v>
      </c>
      <c r="N26" s="317">
        <f>Teacher_need_figures!G14</f>
        <v>244565.62003293994</v>
      </c>
      <c r="O26" s="317">
        <f>Teacher_need_figures!H14</f>
        <v>244409.39158641128</v>
      </c>
      <c r="P26" s="317">
        <f>Teacher_need_figures!I14</f>
        <v>244013.68182205909</v>
      </c>
      <c r="Q26" s="317">
        <f>Teacher_need_figures!J14</f>
        <v>244249.37361793657</v>
      </c>
      <c r="R26" s="317">
        <f>Teacher_need_figures!K14</f>
        <v>244933.35980853782</v>
      </c>
      <c r="S26" s="317">
        <f>Teacher_need_figures!L14</f>
        <v>245669.86163246437</v>
      </c>
      <c r="T26" s="317">
        <f>Teacher_need_figures!M14</f>
        <v>246231.24083518205</v>
      </c>
      <c r="U26" s="317">
        <f>Teacher_need_figures!N14</f>
        <v>246609.75140378298</v>
      </c>
    </row>
    <row r="27" spans="2:21">
      <c r="B27" s="319" t="s">
        <v>950</v>
      </c>
      <c r="C27" s="433">
        <v>221900.66049640172</v>
      </c>
      <c r="D27" s="433">
        <v>219183.60100000002</v>
      </c>
      <c r="E27" s="300">
        <f>RAW_DATA_INPUTS!C176+RAW_DATA_INPUTS!C142</f>
        <v>219703.59299999999</v>
      </c>
      <c r="F27" s="300">
        <f>RAW_DATA_INPUTS!D176+RAW_DATA_INPUTS!D142</f>
        <v>217686.05700000003</v>
      </c>
      <c r="G27" s="300">
        <f>RAW_DATA_INPUTS!E176+RAW_DATA_INPUTS!E142</f>
        <v>215630.02100000001</v>
      </c>
      <c r="H27" s="300">
        <f>RAW_DATA_INPUTS!F176+RAW_DATA_INPUTS!F142</f>
        <v>212013.74599999998</v>
      </c>
      <c r="I27" s="300">
        <f>RAW_DATA_INPUTS!AO50+RAW_DATA_INPUTS!AP50</f>
        <v>208904.02100376648</v>
      </c>
      <c r="J27" s="686"/>
      <c r="K27" s="686"/>
      <c r="L27" s="686"/>
      <c r="M27" s="686"/>
      <c r="N27" s="686"/>
      <c r="O27" s="686"/>
      <c r="P27" s="686"/>
      <c r="Q27" s="686"/>
      <c r="R27" s="686"/>
      <c r="S27" s="686"/>
      <c r="T27" s="686"/>
      <c r="U27" s="686"/>
    </row>
    <row r="28" spans="2:21">
      <c r="B28" s="319" t="s">
        <v>951</v>
      </c>
      <c r="C28" s="317"/>
      <c r="D28" s="317"/>
      <c r="E28" s="317"/>
      <c r="F28" s="317"/>
      <c r="G28" s="687"/>
      <c r="H28" s="317"/>
      <c r="I28" s="317">
        <f>I27</f>
        <v>208904.02100376648</v>
      </c>
      <c r="J28" s="317">
        <f>Teacher_need_figures!C34</f>
        <v>210665.40426618766</v>
      </c>
      <c r="K28" s="317">
        <f>Teacher_need_figures!D34</f>
        <v>212698.50385815764</v>
      </c>
      <c r="L28" s="317">
        <f>Teacher_need_figures!E34</f>
        <v>214920.23730955189</v>
      </c>
      <c r="M28" s="317">
        <f>Teacher_need_figures!F34</f>
        <v>216757.95394379064</v>
      </c>
      <c r="N28" s="317">
        <f>Teacher_need_figures!G34</f>
        <v>218697.69007643341</v>
      </c>
      <c r="O28" s="317">
        <f>Teacher_need_figures!H34</f>
        <v>220720.5403897037</v>
      </c>
      <c r="P28" s="317">
        <f>Teacher_need_figures!I34</f>
        <v>223316.71144763532</v>
      </c>
      <c r="Q28" s="317">
        <f>Teacher_need_figures!J34</f>
        <v>224901.28331453755</v>
      </c>
      <c r="R28" s="317">
        <f>Teacher_need_figures!K34</f>
        <v>225490.18602435637</v>
      </c>
      <c r="S28" s="317">
        <f>Teacher_need_figures!L34</f>
        <v>225356.16604052536</v>
      </c>
      <c r="T28" s="317">
        <f>Teacher_need_figures!M34</f>
        <v>225081.02798511446</v>
      </c>
      <c r="U28" s="317">
        <f>Teacher_need_figures!N34</f>
        <v>224629.97957456802</v>
      </c>
    </row>
    <row r="50" spans="2:23">
      <c r="B50" s="334" t="s">
        <v>976</v>
      </c>
      <c r="C50" s="318"/>
      <c r="G50" s="269"/>
    </row>
    <row r="52" spans="2:23">
      <c r="B52" s="319" t="s">
        <v>353</v>
      </c>
      <c r="C52" s="685" t="str">
        <f>C24</f>
        <v>2010/11</v>
      </c>
      <c r="D52" s="685" t="str">
        <f t="shared" ref="D52:U52" si="0">D24</f>
        <v>2011/12</v>
      </c>
      <c r="E52" s="685" t="str">
        <f t="shared" si="0"/>
        <v>2012/13</v>
      </c>
      <c r="F52" s="685" t="str">
        <f t="shared" si="0"/>
        <v>2013/14</v>
      </c>
      <c r="G52" s="685" t="str">
        <f t="shared" si="0"/>
        <v>2014/15</v>
      </c>
      <c r="H52" s="685" t="str">
        <f t="shared" si="0"/>
        <v>2015/16</v>
      </c>
      <c r="I52" s="685" t="str">
        <f t="shared" si="0"/>
        <v>2016/17</v>
      </c>
      <c r="J52" s="685" t="str">
        <f t="shared" si="0"/>
        <v>2017/18</v>
      </c>
      <c r="K52" s="685" t="str">
        <f t="shared" si="0"/>
        <v>2018/19</v>
      </c>
      <c r="L52" s="685" t="str">
        <f t="shared" si="0"/>
        <v>2019/20</v>
      </c>
      <c r="M52" s="685" t="str">
        <f t="shared" si="0"/>
        <v>2020/21</v>
      </c>
      <c r="N52" s="685" t="str">
        <f t="shared" si="0"/>
        <v>2021/22</v>
      </c>
      <c r="O52" s="685" t="str">
        <f t="shared" si="0"/>
        <v>2022/23</v>
      </c>
      <c r="P52" s="685" t="str">
        <f t="shared" si="0"/>
        <v>2023/24</v>
      </c>
      <c r="Q52" s="685" t="str">
        <f t="shared" si="0"/>
        <v>2024/25</v>
      </c>
      <c r="R52" s="685" t="str">
        <f t="shared" si="0"/>
        <v>2025/26</v>
      </c>
      <c r="S52" s="685" t="str">
        <f t="shared" si="0"/>
        <v>2026/27</v>
      </c>
      <c r="T52" s="685" t="str">
        <f t="shared" si="0"/>
        <v>2027/28</v>
      </c>
      <c r="U52" s="685" t="str">
        <f t="shared" si="0"/>
        <v>2028/29</v>
      </c>
    </row>
    <row r="53" spans="2:23">
      <c r="B53" s="319" t="s">
        <v>952</v>
      </c>
      <c r="C53" s="447">
        <f>C25</f>
        <v>216803.06543690819</v>
      </c>
      <c r="D53" s="447">
        <f t="shared" ref="D53:I53" si="1">D25</f>
        <v>219759.26699999999</v>
      </c>
      <c r="E53" s="447">
        <f t="shared" si="1"/>
        <v>225242.84299999999</v>
      </c>
      <c r="F53" s="447">
        <f t="shared" si="1"/>
        <v>230506.90999999997</v>
      </c>
      <c r="G53" s="447">
        <f t="shared" si="1"/>
        <v>235669.495</v>
      </c>
      <c r="H53" s="447">
        <f t="shared" si="1"/>
        <v>239334.26899999997</v>
      </c>
      <c r="I53" s="447">
        <f t="shared" si="1"/>
        <v>241507.71000000002</v>
      </c>
      <c r="J53" s="447"/>
      <c r="K53" s="447"/>
      <c r="L53" s="447"/>
      <c r="M53" s="447"/>
      <c r="N53" s="447"/>
      <c r="O53" s="447"/>
      <c r="P53" s="447"/>
      <c r="Q53" s="447"/>
      <c r="R53" s="447"/>
      <c r="S53" s="447"/>
      <c r="T53" s="447"/>
      <c r="U53" s="447"/>
    </row>
    <row r="54" spans="2:23">
      <c r="B54" s="319" t="s">
        <v>953</v>
      </c>
      <c r="C54" s="447"/>
      <c r="D54" s="447"/>
      <c r="E54" s="447"/>
      <c r="F54" s="447"/>
      <c r="G54" s="447"/>
      <c r="H54" s="447"/>
      <c r="I54" s="447">
        <f>I53</f>
        <v>241507.71000000002</v>
      </c>
      <c r="J54" s="447">
        <f t="shared" ref="J54:U54" si="2">J26</f>
        <v>243605.32104784102</v>
      </c>
      <c r="K54" s="447">
        <f t="shared" si="2"/>
        <v>244269.7542551799</v>
      </c>
      <c r="L54" s="447">
        <f t="shared" si="2"/>
        <v>244274.82192656255</v>
      </c>
      <c r="M54" s="447">
        <f t="shared" si="2"/>
        <v>244504.52764222646</v>
      </c>
      <c r="N54" s="447">
        <f t="shared" si="2"/>
        <v>244565.62003293994</v>
      </c>
      <c r="O54" s="447">
        <f t="shared" si="2"/>
        <v>244409.39158641128</v>
      </c>
      <c r="P54" s="447">
        <f t="shared" si="2"/>
        <v>244013.68182205909</v>
      </c>
      <c r="Q54" s="447">
        <f t="shared" si="2"/>
        <v>244249.37361793657</v>
      </c>
      <c r="R54" s="447">
        <f t="shared" si="2"/>
        <v>244933.35980853782</v>
      </c>
      <c r="S54" s="447">
        <f t="shared" si="2"/>
        <v>245669.86163246437</v>
      </c>
      <c r="T54" s="447">
        <f t="shared" si="2"/>
        <v>246231.24083518205</v>
      </c>
      <c r="U54" s="447">
        <f t="shared" si="2"/>
        <v>246609.75140378298</v>
      </c>
      <c r="W54" s="6"/>
    </row>
    <row r="55" spans="2:23">
      <c r="B55" s="319" t="s">
        <v>955</v>
      </c>
      <c r="C55" s="300">
        <f>Pupil_Projections_scenarios!I72</f>
        <v>4074368</v>
      </c>
      <c r="D55" s="300">
        <f>Pupil_Projections_scenarios!J72</f>
        <v>4150277.5</v>
      </c>
      <c r="E55" s="300">
        <f>Pupil_Projections_scenarios!K72</f>
        <v>4247394.5</v>
      </c>
      <c r="F55" s="300">
        <f>Pupil_Projections_scenarios!L72</f>
        <v>4359000</v>
      </c>
      <c r="G55" s="300">
        <f>Pupil_Projections_scenarios!M72</f>
        <v>4463434</v>
      </c>
      <c r="H55" s="300">
        <f>Pupil_Projections_scenarios!N72</f>
        <v>4574041.5</v>
      </c>
      <c r="I55" s="300">
        <f>Pupil_Projections_scenarios!O72</f>
        <v>4659421</v>
      </c>
      <c r="J55" s="686"/>
      <c r="K55" s="686"/>
      <c r="L55" s="686"/>
      <c r="M55" s="686"/>
      <c r="N55" s="686"/>
      <c r="O55" s="686"/>
      <c r="P55" s="686"/>
      <c r="Q55" s="686"/>
      <c r="R55" s="686"/>
      <c r="S55" s="686"/>
      <c r="T55" s="686"/>
      <c r="U55" s="686"/>
    </row>
    <row r="56" spans="2:23">
      <c r="B56" s="319" t="s">
        <v>956</v>
      </c>
      <c r="C56" s="317"/>
      <c r="D56" s="317"/>
      <c r="E56" s="317"/>
      <c r="F56" s="317"/>
      <c r="G56" s="317"/>
      <c r="H56" s="317"/>
      <c r="I56" s="317">
        <f>Pupil_Projections_scenarios!O73</f>
        <v>4659421</v>
      </c>
      <c r="J56" s="317">
        <f>Pupil_Projections_scenarios!P73</f>
        <v>4717394.1869075894</v>
      </c>
      <c r="K56" s="317">
        <f>Pupil_Projections_scenarios!Q73</f>
        <v>4743197.9400571762</v>
      </c>
      <c r="L56" s="317">
        <f>Pupil_Projections_scenarios!R73</f>
        <v>4743394.7508921698</v>
      </c>
      <c r="M56" s="317">
        <f>Pupil_Projections_scenarios!S73</f>
        <v>4752324.1234839866</v>
      </c>
      <c r="N56" s="317">
        <f>Pupil_Projections_scenarios!T73</f>
        <v>4754699.5674540829</v>
      </c>
      <c r="O56" s="317">
        <f>Pupil_Projections_scenarios!U73</f>
        <v>4748628.8440450421</v>
      </c>
      <c r="P56" s="317">
        <f>Pupil_Projections_scenarios!V73</f>
        <v>4733277.2129678745</v>
      </c>
      <c r="Q56" s="317">
        <f>Pupil_Projections_scenarios!W73</f>
        <v>4742429.7587460289</v>
      </c>
      <c r="R56" s="317">
        <f>Pupil_Projections_scenarios!X73</f>
        <v>4769065.3698165566</v>
      </c>
      <c r="S56" s="317">
        <f>Pupil_Projections_scenarios!Y73</f>
        <v>4797832.532279524</v>
      </c>
      <c r="T56" s="317">
        <f>Pupil_Projections_scenarios!Z73</f>
        <v>4819809.7676248243</v>
      </c>
      <c r="U56" s="317">
        <f>Pupil_Projections_scenarios!AA73</f>
        <v>4834650.7574622277</v>
      </c>
      <c r="W56" s="6"/>
    </row>
    <row r="57" spans="2:23">
      <c r="B57" s="319" t="s">
        <v>954</v>
      </c>
      <c r="C57" s="447">
        <f t="shared" ref="C57:I57" si="3">C27</f>
        <v>221900.66049640172</v>
      </c>
      <c r="D57" s="447">
        <f t="shared" si="3"/>
        <v>219183.60100000002</v>
      </c>
      <c r="E57" s="447">
        <f t="shared" si="3"/>
        <v>219703.59299999999</v>
      </c>
      <c r="F57" s="447">
        <f t="shared" si="3"/>
        <v>217686.05700000003</v>
      </c>
      <c r="G57" s="447">
        <f t="shared" si="3"/>
        <v>215630.02100000001</v>
      </c>
      <c r="H57" s="447">
        <f t="shared" si="3"/>
        <v>212013.74599999998</v>
      </c>
      <c r="I57" s="447">
        <f t="shared" si="3"/>
        <v>208904.02100376648</v>
      </c>
      <c r="J57" s="447"/>
      <c r="K57" s="447"/>
      <c r="L57" s="447"/>
      <c r="M57" s="447"/>
      <c r="N57" s="447"/>
      <c r="O57" s="447"/>
      <c r="P57" s="447"/>
      <c r="Q57" s="447"/>
      <c r="R57" s="447"/>
      <c r="S57" s="447"/>
      <c r="T57" s="447"/>
      <c r="U57" s="447"/>
    </row>
    <row r="58" spans="2:23">
      <c r="B58" s="319" t="s">
        <v>957</v>
      </c>
      <c r="C58" s="447"/>
      <c r="D58" s="447"/>
      <c r="E58" s="447"/>
      <c r="F58" s="447"/>
      <c r="G58" s="447"/>
      <c r="H58" s="447"/>
      <c r="I58" s="447">
        <f>I57</f>
        <v>208904.02100376648</v>
      </c>
      <c r="J58" s="447">
        <f t="shared" ref="J58:U58" si="4">J28</f>
        <v>210665.40426618766</v>
      </c>
      <c r="K58" s="447">
        <f t="shared" si="4"/>
        <v>212698.50385815764</v>
      </c>
      <c r="L58" s="447">
        <f t="shared" si="4"/>
        <v>214920.23730955189</v>
      </c>
      <c r="M58" s="447">
        <f t="shared" si="4"/>
        <v>216757.95394379064</v>
      </c>
      <c r="N58" s="447">
        <f t="shared" si="4"/>
        <v>218697.69007643341</v>
      </c>
      <c r="O58" s="447">
        <f t="shared" si="4"/>
        <v>220720.5403897037</v>
      </c>
      <c r="P58" s="447">
        <f t="shared" si="4"/>
        <v>223316.71144763532</v>
      </c>
      <c r="Q58" s="447">
        <f t="shared" si="4"/>
        <v>224901.28331453755</v>
      </c>
      <c r="R58" s="447">
        <f t="shared" si="4"/>
        <v>225490.18602435637</v>
      </c>
      <c r="S58" s="447">
        <f t="shared" si="4"/>
        <v>225356.16604052536</v>
      </c>
      <c r="T58" s="447">
        <f t="shared" si="4"/>
        <v>225081.02798511446</v>
      </c>
      <c r="U58" s="447">
        <f t="shared" si="4"/>
        <v>224629.97957456802</v>
      </c>
      <c r="W58" s="6"/>
    </row>
    <row r="59" spans="2:23">
      <c r="B59" s="319" t="s">
        <v>958</v>
      </c>
      <c r="C59" s="300">
        <f>Pupil_Projections_scenarios!I69</f>
        <v>3212254</v>
      </c>
      <c r="D59" s="300">
        <f>Pupil_Projections_scenarios!J69</f>
        <v>3185686.5</v>
      </c>
      <c r="E59" s="300">
        <f>Pupil_Projections_scenarios!K69</f>
        <v>3158780</v>
      </c>
      <c r="F59" s="300">
        <f>Pupil_Projections_scenarios!L69</f>
        <v>3125924</v>
      </c>
      <c r="G59" s="300">
        <f>Pupil_Projections_scenarios!M69</f>
        <v>3119863.5</v>
      </c>
      <c r="H59" s="300">
        <f>Pupil_Projections_scenarios!N69</f>
        <v>3122070.5</v>
      </c>
      <c r="I59" s="300">
        <f>Pupil_Projections_scenarios!O69</f>
        <v>3145583</v>
      </c>
      <c r="J59" s="686"/>
      <c r="K59" s="686"/>
      <c r="L59" s="686"/>
      <c r="M59" s="686"/>
      <c r="N59" s="686"/>
      <c r="O59" s="686"/>
      <c r="P59" s="686"/>
      <c r="Q59" s="686"/>
      <c r="R59" s="686"/>
      <c r="S59" s="686"/>
      <c r="T59" s="686"/>
      <c r="U59" s="686"/>
    </row>
    <row r="60" spans="2:23">
      <c r="B60" s="319" t="s">
        <v>959</v>
      </c>
      <c r="C60" s="317"/>
      <c r="D60" s="317"/>
      <c r="E60" s="317"/>
      <c r="F60" s="317"/>
      <c r="G60" s="688"/>
      <c r="H60" s="688"/>
      <c r="I60" s="317">
        <f>Pupil_Projections_scenarios!O69</f>
        <v>3145583</v>
      </c>
      <c r="J60" s="317">
        <f>Pupil_Projections_scenarios!P69</f>
        <v>3197180.5600349735</v>
      </c>
      <c r="K60" s="317">
        <f>Pupil_Projections_scenarios!Q69</f>
        <v>3274228.6548275417</v>
      </c>
      <c r="L60" s="317">
        <f>Pupil_Projections_scenarios!R69</f>
        <v>3359656.345562675</v>
      </c>
      <c r="M60" s="317">
        <f>Pupil_Projections_scenarios!S69</f>
        <v>3431462.9098517485</v>
      </c>
      <c r="N60" s="317">
        <f>Pupil_Projections_scenarios!T69</f>
        <v>3508384.2642579307</v>
      </c>
      <c r="O60" s="317">
        <f>Pupil_Projections_scenarios!U69</f>
        <v>3589855.437922664</v>
      </c>
      <c r="P60" s="317">
        <f>Pupil_Projections_scenarios!V69</f>
        <v>3662527.1591678588</v>
      </c>
      <c r="Q60" s="317">
        <f>Pupil_Projections_scenarios!W69</f>
        <v>3688681.2876089499</v>
      </c>
      <c r="R60" s="317">
        <f>Pupil_Projections_scenarios!X69</f>
        <v>3698533.8733492214</v>
      </c>
      <c r="S60" s="317">
        <f>Pupil_Projections_scenarios!Y69</f>
        <v>3693590.259872193</v>
      </c>
      <c r="T60" s="317">
        <f>Pupil_Projections_scenarios!Z69</f>
        <v>3682746.3169983355</v>
      </c>
      <c r="U60" s="317">
        <f>Pupil_Projections_scenarios!AA69</f>
        <v>3664537.0998463929</v>
      </c>
      <c r="W60" s="6"/>
    </row>
    <row r="84" spans="2:21">
      <c r="B84" s="334" t="s">
        <v>977</v>
      </c>
      <c r="D84" s="689"/>
      <c r="E84" s="689"/>
      <c r="F84" s="689"/>
      <c r="G84" s="689"/>
      <c r="H84" s="6"/>
      <c r="I84" s="6"/>
      <c r="J84" s="6"/>
      <c r="K84" s="6"/>
      <c r="L84" s="6"/>
      <c r="M84" s="6"/>
      <c r="N84" s="6"/>
      <c r="O84" s="6"/>
      <c r="P84" s="6"/>
      <c r="Q84" s="6"/>
      <c r="R84" s="6"/>
      <c r="S84" s="6"/>
      <c r="T84" s="6"/>
    </row>
    <row r="85" spans="2:21">
      <c r="D85" s="6"/>
      <c r="E85" s="6"/>
      <c r="F85" s="6"/>
      <c r="G85" s="6"/>
    </row>
    <row r="86" spans="2:21">
      <c r="B86" s="319" t="s">
        <v>353</v>
      </c>
      <c r="C86" s="685" t="str">
        <f>C52</f>
        <v>2010/11</v>
      </c>
      <c r="D86" s="685" t="str">
        <f t="shared" ref="D86:U86" si="5">D52</f>
        <v>2011/12</v>
      </c>
      <c r="E86" s="685" t="str">
        <f t="shared" si="5"/>
        <v>2012/13</v>
      </c>
      <c r="F86" s="685" t="str">
        <f t="shared" si="5"/>
        <v>2013/14</v>
      </c>
      <c r="G86" s="685" t="str">
        <f t="shared" si="5"/>
        <v>2014/15</v>
      </c>
      <c r="H86" s="685" t="str">
        <f t="shared" si="5"/>
        <v>2015/16</v>
      </c>
      <c r="I86" s="685" t="str">
        <f t="shared" si="5"/>
        <v>2016/17</v>
      </c>
      <c r="J86" s="685" t="str">
        <f t="shared" si="5"/>
        <v>2017/18</v>
      </c>
      <c r="K86" s="685" t="str">
        <f t="shared" si="5"/>
        <v>2018/19</v>
      </c>
      <c r="L86" s="685" t="str">
        <f t="shared" si="5"/>
        <v>2019/20</v>
      </c>
      <c r="M86" s="685" t="str">
        <f t="shared" si="5"/>
        <v>2020/21</v>
      </c>
      <c r="N86" s="685" t="str">
        <f t="shared" si="5"/>
        <v>2021/22</v>
      </c>
      <c r="O86" s="685" t="str">
        <f t="shared" si="5"/>
        <v>2022/23</v>
      </c>
      <c r="P86" s="685" t="str">
        <f t="shared" si="5"/>
        <v>2023/24</v>
      </c>
      <c r="Q86" s="685" t="str">
        <f t="shared" si="5"/>
        <v>2024/25</v>
      </c>
      <c r="R86" s="685" t="str">
        <f t="shared" si="5"/>
        <v>2025/26</v>
      </c>
      <c r="S86" s="685" t="str">
        <f t="shared" si="5"/>
        <v>2026/27</v>
      </c>
      <c r="T86" s="685" t="str">
        <f t="shared" si="5"/>
        <v>2027/28</v>
      </c>
      <c r="U86" s="685" t="str">
        <f t="shared" si="5"/>
        <v>2028/29</v>
      </c>
    </row>
    <row r="87" spans="2:21">
      <c r="B87" s="319" t="s">
        <v>960</v>
      </c>
      <c r="C87" s="433"/>
      <c r="D87" s="433">
        <v>13358.842260423777</v>
      </c>
      <c r="E87" s="300">
        <f>RAW_DATA_INPUTS!I159+RAW_DATA_INPUTS!I193</f>
        <v>15167.803999999998</v>
      </c>
      <c r="F87" s="300">
        <f>RAW_DATA_INPUTS!J159+RAW_DATA_INPUTS!J193</f>
        <v>17705.303</v>
      </c>
      <c r="G87" s="300">
        <f>RAW_DATA_INPUTS!K159+RAW_DATA_INPUTS!K193</f>
        <v>19576.141</v>
      </c>
      <c r="H87" s="300">
        <f>RAW_DATA_INPUTS!L159+RAW_DATA_INPUTS!L193</f>
        <v>20007.098999999998</v>
      </c>
      <c r="I87" s="686"/>
      <c r="J87" s="686"/>
      <c r="K87" s="686"/>
      <c r="L87" s="686"/>
      <c r="M87" s="686"/>
      <c r="N87" s="686"/>
      <c r="O87" s="686"/>
      <c r="P87" s="686"/>
      <c r="Q87" s="686"/>
      <c r="R87" s="686"/>
      <c r="S87" s="686"/>
      <c r="T87" s="686"/>
      <c r="U87" s="686"/>
    </row>
    <row r="88" spans="2:21">
      <c r="B88" s="319" t="s">
        <v>961</v>
      </c>
      <c r="C88" s="317"/>
      <c r="D88" s="317"/>
      <c r="E88" s="317"/>
      <c r="F88" s="317"/>
      <c r="G88" s="687"/>
      <c r="H88" s="317"/>
      <c r="I88" s="317"/>
      <c r="J88" s="317">
        <f>Wastage_over_time!C14</f>
        <v>19560.892471246716</v>
      </c>
      <c r="K88" s="317">
        <f>Wastage_over_time!D14</f>
        <v>19783.496295357807</v>
      </c>
      <c r="L88" s="317">
        <f>Wastage_over_time!E14</f>
        <v>20286.419929483258</v>
      </c>
      <c r="M88" s="317">
        <f>Wastage_over_time!F14</f>
        <v>20491.711798712782</v>
      </c>
      <c r="N88" s="317">
        <f>Wastage_over_time!G14</f>
        <v>20545.870717475424</v>
      </c>
      <c r="O88" s="317">
        <f>Wastage_over_time!H14</f>
        <v>20576.362910991291</v>
      </c>
      <c r="P88" s="317">
        <f>Wastage_over_time!I14</f>
        <v>20580.829067717696</v>
      </c>
      <c r="Q88" s="317">
        <f>Wastage_over_time!J14</f>
        <v>20558.969800268515</v>
      </c>
      <c r="R88" s="317">
        <f>Wastage_over_time!K14</f>
        <v>20591.226262430369</v>
      </c>
      <c r="S88" s="317">
        <f>Wastage_over_time!L14</f>
        <v>20661.181428673921</v>
      </c>
      <c r="T88" s="317">
        <f>Wastage_over_time!M14</f>
        <v>20733.166143527997</v>
      </c>
      <c r="U88" s="317">
        <f>Wastage_over_time!N14</f>
        <v>20787.06908374359</v>
      </c>
    </row>
    <row r="89" spans="2:21">
      <c r="B89" s="319" t="s">
        <v>962</v>
      </c>
      <c r="C89" s="433"/>
      <c r="D89" s="433">
        <v>14003.315722766107</v>
      </c>
      <c r="E89" s="300">
        <f>RAW_DATA_INPUTS!C159+RAW_DATA_INPUTS!C193</f>
        <v>15747.550000000003</v>
      </c>
      <c r="F89" s="300">
        <f>RAW_DATA_INPUTS!D159+RAW_DATA_INPUTS!D193</f>
        <v>17255.574000000001</v>
      </c>
      <c r="G89" s="300">
        <f>RAW_DATA_INPUTS!E159+RAW_DATA_INPUTS!E193</f>
        <v>19472.381000000001</v>
      </c>
      <c r="H89" s="300">
        <f>RAW_DATA_INPUTS!F159+RAW_DATA_INPUTS!F193</f>
        <v>19329.934000000001</v>
      </c>
      <c r="I89" s="686"/>
      <c r="J89" s="686"/>
      <c r="K89" s="686"/>
      <c r="L89" s="686"/>
      <c r="M89" s="686"/>
      <c r="N89" s="686"/>
      <c r="O89" s="686"/>
      <c r="P89" s="686"/>
      <c r="Q89" s="686"/>
      <c r="R89" s="686"/>
      <c r="S89" s="686"/>
      <c r="T89" s="686"/>
      <c r="U89" s="686"/>
    </row>
    <row r="90" spans="2:21">
      <c r="B90" s="319" t="s">
        <v>963</v>
      </c>
      <c r="C90" s="317"/>
      <c r="D90" s="317"/>
      <c r="E90" s="317"/>
      <c r="F90" s="317"/>
      <c r="G90" s="687"/>
      <c r="H90" s="317"/>
      <c r="I90" s="317"/>
      <c r="J90" s="317">
        <f>Wastage_over_time!C34-Wastage_over_time!C14</f>
        <v>18382.150982840871</v>
      </c>
      <c r="K90" s="317">
        <f>Wastage_over_time!D34-Wastage_over_time!D14</f>
        <v>18540.151584610947</v>
      </c>
      <c r="L90" s="317">
        <f>Wastage_over_time!E34-Wastage_over_time!E14</f>
        <v>19317.500651501017</v>
      </c>
      <c r="M90" s="317">
        <f>Wastage_over_time!F34-Wastage_over_time!F14</f>
        <v>19651.692463243551</v>
      </c>
      <c r="N90" s="317">
        <f>Wastage_over_time!G34-Wastage_over_time!G14</f>
        <v>19896.654552257169</v>
      </c>
      <c r="O90" s="317">
        <f>Wastage_over_time!H34-Wastage_over_time!H14</f>
        <v>20134.326520098086</v>
      </c>
      <c r="P90" s="317">
        <f>Wastage_over_time!I34-Wastage_over_time!I14</f>
        <v>20367.453817981401</v>
      </c>
      <c r="Q90" s="317">
        <f>Wastage_over_time!J34-Wastage_over_time!J14</f>
        <v>20644.773188643911</v>
      </c>
      <c r="R90" s="317">
        <f>Wastage_over_time!K34-Wastage_over_time!K14</f>
        <v>20803.961320050534</v>
      </c>
      <c r="S90" s="317">
        <f>Wastage_over_time!L34-Wastage_over_time!L14</f>
        <v>20858.073211060229</v>
      </c>
      <c r="T90" s="317">
        <f>Wastage_over_time!M34-Wastage_over_time!M14</f>
        <v>20837.037863801575</v>
      </c>
      <c r="U90" s="317">
        <f>Wastage_over_time!N34-Wastage_over_time!N14</f>
        <v>20799.324131730333</v>
      </c>
    </row>
    <row r="91" spans="2:21">
      <c r="B91" s="319" t="s">
        <v>1020</v>
      </c>
      <c r="C91" s="433">
        <v>27043.775618081043</v>
      </c>
      <c r="D91" s="447">
        <f>D89+D87</f>
        <v>27362.157983189885</v>
      </c>
      <c r="E91" s="447">
        <f>E89+E87</f>
        <v>30915.353999999999</v>
      </c>
      <c r="F91" s="447">
        <f>F89+F87</f>
        <v>34960.877</v>
      </c>
      <c r="G91" s="447">
        <f>G89+G87</f>
        <v>39048.521999999997</v>
      </c>
      <c r="H91" s="447">
        <f>H89+H87</f>
        <v>39337.032999999996</v>
      </c>
      <c r="I91" s="447"/>
      <c r="J91" s="447"/>
      <c r="K91" s="447"/>
      <c r="L91" s="447"/>
      <c r="M91" s="447"/>
      <c r="N91" s="447"/>
      <c r="O91" s="447"/>
      <c r="P91" s="447"/>
      <c r="Q91" s="447"/>
      <c r="R91" s="447"/>
      <c r="S91" s="447"/>
      <c r="T91" s="447"/>
      <c r="U91" s="447"/>
    </row>
    <row r="92" spans="2:21">
      <c r="B92" s="319" t="s">
        <v>1021</v>
      </c>
      <c r="C92" s="447"/>
      <c r="D92" s="447"/>
      <c r="E92" s="447"/>
      <c r="F92" s="447"/>
      <c r="G92" s="447"/>
      <c r="H92" s="447"/>
      <c r="I92" s="447"/>
      <c r="J92" s="447">
        <f t="shared" ref="J92:U92" si="6">J88+J90</f>
        <v>37943.043454087587</v>
      </c>
      <c r="K92" s="447">
        <f t="shared" si="6"/>
        <v>38323.647879968754</v>
      </c>
      <c r="L92" s="447">
        <f t="shared" si="6"/>
        <v>39603.920580984275</v>
      </c>
      <c r="M92" s="447">
        <f t="shared" si="6"/>
        <v>40143.404261956333</v>
      </c>
      <c r="N92" s="447">
        <f t="shared" si="6"/>
        <v>40442.525269732592</v>
      </c>
      <c r="O92" s="447">
        <f t="shared" si="6"/>
        <v>40710.689431089377</v>
      </c>
      <c r="P92" s="447">
        <f t="shared" si="6"/>
        <v>40948.282885699096</v>
      </c>
      <c r="Q92" s="447">
        <f t="shared" si="6"/>
        <v>41203.742988912425</v>
      </c>
      <c r="R92" s="447">
        <f t="shared" si="6"/>
        <v>41395.187582480903</v>
      </c>
      <c r="S92" s="447">
        <f t="shared" si="6"/>
        <v>41519.25463973415</v>
      </c>
      <c r="T92" s="447">
        <f t="shared" si="6"/>
        <v>41570.204007329572</v>
      </c>
      <c r="U92" s="447">
        <f t="shared" si="6"/>
        <v>41586.393215473923</v>
      </c>
    </row>
    <row r="97" spans="12:12">
      <c r="L97" s="318"/>
    </row>
    <row r="98" spans="12:12">
      <c r="L98" s="318" t="s">
        <v>1269</v>
      </c>
    </row>
    <row r="100" spans="12:12">
      <c r="L100" s="318" t="s">
        <v>1267</v>
      </c>
    </row>
    <row r="102" spans="12:12">
      <c r="L102" s="318" t="s">
        <v>1396</v>
      </c>
    </row>
    <row r="104" spans="12:12">
      <c r="L104" s="318" t="s">
        <v>1268</v>
      </c>
    </row>
    <row r="106" spans="12:12">
      <c r="L106" s="318" t="s">
        <v>1283</v>
      </c>
    </row>
    <row r="115" spans="2:21">
      <c r="B115" s="334" t="s">
        <v>964</v>
      </c>
    </row>
    <row r="117" spans="2:21">
      <c r="B117" s="319" t="s">
        <v>353</v>
      </c>
      <c r="C117" s="685" t="str">
        <f>C86</f>
        <v>2010/11</v>
      </c>
      <c r="D117" s="685" t="str">
        <f t="shared" ref="D117:U117" si="7">D86</f>
        <v>2011/12</v>
      </c>
      <c r="E117" s="685" t="str">
        <f t="shared" si="7"/>
        <v>2012/13</v>
      </c>
      <c r="F117" s="685" t="str">
        <f t="shared" si="7"/>
        <v>2013/14</v>
      </c>
      <c r="G117" s="685" t="str">
        <f t="shared" si="7"/>
        <v>2014/15</v>
      </c>
      <c r="H117" s="685" t="str">
        <f t="shared" si="7"/>
        <v>2015/16</v>
      </c>
      <c r="I117" s="685" t="str">
        <f t="shared" si="7"/>
        <v>2016/17</v>
      </c>
      <c r="J117" s="685" t="str">
        <f t="shared" si="7"/>
        <v>2017/18</v>
      </c>
      <c r="K117" s="685" t="str">
        <f t="shared" si="7"/>
        <v>2018/19</v>
      </c>
      <c r="L117" s="685" t="str">
        <f t="shared" si="7"/>
        <v>2019/20</v>
      </c>
      <c r="M117" s="685" t="str">
        <f t="shared" si="7"/>
        <v>2020/21</v>
      </c>
      <c r="N117" s="685" t="str">
        <f t="shared" si="7"/>
        <v>2021/22</v>
      </c>
      <c r="O117" s="685" t="str">
        <f t="shared" si="7"/>
        <v>2022/23</v>
      </c>
      <c r="P117" s="685" t="str">
        <f t="shared" si="7"/>
        <v>2023/24</v>
      </c>
      <c r="Q117" s="685" t="str">
        <f t="shared" si="7"/>
        <v>2024/25</v>
      </c>
      <c r="R117" s="685" t="str">
        <f t="shared" si="7"/>
        <v>2025/26</v>
      </c>
      <c r="S117" s="685" t="str">
        <f t="shared" si="7"/>
        <v>2026/27</v>
      </c>
      <c r="T117" s="685" t="str">
        <f t="shared" si="7"/>
        <v>2027/28</v>
      </c>
      <c r="U117" s="685" t="str">
        <f t="shared" si="7"/>
        <v>2028/29</v>
      </c>
    </row>
    <row r="118" spans="2:21">
      <c r="B118" s="319" t="s">
        <v>960</v>
      </c>
      <c r="C118" s="520"/>
      <c r="D118" s="520">
        <f>D87/(D25)</f>
        <v>6.078852756832219E-2</v>
      </c>
      <c r="E118" s="520">
        <f>E87/(E25)</f>
        <v>6.7339782245600582E-2</v>
      </c>
      <c r="F118" s="520">
        <f>F87/(F25)</f>
        <v>7.6810291717502102E-2</v>
      </c>
      <c r="G118" s="520">
        <f>G87/(G25)</f>
        <v>8.3066079468621934E-2</v>
      </c>
      <c r="H118" s="520">
        <f>H87/(H25)</f>
        <v>8.3594794358512872E-2</v>
      </c>
      <c r="I118" s="520"/>
      <c r="J118" s="520"/>
      <c r="K118" s="520"/>
      <c r="L118" s="520"/>
      <c r="M118" s="520"/>
      <c r="N118" s="520"/>
      <c r="O118" s="520"/>
      <c r="P118" s="520"/>
      <c r="Q118" s="406"/>
      <c r="R118" s="406"/>
      <c r="S118" s="406"/>
      <c r="T118" s="406"/>
      <c r="U118" s="406"/>
    </row>
    <row r="119" spans="2:21">
      <c r="B119" s="319" t="s">
        <v>961</v>
      </c>
      <c r="C119" s="520"/>
      <c r="D119" s="520"/>
      <c r="E119" s="520"/>
      <c r="F119" s="520"/>
      <c r="G119" s="520"/>
      <c r="H119" s="520"/>
      <c r="I119" s="520"/>
      <c r="J119" s="520">
        <f t="shared" ref="J119:U119" si="8">J88/J26</f>
        <v>8.0297476209089877E-2</v>
      </c>
      <c r="K119" s="520">
        <f t="shared" si="8"/>
        <v>8.099036393466337E-2</v>
      </c>
      <c r="L119" s="520">
        <f t="shared" si="8"/>
        <v>8.3047527246103398E-2</v>
      </c>
      <c r="M119" s="520">
        <f t="shared" si="8"/>
        <v>8.3809130228858053E-2</v>
      </c>
      <c r="N119" s="520">
        <f t="shared" si="8"/>
        <v>8.4009644179374648E-2</v>
      </c>
      <c r="O119" s="520">
        <f t="shared" si="8"/>
        <v>8.4188102500621337E-2</v>
      </c>
      <c r="P119" s="520">
        <f t="shared" si="8"/>
        <v>8.4342930748964123E-2</v>
      </c>
      <c r="Q119" s="520">
        <f t="shared" si="8"/>
        <v>8.4172047181695436E-2</v>
      </c>
      <c r="R119" s="520">
        <f t="shared" si="8"/>
        <v>8.4068688228203556E-2</v>
      </c>
      <c r="S119" s="520">
        <f t="shared" si="8"/>
        <v>8.4101408660310906E-2</v>
      </c>
      <c r="T119" s="520">
        <f t="shared" si="8"/>
        <v>8.4202013006976648E-2</v>
      </c>
      <c r="U119" s="520">
        <f t="shared" si="8"/>
        <v>8.4291350870826592E-2</v>
      </c>
    </row>
    <row r="120" spans="2:21">
      <c r="B120" s="319" t="s">
        <v>962</v>
      </c>
      <c r="C120" s="520"/>
      <c r="D120" s="520">
        <f>D89/(D27)</f>
        <v>6.38885193001556E-2</v>
      </c>
      <c r="E120" s="520">
        <f>E89/(E27)</f>
        <v>7.1676342589445052E-2</v>
      </c>
      <c r="F120" s="520">
        <f>F89/(F27)</f>
        <v>7.9268163693184984E-2</v>
      </c>
      <c r="G120" s="520">
        <f>G89/(G27)</f>
        <v>9.0304591678354473E-2</v>
      </c>
      <c r="H120" s="520">
        <f>H89/(H27)</f>
        <v>9.1173022337900686E-2</v>
      </c>
      <c r="I120" s="520"/>
      <c r="J120" s="520"/>
      <c r="K120" s="520"/>
      <c r="L120" s="520"/>
      <c r="M120" s="520"/>
      <c r="N120" s="520"/>
      <c r="O120" s="520"/>
      <c r="P120" s="520"/>
      <c r="Q120" s="406"/>
      <c r="R120" s="406"/>
      <c r="S120" s="406"/>
      <c r="T120" s="406"/>
      <c r="U120" s="406"/>
    </row>
    <row r="121" spans="2:21">
      <c r="B121" s="319" t="s">
        <v>963</v>
      </c>
      <c r="C121" s="520"/>
      <c r="D121" s="520"/>
      <c r="E121" s="520"/>
      <c r="F121" s="520"/>
      <c r="G121" s="520"/>
      <c r="H121" s="520"/>
      <c r="I121" s="520"/>
      <c r="J121" s="520">
        <f t="shared" ref="J121:U121" si="9">J90/J28</f>
        <v>8.7257568687519202E-2</v>
      </c>
      <c r="K121" s="520">
        <f t="shared" si="9"/>
        <v>8.7166346957357199E-2</v>
      </c>
      <c r="L121" s="520">
        <f t="shared" si="9"/>
        <v>8.9882185564860592E-2</v>
      </c>
      <c r="M121" s="520">
        <f t="shared" si="9"/>
        <v>9.0661920846233854E-2</v>
      </c>
      <c r="N121" s="520">
        <f t="shared" si="9"/>
        <v>9.0977890737224607E-2</v>
      </c>
      <c r="O121" s="520">
        <f t="shared" si="9"/>
        <v>9.1220900803110405E-2</v>
      </c>
      <c r="P121" s="520">
        <f t="shared" si="9"/>
        <v>9.1204342415535197E-2</v>
      </c>
      <c r="Q121" s="520">
        <f t="shared" si="9"/>
        <v>9.1794821640795138E-2</v>
      </c>
      <c r="R121" s="520">
        <f t="shared" si="9"/>
        <v>9.2261049967839348E-2</v>
      </c>
      <c r="S121" s="520">
        <f t="shared" si="9"/>
        <v>9.2556035086740707E-2</v>
      </c>
      <c r="T121" s="520">
        <f t="shared" si="9"/>
        <v>9.257571839941843E-2</v>
      </c>
      <c r="U121" s="520">
        <f t="shared" si="9"/>
        <v>9.2593714210020675E-2</v>
      </c>
    </row>
    <row r="122" spans="2:21">
      <c r="B122" s="319" t="s">
        <v>1022</v>
      </c>
      <c r="C122" s="520">
        <f t="shared" ref="C122:H122" si="10">C91/(C27+C25)</f>
        <v>6.1644736571469509E-2</v>
      </c>
      <c r="D122" s="520">
        <f t="shared" si="10"/>
        <v>6.2336490641396833E-2</v>
      </c>
      <c r="E122" s="520">
        <f t="shared" si="10"/>
        <v>6.9481068952758171E-2</v>
      </c>
      <c r="F122" s="520">
        <f t="shared" si="10"/>
        <v>7.8004073187520589E-2</v>
      </c>
      <c r="G122" s="520">
        <f t="shared" si="10"/>
        <v>8.6524626363658666E-2</v>
      </c>
      <c r="H122" s="520">
        <f t="shared" si="10"/>
        <v>8.7154549688226723E-2</v>
      </c>
      <c r="I122" s="520"/>
      <c r="J122" s="520"/>
      <c r="K122" s="520"/>
      <c r="L122" s="520"/>
      <c r="M122" s="520"/>
      <c r="N122" s="520"/>
      <c r="O122" s="520"/>
      <c r="P122" s="520"/>
      <c r="Q122" s="406"/>
      <c r="R122" s="520"/>
      <c r="S122" s="406"/>
      <c r="T122" s="406"/>
      <c r="U122" s="406"/>
    </row>
    <row r="123" spans="2:21">
      <c r="B123" s="319" t="s">
        <v>1023</v>
      </c>
      <c r="C123" s="520"/>
      <c r="D123" s="520"/>
      <c r="E123" s="520"/>
      <c r="F123" s="520"/>
      <c r="G123" s="520"/>
      <c r="H123" s="520"/>
      <c r="I123" s="520"/>
      <c r="J123" s="520">
        <f t="shared" ref="J123:U123" si="11">J92/(J28+J26)</f>
        <v>8.3525178576845965E-2</v>
      </c>
      <c r="K123" s="520">
        <f t="shared" si="11"/>
        <v>8.3865010751936517E-2</v>
      </c>
      <c r="L123" s="520">
        <f t="shared" si="11"/>
        <v>8.6246399616900615E-2</v>
      </c>
      <c r="M123" s="520">
        <f t="shared" si="11"/>
        <v>8.7029415711258787E-2</v>
      </c>
      <c r="N123" s="520">
        <f t="shared" si="11"/>
        <v>8.7299219228443498E-2</v>
      </c>
      <c r="O123" s="520">
        <f t="shared" si="11"/>
        <v>8.7525413077866432E-2</v>
      </c>
      <c r="P123" s="520">
        <f t="shared" si="11"/>
        <v>8.7621698642801546E-2</v>
      </c>
      <c r="Q123" s="520">
        <f t="shared" si="11"/>
        <v>8.7826250224867466E-2</v>
      </c>
      <c r="R123" s="520">
        <f t="shared" si="11"/>
        <v>8.7995568991322298E-2</v>
      </c>
      <c r="S123" s="520">
        <f t="shared" si="11"/>
        <v>8.8146412725538234E-2</v>
      </c>
      <c r="T123" s="520">
        <f t="shared" si="11"/>
        <v>8.8200980024094378E-2</v>
      </c>
      <c r="U123" s="520">
        <f t="shared" si="11"/>
        <v>8.8248911290089049E-2</v>
      </c>
    </row>
    <row r="129" spans="12:12">
      <c r="L129" s="318" t="s">
        <v>1269</v>
      </c>
    </row>
    <row r="131" spans="12:12">
      <c r="L131" s="318" t="s">
        <v>1267</v>
      </c>
    </row>
    <row r="133" spans="12:12">
      <c r="L133" s="318" t="s">
        <v>1396</v>
      </c>
    </row>
    <row r="135" spans="12:12">
      <c r="L135" s="318" t="s">
        <v>1268</v>
      </c>
    </row>
    <row r="137" spans="12:12">
      <c r="L137" s="318" t="s">
        <v>1283</v>
      </c>
    </row>
    <row r="148" spans="2:21">
      <c r="B148" s="334" t="s">
        <v>978</v>
      </c>
    </row>
    <row r="150" spans="2:21">
      <c r="B150" s="319" t="s">
        <v>353</v>
      </c>
      <c r="C150" s="685" t="str">
        <f>C24</f>
        <v>2010/11</v>
      </c>
      <c r="D150" s="685" t="str">
        <f t="shared" ref="D150:U150" si="12">D24</f>
        <v>2011/12</v>
      </c>
      <c r="E150" s="685" t="str">
        <f t="shared" si="12"/>
        <v>2012/13</v>
      </c>
      <c r="F150" s="685" t="str">
        <f t="shared" si="12"/>
        <v>2013/14</v>
      </c>
      <c r="G150" s="685" t="str">
        <f t="shared" si="12"/>
        <v>2014/15</v>
      </c>
      <c r="H150" s="685" t="str">
        <f t="shared" si="12"/>
        <v>2015/16</v>
      </c>
      <c r="I150" s="685" t="str">
        <f t="shared" si="12"/>
        <v>2016/17</v>
      </c>
      <c r="J150" s="685" t="str">
        <f t="shared" si="12"/>
        <v>2017/18</v>
      </c>
      <c r="K150" s="685" t="str">
        <f t="shared" si="12"/>
        <v>2018/19</v>
      </c>
      <c r="L150" s="685" t="str">
        <f t="shared" si="12"/>
        <v>2019/20</v>
      </c>
      <c r="M150" s="685" t="str">
        <f t="shared" si="12"/>
        <v>2020/21</v>
      </c>
      <c r="N150" s="685" t="str">
        <f t="shared" si="12"/>
        <v>2021/22</v>
      </c>
      <c r="O150" s="685" t="str">
        <f t="shared" si="12"/>
        <v>2022/23</v>
      </c>
      <c r="P150" s="685" t="str">
        <f t="shared" si="12"/>
        <v>2023/24</v>
      </c>
      <c r="Q150" s="685" t="str">
        <f t="shared" si="12"/>
        <v>2024/25</v>
      </c>
      <c r="R150" s="685" t="str">
        <f t="shared" si="12"/>
        <v>2025/26</v>
      </c>
      <c r="S150" s="685" t="str">
        <f t="shared" si="12"/>
        <v>2026/27</v>
      </c>
      <c r="T150" s="685" t="str">
        <f t="shared" si="12"/>
        <v>2027/28</v>
      </c>
      <c r="U150" s="685" t="str">
        <f t="shared" si="12"/>
        <v>2028/29</v>
      </c>
    </row>
    <row r="151" spans="2:21">
      <c r="B151" s="319" t="s">
        <v>965</v>
      </c>
      <c r="C151" s="433">
        <v>6762.6063646304747</v>
      </c>
      <c r="D151" s="433">
        <v>6628.8568091804718</v>
      </c>
      <c r="E151" s="300">
        <f>RAW_DATA_INPUTS!I235+RAW_DATA_INPUTS!I252</f>
        <v>6286.4310000000005</v>
      </c>
      <c r="F151" s="300">
        <f>RAW_DATA_INPUTS!J235+RAW_DATA_INPUTS!J252</f>
        <v>6149.5320000000002</v>
      </c>
      <c r="G151" s="300">
        <f>RAW_DATA_INPUTS!K235+RAW_DATA_INPUTS!K252</f>
        <v>5099.3519999999999</v>
      </c>
      <c r="H151" s="300">
        <f>RAW_DATA_INPUTS!L235+RAW_DATA_INPUTS!L252</f>
        <v>4297.8269999999993</v>
      </c>
      <c r="I151" s="686"/>
      <c r="J151" s="686"/>
      <c r="K151" s="686"/>
      <c r="L151" s="686"/>
      <c r="M151" s="686"/>
      <c r="N151" s="686"/>
      <c r="O151" s="686"/>
      <c r="P151" s="686"/>
      <c r="Q151" s="686"/>
      <c r="R151" s="686"/>
      <c r="S151" s="686"/>
      <c r="T151" s="686"/>
      <c r="U151" s="686"/>
    </row>
    <row r="152" spans="2:21">
      <c r="B152" s="319" t="s">
        <v>966</v>
      </c>
      <c r="C152" s="317"/>
      <c r="D152" s="317"/>
      <c r="E152" s="317"/>
      <c r="F152" s="317"/>
      <c r="G152" s="317"/>
      <c r="H152" s="317"/>
      <c r="I152" s="317"/>
      <c r="J152" s="317">
        <f>Retirements_over_time!C14</f>
        <v>5769.3880036971213</v>
      </c>
      <c r="K152" s="317">
        <f>Retirements_over_time!D14</f>
        <v>5579.5713608204587</v>
      </c>
      <c r="L152" s="317">
        <f>Retirements_over_time!E14</f>
        <v>5403.2559156435054</v>
      </c>
      <c r="M152" s="317">
        <f>Retirements_over_time!F14</f>
        <v>5253.0354177965819</v>
      </c>
      <c r="N152" s="317">
        <f>Retirements_over_time!G14</f>
        <v>5139.6336606845225</v>
      </c>
      <c r="O152" s="317">
        <f>Retirements_over_time!H14</f>
        <v>5054.6192540728553</v>
      </c>
      <c r="P152" s="317">
        <f>Retirements_over_time!I14</f>
        <v>4991.6192821778568</v>
      </c>
      <c r="Q152" s="317">
        <f>Retirements_over_time!J14</f>
        <v>4944.7870500405879</v>
      </c>
      <c r="R152" s="317">
        <f>Retirements_over_time!K14</f>
        <v>4919.666483332453</v>
      </c>
      <c r="S152" s="317">
        <f>Retirements_over_time!L14</f>
        <v>4909.9022167811527</v>
      </c>
      <c r="T152" s="317">
        <f>Retirements_over_time!M14</f>
        <v>4907.5858854310209</v>
      </c>
      <c r="U152" s="317">
        <f>Retirements_over_time!N14</f>
        <v>4907.6840118537821</v>
      </c>
    </row>
    <row r="153" spans="2:21">
      <c r="B153" s="319" t="s">
        <v>967</v>
      </c>
      <c r="C153" s="433">
        <v>7912.703734365622</v>
      </c>
      <c r="D153" s="433">
        <v>6979.0077246996079</v>
      </c>
      <c r="E153" s="300">
        <f>RAW_DATA_INPUTS!C235+RAW_DATA_INPUTS!C252</f>
        <v>6512.2160000000003</v>
      </c>
      <c r="F153" s="300">
        <f>RAW_DATA_INPUTS!D235+RAW_DATA_INPUTS!D252</f>
        <v>6129.7759999999998</v>
      </c>
      <c r="G153" s="300">
        <f>RAW_DATA_INPUTS!E235+RAW_DATA_INPUTS!E252</f>
        <v>5442.1010000000006</v>
      </c>
      <c r="H153" s="300">
        <f>RAW_DATA_INPUTS!F235+RAW_DATA_INPUTS!F252</f>
        <v>4579.7669999999998</v>
      </c>
      <c r="I153" s="686"/>
      <c r="J153" s="686"/>
      <c r="K153" s="686"/>
      <c r="L153" s="686"/>
      <c r="M153" s="686"/>
      <c r="N153" s="686"/>
      <c r="O153" s="686"/>
      <c r="P153" s="686"/>
      <c r="Q153" s="686"/>
      <c r="R153" s="686"/>
      <c r="S153" s="686"/>
      <c r="T153" s="686"/>
      <c r="U153" s="686"/>
    </row>
    <row r="154" spans="2:21">
      <c r="B154" s="319" t="s">
        <v>968</v>
      </c>
      <c r="C154" s="317"/>
      <c r="D154" s="317"/>
      <c r="E154" s="317"/>
      <c r="F154" s="317"/>
      <c r="G154" s="687"/>
      <c r="H154" s="317"/>
      <c r="I154" s="317"/>
      <c r="J154" s="317">
        <f>Retirements_over_time!C34-Retirements_over_time!C14</f>
        <v>5439.186268550663</v>
      </c>
      <c r="K154" s="317">
        <f>Retirements_over_time!E34-Retirements_over_time!E14</f>
        <v>5174.3691475452706</v>
      </c>
      <c r="L154" s="317">
        <f>Retirements_over_time!F34-Retirements_over_time!F14</f>
        <v>5083.1732392933809</v>
      </c>
      <c r="M154" s="317">
        <f>Retirements_over_time!G34-Retirements_over_time!G14</f>
        <v>5018.4184796038526</v>
      </c>
      <c r="N154" s="317">
        <f>Retirements_over_time!H34-Retirements_over_time!H14</f>
        <v>4983.864586845948</v>
      </c>
      <c r="O154" s="317">
        <f>Retirements_over_time!I34-Retirements_over_time!I14</f>
        <v>4973.4656330912276</v>
      </c>
      <c r="P154" s="317">
        <f>Retirements_over_time!J34-Retirements_over_time!J14</f>
        <v>4989.6048420874431</v>
      </c>
      <c r="Q154" s="317">
        <f>Retirements_over_time!K34-Retirements_over_time!K14</f>
        <v>5000.6237401738845</v>
      </c>
      <c r="R154" s="317">
        <f>Retirements_over_time!L34-Retirements_over_time!L14</f>
        <v>5003.1676262078345</v>
      </c>
      <c r="S154" s="317">
        <f>Retirements_over_time!M34-Retirements_over_time!M14</f>
        <v>4999.0673157574911</v>
      </c>
      <c r="T154" s="317">
        <f>Retirements_over_time!N34-Retirements_over_time!N14</f>
        <v>4995.8133101568328</v>
      </c>
      <c r="U154" s="317">
        <f>Retirements_over_time!N34-Retirements_over_time!N14</f>
        <v>4995.8133101568328</v>
      </c>
    </row>
    <row r="160" spans="2:21">
      <c r="L160" s="318" t="s">
        <v>1270</v>
      </c>
    </row>
    <row r="162" spans="12:12">
      <c r="L162" s="318" t="s">
        <v>1271</v>
      </c>
    </row>
    <row r="164" spans="12:12">
      <c r="L164" s="318" t="s">
        <v>1396</v>
      </c>
    </row>
    <row r="166" spans="12:12">
      <c r="L166" s="318" t="s">
        <v>1272</v>
      </c>
    </row>
    <row r="168" spans="12:12">
      <c r="L168" s="318" t="s">
        <v>1283</v>
      </c>
    </row>
    <row r="177" spans="2:21">
      <c r="B177" s="334" t="s">
        <v>969</v>
      </c>
    </row>
    <row r="179" spans="2:21">
      <c r="B179" s="319" t="s">
        <v>353</v>
      </c>
      <c r="C179" s="685" t="str">
        <f>C24</f>
        <v>2010/11</v>
      </c>
      <c r="D179" s="685" t="str">
        <f t="shared" ref="D179:U179" si="13">D24</f>
        <v>2011/12</v>
      </c>
      <c r="E179" s="685" t="str">
        <f t="shared" si="13"/>
        <v>2012/13</v>
      </c>
      <c r="F179" s="685" t="str">
        <f t="shared" si="13"/>
        <v>2013/14</v>
      </c>
      <c r="G179" s="685" t="str">
        <f t="shared" si="13"/>
        <v>2014/15</v>
      </c>
      <c r="H179" s="685" t="str">
        <f t="shared" si="13"/>
        <v>2015/16</v>
      </c>
      <c r="I179" s="685" t="str">
        <f t="shared" si="13"/>
        <v>2016/17</v>
      </c>
      <c r="J179" s="685" t="str">
        <f t="shared" si="13"/>
        <v>2017/18</v>
      </c>
      <c r="K179" s="685" t="str">
        <f t="shared" si="13"/>
        <v>2018/19</v>
      </c>
      <c r="L179" s="685" t="str">
        <f t="shared" si="13"/>
        <v>2019/20</v>
      </c>
      <c r="M179" s="685" t="str">
        <f t="shared" si="13"/>
        <v>2020/21</v>
      </c>
      <c r="N179" s="685" t="str">
        <f t="shared" si="13"/>
        <v>2021/22</v>
      </c>
      <c r="O179" s="685" t="str">
        <f t="shared" si="13"/>
        <v>2022/23</v>
      </c>
      <c r="P179" s="685" t="str">
        <f t="shared" si="13"/>
        <v>2023/24</v>
      </c>
      <c r="Q179" s="685" t="str">
        <f t="shared" si="13"/>
        <v>2024/25</v>
      </c>
      <c r="R179" s="685" t="str">
        <f t="shared" si="13"/>
        <v>2025/26</v>
      </c>
      <c r="S179" s="685" t="str">
        <f t="shared" si="13"/>
        <v>2026/27</v>
      </c>
      <c r="T179" s="685" t="str">
        <f t="shared" si="13"/>
        <v>2027/28</v>
      </c>
      <c r="U179" s="685" t="str">
        <f t="shared" si="13"/>
        <v>2028/29</v>
      </c>
    </row>
    <row r="180" spans="2:21">
      <c r="B180" s="356" t="s">
        <v>1024</v>
      </c>
      <c r="C180" s="520">
        <f t="shared" ref="C180:H180" si="14">C151/C25</f>
        <v>3.1192392741321545E-2</v>
      </c>
      <c r="D180" s="520">
        <f t="shared" si="14"/>
        <v>3.0164174187841973E-2</v>
      </c>
      <c r="E180" s="520">
        <f t="shared" si="14"/>
        <v>2.7909570471901745E-2</v>
      </c>
      <c r="F180" s="520">
        <f t="shared" si="14"/>
        <v>2.6678297843652499E-2</v>
      </c>
      <c r="G180" s="520">
        <f t="shared" si="14"/>
        <v>2.1637726172409374E-2</v>
      </c>
      <c r="H180" s="520">
        <f t="shared" si="14"/>
        <v>1.795742422494457E-2</v>
      </c>
      <c r="I180" s="438"/>
      <c r="J180" s="438"/>
      <c r="K180" s="438"/>
      <c r="L180" s="438"/>
      <c r="M180" s="438"/>
      <c r="N180" s="438"/>
      <c r="O180" s="438"/>
      <c r="P180" s="438"/>
      <c r="Q180" s="438"/>
      <c r="R180" s="438"/>
      <c r="S180" s="438"/>
      <c r="T180" s="438"/>
      <c r="U180" s="438"/>
    </row>
    <row r="181" spans="2:21">
      <c r="B181" s="356" t="s">
        <v>1025</v>
      </c>
      <c r="C181" s="520"/>
      <c r="D181" s="520"/>
      <c r="E181" s="520"/>
      <c r="F181" s="520"/>
      <c r="G181" s="520"/>
      <c r="H181" s="520"/>
      <c r="I181" s="520"/>
      <c r="J181" s="520">
        <f t="shared" ref="J181:U181" si="15">J152/J26</f>
        <v>2.368334147579677E-2</v>
      </c>
      <c r="K181" s="520">
        <f t="shared" si="15"/>
        <v>2.2841842936443452E-2</v>
      </c>
      <c r="L181" s="520">
        <f t="shared" si="15"/>
        <v>2.2119577748655205E-2</v>
      </c>
      <c r="M181" s="520">
        <f t="shared" si="15"/>
        <v>2.1484409587225049E-2</v>
      </c>
      <c r="N181" s="520">
        <f t="shared" si="15"/>
        <v>2.1015356369355094E-2</v>
      </c>
      <c r="O181" s="520">
        <f t="shared" si="15"/>
        <v>2.0680953466085561E-2</v>
      </c>
      <c r="P181" s="438">
        <f t="shared" si="15"/>
        <v>2.0456309027040012E-2</v>
      </c>
      <c r="Q181" s="438">
        <f t="shared" si="15"/>
        <v>2.0244830014489196E-2</v>
      </c>
      <c r="R181" s="438">
        <f t="shared" si="15"/>
        <v>2.0085734696074522E-2</v>
      </c>
      <c r="S181" s="438">
        <f t="shared" si="15"/>
        <v>1.9985773526126037E-2</v>
      </c>
      <c r="T181" s="438">
        <f t="shared" si="15"/>
        <v>1.9930801098939247E-2</v>
      </c>
      <c r="U181" s="438">
        <f t="shared" si="15"/>
        <v>1.9900608081868811E-2</v>
      </c>
    </row>
    <row r="182" spans="2:21">
      <c r="B182" s="356" t="s">
        <v>1026</v>
      </c>
      <c r="C182" s="520">
        <f t="shared" ref="C182:H182" si="16">C153/C27</f>
        <v>3.5658766029197701E-2</v>
      </c>
      <c r="D182" s="520">
        <f t="shared" si="16"/>
        <v>3.1840921003481494E-2</v>
      </c>
      <c r="E182" s="520">
        <f t="shared" si="16"/>
        <v>2.9640917160603745E-2</v>
      </c>
      <c r="F182" s="520">
        <f t="shared" si="16"/>
        <v>2.8158790160823205E-2</v>
      </c>
      <c r="G182" s="520">
        <f t="shared" si="16"/>
        <v>2.5238141585118151E-2</v>
      </c>
      <c r="H182" s="520">
        <f t="shared" si="16"/>
        <v>2.1601273909852996E-2</v>
      </c>
      <c r="I182" s="520"/>
      <c r="J182" s="520"/>
      <c r="K182" s="520"/>
      <c r="L182" s="520"/>
      <c r="M182" s="520"/>
      <c r="N182" s="520"/>
      <c r="O182" s="520"/>
      <c r="P182" s="438"/>
      <c r="Q182" s="438"/>
      <c r="R182" s="438"/>
      <c r="S182" s="438"/>
      <c r="T182" s="438"/>
      <c r="U182" s="438"/>
    </row>
    <row r="183" spans="2:21">
      <c r="B183" s="356" t="s">
        <v>1027</v>
      </c>
      <c r="C183" s="438"/>
      <c r="D183" s="438"/>
      <c r="E183" s="438"/>
      <c r="F183" s="438"/>
      <c r="G183" s="438"/>
      <c r="H183" s="520"/>
      <c r="I183" s="520"/>
      <c r="J183" s="520">
        <f t="shared" ref="J183:U183" si="17">J154/J28</f>
        <v>2.5819076879267482E-2</v>
      </c>
      <c r="K183" s="520">
        <f t="shared" si="17"/>
        <v>2.4327247506150326E-2</v>
      </c>
      <c r="L183" s="520">
        <f t="shared" si="17"/>
        <v>2.36514406596901E-2</v>
      </c>
      <c r="M183" s="520">
        <f t="shared" si="17"/>
        <v>2.31521768327137E-2</v>
      </c>
      <c r="N183" s="520">
        <f t="shared" si="17"/>
        <v>2.2788830486065583E-2</v>
      </c>
      <c r="O183" s="520">
        <f t="shared" si="17"/>
        <v>2.2532862706434516E-2</v>
      </c>
      <c r="P183" s="520">
        <f t="shared" si="17"/>
        <v>2.2343177139510388E-2</v>
      </c>
      <c r="Q183" s="520">
        <f t="shared" si="17"/>
        <v>2.2234749693180813E-2</v>
      </c>
      <c r="R183" s="520">
        <f t="shared" si="17"/>
        <v>2.2187961766404397E-2</v>
      </c>
      <c r="S183" s="520">
        <f t="shared" si="17"/>
        <v>2.2182962213061961E-2</v>
      </c>
      <c r="T183" s="520">
        <f t="shared" si="17"/>
        <v>2.2195621527404907E-2</v>
      </c>
      <c r="U183" s="438">
        <f t="shared" si="17"/>
        <v>2.22401894868108E-2</v>
      </c>
    </row>
    <row r="189" spans="2:21">
      <c r="L189" s="318" t="s">
        <v>1270</v>
      </c>
    </row>
    <row r="191" spans="2:21">
      <c r="L191" s="318" t="s">
        <v>1271</v>
      </c>
    </row>
    <row r="193" spans="2:12">
      <c r="L193" s="318" t="s">
        <v>1396</v>
      </c>
    </row>
    <row r="195" spans="2:12">
      <c r="L195" s="318" t="s">
        <v>1272</v>
      </c>
    </row>
    <row r="197" spans="2:12">
      <c r="L197" s="318" t="s">
        <v>1283</v>
      </c>
    </row>
    <row r="207" spans="2:12">
      <c r="B207" s="334" t="s">
        <v>979</v>
      </c>
    </row>
    <row r="209" spans="2:21">
      <c r="B209" s="319" t="s">
        <v>353</v>
      </c>
      <c r="C209" s="685" t="str">
        <f>C24</f>
        <v>2010/11</v>
      </c>
      <c r="D209" s="685" t="str">
        <f t="shared" ref="D209:U209" si="18">D24</f>
        <v>2011/12</v>
      </c>
      <c r="E209" s="685" t="str">
        <f t="shared" si="18"/>
        <v>2012/13</v>
      </c>
      <c r="F209" s="685" t="str">
        <f t="shared" si="18"/>
        <v>2013/14</v>
      </c>
      <c r="G209" s="685" t="str">
        <f t="shared" si="18"/>
        <v>2014/15</v>
      </c>
      <c r="H209" s="685" t="str">
        <f t="shared" si="18"/>
        <v>2015/16</v>
      </c>
      <c r="I209" s="685" t="str">
        <f t="shared" si="18"/>
        <v>2016/17</v>
      </c>
      <c r="J209" s="685" t="str">
        <f t="shared" si="18"/>
        <v>2017/18</v>
      </c>
      <c r="K209" s="685" t="str">
        <f t="shared" si="18"/>
        <v>2018/19</v>
      </c>
      <c r="L209" s="685" t="str">
        <f t="shared" si="18"/>
        <v>2019/20</v>
      </c>
      <c r="M209" s="685" t="str">
        <f t="shared" si="18"/>
        <v>2020/21</v>
      </c>
      <c r="N209" s="685" t="str">
        <f t="shared" si="18"/>
        <v>2021/22</v>
      </c>
      <c r="O209" s="685" t="str">
        <f t="shared" si="18"/>
        <v>2022/23</v>
      </c>
      <c r="P209" s="685" t="str">
        <f t="shared" si="18"/>
        <v>2023/24</v>
      </c>
      <c r="Q209" s="685" t="str">
        <f t="shared" si="18"/>
        <v>2024/25</v>
      </c>
      <c r="R209" s="685" t="str">
        <f t="shared" si="18"/>
        <v>2025/26</v>
      </c>
      <c r="S209" s="685" t="str">
        <f t="shared" si="18"/>
        <v>2026/27</v>
      </c>
      <c r="T209" s="685" t="str">
        <f t="shared" si="18"/>
        <v>2027/28</v>
      </c>
      <c r="U209" s="685" t="str">
        <f t="shared" si="18"/>
        <v>2028/29</v>
      </c>
    </row>
    <row r="210" spans="2:21">
      <c r="B210" s="319" t="s">
        <v>971</v>
      </c>
      <c r="C210" s="433">
        <v>108.32561868123376</v>
      </c>
      <c r="D210" s="433">
        <v>123.78999256339159</v>
      </c>
      <c r="E210" s="300">
        <f>RAW_DATA_INPUTS!I278+RAW_DATA_INPUTS!I295</f>
        <v>147.196</v>
      </c>
      <c r="F210" s="300">
        <f>RAW_DATA_INPUTS!J278+RAW_DATA_INPUTS!J295</f>
        <v>119.65599999999999</v>
      </c>
      <c r="G210" s="300">
        <f>RAW_DATA_INPUTS!K278+RAW_DATA_INPUTS!K295</f>
        <v>163.38000000000002</v>
      </c>
      <c r="H210" s="300">
        <f>RAW_DATA_INPUTS!L278+RAW_DATA_INPUTS!L295</f>
        <v>98.563999999999993</v>
      </c>
      <c r="I210" s="686"/>
      <c r="J210" s="686"/>
      <c r="K210" s="686"/>
      <c r="L210" s="686"/>
      <c r="M210" s="686"/>
      <c r="N210" s="686"/>
      <c r="O210" s="686"/>
      <c r="P210" s="686"/>
      <c r="Q210" s="686"/>
      <c r="R210" s="686"/>
      <c r="S210" s="686"/>
      <c r="T210" s="686"/>
      <c r="U210" s="686"/>
    </row>
    <row r="211" spans="2:21">
      <c r="B211" s="319" t="s">
        <v>972</v>
      </c>
      <c r="C211" s="317"/>
      <c r="D211" s="317"/>
      <c r="E211" s="317"/>
      <c r="F211" s="317"/>
      <c r="G211" s="317"/>
      <c r="H211" s="317"/>
      <c r="I211" s="317"/>
      <c r="J211" s="317">
        <f>Deaths_over_time!C14</f>
        <v>139.7185757212942</v>
      </c>
      <c r="K211" s="317">
        <f>Deaths_over_time!D14</f>
        <v>140.51779296808175</v>
      </c>
      <c r="L211" s="317">
        <f>Deaths_over_time!E14</f>
        <v>140.45037584672642</v>
      </c>
      <c r="M211" s="317">
        <f>Deaths_over_time!F14</f>
        <v>139.88163053099592</v>
      </c>
      <c r="N211" s="317">
        <f>Deaths_over_time!G14</f>
        <v>139.34638702601171</v>
      </c>
      <c r="O211" s="317">
        <f>Deaths_over_time!H14</f>
        <v>138.81986781332816</v>
      </c>
      <c r="P211" s="317">
        <f>Deaths_over_time!I14</f>
        <v>138.30799970793373</v>
      </c>
      <c r="Q211" s="317">
        <f>Deaths_over_time!J14</f>
        <v>137.79869884641153</v>
      </c>
      <c r="R211" s="317">
        <f>Deaths_over_time!K14</f>
        <v>137.56902860683539</v>
      </c>
      <c r="S211" s="317">
        <f>Deaths_over_time!L14</f>
        <v>137.55631123749336</v>
      </c>
      <c r="T211" s="317">
        <f>Deaths_over_time!M14</f>
        <v>137.62097654505649</v>
      </c>
      <c r="U211" s="317">
        <f>Deaths_over_time!N14</f>
        <v>137.67307017714899</v>
      </c>
    </row>
    <row r="212" spans="2:21">
      <c r="B212" s="319" t="s">
        <v>973</v>
      </c>
      <c r="C212" s="433">
        <v>125.67159650001329</v>
      </c>
      <c r="D212" s="433">
        <v>125.43187980730896</v>
      </c>
      <c r="E212" s="300">
        <f>RAW_DATA_INPUTS!C278+RAW_DATA_INPUTS!C295</f>
        <v>179.423</v>
      </c>
      <c r="F212" s="300">
        <f>RAW_DATA_INPUTS!D278+RAW_DATA_INPUTS!D295</f>
        <v>136.42700000000002</v>
      </c>
      <c r="G212" s="300">
        <f>RAW_DATA_INPUTS!E278+RAW_DATA_INPUTS!E295</f>
        <v>198.31199999999998</v>
      </c>
      <c r="H212" s="300">
        <f>RAW_DATA_INPUTS!F278+RAW_DATA_INPUTS!F295</f>
        <v>87.206999999999994</v>
      </c>
      <c r="I212" s="686"/>
      <c r="J212" s="686"/>
      <c r="K212" s="686"/>
      <c r="L212" s="686"/>
      <c r="M212" s="686"/>
      <c r="N212" s="686"/>
      <c r="O212" s="686"/>
      <c r="P212" s="686"/>
      <c r="Q212" s="686"/>
      <c r="R212" s="686"/>
      <c r="S212" s="686"/>
      <c r="T212" s="686"/>
      <c r="U212" s="686"/>
    </row>
    <row r="213" spans="2:21">
      <c r="B213" s="319" t="s">
        <v>974</v>
      </c>
      <c r="C213" s="317"/>
      <c r="D213" s="317"/>
      <c r="E213" s="317"/>
      <c r="F213" s="317"/>
      <c r="G213" s="687"/>
      <c r="H213" s="317"/>
      <c r="I213" s="317"/>
      <c r="J213" s="317">
        <f>Deaths_over_time!C34-Deaths_over_time!C14</f>
        <v>144.19381863795905</v>
      </c>
      <c r="K213" s="317">
        <f>Deaths_over_time!D34-Deaths_over_time!D14</f>
        <v>144.20754974870354</v>
      </c>
      <c r="L213" s="317">
        <f>Deaths_over_time!E34-Deaths_over_time!E14</f>
        <v>144.30914463170697</v>
      </c>
      <c r="M213" s="317">
        <f>Deaths_over_time!F34-Deaths_over_time!F14</f>
        <v>144.41084665423884</v>
      </c>
      <c r="N213" s="317">
        <f>Deaths_over_time!G34-Deaths_over_time!G14</f>
        <v>144.4943488449594</v>
      </c>
      <c r="O213" s="317">
        <f>Deaths_over_time!H34-Deaths_over_time!H14</f>
        <v>144.7721029155388</v>
      </c>
      <c r="P213" s="317">
        <f>Deaths_over_time!I34-Deaths_over_time!I14</f>
        <v>145.23870739989252</v>
      </c>
      <c r="Q213" s="317">
        <f>Deaths_over_time!J34-Deaths_over_time!J14</f>
        <v>146.10338968363709</v>
      </c>
      <c r="R213" s="317">
        <f>Deaths_over_time!K34-Deaths_over_time!K14</f>
        <v>146.6599771359181</v>
      </c>
      <c r="S213" s="317">
        <f>Deaths_over_time!L34-Deaths_over_time!L14</f>
        <v>146.85873987388752</v>
      </c>
      <c r="T213" s="317">
        <f>Deaths_over_time!M34-Deaths_over_time!M14</f>
        <v>146.78369362467217</v>
      </c>
      <c r="U213" s="317">
        <f>Deaths_over_time!N34-Deaths_over_time!N14</f>
        <v>146.66438446240539</v>
      </c>
    </row>
    <row r="236" spans="2:21">
      <c r="B236" s="334" t="s">
        <v>970</v>
      </c>
    </row>
    <row r="238" spans="2:21">
      <c r="B238" s="319" t="s">
        <v>353</v>
      </c>
      <c r="C238" s="685" t="str">
        <f>C24</f>
        <v>2010/11</v>
      </c>
      <c r="D238" s="685" t="str">
        <f t="shared" ref="D238:U238" si="19">D24</f>
        <v>2011/12</v>
      </c>
      <c r="E238" s="685" t="str">
        <f t="shared" si="19"/>
        <v>2012/13</v>
      </c>
      <c r="F238" s="685" t="str">
        <f t="shared" si="19"/>
        <v>2013/14</v>
      </c>
      <c r="G238" s="685" t="str">
        <f t="shared" si="19"/>
        <v>2014/15</v>
      </c>
      <c r="H238" s="685" t="str">
        <f t="shared" si="19"/>
        <v>2015/16</v>
      </c>
      <c r="I238" s="685" t="str">
        <f t="shared" si="19"/>
        <v>2016/17</v>
      </c>
      <c r="J238" s="685" t="str">
        <f t="shared" si="19"/>
        <v>2017/18</v>
      </c>
      <c r="K238" s="685" t="str">
        <f t="shared" si="19"/>
        <v>2018/19</v>
      </c>
      <c r="L238" s="685" t="str">
        <f t="shared" si="19"/>
        <v>2019/20</v>
      </c>
      <c r="M238" s="685" t="str">
        <f t="shared" si="19"/>
        <v>2020/21</v>
      </c>
      <c r="N238" s="685" t="str">
        <f t="shared" si="19"/>
        <v>2021/22</v>
      </c>
      <c r="O238" s="685" t="str">
        <f t="shared" si="19"/>
        <v>2022/23</v>
      </c>
      <c r="P238" s="685" t="str">
        <f t="shared" si="19"/>
        <v>2023/24</v>
      </c>
      <c r="Q238" s="685" t="str">
        <f t="shared" si="19"/>
        <v>2024/25</v>
      </c>
      <c r="R238" s="685" t="str">
        <f t="shared" si="19"/>
        <v>2025/26</v>
      </c>
      <c r="S238" s="685" t="str">
        <f t="shared" si="19"/>
        <v>2026/27</v>
      </c>
      <c r="T238" s="685" t="str">
        <f t="shared" si="19"/>
        <v>2027/28</v>
      </c>
      <c r="U238" s="685" t="str">
        <f t="shared" si="19"/>
        <v>2028/29</v>
      </c>
    </row>
    <row r="239" spans="2:21">
      <c r="B239" s="319" t="s">
        <v>1028</v>
      </c>
      <c r="C239" s="160">
        <f t="shared" ref="C239:H239" si="20">C210/C25</f>
        <v>4.9964984795271533E-4</v>
      </c>
      <c r="D239" s="160">
        <f t="shared" si="20"/>
        <v>5.6329816827879937E-4</v>
      </c>
      <c r="E239" s="160">
        <f t="shared" si="20"/>
        <v>6.5349912139050744E-4</v>
      </c>
      <c r="F239" s="160">
        <f t="shared" si="20"/>
        <v>5.190994057401577E-4</v>
      </c>
      <c r="G239" s="160">
        <f t="shared" si="20"/>
        <v>6.9325900664402929E-4</v>
      </c>
      <c r="H239" s="160">
        <f t="shared" si="20"/>
        <v>4.1182568802965701E-4</v>
      </c>
      <c r="I239" s="160"/>
      <c r="J239" s="160"/>
      <c r="K239" s="160"/>
      <c r="L239" s="160"/>
      <c r="M239" s="160"/>
      <c r="N239" s="160"/>
      <c r="O239" s="160"/>
      <c r="P239" s="160"/>
      <c r="Q239" s="160"/>
      <c r="R239" s="160"/>
      <c r="S239" s="160"/>
      <c r="T239" s="160"/>
      <c r="U239" s="160"/>
    </row>
    <row r="240" spans="2:21">
      <c r="B240" s="319" t="s">
        <v>1029</v>
      </c>
      <c r="C240" s="160"/>
      <c r="D240" s="160"/>
      <c r="E240" s="160"/>
      <c r="F240" s="160"/>
      <c r="G240" s="160"/>
      <c r="H240" s="160"/>
      <c r="I240" s="160"/>
      <c r="J240" s="160">
        <f t="shared" ref="J240:U240" si="21">J211/J26</f>
        <v>5.7354484343901183E-4</v>
      </c>
      <c r="K240" s="160">
        <f t="shared" si="21"/>
        <v>5.7525661904620341E-4</v>
      </c>
      <c r="L240" s="160">
        <f t="shared" si="21"/>
        <v>5.7496869607359961E-4</v>
      </c>
      <c r="M240" s="160">
        <f t="shared" si="21"/>
        <v>5.721024141347559E-4</v>
      </c>
      <c r="N240" s="160">
        <f t="shared" si="21"/>
        <v>5.6977095557112032E-4</v>
      </c>
      <c r="O240" s="160">
        <f t="shared" si="21"/>
        <v>5.6798090659396043E-4</v>
      </c>
      <c r="P240" s="160">
        <f t="shared" si="21"/>
        <v>5.6680428193690954E-4</v>
      </c>
      <c r="Q240" s="160">
        <f t="shared" si="21"/>
        <v>5.6417216881776363E-4</v>
      </c>
      <c r="R240" s="160">
        <f t="shared" si="21"/>
        <v>5.6165901090146251E-4</v>
      </c>
      <c r="S240" s="160">
        <f t="shared" si="21"/>
        <v>5.5992342863482852E-4</v>
      </c>
      <c r="T240" s="160">
        <f t="shared" si="21"/>
        <v>5.5890948718881209E-4</v>
      </c>
      <c r="U240" s="160">
        <f t="shared" si="21"/>
        <v>5.5826288049628636E-4</v>
      </c>
    </row>
    <row r="241" spans="2:21">
      <c r="B241" s="319" t="s">
        <v>1030</v>
      </c>
      <c r="C241" s="160">
        <f t="shared" ref="C241:H241" si="22">C212/C27</f>
        <v>5.6634169640991741E-4</v>
      </c>
      <c r="D241" s="160">
        <f t="shared" si="22"/>
        <v>5.7226854214932328E-4</v>
      </c>
      <c r="E241" s="160">
        <f t="shared" si="22"/>
        <v>8.1665937980358839E-4</v>
      </c>
      <c r="F241" s="160">
        <f t="shared" si="22"/>
        <v>6.2671446155138913E-4</v>
      </c>
      <c r="G241" s="160">
        <f t="shared" si="22"/>
        <v>9.1968641045580559E-4</v>
      </c>
      <c r="H241" s="160">
        <f t="shared" si="22"/>
        <v>4.1132710329074609E-4</v>
      </c>
      <c r="I241" s="160"/>
      <c r="J241" s="160"/>
      <c r="K241" s="160"/>
      <c r="L241" s="160"/>
      <c r="M241" s="160"/>
      <c r="N241" s="160"/>
      <c r="O241" s="160"/>
      <c r="P241" s="160"/>
      <c r="Q241" s="160"/>
      <c r="R241" s="160"/>
      <c r="S241" s="160"/>
      <c r="T241" s="160"/>
      <c r="U241" s="160"/>
    </row>
    <row r="242" spans="2:21">
      <c r="B242" s="319" t="s">
        <v>1031</v>
      </c>
      <c r="C242" s="160"/>
      <c r="D242" s="160"/>
      <c r="E242" s="160"/>
      <c r="F242" s="160"/>
      <c r="G242" s="160"/>
      <c r="H242" s="160"/>
      <c r="I242" s="160"/>
      <c r="J242" s="160">
        <f t="shared" ref="J242:U242" si="23">J213/J28</f>
        <v>6.844684305912992E-4</v>
      </c>
      <c r="K242" s="160">
        <f t="shared" si="23"/>
        <v>6.7799042838999617E-4</v>
      </c>
      <c r="L242" s="160">
        <f t="shared" si="23"/>
        <v>6.7145442624771067E-4</v>
      </c>
      <c r="M242" s="160">
        <f t="shared" si="23"/>
        <v>6.6623089961297219E-4</v>
      </c>
      <c r="N242" s="160">
        <f t="shared" si="23"/>
        <v>6.6070358948217315E-4</v>
      </c>
      <c r="O242" s="160">
        <f t="shared" si="23"/>
        <v>6.5590679807112421E-4</v>
      </c>
      <c r="P242" s="160">
        <f t="shared" si="23"/>
        <v>6.503709751876271E-4</v>
      </c>
      <c r="Q242" s="160">
        <f t="shared" si="23"/>
        <v>6.4963341929580277E-4</v>
      </c>
      <c r="R242" s="160">
        <f t="shared" si="23"/>
        <v>6.5040514499410001E-4</v>
      </c>
      <c r="S242" s="160">
        <f t="shared" si="23"/>
        <v>6.5167393665846354E-4</v>
      </c>
      <c r="T242" s="160">
        <f t="shared" si="23"/>
        <v>6.5213712118988355E-4</v>
      </c>
      <c r="U242" s="160">
        <f t="shared" si="23"/>
        <v>6.5291545117965332E-4</v>
      </c>
    </row>
    <row r="266" spans="2:21">
      <c r="B266" s="334" t="s">
        <v>1126</v>
      </c>
    </row>
    <row r="268" spans="2:21">
      <c r="B268" s="319" t="s">
        <v>353</v>
      </c>
      <c r="C268" s="685" t="str">
        <f>C24</f>
        <v>2010/11</v>
      </c>
      <c r="D268" s="685" t="str">
        <f t="shared" ref="D268:U268" si="24">D24</f>
        <v>2011/12</v>
      </c>
      <c r="E268" s="685" t="str">
        <f t="shared" si="24"/>
        <v>2012/13</v>
      </c>
      <c r="F268" s="685" t="str">
        <f t="shared" si="24"/>
        <v>2013/14</v>
      </c>
      <c r="G268" s="685" t="str">
        <f t="shared" si="24"/>
        <v>2014/15</v>
      </c>
      <c r="H268" s="685" t="str">
        <f t="shared" si="24"/>
        <v>2015/16</v>
      </c>
      <c r="I268" s="685" t="str">
        <f t="shared" si="24"/>
        <v>2016/17</v>
      </c>
      <c r="J268" s="685" t="str">
        <f t="shared" si="24"/>
        <v>2017/18</v>
      </c>
      <c r="K268" s="685" t="str">
        <f t="shared" si="24"/>
        <v>2018/19</v>
      </c>
      <c r="L268" s="685" t="str">
        <f t="shared" si="24"/>
        <v>2019/20</v>
      </c>
      <c r="M268" s="685" t="str">
        <f t="shared" si="24"/>
        <v>2020/21</v>
      </c>
      <c r="N268" s="685" t="str">
        <f t="shared" si="24"/>
        <v>2021/22</v>
      </c>
      <c r="O268" s="685" t="str">
        <f t="shared" si="24"/>
        <v>2022/23</v>
      </c>
      <c r="P268" s="685" t="str">
        <f t="shared" si="24"/>
        <v>2023/24</v>
      </c>
      <c r="Q268" s="685" t="str">
        <f>Q24</f>
        <v>2024/25</v>
      </c>
      <c r="R268" s="685" t="str">
        <f t="shared" si="24"/>
        <v>2025/26</v>
      </c>
      <c r="S268" s="685" t="str">
        <f t="shared" si="24"/>
        <v>2026/27</v>
      </c>
      <c r="T268" s="685" t="str">
        <f t="shared" si="24"/>
        <v>2027/28</v>
      </c>
      <c r="U268" s="685" t="str">
        <f t="shared" si="24"/>
        <v>2028/29</v>
      </c>
    </row>
    <row r="269" spans="2:21">
      <c r="B269" s="319" t="s">
        <v>1127</v>
      </c>
      <c r="C269" s="447"/>
      <c r="D269" s="447">
        <f>D210+D151+D87</f>
        <v>20111.489062167639</v>
      </c>
      <c r="E269" s="447">
        <f>E210+E151+E87</f>
        <v>21601.430999999997</v>
      </c>
      <c r="F269" s="447">
        <f>F210+F151+F87</f>
        <v>23974.491000000002</v>
      </c>
      <c r="G269" s="447">
        <f>G210+G151+G87</f>
        <v>24838.873</v>
      </c>
      <c r="H269" s="447">
        <f>H210+H151+H87</f>
        <v>24403.489999999998</v>
      </c>
      <c r="I269" s="447"/>
      <c r="J269" s="447"/>
      <c r="K269" s="447"/>
      <c r="L269" s="447"/>
      <c r="M269" s="447"/>
      <c r="N269" s="447"/>
      <c r="O269" s="447"/>
      <c r="P269" s="447"/>
      <c r="Q269" s="447"/>
      <c r="R269" s="447"/>
      <c r="S269" s="447"/>
      <c r="T269" s="447"/>
      <c r="U269" s="447"/>
    </row>
    <row r="270" spans="2:21">
      <c r="B270" s="319" t="s">
        <v>1128</v>
      </c>
      <c r="C270" s="447"/>
      <c r="D270" s="447"/>
      <c r="E270" s="447"/>
      <c r="F270" s="447"/>
      <c r="G270" s="447"/>
      <c r="H270" s="447"/>
      <c r="I270" s="447"/>
      <c r="J270" s="447">
        <f t="shared" ref="J270:U270" si="25">J211+J152+J88</f>
        <v>25469.99905066513</v>
      </c>
      <c r="K270" s="447">
        <f t="shared" si="25"/>
        <v>25503.585449146347</v>
      </c>
      <c r="L270" s="447">
        <f t="shared" si="25"/>
        <v>25830.126220973489</v>
      </c>
      <c r="M270" s="447">
        <f t="shared" si="25"/>
        <v>25884.62884704036</v>
      </c>
      <c r="N270" s="447">
        <f t="shared" si="25"/>
        <v>25824.850765185958</v>
      </c>
      <c r="O270" s="447">
        <f t="shared" si="25"/>
        <v>25769.802032877473</v>
      </c>
      <c r="P270" s="447">
        <f t="shared" si="25"/>
        <v>25710.756349603485</v>
      </c>
      <c r="Q270" s="447">
        <f t="shared" si="25"/>
        <v>25641.555549155513</v>
      </c>
      <c r="R270" s="447">
        <f t="shared" si="25"/>
        <v>25648.461774369658</v>
      </c>
      <c r="S270" s="447">
        <f t="shared" si="25"/>
        <v>25708.639956692568</v>
      </c>
      <c r="T270" s="447">
        <f t="shared" si="25"/>
        <v>25778.373005504072</v>
      </c>
      <c r="U270" s="447">
        <f t="shared" si="25"/>
        <v>25832.426165774523</v>
      </c>
    </row>
    <row r="271" spans="2:21">
      <c r="B271" s="319" t="s">
        <v>1129</v>
      </c>
      <c r="C271" s="447"/>
      <c r="D271" s="447">
        <f>D212+D153+D89</f>
        <v>21107.755327273022</v>
      </c>
      <c r="E271" s="447">
        <f>E212+E153+E89</f>
        <v>22439.189000000002</v>
      </c>
      <c r="F271" s="447">
        <f>F212+F153+F89</f>
        <v>23521.777000000002</v>
      </c>
      <c r="G271" s="447">
        <f>G212+G153+G89</f>
        <v>25112.794000000002</v>
      </c>
      <c r="H271" s="447">
        <f>H212+H153+H89</f>
        <v>23996.908000000003</v>
      </c>
      <c r="I271" s="447"/>
      <c r="J271" s="447"/>
      <c r="K271" s="447"/>
      <c r="L271" s="447"/>
      <c r="M271" s="447"/>
      <c r="N271" s="447"/>
      <c r="O271" s="447"/>
      <c r="P271" s="447"/>
      <c r="Q271" s="447"/>
      <c r="R271" s="447"/>
      <c r="S271" s="447"/>
      <c r="T271" s="447"/>
      <c r="U271" s="447"/>
    </row>
    <row r="272" spans="2:21">
      <c r="B272" s="319" t="s">
        <v>1130</v>
      </c>
      <c r="C272" s="447"/>
      <c r="D272" s="447"/>
      <c r="E272" s="447"/>
      <c r="F272" s="447"/>
      <c r="G272" s="447"/>
      <c r="H272" s="447"/>
      <c r="I272" s="447"/>
      <c r="J272" s="447">
        <f t="shared" ref="J272:U272" si="26">J213+J154+J90</f>
        <v>23965.531070029494</v>
      </c>
      <c r="K272" s="447">
        <f t="shared" si="26"/>
        <v>23858.728281904921</v>
      </c>
      <c r="L272" s="447">
        <f t="shared" si="26"/>
        <v>24544.983035426107</v>
      </c>
      <c r="M272" s="447">
        <f t="shared" si="26"/>
        <v>24814.521789501643</v>
      </c>
      <c r="N272" s="447">
        <f t="shared" si="26"/>
        <v>25025.013487948076</v>
      </c>
      <c r="O272" s="447">
        <f t="shared" si="26"/>
        <v>25252.564256104852</v>
      </c>
      <c r="P272" s="447">
        <f t="shared" si="26"/>
        <v>25502.297367468738</v>
      </c>
      <c r="Q272" s="447">
        <f t="shared" si="26"/>
        <v>25791.500318501432</v>
      </c>
      <c r="R272" s="447">
        <f t="shared" si="26"/>
        <v>25953.788923394284</v>
      </c>
      <c r="S272" s="447">
        <f t="shared" si="26"/>
        <v>26003.999266691608</v>
      </c>
      <c r="T272" s="447">
        <f t="shared" si="26"/>
        <v>25979.634867583081</v>
      </c>
      <c r="U272" s="447">
        <f t="shared" si="26"/>
        <v>25941.801826349569</v>
      </c>
    </row>
    <row r="295" spans="2:21">
      <c r="B295" s="334" t="s">
        <v>1131</v>
      </c>
    </row>
    <row r="297" spans="2:21">
      <c r="B297" s="319" t="s">
        <v>353</v>
      </c>
      <c r="C297" s="685" t="str">
        <f>C24</f>
        <v>2010/11</v>
      </c>
      <c r="D297" s="685" t="str">
        <f t="shared" ref="D297:U297" si="27">D24</f>
        <v>2011/12</v>
      </c>
      <c r="E297" s="685" t="str">
        <f t="shared" si="27"/>
        <v>2012/13</v>
      </c>
      <c r="F297" s="685" t="str">
        <f t="shared" si="27"/>
        <v>2013/14</v>
      </c>
      <c r="G297" s="685" t="str">
        <f t="shared" si="27"/>
        <v>2014/15</v>
      </c>
      <c r="H297" s="685" t="str">
        <f t="shared" si="27"/>
        <v>2015/16</v>
      </c>
      <c r="I297" s="685" t="str">
        <f t="shared" si="27"/>
        <v>2016/17</v>
      </c>
      <c r="J297" s="685" t="str">
        <f t="shared" si="27"/>
        <v>2017/18</v>
      </c>
      <c r="K297" s="685" t="str">
        <f t="shared" si="27"/>
        <v>2018/19</v>
      </c>
      <c r="L297" s="685" t="str">
        <f t="shared" si="27"/>
        <v>2019/20</v>
      </c>
      <c r="M297" s="685" t="str">
        <f t="shared" si="27"/>
        <v>2020/21</v>
      </c>
      <c r="N297" s="685" t="str">
        <f t="shared" si="27"/>
        <v>2021/22</v>
      </c>
      <c r="O297" s="685" t="str">
        <f t="shared" si="27"/>
        <v>2022/23</v>
      </c>
      <c r="P297" s="685" t="str">
        <f t="shared" si="27"/>
        <v>2023/24</v>
      </c>
      <c r="Q297" s="685" t="str">
        <f t="shared" si="27"/>
        <v>2024/25</v>
      </c>
      <c r="R297" s="685" t="str">
        <f t="shared" si="27"/>
        <v>2025/26</v>
      </c>
      <c r="S297" s="685" t="str">
        <f t="shared" si="27"/>
        <v>2026/27</v>
      </c>
      <c r="T297" s="685" t="str">
        <f t="shared" si="27"/>
        <v>2027/28</v>
      </c>
      <c r="U297" s="685" t="str">
        <f t="shared" si="27"/>
        <v>2028/29</v>
      </c>
    </row>
    <row r="298" spans="2:21">
      <c r="B298" s="319" t="s">
        <v>1153</v>
      </c>
      <c r="C298" s="520"/>
      <c r="D298" s="520">
        <f>D269/D25</f>
        <v>9.1515999924442953E-2</v>
      </c>
      <c r="E298" s="520">
        <f>E269/E25</f>
        <v>9.5902851838892827E-2</v>
      </c>
      <c r="F298" s="520">
        <f>F269/F25</f>
        <v>0.10400768896689476</v>
      </c>
      <c r="G298" s="520">
        <f>G269/G25</f>
        <v>0.10539706464767534</v>
      </c>
      <c r="H298" s="520">
        <f>H269/H25</f>
        <v>0.10196404427148709</v>
      </c>
      <c r="I298" s="520"/>
      <c r="J298" s="520"/>
      <c r="K298" s="520"/>
      <c r="L298" s="520"/>
      <c r="M298" s="520"/>
      <c r="N298" s="520"/>
      <c r="O298" s="520"/>
      <c r="P298" s="520"/>
      <c r="Q298" s="520"/>
      <c r="R298" s="520"/>
      <c r="S298" s="520"/>
      <c r="T298" s="520"/>
      <c r="U298" s="520"/>
    </row>
    <row r="299" spans="2:21">
      <c r="B299" s="319" t="s">
        <v>1154</v>
      </c>
      <c r="C299" s="520"/>
      <c r="D299" s="520"/>
      <c r="E299" s="520"/>
      <c r="F299" s="520"/>
      <c r="G299" s="520"/>
      <c r="H299" s="520"/>
      <c r="I299" s="520"/>
      <c r="J299" s="520">
        <f t="shared" ref="J299:U299" si="28">J270/J26</f>
        <v>0.10455436252832566</v>
      </c>
      <c r="K299" s="520">
        <f t="shared" si="28"/>
        <v>0.10440746349015302</v>
      </c>
      <c r="L299" s="520">
        <f t="shared" si="28"/>
        <v>0.10574207369083219</v>
      </c>
      <c r="M299" s="520">
        <f t="shared" si="28"/>
        <v>0.10586564223021785</v>
      </c>
      <c r="N299" s="520">
        <f t="shared" si="28"/>
        <v>0.10559477150430086</v>
      </c>
      <c r="O299" s="520">
        <f t="shared" si="28"/>
        <v>0.10543703687330085</v>
      </c>
      <c r="P299" s="520">
        <f t="shared" si="28"/>
        <v>0.10536604405794105</v>
      </c>
      <c r="Q299" s="520">
        <f t="shared" si="28"/>
        <v>0.1049810493650024</v>
      </c>
      <c r="R299" s="520">
        <f t="shared" si="28"/>
        <v>0.10471608193517955</v>
      </c>
      <c r="S299" s="520">
        <f t="shared" si="28"/>
        <v>0.10464710561507178</v>
      </c>
      <c r="T299" s="520">
        <f t="shared" si="28"/>
        <v>0.10469172359310469</v>
      </c>
      <c r="U299" s="520">
        <f t="shared" si="28"/>
        <v>0.10475022183319169</v>
      </c>
    </row>
    <row r="300" spans="2:21">
      <c r="B300" s="319" t="s">
        <v>1155</v>
      </c>
      <c r="C300" s="520"/>
      <c r="D300" s="520">
        <f>D271/D27</f>
        <v>9.6301708845786413E-2</v>
      </c>
      <c r="E300" s="520">
        <f>E271/E27</f>
        <v>0.10213391912985238</v>
      </c>
      <c r="F300" s="520">
        <f>F271/F27</f>
        <v>0.10805366831555958</v>
      </c>
      <c r="G300" s="520">
        <f>G271/G27</f>
        <v>0.11646241967392842</v>
      </c>
      <c r="H300" s="520">
        <f>H271/H27</f>
        <v>0.11318562335104444</v>
      </c>
      <c r="I300" s="520"/>
      <c r="J300" s="520"/>
      <c r="K300" s="520"/>
      <c r="L300" s="520"/>
      <c r="M300" s="520"/>
      <c r="N300" s="520"/>
      <c r="O300" s="520"/>
      <c r="P300" s="520"/>
      <c r="Q300" s="520"/>
      <c r="R300" s="520"/>
      <c r="S300" s="520"/>
      <c r="T300" s="520"/>
      <c r="U300" s="520"/>
    </row>
    <row r="301" spans="2:21">
      <c r="B301" s="319" t="s">
        <v>1156</v>
      </c>
      <c r="C301" s="520"/>
      <c r="D301" s="520"/>
      <c r="E301" s="520"/>
      <c r="F301" s="520"/>
      <c r="G301" s="520"/>
      <c r="H301" s="520"/>
      <c r="I301" s="520"/>
      <c r="J301" s="520">
        <f t="shared" ref="J301:U301" si="29">J272/J28</f>
        <v>0.113761113997378</v>
      </c>
      <c r="K301" s="520">
        <f t="shared" si="29"/>
        <v>0.11217158489189752</v>
      </c>
      <c r="L301" s="520">
        <f t="shared" si="29"/>
        <v>0.11420508065079842</v>
      </c>
      <c r="M301" s="520">
        <f t="shared" si="29"/>
        <v>0.11448032857856054</v>
      </c>
      <c r="N301" s="520">
        <f t="shared" si="29"/>
        <v>0.11442742481277236</v>
      </c>
      <c r="O301" s="520">
        <f t="shared" si="29"/>
        <v>0.11440967030761605</v>
      </c>
      <c r="P301" s="520">
        <f t="shared" si="29"/>
        <v>0.11419789053023323</v>
      </c>
      <c r="Q301" s="520">
        <f t="shared" si="29"/>
        <v>0.11467920475327176</v>
      </c>
      <c r="R301" s="520">
        <f t="shared" si="29"/>
        <v>0.11509941687923785</v>
      </c>
      <c r="S301" s="520">
        <f t="shared" si="29"/>
        <v>0.11539067123646113</v>
      </c>
      <c r="T301" s="520">
        <f t="shared" si="29"/>
        <v>0.11542347704801323</v>
      </c>
      <c r="U301" s="520">
        <f t="shared" si="29"/>
        <v>0.11548681914801112</v>
      </c>
    </row>
    <row r="324" spans="2:26">
      <c r="B324" s="334" t="s">
        <v>1132</v>
      </c>
      <c r="H324" s="269"/>
    </row>
    <row r="326" spans="2:26">
      <c r="B326" s="319" t="s">
        <v>353</v>
      </c>
      <c r="C326" s="685" t="str">
        <f>C24</f>
        <v>2010/11</v>
      </c>
      <c r="D326" s="685" t="str">
        <f t="shared" ref="D326:U326" si="30">D24</f>
        <v>2011/12</v>
      </c>
      <c r="E326" s="685" t="str">
        <f t="shared" si="30"/>
        <v>2012/13</v>
      </c>
      <c r="F326" s="685" t="str">
        <f t="shared" si="30"/>
        <v>2013/14</v>
      </c>
      <c r="G326" s="685" t="str">
        <f t="shared" si="30"/>
        <v>2014/15</v>
      </c>
      <c r="H326" s="685" t="str">
        <f t="shared" si="30"/>
        <v>2015/16</v>
      </c>
      <c r="I326" s="685" t="str">
        <f t="shared" si="30"/>
        <v>2016/17</v>
      </c>
      <c r="J326" s="685" t="str">
        <f t="shared" si="30"/>
        <v>2017/18</v>
      </c>
      <c r="K326" s="685" t="str">
        <f t="shared" si="30"/>
        <v>2018/19</v>
      </c>
      <c r="L326" s="685" t="str">
        <f t="shared" si="30"/>
        <v>2019/20</v>
      </c>
      <c r="M326" s="685" t="str">
        <f t="shared" si="30"/>
        <v>2020/21</v>
      </c>
      <c r="N326" s="685" t="str">
        <f t="shared" si="30"/>
        <v>2021/22</v>
      </c>
      <c r="O326" s="685" t="str">
        <f t="shared" si="30"/>
        <v>2022/23</v>
      </c>
      <c r="P326" s="685" t="str">
        <f t="shared" si="30"/>
        <v>2023/24</v>
      </c>
      <c r="Q326" s="685" t="str">
        <f t="shared" si="30"/>
        <v>2024/25</v>
      </c>
      <c r="R326" s="685" t="str">
        <f t="shared" si="30"/>
        <v>2025/26</v>
      </c>
      <c r="S326" s="685" t="str">
        <f t="shared" si="30"/>
        <v>2026/27</v>
      </c>
      <c r="T326" s="685" t="str">
        <f t="shared" si="30"/>
        <v>2027/28</v>
      </c>
      <c r="U326" s="685" t="str">
        <f t="shared" si="30"/>
        <v>2028/29</v>
      </c>
    </row>
    <row r="327" spans="2:26">
      <c r="B327" s="319" t="s">
        <v>980</v>
      </c>
      <c r="C327" s="433">
        <v>20529.657089546286</v>
      </c>
      <c r="D327" s="433">
        <v>23989.040999999994</v>
      </c>
      <c r="E327" s="300">
        <f>RAW_DATA_INPUTS!C325</f>
        <v>25277.416000000001</v>
      </c>
      <c r="F327" s="300">
        <f>RAW_DATA_INPUTS!D325</f>
        <v>26598.285000000003</v>
      </c>
      <c r="G327" s="300">
        <f>RAW_DATA_INPUTS!E325</f>
        <v>26693.667000000001</v>
      </c>
      <c r="H327" s="300">
        <f>RAW_DATA_INPUTS!F325</f>
        <v>25406.252</v>
      </c>
      <c r="I327" s="686"/>
      <c r="J327" s="686"/>
      <c r="K327" s="686"/>
      <c r="L327" s="686"/>
      <c r="M327" s="686"/>
      <c r="N327" s="686"/>
      <c r="O327" s="686"/>
      <c r="P327" s="686"/>
      <c r="Q327" s="686"/>
      <c r="R327" s="686"/>
      <c r="S327" s="686"/>
      <c r="T327" s="686"/>
      <c r="U327" s="686"/>
    </row>
    <row r="328" spans="2:26">
      <c r="B328" s="319" t="s">
        <v>981</v>
      </c>
      <c r="C328" s="317"/>
      <c r="D328" s="317"/>
      <c r="E328" s="317"/>
      <c r="F328" s="317"/>
      <c r="G328" s="317"/>
      <c r="H328" s="317"/>
      <c r="I328" s="317"/>
      <c r="J328" s="317">
        <f>Entrant_need_figures!C15</f>
        <v>27567.610098506135</v>
      </c>
      <c r="K328" s="317">
        <f>Entrant_need_figures!D15</f>
        <v>26168.018656485227</v>
      </c>
      <c r="L328" s="317">
        <f>Entrant_need_figures!E15</f>
        <v>25492.593807015372</v>
      </c>
      <c r="M328" s="317">
        <f>Entrant_need_figures!F15</f>
        <v>25178.924285860096</v>
      </c>
      <c r="N328" s="317">
        <f>Entrant_need_figures!G15</f>
        <v>24958.713813880742</v>
      </c>
      <c r="O328" s="317">
        <f>Entrant_need_figures!H15</f>
        <v>24696.100468209581</v>
      </c>
      <c r="P328" s="317">
        <f>Entrant_need_figures!I15</f>
        <v>24408.266644993811</v>
      </c>
      <c r="Q328" s="317">
        <f>Entrant_need_figures!J15</f>
        <v>24950.329485232243</v>
      </c>
      <c r="R328" s="317">
        <f>Entrant_need_figures!K15</f>
        <v>25389.224909382261</v>
      </c>
      <c r="S328" s="317">
        <f>Entrant_need_figures!L15</f>
        <v>25497.882054938753</v>
      </c>
      <c r="T328" s="317">
        <f>Entrant_need_figures!M15</f>
        <v>25396.267516090727</v>
      </c>
      <c r="U328" s="317">
        <f>Entrant_need_figures!N15</f>
        <v>25272.066186930482</v>
      </c>
    </row>
    <row r="329" spans="2:26">
      <c r="B329" s="319" t="s">
        <v>982</v>
      </c>
      <c r="C329" s="433">
        <v>19900.351266773563</v>
      </c>
      <c r="D329" s="433">
        <v>21265.592999999993</v>
      </c>
      <c r="E329" s="300">
        <f>RAW_DATA_INPUTS!C341</f>
        <v>20658.706999999999</v>
      </c>
      <c r="F329" s="300">
        <f>RAW_DATA_INPUTS!D341</f>
        <v>21075.14</v>
      </c>
      <c r="G329" s="300">
        <f>RAW_DATA_INPUTS!E341</f>
        <v>20526.904000000002</v>
      </c>
      <c r="H329" s="300">
        <f>RAW_DATA_INPUTS!F341</f>
        <v>21260.055</v>
      </c>
      <c r="I329" s="300"/>
      <c r="J329" s="300"/>
      <c r="K329" s="300"/>
      <c r="L329" s="300"/>
      <c r="M329" s="300"/>
      <c r="N329" s="300"/>
      <c r="O329" s="300"/>
      <c r="P329" s="300"/>
      <c r="Q329" s="300"/>
      <c r="R329" s="300"/>
      <c r="S329" s="300"/>
      <c r="T329" s="300"/>
      <c r="U329" s="300"/>
    </row>
    <row r="330" spans="2:26">
      <c r="B330" s="319" t="s">
        <v>983</v>
      </c>
      <c r="C330" s="317"/>
      <c r="D330" s="317"/>
      <c r="E330" s="317"/>
      <c r="F330" s="317"/>
      <c r="G330" s="687"/>
      <c r="H330" s="317"/>
      <c r="I330" s="317"/>
      <c r="J330" s="317">
        <f>Entrant_need_figures!C35</f>
        <v>25726.914332450637</v>
      </c>
      <c r="K330" s="317">
        <f>Entrant_need_figures!D35</f>
        <v>26013.082992911095</v>
      </c>
      <c r="L330" s="317">
        <f>Entrant_need_figures!E35</f>
        <v>26773.534628117941</v>
      </c>
      <c r="M330" s="317">
        <f>Entrant_need_figures!F35</f>
        <v>26280.056655388191</v>
      </c>
      <c r="N330" s="317">
        <f>Entrant_need_figures!G35</f>
        <v>26557.750010090593</v>
      </c>
      <c r="O330" s="317">
        <f>Entrant_need_figures!H35</f>
        <v>26839.574362018644</v>
      </c>
      <c r="P330" s="317">
        <f>Entrant_need_figures!I35</f>
        <v>27623.063634274476</v>
      </c>
      <c r="Q330" s="317">
        <f>Entrant_need_figures!J35</f>
        <v>26917.518218870457</v>
      </c>
      <c r="R330" s="317">
        <f>Entrant_need_figures!K35</f>
        <v>26106.103394555023</v>
      </c>
      <c r="S330" s="317">
        <f>Entrant_need_figures!L35</f>
        <v>25450.928289338994</v>
      </c>
      <c r="T330" s="317">
        <f>Entrant_need_figures!M35</f>
        <v>25287.319697064035</v>
      </c>
      <c r="U330" s="317">
        <f>Entrant_need_figures!N35</f>
        <v>25073.871126010978</v>
      </c>
    </row>
    <row r="334" spans="2:26">
      <c r="W334" s="727"/>
      <c r="X334" s="727"/>
      <c r="Y334" s="727"/>
      <c r="Z334" s="727"/>
    </row>
    <row r="353" spans="2:21">
      <c r="B353" s="334" t="s">
        <v>1133</v>
      </c>
    </row>
    <row r="355" spans="2:21">
      <c r="B355" s="319" t="s">
        <v>353</v>
      </c>
      <c r="C355" s="685" t="str">
        <f>C24</f>
        <v>2010/11</v>
      </c>
      <c r="D355" s="685" t="str">
        <f t="shared" ref="D355:U355" si="31">D24</f>
        <v>2011/12</v>
      </c>
      <c r="E355" s="685" t="str">
        <f t="shared" si="31"/>
        <v>2012/13</v>
      </c>
      <c r="F355" s="685" t="str">
        <f t="shared" si="31"/>
        <v>2013/14</v>
      </c>
      <c r="G355" s="685" t="str">
        <f t="shared" si="31"/>
        <v>2014/15</v>
      </c>
      <c r="H355" s="685" t="str">
        <f t="shared" si="31"/>
        <v>2015/16</v>
      </c>
      <c r="I355" s="685" t="str">
        <f t="shared" si="31"/>
        <v>2016/17</v>
      </c>
      <c r="J355" s="685" t="str">
        <f t="shared" si="31"/>
        <v>2017/18</v>
      </c>
      <c r="K355" s="685" t="str">
        <f t="shared" si="31"/>
        <v>2018/19</v>
      </c>
      <c r="L355" s="685" t="str">
        <f t="shared" si="31"/>
        <v>2019/20</v>
      </c>
      <c r="M355" s="685" t="str">
        <f t="shared" si="31"/>
        <v>2020/21</v>
      </c>
      <c r="N355" s="685" t="str">
        <f t="shared" si="31"/>
        <v>2021/22</v>
      </c>
      <c r="O355" s="685" t="str">
        <f t="shared" si="31"/>
        <v>2022/23</v>
      </c>
      <c r="P355" s="685" t="str">
        <f t="shared" si="31"/>
        <v>2023/24</v>
      </c>
      <c r="Q355" s="685" t="str">
        <f t="shared" si="31"/>
        <v>2024/25</v>
      </c>
      <c r="R355" s="685" t="str">
        <f t="shared" si="31"/>
        <v>2025/26</v>
      </c>
      <c r="S355" s="685" t="str">
        <f t="shared" si="31"/>
        <v>2026/27</v>
      </c>
      <c r="T355" s="685" t="str">
        <f t="shared" si="31"/>
        <v>2027/28</v>
      </c>
      <c r="U355" s="685" t="str">
        <f t="shared" si="31"/>
        <v>2028/29</v>
      </c>
    </row>
    <row r="356" spans="2:21">
      <c r="B356" s="319" t="s">
        <v>980</v>
      </c>
      <c r="C356" s="520">
        <f t="shared" ref="C356:H356" si="32">C327/C25</f>
        <v>9.4692651361613783E-2</v>
      </c>
      <c r="D356" s="520">
        <f t="shared" si="32"/>
        <v>0.10916054338677783</v>
      </c>
      <c r="E356" s="520">
        <f t="shared" si="32"/>
        <v>0.1122229486332669</v>
      </c>
      <c r="F356" s="520">
        <f t="shared" si="32"/>
        <v>0.11539040196235335</v>
      </c>
      <c r="G356" s="520">
        <f t="shared" si="32"/>
        <v>0.1132673832054505</v>
      </c>
      <c r="H356" s="520">
        <f t="shared" si="32"/>
        <v>0.10615384126207185</v>
      </c>
      <c r="I356" s="520"/>
      <c r="J356" s="520"/>
      <c r="K356" s="520"/>
      <c r="L356" s="520"/>
      <c r="M356" s="520"/>
      <c r="N356" s="520"/>
      <c r="O356" s="520"/>
      <c r="P356" s="520"/>
      <c r="Q356" s="520"/>
      <c r="R356" s="520"/>
      <c r="S356" s="520"/>
      <c r="T356" s="520"/>
      <c r="U356" s="520"/>
    </row>
    <row r="357" spans="2:21">
      <c r="B357" s="319" t="s">
        <v>981</v>
      </c>
      <c r="C357" s="520"/>
      <c r="D357" s="520"/>
      <c r="E357" s="520"/>
      <c r="F357" s="520"/>
      <c r="G357" s="520"/>
      <c r="H357" s="520"/>
      <c r="I357" s="520"/>
      <c r="J357" s="520">
        <f t="shared" ref="J357:U357" si="33">J328/J26</f>
        <v>0.11316505723244118</v>
      </c>
      <c r="K357" s="520">
        <f t="shared" si="33"/>
        <v>0.10712754322071504</v>
      </c>
      <c r="L357" s="520">
        <f t="shared" si="33"/>
        <v>0.10436030044340519</v>
      </c>
      <c r="M357" s="520">
        <f t="shared" si="33"/>
        <v>0.10297937845430573</v>
      </c>
      <c r="N357" s="520">
        <f t="shared" si="33"/>
        <v>0.10205323957847842</v>
      </c>
      <c r="O357" s="520">
        <f t="shared" si="33"/>
        <v>0.10104399142730258</v>
      </c>
      <c r="P357" s="520">
        <f t="shared" si="33"/>
        <v>0.1000282708032451</v>
      </c>
      <c r="Q357" s="520">
        <f t="shared" si="33"/>
        <v>0.10215104798696607</v>
      </c>
      <c r="R357" s="520">
        <f t="shared" si="33"/>
        <v>0.10365768439721232</v>
      </c>
      <c r="S357" s="520">
        <f t="shared" si="33"/>
        <v>0.10378921486545625</v>
      </c>
      <c r="T357" s="520">
        <f t="shared" si="33"/>
        <v>0.1031399079578616</v>
      </c>
      <c r="U357" s="520">
        <f t="shared" si="33"/>
        <v>0.1024779678949176</v>
      </c>
    </row>
    <row r="358" spans="2:21">
      <c r="B358" s="319" t="s">
        <v>982</v>
      </c>
      <c r="C358" s="520">
        <f t="shared" ref="C358:H358" si="34">C329/C27</f>
        <v>8.9681352107089662E-2</v>
      </c>
      <c r="D358" s="520">
        <f t="shared" si="34"/>
        <v>9.7021825095391104E-2</v>
      </c>
      <c r="E358" s="520">
        <f t="shared" si="34"/>
        <v>9.4029900548781645E-2</v>
      </c>
      <c r="F358" s="520">
        <f t="shared" si="34"/>
        <v>9.6814377045747108E-2</v>
      </c>
      <c r="G358" s="520">
        <f t="shared" si="34"/>
        <v>9.5195019250125662E-2</v>
      </c>
      <c r="H358" s="520">
        <f t="shared" si="34"/>
        <v>0.10027677639354574</v>
      </c>
      <c r="I358" s="520"/>
      <c r="J358" s="520"/>
      <c r="K358" s="520"/>
      <c r="L358" s="520"/>
      <c r="M358" s="520"/>
      <c r="N358" s="520"/>
      <c r="O358" s="520"/>
      <c r="P358" s="520"/>
      <c r="Q358" s="520"/>
      <c r="R358" s="520"/>
      <c r="S358" s="520"/>
      <c r="T358" s="520"/>
      <c r="U358" s="520"/>
    </row>
    <row r="359" spans="2:21">
      <c r="B359" s="319" t="s">
        <v>983</v>
      </c>
      <c r="C359" s="520"/>
      <c r="D359" s="520"/>
      <c r="E359" s="520"/>
      <c r="F359" s="520"/>
      <c r="G359" s="520"/>
      <c r="H359" s="520"/>
      <c r="I359" s="520"/>
      <c r="J359" s="520">
        <f t="shared" ref="J359:U359" si="35">J330/J28</f>
        <v>0.12212216059900953</v>
      </c>
      <c r="K359" s="520">
        <f t="shared" si="35"/>
        <v>0.12230026314740067</v>
      </c>
      <c r="L359" s="520">
        <f t="shared" si="35"/>
        <v>0.12457428375884276</v>
      </c>
      <c r="M359" s="520">
        <f t="shared" si="35"/>
        <v>0.12124148700076352</v>
      </c>
      <c r="N359" s="520">
        <f t="shared" si="35"/>
        <v>0.12143589628591336</v>
      </c>
      <c r="O359" s="520">
        <f t="shared" si="35"/>
        <v>0.12159980360065606</v>
      </c>
      <c r="P359" s="520">
        <f t="shared" si="35"/>
        <v>0.12369456569197108</v>
      </c>
      <c r="Q359" s="520">
        <f t="shared" si="35"/>
        <v>0.1196859254076587</v>
      </c>
      <c r="R359" s="520">
        <f t="shared" si="35"/>
        <v>0.11577489847711228</v>
      </c>
      <c r="S359" s="520">
        <f t="shared" si="35"/>
        <v>0.11293646291782494</v>
      </c>
      <c r="T359" s="520">
        <f t="shared" si="35"/>
        <v>0.11234762842266914</v>
      </c>
      <c r="U359" s="520">
        <f t="shared" si="35"/>
        <v>0.11162299517410351</v>
      </c>
    </row>
    <row r="382" spans="2:21">
      <c r="B382" s="334" t="s">
        <v>1134</v>
      </c>
    </row>
    <row r="384" spans="2:21">
      <c r="B384" s="319" t="s">
        <v>353</v>
      </c>
      <c r="C384" s="685" t="str">
        <f>C24</f>
        <v>2010/11</v>
      </c>
      <c r="D384" s="685" t="str">
        <f t="shared" ref="D384:U384" si="36">D24</f>
        <v>2011/12</v>
      </c>
      <c r="E384" s="685" t="str">
        <f t="shared" si="36"/>
        <v>2012/13</v>
      </c>
      <c r="F384" s="685" t="str">
        <f t="shared" si="36"/>
        <v>2013/14</v>
      </c>
      <c r="G384" s="685" t="str">
        <f t="shared" si="36"/>
        <v>2014/15</v>
      </c>
      <c r="H384" s="685" t="str">
        <f t="shared" si="36"/>
        <v>2015/16</v>
      </c>
      <c r="I384" s="685" t="str">
        <f t="shared" si="36"/>
        <v>2016/17</v>
      </c>
      <c r="J384" s="685" t="str">
        <f t="shared" si="36"/>
        <v>2017/18</v>
      </c>
      <c r="K384" s="685" t="str">
        <f t="shared" si="36"/>
        <v>2018/19</v>
      </c>
      <c r="L384" s="685" t="str">
        <f t="shared" si="36"/>
        <v>2019/20</v>
      </c>
      <c r="M384" s="685" t="str">
        <f t="shared" si="36"/>
        <v>2020/21</v>
      </c>
      <c r="N384" s="685" t="str">
        <f t="shared" si="36"/>
        <v>2021/22</v>
      </c>
      <c r="O384" s="685" t="str">
        <f t="shared" si="36"/>
        <v>2022/23</v>
      </c>
      <c r="P384" s="685" t="str">
        <f t="shared" si="36"/>
        <v>2023/24</v>
      </c>
      <c r="Q384" s="685" t="str">
        <f t="shared" si="36"/>
        <v>2024/25</v>
      </c>
      <c r="R384" s="685" t="str">
        <f t="shared" si="36"/>
        <v>2025/26</v>
      </c>
      <c r="S384" s="685" t="str">
        <f t="shared" si="36"/>
        <v>2026/27</v>
      </c>
      <c r="T384" s="685" t="str">
        <f t="shared" si="36"/>
        <v>2027/28</v>
      </c>
      <c r="U384" s="685" t="str">
        <f t="shared" si="36"/>
        <v>2028/29</v>
      </c>
    </row>
    <row r="385" spans="2:21">
      <c r="B385" s="319" t="s">
        <v>984</v>
      </c>
      <c r="C385" s="433">
        <v>9238.1412282795718</v>
      </c>
      <c r="D385" s="433">
        <v>11663.958000000001</v>
      </c>
      <c r="E385" s="300">
        <f>RAW_DATA_INPUTS!C441</f>
        <v>12880.737999999999</v>
      </c>
      <c r="F385" s="300">
        <f>RAW_DATA_INPUTS!D441</f>
        <v>13678.62</v>
      </c>
      <c r="G385" s="300">
        <f>RAW_DATA_INPUTS!E441</f>
        <v>14577.31</v>
      </c>
      <c r="H385" s="300">
        <f>RAW_DATA_INPUTS!F441</f>
        <v>12896.03</v>
      </c>
      <c r="I385" s="686"/>
      <c r="J385" s="686"/>
      <c r="K385" s="686"/>
      <c r="L385" s="686"/>
      <c r="M385" s="686"/>
      <c r="N385" s="686"/>
      <c r="O385" s="686"/>
      <c r="P385" s="686"/>
      <c r="Q385" s="686"/>
      <c r="R385" s="686"/>
      <c r="S385" s="686"/>
      <c r="T385" s="686"/>
      <c r="U385" s="686"/>
    </row>
    <row r="386" spans="2:21">
      <c r="B386" s="319" t="s">
        <v>985</v>
      </c>
      <c r="C386" s="317"/>
      <c r="D386" s="317"/>
      <c r="E386" s="317"/>
      <c r="F386" s="317"/>
      <c r="G386" s="317"/>
      <c r="H386" s="317"/>
      <c r="I386" s="317"/>
      <c r="J386" s="317"/>
      <c r="K386" s="317"/>
      <c r="L386" s="317">
        <f>NQT_entrants_required_inc_UGs!C14</f>
        <v>13273.403714588394</v>
      </c>
      <c r="M386" s="317">
        <f>NQT_entrants_required_inc_UGs!D14</f>
        <v>13110.08325301536</v>
      </c>
      <c r="N386" s="317">
        <f>NQT_entrants_required_inc_UGs!E14</f>
        <v>12995.424755771441</v>
      </c>
      <c r="O386" s="317">
        <f>NQT_entrants_required_inc_UGs!F14</f>
        <v>12858.688063368929</v>
      </c>
      <c r="P386" s="317">
        <f>NQT_entrants_required_inc_UGs!G14</f>
        <v>12708.819651893084</v>
      </c>
      <c r="Q386" s="317">
        <f>NQT_entrants_required_inc_UGs!H14</f>
        <v>12991.059229851648</v>
      </c>
      <c r="R386" s="317">
        <f>NQT_entrants_required_inc_UGs!I14</f>
        <v>13219.581921474559</v>
      </c>
      <c r="S386" s="317">
        <f>NQT_entrants_required_inc_UGs!J14</f>
        <v>13276.157182915755</v>
      </c>
      <c r="T386" s="317">
        <f>NQT_entrants_required_inc_UGs!K14</f>
        <v>13223.248843826681</v>
      </c>
      <c r="U386" s="317">
        <f>NQT_entrants_required_inc_UGs!L14</f>
        <v>13158.580085664507</v>
      </c>
    </row>
    <row r="387" spans="2:21">
      <c r="B387" s="319" t="s">
        <v>986</v>
      </c>
      <c r="C387" s="433">
        <v>11078.722844185231</v>
      </c>
      <c r="D387" s="433">
        <v>11086.531000000001</v>
      </c>
      <c r="E387" s="300">
        <f>RAW_DATA_INPUTS!C449</f>
        <v>10502.683999999999</v>
      </c>
      <c r="F387" s="300">
        <f>RAW_DATA_INPUTS!D449</f>
        <v>10472.761</v>
      </c>
      <c r="G387" s="300">
        <f>RAW_DATA_INPUTS!E449</f>
        <v>10690.763000000001</v>
      </c>
      <c r="H387" s="300">
        <f>RAW_DATA_INPUTS!F449</f>
        <v>11034.485000000001</v>
      </c>
      <c r="I387" s="686"/>
      <c r="J387" s="686"/>
      <c r="K387" s="686"/>
      <c r="L387" s="686"/>
      <c r="M387" s="686"/>
      <c r="N387" s="686"/>
      <c r="O387" s="686"/>
      <c r="P387" s="686"/>
      <c r="Q387" s="686"/>
      <c r="R387" s="686"/>
      <c r="S387" s="686"/>
      <c r="T387" s="686"/>
      <c r="U387" s="686"/>
    </row>
    <row r="388" spans="2:21">
      <c r="B388" s="319" t="s">
        <v>987</v>
      </c>
      <c r="C388" s="317"/>
      <c r="D388" s="317"/>
      <c r="E388" s="317"/>
      <c r="F388" s="317"/>
      <c r="G388" s="317"/>
      <c r="H388" s="317"/>
      <c r="I388" s="317"/>
      <c r="J388" s="317"/>
      <c r="K388" s="317"/>
      <c r="L388" s="317">
        <f>NQT_entrants_required_inc_UGs!C36</f>
        <v>14033.736963744634</v>
      </c>
      <c r="M388" s="317">
        <f>NQT_entrants_required_inc_UGs!D36</f>
        <v>13800.603957809075</v>
      </c>
      <c r="N388" s="317">
        <f>NQT_entrants_required_inc_UGs!E36</f>
        <v>14055.439041023463</v>
      </c>
      <c r="O388" s="317">
        <f>NQT_entrants_required_inc_UGs!F36</f>
        <v>14311.742265350756</v>
      </c>
      <c r="P388" s="317">
        <f>NQT_entrants_required_inc_UGs!G36</f>
        <v>14788.405363691703</v>
      </c>
      <c r="Q388" s="317">
        <f>NQT_entrants_required_inc_UGs!H36</f>
        <v>14084.246122958315</v>
      </c>
      <c r="R388" s="317">
        <f>NQT_entrants_required_inc_UGs!I36</f>
        <v>13546.344327529825</v>
      </c>
      <c r="S388" s="317">
        <f>NQT_entrants_required_inc_UGs!J36</f>
        <v>13121.91948612038</v>
      </c>
      <c r="T388" s="317">
        <f>NQT_entrants_required_inc_UGs!K36</f>
        <v>13059.442423306733</v>
      </c>
      <c r="U388" s="317">
        <f>NQT_entrants_required_inc_UGs!L36</f>
        <v>12992.929124472455</v>
      </c>
    </row>
    <row r="411" spans="2:21">
      <c r="B411" s="334" t="s">
        <v>1135</v>
      </c>
    </row>
    <row r="413" spans="2:21">
      <c r="B413" s="319" t="s">
        <v>353</v>
      </c>
      <c r="C413" s="685" t="str">
        <f>C24</f>
        <v>2010/11</v>
      </c>
      <c r="D413" s="685" t="str">
        <f t="shared" ref="D413:U413" si="37">D24</f>
        <v>2011/12</v>
      </c>
      <c r="E413" s="685" t="str">
        <f t="shared" si="37"/>
        <v>2012/13</v>
      </c>
      <c r="F413" s="685" t="str">
        <f t="shared" si="37"/>
        <v>2013/14</v>
      </c>
      <c r="G413" s="685" t="str">
        <f t="shared" si="37"/>
        <v>2014/15</v>
      </c>
      <c r="H413" s="685" t="str">
        <f t="shared" si="37"/>
        <v>2015/16</v>
      </c>
      <c r="I413" s="685" t="str">
        <f t="shared" si="37"/>
        <v>2016/17</v>
      </c>
      <c r="J413" s="685" t="str">
        <f t="shared" si="37"/>
        <v>2017/18</v>
      </c>
      <c r="K413" s="685" t="str">
        <f t="shared" si="37"/>
        <v>2018/19</v>
      </c>
      <c r="L413" s="685" t="str">
        <f t="shared" si="37"/>
        <v>2019/20</v>
      </c>
      <c r="M413" s="685" t="str">
        <f t="shared" si="37"/>
        <v>2020/21</v>
      </c>
      <c r="N413" s="685" t="str">
        <f t="shared" si="37"/>
        <v>2021/22</v>
      </c>
      <c r="O413" s="685" t="str">
        <f t="shared" si="37"/>
        <v>2022/23</v>
      </c>
      <c r="P413" s="685" t="str">
        <f t="shared" si="37"/>
        <v>2023/24</v>
      </c>
      <c r="Q413" s="685" t="str">
        <f t="shared" si="37"/>
        <v>2024/25</v>
      </c>
      <c r="R413" s="685" t="str">
        <f t="shared" si="37"/>
        <v>2025/26</v>
      </c>
      <c r="S413" s="685" t="str">
        <f t="shared" si="37"/>
        <v>2026/27</v>
      </c>
      <c r="T413" s="685" t="str">
        <f t="shared" si="37"/>
        <v>2027/28</v>
      </c>
      <c r="U413" s="685" t="str">
        <f t="shared" si="37"/>
        <v>2028/29</v>
      </c>
    </row>
    <row r="414" spans="2:21">
      <c r="B414" s="319" t="s">
        <v>988</v>
      </c>
      <c r="C414" s="433">
        <v>7477.0196836734895</v>
      </c>
      <c r="D414" s="433">
        <v>7952.49</v>
      </c>
      <c r="E414" s="300">
        <f>RAW_DATA_INPUTS!C440</f>
        <v>8215.0490000000009</v>
      </c>
      <c r="F414" s="300">
        <f>RAW_DATA_INPUTS!D440</f>
        <v>8915.7649999999994</v>
      </c>
      <c r="G414" s="300">
        <f>RAW_DATA_INPUTS!E440</f>
        <v>8755.4369999999999</v>
      </c>
      <c r="H414" s="300">
        <f>RAW_DATA_INPUTS!F440</f>
        <v>9192.4950000000008</v>
      </c>
      <c r="I414" s="686"/>
      <c r="J414" s="686"/>
      <c r="K414" s="686"/>
      <c r="L414" s="686"/>
      <c r="M414" s="686"/>
      <c r="N414" s="686"/>
      <c r="O414" s="686"/>
      <c r="P414" s="686"/>
      <c r="Q414" s="686"/>
      <c r="R414" s="686"/>
      <c r="S414" s="686"/>
      <c r="T414" s="686"/>
      <c r="U414" s="686"/>
    </row>
    <row r="415" spans="2:21">
      <c r="B415" s="319" t="s">
        <v>989</v>
      </c>
      <c r="C415" s="317"/>
      <c r="D415" s="317"/>
      <c r="E415" s="317"/>
      <c r="F415" s="317"/>
      <c r="G415" s="317"/>
      <c r="H415" s="317"/>
      <c r="I415" s="317"/>
      <c r="J415" s="317"/>
      <c r="K415" s="317"/>
      <c r="L415" s="317">
        <f>'Re-entrants_expected'!C14</f>
        <v>8735.4660878889172</v>
      </c>
      <c r="M415" s="317">
        <f>'Re-entrants_expected'!D14</f>
        <v>8627.9819501193724</v>
      </c>
      <c r="N415" s="317">
        <f>'Re-entrants_expected'!E14</f>
        <v>8552.5231276575996</v>
      </c>
      <c r="O415" s="317">
        <f>'Re-entrants_expected'!F14</f>
        <v>8462.5342472516313</v>
      </c>
      <c r="P415" s="317">
        <f>'Re-entrants_expected'!G14</f>
        <v>8363.9031459724501</v>
      </c>
      <c r="Q415" s="317">
        <f>'Re-entrants_expected'!H14</f>
        <v>8549.6500964104416</v>
      </c>
      <c r="R415" s="317">
        <f>'Re-entrants_expected'!I14</f>
        <v>8700.0449963102328</v>
      </c>
      <c r="S415" s="317">
        <f>'Re-entrants_expected'!J14</f>
        <v>8737.2781949953496</v>
      </c>
      <c r="T415" s="317">
        <f>'Re-entrants_expected'!K14</f>
        <v>8702.4582639650616</v>
      </c>
      <c r="U415" s="317">
        <f>'Re-entrants_expected'!L14</f>
        <v>8659.8985892939236</v>
      </c>
    </row>
    <row r="416" spans="2:21">
      <c r="B416" s="319" t="s">
        <v>990</v>
      </c>
      <c r="C416" s="433">
        <v>5851.643530536141</v>
      </c>
      <c r="D416" s="433">
        <v>6637.8329999999996</v>
      </c>
      <c r="E416" s="300">
        <f>RAW_DATA_INPUTS!C448</f>
        <v>7050.9430000000002</v>
      </c>
      <c r="F416" s="300">
        <f>RAW_DATA_INPUTS!D448</f>
        <v>7598.009</v>
      </c>
      <c r="G416" s="300">
        <f>RAW_DATA_INPUTS!E448</f>
        <v>7261.6940000000004</v>
      </c>
      <c r="H416" s="300">
        <f>RAW_DATA_INPUTS!F448</f>
        <v>7797.71</v>
      </c>
      <c r="I416" s="686"/>
      <c r="J416" s="686"/>
      <c r="K416" s="686"/>
      <c r="L416" s="686"/>
      <c r="M416" s="686"/>
      <c r="N416" s="686"/>
      <c r="O416" s="686"/>
      <c r="P416" s="686"/>
      <c r="Q416" s="686"/>
      <c r="R416" s="686"/>
      <c r="S416" s="686"/>
      <c r="T416" s="686"/>
      <c r="U416" s="686"/>
    </row>
    <row r="417" spans="2:21">
      <c r="B417" s="319" t="s">
        <v>991</v>
      </c>
      <c r="C417" s="317"/>
      <c r="D417" s="317"/>
      <c r="E417" s="317"/>
      <c r="F417" s="317"/>
      <c r="G417" s="687"/>
      <c r="H417" s="317"/>
      <c r="I417" s="317"/>
      <c r="J417" s="317"/>
      <c r="K417" s="317"/>
      <c r="L417" s="317">
        <f>'Re-entrants_expected'!C36</f>
        <v>9133.4625495636774</v>
      </c>
      <c r="M417" s="317">
        <f>'Re-entrants_expected'!D36</f>
        <v>8941.0787120923396</v>
      </c>
      <c r="N417" s="317">
        <f>'Re-entrants_expected'!E36</f>
        <v>8957.9700007582087</v>
      </c>
      <c r="O417" s="317">
        <f>'Re-entrants_expected'!F36</f>
        <v>8976.8290266302574</v>
      </c>
      <c r="P417" s="317">
        <f>'Re-entrants_expected'!G36</f>
        <v>9203.5604956547868</v>
      </c>
      <c r="Q417" s="317">
        <f>'Re-entrants_expected'!H36</f>
        <v>9202.5361716364496</v>
      </c>
      <c r="R417" s="317">
        <f>'Re-entrants_expected'!I36</f>
        <v>9000.4216973540424</v>
      </c>
      <c r="S417" s="317">
        <f>'Re-entrants_expected'!J36</f>
        <v>8829.9070843954396</v>
      </c>
      <c r="T417" s="317">
        <f>'Re-entrants_expected'!K36</f>
        <v>8755.1751932178013</v>
      </c>
      <c r="U417" s="317">
        <f>'Re-entrants_expected'!L36</f>
        <v>8646.5962877854035</v>
      </c>
    </row>
    <row r="435" spans="2:21">
      <c r="P435" s="6"/>
    </row>
    <row r="436" spans="2:21">
      <c r="P436" s="6"/>
    </row>
    <row r="440" spans="2:21">
      <c r="B440" s="334" t="s">
        <v>1136</v>
      </c>
    </row>
    <row r="442" spans="2:21">
      <c r="B442" s="319" t="s">
        <v>353</v>
      </c>
      <c r="C442" s="685" t="str">
        <f>C24</f>
        <v>2010/11</v>
      </c>
      <c r="D442" s="685" t="str">
        <f t="shared" ref="D442:U442" si="38">D24</f>
        <v>2011/12</v>
      </c>
      <c r="E442" s="685" t="str">
        <f t="shared" si="38"/>
        <v>2012/13</v>
      </c>
      <c r="F442" s="685" t="str">
        <f t="shared" si="38"/>
        <v>2013/14</v>
      </c>
      <c r="G442" s="685" t="str">
        <f t="shared" si="38"/>
        <v>2014/15</v>
      </c>
      <c r="H442" s="685" t="str">
        <f t="shared" si="38"/>
        <v>2015/16</v>
      </c>
      <c r="I442" s="685" t="str">
        <f t="shared" si="38"/>
        <v>2016/17</v>
      </c>
      <c r="J442" s="685" t="str">
        <f t="shared" si="38"/>
        <v>2017/18</v>
      </c>
      <c r="K442" s="685" t="str">
        <f t="shared" si="38"/>
        <v>2018/19</v>
      </c>
      <c r="L442" s="685" t="str">
        <f t="shared" si="38"/>
        <v>2019/20</v>
      </c>
      <c r="M442" s="685" t="str">
        <f t="shared" si="38"/>
        <v>2020/21</v>
      </c>
      <c r="N442" s="685" t="str">
        <f t="shared" si="38"/>
        <v>2021/22</v>
      </c>
      <c r="O442" s="685" t="str">
        <f t="shared" si="38"/>
        <v>2022/23</v>
      </c>
      <c r="P442" s="685" t="str">
        <f t="shared" si="38"/>
        <v>2023/24</v>
      </c>
      <c r="Q442" s="685" t="str">
        <f t="shared" si="38"/>
        <v>2024/25</v>
      </c>
      <c r="R442" s="685" t="str">
        <f t="shared" si="38"/>
        <v>2025/26</v>
      </c>
      <c r="S442" s="685" t="str">
        <f t="shared" si="38"/>
        <v>2026/27</v>
      </c>
      <c r="T442" s="685" t="str">
        <f t="shared" si="38"/>
        <v>2027/28</v>
      </c>
      <c r="U442" s="685" t="str">
        <f t="shared" si="38"/>
        <v>2028/29</v>
      </c>
    </row>
    <row r="443" spans="2:21">
      <c r="B443" s="319" t="s">
        <v>992</v>
      </c>
      <c r="C443" s="433">
        <v>3814.4961775932238</v>
      </c>
      <c r="D443" s="433">
        <v>4372.5929999999998</v>
      </c>
      <c r="E443" s="300">
        <f>RAW_DATA_INPUTS!C439</f>
        <v>4181.63</v>
      </c>
      <c r="F443" s="300">
        <f>RAW_DATA_INPUTS!D439</f>
        <v>4003.9</v>
      </c>
      <c r="G443" s="300">
        <f>RAW_DATA_INPUTS!E439</f>
        <v>3360.92</v>
      </c>
      <c r="H443" s="300">
        <f>RAW_DATA_INPUTS!F439</f>
        <v>3317.7269999999999</v>
      </c>
      <c r="I443" s="686"/>
      <c r="J443" s="686"/>
      <c r="K443" s="686"/>
      <c r="L443" s="686"/>
      <c r="M443" s="686"/>
      <c r="N443" s="686"/>
      <c r="O443" s="686"/>
      <c r="P443" s="686"/>
      <c r="Q443" s="686"/>
      <c r="R443" s="686"/>
      <c r="S443" s="686"/>
      <c r="T443" s="686"/>
      <c r="U443" s="686"/>
    </row>
    <row r="444" spans="2:21">
      <c r="B444" s="319" t="s">
        <v>993</v>
      </c>
      <c r="C444" s="317"/>
      <c r="D444" s="317"/>
      <c r="E444" s="317"/>
      <c r="F444" s="317"/>
      <c r="G444" s="317"/>
      <c r="H444" s="317"/>
      <c r="I444" s="317"/>
      <c r="J444" s="317"/>
      <c r="K444" s="317"/>
      <c r="L444" s="317">
        <f>New_to_SF_sector_expected!C14</f>
        <v>3483.7240045380604</v>
      </c>
      <c r="M444" s="317">
        <f>New_to_SF_sector_expected!D14</f>
        <v>3440.859082725362</v>
      </c>
      <c r="N444" s="317">
        <f>New_to_SF_sector_expected!E14</f>
        <v>3410.7659304516997</v>
      </c>
      <c r="O444" s="317">
        <f>New_to_SF_sector_expected!F14</f>
        <v>3374.8781575890225</v>
      </c>
      <c r="P444" s="317">
        <f>New_to_SF_sector_expected!G14</f>
        <v>3335.54384712828</v>
      </c>
      <c r="Q444" s="317">
        <f>New_to_SF_sector_expected!H14</f>
        <v>3409.6201589701541</v>
      </c>
      <c r="R444" s="317">
        <f>New_to_SF_sector_expected!I14</f>
        <v>3469.5979915974704</v>
      </c>
      <c r="S444" s="317">
        <f>New_to_SF_sector_expected!J14</f>
        <v>3484.4466770276508</v>
      </c>
      <c r="T444" s="317">
        <f>New_to_SF_sector_expected!K14</f>
        <v>3470.5604082989853</v>
      </c>
      <c r="U444" s="317">
        <f>New_to_SF_sector_expected!L14</f>
        <v>3453.5875119720527</v>
      </c>
    </row>
    <row r="445" spans="2:21">
      <c r="B445" s="319" t="s">
        <v>994</v>
      </c>
      <c r="C445" s="433">
        <v>2969.9848920521908</v>
      </c>
      <c r="D445" s="433">
        <v>3541.2289999999998</v>
      </c>
      <c r="E445" s="300">
        <f>RAW_DATA_INPUTS!C447</f>
        <v>3105.078</v>
      </c>
      <c r="F445" s="300">
        <f>RAW_DATA_INPUTS!D447</f>
        <v>3004.37</v>
      </c>
      <c r="G445" s="300">
        <f>RAW_DATA_INPUTS!E447</f>
        <v>2574.4479999999999</v>
      </c>
      <c r="H445" s="300">
        <f>RAW_DATA_INPUTS!F447</f>
        <v>2427.8589999999999</v>
      </c>
      <c r="I445" s="686"/>
      <c r="J445" s="686"/>
      <c r="K445" s="686"/>
      <c r="L445" s="686"/>
      <c r="M445" s="686"/>
      <c r="N445" s="686"/>
      <c r="O445" s="686"/>
      <c r="P445" s="686"/>
      <c r="Q445" s="686"/>
      <c r="R445" s="686"/>
      <c r="S445" s="686"/>
      <c r="T445" s="686"/>
      <c r="U445" s="686"/>
    </row>
    <row r="446" spans="2:21">
      <c r="B446" s="319" t="s">
        <v>995</v>
      </c>
      <c r="C446" s="317"/>
      <c r="D446" s="317"/>
      <c r="E446" s="317"/>
      <c r="F446" s="317"/>
      <c r="G446" s="687"/>
      <c r="H446" s="317"/>
      <c r="I446" s="317"/>
      <c r="J446" s="317"/>
      <c r="K446" s="317"/>
      <c r="L446" s="317">
        <f>New_to_SF_sector_expected!C36</f>
        <v>3196.3351148096399</v>
      </c>
      <c r="M446" s="317">
        <f>New_to_SF_sector_expected!D36</f>
        <v>3128.3739854867754</v>
      </c>
      <c r="N446" s="317">
        <f>New_to_SF_sector_expected!E36</f>
        <v>3134.3409683089253</v>
      </c>
      <c r="O446" s="317">
        <f>New_to_SF_sector_expected!F36</f>
        <v>3141.0030700376365</v>
      </c>
      <c r="P446" s="317">
        <f>New_to_SF_sector_expected!G36</f>
        <v>3221.0977749279841</v>
      </c>
      <c r="Q446" s="317">
        <f>New_to_SF_sector_expected!H36</f>
        <v>3220.735924275692</v>
      </c>
      <c r="R446" s="317">
        <f>New_to_SF_sector_expected!I36</f>
        <v>3149.3373696711478</v>
      </c>
      <c r="S446" s="317">
        <f>New_to_SF_sector_expected!J36</f>
        <v>3089.1017188231676</v>
      </c>
      <c r="T446" s="317">
        <f>New_to_SF_sector_expected!K36</f>
        <v>3062.7020805395064</v>
      </c>
      <c r="U446" s="317">
        <f>New_to_SF_sector_expected!L36</f>
        <v>3024.3457137531072</v>
      </c>
    </row>
    <row r="469" spans="2:21">
      <c r="B469" s="334" t="s">
        <v>1137</v>
      </c>
    </row>
    <row r="471" spans="2:21">
      <c r="B471" s="319" t="s">
        <v>353</v>
      </c>
      <c r="C471" s="685" t="str">
        <f>C24</f>
        <v>2010/11</v>
      </c>
      <c r="D471" s="685" t="str">
        <f t="shared" ref="D471:U471" si="39">D24</f>
        <v>2011/12</v>
      </c>
      <c r="E471" s="685" t="str">
        <f t="shared" si="39"/>
        <v>2012/13</v>
      </c>
      <c r="F471" s="685" t="str">
        <f t="shared" si="39"/>
        <v>2013/14</v>
      </c>
      <c r="G471" s="685" t="str">
        <f t="shared" si="39"/>
        <v>2014/15</v>
      </c>
      <c r="H471" s="685" t="str">
        <f t="shared" si="39"/>
        <v>2015/16</v>
      </c>
      <c r="I471" s="685" t="str">
        <f t="shared" si="39"/>
        <v>2016/17</v>
      </c>
      <c r="J471" s="685" t="str">
        <f t="shared" si="39"/>
        <v>2017/18</v>
      </c>
      <c r="K471" s="685" t="str">
        <f t="shared" si="39"/>
        <v>2018/19</v>
      </c>
      <c r="L471" s="685" t="str">
        <f t="shared" si="39"/>
        <v>2019/20</v>
      </c>
      <c r="M471" s="685" t="str">
        <f t="shared" si="39"/>
        <v>2020/21</v>
      </c>
      <c r="N471" s="685" t="str">
        <f t="shared" si="39"/>
        <v>2021/22</v>
      </c>
      <c r="O471" s="685" t="str">
        <f t="shared" si="39"/>
        <v>2022/23</v>
      </c>
      <c r="P471" s="685" t="str">
        <f t="shared" si="39"/>
        <v>2023/24</v>
      </c>
      <c r="Q471" s="685" t="str">
        <f t="shared" si="39"/>
        <v>2024/25</v>
      </c>
      <c r="R471" s="685" t="str">
        <f t="shared" si="39"/>
        <v>2025/26</v>
      </c>
      <c r="S471" s="685" t="str">
        <f t="shared" si="39"/>
        <v>2026/27</v>
      </c>
      <c r="T471" s="685" t="str">
        <f t="shared" si="39"/>
        <v>2027/28</v>
      </c>
      <c r="U471" s="685" t="str">
        <f t="shared" si="39"/>
        <v>2028/29</v>
      </c>
    </row>
    <row r="472" spans="2:21">
      <c r="B472" s="319" t="s">
        <v>996</v>
      </c>
      <c r="C472" s="406">
        <f t="shared" ref="C472:H472" si="40">C385/(C385+C414+C443)</f>
        <v>0.44999004065117282</v>
      </c>
      <c r="D472" s="406">
        <f t="shared" si="40"/>
        <v>0.48622027033093984</v>
      </c>
      <c r="E472" s="406">
        <f t="shared" si="40"/>
        <v>0.50957493006504573</v>
      </c>
      <c r="F472" s="406">
        <f t="shared" si="40"/>
        <v>0.51426699127406139</v>
      </c>
      <c r="G472" s="406">
        <f t="shared" si="40"/>
        <v>0.54609619577557478</v>
      </c>
      <c r="H472" s="406">
        <f t="shared" si="40"/>
        <v>0.50759277677006431</v>
      </c>
      <c r="I472" s="406"/>
      <c r="J472" s="406"/>
      <c r="K472" s="406"/>
      <c r="L472" s="406"/>
      <c r="M472" s="406"/>
      <c r="N472" s="406"/>
      <c r="O472" s="406"/>
      <c r="P472" s="406"/>
      <c r="Q472" s="406"/>
      <c r="R472" s="406"/>
      <c r="S472" s="406"/>
      <c r="T472" s="406"/>
      <c r="U472" s="406"/>
    </row>
    <row r="473" spans="2:21">
      <c r="B473" s="319" t="s">
        <v>997</v>
      </c>
      <c r="C473" s="406"/>
      <c r="D473" s="406"/>
      <c r="E473" s="406"/>
      <c r="F473" s="406"/>
      <c r="G473" s="406"/>
      <c r="H473" s="406"/>
      <c r="I473" s="406"/>
      <c r="J473" s="406"/>
      <c r="K473" s="438"/>
      <c r="L473" s="438">
        <f t="shared" ref="L473:U473" si="41">L386/(L386+L415+L444)</f>
        <v>0.52067686070201502</v>
      </c>
      <c r="M473" s="438">
        <f t="shared" si="41"/>
        <v>0.52067686070201502</v>
      </c>
      <c r="N473" s="438">
        <f t="shared" si="41"/>
        <v>0.52067686070201502</v>
      </c>
      <c r="O473" s="438">
        <f t="shared" si="41"/>
        <v>0.52067686070201502</v>
      </c>
      <c r="P473" s="438">
        <f t="shared" si="41"/>
        <v>0.52067686070201502</v>
      </c>
      <c r="Q473" s="438">
        <f t="shared" si="41"/>
        <v>0.52067686070201502</v>
      </c>
      <c r="R473" s="438">
        <f t="shared" si="41"/>
        <v>0.52067686070201502</v>
      </c>
      <c r="S473" s="438">
        <f t="shared" si="41"/>
        <v>0.52067686070201502</v>
      </c>
      <c r="T473" s="438">
        <f t="shared" si="41"/>
        <v>0.52067686070201502</v>
      </c>
      <c r="U473" s="438">
        <f t="shared" si="41"/>
        <v>0.52067686070201502</v>
      </c>
    </row>
    <row r="474" spans="2:21">
      <c r="B474" s="319" t="s">
        <v>998</v>
      </c>
      <c r="C474" s="406">
        <f t="shared" ref="C474:H474" si="42">C387/(C387+C416+C445)</f>
        <v>0.55670991409496973</v>
      </c>
      <c r="D474" s="406">
        <f t="shared" si="42"/>
        <v>0.5213365552514807</v>
      </c>
      <c r="E474" s="406">
        <f t="shared" si="42"/>
        <v>0.50839024033694258</v>
      </c>
      <c r="F474" s="406">
        <f t="shared" si="42"/>
        <v>0.49692486028562566</v>
      </c>
      <c r="G474" s="406">
        <f t="shared" si="42"/>
        <v>0.52081709346830418</v>
      </c>
      <c r="H474" s="406">
        <f t="shared" si="42"/>
        <v>0.51902431668329729</v>
      </c>
      <c r="I474" s="406"/>
      <c r="J474" s="406"/>
      <c r="K474" s="438"/>
      <c r="L474" s="438"/>
      <c r="M474" s="438"/>
      <c r="N474" s="438"/>
      <c r="O474" s="438"/>
      <c r="P474" s="438"/>
      <c r="Q474" s="438"/>
      <c r="R474" s="438"/>
      <c r="S474" s="438"/>
      <c r="T474" s="438"/>
      <c r="U474" s="438"/>
    </row>
    <row r="475" spans="2:21">
      <c r="B475" s="316" t="s">
        <v>999</v>
      </c>
      <c r="C475" s="406"/>
      <c r="D475" s="406"/>
      <c r="E475" s="406"/>
      <c r="F475" s="406"/>
      <c r="G475" s="406"/>
      <c r="H475" s="406"/>
      <c r="I475" s="406"/>
      <c r="J475" s="406"/>
      <c r="K475" s="438"/>
      <c r="L475" s="438">
        <f t="shared" ref="L475:U475" si="43">L388/(L388+L417+L446)</f>
        <v>0.53231621486661318</v>
      </c>
      <c r="M475" s="438">
        <f t="shared" si="43"/>
        <v>0.53345859043314847</v>
      </c>
      <c r="N475" s="438">
        <f t="shared" si="43"/>
        <v>0.53753913952823373</v>
      </c>
      <c r="O475" s="438">
        <f t="shared" si="43"/>
        <v>0.54150483353670043</v>
      </c>
      <c r="P475" s="438">
        <f t="shared" si="43"/>
        <v>0.54343037455973575</v>
      </c>
      <c r="Q475" s="438">
        <f t="shared" si="43"/>
        <v>0.53133024399590423</v>
      </c>
      <c r="R475" s="438">
        <f t="shared" si="43"/>
        <v>0.52717503971439827</v>
      </c>
      <c r="S475" s="438">
        <f t="shared" si="43"/>
        <v>0.52401889157228054</v>
      </c>
      <c r="T475" s="438">
        <f t="shared" si="43"/>
        <v>0.52495375636660624</v>
      </c>
      <c r="U475" s="438">
        <f t="shared" si="43"/>
        <v>0.52680007360117431</v>
      </c>
    </row>
    <row r="476" spans="2:21">
      <c r="B476" s="382" t="s">
        <v>1171</v>
      </c>
      <c r="C476" s="782">
        <f t="shared" ref="C476:H476" si="44">C385</f>
        <v>9238.1412282795718</v>
      </c>
      <c r="D476" s="782">
        <f t="shared" si="44"/>
        <v>11663.958000000001</v>
      </c>
      <c r="E476" s="782">
        <f t="shared" si="44"/>
        <v>12880.737999999999</v>
      </c>
      <c r="F476" s="782">
        <f t="shared" si="44"/>
        <v>13678.62</v>
      </c>
      <c r="G476" s="782">
        <f t="shared" si="44"/>
        <v>14577.31</v>
      </c>
      <c r="H476" s="782">
        <f t="shared" si="44"/>
        <v>12896.03</v>
      </c>
      <c r="I476" s="782"/>
      <c r="J476" s="782"/>
      <c r="K476" s="782"/>
      <c r="L476" s="782"/>
      <c r="M476" s="782"/>
      <c r="N476" s="782"/>
      <c r="O476" s="782"/>
      <c r="P476" s="782"/>
      <c r="Q476" s="782"/>
      <c r="R476" s="782"/>
      <c r="S476" s="782"/>
      <c r="T476" s="782"/>
      <c r="U476" s="782"/>
    </row>
    <row r="477" spans="2:21">
      <c r="B477" s="382" t="s">
        <v>1172</v>
      </c>
      <c r="C477" s="782"/>
      <c r="D477" s="782"/>
      <c r="E477" s="782"/>
      <c r="F477" s="782"/>
      <c r="G477" s="782"/>
      <c r="H477" s="782"/>
      <c r="I477" s="782"/>
      <c r="J477" s="782"/>
      <c r="K477" s="782"/>
      <c r="L477" s="782">
        <f t="shared" ref="L477:U477" si="45">L386</f>
        <v>13273.403714588394</v>
      </c>
      <c r="M477" s="782">
        <f t="shared" si="45"/>
        <v>13110.08325301536</v>
      </c>
      <c r="N477" s="782">
        <f t="shared" si="45"/>
        <v>12995.424755771441</v>
      </c>
      <c r="O477" s="782">
        <f t="shared" si="45"/>
        <v>12858.688063368929</v>
      </c>
      <c r="P477" s="782">
        <f t="shared" si="45"/>
        <v>12708.819651893084</v>
      </c>
      <c r="Q477" s="782">
        <f t="shared" si="45"/>
        <v>12991.059229851648</v>
      </c>
      <c r="R477" s="782">
        <f t="shared" si="45"/>
        <v>13219.581921474559</v>
      </c>
      <c r="S477" s="782">
        <f t="shared" si="45"/>
        <v>13276.157182915755</v>
      </c>
      <c r="T477" s="782">
        <f t="shared" si="45"/>
        <v>13223.248843826681</v>
      </c>
      <c r="U477" s="782">
        <f t="shared" si="45"/>
        <v>13158.580085664507</v>
      </c>
    </row>
    <row r="478" spans="2:21" ht="25.5">
      <c r="B478" s="382" t="s">
        <v>1173</v>
      </c>
      <c r="C478" s="784">
        <f t="shared" ref="C478:H478" si="46">C443+C414</f>
        <v>11291.515861266713</v>
      </c>
      <c r="D478" s="784">
        <f t="shared" si="46"/>
        <v>12325.082999999999</v>
      </c>
      <c r="E478" s="784">
        <f t="shared" si="46"/>
        <v>12396.679</v>
      </c>
      <c r="F478" s="784">
        <f t="shared" si="46"/>
        <v>12919.664999999999</v>
      </c>
      <c r="G478" s="784">
        <f t="shared" si="46"/>
        <v>12116.357</v>
      </c>
      <c r="H478" s="784">
        <f t="shared" si="46"/>
        <v>12510.222000000002</v>
      </c>
      <c r="I478" s="784"/>
      <c r="J478" s="784"/>
      <c r="K478" s="784"/>
      <c r="L478" s="784"/>
      <c r="M478" s="784"/>
      <c r="N478" s="784"/>
      <c r="O478" s="784"/>
      <c r="P478" s="784"/>
      <c r="Q478" s="784"/>
      <c r="R478" s="784"/>
      <c r="S478" s="784"/>
      <c r="T478" s="784"/>
      <c r="U478" s="784"/>
    </row>
    <row r="479" spans="2:21" ht="25.5">
      <c r="B479" s="382" t="s">
        <v>1177</v>
      </c>
      <c r="C479" s="784"/>
      <c r="D479" s="784"/>
      <c r="E479" s="784"/>
      <c r="F479" s="784"/>
      <c r="G479" s="784"/>
      <c r="H479" s="784"/>
      <c r="I479" s="784"/>
      <c r="J479" s="784"/>
      <c r="K479" s="784"/>
      <c r="L479" s="784">
        <f t="shared" ref="L479:T479" si="47">L444+L415</f>
        <v>12219.190092426978</v>
      </c>
      <c r="M479" s="784">
        <f t="shared" si="47"/>
        <v>12068.841032844735</v>
      </c>
      <c r="N479" s="784">
        <f t="shared" si="47"/>
        <v>11963.2890581093</v>
      </c>
      <c r="O479" s="784">
        <f t="shared" si="47"/>
        <v>11837.412404840654</v>
      </c>
      <c r="P479" s="784">
        <f t="shared" si="47"/>
        <v>11699.44699310073</v>
      </c>
      <c r="Q479" s="784">
        <f t="shared" si="47"/>
        <v>11959.270255380596</v>
      </c>
      <c r="R479" s="784">
        <f t="shared" si="47"/>
        <v>12169.642987907704</v>
      </c>
      <c r="S479" s="784">
        <f t="shared" si="47"/>
        <v>12221.724872023</v>
      </c>
      <c r="T479" s="784">
        <f t="shared" si="47"/>
        <v>12173.018672264046</v>
      </c>
      <c r="U479" s="784">
        <f>U444+U415</f>
        <v>12113.486101265977</v>
      </c>
    </row>
    <row r="480" spans="2:21">
      <c r="B480" s="382" t="s">
        <v>1174</v>
      </c>
      <c r="C480" s="783">
        <f t="shared" ref="C480:H480" si="48">C387</f>
        <v>11078.722844185231</v>
      </c>
      <c r="D480" s="783">
        <f t="shared" si="48"/>
        <v>11086.531000000001</v>
      </c>
      <c r="E480" s="783">
        <f t="shared" si="48"/>
        <v>10502.683999999999</v>
      </c>
      <c r="F480" s="783">
        <f t="shared" si="48"/>
        <v>10472.761</v>
      </c>
      <c r="G480" s="783">
        <f t="shared" si="48"/>
        <v>10690.763000000001</v>
      </c>
      <c r="H480" s="783">
        <f t="shared" si="48"/>
        <v>11034.485000000001</v>
      </c>
      <c r="I480" s="783"/>
      <c r="J480" s="783"/>
      <c r="K480" s="783"/>
      <c r="L480" s="783"/>
      <c r="M480" s="783"/>
      <c r="N480" s="783"/>
      <c r="O480" s="783"/>
      <c r="P480" s="783"/>
      <c r="Q480" s="783"/>
      <c r="R480" s="783"/>
      <c r="S480" s="783"/>
      <c r="T480" s="783"/>
      <c r="U480" s="783"/>
    </row>
    <row r="481" spans="2:21">
      <c r="B481" s="382" t="s">
        <v>1175</v>
      </c>
      <c r="C481" s="783"/>
      <c r="D481" s="783"/>
      <c r="E481" s="783"/>
      <c r="F481" s="783"/>
      <c r="G481" s="783"/>
      <c r="H481" s="783"/>
      <c r="I481" s="783"/>
      <c r="J481" s="783"/>
      <c r="K481" s="783"/>
      <c r="L481" s="783">
        <f t="shared" ref="L481:U481" si="49">L388</f>
        <v>14033.736963744634</v>
      </c>
      <c r="M481" s="783">
        <f t="shared" si="49"/>
        <v>13800.603957809075</v>
      </c>
      <c r="N481" s="783">
        <f t="shared" si="49"/>
        <v>14055.439041023463</v>
      </c>
      <c r="O481" s="783">
        <f t="shared" si="49"/>
        <v>14311.742265350756</v>
      </c>
      <c r="P481" s="783">
        <f t="shared" si="49"/>
        <v>14788.405363691703</v>
      </c>
      <c r="Q481" s="783">
        <f t="shared" si="49"/>
        <v>14084.246122958315</v>
      </c>
      <c r="R481" s="783">
        <f t="shared" si="49"/>
        <v>13546.344327529825</v>
      </c>
      <c r="S481" s="783">
        <f t="shared" si="49"/>
        <v>13121.91948612038</v>
      </c>
      <c r="T481" s="783">
        <f t="shared" si="49"/>
        <v>13059.442423306733</v>
      </c>
      <c r="U481" s="783">
        <f t="shared" si="49"/>
        <v>12992.929124472455</v>
      </c>
    </row>
    <row r="482" spans="2:21" ht="25.5">
      <c r="B482" s="382" t="s">
        <v>1176</v>
      </c>
      <c r="C482" s="784">
        <f t="shared" ref="C482:H482" si="50">C445+C416</f>
        <v>8821.6284225883319</v>
      </c>
      <c r="D482" s="784">
        <f t="shared" si="50"/>
        <v>10179.062</v>
      </c>
      <c r="E482" s="784">
        <f t="shared" si="50"/>
        <v>10156.021000000001</v>
      </c>
      <c r="F482" s="784">
        <f t="shared" si="50"/>
        <v>10602.379000000001</v>
      </c>
      <c r="G482" s="784">
        <f t="shared" si="50"/>
        <v>9836.1419999999998</v>
      </c>
      <c r="H482" s="784">
        <f t="shared" si="50"/>
        <v>10225.569</v>
      </c>
      <c r="I482" s="784"/>
      <c r="J482" s="784"/>
      <c r="K482" s="784"/>
      <c r="L482" s="784"/>
      <c r="M482" s="784"/>
      <c r="N482" s="784"/>
      <c r="O482" s="784"/>
      <c r="P482" s="784"/>
      <c r="Q482" s="784"/>
      <c r="R482" s="784"/>
      <c r="S482" s="784"/>
      <c r="T482" s="784"/>
      <c r="U482" s="784"/>
    </row>
    <row r="483" spans="2:21" ht="25.5">
      <c r="B483" s="382" t="s">
        <v>1178</v>
      </c>
      <c r="C483" s="784"/>
      <c r="D483" s="784"/>
      <c r="E483" s="784"/>
      <c r="F483" s="784"/>
      <c r="G483" s="784"/>
      <c r="H483" s="784"/>
      <c r="I483" s="784"/>
      <c r="J483" s="784"/>
      <c r="K483" s="784"/>
      <c r="L483" s="784">
        <f t="shared" ref="L483:U483" si="51">L446+L417</f>
        <v>12329.797664373316</v>
      </c>
      <c r="M483" s="784">
        <f t="shared" si="51"/>
        <v>12069.452697579116</v>
      </c>
      <c r="N483" s="784">
        <f t="shared" si="51"/>
        <v>12092.310969067134</v>
      </c>
      <c r="O483" s="784">
        <f t="shared" si="51"/>
        <v>12117.832096667895</v>
      </c>
      <c r="P483" s="784">
        <f t="shared" si="51"/>
        <v>12424.658270582771</v>
      </c>
      <c r="Q483" s="784">
        <f t="shared" si="51"/>
        <v>12423.272095912142</v>
      </c>
      <c r="R483" s="784">
        <f t="shared" si="51"/>
        <v>12149.75906702519</v>
      </c>
      <c r="S483" s="784">
        <f t="shared" si="51"/>
        <v>11919.008803218607</v>
      </c>
      <c r="T483" s="784">
        <f t="shared" si="51"/>
        <v>11817.877273757307</v>
      </c>
      <c r="U483" s="784">
        <f t="shared" si="51"/>
        <v>11670.942001538511</v>
      </c>
    </row>
    <row r="506" spans="2:21">
      <c r="B506" s="334" t="s">
        <v>1138</v>
      </c>
    </row>
    <row r="508" spans="2:21">
      <c r="B508" s="319"/>
      <c r="C508" s="319" t="str">
        <f>C24</f>
        <v>2010/11</v>
      </c>
      <c r="D508" s="319" t="str">
        <f t="shared" ref="D508:U508" si="52">D24</f>
        <v>2011/12</v>
      </c>
      <c r="E508" s="319" t="str">
        <f t="shared" si="52"/>
        <v>2012/13</v>
      </c>
      <c r="F508" s="319" t="str">
        <f t="shared" si="52"/>
        <v>2013/14</v>
      </c>
      <c r="G508" s="319" t="str">
        <f t="shared" si="52"/>
        <v>2014/15</v>
      </c>
      <c r="H508" s="319" t="str">
        <f t="shared" si="52"/>
        <v>2015/16</v>
      </c>
      <c r="I508" s="319" t="str">
        <f t="shared" si="52"/>
        <v>2016/17</v>
      </c>
      <c r="J508" s="319" t="str">
        <f t="shared" si="52"/>
        <v>2017/18</v>
      </c>
      <c r="K508" s="319" t="str">
        <f t="shared" si="52"/>
        <v>2018/19</v>
      </c>
      <c r="L508" s="319" t="str">
        <f t="shared" si="52"/>
        <v>2019/20</v>
      </c>
      <c r="M508" s="319" t="str">
        <f t="shared" si="52"/>
        <v>2020/21</v>
      </c>
      <c r="N508" s="319" t="str">
        <f t="shared" si="52"/>
        <v>2021/22</v>
      </c>
      <c r="O508" s="319" t="str">
        <f t="shared" si="52"/>
        <v>2022/23</v>
      </c>
      <c r="P508" s="319" t="str">
        <f t="shared" si="52"/>
        <v>2023/24</v>
      </c>
      <c r="Q508" s="319" t="str">
        <f t="shared" si="52"/>
        <v>2024/25</v>
      </c>
      <c r="R508" s="319" t="str">
        <f t="shared" si="52"/>
        <v>2025/26</v>
      </c>
      <c r="S508" s="319" t="str">
        <f t="shared" si="52"/>
        <v>2026/27</v>
      </c>
      <c r="T508" s="319" t="str">
        <f t="shared" si="52"/>
        <v>2027/28</v>
      </c>
      <c r="U508" s="319" t="str">
        <f t="shared" si="52"/>
        <v>2028/29</v>
      </c>
    </row>
    <row r="509" spans="2:21">
      <c r="B509" s="319" t="s">
        <v>1000</v>
      </c>
      <c r="C509" s="433">
        <v>47409.606736543297</v>
      </c>
      <c r="D509" s="433">
        <v>48174.248</v>
      </c>
      <c r="E509" s="300">
        <f>RAW_DATA_INPUTS!I132+RAW_DATA_INPUTS!I133+RAW_DATA_INPUTS!I166+RAW_DATA_INPUTS!I167</f>
        <v>51232.173999999999</v>
      </c>
      <c r="F509" s="300">
        <f>RAW_DATA_INPUTS!J132+RAW_DATA_INPUTS!J133+RAW_DATA_INPUTS!J166+RAW_DATA_INPUTS!J167</f>
        <v>54770.172000000006</v>
      </c>
      <c r="G509" s="300">
        <f>RAW_DATA_INPUTS!K132+RAW_DATA_INPUTS!K133+RAW_DATA_INPUTS!K166+RAW_DATA_INPUTS!K167</f>
        <v>57979.341</v>
      </c>
      <c r="H509" s="300">
        <f>RAW_DATA_INPUTS!L132+RAW_DATA_INPUTS!L133+RAW_DATA_INPUTS!L166+RAW_DATA_INPUTS!L167</f>
        <v>60539.201000000001</v>
      </c>
      <c r="I509" s="300">
        <f>SUM(RAW_DATA_INPUTS!AQ40:AR41)</f>
        <v>61020.88</v>
      </c>
      <c r="J509" s="300"/>
      <c r="K509" s="300"/>
      <c r="L509" s="300"/>
      <c r="M509" s="300"/>
      <c r="N509" s="300"/>
      <c r="O509" s="300"/>
      <c r="P509" s="300"/>
      <c r="Q509" s="300"/>
      <c r="R509" s="300"/>
      <c r="S509" s="300"/>
      <c r="T509" s="300"/>
      <c r="U509" s="300"/>
    </row>
    <row r="510" spans="2:21">
      <c r="B510" s="319" t="s">
        <v>1001</v>
      </c>
      <c r="C510" s="433">
        <v>66482.935842105537</v>
      </c>
      <c r="D510" s="433">
        <v>68607.543999999994</v>
      </c>
      <c r="E510" s="300">
        <f>RAW_DATA_INPUTS!I135+RAW_DATA_INPUTS!I134+RAW_DATA_INPUTS!I169+RAW_DATA_INPUTS!I168</f>
        <v>70668.385999999999</v>
      </c>
      <c r="F510" s="300">
        <f>RAW_DATA_INPUTS!J135+RAW_DATA_INPUTS!J134+RAW_DATA_INPUTS!J169+RAW_DATA_INPUTS!J168</f>
        <v>71992.13</v>
      </c>
      <c r="G510" s="300">
        <f>RAW_DATA_INPUTS!K135+RAW_DATA_INPUTS!K134+RAW_DATA_INPUTS!K169+RAW_DATA_INPUTS!K168</f>
        <v>73585.013000000006</v>
      </c>
      <c r="H510" s="300">
        <f>RAW_DATA_INPUTS!L135+RAW_DATA_INPUTS!L134+RAW_DATA_INPUTS!L169+RAW_DATA_INPUTS!L168</f>
        <v>74646.114999999991</v>
      </c>
      <c r="I510" s="300">
        <f>SUM(RAW_DATA_INPUTS!AQ42:AR43)</f>
        <v>76080.14</v>
      </c>
      <c r="J510" s="300"/>
      <c r="K510" s="300"/>
      <c r="L510" s="300"/>
      <c r="M510" s="300"/>
      <c r="N510" s="300"/>
      <c r="O510" s="300"/>
      <c r="P510" s="300"/>
      <c r="Q510" s="300"/>
      <c r="R510" s="300"/>
      <c r="S510" s="300"/>
      <c r="T510" s="300"/>
      <c r="U510" s="300"/>
    </row>
    <row r="511" spans="2:21">
      <c r="B511" s="319" t="s">
        <v>1002</v>
      </c>
      <c r="C511" s="433">
        <v>51259.979128336861</v>
      </c>
      <c r="D511" s="433">
        <v>53644.612999999998</v>
      </c>
      <c r="E511" s="300">
        <f>RAW_DATA_INPUTS!I136+RAW_DATA_INPUTS!I137+RAW_DATA_INPUTS!I170+RAW_DATA_INPUTS!I171</f>
        <v>56223.648999999998</v>
      </c>
      <c r="F511" s="300">
        <f>RAW_DATA_INPUTS!J136+RAW_DATA_INPUTS!J137+RAW_DATA_INPUTS!J170+RAW_DATA_INPUTS!J171</f>
        <v>58451.664000000004</v>
      </c>
      <c r="G511" s="300">
        <f>RAW_DATA_INPUTS!K136+RAW_DATA_INPUTS!K137+RAW_DATA_INPUTS!K170+RAW_DATA_INPUTS!K171</f>
        <v>60356.185999999994</v>
      </c>
      <c r="H511" s="300">
        <f>RAW_DATA_INPUTS!L136+RAW_DATA_INPUTS!L137+RAW_DATA_INPUTS!L170+RAW_DATA_INPUTS!L171</f>
        <v>61156.366999999998</v>
      </c>
      <c r="I511" s="300">
        <f>SUM(RAW_DATA_INPUTS!AQ44:AR45)</f>
        <v>61745.76999999999</v>
      </c>
      <c r="J511" s="300"/>
      <c r="K511" s="300"/>
      <c r="L511" s="300"/>
      <c r="M511" s="300"/>
      <c r="N511" s="300"/>
      <c r="O511" s="300"/>
      <c r="P511" s="300"/>
      <c r="Q511" s="300"/>
      <c r="R511" s="300"/>
      <c r="S511" s="300"/>
      <c r="T511" s="300"/>
      <c r="U511" s="300"/>
    </row>
    <row r="512" spans="2:21">
      <c r="B512" s="319" t="s">
        <v>1003</v>
      </c>
      <c r="C512" s="433">
        <v>45676.552149158888</v>
      </c>
      <c r="D512" s="433">
        <v>43154.445</v>
      </c>
      <c r="E512" s="300">
        <f>RAW_DATA_INPUTS!I139+RAW_DATA_INPUTS!I138+RAW_DATA_INPUTS!I173+RAW_DATA_INPUTS!I172</f>
        <v>40594.880999999994</v>
      </c>
      <c r="F512" s="300">
        <f>RAW_DATA_INPUTS!J139+RAW_DATA_INPUTS!J138+RAW_DATA_INPUTS!J173+RAW_DATA_INPUTS!J172</f>
        <v>38766.082999999999</v>
      </c>
      <c r="G512" s="300">
        <f>RAW_DATA_INPUTS!K139+RAW_DATA_INPUTS!K138+RAW_DATA_INPUTS!K173+RAW_DATA_INPUTS!K172</f>
        <v>37290.980000000003</v>
      </c>
      <c r="H512" s="300">
        <f>RAW_DATA_INPUTS!L139+RAW_DATA_INPUTS!L138+RAW_DATA_INPUTS!L173+RAW_DATA_INPUTS!L172</f>
        <v>36696.199999999997</v>
      </c>
      <c r="I512" s="300">
        <f>SUM(RAW_DATA_INPUTS!AQ46:AR47)</f>
        <v>36479.599999999999</v>
      </c>
      <c r="J512" s="300"/>
      <c r="K512" s="300"/>
      <c r="L512" s="300"/>
      <c r="M512" s="300"/>
      <c r="N512" s="300"/>
      <c r="O512" s="300"/>
      <c r="P512" s="300"/>
      <c r="Q512" s="300"/>
      <c r="R512" s="300"/>
      <c r="S512" s="300"/>
      <c r="T512" s="300"/>
      <c r="U512" s="300"/>
    </row>
    <row r="513" spans="2:21">
      <c r="B513" s="319" t="s">
        <v>1004</v>
      </c>
      <c r="C513" s="433">
        <v>5973.9915807636144</v>
      </c>
      <c r="D513" s="433">
        <v>6178.4169999999995</v>
      </c>
      <c r="E513" s="300">
        <f>RAW_DATA_INPUTS!I140+RAW_DATA_INPUTS!I141+RAW_DATA_INPUTS!I174+RAW_DATA_INPUTS!I175</f>
        <v>6523.7529999999997</v>
      </c>
      <c r="F513" s="300">
        <f>RAW_DATA_INPUTS!J140+RAW_DATA_INPUTS!J141+RAW_DATA_INPUTS!J174+RAW_DATA_INPUTS!J175</f>
        <v>6526.8609999999999</v>
      </c>
      <c r="G513" s="300">
        <f>RAW_DATA_INPUTS!K140+RAW_DATA_INPUTS!K141+RAW_DATA_INPUTS!K174+RAW_DATA_INPUTS!K175</f>
        <v>6457.9750000000004</v>
      </c>
      <c r="H513" s="300">
        <f>RAW_DATA_INPUTS!L140+RAW_DATA_INPUTS!L141+RAW_DATA_INPUTS!L174+RAW_DATA_INPUTS!L175</f>
        <v>6296.3860000000004</v>
      </c>
      <c r="I513" s="300">
        <f>SUM(RAW_DATA_INPUTS!AQ48:AR49)</f>
        <v>6181.3200000000006</v>
      </c>
      <c r="J513" s="300"/>
      <c r="K513" s="300"/>
      <c r="L513" s="300"/>
      <c r="M513" s="300"/>
      <c r="N513" s="300"/>
      <c r="O513" s="300"/>
      <c r="P513" s="300"/>
      <c r="Q513" s="300"/>
      <c r="R513" s="300"/>
      <c r="S513" s="300"/>
      <c r="T513" s="300"/>
      <c r="U513" s="300"/>
    </row>
    <row r="514" spans="2:21">
      <c r="B514" s="319" t="s">
        <v>1005</v>
      </c>
      <c r="C514" s="317"/>
      <c r="D514" s="317"/>
      <c r="E514" s="317"/>
      <c r="F514" s="317"/>
      <c r="G514" s="317"/>
      <c r="H514" s="317"/>
      <c r="I514" s="317">
        <f>I509</f>
        <v>61020.88</v>
      </c>
      <c r="J514" s="317">
        <f>Primary_1!C340+Primary_1!C341+Primary_1!C356+Primary_1!C357</f>
        <v>62593.135168692956</v>
      </c>
      <c r="K514" s="317">
        <f>Primary_1!D340+Primary_1!D341+Primary_1!D356+Primary_1!D357</f>
        <v>63624.242611643633</v>
      </c>
      <c r="L514" s="317">
        <f>Primary_1!E340+Primary_1!E341+Primary_1!E356+Primary_1!E357</f>
        <v>64475.249302534634</v>
      </c>
      <c r="M514" s="317">
        <f>Primary_1!F340+Primary_1!F341+Primary_1!F356+Primary_1!F357</f>
        <v>65461.806145041381</v>
      </c>
      <c r="N514" s="317">
        <f>Primary_1!G340+Primary_1!G341+Primary_1!G356+Primary_1!G357</f>
        <v>66244.626401235</v>
      </c>
      <c r="O514" s="317">
        <f>Primary_1!H340+Primary_1!H341+Primary_1!H356+Primary_1!H357</f>
        <v>66786.980235278723</v>
      </c>
      <c r="P514" s="317">
        <f>Primary_1!I340+Primary_1!I341+Primary_1!I356+Primary_1!I357</f>
        <v>67089.480814474213</v>
      </c>
      <c r="Q514" s="317">
        <f>Primary_1!J340+Primary_1!J341+Primary_1!J356+Primary_1!J357</f>
        <v>67660.031758863101</v>
      </c>
      <c r="R514" s="317">
        <f>Primary_1!K340+Primary_1!K341+Primary_1!K356+Primary_1!K357</f>
        <v>68384.314774140512</v>
      </c>
      <c r="S514" s="317">
        <f>Primary_1!L340+Primary_1!L341+Primary_1!L356+Primary_1!L357</f>
        <v>69037.061762169789</v>
      </c>
      <c r="T514" s="317">
        <f>Primary_1!M340+Primary_1!M341+Primary_1!M356+Primary_1!M357</f>
        <v>69503.78739075303</v>
      </c>
      <c r="U514" s="317">
        <f>Primary_1!N340+Primary_1!N341+Primary_1!N356+Primary_1!N357</f>
        <v>69801.976931660232</v>
      </c>
    </row>
    <row r="515" spans="2:21">
      <c r="B515" s="319" t="s">
        <v>1006</v>
      </c>
      <c r="C515" s="317"/>
      <c r="D515" s="317"/>
      <c r="E515" s="317"/>
      <c r="F515" s="317"/>
      <c r="G515" s="317"/>
      <c r="H515" s="317"/>
      <c r="I515" s="317">
        <f>I510</f>
        <v>76080.14</v>
      </c>
      <c r="J515" s="317">
        <f>Primary_1!C342+Primary_1!C343+Primary_1!C358+Primary_1!C359</f>
        <v>76842.773209770559</v>
      </c>
      <c r="K515" s="317">
        <f>Primary_1!D342+Primary_1!D343+Primary_1!D358+Primary_1!D359</f>
        <v>76801.591504220938</v>
      </c>
      <c r="L515" s="317">
        <f>Primary_1!E342+Primary_1!E343+Primary_1!E358+Primary_1!E359</f>
        <v>76309.557319366533</v>
      </c>
      <c r="M515" s="317">
        <f>Primary_1!F342+Primary_1!F343+Primary_1!F358+Primary_1!F359</f>
        <v>75747.733861158311</v>
      </c>
      <c r="N515" s="317">
        <f>Primary_1!G342+Primary_1!G343+Primary_1!G358+Primary_1!G359</f>
        <v>75175.309289437078</v>
      </c>
      <c r="O515" s="317">
        <f>Primary_1!H342+Primary_1!H343+Primary_1!H358+Primary_1!H359</f>
        <v>74634.773065551155</v>
      </c>
      <c r="P515" s="317">
        <f>Primary_1!I342+Primary_1!I343+Primary_1!I358+Primary_1!I359</f>
        <v>74137.936693071781</v>
      </c>
      <c r="Q515" s="317">
        <f>Primary_1!J342+Primary_1!J343+Primary_1!J358+Primary_1!J359</f>
        <v>73858.804643468437</v>
      </c>
      <c r="R515" s="317">
        <f>Primary_1!K342+Primary_1!K343+Primary_1!K358+Primary_1!K359</f>
        <v>73771.676933407172</v>
      </c>
      <c r="S515" s="317">
        <f>Primary_1!L342+Primary_1!L343+Primary_1!L358+Primary_1!L359</f>
        <v>73796.490007193759</v>
      </c>
      <c r="T515" s="317">
        <f>Primary_1!M342+Primary_1!M343+Primary_1!M358+Primary_1!M359</f>
        <v>73871.725703080156</v>
      </c>
      <c r="U515" s="317">
        <f>Primary_1!N342+Primary_1!N343+Primary_1!N358+Primary_1!N359</f>
        <v>73972.250594376746</v>
      </c>
    </row>
    <row r="516" spans="2:21">
      <c r="B516" s="319" t="s">
        <v>1007</v>
      </c>
      <c r="C516" s="317"/>
      <c r="D516" s="317"/>
      <c r="E516" s="317"/>
      <c r="F516" s="317"/>
      <c r="G516" s="317"/>
      <c r="H516" s="317"/>
      <c r="I516" s="317">
        <f>I511</f>
        <v>61745.76999999999</v>
      </c>
      <c r="J516" s="317">
        <f>Primary_1!C344+Primary_1!C345+Primary_1!C360+Primary_1!C361</f>
        <v>62644.752289012868</v>
      </c>
      <c r="K516" s="317">
        <f>Primary_1!D344+Primary_1!D345+Primary_1!D360+Primary_1!D361</f>
        <v>63241.619622681857</v>
      </c>
      <c r="L516" s="317">
        <f>Primary_1!E344+Primary_1!E345+Primary_1!E360+Primary_1!E361</f>
        <v>63617.148012075399</v>
      </c>
      <c r="M516" s="317">
        <f>Primary_1!F344+Primary_1!F345+Primary_1!F360+Primary_1!F361</f>
        <v>63926.755054142399</v>
      </c>
      <c r="N516" s="317">
        <f>Primary_1!G344+Primary_1!G345+Primary_1!G360+Primary_1!G361</f>
        <v>64125.627863160807</v>
      </c>
      <c r="O516" s="317">
        <f>Primary_1!H344+Primary_1!H345+Primary_1!H360+Primary_1!H361</f>
        <v>64207.846695805318</v>
      </c>
      <c r="P516" s="317">
        <f>Primary_1!I344+Primary_1!I345+Primary_1!I360+Primary_1!I361</f>
        <v>64177.511558647078</v>
      </c>
      <c r="Q516" s="317">
        <f>Primary_1!J344+Primary_1!J345+Primary_1!J360+Primary_1!J361</f>
        <v>64180.841206613273</v>
      </c>
      <c r="R516" s="317">
        <f>Primary_1!K344+Primary_1!K345+Primary_1!K360+Primary_1!K361</f>
        <v>64210.535524947663</v>
      </c>
      <c r="S516" s="317">
        <f>Primary_1!L344+Primary_1!L345+Primary_1!L360+Primary_1!L361</f>
        <v>64223.906182543156</v>
      </c>
      <c r="T516" s="317">
        <f>Primary_1!M344+Primary_1!M345+Primary_1!M360+Primary_1!M361</f>
        <v>64199.326801681731</v>
      </c>
      <c r="U516" s="317">
        <f>Primary_1!N344+Primary_1!N345+Primary_1!N360+Primary_1!N361</f>
        <v>64145.432940055027</v>
      </c>
    </row>
    <row r="517" spans="2:21">
      <c r="B517" s="319" t="s">
        <v>1008</v>
      </c>
      <c r="C517" s="317"/>
      <c r="D517" s="317"/>
      <c r="E517" s="317"/>
      <c r="F517" s="317"/>
      <c r="G517" s="317"/>
      <c r="H517" s="317"/>
      <c r="I517" s="317">
        <f>I512</f>
        <v>36479.599999999999</v>
      </c>
      <c r="J517" s="317">
        <f>Primary_1!C346+Primary_1!C347+Primary_1!C362+Primary_1!C363</f>
        <v>35311.624664004761</v>
      </c>
      <c r="K517" s="317">
        <f>Primary_1!D346+Primary_1!D347+Primary_1!D362+Primary_1!D363</f>
        <v>34524.630121374714</v>
      </c>
      <c r="L517" s="317">
        <f>Primary_1!E346+Primary_1!E347+Primary_1!E362+Primary_1!E363</f>
        <v>33987.968405783933</v>
      </c>
      <c r="M517" s="317">
        <f>Primary_1!F346+Primary_1!F347+Primary_1!F362+Primary_1!F363</f>
        <v>33668.847780057906</v>
      </c>
      <c r="N517" s="317">
        <f>Primary_1!G346+Primary_1!G347+Primary_1!G362+Primary_1!G363</f>
        <v>33483.242505379407</v>
      </c>
      <c r="O517" s="317">
        <f>Primary_1!H346+Primary_1!H347+Primary_1!H362+Primary_1!H363</f>
        <v>33377.379190266613</v>
      </c>
      <c r="P517" s="317">
        <f>Primary_1!I346+Primary_1!I347+Primary_1!I362+Primary_1!I363</f>
        <v>33313.871627320557</v>
      </c>
      <c r="Q517" s="317">
        <f>Primary_1!J346+Primary_1!J347+Primary_1!J362+Primary_1!J363</f>
        <v>33325.732224662614</v>
      </c>
      <c r="R517" s="317">
        <f>Primary_1!K346+Primary_1!K347+Primary_1!K362+Primary_1!K363</f>
        <v>33385.594339019197</v>
      </c>
      <c r="S517" s="317">
        <f>Primary_1!L346+Primary_1!L347+Primary_1!L362+Primary_1!L363</f>
        <v>33457.065187322747</v>
      </c>
      <c r="T517" s="317">
        <f>Primary_1!M346+Primary_1!M347+Primary_1!M362+Primary_1!M363</f>
        <v>33517.843843117866</v>
      </c>
      <c r="U517" s="317">
        <f>Primary_1!N346+Primary_1!N347+Primary_1!N362+Primary_1!N363</f>
        <v>33562.506674916229</v>
      </c>
    </row>
    <row r="518" spans="2:21">
      <c r="B518" s="319" t="s">
        <v>1009</v>
      </c>
      <c r="C518" s="317"/>
      <c r="D518" s="317"/>
      <c r="E518" s="317"/>
      <c r="F518" s="317"/>
      <c r="G518" s="317"/>
      <c r="H518" s="317"/>
      <c r="I518" s="317">
        <f>I513</f>
        <v>6181.3200000000006</v>
      </c>
      <c r="J518" s="317">
        <f>Primary_1!C348+Primary_1!C349+Primary_1!C364+Primary_1!C365</f>
        <v>6213.0357163598492</v>
      </c>
      <c r="K518" s="317">
        <f>Primary_1!D348+Primary_1!D349+Primary_1!D364+Primary_1!D365</f>
        <v>6077.6703952587322</v>
      </c>
      <c r="L518" s="317">
        <f>Primary_1!E348+Primary_1!E349+Primary_1!E364+Primary_1!E365</f>
        <v>5884.8988868020188</v>
      </c>
      <c r="M518" s="317">
        <f>Primary_1!F348+Primary_1!F349+Primary_1!F364+Primary_1!F365</f>
        <v>5699.3848018264262</v>
      </c>
      <c r="N518" s="317">
        <f>Primary_1!G348+Primary_1!G349+Primary_1!G364+Primary_1!G365</f>
        <v>5536.8139737276133</v>
      </c>
      <c r="O518" s="317">
        <f>Primary_1!H348+Primary_1!H349+Primary_1!H364+Primary_1!H365</f>
        <v>5402.4123995094378</v>
      </c>
      <c r="P518" s="317">
        <f>Primary_1!I348+Primary_1!I349+Primary_1!I364+Primary_1!I365</f>
        <v>5294.8811285454294</v>
      </c>
      <c r="Q518" s="317">
        <f>Primary_1!J348+Primary_1!J349+Primary_1!J364+Primary_1!J365</f>
        <v>5223.9637843290957</v>
      </c>
      <c r="R518" s="317">
        <f>Primary_1!K348+Primary_1!K349+Primary_1!K364+Primary_1!K365</f>
        <v>5181.2382370232335</v>
      </c>
      <c r="S518" s="317">
        <f>Primary_1!L348+Primary_1!L349+Primary_1!L364+Primary_1!L365</f>
        <v>5155.3384932348818</v>
      </c>
      <c r="T518" s="317">
        <f>Primary_1!M348+Primary_1!M349+Primary_1!M364+Primary_1!M365</f>
        <v>5138.5570965492179</v>
      </c>
      <c r="U518" s="317">
        <f>Primary_1!N348+Primary_1!N349+Primary_1!N364+Primary_1!N365</f>
        <v>5127.5842627747006</v>
      </c>
    </row>
    <row r="519" spans="2:21">
      <c r="B519" s="319" t="s">
        <v>1010</v>
      </c>
      <c r="C519" s="433">
        <v>48223.053502070397</v>
      </c>
      <c r="D519" s="433">
        <v>48675.355000000003</v>
      </c>
      <c r="E519" s="300">
        <f>RAW_DATA_INPUTS!C132+RAW_DATA_INPUTS!C133+RAW_DATA_INPUTS!C166+RAW_DATA_INPUTS!C167</f>
        <v>46994.233999999997</v>
      </c>
      <c r="F519" s="300">
        <f>RAW_DATA_INPUTS!D132+RAW_DATA_INPUTS!D133+RAW_DATA_INPUTS!D166+RAW_DATA_INPUTS!D167</f>
        <v>45899.119999999995</v>
      </c>
      <c r="G519" s="300">
        <f>RAW_DATA_INPUTS!E132+RAW_DATA_INPUTS!E133+RAW_DATA_INPUTS!E166+RAW_DATA_INPUTS!E167</f>
        <v>45133.057000000001</v>
      </c>
      <c r="H519" s="300">
        <f>RAW_DATA_INPUTS!F132+RAW_DATA_INPUTS!F133+RAW_DATA_INPUTS!F166+RAW_DATA_INPUTS!F167</f>
        <v>43760.148000000001</v>
      </c>
      <c r="I519" s="300">
        <f>SUM(RAW_DATA_INPUTS!AO40:AP41)</f>
        <v>43266.851269166087</v>
      </c>
      <c r="J519" s="300"/>
      <c r="K519" s="300"/>
      <c r="L519" s="300"/>
      <c r="M519" s="300"/>
      <c r="N519" s="300"/>
      <c r="O519" s="300"/>
      <c r="P519" s="300"/>
      <c r="Q519" s="300"/>
      <c r="R519" s="300"/>
      <c r="S519" s="300"/>
      <c r="T519" s="300"/>
      <c r="U519" s="300"/>
    </row>
    <row r="520" spans="2:21">
      <c r="B520" s="319" t="s">
        <v>1011</v>
      </c>
      <c r="C520" s="433">
        <v>70746.670872497823</v>
      </c>
      <c r="D520" s="433">
        <v>71910.765000000014</v>
      </c>
      <c r="E520" s="300">
        <f>RAW_DATA_INPUTS!C135+RAW_DATA_INPUTS!C134+RAW_DATA_INPUTS!C169+RAW_DATA_INPUTS!C168</f>
        <v>73681.04800000001</v>
      </c>
      <c r="F520" s="300">
        <f>RAW_DATA_INPUTS!D135+RAW_DATA_INPUTS!D134+RAW_DATA_INPUTS!D169+RAW_DATA_INPUTS!D168</f>
        <v>74429.118000000002</v>
      </c>
      <c r="G520" s="300">
        <f>RAW_DATA_INPUTS!E135+RAW_DATA_INPUTS!E134+RAW_DATA_INPUTS!E169+RAW_DATA_INPUTS!E168</f>
        <v>74909.958000000013</v>
      </c>
      <c r="H520" s="300">
        <f>RAW_DATA_INPUTS!F135+RAW_DATA_INPUTS!F134+RAW_DATA_INPUTS!F169+RAW_DATA_INPUTS!F168</f>
        <v>74720.228000000003</v>
      </c>
      <c r="I520" s="300">
        <f>SUM(RAW_DATA_INPUTS!AO42:AP43)</f>
        <v>72882.169729511137</v>
      </c>
      <c r="J520" s="300"/>
      <c r="K520" s="300"/>
      <c r="L520" s="300"/>
      <c r="M520" s="300"/>
      <c r="N520" s="300"/>
      <c r="O520" s="300"/>
      <c r="P520" s="300"/>
      <c r="Q520" s="300"/>
      <c r="R520" s="300"/>
      <c r="S520" s="300"/>
      <c r="T520" s="300"/>
      <c r="U520" s="300"/>
    </row>
    <row r="521" spans="2:21">
      <c r="B521" s="319" t="s">
        <v>1012</v>
      </c>
      <c r="C521" s="433">
        <v>49557.739923707719</v>
      </c>
      <c r="D521" s="433">
        <v>51414.662000000004</v>
      </c>
      <c r="E521" s="300">
        <f>RAW_DATA_INPUTS!C136+RAW_DATA_INPUTS!C137+RAW_DATA_INPUTS!C170+RAW_DATA_INPUTS!C171</f>
        <v>51808.369000000006</v>
      </c>
      <c r="F521" s="300">
        <f>RAW_DATA_INPUTS!D136+RAW_DATA_INPUTS!D137+RAW_DATA_INPUTS!D170+RAW_DATA_INPUTS!D171</f>
        <v>52805.289000000004</v>
      </c>
      <c r="G521" s="300">
        <f>RAW_DATA_INPUTS!E136+RAW_DATA_INPUTS!E137+RAW_DATA_INPUTS!E170+RAW_DATA_INPUTS!E171</f>
        <v>53491.175000000003</v>
      </c>
      <c r="H521" s="300">
        <f>RAW_DATA_INPUTS!F136+RAW_DATA_INPUTS!F137+RAW_DATA_INPUTS!F170+RAW_DATA_INPUTS!F171</f>
        <v>53737.138999999996</v>
      </c>
      <c r="I521" s="300">
        <f>SUM(RAW_DATA_INPUTS!AO44:AP45)</f>
        <v>55616.744338865014</v>
      </c>
      <c r="J521" s="300"/>
      <c r="K521" s="300"/>
      <c r="L521" s="300"/>
      <c r="M521" s="300"/>
      <c r="N521" s="300"/>
      <c r="O521" s="300"/>
      <c r="P521" s="300"/>
      <c r="Q521" s="300"/>
      <c r="R521" s="300"/>
      <c r="S521" s="300"/>
      <c r="T521" s="300"/>
      <c r="U521" s="300"/>
    </row>
    <row r="522" spans="2:21">
      <c r="B522" s="319" t="s">
        <v>1013</v>
      </c>
      <c r="C522" s="433">
        <v>47135.9921469494</v>
      </c>
      <c r="D522" s="433">
        <v>41941.245999999999</v>
      </c>
      <c r="E522" s="300">
        <f>RAW_DATA_INPUTS!C139+RAW_DATA_INPUTS!C138+RAW_DATA_INPUTS!C173+RAW_DATA_INPUTS!C172</f>
        <v>40994.202000000005</v>
      </c>
      <c r="F522" s="300">
        <f>RAW_DATA_INPUTS!D139+RAW_DATA_INPUTS!D138+RAW_DATA_INPUTS!D173+RAW_DATA_INPUTS!D172</f>
        <v>38404.726999999999</v>
      </c>
      <c r="G522" s="300">
        <f>RAW_DATA_INPUTS!E139+RAW_DATA_INPUTS!E138+RAW_DATA_INPUTS!E173+RAW_DATA_INPUTS!E172</f>
        <v>36166.059000000001</v>
      </c>
      <c r="H522" s="300">
        <f>RAW_DATA_INPUTS!F139+RAW_DATA_INPUTS!F138+RAW_DATA_INPUTS!F173+RAW_DATA_INPUTS!F172</f>
        <v>34195.427000000003</v>
      </c>
      <c r="I522" s="300">
        <f>SUM(RAW_DATA_INPUTS!AO46:AP47)</f>
        <v>32561.860120210669</v>
      </c>
      <c r="J522" s="300"/>
      <c r="K522" s="300"/>
      <c r="L522" s="300"/>
      <c r="M522" s="300"/>
      <c r="N522" s="300"/>
      <c r="O522" s="300"/>
      <c r="P522" s="300"/>
      <c r="Q522" s="300"/>
      <c r="R522" s="300"/>
      <c r="S522" s="300"/>
      <c r="T522" s="300"/>
      <c r="U522" s="300"/>
    </row>
    <row r="523" spans="2:21">
      <c r="B523" s="319" t="s">
        <v>1014</v>
      </c>
      <c r="C523" s="433">
        <v>6237.2040511763826</v>
      </c>
      <c r="D523" s="433">
        <v>5241.5729999999994</v>
      </c>
      <c r="E523" s="300">
        <f>RAW_DATA_INPUTS!C140+RAW_DATA_INPUTS!C141+RAW_DATA_INPUTS!C174+RAW_DATA_INPUTS!C175</f>
        <v>6225.74</v>
      </c>
      <c r="F523" s="300">
        <f>RAW_DATA_INPUTS!D140+RAW_DATA_INPUTS!D141+RAW_DATA_INPUTS!D174+RAW_DATA_INPUTS!D175</f>
        <v>6147.8029999999999</v>
      </c>
      <c r="G523" s="300">
        <f>RAW_DATA_INPUTS!E140+RAW_DATA_INPUTS!E141+RAW_DATA_INPUTS!E174+RAW_DATA_INPUTS!E175</f>
        <v>5929.7719999999999</v>
      </c>
      <c r="H523" s="300">
        <f>RAW_DATA_INPUTS!F140+RAW_DATA_INPUTS!F141+RAW_DATA_INPUTS!F174+RAW_DATA_INPUTS!F175</f>
        <v>5600.8040000000001</v>
      </c>
      <c r="I523" s="300">
        <f>SUM(RAW_DATA_INPUTS!AO48:AP49)</f>
        <v>4576.3955460135903</v>
      </c>
      <c r="J523" s="300"/>
      <c r="K523" s="300"/>
      <c r="L523" s="300"/>
      <c r="M523" s="300"/>
      <c r="N523" s="300"/>
      <c r="O523" s="300"/>
      <c r="P523" s="300"/>
      <c r="Q523" s="300"/>
      <c r="R523" s="300"/>
      <c r="S523" s="300"/>
      <c r="T523" s="300"/>
      <c r="U523" s="300"/>
    </row>
    <row r="524" spans="2:21">
      <c r="B524" s="319" t="s">
        <v>1015</v>
      </c>
      <c r="C524" s="317"/>
      <c r="D524" s="317"/>
      <c r="E524" s="317"/>
      <c r="F524" s="317"/>
      <c r="G524" s="317"/>
      <c r="H524" s="317"/>
      <c r="I524" s="317">
        <f>I519</f>
        <v>43266.851269166087</v>
      </c>
      <c r="J524" s="317">
        <f>H554+H555</f>
        <v>45642.000286182694</v>
      </c>
      <c r="K524" s="317">
        <f t="shared" ref="K524:U524" si="53">I554+I555</f>
        <v>48071.620127153255</v>
      </c>
      <c r="L524" s="317">
        <f t="shared" si="53"/>
        <v>50521.441177457673</v>
      </c>
      <c r="M524" s="317">
        <f t="shared" si="53"/>
        <v>52488.885742683255</v>
      </c>
      <c r="N524" s="317">
        <f t="shared" si="53"/>
        <v>54240.014181605773</v>
      </c>
      <c r="O524" s="317">
        <f t="shared" si="53"/>
        <v>55786.36673672578</v>
      </c>
      <c r="P524" s="317">
        <f t="shared" si="53"/>
        <v>57414.675743106643</v>
      </c>
      <c r="Q524" s="317">
        <f t="shared" si="53"/>
        <v>58313.579215177961</v>
      </c>
      <c r="R524" s="317">
        <f t="shared" si="53"/>
        <v>58577.836090188372</v>
      </c>
      <c r="S524" s="317">
        <f t="shared" si="53"/>
        <v>58423.692072302205</v>
      </c>
      <c r="T524" s="317">
        <f t="shared" si="53"/>
        <v>58204.063462380531</v>
      </c>
      <c r="U524" s="317">
        <f t="shared" si="53"/>
        <v>57914.92333921641</v>
      </c>
    </row>
    <row r="525" spans="2:21">
      <c r="B525" s="319" t="s">
        <v>1016</v>
      </c>
      <c r="C525" s="317"/>
      <c r="D525" s="317"/>
      <c r="E525" s="317"/>
      <c r="F525" s="317"/>
      <c r="G525" s="317"/>
      <c r="H525" s="317"/>
      <c r="I525" s="317">
        <f>I520</f>
        <v>72882.169729511137</v>
      </c>
      <c r="J525" s="317">
        <f>H556+H557</f>
        <v>72168.677504657593</v>
      </c>
      <c r="K525" s="317">
        <f t="shared" ref="K525:U525" si="54">I556+I557</f>
        <v>71436.211352155762</v>
      </c>
      <c r="L525" s="317">
        <f t="shared" si="54"/>
        <v>70814.912829037392</v>
      </c>
      <c r="M525" s="317">
        <f t="shared" si="54"/>
        <v>70328.511624133855</v>
      </c>
      <c r="N525" s="317">
        <f t="shared" si="54"/>
        <v>70109.114313693688</v>
      </c>
      <c r="O525" s="317">
        <f t="shared" si="54"/>
        <v>70146.606827379379</v>
      </c>
      <c r="P525" s="317">
        <f t="shared" si="54"/>
        <v>70525.008580834343</v>
      </c>
      <c r="Q525" s="317">
        <f t="shared" si="54"/>
        <v>70866.817286988313</v>
      </c>
      <c r="R525" s="317">
        <f t="shared" si="54"/>
        <v>71095.845505230711</v>
      </c>
      <c r="S525" s="317">
        <f t="shared" si="54"/>
        <v>71202.760459027864</v>
      </c>
      <c r="T525" s="317">
        <f t="shared" si="54"/>
        <v>71270.540605126444</v>
      </c>
      <c r="U525" s="317">
        <f t="shared" si="54"/>
        <v>71275.340728484269</v>
      </c>
    </row>
    <row r="526" spans="2:21">
      <c r="B526" s="319" t="s">
        <v>1017</v>
      </c>
      <c r="C526" s="317"/>
      <c r="D526" s="317"/>
      <c r="E526" s="317"/>
      <c r="F526" s="317"/>
      <c r="G526" s="317"/>
      <c r="H526" s="317"/>
      <c r="I526" s="317">
        <f>I521</f>
        <v>55616.744338865014</v>
      </c>
      <c r="J526" s="317">
        <f>H558+H559</f>
        <v>56621.932510053601</v>
      </c>
      <c r="K526" s="317">
        <f t="shared" ref="K526:U526" si="55">I558+I559</f>
        <v>57537.108464362609</v>
      </c>
      <c r="L526" s="317">
        <f t="shared" si="55"/>
        <v>58267.485503226788</v>
      </c>
      <c r="M526" s="317">
        <f t="shared" si="55"/>
        <v>58793.797026856009</v>
      </c>
      <c r="N526" s="317">
        <f t="shared" si="55"/>
        <v>59206.274688305159</v>
      </c>
      <c r="O526" s="317">
        <f t="shared" si="55"/>
        <v>59531.941847805807</v>
      </c>
      <c r="P526" s="317">
        <f t="shared" si="55"/>
        <v>59876.994025297769</v>
      </c>
      <c r="Q526" s="317">
        <f t="shared" si="55"/>
        <v>60038.366720858452</v>
      </c>
      <c r="R526" s="317">
        <f t="shared" si="55"/>
        <v>60033.283546960432</v>
      </c>
      <c r="S526" s="317">
        <f t="shared" si="55"/>
        <v>59914.085309111688</v>
      </c>
      <c r="T526" s="317">
        <f t="shared" si="55"/>
        <v>59776.319154551813</v>
      </c>
      <c r="U526" s="317">
        <f t="shared" si="55"/>
        <v>59622.313919946202</v>
      </c>
    </row>
    <row r="527" spans="2:21">
      <c r="B527" s="319" t="s">
        <v>1018</v>
      </c>
      <c r="C527" s="317"/>
      <c r="D527" s="317"/>
      <c r="E527" s="317"/>
      <c r="F527" s="317"/>
      <c r="G527" s="317"/>
      <c r="H527" s="317"/>
      <c r="I527" s="317">
        <f>I522</f>
        <v>32561.860120210669</v>
      </c>
      <c r="J527" s="317">
        <f>H560+H561</f>
        <v>31173.330739059995</v>
      </c>
      <c r="K527" s="317">
        <f t="shared" ref="K527:U527" si="56">I560+I561</f>
        <v>30452.180957208882</v>
      </c>
      <c r="L527" s="317">
        <f t="shared" si="56"/>
        <v>30120.814891231705</v>
      </c>
      <c r="M527" s="317">
        <f t="shared" si="56"/>
        <v>30014.916752908011</v>
      </c>
      <c r="N527" s="317">
        <f t="shared" si="56"/>
        <v>30076.852035048978</v>
      </c>
      <c r="O527" s="317">
        <f t="shared" si="56"/>
        <v>30240.683424841463</v>
      </c>
      <c r="P527" s="317">
        <f t="shared" si="56"/>
        <v>30503.609276818406</v>
      </c>
      <c r="Q527" s="317">
        <f t="shared" si="56"/>
        <v>30707.949813188818</v>
      </c>
      <c r="R527" s="317">
        <f t="shared" si="56"/>
        <v>30835.201409652538</v>
      </c>
      <c r="S527" s="317">
        <f t="shared" si="56"/>
        <v>30895.521299315435</v>
      </c>
      <c r="T527" s="317">
        <f t="shared" si="56"/>
        <v>30929.755793820692</v>
      </c>
      <c r="U527" s="317">
        <f t="shared" si="56"/>
        <v>30932.772770451571</v>
      </c>
    </row>
    <row r="528" spans="2:21">
      <c r="B528" s="319" t="s">
        <v>1019</v>
      </c>
      <c r="C528" s="317"/>
      <c r="D528" s="317"/>
      <c r="E528" s="317"/>
      <c r="F528" s="317"/>
      <c r="G528" s="317"/>
      <c r="H528" s="317"/>
      <c r="I528" s="317">
        <f>I523</f>
        <v>4576.3955460135903</v>
      </c>
      <c r="J528" s="317">
        <f>H562+H563</f>
        <v>5059.4632262337655</v>
      </c>
      <c r="K528" s="317">
        <f t="shared" ref="K528:U528" si="57">I562+I563</f>
        <v>5201.3829572771383</v>
      </c>
      <c r="L528" s="317">
        <f t="shared" si="57"/>
        <v>5195.5829085982978</v>
      </c>
      <c r="M528" s="317">
        <f t="shared" si="57"/>
        <v>5131.8427972094969</v>
      </c>
      <c r="N528" s="317">
        <f t="shared" si="57"/>
        <v>5065.4348577797718</v>
      </c>
      <c r="O528" s="317">
        <f t="shared" si="57"/>
        <v>5014.9415529513089</v>
      </c>
      <c r="P528" s="317">
        <f t="shared" si="57"/>
        <v>4996.4238215781224</v>
      </c>
      <c r="Q528" s="317">
        <f t="shared" si="57"/>
        <v>4974.5702783239476</v>
      </c>
      <c r="R528" s="317">
        <f t="shared" si="57"/>
        <v>4948.0194723242957</v>
      </c>
      <c r="S528" s="317">
        <f t="shared" si="57"/>
        <v>4920.1069007681253</v>
      </c>
      <c r="T528" s="317">
        <f t="shared" si="57"/>
        <v>4900.3489692349658</v>
      </c>
      <c r="U528" s="317">
        <f t="shared" si="57"/>
        <v>4884.6288164694934</v>
      </c>
    </row>
    <row r="529" spans="3:21">
      <c r="C529" s="302">
        <f>SUM(C509:C513)+SUM(C519:C523)-C25-C27</f>
        <v>0</v>
      </c>
      <c r="D529" s="302">
        <f>SUM(D509:D513)+SUM(D519:D523)-D25-D27</f>
        <v>0</v>
      </c>
      <c r="E529" s="302">
        <f>SUM(E509:E513)+SUM(E519:E523)-E25-E27</f>
        <v>0</v>
      </c>
      <c r="F529" s="302">
        <f>SUM(F509:F513)+SUM(F519:F523)-F25-F27</f>
        <v>0</v>
      </c>
      <c r="H529" s="302">
        <f t="shared" ref="H529:U529" si="58">H514+H515+H516+H517+H518-H26</f>
        <v>0</v>
      </c>
      <c r="I529" s="302">
        <f t="shared" si="58"/>
        <v>0</v>
      </c>
      <c r="J529" s="302">
        <f t="shared" si="58"/>
        <v>0</v>
      </c>
      <c r="K529" s="302">
        <f t="shared" si="58"/>
        <v>0</v>
      </c>
      <c r="L529" s="302">
        <f t="shared" si="58"/>
        <v>0</v>
      </c>
      <c r="M529" s="302">
        <f t="shared" si="58"/>
        <v>0</v>
      </c>
      <c r="N529" s="302">
        <f t="shared" si="58"/>
        <v>0</v>
      </c>
      <c r="O529" s="302">
        <f t="shared" si="58"/>
        <v>0</v>
      </c>
      <c r="P529" s="302">
        <f t="shared" si="58"/>
        <v>0</v>
      </c>
      <c r="Q529" s="302">
        <f t="shared" si="58"/>
        <v>0</v>
      </c>
      <c r="R529" s="302">
        <f t="shared" si="58"/>
        <v>0</v>
      </c>
      <c r="S529" s="302">
        <f t="shared" si="58"/>
        <v>0</v>
      </c>
      <c r="T529" s="302">
        <f t="shared" si="58"/>
        <v>0</v>
      </c>
      <c r="U529" s="302">
        <f t="shared" si="58"/>
        <v>0</v>
      </c>
    </row>
    <row r="530" spans="3:21">
      <c r="H530" s="302">
        <f t="shared" ref="H530:U530" si="59">SUM(H524:H528)-H28</f>
        <v>0</v>
      </c>
      <c r="I530" s="302">
        <f t="shared" si="59"/>
        <v>0</v>
      </c>
      <c r="J530" s="302">
        <f t="shared" si="59"/>
        <v>0</v>
      </c>
      <c r="K530" s="302">
        <f t="shared" si="59"/>
        <v>0</v>
      </c>
      <c r="L530" s="302">
        <f t="shared" si="59"/>
        <v>0</v>
      </c>
      <c r="M530" s="302">
        <f t="shared" si="59"/>
        <v>0</v>
      </c>
      <c r="N530" s="302">
        <f t="shared" si="59"/>
        <v>0</v>
      </c>
      <c r="O530" s="302">
        <f t="shared" si="59"/>
        <v>0</v>
      </c>
      <c r="P530" s="302">
        <f t="shared" si="59"/>
        <v>0</v>
      </c>
      <c r="Q530" s="302">
        <f t="shared" si="59"/>
        <v>0</v>
      </c>
      <c r="R530" s="302">
        <f t="shared" si="59"/>
        <v>0</v>
      </c>
      <c r="S530" s="302">
        <f t="shared" si="59"/>
        <v>0</v>
      </c>
      <c r="T530" s="302">
        <f t="shared" si="59"/>
        <v>0</v>
      </c>
      <c r="U530" s="302">
        <f t="shared" si="59"/>
        <v>0</v>
      </c>
    </row>
    <row r="531" spans="3:21">
      <c r="H531" s="302">
        <f>SUM(H509:H513)+SUM(H519:H523)-H25-H27</f>
        <v>0</v>
      </c>
    </row>
    <row r="554" spans="4:20">
      <c r="D554" s="446" t="s">
        <v>1140</v>
      </c>
      <c r="H554" s="681">
        <f>'Art_&amp;_Design_1'!C340+'Art_&amp;_Design_1'!C356+Biology_1!C340+Biology_1!C356+Business_Studies_1!C340+Business_Studies_1!C356+Chemistry_1!C340+Chemistry_1!C356+Classics_1!C340+Classics_1!C356+Computing_1!C340+Computing_1!C356+'Design_&amp;_Technology_1'!C340+'Design_&amp;_Technology_1'!C356+Drama_1!C340+Drama_1!C356+English_1!C340+English_1!C356+Food_1!C340+Food_1!C356+Geography_1!C340+Geography_1!C356+History_1!C340+History_1!C356+Mathematics_1!C340+Mathematics_1!C356+Modern_Foreign_Languages_1!C340+Modern_Foreign_Languages_1!C356+Music_1!C340+Music_1!C356+Others_1!C340+Others_1!C356+Physical_Education_1!C340+Physical_Education_1!C356+Physics_1!C340+Physics_1!C356+Religious_Education_1!C340+Religious_Education_1!C356</f>
        <v>13312.021923272423</v>
      </c>
      <c r="I554" s="681">
        <f>'Art_&amp;_Design_1'!D340+'Art_&amp;_Design_1'!D356+Biology_1!D340+Biology_1!D356+Business_Studies_1!D340+Business_Studies_1!D356+Chemistry_1!D340+Chemistry_1!D356+Classics_1!D340+Classics_1!D356+Computing_1!D340+Computing_1!D356+'Design_&amp;_Technology_1'!D340+'Design_&amp;_Technology_1'!D356+Drama_1!D340+Drama_1!D356+English_1!D340+English_1!D356+Food_1!D340+Food_1!D356+Geography_1!D340+Geography_1!D356+History_1!D340+History_1!D356+Mathematics_1!D340+Mathematics_1!D356+Modern_Foreign_Languages_1!D340+Modern_Foreign_Languages_1!D356+Music_1!D340+Music_1!D356+Others_1!D340+Others_1!D356+Physical_Education_1!D340+Physical_Education_1!D356+Physics_1!D340+Physics_1!D356+Religious_Education_1!D340+Religious_Education_1!D356</f>
        <v>15880.571076407081</v>
      </c>
      <c r="J554" s="681">
        <f>'Art_&amp;_Design_1'!E340+'Art_&amp;_Design_1'!E356+Biology_1!E340+Biology_1!E356+Business_Studies_1!E340+Business_Studies_1!E356+Chemistry_1!E340+Chemistry_1!E356+Classics_1!E340+Classics_1!E356+Computing_1!E340+Computing_1!E356+'Design_&amp;_Technology_1'!E340+'Design_&amp;_Technology_1'!E356+Drama_1!E340+Drama_1!E356+English_1!E340+English_1!E356+Food_1!E340+Food_1!E356+Geography_1!E340+Geography_1!E356+History_1!E340+History_1!E356+Mathematics_1!E340+Mathematics_1!E356+Modern_Foreign_Languages_1!E340+Modern_Foreign_Languages_1!E356+Music_1!E340+Music_1!E356+Others_1!E340+Others_1!E356+Physical_Education_1!E340+Physical_Education_1!E356+Physics_1!E340+Physics_1!E356+Religious_Education_1!E340+Religious_Education_1!E356</f>
        <v>17833.319873041401</v>
      </c>
      <c r="K554" s="681">
        <f>'Art_&amp;_Design_1'!F340+'Art_&amp;_Design_1'!F356+Biology_1!F340+Biology_1!F356+Business_Studies_1!F340+Business_Studies_1!F356+Chemistry_1!F340+Chemistry_1!F356+Classics_1!F340+Classics_1!F356+Computing_1!F340+Computing_1!F356+'Design_&amp;_Technology_1'!F340+'Design_&amp;_Technology_1'!F356+Drama_1!F340+Drama_1!F356+English_1!F340+English_1!F356+Food_1!F340+Food_1!F356+Geography_1!F340+Geography_1!F356+History_1!F340+History_1!F356+Mathematics_1!F340+Mathematics_1!F356+Modern_Foreign_Languages_1!F340+Modern_Foreign_Languages_1!F356+Music_1!F340+Music_1!F356+Others_1!F340+Others_1!F356+Physical_Education_1!F340+Physical_Education_1!F356+Physics_1!F340+Physics_1!F356+Religious_Education_1!F340+Religious_Education_1!F356</f>
        <v>19144.554488385813</v>
      </c>
      <c r="L554" s="681">
        <f>'Art_&amp;_Design_1'!G340+'Art_&amp;_Design_1'!G356+Biology_1!G340+Biology_1!G356+Business_Studies_1!G340+Business_Studies_1!G356+Chemistry_1!G340+Chemistry_1!G356+Classics_1!G340+Classics_1!G356+Computing_1!G340+Computing_1!G356+'Design_&amp;_Technology_1'!G340+'Design_&amp;_Technology_1'!G356+Drama_1!G340+Drama_1!G356+English_1!G340+English_1!G356+Food_1!G340+Food_1!G356+Geography_1!G340+Geography_1!G356+History_1!G340+History_1!G356+Mathematics_1!G340+Mathematics_1!G356+Modern_Foreign_Languages_1!G340+Modern_Foreign_Languages_1!G356+Music_1!G340+Music_1!G356+Others_1!G340+Others_1!G356+Physical_Education_1!G340+Physical_Education_1!G356+Physics_1!G340+Physics_1!G356+Religious_Education_1!G340+Religious_Education_1!G356</f>
        <v>20124.127997932941</v>
      </c>
      <c r="M554" s="681">
        <f>'Art_&amp;_Design_1'!H340+'Art_&amp;_Design_1'!H356+Biology_1!H340+Biology_1!H356+Business_Studies_1!H340+Business_Studies_1!H356+Chemistry_1!H340+Chemistry_1!H356+Classics_1!H340+Classics_1!H356+Computing_1!H340+Computing_1!H356+'Design_&amp;_Technology_1'!H340+'Design_&amp;_Technology_1'!H356+Drama_1!H340+Drama_1!H356+English_1!H340+English_1!H356+Food_1!H340+Food_1!H356+Geography_1!H340+Geography_1!H356+History_1!H340+History_1!H356+Mathematics_1!H340+Mathematics_1!H356+Modern_Foreign_Languages_1!H340+Modern_Foreign_Languages_1!H356+Music_1!H340+Music_1!H356+Others_1!H340+Others_1!H356+Physical_Education_1!H340+Physical_Education_1!H356+Physics_1!H340+Physics_1!H356+Religious_Education_1!H340+Religious_Education_1!H356</f>
        <v>20875.260447186673</v>
      </c>
      <c r="N554" s="681">
        <f>'Art_&amp;_Design_1'!I340+'Art_&amp;_Design_1'!I356+Biology_1!I340+Biology_1!I356+Business_Studies_1!I340+Business_Studies_1!I356+Chemistry_1!I340+Chemistry_1!I356+Classics_1!I340+Classics_1!I356+Computing_1!I340+Computing_1!I356+'Design_&amp;_Technology_1'!I340+'Design_&amp;_Technology_1'!I356+Drama_1!I340+Drama_1!I356+English_1!I340+English_1!I356+Food_1!I340+Food_1!I356+Geography_1!I340+Geography_1!I356+History_1!I340+History_1!I356+Mathematics_1!I340+Mathematics_1!I356+Modern_Foreign_Languages_1!I340+Modern_Foreign_Languages_1!I356+Music_1!I340+Music_1!I356+Others_1!I340+Others_1!I356+Physical_Education_1!I340+Physical_Education_1!I356+Physics_1!I340+Physics_1!I356+Religious_Education_1!I340+Religious_Education_1!I356</f>
        <v>21599.022465521957</v>
      </c>
      <c r="O554" s="681">
        <f>'Art_&amp;_Design_1'!J340+'Art_&amp;_Design_1'!J356+Biology_1!J340+Biology_1!J356+Business_Studies_1!J340+Business_Studies_1!J356+Chemistry_1!J340+Chemistry_1!J356+Classics_1!J340+Classics_1!J356+Computing_1!J340+Computing_1!J356+'Design_&amp;_Technology_1'!J340+'Design_&amp;_Technology_1'!J356+Drama_1!J340+Drama_1!J356+English_1!J340+English_1!J356+Food_1!J340+Food_1!J356+Geography_1!J340+Geography_1!J356+History_1!J340+History_1!J356+Mathematics_1!J340+Mathematics_1!J356+Modern_Foreign_Languages_1!J340+Modern_Foreign_Languages_1!J356+Music_1!J340+Music_1!J356+Others_1!J340+Others_1!J356+Physical_Education_1!J340+Physical_Education_1!J356+Physics_1!J340+Physics_1!J356+Religious_Education_1!J340+Religious_Education_1!J356</f>
        <v>21915.989505711845</v>
      </c>
      <c r="P554" s="681">
        <f>'Art_&amp;_Design_1'!K340+'Art_&amp;_Design_1'!K356+Biology_1!K340+Biology_1!K356+Business_Studies_1!K340+Business_Studies_1!K356+Chemistry_1!K340+Chemistry_1!K356+Classics_1!K340+Classics_1!K356+Computing_1!K340+Computing_1!K356+'Design_&amp;_Technology_1'!K340+'Design_&amp;_Technology_1'!K356+Drama_1!K340+Drama_1!K356+English_1!K340+English_1!K356+Food_1!K340+Food_1!K356+Geography_1!K340+Geography_1!K356+History_1!K340+History_1!K356+Mathematics_1!K340+Mathematics_1!K356+Modern_Foreign_Languages_1!K340+Modern_Foreign_Languages_1!K356+Music_1!K340+Music_1!K356+Others_1!K340+Others_1!K356+Physical_Education_1!K340+Physical_Education_1!K356+Physics_1!K340+Physics_1!K356+Religious_Education_1!K340+Religious_Education_1!K356</f>
        <v>21924.469766442358</v>
      </c>
      <c r="Q554" s="681">
        <f>'Art_&amp;_Design_1'!L340+'Art_&amp;_Design_1'!L356+Biology_1!L340+Biology_1!L356+Business_Studies_1!L340+Business_Studies_1!L356+Chemistry_1!L340+Chemistry_1!L356+Classics_1!L340+Classics_1!L356+Computing_1!L340+Computing_1!L356+'Design_&amp;_Technology_1'!L340+'Design_&amp;_Technology_1'!L356+Drama_1!L340+Drama_1!L356+English_1!L340+English_1!L356+Food_1!L340+Food_1!L356+Geography_1!L340+Geography_1!L356+History_1!L340+History_1!L356+Mathematics_1!L340+Mathematics_1!L356+Modern_Foreign_Languages_1!L340+Modern_Foreign_Languages_1!L356+Music_1!L340+Music_1!L356+Others_1!L340+Others_1!L356+Physical_Education_1!L340+Physical_Education_1!L356+Physics_1!L340+Physics_1!L356+Religious_Education_1!L340+Religious_Education_1!L356</f>
        <v>21759.732117074094</v>
      </c>
      <c r="R554" s="681">
        <f>'Art_&amp;_Design_1'!M340+'Art_&amp;_Design_1'!M356+Biology_1!M340+Biology_1!M356+Business_Studies_1!M340+Business_Studies_1!M356+Chemistry_1!M340+Chemistry_1!M356+Classics_1!M340+Classics_1!M356+Computing_1!M340+Computing_1!M356+'Design_&amp;_Technology_1'!M340+'Design_&amp;_Technology_1'!M356+Drama_1!M340+Drama_1!M356+English_1!M340+English_1!M356+Food_1!M340+Food_1!M356+Geography_1!M340+Geography_1!M356+History_1!M340+History_1!M356+Mathematics_1!M340+Mathematics_1!M356+Modern_Foreign_Languages_1!M340+Modern_Foreign_Languages_1!M356+Music_1!M340+Music_1!M356+Others_1!M340+Others_1!M356+Physical_Education_1!M340+Physical_Education_1!M356+Physics_1!M340+Physics_1!M356+Religious_Education_1!M340+Religious_Education_1!M356</f>
        <v>21603.501694136889</v>
      </c>
      <c r="S554" s="681">
        <f>'Art_&amp;_Design_1'!N340+'Art_&amp;_Design_1'!N356+Biology_1!N340+Biology_1!N356+Business_Studies_1!N340+Business_Studies_1!N356+Chemistry_1!N340+Chemistry_1!N356+Classics_1!N340+Classics_1!N356+Computing_1!N340+Computing_1!N356+'Design_&amp;_Technology_1'!N340+'Design_&amp;_Technology_1'!N356+Drama_1!N340+Drama_1!N356+English_1!N340+English_1!N356+Food_1!N340+Food_1!N356+Geography_1!N340+Geography_1!N356+History_1!N340+History_1!N356+Mathematics_1!N340+Mathematics_1!N356+Modern_Foreign_Languages_1!N340+Modern_Foreign_Languages_1!N356+Music_1!N340+Music_1!N356+Others_1!N340+Others_1!N356+Physical_Education_1!N340+Physical_Education_1!N356+Physics_1!N340+Physics_1!N356+Religious_Education_1!N340+Religious_Education_1!N356</f>
        <v>21441.407059348014</v>
      </c>
      <c r="T554" s="681"/>
    </row>
    <row r="555" spans="4:20">
      <c r="H555" s="681">
        <f>'Art_&amp;_Design_1'!C341+'Art_&amp;_Design_1'!C357+Biology_1!C341+Biology_1!C357+Business_Studies_1!C341+Business_Studies_1!C357+Chemistry_1!C341+Chemistry_1!C357+Classics_1!C341+Classics_1!C357+Computing_1!C341+Computing_1!C357+'Design_&amp;_Technology_1'!C341+'Design_&amp;_Technology_1'!C357+Drama_1!C341+Drama_1!C357+English_1!C341+English_1!C357+Food_1!C341+Food_1!C357+Geography_1!C341+Geography_1!C357+History_1!C341+History_1!C357+Mathematics_1!C341+Mathematics_1!C357+Modern_Foreign_Languages_1!C341+Modern_Foreign_Languages_1!C357+Music_1!C341+Music_1!C357+Others_1!C341+Others_1!C357+Physical_Education_1!C341+Physical_Education_1!C357+Physics_1!C341+Physics_1!C357+Religious_Education_1!C341+Religious_Education_1!C357</f>
        <v>32329.978362910268</v>
      </c>
      <c r="I555" s="681">
        <f>'Art_&amp;_Design_1'!D341+'Art_&amp;_Design_1'!D357+Biology_1!D341+Biology_1!D357+Business_Studies_1!D341+Business_Studies_1!D357+Chemistry_1!D341+Chemistry_1!D357+Classics_1!D341+Classics_1!D357+Computing_1!D341+Computing_1!D357+'Design_&amp;_Technology_1'!D341+'Design_&amp;_Technology_1'!D357+Drama_1!D341+Drama_1!D357+English_1!D341+English_1!D357+Food_1!D341+Food_1!D357+Geography_1!D341+Geography_1!D357+History_1!D341+History_1!D357+Mathematics_1!D341+Mathematics_1!D357+Modern_Foreign_Languages_1!D341+Modern_Foreign_Languages_1!D357+Music_1!D341+Music_1!D357+Others_1!D341+Others_1!D357+Physical_Education_1!D341+Physical_Education_1!D357+Physics_1!D341+Physics_1!D357+Religious_Education_1!D341+Religious_Education_1!D357</f>
        <v>32191.049050746176</v>
      </c>
      <c r="J555" s="681">
        <f>'Art_&amp;_Design_1'!E341+'Art_&amp;_Design_1'!E357+Biology_1!E341+Biology_1!E357+Business_Studies_1!E341+Business_Studies_1!E357+Chemistry_1!E341+Chemistry_1!E357+Classics_1!E341+Classics_1!E357+Computing_1!E341+Computing_1!E357+'Design_&amp;_Technology_1'!E341+'Design_&amp;_Technology_1'!E357+Drama_1!E341+Drama_1!E357+English_1!E341+English_1!E357+Food_1!E341+Food_1!E357+Geography_1!E341+Geography_1!E357+History_1!E341+History_1!E357+Mathematics_1!E341+Mathematics_1!E357+Modern_Foreign_Languages_1!E341+Modern_Foreign_Languages_1!E357+Music_1!E341+Music_1!E357+Others_1!E341+Others_1!E357+Physical_Education_1!E341+Physical_Education_1!E357+Physics_1!E341+Physics_1!E357+Religious_Education_1!E341+Religious_Education_1!E357</f>
        <v>32688.121304416276</v>
      </c>
      <c r="K555" s="681">
        <f>'Art_&amp;_Design_1'!F341+'Art_&amp;_Design_1'!F357+Biology_1!F341+Biology_1!F357+Business_Studies_1!F341+Business_Studies_1!F357+Chemistry_1!F341+Chemistry_1!F357+Classics_1!F341+Classics_1!F357+Computing_1!F341+Computing_1!F357+'Design_&amp;_Technology_1'!F341+'Design_&amp;_Technology_1'!F357+Drama_1!F341+Drama_1!F357+English_1!F341+English_1!F357+Food_1!F341+Food_1!F357+Geography_1!F341+Geography_1!F357+History_1!F341+History_1!F357+Mathematics_1!F341+Mathematics_1!F357+Modern_Foreign_Languages_1!F341+Modern_Foreign_Languages_1!F357+Music_1!F341+Music_1!F357+Others_1!F341+Others_1!F357+Physical_Education_1!F341+Physical_Education_1!F357+Physics_1!F341+Physics_1!F357+Religious_Education_1!F341+Religious_Education_1!F357</f>
        <v>33344.331254297438</v>
      </c>
      <c r="L555" s="681">
        <f>'Art_&amp;_Design_1'!G341+'Art_&amp;_Design_1'!G357+Biology_1!G341+Biology_1!G357+Business_Studies_1!G341+Business_Studies_1!G357+Chemistry_1!G341+Chemistry_1!G357+Classics_1!G341+Classics_1!G357+Computing_1!G341+Computing_1!G357+'Design_&amp;_Technology_1'!G341+'Design_&amp;_Technology_1'!G357+Drama_1!G341+Drama_1!G357+English_1!G341+English_1!G357+Food_1!G341+Food_1!G357+Geography_1!G341+Geography_1!G357+History_1!G341+History_1!G357+Mathematics_1!G341+Mathematics_1!G357+Modern_Foreign_Languages_1!G341+Modern_Foreign_Languages_1!G357+Music_1!G341+Music_1!G357+Others_1!G341+Others_1!G357+Physical_Education_1!G341+Physical_Education_1!G357+Physics_1!G341+Physics_1!G357+Religious_Education_1!G341+Religious_Education_1!G357</f>
        <v>34115.886183672832</v>
      </c>
      <c r="M555" s="681">
        <f>'Art_&amp;_Design_1'!H341+'Art_&amp;_Design_1'!H357+Biology_1!H341+Biology_1!H357+Business_Studies_1!H341+Business_Studies_1!H357+Chemistry_1!H341+Chemistry_1!H357+Classics_1!H341+Classics_1!H357+Computing_1!H341+Computing_1!H357+'Design_&amp;_Technology_1'!H341+'Design_&amp;_Technology_1'!H357+Drama_1!H341+Drama_1!H357+English_1!H341+English_1!H357+Food_1!H341+Food_1!H357+Geography_1!H341+Geography_1!H357+History_1!H341+History_1!H357+Mathematics_1!H341+Mathematics_1!H357+Modern_Foreign_Languages_1!H341+Modern_Foreign_Languages_1!H357+Music_1!H341+Music_1!H357+Others_1!H341+Others_1!H357+Physical_Education_1!H341+Physical_Education_1!H357+Physics_1!H341+Physics_1!H357+Religious_Education_1!H341+Religious_Education_1!H357</f>
        <v>34911.106289539108</v>
      </c>
      <c r="N555" s="681">
        <f>'Art_&amp;_Design_1'!I341+'Art_&amp;_Design_1'!I357+Biology_1!I341+Biology_1!I357+Business_Studies_1!I341+Business_Studies_1!I357+Chemistry_1!I341+Chemistry_1!I357+Classics_1!I341+Classics_1!I357+Computing_1!I341+Computing_1!I357+'Design_&amp;_Technology_1'!I341+'Design_&amp;_Technology_1'!I357+Drama_1!I341+Drama_1!I357+English_1!I341+English_1!I357+Food_1!I341+Food_1!I357+Geography_1!I341+Geography_1!I357+History_1!I341+History_1!I357+Mathematics_1!I341+Mathematics_1!I357+Modern_Foreign_Languages_1!I341+Modern_Foreign_Languages_1!I357+Music_1!I341+Music_1!I357+Others_1!I341+Others_1!I357+Physical_Education_1!I341+Physical_Education_1!I357+Physics_1!I341+Physics_1!I357+Religious_Education_1!I341+Religious_Education_1!I357</f>
        <v>35815.653277584686</v>
      </c>
      <c r="O555" s="681">
        <f>'Art_&amp;_Design_1'!J341+'Art_&amp;_Design_1'!J357+Biology_1!J341+Biology_1!J357+Business_Studies_1!J341+Business_Studies_1!J357+Chemistry_1!J341+Chemistry_1!J357+Classics_1!J341+Classics_1!J357+Computing_1!J341+Computing_1!J357+'Design_&amp;_Technology_1'!J341+'Design_&amp;_Technology_1'!J357+Drama_1!J341+Drama_1!J357+English_1!J341+English_1!J357+Food_1!J341+Food_1!J357+Geography_1!J341+Geography_1!J357+History_1!J341+History_1!J357+Mathematics_1!J341+Mathematics_1!J357+Modern_Foreign_Languages_1!J341+Modern_Foreign_Languages_1!J357+Music_1!J341+Music_1!J357+Others_1!J341+Others_1!J357+Physical_Education_1!J341+Physical_Education_1!J357+Physics_1!J341+Physics_1!J357+Religious_Education_1!J341+Religious_Education_1!J357</f>
        <v>36397.589709466112</v>
      </c>
      <c r="P555" s="681">
        <f>'Art_&amp;_Design_1'!K341+'Art_&amp;_Design_1'!K357+Biology_1!K341+Biology_1!K357+Business_Studies_1!K341+Business_Studies_1!K357+Chemistry_1!K341+Chemistry_1!K357+Classics_1!K341+Classics_1!K357+Computing_1!K341+Computing_1!K357+'Design_&amp;_Technology_1'!K341+'Design_&amp;_Technology_1'!K357+Drama_1!K341+Drama_1!K357+English_1!K341+English_1!K357+Food_1!K341+Food_1!K357+Geography_1!K341+Geography_1!K357+History_1!K341+History_1!K357+Mathematics_1!K341+Mathematics_1!K357+Modern_Foreign_Languages_1!K341+Modern_Foreign_Languages_1!K357+Music_1!K341+Music_1!K357+Others_1!K341+Others_1!K357+Physical_Education_1!K341+Physical_Education_1!K357+Physics_1!K341+Physics_1!K357+Religious_Education_1!K341+Religious_Education_1!K357</f>
        <v>36653.366323746013</v>
      </c>
      <c r="Q555" s="681">
        <f>'Art_&amp;_Design_1'!L341+'Art_&amp;_Design_1'!L357+Biology_1!L341+Biology_1!L357+Business_Studies_1!L341+Business_Studies_1!L357+Chemistry_1!L341+Chemistry_1!L357+Classics_1!L341+Classics_1!L357+Computing_1!L341+Computing_1!L357+'Design_&amp;_Technology_1'!L341+'Design_&amp;_Technology_1'!L357+Drama_1!L341+Drama_1!L357+English_1!L341+English_1!L357+Food_1!L341+Food_1!L357+Geography_1!L341+Geography_1!L357+History_1!L341+History_1!L357+Mathematics_1!L341+Mathematics_1!L357+Modern_Foreign_Languages_1!L341+Modern_Foreign_Languages_1!L357+Music_1!L341+Music_1!L357+Others_1!L341+Others_1!L357+Physical_Education_1!L341+Physical_Education_1!L357+Physics_1!L341+Physics_1!L357+Religious_Education_1!L341+Religious_Education_1!L357</f>
        <v>36663.959955228114</v>
      </c>
      <c r="R555" s="681">
        <f>'Art_&amp;_Design_1'!M341+'Art_&amp;_Design_1'!M357+Biology_1!M341+Biology_1!M357+Business_Studies_1!M341+Business_Studies_1!M357+Chemistry_1!M341+Chemistry_1!M357+Classics_1!M341+Classics_1!M357+Computing_1!M341+Computing_1!M357+'Design_&amp;_Technology_1'!M341+'Design_&amp;_Technology_1'!M357+Drama_1!M341+Drama_1!M357+English_1!M341+English_1!M357+Food_1!M341+Food_1!M357+Geography_1!M341+Geography_1!M357+History_1!M341+History_1!M357+Mathematics_1!M341+Mathematics_1!M357+Modern_Foreign_Languages_1!M341+Modern_Foreign_Languages_1!M357+Music_1!M341+Music_1!M357+Others_1!M341+Others_1!M357+Physical_Education_1!M341+Physical_Education_1!M357+Physics_1!M341+Physics_1!M357+Religious_Education_1!M341+Religious_Education_1!M357</f>
        <v>36600.561768243642</v>
      </c>
      <c r="S555" s="681">
        <f>'Art_&amp;_Design_1'!N341+'Art_&amp;_Design_1'!N357+Biology_1!N341+Biology_1!N357+Business_Studies_1!N341+Business_Studies_1!N357+Chemistry_1!N341+Chemistry_1!N357+Classics_1!N341+Classics_1!N357+Computing_1!N341+Computing_1!N357+'Design_&amp;_Technology_1'!N341+'Design_&amp;_Technology_1'!N357+Drama_1!N341+Drama_1!N357+English_1!N341+English_1!N357+Food_1!N341+Food_1!N357+Geography_1!N341+Geography_1!N357+History_1!N341+History_1!N357+Mathematics_1!N341+Mathematics_1!N357+Modern_Foreign_Languages_1!N341+Modern_Foreign_Languages_1!N357+Music_1!N341+Music_1!N357+Others_1!N341+Others_1!N357+Physical_Education_1!N341+Physical_Education_1!N357+Physics_1!N341+Physics_1!N357+Religious_Education_1!N341+Religious_Education_1!N357</f>
        <v>36473.516279868396</v>
      </c>
      <c r="T555" s="681"/>
    </row>
    <row r="556" spans="4:20">
      <c r="H556" s="681">
        <f>'Art_&amp;_Design_1'!C342+'Art_&amp;_Design_1'!C358+Biology_1!C342+Biology_1!C358+Business_Studies_1!C342+Business_Studies_1!C358+Chemistry_1!C342+Chemistry_1!C358+Classics_1!C342+Classics_1!C358+Computing_1!C342+Computing_1!C358+'Design_&amp;_Technology_1'!C342+'Design_&amp;_Technology_1'!C358+Drama_1!C342+Drama_1!C358+English_1!C342+English_1!C358+Food_1!C342+Food_1!C358+Geography_1!C342+Geography_1!C358+History_1!C342+History_1!C358+Mathematics_1!C342+Mathematics_1!C358+Modern_Foreign_Languages_1!C342+Modern_Foreign_Languages_1!C358+Music_1!C342+Music_1!C358+Others_1!C342+Others_1!C358+Physical_Education_1!C342+Physical_Education_1!C358+Physics_1!C342+Physics_1!C358+Religious_Education_1!C342+Religious_Education_1!C358</f>
        <v>36594.06044742879</v>
      </c>
      <c r="I556" s="681">
        <f>'Art_&amp;_Design_1'!D342+'Art_&amp;_Design_1'!D358+Biology_1!D342+Biology_1!D358+Business_Studies_1!D342+Business_Studies_1!D358+Chemistry_1!D342+Chemistry_1!D358+Classics_1!D342+Classics_1!D358+Computing_1!D342+Computing_1!D358+'Design_&amp;_Technology_1'!D342+'Design_&amp;_Technology_1'!D358+Drama_1!D342+Drama_1!D358+English_1!D342+English_1!D358+Food_1!D342+Food_1!D358+Geography_1!D342+Geography_1!D358+History_1!D342+History_1!D358+Mathematics_1!D342+Mathematics_1!D358+Modern_Foreign_Languages_1!D342+Modern_Foreign_Languages_1!D358+Music_1!D342+Music_1!D358+Others_1!D342+Others_1!D358+Physical_Education_1!D342+Physical_Education_1!D358+Physics_1!D342+Physics_1!D358+Religious_Education_1!D342+Religious_Education_1!D358</f>
        <v>36045.07707728535</v>
      </c>
      <c r="J556" s="681">
        <f>'Art_&amp;_Design_1'!E342+'Art_&amp;_Design_1'!E358+Biology_1!E342+Biology_1!E358+Business_Studies_1!E342+Business_Studies_1!E358+Chemistry_1!E342+Chemistry_1!E358+Classics_1!E342+Classics_1!E358+Computing_1!E342+Computing_1!E358+'Design_&amp;_Technology_1'!E342+'Design_&amp;_Technology_1'!E358+Drama_1!E342+Drama_1!E358+English_1!E342+English_1!E358+Food_1!E342+Food_1!E358+Geography_1!E342+Geography_1!E358+History_1!E342+History_1!E358+Mathematics_1!E342+Mathematics_1!E358+Modern_Foreign_Languages_1!E342+Modern_Foreign_Languages_1!E358+Music_1!E342+Music_1!E358+Others_1!E342+Others_1!E358+Physical_Education_1!E342+Physical_Education_1!E358+Physics_1!E342+Physics_1!E358+Religious_Education_1!E342+Religious_Education_1!E358</f>
        <v>35649.527852756924</v>
      </c>
      <c r="K556" s="681">
        <f>'Art_&amp;_Design_1'!F342+'Art_&amp;_Design_1'!F358+Biology_1!F342+Biology_1!F358+Business_Studies_1!F342+Business_Studies_1!F358+Chemistry_1!F342+Chemistry_1!F358+Classics_1!F342+Classics_1!F358+Computing_1!F342+Computing_1!F358+'Design_&amp;_Technology_1'!F342+'Design_&amp;_Technology_1'!F358+Drama_1!F342+Drama_1!F358+English_1!F342+English_1!F358+Food_1!F342+Food_1!F358+Geography_1!F342+Geography_1!F358+History_1!F342+History_1!F358+Mathematics_1!F342+Mathematics_1!F358+Modern_Foreign_Languages_1!F342+Modern_Foreign_Languages_1!F358+Music_1!F342+Music_1!F358+Others_1!F342+Others_1!F358+Physical_Education_1!F342+Physical_Education_1!F358+Physics_1!F342+Physics_1!F358+Religious_Education_1!F342+Religious_Education_1!F358</f>
        <v>35422.228625914388</v>
      </c>
      <c r="L556" s="681">
        <f>'Art_&amp;_Design_1'!G342+'Art_&amp;_Design_1'!G358+Biology_1!G342+Biology_1!G358+Business_Studies_1!G342+Business_Studies_1!G358+Chemistry_1!G342+Chemistry_1!G358+Classics_1!G342+Classics_1!G358+Computing_1!G342+Computing_1!G358+'Design_&amp;_Technology_1'!G342+'Design_&amp;_Technology_1'!G358+Drama_1!G342+Drama_1!G358+English_1!G342+English_1!G358+Food_1!G342+Food_1!G358+Geography_1!G342+Geography_1!G358+History_1!G342+History_1!G358+Mathematics_1!G342+Mathematics_1!G358+Modern_Foreign_Languages_1!G342+Modern_Foreign_Languages_1!G358+Music_1!G342+Music_1!G358+Others_1!G342+Others_1!G358+Physical_Education_1!G342+Physical_Education_1!G358+Physics_1!G342+Physics_1!G358+Religious_Education_1!G342+Religious_Education_1!G358</f>
        <v>35409.688782841949</v>
      </c>
      <c r="M556" s="681">
        <f>'Art_&amp;_Design_1'!H342+'Art_&amp;_Design_1'!H358+Biology_1!H342+Biology_1!H358+Business_Studies_1!H342+Business_Studies_1!H358+Chemistry_1!H342+Chemistry_1!H358+Classics_1!H342+Classics_1!H358+Computing_1!H342+Computing_1!H358+'Design_&amp;_Technology_1'!H342+'Design_&amp;_Technology_1'!H358+Drama_1!H342+Drama_1!H358+English_1!H342+English_1!H358+Food_1!H342+Food_1!H358+Geography_1!H342+Geography_1!H358+History_1!H342+History_1!H358+Mathematics_1!H342+Mathematics_1!H358+Modern_Foreign_Languages_1!H342+Modern_Foreign_Languages_1!H358+Music_1!H342+Music_1!H358+Others_1!H342+Others_1!H358+Physical_Education_1!H342+Physical_Education_1!H358+Physics_1!H342+Physics_1!H358+Religious_Education_1!H342+Religious_Education_1!H358</f>
        <v>35575.83390420198</v>
      </c>
      <c r="N556" s="681">
        <f>'Art_&amp;_Design_1'!I342+'Art_&amp;_Design_1'!I358+Biology_1!I342+Biology_1!I358+Business_Studies_1!I342+Business_Studies_1!I358+Chemistry_1!I342+Chemistry_1!I358+Classics_1!I342+Classics_1!I358+Computing_1!I342+Computing_1!I358+'Design_&amp;_Technology_1'!I342+'Design_&amp;_Technology_1'!I358+Drama_1!I342+Drama_1!I358+English_1!I342+English_1!I358+Food_1!I342+Food_1!I358+Geography_1!I342+Geography_1!I358+History_1!I342+History_1!I358+Mathematics_1!I342+Mathematics_1!I358+Modern_Foreign_Languages_1!I342+Modern_Foreign_Languages_1!I358+Music_1!I342+Music_1!I358+Others_1!I342+Others_1!I358+Physical_Education_1!I342+Physical_Education_1!I358+Physics_1!I342+Physics_1!I358+Religious_Education_1!I342+Religious_Education_1!I358</f>
        <v>35943.173307123849</v>
      </c>
      <c r="O556" s="681">
        <f>'Art_&amp;_Design_1'!J342+'Art_&amp;_Design_1'!J358+Biology_1!J342+Biology_1!J358+Business_Studies_1!J342+Business_Studies_1!J358+Chemistry_1!J342+Chemistry_1!J358+Classics_1!J342+Classics_1!J358+Computing_1!J342+Computing_1!J358+'Design_&amp;_Technology_1'!J342+'Design_&amp;_Technology_1'!J358+Drama_1!J342+Drama_1!J358+English_1!J342+English_1!J358+Food_1!J342+Food_1!J358+Geography_1!J342+Geography_1!J358+History_1!J342+History_1!J358+Mathematics_1!J342+Mathematics_1!J358+Modern_Foreign_Languages_1!J342+Modern_Foreign_Languages_1!J358+Music_1!J342+Music_1!J358+Others_1!J342+Others_1!J358+Physical_Education_1!J342+Physical_Education_1!J358+Physics_1!J342+Physics_1!J358+Religious_Education_1!J342+Religious_Education_1!J358</f>
        <v>36280.97203702046</v>
      </c>
      <c r="P556" s="681">
        <f>'Art_&amp;_Design_1'!K342+'Art_&amp;_Design_1'!K358+Biology_1!K342+Biology_1!K358+Business_Studies_1!K342+Business_Studies_1!K358+Chemistry_1!K342+Chemistry_1!K358+Classics_1!K342+Classics_1!K358+Computing_1!K342+Computing_1!K358+'Design_&amp;_Technology_1'!K342+'Design_&amp;_Technology_1'!K358+Drama_1!K342+Drama_1!K358+English_1!K342+English_1!K358+Food_1!K342+Food_1!K358+Geography_1!K342+Geography_1!K358+History_1!K342+History_1!K358+Mathematics_1!K342+Mathematics_1!K358+Modern_Foreign_Languages_1!K342+Modern_Foreign_Languages_1!K358+Music_1!K342+Music_1!K358+Others_1!K342+Others_1!K358+Physical_Education_1!K342+Physical_Education_1!K358+Physics_1!K342+Physics_1!K358+Religious_Education_1!K342+Religious_Education_1!K358</f>
        <v>36526.214797851098</v>
      </c>
      <c r="Q556" s="681">
        <f>'Art_&amp;_Design_1'!L342+'Art_&amp;_Design_1'!L358+Biology_1!L342+Biology_1!L358+Business_Studies_1!L342+Business_Studies_1!L358+Chemistry_1!L342+Chemistry_1!L358+Classics_1!L342+Classics_1!L358+Computing_1!L342+Computing_1!L358+'Design_&amp;_Technology_1'!L342+'Design_&amp;_Technology_1'!L358+Drama_1!L342+Drama_1!L358+English_1!L342+English_1!L358+Food_1!L342+Food_1!L358+Geography_1!L342+Geography_1!L358+History_1!L342+History_1!L358+Mathematics_1!L342+Mathematics_1!L358+Modern_Foreign_Languages_1!L342+Modern_Foreign_Languages_1!L358+Music_1!L342+Music_1!L358+Others_1!L342+Others_1!L358+Physical_Education_1!L342+Physical_Education_1!L358+Physics_1!L342+Physics_1!L358+Religious_Education_1!L342+Religious_Education_1!L358</f>
        <v>36665.478300106501</v>
      </c>
      <c r="R556" s="681">
        <f>'Art_&amp;_Design_1'!M342+'Art_&amp;_Design_1'!M358+Biology_1!M342+Biology_1!M358+Business_Studies_1!M342+Business_Studies_1!M358+Chemistry_1!M342+Chemistry_1!M358+Classics_1!M342+Classics_1!M358+Computing_1!M342+Computing_1!M358+'Design_&amp;_Technology_1'!M342+'Design_&amp;_Technology_1'!M358+Drama_1!M342+Drama_1!M358+English_1!M342+English_1!M358+Food_1!M342+Food_1!M358+Geography_1!M342+Geography_1!M358+History_1!M342+History_1!M358+Mathematics_1!M342+Mathematics_1!M358+Modern_Foreign_Languages_1!M342+Modern_Foreign_Languages_1!M358+Music_1!M342+Music_1!M358+Others_1!M342+Others_1!M358+Physical_Education_1!M342+Physical_Education_1!M358+Physics_1!M342+Physics_1!M358+Religious_Education_1!M342+Religious_Education_1!M358</f>
        <v>36748.091521276678</v>
      </c>
      <c r="S556" s="681">
        <f>'Art_&amp;_Design_1'!N342+'Art_&amp;_Design_1'!N358+Biology_1!N342+Biology_1!N358+Business_Studies_1!N342+Business_Studies_1!N358+Chemistry_1!N342+Chemistry_1!N358+Classics_1!N342+Classics_1!N358+Computing_1!N342+Computing_1!N358+'Design_&amp;_Technology_1'!N342+'Design_&amp;_Technology_1'!N358+Drama_1!N342+Drama_1!N358+English_1!N342+English_1!N358+Food_1!N342+Food_1!N358+Geography_1!N342+Geography_1!N358+History_1!N342+History_1!N358+Mathematics_1!N342+Mathematics_1!N358+Modern_Foreign_Languages_1!N342+Modern_Foreign_Languages_1!N358+Music_1!N342+Music_1!N358+Others_1!N342+Others_1!N358+Physical_Education_1!N342+Physical_Education_1!N358+Physics_1!N342+Physics_1!N358+Religious_Education_1!N342+Religious_Education_1!N358</f>
        <v>36769.764786454893</v>
      </c>
      <c r="T556" s="681"/>
    </row>
    <row r="557" spans="4:20">
      <c r="H557" s="681">
        <f>'Art_&amp;_Design_1'!C343+'Art_&amp;_Design_1'!C359+Biology_1!C343+Biology_1!C359+Business_Studies_1!C343+Business_Studies_1!C359+Chemistry_1!C343+Chemistry_1!C359+Classics_1!C343+Classics_1!C359+Computing_1!C343+Computing_1!C359+'Design_&amp;_Technology_1'!C343+'Design_&amp;_Technology_1'!C359+Drama_1!C343+Drama_1!C359+English_1!C343+English_1!C359+Food_1!C343+Food_1!C359+Geography_1!C343+Geography_1!C359+History_1!C343+History_1!C359+Mathematics_1!C343+Mathematics_1!C359+Modern_Foreign_Languages_1!C343+Modern_Foreign_Languages_1!C359+Music_1!C343+Music_1!C359+Others_1!C343+Others_1!C359+Physical_Education_1!C343+Physical_Education_1!C359+Physics_1!C343+Physics_1!C359+Religious_Education_1!C343+Religious_Education_1!C359</f>
        <v>35574.617057228803</v>
      </c>
      <c r="I557" s="681">
        <f>'Art_&amp;_Design_1'!D343+'Art_&amp;_Design_1'!D359+Biology_1!D343+Biology_1!D359+Business_Studies_1!D343+Business_Studies_1!D359+Chemistry_1!D343+Chemistry_1!D359+Classics_1!D343+Classics_1!D359+Computing_1!D343+Computing_1!D359+'Design_&amp;_Technology_1'!D343+'Design_&amp;_Technology_1'!D359+Drama_1!D343+Drama_1!D359+English_1!D343+English_1!D359+Food_1!D343+Food_1!D359+Geography_1!D343+Geography_1!D359+History_1!D343+History_1!D359+Mathematics_1!D343+Mathematics_1!D359+Modern_Foreign_Languages_1!D343+Modern_Foreign_Languages_1!D359+Music_1!D343+Music_1!D359+Others_1!D343+Others_1!D359+Physical_Education_1!D343+Physical_Education_1!D359+Physics_1!D343+Physics_1!D359+Religious_Education_1!D343+Religious_Education_1!D359</f>
        <v>35391.134274870412</v>
      </c>
      <c r="J557" s="681">
        <f>'Art_&amp;_Design_1'!E343+'Art_&amp;_Design_1'!E359+Biology_1!E343+Biology_1!E359+Business_Studies_1!E343+Business_Studies_1!E359+Chemistry_1!E343+Chemistry_1!E359+Classics_1!E343+Classics_1!E359+Computing_1!E343+Computing_1!E359+'Design_&amp;_Technology_1'!E343+'Design_&amp;_Technology_1'!E359+Drama_1!E343+Drama_1!E359+English_1!E343+English_1!E359+Food_1!E343+Food_1!E359+Geography_1!E343+Geography_1!E359+History_1!E343+History_1!E359+Mathematics_1!E343+Mathematics_1!E359+Modern_Foreign_Languages_1!E343+Modern_Foreign_Languages_1!E359+Music_1!E343+Music_1!E359+Others_1!E343+Others_1!E359+Physical_Education_1!E343+Physical_Education_1!E359+Physics_1!E343+Physics_1!E359+Religious_Education_1!E343+Religious_Education_1!E359</f>
        <v>35165.384976280468</v>
      </c>
      <c r="K557" s="681">
        <f>'Art_&amp;_Design_1'!F343+'Art_&amp;_Design_1'!F359+Biology_1!F343+Biology_1!F359+Business_Studies_1!F343+Business_Studies_1!F359+Chemistry_1!F343+Chemistry_1!F359+Classics_1!F343+Classics_1!F359+Computing_1!F343+Computing_1!F359+'Design_&amp;_Technology_1'!F343+'Design_&amp;_Technology_1'!F359+Drama_1!F343+Drama_1!F359+English_1!F343+English_1!F359+Food_1!F343+Food_1!F359+Geography_1!F343+Geography_1!F359+History_1!F343+History_1!F359+Mathematics_1!F343+Mathematics_1!F359+Modern_Foreign_Languages_1!F343+Modern_Foreign_Languages_1!F359+Music_1!F343+Music_1!F359+Others_1!F343+Others_1!F359+Physical_Education_1!F343+Physical_Education_1!F359+Physics_1!F343+Physics_1!F359+Religious_Education_1!F343+Religious_Education_1!F359</f>
        <v>34906.282998219467</v>
      </c>
      <c r="L557" s="681">
        <f>'Art_&amp;_Design_1'!G343+'Art_&amp;_Design_1'!G359+Biology_1!G343+Biology_1!G359+Business_Studies_1!G343+Business_Studies_1!G359+Chemistry_1!G343+Chemistry_1!G359+Classics_1!G343+Classics_1!G359+Computing_1!G343+Computing_1!G359+'Design_&amp;_Technology_1'!G343+'Design_&amp;_Technology_1'!G359+Drama_1!G343+Drama_1!G359+English_1!G343+English_1!G359+Food_1!G343+Food_1!G359+Geography_1!G343+Geography_1!G359+History_1!G343+History_1!G359+Mathematics_1!G343+Mathematics_1!G359+Modern_Foreign_Languages_1!G343+Modern_Foreign_Languages_1!G359+Music_1!G343+Music_1!G359+Others_1!G343+Others_1!G359+Physical_Education_1!G343+Physical_Education_1!G359+Physics_1!G343+Physics_1!G359+Religious_Education_1!G343+Religious_Education_1!G359</f>
        <v>34699.425530851731</v>
      </c>
      <c r="M557" s="681">
        <f>'Art_&amp;_Design_1'!H343+'Art_&amp;_Design_1'!H359+Biology_1!H343+Biology_1!H359+Business_Studies_1!H343+Business_Studies_1!H359+Chemistry_1!H343+Chemistry_1!H359+Classics_1!H343+Classics_1!H359+Computing_1!H343+Computing_1!H359+'Design_&amp;_Technology_1'!H343+'Design_&amp;_Technology_1'!H359+Drama_1!H343+Drama_1!H359+English_1!H343+English_1!H359+Food_1!H343+Food_1!H359+Geography_1!H343+Geography_1!H359+History_1!H343+History_1!H359+Mathematics_1!H343+Mathematics_1!H359+Modern_Foreign_Languages_1!H343+Modern_Foreign_Languages_1!H359+Music_1!H343+Music_1!H359+Others_1!H343+Others_1!H359+Physical_Education_1!H343+Physical_Education_1!H359+Physics_1!H343+Physics_1!H359+Religious_Education_1!H343+Religious_Education_1!H359</f>
        <v>34570.772923177399</v>
      </c>
      <c r="N557" s="681">
        <f>'Art_&amp;_Design_1'!I343+'Art_&amp;_Design_1'!I359+Biology_1!I343+Biology_1!I359+Business_Studies_1!I343+Business_Studies_1!I359+Chemistry_1!I343+Chemistry_1!I359+Classics_1!I343+Classics_1!I359+Computing_1!I343+Computing_1!I359+'Design_&amp;_Technology_1'!I343+'Design_&amp;_Technology_1'!I359+Drama_1!I343+Drama_1!I359+English_1!I343+English_1!I359+Food_1!I343+Food_1!I359+Geography_1!I343+Geography_1!I359+History_1!I343+History_1!I359+Mathematics_1!I343+Mathematics_1!I359+Modern_Foreign_Languages_1!I343+Modern_Foreign_Languages_1!I359+Music_1!I343+Music_1!I359+Others_1!I343+Others_1!I359+Physical_Education_1!I343+Physical_Education_1!I359+Physics_1!I343+Physics_1!I359+Religious_Education_1!I343+Religious_Education_1!I359</f>
        <v>34581.835273710494</v>
      </c>
      <c r="O557" s="681">
        <f>'Art_&amp;_Design_1'!J343+'Art_&amp;_Design_1'!J359+Biology_1!J343+Biology_1!J359+Business_Studies_1!J343+Business_Studies_1!J359+Chemistry_1!J343+Chemistry_1!J359+Classics_1!J343+Classics_1!J359+Computing_1!J343+Computing_1!J359+'Design_&amp;_Technology_1'!J343+'Design_&amp;_Technology_1'!J359+Drama_1!J343+Drama_1!J359+English_1!J343+English_1!J359+Food_1!J343+Food_1!J359+Geography_1!J343+Geography_1!J359+History_1!J343+History_1!J359+Mathematics_1!J343+Mathematics_1!J359+Modern_Foreign_Languages_1!J343+Modern_Foreign_Languages_1!J359+Music_1!J343+Music_1!J359+Others_1!J343+Others_1!J359+Physical_Education_1!J343+Physical_Education_1!J359+Physics_1!J343+Physics_1!J359+Religious_Education_1!J343+Religious_Education_1!J359</f>
        <v>34585.845249967861</v>
      </c>
      <c r="P557" s="681">
        <f>'Art_&amp;_Design_1'!K343+'Art_&amp;_Design_1'!K359+Biology_1!K343+Biology_1!K359+Business_Studies_1!K343+Business_Studies_1!K359+Chemistry_1!K343+Chemistry_1!K359+Classics_1!K343+Classics_1!K359+Computing_1!K343+Computing_1!K359+'Design_&amp;_Technology_1'!K343+'Design_&amp;_Technology_1'!K359+Drama_1!K343+Drama_1!K359+English_1!K343+English_1!K359+Food_1!K343+Food_1!K359+Geography_1!K343+Geography_1!K359+History_1!K343+History_1!K359+Mathematics_1!K343+Mathematics_1!K359+Modern_Foreign_Languages_1!K343+Modern_Foreign_Languages_1!K359+Music_1!K343+Music_1!K359+Others_1!K343+Others_1!K359+Physical_Education_1!K343+Physical_Education_1!K359+Physics_1!K343+Physics_1!K359+Religious_Education_1!K343+Religious_Education_1!K359</f>
        <v>34569.63070737962</v>
      </c>
      <c r="Q557" s="681">
        <f>'Art_&amp;_Design_1'!L343+'Art_&amp;_Design_1'!L359+Biology_1!L343+Biology_1!L359+Business_Studies_1!L343+Business_Studies_1!L359+Chemistry_1!L343+Chemistry_1!L359+Classics_1!L343+Classics_1!L359+Computing_1!L343+Computing_1!L359+'Design_&amp;_Technology_1'!L343+'Design_&amp;_Technology_1'!L359+Drama_1!L343+Drama_1!L359+English_1!L343+English_1!L359+Food_1!L343+Food_1!L359+Geography_1!L343+Geography_1!L359+History_1!L343+History_1!L359+Mathematics_1!L343+Mathematics_1!L359+Modern_Foreign_Languages_1!L343+Modern_Foreign_Languages_1!L359+Music_1!L343+Music_1!L359+Others_1!L343+Others_1!L359+Physical_Education_1!L343+Physical_Education_1!L359+Physics_1!L343+Physics_1!L359+Religious_Education_1!L343+Religious_Education_1!L359</f>
        <v>34537.282158921364</v>
      </c>
      <c r="R557" s="681">
        <f>'Art_&amp;_Design_1'!M343+'Art_&amp;_Design_1'!M359+Biology_1!M343+Biology_1!M359+Business_Studies_1!M343+Business_Studies_1!M359+Chemistry_1!M343+Chemistry_1!M359+Classics_1!M343+Classics_1!M359+Computing_1!M343+Computing_1!M359+'Design_&amp;_Technology_1'!M343+'Design_&amp;_Technology_1'!M359+Drama_1!M343+Drama_1!M359+English_1!M343+English_1!M359+Food_1!M343+Food_1!M359+Geography_1!M343+Geography_1!M359+History_1!M343+History_1!M359+Mathematics_1!M343+Mathematics_1!M359+Modern_Foreign_Languages_1!M343+Modern_Foreign_Languages_1!M359+Music_1!M343+Music_1!M359+Others_1!M343+Others_1!M359+Physical_Education_1!M343+Physical_Education_1!M359+Physics_1!M343+Physics_1!M359+Religious_Education_1!M343+Religious_Education_1!M359</f>
        <v>34522.449083849766</v>
      </c>
      <c r="S557" s="681">
        <f>'Art_&amp;_Design_1'!N343+'Art_&amp;_Design_1'!N359+Biology_1!N343+Biology_1!N359+Business_Studies_1!N343+Business_Studies_1!N359+Chemistry_1!N343+Chemistry_1!N359+Classics_1!N343+Classics_1!N359+Computing_1!N343+Computing_1!N359+'Design_&amp;_Technology_1'!N343+'Design_&amp;_Technology_1'!N359+Drama_1!N343+Drama_1!N359+English_1!N343+English_1!N359+Food_1!N343+Food_1!N359+Geography_1!N343+Geography_1!N359+History_1!N343+History_1!N359+Mathematics_1!N343+Mathematics_1!N359+Modern_Foreign_Languages_1!N343+Modern_Foreign_Languages_1!N359+Music_1!N343+Music_1!N359+Others_1!N343+Others_1!N359+Physical_Education_1!N343+Physical_Education_1!N359+Physics_1!N343+Physics_1!N359+Religious_Education_1!N343+Religious_Education_1!N359</f>
        <v>34505.575942029383</v>
      </c>
      <c r="T557" s="681"/>
    </row>
    <row r="558" spans="4:20">
      <c r="H558" s="681">
        <f>'Art_&amp;_Design_1'!C344+'Art_&amp;_Design_1'!C360+Biology_1!C344+Biology_1!C360+Business_Studies_1!C344+Business_Studies_1!C360+Chemistry_1!C344+Chemistry_1!C360+Classics_1!C344+Classics_1!C360+Computing_1!C344+Computing_1!C360+'Design_&amp;_Technology_1'!C344+'Design_&amp;_Technology_1'!C360+Drama_1!C344+Drama_1!C360+English_1!C344+English_1!C360+Food_1!C344+Food_1!C360+Geography_1!C344+Geography_1!C360+History_1!C344+History_1!C360+Mathematics_1!C344+Mathematics_1!C360+Modern_Foreign_Languages_1!C344+Modern_Foreign_Languages_1!C360+Music_1!C344+Music_1!C360+Others_1!C344+Others_1!C360+Physical_Education_1!C344+Physical_Education_1!C360+Physics_1!C344+Physics_1!C360+Religious_Education_1!C344+Religious_Education_1!C360</f>
        <v>31106.496765553835</v>
      </c>
      <c r="I558" s="681">
        <f>'Art_&amp;_Design_1'!D344+'Art_&amp;_Design_1'!D360+Biology_1!D344+Biology_1!D360+Business_Studies_1!D344+Business_Studies_1!D360+Chemistry_1!D344+Chemistry_1!D360+Classics_1!D344+Classics_1!D360+Computing_1!D344+Computing_1!D360+'Design_&amp;_Technology_1'!D344+'Design_&amp;_Technology_1'!D360+Drama_1!D344+Drama_1!D360+English_1!D344+English_1!D360+Food_1!D344+Food_1!D360+Geography_1!D344+Geography_1!D360+History_1!D344+History_1!D360+Mathematics_1!D344+Mathematics_1!D360+Modern_Foreign_Languages_1!D344+Modern_Foreign_Languages_1!D360+Music_1!D344+Music_1!D360+Others_1!D344+Others_1!D360+Physical_Education_1!D344+Physical_Education_1!D360+Physics_1!D344+Physics_1!D360+Religious_Education_1!D344+Religious_Education_1!D360</f>
        <v>31590.614546626777</v>
      </c>
      <c r="J558" s="681">
        <f>'Art_&amp;_Design_1'!E344+'Art_&amp;_Design_1'!E360+Biology_1!E344+Biology_1!E360+Business_Studies_1!E344+Business_Studies_1!E360+Chemistry_1!E344+Chemistry_1!E360+Classics_1!E344+Classics_1!E360+Computing_1!E344+Computing_1!E360+'Design_&amp;_Technology_1'!E344+'Design_&amp;_Technology_1'!E360+Drama_1!E344+Drama_1!E360+English_1!E344+English_1!E360+Food_1!E344+Food_1!E360+Geography_1!E344+Geography_1!E360+History_1!E344+History_1!E360+Mathematics_1!E344+Mathematics_1!E360+Modern_Foreign_Languages_1!E344+Modern_Foreign_Languages_1!E360+Music_1!E344+Music_1!E360+Others_1!E344+Others_1!E360+Physical_Education_1!E344+Physical_Education_1!E360+Physics_1!E344+Physics_1!E360+Religious_Education_1!E344+Religious_Education_1!E360</f>
        <v>31921.197956109721</v>
      </c>
      <c r="K558" s="681">
        <f>'Art_&amp;_Design_1'!F344+'Art_&amp;_Design_1'!F360+Biology_1!F344+Biology_1!F360+Business_Studies_1!F344+Business_Studies_1!F360+Chemistry_1!F344+Chemistry_1!F360+Classics_1!F344+Classics_1!F360+Computing_1!F344+Computing_1!F360+'Design_&amp;_Technology_1'!F344+'Design_&amp;_Technology_1'!F360+Drama_1!F344+Drama_1!F360+English_1!F344+English_1!F360+Food_1!F344+Food_1!F360+Geography_1!F344+Geography_1!F360+History_1!F344+History_1!F360+Mathematics_1!F344+Mathematics_1!F360+Modern_Foreign_Languages_1!F344+Modern_Foreign_Languages_1!F360+Music_1!F344+Music_1!F360+Others_1!F344+Others_1!F360+Physical_Education_1!F344+Physical_Education_1!F360+Physics_1!F344+Physics_1!F360+Religious_Education_1!F344+Religious_Education_1!F360</f>
        <v>32107.024943837925</v>
      </c>
      <c r="L558" s="681">
        <f>'Art_&amp;_Design_1'!G344+'Art_&amp;_Design_1'!G360+Biology_1!G344+Biology_1!G360+Business_Studies_1!G344+Business_Studies_1!G360+Chemistry_1!G344+Chemistry_1!G360+Classics_1!G344+Classics_1!G360+Computing_1!G344+Computing_1!G360+'Design_&amp;_Technology_1'!G344+'Design_&amp;_Technology_1'!G360+Drama_1!G344+Drama_1!G360+English_1!G344+English_1!G360+Food_1!G344+Food_1!G360+Geography_1!G344+Geography_1!G360+History_1!G344+History_1!G360+Mathematics_1!G344+Mathematics_1!G360+Modern_Foreign_Languages_1!G344+Modern_Foreign_Languages_1!G360+Music_1!G344+Music_1!G360+Others_1!G344+Others_1!G360+Physical_Education_1!G344+Physical_Education_1!G360+Physics_1!G344+Physics_1!G360+Religious_Education_1!G344+Religious_Education_1!G360</f>
        <v>32219.110018611718</v>
      </c>
      <c r="M558" s="681">
        <f>'Art_&amp;_Design_1'!H344+'Art_&amp;_Design_1'!H360+Biology_1!H344+Biology_1!H360+Business_Studies_1!H344+Business_Studies_1!H360+Chemistry_1!H344+Chemistry_1!H360+Classics_1!H344+Classics_1!H360+Computing_1!H344+Computing_1!H360+'Design_&amp;_Technology_1'!H344+'Design_&amp;_Technology_1'!H360+Drama_1!H344+Drama_1!H360+English_1!H344+English_1!H360+Food_1!H344+Food_1!H360+Geography_1!H344+Geography_1!H360+History_1!H344+History_1!H360+Mathematics_1!H344+Mathematics_1!H360+Modern_Foreign_Languages_1!H344+Modern_Foreign_Languages_1!H360+Music_1!H344+Music_1!H360+Others_1!H344+Others_1!H360+Physical_Education_1!H344+Physical_Education_1!H360+Physics_1!H344+Physics_1!H360+Religious_Education_1!H344+Religious_Education_1!H360</f>
        <v>32286.869600011345</v>
      </c>
      <c r="N558" s="681">
        <f>'Art_&amp;_Design_1'!I344+'Art_&amp;_Design_1'!I360+Biology_1!I344+Biology_1!I360+Business_Studies_1!I344+Business_Studies_1!I360+Chemistry_1!I344+Chemistry_1!I360+Classics_1!I344+Classics_1!I360+Computing_1!I344+Computing_1!I360+'Design_&amp;_Technology_1'!I344+'Design_&amp;_Technology_1'!I360+Drama_1!I344+Drama_1!I360+English_1!I344+English_1!I360+Food_1!I344+Food_1!I360+Geography_1!I344+Geography_1!I360+History_1!I344+History_1!I360+Mathematics_1!I344+Mathematics_1!I360+Modern_Foreign_Languages_1!I344+Modern_Foreign_Languages_1!I360+Music_1!I344+Music_1!I360+Others_1!I344+Others_1!I360+Physical_Education_1!I344+Physical_Education_1!I360+Physics_1!I344+Physics_1!I360+Religious_Education_1!I344+Religious_Education_1!I360</f>
        <v>32378.868143968732</v>
      </c>
      <c r="O558" s="681">
        <f>'Art_&amp;_Design_1'!J344+'Art_&amp;_Design_1'!J360+Biology_1!J344+Biology_1!J360+Business_Studies_1!J344+Business_Studies_1!J360+Chemistry_1!J344+Chemistry_1!J360+Classics_1!J344+Classics_1!J360+Computing_1!J344+Computing_1!J360+'Design_&amp;_Technology_1'!J344+'Design_&amp;_Technology_1'!J360+Drama_1!J344+Drama_1!J360+English_1!J344+English_1!J360+Food_1!J344+Food_1!J360+Geography_1!J344+Geography_1!J360+History_1!J344+History_1!J360+Mathematics_1!J344+Mathematics_1!J360+Modern_Foreign_Languages_1!J344+Modern_Foreign_Languages_1!J360+Music_1!J344+Music_1!J360+Others_1!J344+Others_1!J360+Physical_Education_1!J344+Physical_Education_1!J360+Physics_1!J344+Physics_1!J360+Religious_Education_1!J344+Religious_Education_1!J360</f>
        <v>32388.152628692489</v>
      </c>
      <c r="P558" s="681">
        <f>'Art_&amp;_Design_1'!K344+'Art_&amp;_Design_1'!K360+Biology_1!K344+Biology_1!K360+Business_Studies_1!K344+Business_Studies_1!K360+Chemistry_1!K344+Chemistry_1!K360+Classics_1!K344+Classics_1!K360+Computing_1!K344+Computing_1!K360+'Design_&amp;_Technology_1'!K344+'Design_&amp;_Technology_1'!K360+Drama_1!K344+Drama_1!K360+English_1!K344+English_1!K360+Food_1!K344+Food_1!K360+Geography_1!K344+Geography_1!K360+History_1!K344+History_1!K360+Mathematics_1!K344+Mathematics_1!K360+Modern_Foreign_Languages_1!K344+Modern_Foreign_Languages_1!K360+Music_1!K344+Music_1!K360+Others_1!K344+Others_1!K360+Physical_Education_1!K344+Physical_Education_1!K360+Physics_1!K344+Physics_1!K360+Religious_Education_1!K344+Religious_Education_1!K360</f>
        <v>32326.591673097595</v>
      </c>
      <c r="Q558" s="681">
        <f>'Art_&amp;_Design_1'!L344+'Art_&amp;_Design_1'!L360+Biology_1!L344+Biology_1!L360+Business_Studies_1!L344+Business_Studies_1!L360+Chemistry_1!L344+Chemistry_1!L360+Classics_1!L344+Classics_1!L360+Computing_1!L344+Computing_1!L360+'Design_&amp;_Technology_1'!L344+'Design_&amp;_Technology_1'!L360+Drama_1!L344+Drama_1!L360+English_1!L344+English_1!L360+Food_1!L344+Food_1!L360+Geography_1!L344+Geography_1!L360+History_1!L344+History_1!L360+Mathematics_1!L344+Mathematics_1!L360+Modern_Foreign_Languages_1!L344+Modern_Foreign_Languages_1!L360+Music_1!L344+Music_1!L360+Others_1!L344+Others_1!L360+Physical_Education_1!L344+Physical_Education_1!L360+Physics_1!L344+Physics_1!L360+Religious_Education_1!L344+Religious_Education_1!L360</f>
        <v>32222.585448228645</v>
      </c>
      <c r="R558" s="681">
        <f>'Art_&amp;_Design_1'!M344+'Art_&amp;_Design_1'!M360+Biology_1!M344+Biology_1!M360+Business_Studies_1!M344+Business_Studies_1!M360+Chemistry_1!M344+Chemistry_1!M360+Classics_1!M344+Classics_1!M360+Computing_1!M344+Computing_1!M360+'Design_&amp;_Technology_1'!M344+'Design_&amp;_Technology_1'!M360+Drama_1!M344+Drama_1!M360+English_1!M344+English_1!M360+Food_1!M344+Food_1!M360+Geography_1!M344+Geography_1!M360+History_1!M344+History_1!M360+Mathematics_1!M344+Mathematics_1!M360+Modern_Foreign_Languages_1!M344+Modern_Foreign_Languages_1!M360+Music_1!M344+Music_1!M360+Others_1!M344+Others_1!M360+Physical_Education_1!M344+Physical_Education_1!M360+Physics_1!M344+Physics_1!M360+Religious_Education_1!M344+Religious_Education_1!M360</f>
        <v>32126.17938764421</v>
      </c>
      <c r="S558" s="681">
        <f>'Art_&amp;_Design_1'!N344+'Art_&amp;_Design_1'!N360+Biology_1!N344+Biology_1!N360+Business_Studies_1!N344+Business_Studies_1!N360+Chemistry_1!N344+Chemistry_1!N360+Classics_1!N344+Classics_1!N360+Computing_1!N344+Computing_1!N360+'Design_&amp;_Technology_1'!N344+'Design_&amp;_Technology_1'!N360+Drama_1!N344+Drama_1!N360+English_1!N344+English_1!N360+Food_1!N344+Food_1!N360+Geography_1!N344+Geography_1!N360+History_1!N344+History_1!N360+Mathematics_1!N344+Mathematics_1!N360+Modern_Foreign_Languages_1!N344+Modern_Foreign_Languages_1!N360+Music_1!N344+Music_1!N360+Others_1!N344+Others_1!N360+Physical_Education_1!N344+Physical_Education_1!N360+Physics_1!N344+Physics_1!N360+Religious_Education_1!N344+Religious_Education_1!N360</f>
        <v>32034.460509839715</v>
      </c>
      <c r="T558" s="681"/>
    </row>
    <row r="559" spans="4:20">
      <c r="H559" s="681">
        <f>'Art_&amp;_Design_1'!C345+'Art_&amp;_Design_1'!C361+Biology_1!C345+Biology_1!C361+Business_Studies_1!C345+Business_Studies_1!C361+Chemistry_1!C345+Chemistry_1!C361+Classics_1!C345+Classics_1!C361+Computing_1!C345+Computing_1!C361+'Design_&amp;_Technology_1'!C345+'Design_&amp;_Technology_1'!C361+Drama_1!C345+Drama_1!C361+English_1!C345+English_1!C361+Food_1!C345+Food_1!C361+Geography_1!C345+Geography_1!C361+History_1!C345+History_1!C361+Mathematics_1!C345+Mathematics_1!C361+Modern_Foreign_Languages_1!C345+Modern_Foreign_Languages_1!C361+Music_1!C345+Music_1!C361+Others_1!C345+Others_1!C361+Physical_Education_1!C345+Physical_Education_1!C361+Physics_1!C345+Physics_1!C361+Religious_Education_1!C345+Religious_Education_1!C361</f>
        <v>25515.435744499766</v>
      </c>
      <c r="I559" s="681">
        <f>'Art_&amp;_Design_1'!D345+'Art_&amp;_Design_1'!D361+Biology_1!D345+Biology_1!D361+Business_Studies_1!D345+Business_Studies_1!D361+Chemistry_1!D345+Chemistry_1!D361+Classics_1!D345+Classics_1!D361+Computing_1!D345+Computing_1!D361+'Design_&amp;_Technology_1'!D345+'Design_&amp;_Technology_1'!D361+Drama_1!D345+Drama_1!D361+English_1!D345+English_1!D361+Food_1!D345+Food_1!D361+Geography_1!D345+Geography_1!D361+History_1!D345+History_1!D361+Mathematics_1!D345+Mathematics_1!D361+Modern_Foreign_Languages_1!D345+Modern_Foreign_Languages_1!D361+Music_1!D345+Music_1!D361+Others_1!D345+Others_1!D361+Physical_Education_1!D345+Physical_Education_1!D361+Physics_1!D345+Physics_1!D361+Religious_Education_1!D345+Religious_Education_1!D361</f>
        <v>25946.493917735828</v>
      </c>
      <c r="J559" s="681">
        <f>'Art_&amp;_Design_1'!E345+'Art_&amp;_Design_1'!E361+Biology_1!E345+Biology_1!E361+Business_Studies_1!E345+Business_Studies_1!E361+Chemistry_1!E345+Chemistry_1!E361+Classics_1!E345+Classics_1!E361+Computing_1!E345+Computing_1!E361+'Design_&amp;_Technology_1'!E345+'Design_&amp;_Technology_1'!E361+Drama_1!E345+Drama_1!E361+English_1!E345+English_1!E361+Food_1!E345+Food_1!E361+Geography_1!E345+Geography_1!E361+History_1!E345+History_1!E361+Mathematics_1!E345+Mathematics_1!E361+Modern_Foreign_Languages_1!E345+Modern_Foreign_Languages_1!E361+Music_1!E345+Music_1!E361+Others_1!E345+Others_1!E361+Physical_Education_1!E345+Physical_Education_1!E361+Physics_1!E345+Physics_1!E361+Religious_Education_1!E345+Religious_Education_1!E361</f>
        <v>26346.287547117066</v>
      </c>
      <c r="K559" s="681">
        <f>'Art_&amp;_Design_1'!F345+'Art_&amp;_Design_1'!F361+Biology_1!F345+Biology_1!F361+Business_Studies_1!F345+Business_Studies_1!F361+Chemistry_1!F345+Chemistry_1!F361+Classics_1!F345+Classics_1!F361+Computing_1!F345+Computing_1!F361+'Design_&amp;_Technology_1'!F345+'Design_&amp;_Technology_1'!F361+Drama_1!F345+Drama_1!F361+English_1!F345+English_1!F361+Food_1!F345+Food_1!F361+Geography_1!F345+Geography_1!F361+History_1!F345+History_1!F361+Mathematics_1!F345+Mathematics_1!F361+Modern_Foreign_Languages_1!F345+Modern_Foreign_Languages_1!F361+Music_1!F345+Music_1!F361+Others_1!F345+Others_1!F361+Physical_Education_1!F345+Physical_Education_1!F361+Physics_1!F345+Physics_1!F361+Religious_Education_1!F345+Religious_Education_1!F361</f>
        <v>26686.772083018084</v>
      </c>
      <c r="L559" s="681">
        <f>'Art_&amp;_Design_1'!G345+'Art_&amp;_Design_1'!G361+Biology_1!G345+Biology_1!G361+Business_Studies_1!G345+Business_Studies_1!G361+Chemistry_1!G345+Chemistry_1!G361+Classics_1!G345+Classics_1!G361+Computing_1!G345+Computing_1!G361+'Design_&amp;_Technology_1'!G345+'Design_&amp;_Technology_1'!G361+Drama_1!G345+Drama_1!G361+English_1!G345+English_1!G361+Food_1!G345+Food_1!G361+Geography_1!G345+Geography_1!G361+History_1!G345+History_1!G361+Mathematics_1!G345+Mathematics_1!G361+Modern_Foreign_Languages_1!G345+Modern_Foreign_Languages_1!G361+Music_1!G345+Music_1!G361+Others_1!G345+Others_1!G361+Physical_Education_1!G345+Physical_Education_1!G361+Physics_1!G345+Physics_1!G361+Religious_Education_1!G345+Religious_Education_1!G361</f>
        <v>26987.16466969344</v>
      </c>
      <c r="M559" s="681">
        <f>'Art_&amp;_Design_1'!H345+'Art_&amp;_Design_1'!H361+Biology_1!H345+Biology_1!H361+Business_Studies_1!H345+Business_Studies_1!H361+Chemistry_1!H345+Chemistry_1!H361+Classics_1!H345+Classics_1!H361+Computing_1!H345+Computing_1!H361+'Design_&amp;_Technology_1'!H345+'Design_&amp;_Technology_1'!H361+Drama_1!H345+Drama_1!H361+English_1!H345+English_1!H361+Food_1!H345+Food_1!H361+Geography_1!H345+Geography_1!H361+History_1!H345+History_1!H361+Mathematics_1!H345+Mathematics_1!H361+Modern_Foreign_Languages_1!H345+Modern_Foreign_Languages_1!H361+Music_1!H345+Music_1!H361+Others_1!H345+Others_1!H361+Physical_Education_1!H345+Physical_Education_1!H361+Physics_1!H345+Physics_1!H361+Religious_Education_1!H345+Religious_Education_1!H361</f>
        <v>27245.072247794462</v>
      </c>
      <c r="N559" s="681">
        <f>'Art_&amp;_Design_1'!I345+'Art_&amp;_Design_1'!I361+Biology_1!I345+Biology_1!I361+Business_Studies_1!I345+Business_Studies_1!I361+Chemistry_1!I345+Chemistry_1!I361+Classics_1!I345+Classics_1!I361+Computing_1!I345+Computing_1!I361+'Design_&amp;_Technology_1'!I345+'Design_&amp;_Technology_1'!I361+Drama_1!I345+Drama_1!I361+English_1!I345+English_1!I361+Food_1!I345+Food_1!I361+Geography_1!I345+Geography_1!I361+History_1!I345+History_1!I361+Mathematics_1!I345+Mathematics_1!I361+Modern_Foreign_Languages_1!I345+Modern_Foreign_Languages_1!I361+Music_1!I345+Music_1!I361+Others_1!I345+Others_1!I361+Physical_Education_1!I345+Physical_Education_1!I361+Physics_1!I345+Physics_1!I361+Religious_Education_1!I345+Religious_Education_1!I361</f>
        <v>27498.125881329041</v>
      </c>
      <c r="O559" s="681">
        <f>'Art_&amp;_Design_1'!J345+'Art_&amp;_Design_1'!J361+Biology_1!J345+Biology_1!J361+Business_Studies_1!J345+Business_Studies_1!J361+Chemistry_1!J345+Chemistry_1!J361+Classics_1!J345+Classics_1!J361+Computing_1!J345+Computing_1!J361+'Design_&amp;_Technology_1'!J345+'Design_&amp;_Technology_1'!J361+Drama_1!J345+Drama_1!J361+English_1!J345+English_1!J361+Food_1!J345+Food_1!J361+Geography_1!J345+Geography_1!J361+History_1!J345+History_1!J361+Mathematics_1!J345+Mathematics_1!J361+Modern_Foreign_Languages_1!J345+Modern_Foreign_Languages_1!J361+Music_1!J345+Music_1!J361+Others_1!J345+Others_1!J361+Physical_Education_1!J345+Physical_Education_1!J361+Physics_1!J345+Physics_1!J361+Religious_Education_1!J345+Religious_Education_1!J361</f>
        <v>27650.214092165959</v>
      </c>
      <c r="P559" s="681">
        <f>'Art_&amp;_Design_1'!K345+'Art_&amp;_Design_1'!K361+Biology_1!K345+Biology_1!K361+Business_Studies_1!K345+Business_Studies_1!K361+Chemistry_1!K345+Chemistry_1!K361+Classics_1!K345+Classics_1!K361+Computing_1!K345+Computing_1!K361+'Design_&amp;_Technology_1'!K345+'Design_&amp;_Technology_1'!K361+Drama_1!K345+Drama_1!K361+English_1!K345+English_1!K361+Food_1!K345+Food_1!K361+Geography_1!K345+Geography_1!K361+History_1!K345+History_1!K361+Mathematics_1!K345+Mathematics_1!K361+Modern_Foreign_Languages_1!K345+Modern_Foreign_Languages_1!K361+Music_1!K345+Music_1!K361+Others_1!K345+Others_1!K361+Physical_Education_1!K345+Physical_Education_1!K361+Physics_1!K345+Physics_1!K361+Religious_Education_1!K345+Religious_Education_1!K361</f>
        <v>27706.691873862841</v>
      </c>
      <c r="Q559" s="681">
        <f>'Art_&amp;_Design_1'!L345+'Art_&amp;_Design_1'!L361+Biology_1!L345+Biology_1!L361+Business_Studies_1!L345+Business_Studies_1!L361+Chemistry_1!L345+Chemistry_1!L361+Classics_1!L345+Classics_1!L361+Computing_1!L345+Computing_1!L361+'Design_&amp;_Technology_1'!L345+'Design_&amp;_Technology_1'!L361+Drama_1!L345+Drama_1!L361+English_1!L345+English_1!L361+Food_1!L345+Food_1!L361+Geography_1!L345+Geography_1!L361+History_1!L345+History_1!L361+Mathematics_1!L345+Mathematics_1!L361+Modern_Foreign_Languages_1!L345+Modern_Foreign_Languages_1!L361+Music_1!L345+Music_1!L361+Others_1!L345+Others_1!L361+Physical_Education_1!L345+Physical_Education_1!L361+Physics_1!L345+Physics_1!L361+Religious_Education_1!L345+Religious_Education_1!L361</f>
        <v>27691.499860883039</v>
      </c>
      <c r="R559" s="681">
        <f>'Art_&amp;_Design_1'!M345+'Art_&amp;_Design_1'!M361+Biology_1!M345+Biology_1!M361+Business_Studies_1!M345+Business_Studies_1!M361+Chemistry_1!M345+Chemistry_1!M361+Classics_1!M345+Classics_1!M361+Computing_1!M345+Computing_1!M361+'Design_&amp;_Technology_1'!M345+'Design_&amp;_Technology_1'!M361+Drama_1!M345+Drama_1!M361+English_1!M345+English_1!M361+Food_1!M345+Food_1!M361+Geography_1!M345+Geography_1!M361+History_1!M345+History_1!M361+Mathematics_1!M345+Mathematics_1!M361+Modern_Foreign_Languages_1!M345+Modern_Foreign_Languages_1!M361+Music_1!M345+Music_1!M361+Others_1!M345+Others_1!M361+Physical_Education_1!M345+Physical_Education_1!M361+Physics_1!M345+Physics_1!M361+Religious_Education_1!M345+Religious_Education_1!M361</f>
        <v>27650.139766907603</v>
      </c>
      <c r="S559" s="681">
        <f>'Art_&amp;_Design_1'!N345+'Art_&amp;_Design_1'!N361+Biology_1!N345+Biology_1!N361+Business_Studies_1!N345+Business_Studies_1!N361+Chemistry_1!N345+Chemistry_1!N361+Classics_1!N345+Classics_1!N361+Computing_1!N345+Computing_1!N361+'Design_&amp;_Technology_1'!N345+'Design_&amp;_Technology_1'!N361+Drama_1!N345+Drama_1!N361+English_1!N345+English_1!N361+Food_1!N345+Food_1!N361+Geography_1!N345+Geography_1!N361+History_1!N345+History_1!N361+Mathematics_1!N345+Mathematics_1!N361+Modern_Foreign_Languages_1!N345+Modern_Foreign_Languages_1!N361+Music_1!N345+Music_1!N361+Others_1!N345+Others_1!N361+Physical_Education_1!N345+Physical_Education_1!N361+Physics_1!N345+Physics_1!N361+Religious_Education_1!N345+Religious_Education_1!N361</f>
        <v>27587.853410106483</v>
      </c>
      <c r="T559" s="681"/>
    </row>
    <row r="560" spans="4:20">
      <c r="H560" s="681">
        <f>'Art_&amp;_Design_1'!C346+'Art_&amp;_Design_1'!C362+Biology_1!C346+Biology_1!C362+Business_Studies_1!C346+Business_Studies_1!C362+Chemistry_1!C346+Chemistry_1!C362+Classics_1!C346+Classics_1!C362+Computing_1!C346+Computing_1!C362+'Design_&amp;_Technology_1'!C346+'Design_&amp;_Technology_1'!C362+Drama_1!C346+Drama_1!C362+English_1!C346+English_1!C362+Food_1!C346+Food_1!C362+Geography_1!C346+Geography_1!C362+History_1!C346+History_1!C362+Mathematics_1!C346+Mathematics_1!C362+Modern_Foreign_Languages_1!C346+Modern_Foreign_Languages_1!C362+Music_1!C346+Music_1!C362+Others_1!C346+Others_1!C362+Physical_Education_1!C346+Physical_Education_1!C362+Physics_1!C346+Physics_1!C362+Religious_Education_1!C346+Religious_Education_1!C362</f>
        <v>19633.549009802704</v>
      </c>
      <c r="I560" s="681">
        <f>'Art_&amp;_Design_1'!D346+'Art_&amp;_Design_1'!D362+Biology_1!D346+Biology_1!D362+Business_Studies_1!D346+Business_Studies_1!D362+Chemistry_1!D346+Chemistry_1!D362+Classics_1!D346+Classics_1!D362+Computing_1!D346+Computing_1!D362+'Design_&amp;_Technology_1'!D346+'Design_&amp;_Technology_1'!D362+Drama_1!D346+Drama_1!D362+English_1!D346+English_1!D362+Food_1!D346+Food_1!D362+Geography_1!D346+Geography_1!D362+History_1!D346+History_1!D362+Mathematics_1!D346+Mathematics_1!D362+Modern_Foreign_Languages_1!D346+Modern_Foreign_Languages_1!D362+Music_1!D346+Music_1!D362+Others_1!D346+Others_1!D362+Physical_Education_1!D346+Physical_Education_1!D362+Physics_1!D346+Physics_1!D362+Religious_Education_1!D346+Religious_Education_1!D362</f>
        <v>19701.835600895232</v>
      </c>
      <c r="J560" s="681">
        <f>'Art_&amp;_Design_1'!E346+'Art_&amp;_Design_1'!E362+Biology_1!E346+Biology_1!E362+Business_Studies_1!E346+Business_Studies_1!E362+Chemistry_1!E346+Chemistry_1!E362+Classics_1!E346+Classics_1!E362+Computing_1!E346+Computing_1!E362+'Design_&amp;_Technology_1'!E346+'Design_&amp;_Technology_1'!E362+Drama_1!E346+Drama_1!E362+English_1!E346+English_1!E362+Food_1!E346+Food_1!E362+Geography_1!E346+Geography_1!E362+History_1!E346+History_1!E362+Mathematics_1!E346+Mathematics_1!E362+Modern_Foreign_Languages_1!E346+Modern_Foreign_Languages_1!E362+Music_1!E346+Music_1!E362+Others_1!E346+Others_1!E362+Physical_Education_1!E346+Physical_Education_1!E362+Physics_1!E346+Physics_1!E362+Religious_Education_1!E346+Religious_Education_1!E362</f>
        <v>19826.067220245095</v>
      </c>
      <c r="K560" s="681">
        <f>'Art_&amp;_Design_1'!F346+'Art_&amp;_Design_1'!F362+Biology_1!F346+Biology_1!F362+Business_Studies_1!F346+Business_Studies_1!F362+Chemistry_1!F346+Chemistry_1!F362+Classics_1!F346+Classics_1!F362+Computing_1!F346+Computing_1!F362+'Design_&amp;_Technology_1'!F346+'Design_&amp;_Technology_1'!F362+Drama_1!F346+Drama_1!F362+English_1!F346+English_1!F362+Food_1!F346+Food_1!F362+Geography_1!F346+Geography_1!F362+History_1!F346+History_1!F362+Mathematics_1!F346+Mathematics_1!F362+Modern_Foreign_Languages_1!F346+Modern_Foreign_Languages_1!F362+Music_1!F346+Music_1!F362+Others_1!F346+Others_1!F362+Physical_Education_1!F346+Physical_Education_1!F362+Physics_1!F346+Physics_1!F362+Religious_Education_1!F346+Religious_Education_1!F362</f>
        <v>19978.960200466277</v>
      </c>
      <c r="L560" s="681">
        <f>'Art_&amp;_Design_1'!G346+'Art_&amp;_Design_1'!G362+Biology_1!G346+Biology_1!G362+Business_Studies_1!G346+Business_Studies_1!G362+Chemistry_1!G346+Chemistry_1!G362+Classics_1!G346+Classics_1!G362+Computing_1!G346+Computing_1!G362+'Design_&amp;_Technology_1'!G346+'Design_&amp;_Technology_1'!G362+Drama_1!G346+Drama_1!G362+English_1!G346+English_1!G362+Food_1!G346+Food_1!G362+Geography_1!G346+Geography_1!G362+History_1!G346+History_1!G362+Mathematics_1!G346+Mathematics_1!G362+Modern_Foreign_Languages_1!G346+Modern_Foreign_Languages_1!G362+Music_1!G346+Music_1!G362+Others_1!G346+Others_1!G362+Physical_Education_1!G346+Physical_Education_1!G362+Physics_1!G346+Physics_1!G362+Religious_Education_1!G346+Religious_Education_1!G362</f>
        <v>20163.289953798838</v>
      </c>
      <c r="M560" s="681">
        <f>'Art_&amp;_Design_1'!H346+'Art_&amp;_Design_1'!H362+Biology_1!H346+Biology_1!H362+Business_Studies_1!H346+Business_Studies_1!H362+Chemistry_1!H346+Chemistry_1!H362+Classics_1!H346+Classics_1!H362+Computing_1!H346+Computing_1!H362+'Design_&amp;_Technology_1'!H346+'Design_&amp;_Technology_1'!H362+Drama_1!H346+Drama_1!H362+English_1!H346+English_1!H362+Food_1!H346+Food_1!H362+Geography_1!H346+Geography_1!H362+History_1!H346+History_1!H362+Mathematics_1!H346+Mathematics_1!H362+Modern_Foreign_Languages_1!H346+Modern_Foreign_Languages_1!H362+Music_1!H346+Music_1!H362+Others_1!H346+Others_1!H362+Physical_Education_1!H346+Physical_Education_1!H362+Physics_1!H346+Physics_1!H362+Religious_Education_1!H346+Religious_Education_1!H362</f>
        <v>20362.61857303304</v>
      </c>
      <c r="N560" s="681">
        <f>'Art_&amp;_Design_1'!I346+'Art_&amp;_Design_1'!I362+Biology_1!I346+Biology_1!I362+Business_Studies_1!I346+Business_Studies_1!I362+Chemistry_1!I346+Chemistry_1!I362+Classics_1!I346+Classics_1!I362+Computing_1!I346+Computing_1!I362+'Design_&amp;_Technology_1'!I346+'Design_&amp;_Technology_1'!I362+Drama_1!I346+Drama_1!I362+English_1!I346+English_1!I362+Food_1!I346+Food_1!I362+Geography_1!I346+Geography_1!I362+History_1!I346+History_1!I362+Mathematics_1!I346+Mathematics_1!I362+Modern_Foreign_Languages_1!I346+Modern_Foreign_Languages_1!I362+Music_1!I346+Music_1!I362+Others_1!I346+Others_1!I362+Physical_Education_1!I346+Physical_Education_1!I362+Physics_1!I346+Physics_1!I362+Religious_Education_1!I346+Religious_Education_1!I362</f>
        <v>20590.115684929529</v>
      </c>
      <c r="O560" s="681">
        <f>'Art_&amp;_Design_1'!J346+'Art_&amp;_Design_1'!J362+Biology_1!J346+Biology_1!J362+Business_Studies_1!J346+Business_Studies_1!J362+Chemistry_1!J346+Chemistry_1!J362+Classics_1!J346+Classics_1!J362+Computing_1!J346+Computing_1!J362+'Design_&amp;_Technology_1'!J346+'Design_&amp;_Technology_1'!J362+Drama_1!J346+Drama_1!J362+English_1!J346+English_1!J362+Food_1!J346+Food_1!J362+Geography_1!J346+Geography_1!J362+History_1!J346+History_1!J362+Mathematics_1!J346+Mathematics_1!J362+Modern_Foreign_Languages_1!J346+Modern_Foreign_Languages_1!J362+Music_1!J346+Music_1!J362+Others_1!J346+Others_1!J362+Physical_Education_1!J346+Physical_Education_1!J362+Physics_1!J346+Physics_1!J362+Religious_Education_1!J346+Religious_Education_1!J362</f>
        <v>20761.037934020533</v>
      </c>
      <c r="P560" s="681">
        <f>'Art_&amp;_Design_1'!K346+'Art_&amp;_Design_1'!K362+Biology_1!K346+Biology_1!K362+Business_Studies_1!K346+Business_Studies_1!K362+Chemistry_1!K346+Chemistry_1!K362+Classics_1!K346+Classics_1!K362+Computing_1!K346+Computing_1!K362+'Design_&amp;_Technology_1'!K346+'Design_&amp;_Technology_1'!K362+Drama_1!K346+Drama_1!K362+English_1!K346+English_1!K362+Food_1!K346+Food_1!K362+Geography_1!K346+Geography_1!K362+History_1!K346+History_1!K362+Mathematics_1!K346+Mathematics_1!K362+Modern_Foreign_Languages_1!K346+Modern_Foreign_Languages_1!K362+Music_1!K346+Music_1!K362+Others_1!K346+Others_1!K362+Physical_Education_1!K346+Physical_Education_1!K362+Physics_1!K346+Physics_1!K362+Religious_Education_1!K346+Religious_Education_1!K362</f>
        <v>20868.349148466252</v>
      </c>
      <c r="Q560" s="681">
        <f>'Art_&amp;_Design_1'!L346+'Art_&amp;_Design_1'!L362+Biology_1!L346+Biology_1!L362+Business_Studies_1!L346+Business_Studies_1!L362+Chemistry_1!L346+Chemistry_1!L362+Classics_1!L346+Classics_1!L362+Computing_1!L346+Computing_1!L362+'Design_&amp;_Technology_1'!L346+'Design_&amp;_Technology_1'!L362+Drama_1!L346+Drama_1!L362+English_1!L346+English_1!L362+Food_1!L346+Food_1!L362+Geography_1!L346+Geography_1!L362+History_1!L346+History_1!L362+Mathematics_1!L346+Mathematics_1!L362+Modern_Foreign_Languages_1!L346+Modern_Foreign_Languages_1!L362+Music_1!L346+Music_1!L362+Others_1!L346+Others_1!L362+Physical_Education_1!L346+Physical_Education_1!L362+Physics_1!L346+Physics_1!L362+Religious_Education_1!L346+Religious_Education_1!L362</f>
        <v>20921.462166582052</v>
      </c>
      <c r="R560" s="681">
        <f>'Art_&amp;_Design_1'!M346+'Art_&amp;_Design_1'!M362+Biology_1!M346+Biology_1!M362+Business_Studies_1!M346+Business_Studies_1!M362+Chemistry_1!M346+Chemistry_1!M362+Classics_1!M346+Classics_1!M362+Computing_1!M346+Computing_1!M362+'Design_&amp;_Technology_1'!M346+'Design_&amp;_Technology_1'!M362+Drama_1!M346+Drama_1!M362+English_1!M346+English_1!M362+Food_1!M346+Food_1!M362+Geography_1!M346+Geography_1!M362+History_1!M346+History_1!M362+Mathematics_1!M346+Mathematics_1!M362+Modern_Foreign_Languages_1!M346+Modern_Foreign_Languages_1!M362+Music_1!M346+Music_1!M362+Others_1!M346+Others_1!M362+Physical_Education_1!M346+Physical_Education_1!M362+Physics_1!M346+Physics_1!M362+Religious_Education_1!M346+Religious_Education_1!M362</f>
        <v>20948.315463480794</v>
      </c>
      <c r="S560" s="681">
        <f>'Art_&amp;_Design_1'!N346+'Art_&amp;_Design_1'!N362+Biology_1!N346+Biology_1!N362+Business_Studies_1!N346+Business_Studies_1!N362+Chemistry_1!N346+Chemistry_1!N362+Classics_1!N346+Classics_1!N362+Computing_1!N346+Computing_1!N362+'Design_&amp;_Technology_1'!N346+'Design_&amp;_Technology_1'!N362+Drama_1!N346+Drama_1!N362+English_1!N346+English_1!N362+Food_1!N346+Food_1!N362+Geography_1!N346+Geography_1!N362+History_1!N346+History_1!N362+Mathematics_1!N346+Mathematics_1!N362+Modern_Foreign_Languages_1!N346+Modern_Foreign_Languages_1!N362+Music_1!N346+Music_1!N362+Others_1!N346+Others_1!N362+Physical_Education_1!N346+Physical_Education_1!N362+Physics_1!N346+Physics_1!N362+Religious_Education_1!N346+Religious_Education_1!N362</f>
        <v>20949.457591497692</v>
      </c>
      <c r="T560" s="681"/>
    </row>
    <row r="561" spans="2:21">
      <c r="H561" s="681">
        <f>'Art_&amp;_Design_1'!C347+'Art_&amp;_Design_1'!C363+Biology_1!C347+Biology_1!C363+Business_Studies_1!C347+Business_Studies_1!C363+Chemistry_1!C347+Chemistry_1!C363+Classics_1!C347+Classics_1!C363+Computing_1!C347+Computing_1!C363+'Design_&amp;_Technology_1'!C347+'Design_&amp;_Technology_1'!C363+Drama_1!C347+Drama_1!C363+English_1!C347+English_1!C363+Food_1!C347+Food_1!C363+Geography_1!C347+Geography_1!C363+History_1!C347+History_1!C363+Mathematics_1!C347+Mathematics_1!C363+Modern_Foreign_Languages_1!C347+Modern_Foreign_Languages_1!C363+Music_1!C347+Music_1!C363+Others_1!C347+Others_1!C363+Physical_Education_1!C347+Physical_Education_1!C363+Physics_1!C347+Physics_1!C363+Religious_Education_1!C347+Religious_Education_1!C363</f>
        <v>11539.781729257291</v>
      </c>
      <c r="I561" s="681">
        <f>'Art_&amp;_Design_1'!D347+'Art_&amp;_Design_1'!D363+Biology_1!D347+Biology_1!D363+Business_Studies_1!D347+Business_Studies_1!D363+Chemistry_1!D347+Chemistry_1!D363+Classics_1!D347+Classics_1!D363+Computing_1!D347+Computing_1!D363+'Design_&amp;_Technology_1'!D347+'Design_&amp;_Technology_1'!D363+Drama_1!D347+Drama_1!D363+English_1!D347+English_1!D363+Food_1!D347+Food_1!D363+Geography_1!D347+Geography_1!D363+History_1!D347+History_1!D363+Mathematics_1!D347+Mathematics_1!D363+Modern_Foreign_Languages_1!D347+Modern_Foreign_Languages_1!D363+Music_1!D347+Music_1!D363+Others_1!D347+Others_1!D363+Physical_Education_1!D347+Physical_Education_1!D363+Physics_1!D347+Physics_1!D363+Religious_Education_1!D347+Religious_Education_1!D363</f>
        <v>10750.34535631365</v>
      </c>
      <c r="J561" s="681">
        <f>'Art_&amp;_Design_1'!E347+'Art_&amp;_Design_1'!E363+Biology_1!E347+Biology_1!E363+Business_Studies_1!E347+Business_Studies_1!E363+Chemistry_1!E347+Chemistry_1!E363+Classics_1!E347+Classics_1!E363+Computing_1!E347+Computing_1!E363+'Design_&amp;_Technology_1'!E347+'Design_&amp;_Technology_1'!E363+Drama_1!E347+Drama_1!E363+English_1!E347+English_1!E363+Food_1!E347+Food_1!E363+Geography_1!E347+Geography_1!E363+History_1!E347+History_1!E363+Mathematics_1!E347+Mathematics_1!E363+Modern_Foreign_Languages_1!E347+Modern_Foreign_Languages_1!E363+Music_1!E347+Music_1!E363+Others_1!E347+Others_1!E363+Physical_Education_1!E347+Physical_Education_1!E363+Physics_1!E347+Physics_1!E363+Religious_Education_1!E347+Religious_Education_1!E363</f>
        <v>10294.747670986611</v>
      </c>
      <c r="K561" s="681">
        <f>'Art_&amp;_Design_1'!F347+'Art_&amp;_Design_1'!F363+Biology_1!F347+Biology_1!F363+Business_Studies_1!F347+Business_Studies_1!F363+Chemistry_1!F347+Chemistry_1!F363+Classics_1!F347+Classics_1!F363+Computing_1!F347+Computing_1!F363+'Design_&amp;_Technology_1'!F347+'Design_&amp;_Technology_1'!F363+Drama_1!F347+Drama_1!F363+English_1!F347+English_1!F363+Food_1!F347+Food_1!F363+Geography_1!F347+Geography_1!F363+History_1!F347+History_1!F363+Mathematics_1!F347+Mathematics_1!F363+Modern_Foreign_Languages_1!F347+Modern_Foreign_Languages_1!F363+Music_1!F347+Music_1!F363+Others_1!F347+Others_1!F363+Physical_Education_1!F347+Physical_Education_1!F363+Physics_1!F347+Physics_1!F363+Religious_Education_1!F347+Religious_Education_1!F363</f>
        <v>10035.956552441734</v>
      </c>
      <c r="L561" s="681">
        <f>'Art_&amp;_Design_1'!G347+'Art_&amp;_Design_1'!G363+Biology_1!G347+Biology_1!G363+Business_Studies_1!G347+Business_Studies_1!G363+Chemistry_1!G347+Chemistry_1!G363+Classics_1!G347+Classics_1!G363+Computing_1!G347+Computing_1!G363+'Design_&amp;_Technology_1'!G347+'Design_&amp;_Technology_1'!G363+Drama_1!G347+Drama_1!G363+English_1!G347+English_1!G363+Food_1!G347+Food_1!G363+Geography_1!G347+Geography_1!G363+History_1!G347+History_1!G363+Mathematics_1!G347+Mathematics_1!G363+Modern_Foreign_Languages_1!G347+Modern_Foreign_Languages_1!G363+Music_1!G347+Music_1!G363+Others_1!G347+Others_1!G363+Physical_Education_1!G347+Physical_Education_1!G363+Physics_1!G347+Physics_1!G363+Religious_Education_1!G347+Religious_Education_1!G363</f>
        <v>9913.5620812501402</v>
      </c>
      <c r="M561" s="681">
        <f>'Art_&amp;_Design_1'!H347+'Art_&amp;_Design_1'!H363+Biology_1!H347+Biology_1!H363+Business_Studies_1!H347+Business_Studies_1!H363+Chemistry_1!H347+Chemistry_1!H363+Classics_1!H347+Classics_1!H363+Computing_1!H347+Computing_1!H363+'Design_&amp;_Technology_1'!H347+'Design_&amp;_Technology_1'!H363+Drama_1!H347+Drama_1!H363+English_1!H347+English_1!H363+Food_1!H347+Food_1!H363+Geography_1!H347+Geography_1!H363+History_1!H347+History_1!H363+Mathematics_1!H347+Mathematics_1!H363+Modern_Foreign_Languages_1!H347+Modern_Foreign_Languages_1!H363+Music_1!H347+Music_1!H363+Others_1!H347+Others_1!H363+Physical_Education_1!H347+Physical_Education_1!H363+Physics_1!H347+Physics_1!H363+Religious_Education_1!H347+Religious_Education_1!H363</f>
        <v>9878.0648518084236</v>
      </c>
      <c r="N561" s="681">
        <f>'Art_&amp;_Design_1'!I347+'Art_&amp;_Design_1'!I363+Biology_1!I347+Biology_1!I363+Business_Studies_1!I347+Business_Studies_1!I363+Chemistry_1!I347+Chemistry_1!I363+Classics_1!I347+Classics_1!I363+Computing_1!I347+Computing_1!I363+'Design_&amp;_Technology_1'!I347+'Design_&amp;_Technology_1'!I363+Drama_1!I347+Drama_1!I363+English_1!I347+English_1!I363+Food_1!I347+Food_1!I363+Geography_1!I347+Geography_1!I363+History_1!I347+History_1!I363+Mathematics_1!I347+Mathematics_1!I363+Modern_Foreign_Languages_1!I347+Modern_Foreign_Languages_1!I363+Music_1!I347+Music_1!I363+Others_1!I347+Others_1!I363+Physical_Education_1!I347+Physical_Education_1!I363+Physics_1!I347+Physics_1!I363+Religious_Education_1!I347+Religious_Education_1!I363</f>
        <v>9913.4935918888768</v>
      </c>
      <c r="O561" s="681">
        <f>'Art_&amp;_Design_1'!J347+'Art_&amp;_Design_1'!J363+Biology_1!J347+Biology_1!J363+Business_Studies_1!J347+Business_Studies_1!J363+Chemistry_1!J347+Chemistry_1!J363+Classics_1!J347+Classics_1!J363+Computing_1!J347+Computing_1!J363+'Design_&amp;_Technology_1'!J347+'Design_&amp;_Technology_1'!J363+Drama_1!J347+Drama_1!J363+English_1!J347+English_1!J363+Food_1!J347+Food_1!J363+Geography_1!J347+Geography_1!J363+History_1!J347+History_1!J363+Mathematics_1!J347+Mathematics_1!J363+Modern_Foreign_Languages_1!J347+Modern_Foreign_Languages_1!J363+Music_1!J347+Music_1!J363+Others_1!J347+Others_1!J363+Physical_Education_1!J347+Physical_Education_1!J363+Physics_1!J347+Physics_1!J363+Religious_Education_1!J347+Religious_Education_1!J363</f>
        <v>9946.9118791682831</v>
      </c>
      <c r="P561" s="681">
        <f>'Art_&amp;_Design_1'!K347+'Art_&amp;_Design_1'!K363+Biology_1!K347+Biology_1!K363+Business_Studies_1!K347+Business_Studies_1!K363+Chemistry_1!K347+Chemistry_1!K363+Classics_1!K347+Classics_1!K363+Computing_1!K347+Computing_1!K363+'Design_&amp;_Technology_1'!K347+'Design_&amp;_Technology_1'!K363+Drama_1!K347+Drama_1!K363+English_1!K347+English_1!K363+Food_1!K347+Food_1!K363+Geography_1!K347+Geography_1!K363+History_1!K347+History_1!K363+Mathematics_1!K347+Mathematics_1!K363+Modern_Foreign_Languages_1!K347+Modern_Foreign_Languages_1!K363+Music_1!K347+Music_1!K363+Others_1!K347+Others_1!K363+Physical_Education_1!K347+Physical_Education_1!K363+Physics_1!K347+Physics_1!K363+Religious_Education_1!K347+Religious_Education_1!K363</f>
        <v>9966.8522611862882</v>
      </c>
      <c r="Q561" s="681">
        <f>'Art_&amp;_Design_1'!L347+'Art_&amp;_Design_1'!L363+Biology_1!L347+Biology_1!L363+Business_Studies_1!L347+Business_Studies_1!L363+Chemistry_1!L347+Chemistry_1!L363+Classics_1!L347+Classics_1!L363+Computing_1!L347+Computing_1!L363+'Design_&amp;_Technology_1'!L347+'Design_&amp;_Technology_1'!L363+Drama_1!L347+Drama_1!L363+English_1!L347+English_1!L363+Food_1!L347+Food_1!L363+Geography_1!L347+Geography_1!L363+History_1!L347+History_1!L363+Mathematics_1!L347+Mathematics_1!L363+Modern_Foreign_Languages_1!L347+Modern_Foreign_Languages_1!L363+Music_1!L347+Music_1!L363+Others_1!L347+Others_1!L363+Physical_Education_1!L347+Physical_Education_1!L363+Physics_1!L347+Physics_1!L363+Religious_Education_1!L347+Religious_Education_1!L363</f>
        <v>9974.0591327333823</v>
      </c>
      <c r="R561" s="681">
        <f>'Art_&amp;_Design_1'!M347+'Art_&amp;_Design_1'!M363+Biology_1!M347+Biology_1!M363+Business_Studies_1!M347+Business_Studies_1!M363+Chemistry_1!M347+Chemistry_1!M363+Classics_1!M347+Classics_1!M363+Computing_1!M347+Computing_1!M363+'Design_&amp;_Technology_1'!M347+'Design_&amp;_Technology_1'!M363+Drama_1!M347+Drama_1!M363+English_1!M347+English_1!M363+Food_1!M347+Food_1!M363+Geography_1!M347+Geography_1!M363+History_1!M347+History_1!M363+Mathematics_1!M347+Mathematics_1!M363+Modern_Foreign_Languages_1!M347+Modern_Foreign_Languages_1!M363+Music_1!M347+Music_1!M363+Others_1!M347+Others_1!M363+Physical_Education_1!M347+Physical_Education_1!M363+Physics_1!M347+Physics_1!M363+Religious_Education_1!M347+Religious_Education_1!M363</f>
        <v>9981.4403303398976</v>
      </c>
      <c r="S561" s="681">
        <f>'Art_&amp;_Design_1'!N347+'Art_&amp;_Design_1'!N363+Biology_1!N347+Biology_1!N363+Business_Studies_1!N347+Business_Studies_1!N363+Chemistry_1!N347+Chemistry_1!N363+Classics_1!N347+Classics_1!N363+Computing_1!N347+Computing_1!N363+'Design_&amp;_Technology_1'!N347+'Design_&amp;_Technology_1'!N363+Drama_1!N347+Drama_1!N363+English_1!N347+English_1!N363+Food_1!N347+Food_1!N363+Geography_1!N347+Geography_1!N363+History_1!N347+History_1!N363+Mathematics_1!N347+Mathematics_1!N363+Modern_Foreign_Languages_1!N347+Modern_Foreign_Languages_1!N363+Music_1!N347+Music_1!N363+Others_1!N347+Others_1!N363+Physical_Education_1!N347+Physical_Education_1!N363+Physics_1!N347+Physics_1!N363+Religious_Education_1!N347+Religious_Education_1!N363</f>
        <v>9983.315178953877</v>
      </c>
      <c r="T561" s="681"/>
    </row>
    <row r="562" spans="2:21">
      <c r="H562" s="681">
        <f>'Art_&amp;_Design_1'!C348+'Art_&amp;_Design_1'!C364+Biology_1!C348+Biology_1!C364+Business_Studies_1!C348+Business_Studies_1!C364+Chemistry_1!C348+Chemistry_1!C364+Classics_1!C348+Classics_1!C364+Computing_1!C348+Computing_1!C364+'Design_&amp;_Technology_1'!C348+'Design_&amp;_Technology_1'!C364+Drama_1!C348+Drama_1!C364+English_1!C348+English_1!C364+Food_1!C348+Food_1!C364+Geography_1!C348+Geography_1!C364+History_1!C348+History_1!C364+Mathematics_1!C348+Mathematics_1!C364+Modern_Foreign_Languages_1!C348+Modern_Foreign_Languages_1!C364+Music_1!C348+Music_1!C364+Others_1!C348+Others_1!C364+Physical_Education_1!C348+Physical_Education_1!C364+Physics_1!C348+Physics_1!C364+Religious_Education_1!C348+Religious_Education_1!C364</f>
        <v>4026.3328415889951</v>
      </c>
      <c r="I562" s="681">
        <f>'Art_&amp;_Design_1'!D348+'Art_&amp;_Design_1'!D364+Biology_1!D348+Biology_1!D364+Business_Studies_1!D348+Business_Studies_1!D364+Chemistry_1!D348+Chemistry_1!D364+Classics_1!D348+Classics_1!D364+Computing_1!D348+Computing_1!D364+'Design_&amp;_Technology_1'!D348+'Design_&amp;_Technology_1'!D364+Drama_1!D348+Drama_1!D364+English_1!D348+English_1!D364+Food_1!D348+Food_1!D364+Geography_1!D348+Geography_1!D364+History_1!D348+History_1!D364+Mathematics_1!D348+Mathematics_1!D364+Modern_Foreign_Languages_1!D348+Modern_Foreign_Languages_1!D364+Music_1!D348+Music_1!D364+Others_1!D348+Others_1!D364+Physical_Education_1!D348+Physical_Education_1!D364+Physics_1!D348+Physics_1!D364+Religious_Education_1!D348+Religious_Education_1!D364</f>
        <v>3941.7608496172315</v>
      </c>
      <c r="J562" s="681">
        <f>'Art_&amp;_Design_1'!E348+'Art_&amp;_Design_1'!E364+Biology_1!E348+Biology_1!E364+Business_Studies_1!E348+Business_Studies_1!E364+Chemistry_1!E348+Chemistry_1!E364+Classics_1!E348+Classics_1!E364+Computing_1!E348+Computing_1!E364+'Design_&amp;_Technology_1'!E348+'Design_&amp;_Technology_1'!E364+Drama_1!E348+Drama_1!E364+English_1!E348+English_1!E364+Food_1!E348+Food_1!E364+Geography_1!E348+Geography_1!E364+History_1!E348+History_1!E364+Mathematics_1!E348+Mathematics_1!E364+Modern_Foreign_Languages_1!E348+Modern_Foreign_Languages_1!E364+Music_1!E348+Music_1!E364+Others_1!E348+Others_1!E364+Physical_Education_1!E348+Physical_Education_1!E364+Physics_1!E348+Physics_1!E364+Religious_Education_1!E348+Religious_Education_1!E364</f>
        <v>3805.326382641289</v>
      </c>
      <c r="K562" s="681">
        <f>'Art_&amp;_Design_1'!F348+'Art_&amp;_Design_1'!F364+Biology_1!F348+Biology_1!F364+Business_Studies_1!F348+Business_Studies_1!F364+Chemistry_1!F348+Chemistry_1!F364+Classics_1!F348+Classics_1!F364+Computing_1!F348+Computing_1!F364+'Design_&amp;_Technology_1'!F348+'Design_&amp;_Technology_1'!F364+Drama_1!F348+Drama_1!F364+English_1!F348+English_1!F364+Food_1!F348+Food_1!F364+Geography_1!F348+Geography_1!F364+History_1!F348+History_1!F364+Mathematics_1!F348+Mathematics_1!F364+Modern_Foreign_Languages_1!F348+Modern_Foreign_Languages_1!F364+Music_1!F348+Music_1!F364+Others_1!F348+Others_1!F364+Physical_Education_1!F348+Physical_Education_1!F364+Physics_1!F348+Physics_1!F364+Religious_Education_1!F348+Religious_Education_1!F364</f>
        <v>3676.5420017281549</v>
      </c>
      <c r="L562" s="681">
        <f>'Art_&amp;_Design_1'!G348+'Art_&amp;_Design_1'!G364+Biology_1!G348+Biology_1!G364+Business_Studies_1!G348+Business_Studies_1!G364+Chemistry_1!G348+Chemistry_1!G364+Classics_1!G348+Classics_1!G364+Computing_1!G348+Computing_1!G364+'Design_&amp;_Technology_1'!G348+'Design_&amp;_Technology_1'!G364+Drama_1!G348+Drama_1!G364+English_1!G348+English_1!G364+Food_1!G348+Food_1!G364+Geography_1!G348+Geography_1!G364+History_1!G348+History_1!G364+Mathematics_1!G348+Mathematics_1!G364+Modern_Foreign_Languages_1!G348+Modern_Foreign_Languages_1!G364+Music_1!G348+Music_1!G364+Others_1!G348+Others_1!G364+Physical_Education_1!G348+Physical_Education_1!G364+Physics_1!G348+Physics_1!G364+Religious_Education_1!G348+Religious_Education_1!G364</f>
        <v>3583.3642367626212</v>
      </c>
      <c r="M562" s="681">
        <f>'Art_&amp;_Design_1'!H348+'Art_&amp;_Design_1'!H364+Biology_1!H348+Biology_1!H364+Business_Studies_1!H348+Business_Studies_1!H364+Chemistry_1!H348+Chemistry_1!H364+Classics_1!H348+Classics_1!H364+Computing_1!H348+Computing_1!H364+'Design_&amp;_Technology_1'!H348+'Design_&amp;_Technology_1'!H364+Drama_1!H348+Drama_1!H364+English_1!H348+English_1!H364+Food_1!H348+Food_1!H364+Geography_1!H348+Geography_1!H364+History_1!H348+History_1!H364+Mathematics_1!H348+Mathematics_1!H364+Modern_Foreign_Languages_1!H348+Modern_Foreign_Languages_1!H364+Music_1!H348+Music_1!H364+Others_1!H348+Others_1!H364+Physical_Education_1!H348+Physical_Education_1!H364+Physics_1!H348+Physics_1!H364+Religious_Education_1!H348+Religious_Education_1!H364</f>
        <v>3525.584016158517</v>
      </c>
      <c r="N562" s="681">
        <f>'Art_&amp;_Design_1'!I348+'Art_&amp;_Design_1'!I364+Biology_1!I348+Biology_1!I364+Business_Studies_1!I348+Business_Studies_1!I364+Chemistry_1!I348+Chemistry_1!I364+Classics_1!I348+Classics_1!I364+Computing_1!I348+Computing_1!I364+'Design_&amp;_Technology_1'!I348+'Design_&amp;_Technology_1'!I364+Drama_1!I348+Drama_1!I364+English_1!I348+English_1!I364+Food_1!I348+Food_1!I364+Geography_1!I348+Geography_1!I364+History_1!I348+History_1!I364+Mathematics_1!I348+Mathematics_1!I364+Modern_Foreign_Languages_1!I348+Modern_Foreign_Languages_1!I364+Music_1!I348+Music_1!I364+Others_1!I348+Others_1!I364+Physical_Education_1!I348+Physical_Education_1!I364+Physics_1!I348+Physics_1!I364+Religious_Education_1!I348+Religious_Education_1!I364</f>
        <v>3505.1502647649986</v>
      </c>
      <c r="O562" s="681">
        <f>'Art_&amp;_Design_1'!J348+'Art_&amp;_Design_1'!J364+Biology_1!J348+Biology_1!J364+Business_Studies_1!J348+Business_Studies_1!J364+Chemistry_1!J348+Chemistry_1!J364+Classics_1!J348+Classics_1!J364+Computing_1!J348+Computing_1!J364+'Design_&amp;_Technology_1'!J348+'Design_&amp;_Technology_1'!J364+Drama_1!J348+Drama_1!J364+English_1!J348+English_1!J364+Food_1!J348+Food_1!J364+Geography_1!J348+Geography_1!J364+History_1!J348+History_1!J364+Mathematics_1!J348+Mathematics_1!J364+Modern_Foreign_Languages_1!J348+Modern_Foreign_Languages_1!J364+Music_1!J348+Music_1!J364+Others_1!J348+Others_1!J364+Physical_Education_1!J348+Physical_Education_1!J364+Physics_1!J348+Physics_1!J364+Religious_Education_1!J348+Religious_Education_1!J364</f>
        <v>3487.7733959703023</v>
      </c>
      <c r="P562" s="681">
        <f>'Art_&amp;_Design_1'!K348+'Art_&amp;_Design_1'!K364+Biology_1!K348+Biology_1!K364+Business_Studies_1!K348+Business_Studies_1!K364+Chemistry_1!K348+Chemistry_1!K364+Classics_1!K348+Classics_1!K364+Computing_1!K348+Computing_1!K364+'Design_&amp;_Technology_1'!K348+'Design_&amp;_Technology_1'!K364+Drama_1!K348+Drama_1!K364+English_1!K348+English_1!K364+Food_1!K348+Food_1!K364+Geography_1!K348+Geography_1!K364+History_1!K348+History_1!K364+Mathematics_1!K348+Mathematics_1!K364+Modern_Foreign_Languages_1!K348+Modern_Foreign_Languages_1!K364+Music_1!K348+Music_1!K364+Others_1!K348+Others_1!K364+Physical_Education_1!K348+Physical_Education_1!K364+Physics_1!K348+Physics_1!K364+Religious_Education_1!K348+Religious_Education_1!K364</f>
        <v>3469.8808177643555</v>
      </c>
      <c r="Q562" s="681">
        <f>'Art_&amp;_Design_1'!L348+'Art_&amp;_Design_1'!L364+Biology_1!L348+Biology_1!L364+Business_Studies_1!L348+Business_Studies_1!L364+Chemistry_1!L348+Chemistry_1!L364+Classics_1!L348+Classics_1!L364+Computing_1!L348+Computing_1!L364+'Design_&amp;_Technology_1'!L348+'Design_&amp;_Technology_1'!L364+Drama_1!L348+Drama_1!L364+English_1!L348+English_1!L364+Food_1!L348+Food_1!L364+Geography_1!L348+Geography_1!L364+History_1!L348+History_1!L364+Mathematics_1!L348+Mathematics_1!L364+Modern_Foreign_Languages_1!L348+Modern_Foreign_Languages_1!L364+Music_1!L348+Music_1!L364+Others_1!L348+Others_1!L364+Physical_Education_1!L348+Physical_Education_1!L364+Physics_1!L348+Physics_1!L364+Religious_Education_1!L348+Religious_Education_1!L364</f>
        <v>3452.5692511093284</v>
      </c>
      <c r="R562" s="681">
        <f>'Art_&amp;_Design_1'!M348+'Art_&amp;_Design_1'!M364+Biology_1!M348+Biology_1!M364+Business_Studies_1!M348+Business_Studies_1!M364+Chemistry_1!M348+Chemistry_1!M364+Classics_1!M348+Classics_1!M364+Computing_1!M348+Computing_1!M364+'Design_&amp;_Technology_1'!M348+'Design_&amp;_Technology_1'!M364+Drama_1!M348+Drama_1!M364+English_1!M348+English_1!M364+Food_1!M348+Food_1!M364+Geography_1!M348+Geography_1!M364+History_1!M348+History_1!M364+Mathematics_1!M348+Mathematics_1!M364+Modern_Foreign_Languages_1!M348+Modern_Foreign_Languages_1!M364+Music_1!M348+Music_1!M364+Others_1!M348+Others_1!M364+Physical_Education_1!M348+Physical_Education_1!M364+Physics_1!M348+Physics_1!M364+Religious_Education_1!M348+Religious_Education_1!M364</f>
        <v>3442.1251463407671</v>
      </c>
      <c r="S562" s="681">
        <f>'Art_&amp;_Design_1'!N348+'Art_&amp;_Design_1'!N364+Biology_1!N348+Biology_1!N364+Business_Studies_1!N348+Business_Studies_1!N364+Chemistry_1!N348+Chemistry_1!N364+Classics_1!N348+Classics_1!N364+Computing_1!N348+Computing_1!N364+'Design_&amp;_Technology_1'!N348+'Design_&amp;_Technology_1'!N364+Drama_1!N348+Drama_1!N364+English_1!N348+English_1!N364+Food_1!N348+Food_1!N364+Geography_1!N348+Geography_1!N364+History_1!N348+History_1!N364+Mathematics_1!N348+Mathematics_1!N364+Modern_Foreign_Languages_1!N348+Modern_Foreign_Languages_1!N364+Music_1!N348+Music_1!N364+Others_1!N348+Others_1!N364+Physical_Education_1!N348+Physical_Education_1!N364+Physics_1!N348+Physics_1!N364+Religious_Education_1!N348+Religious_Education_1!N364</f>
        <v>3434.3769195221516</v>
      </c>
      <c r="T562" s="681"/>
    </row>
    <row r="563" spans="2:21">
      <c r="H563" s="681">
        <f>'Art_&amp;_Design_1'!C349+'Art_&amp;_Design_1'!C365+Biology_1!C349+Biology_1!C365+Business_Studies_1!C349+Business_Studies_1!C365+Chemistry_1!C349+Chemistry_1!C365+Classics_1!C349+Classics_1!C365+Computing_1!C349+Computing_1!C365+'Design_&amp;_Technology_1'!C349+'Design_&amp;_Technology_1'!C365+Drama_1!C349+Drama_1!C365+English_1!C349+English_1!C365+Food_1!C349+Food_1!C365+Geography_1!C349+Geography_1!C365+History_1!C349+History_1!C365+Mathematics_1!C349+Mathematics_1!C365+Modern_Foreign_Languages_1!C349+Modern_Foreign_Languages_1!C365+Music_1!C349+Music_1!C365+Others_1!C349+Others_1!C365+Physical_Education_1!C349+Physical_Education_1!C365+Physics_1!C349+Physics_1!C365+Religious_Education_1!C349+Religious_Education_1!C365</f>
        <v>1033.1303846447699</v>
      </c>
      <c r="I563" s="681">
        <f>'Art_&amp;_Design_1'!D349+'Art_&amp;_Design_1'!D365+Biology_1!D349+Biology_1!D365+Business_Studies_1!D349+Business_Studies_1!D365+Chemistry_1!D349+Chemistry_1!D365+Classics_1!D349+Classics_1!D365+Computing_1!D349+Computing_1!D365+'Design_&amp;_Technology_1'!D349+'Design_&amp;_Technology_1'!D365+Drama_1!D349+Drama_1!D365+English_1!D349+English_1!D365+Food_1!D349+Food_1!D365+Geography_1!D349+Geography_1!D365+History_1!D349+History_1!D365+Mathematics_1!D349+Mathematics_1!D365+Modern_Foreign_Languages_1!D349+Modern_Foreign_Languages_1!D365+Music_1!D349+Music_1!D365+Others_1!D349+Others_1!D365+Physical_Education_1!D349+Physical_Education_1!D365+Physics_1!D349+Physics_1!D365+Religious_Education_1!D349+Religious_Education_1!D365</f>
        <v>1259.622107659907</v>
      </c>
      <c r="J563" s="681">
        <f>'Art_&amp;_Design_1'!E349+'Art_&amp;_Design_1'!E365+Biology_1!E349+Biology_1!E365+Business_Studies_1!E349+Business_Studies_1!E365+Chemistry_1!E349+Chemistry_1!E365+Classics_1!E349+Classics_1!E365+Computing_1!E349+Computing_1!E365+'Design_&amp;_Technology_1'!E349+'Design_&amp;_Technology_1'!E365+Drama_1!E349+Drama_1!E365+English_1!E349+English_1!E365+Food_1!E349+Food_1!E365+Geography_1!E349+Geography_1!E365+History_1!E349+History_1!E365+Mathematics_1!E349+Mathematics_1!E365+Modern_Foreign_Languages_1!E349+Modern_Foreign_Languages_1!E365+Music_1!E349+Music_1!E365+Others_1!E349+Others_1!E365+Physical_Education_1!E349+Physical_Education_1!E365+Physics_1!E349+Physics_1!E365+Religious_Education_1!E349+Religious_Education_1!E365</f>
        <v>1390.256525957009</v>
      </c>
      <c r="K563" s="681">
        <f>'Art_&amp;_Design_1'!F349+'Art_&amp;_Design_1'!F365+Biology_1!F349+Biology_1!F365+Business_Studies_1!F349+Business_Studies_1!F365+Chemistry_1!F349+Chemistry_1!F365+Classics_1!F349+Classics_1!F365+Computing_1!F349+Computing_1!F365+'Design_&amp;_Technology_1'!F349+'Design_&amp;_Technology_1'!F365+Drama_1!F349+Drama_1!F365+English_1!F349+English_1!F365+Food_1!F349+Food_1!F365+Geography_1!F349+Geography_1!F365+History_1!F349+History_1!F365+Mathematics_1!F349+Mathematics_1!F365+Modern_Foreign_Languages_1!F349+Modern_Foreign_Languages_1!F365+Music_1!F349+Music_1!F365+Others_1!F349+Others_1!F365+Physical_Education_1!F349+Physical_Education_1!F365+Physics_1!F349+Physics_1!F365+Religious_Education_1!F349+Religious_Education_1!F365</f>
        <v>1455.300795481342</v>
      </c>
      <c r="L563" s="681">
        <f>'Art_&amp;_Design_1'!G349+'Art_&amp;_Design_1'!G365+Biology_1!G349+Biology_1!G365+Business_Studies_1!G349+Business_Studies_1!G365+Chemistry_1!G349+Chemistry_1!G365+Classics_1!G349+Classics_1!G365+Computing_1!G349+Computing_1!G365+'Design_&amp;_Technology_1'!G349+'Design_&amp;_Technology_1'!G365+Drama_1!G349+Drama_1!G365+English_1!G349+English_1!G365+Food_1!G349+Food_1!G365+Geography_1!G349+Geography_1!G365+History_1!G349+History_1!G365+Mathematics_1!G349+Mathematics_1!G365+Modern_Foreign_Languages_1!G349+Modern_Foreign_Languages_1!G365+Music_1!G349+Music_1!G365+Others_1!G349+Others_1!G365+Physical_Education_1!G349+Physical_Education_1!G365+Physics_1!G349+Physics_1!G365+Religious_Education_1!G349+Religious_Education_1!G365</f>
        <v>1482.0706210171502</v>
      </c>
      <c r="M563" s="681">
        <f>'Art_&amp;_Design_1'!H349+'Art_&amp;_Design_1'!H365+Biology_1!H349+Biology_1!H365+Business_Studies_1!H349+Business_Studies_1!H365+Chemistry_1!H349+Chemistry_1!H365+Classics_1!H349+Classics_1!H365+Computing_1!H349+Computing_1!H365+'Design_&amp;_Technology_1'!H349+'Design_&amp;_Technology_1'!H365+Drama_1!H349+Drama_1!H365+English_1!H349+English_1!H365+Food_1!H349+Food_1!H365+Geography_1!H349+Geography_1!H365+History_1!H349+History_1!H365+Mathematics_1!H349+Mathematics_1!H365+Modern_Foreign_Languages_1!H349+Modern_Foreign_Languages_1!H365+Music_1!H349+Music_1!H365+Others_1!H349+Others_1!H365+Physical_Education_1!H349+Physical_Education_1!H365+Physics_1!H349+Physics_1!H365+Religious_Education_1!H349+Religious_Education_1!H365</f>
        <v>1489.3575367927922</v>
      </c>
      <c r="N563" s="681">
        <f>'Art_&amp;_Design_1'!I349+'Art_&amp;_Design_1'!I365+Biology_1!I349+Biology_1!I365+Business_Studies_1!I349+Business_Studies_1!I365+Chemistry_1!I349+Chemistry_1!I365+Classics_1!I349+Classics_1!I365+Computing_1!I349+Computing_1!I365+'Design_&amp;_Technology_1'!I349+'Design_&amp;_Technology_1'!I365+Drama_1!I349+Drama_1!I365+English_1!I349+English_1!I365+Food_1!I349+Food_1!I365+Geography_1!I349+Geography_1!I365+History_1!I349+History_1!I365+Mathematics_1!I349+Mathematics_1!I365+Modern_Foreign_Languages_1!I349+Modern_Foreign_Languages_1!I365+Music_1!I349+Music_1!I365+Others_1!I349+Others_1!I365+Physical_Education_1!I349+Physical_Education_1!I365+Physics_1!I349+Physics_1!I365+Religious_Education_1!I349+Religious_Education_1!I365</f>
        <v>1491.2735568131238</v>
      </c>
      <c r="O563" s="681">
        <f>'Art_&amp;_Design_1'!J349+'Art_&amp;_Design_1'!J365+Biology_1!J349+Biology_1!J365+Business_Studies_1!J349+Business_Studies_1!J365+Chemistry_1!J349+Chemistry_1!J365+Classics_1!J349+Classics_1!J365+Computing_1!J349+Computing_1!J365+'Design_&amp;_Technology_1'!J349+'Design_&amp;_Technology_1'!J365+Drama_1!J349+Drama_1!J365+English_1!J349+English_1!J365+Food_1!J349+Food_1!J365+Geography_1!J349+Geography_1!J365+History_1!J349+History_1!J365+Mathematics_1!J349+Mathematics_1!J365+Modern_Foreign_Languages_1!J349+Modern_Foreign_Languages_1!J365+Music_1!J349+Music_1!J365+Others_1!J349+Others_1!J365+Physical_Education_1!J349+Physical_Education_1!J365+Physics_1!J349+Physics_1!J365+Religious_Education_1!J349+Religious_Education_1!J365</f>
        <v>1486.7968823536453</v>
      </c>
      <c r="P563" s="681">
        <f>'Art_&amp;_Design_1'!K349+'Art_&amp;_Design_1'!K365+Biology_1!K349+Biology_1!K365+Business_Studies_1!K349+Business_Studies_1!K365+Chemistry_1!K349+Chemistry_1!K365+Classics_1!K349+Classics_1!K365+Computing_1!K349+Computing_1!K365+'Design_&amp;_Technology_1'!K349+'Design_&amp;_Technology_1'!K365+Drama_1!K349+Drama_1!K365+English_1!K349+English_1!K365+Food_1!K349+Food_1!K365+Geography_1!K349+Geography_1!K365+History_1!K349+History_1!K365+Mathematics_1!K349+Mathematics_1!K365+Modern_Foreign_Languages_1!K349+Modern_Foreign_Languages_1!K365+Music_1!K349+Music_1!K365+Others_1!K349+Others_1!K365+Physical_Education_1!K349+Physical_Education_1!K365+Physics_1!K349+Physics_1!K365+Religious_Education_1!K349+Religious_Education_1!K365</f>
        <v>1478.1386545599401</v>
      </c>
      <c r="Q563" s="681">
        <f>'Art_&amp;_Design_1'!L349+'Art_&amp;_Design_1'!L365+Biology_1!L349+Biology_1!L365+Business_Studies_1!L349+Business_Studies_1!L365+Chemistry_1!L349+Chemistry_1!L365+Classics_1!L349+Classics_1!L365+Computing_1!L349+Computing_1!L365+'Design_&amp;_Technology_1'!L349+'Design_&amp;_Technology_1'!L365+Drama_1!L349+Drama_1!L365+English_1!L349+English_1!L365+Food_1!L349+Food_1!L365+Geography_1!L349+Geography_1!L365+History_1!L349+History_1!L365+Mathematics_1!L349+Mathematics_1!L365+Modern_Foreign_Languages_1!L349+Modern_Foreign_Languages_1!L365+Music_1!L349+Music_1!L365+Others_1!L349+Others_1!L365+Physical_Education_1!L349+Physical_Education_1!L365+Physics_1!L349+Physics_1!L365+Religious_Education_1!L349+Religious_Education_1!L365</f>
        <v>1467.5376496587965</v>
      </c>
      <c r="R563" s="681">
        <f>'Art_&amp;_Design_1'!M349+'Art_&amp;_Design_1'!M365+Biology_1!M349+Biology_1!M365+Business_Studies_1!M349+Business_Studies_1!M365+Chemistry_1!M349+Chemistry_1!M365+Classics_1!M349+Classics_1!M365+Computing_1!M349+Computing_1!M365+'Design_&amp;_Technology_1'!M349+'Design_&amp;_Technology_1'!M365+Drama_1!M349+Drama_1!M365+English_1!M349+English_1!M365+Food_1!M349+Food_1!M365+Geography_1!M349+Geography_1!M365+History_1!M349+History_1!M365+Mathematics_1!M349+Mathematics_1!M365+Modern_Foreign_Languages_1!M349+Modern_Foreign_Languages_1!M365+Music_1!M349+Music_1!M365+Others_1!M349+Others_1!M365+Physical_Education_1!M349+Physical_Education_1!M365+Physics_1!M349+Physics_1!M365+Religious_Education_1!M349+Religious_Education_1!M365</f>
        <v>1458.223822894199</v>
      </c>
      <c r="S563" s="681">
        <f>'Art_&amp;_Design_1'!N349+'Art_&amp;_Design_1'!N365+Biology_1!N349+Biology_1!N365+Business_Studies_1!N349+Business_Studies_1!N365+Chemistry_1!N349+Chemistry_1!N365+Classics_1!N349+Classics_1!N365+Computing_1!N349+Computing_1!N365+'Design_&amp;_Technology_1'!N349+'Design_&amp;_Technology_1'!N365+Drama_1!N349+Drama_1!N365+English_1!N349+English_1!N365+Food_1!N349+Food_1!N365+Geography_1!N349+Geography_1!N365+History_1!N349+History_1!N365+Mathematics_1!N349+Mathematics_1!N365+Modern_Foreign_Languages_1!N349+Modern_Foreign_Languages_1!N365+Music_1!N349+Music_1!N365+Others_1!N349+Others_1!N365+Physical_Education_1!N349+Physical_Education_1!N365+Physics_1!N349+Physics_1!N365+Religious_Education_1!N349+Religious_Education_1!N365</f>
        <v>1450.2518969473417</v>
      </c>
      <c r="T563" s="681"/>
    </row>
    <row r="564" spans="2:21">
      <c r="H564" s="681">
        <f>SUM(H554:H563)-J58</f>
        <v>0</v>
      </c>
      <c r="I564" s="681">
        <f t="shared" ref="I564:S564" si="60">SUM(I554:I563)-K58</f>
        <v>0</v>
      </c>
      <c r="J564" s="681">
        <f t="shared" si="60"/>
        <v>0</v>
      </c>
      <c r="K564" s="681">
        <f t="shared" si="60"/>
        <v>0</v>
      </c>
      <c r="L564" s="681">
        <f t="shared" si="60"/>
        <v>0</v>
      </c>
      <c r="M564" s="681">
        <f t="shared" si="60"/>
        <v>0</v>
      </c>
      <c r="N564" s="681">
        <f t="shared" si="60"/>
        <v>0</v>
      </c>
      <c r="O564" s="681">
        <f t="shared" si="60"/>
        <v>0</v>
      </c>
      <c r="P564" s="681">
        <f t="shared" si="60"/>
        <v>0</v>
      </c>
      <c r="Q564" s="681">
        <f t="shared" si="60"/>
        <v>0</v>
      </c>
      <c r="R564" s="681">
        <f t="shared" si="60"/>
        <v>0</v>
      </c>
      <c r="S564" s="681">
        <f t="shared" si="60"/>
        <v>0</v>
      </c>
      <c r="T564" s="681"/>
    </row>
    <row r="565" spans="2:21">
      <c r="B565" s="334" t="s">
        <v>1139</v>
      </c>
    </row>
    <row r="567" spans="2:21">
      <c r="B567" s="319"/>
      <c r="C567" s="319" t="str">
        <f>C24</f>
        <v>2010/11</v>
      </c>
      <c r="D567" s="319" t="str">
        <f t="shared" ref="D567:U567" si="61">D24</f>
        <v>2011/12</v>
      </c>
      <c r="E567" s="319" t="str">
        <f t="shared" si="61"/>
        <v>2012/13</v>
      </c>
      <c r="F567" s="319" t="str">
        <f t="shared" si="61"/>
        <v>2013/14</v>
      </c>
      <c r="G567" s="319" t="str">
        <f t="shared" si="61"/>
        <v>2014/15</v>
      </c>
      <c r="H567" s="319" t="str">
        <f t="shared" si="61"/>
        <v>2015/16</v>
      </c>
      <c r="I567" s="319" t="str">
        <f t="shared" si="61"/>
        <v>2016/17</v>
      </c>
      <c r="J567" s="319" t="str">
        <f t="shared" si="61"/>
        <v>2017/18</v>
      </c>
      <c r="K567" s="319" t="str">
        <f t="shared" si="61"/>
        <v>2018/19</v>
      </c>
      <c r="L567" s="319" t="str">
        <f t="shared" si="61"/>
        <v>2019/20</v>
      </c>
      <c r="M567" s="319" t="str">
        <f t="shared" si="61"/>
        <v>2020/21</v>
      </c>
      <c r="N567" s="319" t="str">
        <f t="shared" si="61"/>
        <v>2021/22</v>
      </c>
      <c r="O567" s="319" t="str">
        <f t="shared" si="61"/>
        <v>2022/23</v>
      </c>
      <c r="P567" s="319" t="str">
        <f t="shared" si="61"/>
        <v>2023/24</v>
      </c>
      <c r="Q567" s="319" t="str">
        <f t="shared" si="61"/>
        <v>2024/25</v>
      </c>
      <c r="R567" s="319" t="str">
        <f t="shared" si="61"/>
        <v>2025/26</v>
      </c>
      <c r="S567" s="319" t="str">
        <f t="shared" si="61"/>
        <v>2026/27</v>
      </c>
      <c r="T567" s="319" t="str">
        <f t="shared" si="61"/>
        <v>2027/28</v>
      </c>
      <c r="U567" s="319" t="str">
        <f t="shared" si="61"/>
        <v>2028/29</v>
      </c>
    </row>
    <row r="568" spans="2:21">
      <c r="B568" s="319" t="s">
        <v>1207</v>
      </c>
      <c r="C568" s="406">
        <f t="shared" ref="C568:I572" si="62">C509/SUM(C$509:C$513)</f>
        <v>0.21867590590106281</v>
      </c>
      <c r="D568" s="406">
        <f t="shared" si="62"/>
        <v>0.21921372717356219</v>
      </c>
      <c r="E568" s="406">
        <f t="shared" si="62"/>
        <v>0.22745306051744338</v>
      </c>
      <c r="F568" s="406">
        <f t="shared" si="62"/>
        <v>0.23760750599624109</v>
      </c>
      <c r="G568" s="406">
        <f t="shared" si="62"/>
        <v>0.2460197107818303</v>
      </c>
      <c r="H568" s="406">
        <f t="shared" si="62"/>
        <v>0.25294831890538838</v>
      </c>
      <c r="I568" s="406">
        <f t="shared" si="62"/>
        <v>0.25266638485371751</v>
      </c>
      <c r="J568" s="406"/>
      <c r="K568" s="406"/>
      <c r="L568" s="406"/>
      <c r="M568" s="406"/>
      <c r="N568" s="406"/>
      <c r="O568" s="406"/>
      <c r="P568" s="406"/>
      <c r="Q568" s="406"/>
      <c r="R568" s="406"/>
      <c r="S568" s="406"/>
      <c r="T568" s="406"/>
      <c r="U568" s="406"/>
    </row>
    <row r="569" spans="2:21">
      <c r="B569" s="319" t="s">
        <v>1208</v>
      </c>
      <c r="C569" s="406">
        <f t="shared" si="62"/>
        <v>0.30665127224159439</v>
      </c>
      <c r="D569" s="406">
        <f t="shared" si="62"/>
        <v>0.31219408827023437</v>
      </c>
      <c r="E569" s="406">
        <f t="shared" si="62"/>
        <v>0.31374309193921868</v>
      </c>
      <c r="F569" s="406">
        <f t="shared" si="62"/>
        <v>0.31232091914294458</v>
      </c>
      <c r="G569" s="406">
        <f t="shared" si="62"/>
        <v>0.31223817490676936</v>
      </c>
      <c r="H569" s="406">
        <f t="shared" ref="H569:I572" si="63">H510/SUM(H$509:H$513)</f>
        <v>0.31189062607661922</v>
      </c>
      <c r="I569" s="406">
        <f t="shared" si="63"/>
        <v>0.31502157840012646</v>
      </c>
      <c r="J569" s="406"/>
      <c r="K569" s="406"/>
      <c r="L569" s="406"/>
      <c r="M569" s="406"/>
      <c r="N569" s="406"/>
      <c r="O569" s="406"/>
      <c r="P569" s="406"/>
      <c r="Q569" s="406"/>
      <c r="R569" s="406"/>
      <c r="S569" s="406"/>
      <c r="T569" s="406"/>
      <c r="U569" s="406"/>
    </row>
    <row r="570" spans="2:21">
      <c r="B570" s="319" t="s">
        <v>1209</v>
      </c>
      <c r="C570" s="406">
        <f t="shared" si="62"/>
        <v>0.23643567504470556</v>
      </c>
      <c r="D570" s="406">
        <f t="shared" si="62"/>
        <v>0.24410626105701383</v>
      </c>
      <c r="E570" s="406">
        <f t="shared" si="62"/>
        <v>0.24961347606503084</v>
      </c>
      <c r="F570" s="406">
        <f t="shared" si="62"/>
        <v>0.25357879293076291</v>
      </c>
      <c r="G570" s="406">
        <f t="shared" si="62"/>
        <v>0.25610521208949844</v>
      </c>
      <c r="H570" s="406">
        <f t="shared" si="63"/>
        <v>0.25552699684640651</v>
      </c>
      <c r="I570" s="406">
        <f t="shared" si="63"/>
        <v>0.25566790393565486</v>
      </c>
      <c r="J570" s="406"/>
      <c r="K570" s="406"/>
      <c r="L570" s="406"/>
      <c r="M570" s="406"/>
      <c r="N570" s="406"/>
      <c r="O570" s="406"/>
      <c r="P570" s="406"/>
      <c r="Q570" s="406"/>
      <c r="R570" s="406"/>
      <c r="S570" s="406"/>
      <c r="T570" s="406"/>
      <c r="U570" s="406"/>
    </row>
    <row r="571" spans="2:21">
      <c r="B571" s="319" t="s">
        <v>1210</v>
      </c>
      <c r="C571" s="406">
        <f t="shared" si="62"/>
        <v>0.21068222470521852</v>
      </c>
      <c r="D571" s="406">
        <f t="shared" si="62"/>
        <v>0.19637144585124597</v>
      </c>
      <c r="E571" s="406">
        <f t="shared" si="62"/>
        <v>0.18022717374420635</v>
      </c>
      <c r="F571" s="406">
        <f t="shared" si="62"/>
        <v>0.16817753099028571</v>
      </c>
      <c r="G571" s="406">
        <f t="shared" si="62"/>
        <v>0.15823422543507382</v>
      </c>
      <c r="H571" s="406">
        <f t="shared" si="63"/>
        <v>0.15332614152300941</v>
      </c>
      <c r="I571" s="406">
        <f t="shared" si="63"/>
        <v>0.15104942198325677</v>
      </c>
      <c r="J571" s="406"/>
      <c r="K571" s="406"/>
      <c r="L571" s="406"/>
      <c r="M571" s="406"/>
      <c r="N571" s="406"/>
      <c r="O571" s="406"/>
      <c r="P571" s="406"/>
      <c r="Q571" s="406"/>
      <c r="R571" s="406"/>
      <c r="S571" s="406"/>
      <c r="T571" s="406"/>
      <c r="U571" s="406"/>
    </row>
    <row r="572" spans="2:21">
      <c r="B572" s="319" t="s">
        <v>1211</v>
      </c>
      <c r="C572" s="406">
        <f t="shared" si="62"/>
        <v>2.7554922107418747E-2</v>
      </c>
      <c r="D572" s="406">
        <f t="shared" si="62"/>
        <v>2.8114477647943739E-2</v>
      </c>
      <c r="E572" s="406">
        <f t="shared" si="62"/>
        <v>2.89631977341007E-2</v>
      </c>
      <c r="F572" s="406">
        <f t="shared" si="62"/>
        <v>2.8315250939765751E-2</v>
      </c>
      <c r="G572" s="406">
        <f t="shared" si="62"/>
        <v>2.7402676786828097E-2</v>
      </c>
      <c r="H572" s="406">
        <f t="shared" si="63"/>
        <v>2.6307916648576561E-2</v>
      </c>
      <c r="I572" s="406">
        <f t="shared" si="63"/>
        <v>2.5594710827244401E-2</v>
      </c>
      <c r="J572" s="406"/>
      <c r="K572" s="406"/>
      <c r="L572" s="406"/>
      <c r="M572" s="406"/>
      <c r="N572" s="406"/>
      <c r="O572" s="406"/>
      <c r="P572" s="406"/>
      <c r="Q572" s="406"/>
      <c r="R572" s="406"/>
      <c r="S572" s="406"/>
      <c r="T572" s="406"/>
      <c r="U572" s="406"/>
    </row>
    <row r="573" spans="2:21">
      <c r="B573" s="319" t="s">
        <v>1212</v>
      </c>
      <c r="C573" s="406"/>
      <c r="D573" s="406"/>
      <c r="E573" s="406"/>
      <c r="F573" s="406"/>
      <c r="G573" s="406"/>
      <c r="H573" s="406"/>
      <c r="I573" s="406">
        <f>I568</f>
        <v>0.25266638485371751</v>
      </c>
      <c r="J573" s="406">
        <f>J514/SUM(J$514:J$518)</f>
        <v>0.25694486023316565</v>
      </c>
      <c r="K573" s="406">
        <f t="shared" ref="K573:U573" si="64">K514/SUM(K$514:K$518)</f>
        <v>0.26046713317268771</v>
      </c>
      <c r="L573" s="406">
        <f t="shared" si="64"/>
        <v>0.263945538037965</v>
      </c>
      <c r="M573" s="406">
        <f t="shared" si="64"/>
        <v>0.26773249058532361</v>
      </c>
      <c r="N573" s="406">
        <f t="shared" si="64"/>
        <v>0.27086647089771937</v>
      </c>
      <c r="O573" s="406">
        <f t="shared" si="64"/>
        <v>0.27325864935785865</v>
      </c>
      <c r="P573" s="406">
        <f t="shared" si="64"/>
        <v>0.27494147177942896</v>
      </c>
      <c r="Q573" s="406">
        <f t="shared" si="64"/>
        <v>0.27701209938290078</v>
      </c>
      <c r="R573" s="406">
        <f t="shared" si="64"/>
        <v>0.27919559355898244</v>
      </c>
      <c r="S573" s="406">
        <f t="shared" si="64"/>
        <v>0.28101559264706649</v>
      </c>
      <c r="T573" s="406">
        <f t="shared" si="64"/>
        <v>0.28227038597947962</v>
      </c>
      <c r="U573" s="406">
        <f t="shared" si="64"/>
        <v>0.28304629697051586</v>
      </c>
    </row>
    <row r="574" spans="2:21">
      <c r="B574" s="319" t="s">
        <v>1213</v>
      </c>
      <c r="C574" s="406"/>
      <c r="D574" s="406"/>
      <c r="E574" s="406"/>
      <c r="F574" s="406"/>
      <c r="G574" s="406"/>
      <c r="H574" s="406"/>
      <c r="I574" s="406">
        <f>I569</f>
        <v>0.31502157840012646</v>
      </c>
      <c r="J574" s="406">
        <f>J515/SUM(J$514:J$518)</f>
        <v>0.315439633581237</v>
      </c>
      <c r="K574" s="406">
        <f t="shared" ref="K574:U574" si="65">K515/SUM(K$514:K$518)</f>
        <v>0.31441302153188017</v>
      </c>
      <c r="L574" s="406">
        <f t="shared" si="65"/>
        <v>0.31239223394995591</v>
      </c>
      <c r="M574" s="406">
        <f t="shared" si="65"/>
        <v>0.30980094557593185</v>
      </c>
      <c r="N574" s="406">
        <f t="shared" si="65"/>
        <v>0.30738298081027055</v>
      </c>
      <c r="O574" s="406">
        <f t="shared" si="65"/>
        <v>0.30536786078927713</v>
      </c>
      <c r="P574" s="406">
        <f t="shared" si="65"/>
        <v>0.30382696633844913</v>
      </c>
      <c r="Q574" s="406">
        <f t="shared" si="65"/>
        <v>0.30239096849845348</v>
      </c>
      <c r="R574" s="406">
        <f t="shared" si="65"/>
        <v>0.30119080957805766</v>
      </c>
      <c r="S574" s="406">
        <f t="shared" si="65"/>
        <v>0.30038886136386311</v>
      </c>
      <c r="T574" s="406">
        <f t="shared" si="65"/>
        <v>0.30000955789573075</v>
      </c>
      <c r="U574" s="406">
        <f t="shared" si="65"/>
        <v>0.29995671368752708</v>
      </c>
    </row>
    <row r="575" spans="2:21">
      <c r="B575" s="319" t="s">
        <v>1214</v>
      </c>
      <c r="C575" s="406"/>
      <c r="D575" s="406"/>
      <c r="E575" s="406"/>
      <c r="F575" s="406"/>
      <c r="G575" s="406"/>
      <c r="H575" s="406"/>
      <c r="I575" s="406">
        <f>I570</f>
        <v>0.25566790393565486</v>
      </c>
      <c r="J575" s="406">
        <f>J516/SUM(J$514:J$518)</f>
        <v>0.2571567485453663</v>
      </c>
      <c r="K575" s="406">
        <f t="shared" ref="K575:U575" si="66">K516/SUM(K$514:K$518)</f>
        <v>0.25890073789739687</v>
      </c>
      <c r="L575" s="406">
        <f t="shared" si="66"/>
        <v>0.26043268606373571</v>
      </c>
      <c r="M575" s="406">
        <f t="shared" si="66"/>
        <v>0.26145427927487641</v>
      </c>
      <c r="N575" s="406">
        <f t="shared" si="66"/>
        <v>0.26220213558440431</v>
      </c>
      <c r="O575" s="406">
        <f t="shared" si="66"/>
        <v>0.26270613530456155</v>
      </c>
      <c r="P575" s="406">
        <f t="shared" si="66"/>
        <v>0.26300784070561639</v>
      </c>
      <c r="Q575" s="406">
        <f t="shared" si="66"/>
        <v>0.26276767983449245</v>
      </c>
      <c r="R575" s="406">
        <f t="shared" si="66"/>
        <v>0.26215512486800685</v>
      </c>
      <c r="S575" s="406">
        <f t="shared" si="66"/>
        <v>0.26142362663363916</v>
      </c>
      <c r="T575" s="406">
        <f t="shared" si="66"/>
        <v>0.26072778817150327</v>
      </c>
      <c r="U575" s="406">
        <f t="shared" si="66"/>
        <v>0.26010906938966671</v>
      </c>
    </row>
    <row r="576" spans="2:21">
      <c r="B576" s="319" t="s">
        <v>1215</v>
      </c>
      <c r="C576" s="406"/>
      <c r="D576" s="406"/>
      <c r="E576" s="406"/>
      <c r="F576" s="406"/>
      <c r="G576" s="406"/>
      <c r="H576" s="406"/>
      <c r="I576" s="406">
        <f>I571</f>
        <v>0.15104942198325677</v>
      </c>
      <c r="J576" s="406">
        <f>J517/SUM(J$514:J$518)</f>
        <v>0.14495424201784987</v>
      </c>
      <c r="K576" s="406">
        <f t="shared" ref="K576:U576" si="67">K517/SUM(K$514:K$518)</f>
        <v>0.14133812934248124</v>
      </c>
      <c r="L576" s="406">
        <f t="shared" si="67"/>
        <v>0.13913823838955411</v>
      </c>
      <c r="M576" s="406">
        <f t="shared" si="67"/>
        <v>0.13770234892878619</v>
      </c>
      <c r="N576" s="406">
        <f t="shared" si="67"/>
        <v>0.13690903284308578</v>
      </c>
      <c r="O576" s="406">
        <f t="shared" si="67"/>
        <v>0.13656340688719401</v>
      </c>
      <c r="P576" s="406">
        <f t="shared" si="67"/>
        <v>0.13652460541787928</v>
      </c>
      <c r="Q576" s="406">
        <f t="shared" si="67"/>
        <v>0.1364414234969212</v>
      </c>
      <c r="R576" s="406">
        <f t="shared" si="67"/>
        <v>0.13630480701002273</v>
      </c>
      <c r="S576" s="406">
        <f t="shared" si="67"/>
        <v>0.13618709663856271</v>
      </c>
      <c r="T576" s="406">
        <f t="shared" si="67"/>
        <v>0.13612344123934078</v>
      </c>
      <c r="U576" s="406">
        <f t="shared" si="67"/>
        <v>0.13609561861957009</v>
      </c>
    </row>
    <row r="577" spans="2:21">
      <c r="B577" s="319" t="s">
        <v>1216</v>
      </c>
      <c r="C577" s="406"/>
      <c r="D577" s="406"/>
      <c r="E577" s="406"/>
      <c r="F577" s="406"/>
      <c r="G577" s="406"/>
      <c r="H577" s="406"/>
      <c r="I577" s="406">
        <f>I572</f>
        <v>2.5594710827244401E-2</v>
      </c>
      <c r="J577" s="406">
        <f>J518/SUM(J$514:J$518)</f>
        <v>2.5504515622381204E-2</v>
      </c>
      <c r="K577" s="406">
        <f t="shared" ref="K577:U577" si="68">K518/SUM(K$514:K$518)</f>
        <v>2.4880978055554139E-2</v>
      </c>
      <c r="L577" s="406">
        <f t="shared" si="68"/>
        <v>2.4091303558789301E-2</v>
      </c>
      <c r="M577" s="406">
        <f t="shared" si="68"/>
        <v>2.3309935635082005E-2</v>
      </c>
      <c r="N577" s="406">
        <f t="shared" si="68"/>
        <v>2.2639379864520102E-2</v>
      </c>
      <c r="O577" s="406">
        <f t="shared" si="68"/>
        <v>2.2103947661108628E-2</v>
      </c>
      <c r="P577" s="406">
        <f t="shared" si="68"/>
        <v>2.1699115758626149E-2</v>
      </c>
      <c r="Q577" s="406">
        <f t="shared" si="68"/>
        <v>2.1387828787232034E-2</v>
      </c>
      <c r="R577" s="406">
        <f t="shared" si="68"/>
        <v>2.1153664984930438E-2</v>
      </c>
      <c r="S577" s="406">
        <f t="shared" si="68"/>
        <v>2.0984822716868513E-2</v>
      </c>
      <c r="T577" s="406">
        <f t="shared" si="68"/>
        <v>2.0868826713945597E-2</v>
      </c>
      <c r="U577" s="406">
        <f t="shared" si="68"/>
        <v>2.0792301332720312E-2</v>
      </c>
    </row>
    <row r="578" spans="2:21">
      <c r="B578" s="319" t="s">
        <v>1217</v>
      </c>
      <c r="C578" s="406">
        <f t="shared" ref="C578:G582" si="69">C519/SUM(C$519:C$523)</f>
        <v>0.21731820623784204</v>
      </c>
      <c r="D578" s="406">
        <f t="shared" si="69"/>
        <v>0.22207571541814386</v>
      </c>
      <c r="E578" s="406">
        <f t="shared" si="69"/>
        <v>0.21389834075221517</v>
      </c>
      <c r="F578" s="406">
        <f t="shared" si="69"/>
        <v>0.21085006836243991</v>
      </c>
      <c r="G578" s="406">
        <f t="shared" si="69"/>
        <v>0.20930785421571702</v>
      </c>
      <c r="H578" s="406">
        <f t="shared" ref="H578:I582" si="70">H519/SUM(H$519:H$523)</f>
        <v>0.20640240939849247</v>
      </c>
      <c r="I578" s="406">
        <f t="shared" si="70"/>
        <v>0.20711353980297967</v>
      </c>
      <c r="J578" s="406"/>
      <c r="K578" s="406"/>
      <c r="L578" s="406"/>
      <c r="M578" s="406"/>
      <c r="N578" s="406"/>
      <c r="O578" s="406"/>
      <c r="P578" s="406"/>
      <c r="Q578" s="406"/>
      <c r="R578" s="406"/>
      <c r="S578" s="406"/>
      <c r="T578" s="406"/>
      <c r="U578" s="406"/>
    </row>
    <row r="579" spans="2:21">
      <c r="B579" s="319" t="s">
        <v>1218</v>
      </c>
      <c r="C579" s="406">
        <f t="shared" si="69"/>
        <v>0.31882136228992897</v>
      </c>
      <c r="D579" s="406">
        <f t="shared" si="69"/>
        <v>0.32808460428570108</v>
      </c>
      <c r="E579" s="406">
        <f t="shared" si="69"/>
        <v>0.33536569426973373</v>
      </c>
      <c r="F579" s="406">
        <f t="shared" ref="F579:G582" si="71">F520/SUM(F$519:F$523)</f>
        <v>0.34191035946780912</v>
      </c>
      <c r="G579" s="406">
        <f t="shared" si="71"/>
        <v>0.34740041137407307</v>
      </c>
      <c r="H579" s="406">
        <f t="shared" si="70"/>
        <v>0.3524310541638182</v>
      </c>
      <c r="I579" s="406">
        <f t="shared" si="70"/>
        <v>0.34887873090866495</v>
      </c>
      <c r="J579" s="406"/>
      <c r="K579" s="406"/>
      <c r="L579" s="406"/>
      <c r="M579" s="406"/>
      <c r="N579" s="406"/>
      <c r="O579" s="406"/>
      <c r="P579" s="406"/>
      <c r="Q579" s="406"/>
      <c r="R579" s="406"/>
      <c r="S579" s="406"/>
      <c r="T579" s="406"/>
      <c r="U579" s="406"/>
    </row>
    <row r="580" spans="2:21">
      <c r="B580" s="319" t="s">
        <v>1219</v>
      </c>
      <c r="C580" s="406">
        <f t="shared" si="69"/>
        <v>0.22333299870692064</v>
      </c>
      <c r="D580" s="406">
        <f t="shared" si="69"/>
        <v>0.23457348891717492</v>
      </c>
      <c r="E580" s="406">
        <f t="shared" si="69"/>
        <v>0.23581029464547723</v>
      </c>
      <c r="F580" s="406">
        <f t="shared" si="71"/>
        <v>0.2425754305430779</v>
      </c>
      <c r="G580" s="406">
        <f t="shared" si="71"/>
        <v>0.24806923800281039</v>
      </c>
      <c r="H580" s="406">
        <f t="shared" si="70"/>
        <v>0.25346063646269423</v>
      </c>
      <c r="I580" s="406">
        <f t="shared" si="70"/>
        <v>0.26623108579543453</v>
      </c>
      <c r="J580" s="406"/>
      <c r="K580" s="406"/>
      <c r="L580" s="406"/>
      <c r="M580" s="406"/>
      <c r="N580" s="406"/>
      <c r="O580" s="406"/>
      <c r="P580" s="406"/>
      <c r="Q580" s="406"/>
      <c r="R580" s="406"/>
      <c r="S580" s="406"/>
      <c r="T580" s="406"/>
      <c r="U580" s="406"/>
    </row>
    <row r="581" spans="2:21">
      <c r="B581" s="319" t="s">
        <v>1220</v>
      </c>
      <c r="C581" s="406">
        <f t="shared" si="69"/>
        <v>0.21241934134627663</v>
      </c>
      <c r="D581" s="406">
        <f t="shared" si="69"/>
        <v>0.19135211671241767</v>
      </c>
      <c r="E581" s="406">
        <f t="shared" si="69"/>
        <v>0.1865886735862349</v>
      </c>
      <c r="F581" s="406">
        <f t="shared" si="71"/>
        <v>0.17642253954739964</v>
      </c>
      <c r="G581" s="406">
        <f t="shared" si="71"/>
        <v>0.16772274487697611</v>
      </c>
      <c r="H581" s="406">
        <f t="shared" si="70"/>
        <v>0.16128872606212996</v>
      </c>
      <c r="I581" s="406">
        <f t="shared" si="70"/>
        <v>0.15586995388482058</v>
      </c>
      <c r="J581" s="406"/>
      <c r="K581" s="406"/>
      <c r="L581" s="406"/>
      <c r="M581" s="406"/>
      <c r="N581" s="406"/>
      <c r="O581" s="406"/>
      <c r="P581" s="406"/>
      <c r="Q581" s="406"/>
      <c r="R581" s="406"/>
      <c r="S581" s="406"/>
      <c r="T581" s="406"/>
      <c r="U581" s="406"/>
    </row>
    <row r="582" spans="2:21">
      <c r="B582" s="319" t="s">
        <v>1221</v>
      </c>
      <c r="C582" s="406">
        <f t="shared" si="69"/>
        <v>2.8108091419031731E-2</v>
      </c>
      <c r="D582" s="406">
        <f t="shared" si="69"/>
        <v>2.3914074666562295E-2</v>
      </c>
      <c r="E582" s="406">
        <f t="shared" si="69"/>
        <v>2.8336996746339056E-2</v>
      </c>
      <c r="F582" s="406">
        <f t="shared" si="71"/>
        <v>2.8241602079273266E-2</v>
      </c>
      <c r="G582" s="406">
        <f t="shared" si="71"/>
        <v>2.7499751530423493E-2</v>
      </c>
      <c r="H582" s="406">
        <f t="shared" si="70"/>
        <v>2.6417173912865063E-2</v>
      </c>
      <c r="I582" s="406">
        <f t="shared" si="70"/>
        <v>2.1906689608100358E-2</v>
      </c>
      <c r="J582" s="406"/>
      <c r="K582" s="406"/>
      <c r="L582" s="406"/>
      <c r="M582" s="406"/>
      <c r="N582" s="406"/>
      <c r="O582" s="406"/>
      <c r="P582" s="406"/>
      <c r="Q582" s="406"/>
      <c r="R582" s="406"/>
      <c r="S582" s="406"/>
      <c r="T582" s="406"/>
      <c r="U582" s="406"/>
    </row>
    <row r="583" spans="2:21">
      <c r="B583" s="319" t="s">
        <v>1222</v>
      </c>
      <c r="C583" s="406"/>
      <c r="D583" s="406"/>
      <c r="E583" s="406"/>
      <c r="F583" s="406"/>
      <c r="G583" s="406"/>
      <c r="H583" s="406"/>
      <c r="I583" s="406">
        <f>I578</f>
        <v>0.20711353980297967</v>
      </c>
      <c r="J583" s="406">
        <f>J524/SUM(J$524:J$528)</f>
        <v>0.21665636294278032</v>
      </c>
      <c r="K583" s="406">
        <f t="shared" ref="K583:S583" si="72">K524/SUM(K$524:K$528)</f>
        <v>0.22600826642020386</v>
      </c>
      <c r="L583" s="406">
        <f t="shared" si="72"/>
        <v>0.23507065602524491</v>
      </c>
      <c r="M583" s="406">
        <f t="shared" si="72"/>
        <v>0.24215436982900568</v>
      </c>
      <c r="N583" s="406">
        <f t="shared" si="72"/>
        <v>0.24801365831824404</v>
      </c>
      <c r="O583" s="406">
        <f t="shared" si="72"/>
        <v>0.25274660273225807</v>
      </c>
      <c r="P583" s="406">
        <f t="shared" si="72"/>
        <v>0.25709977265436135</v>
      </c>
      <c r="Q583" s="406">
        <f t="shared" si="72"/>
        <v>0.25928522219067573</v>
      </c>
      <c r="R583" s="406">
        <f t="shared" si="72"/>
        <v>0.25977998033076738</v>
      </c>
      <c r="S583" s="406">
        <f t="shared" si="72"/>
        <v>0.25925047048322608</v>
      </c>
      <c r="T583" s="406">
        <f t="shared" ref="T583:U587" si="73">T524/SUM(T$524:T$528)</f>
        <v>0.25859160135979925</v>
      </c>
      <c r="U583" s="406">
        <f t="shared" si="73"/>
        <v>0.25782365937486551</v>
      </c>
    </row>
    <row r="584" spans="2:21">
      <c r="B584" s="319" t="s">
        <v>1223</v>
      </c>
      <c r="C584" s="406"/>
      <c r="D584" s="406"/>
      <c r="E584" s="406"/>
      <c r="F584" s="406"/>
      <c r="G584" s="406"/>
      <c r="H584" s="406"/>
      <c r="I584" s="406">
        <f>I579</f>
        <v>0.34887873090866495</v>
      </c>
      <c r="J584" s="406">
        <f>J525/SUM(J$524:J$528)</f>
        <v>0.34257488910456502</v>
      </c>
      <c r="K584" s="406">
        <f t="shared" ref="K584:S584" si="74">K525/SUM(K$524:K$528)</f>
        <v>0.33585667062234936</v>
      </c>
      <c r="L584" s="406">
        <f t="shared" si="74"/>
        <v>0.32949392628411228</v>
      </c>
      <c r="M584" s="406">
        <f t="shared" si="74"/>
        <v>0.32445642867791297</v>
      </c>
      <c r="N584" s="406">
        <f t="shared" si="74"/>
        <v>0.32057546784875063</v>
      </c>
      <c r="O584" s="406">
        <f t="shared" si="74"/>
        <v>0.31780733548191148</v>
      </c>
      <c r="P584" s="406">
        <f t="shared" si="74"/>
        <v>0.3158071248840304</v>
      </c>
      <c r="Q584" s="406">
        <f t="shared" si="74"/>
        <v>0.3151018804453728</v>
      </c>
      <c r="R584" s="406">
        <f t="shared" si="74"/>
        <v>0.31529463325535279</v>
      </c>
      <c r="S584" s="406">
        <f t="shared" si="74"/>
        <v>0.31595656648783965</v>
      </c>
      <c r="T584" s="406">
        <f t="shared" si="73"/>
        <v>0.31664392704764022</v>
      </c>
      <c r="U584" s="406">
        <f t="shared" si="73"/>
        <v>0.31730110497037983</v>
      </c>
    </row>
    <row r="585" spans="2:21">
      <c r="B585" s="319" t="s">
        <v>1224</v>
      </c>
      <c r="C585" s="406"/>
      <c r="D585" s="406"/>
      <c r="E585" s="406"/>
      <c r="F585" s="406"/>
      <c r="G585" s="406"/>
      <c r="H585" s="406"/>
      <c r="I585" s="406">
        <f>I580</f>
        <v>0.26623108579543453</v>
      </c>
      <c r="J585" s="406">
        <f>J526/SUM(J$524:J$528)</f>
        <v>0.26877660671093667</v>
      </c>
      <c r="K585" s="406">
        <f t="shared" ref="K585:S585" si="75">K526/SUM(K$524:K$528)</f>
        <v>0.27051017012668976</v>
      </c>
      <c r="L585" s="406">
        <f t="shared" si="75"/>
        <v>0.27111214017181418</v>
      </c>
      <c r="M585" s="406">
        <f t="shared" si="75"/>
        <v>0.27124170512378215</v>
      </c>
      <c r="N585" s="406">
        <f t="shared" si="75"/>
        <v>0.27072199376048722</v>
      </c>
      <c r="O585" s="406">
        <f t="shared" si="75"/>
        <v>0.26971636505916635</v>
      </c>
      <c r="P585" s="406">
        <f t="shared" si="75"/>
        <v>0.26812589902989908</v>
      </c>
      <c r="Q585" s="406">
        <f t="shared" si="75"/>
        <v>0.2669543091796916</v>
      </c>
      <c r="R585" s="406">
        <f t="shared" si="75"/>
        <v>0.26623457368772552</v>
      </c>
      <c r="S585" s="406">
        <f t="shared" si="75"/>
        <v>0.26586397151581587</v>
      </c>
      <c r="T585" s="406">
        <f t="shared" si="73"/>
        <v>0.26557688886379655</v>
      </c>
      <c r="U585" s="406">
        <f t="shared" si="73"/>
        <v>0.26542456190783759</v>
      </c>
    </row>
    <row r="586" spans="2:21">
      <c r="B586" s="319" t="s">
        <v>1225</v>
      </c>
      <c r="C586" s="406"/>
      <c r="D586" s="406"/>
      <c r="E586" s="406"/>
      <c r="F586" s="406"/>
      <c r="G586" s="406"/>
      <c r="H586" s="406"/>
      <c r="I586" s="406">
        <f>I581</f>
        <v>0.15586995388482058</v>
      </c>
      <c r="J586" s="406">
        <f>J527/SUM(J$524:J$528)</f>
        <v>0.14797555795953438</v>
      </c>
      <c r="K586" s="406">
        <f t="shared" ref="K586:S586" si="76">K527/SUM(K$524:K$528)</f>
        <v>0.14317064015418057</v>
      </c>
      <c r="L586" s="406">
        <f t="shared" si="76"/>
        <v>0.14014880714954908</v>
      </c>
      <c r="M586" s="406">
        <f t="shared" si="76"/>
        <v>0.13847204315598696</v>
      </c>
      <c r="N586" s="406">
        <f t="shared" si="76"/>
        <v>0.13752706772777218</v>
      </c>
      <c r="O586" s="406">
        <f t="shared" si="76"/>
        <v>0.13700892255631747</v>
      </c>
      <c r="P586" s="406">
        <f t="shared" si="76"/>
        <v>0.13659349127560069</v>
      </c>
      <c r="Q586" s="406">
        <f t="shared" si="76"/>
        <v>0.13653968248034393</v>
      </c>
      <c r="R586" s="406">
        <f t="shared" si="76"/>
        <v>0.1367474210443991</v>
      </c>
      <c r="S586" s="406">
        <f t="shared" si="76"/>
        <v>0.13709640983934543</v>
      </c>
      <c r="T586" s="406">
        <f t="shared" si="73"/>
        <v>0.13741609442030009</v>
      </c>
      <c r="U586" s="406">
        <f t="shared" si="73"/>
        <v>0.13770545155653705</v>
      </c>
    </row>
    <row r="587" spans="2:21">
      <c r="B587" s="319" t="s">
        <v>1226</v>
      </c>
      <c r="C587" s="406"/>
      <c r="D587" s="406"/>
      <c r="E587" s="406"/>
      <c r="F587" s="406"/>
      <c r="G587" s="406"/>
      <c r="H587" s="406"/>
      <c r="I587" s="406">
        <f>I582</f>
        <v>2.1906689608100358E-2</v>
      </c>
      <c r="J587" s="406">
        <f>J528/SUM(J$524:J$528)</f>
        <v>2.4016583282183569E-2</v>
      </c>
      <c r="K587" s="406">
        <f t="shared" ref="K587:S587" si="77">K528/SUM(K$524:K$528)</f>
        <v>2.4454252676576357E-2</v>
      </c>
      <c r="L587" s="406">
        <f t="shared" si="77"/>
        <v>2.4174470369279583E-2</v>
      </c>
      <c r="M587" s="406">
        <f t="shared" si="77"/>
        <v>2.3675453213312204E-2</v>
      </c>
      <c r="N587" s="406">
        <f t="shared" si="77"/>
        <v>2.3161812344746013E-2</v>
      </c>
      <c r="O587" s="406">
        <f t="shared" si="77"/>
        <v>2.2720774170346528E-2</v>
      </c>
      <c r="P587" s="406">
        <f t="shared" si="77"/>
        <v>2.2373712156108456E-2</v>
      </c>
      <c r="Q587" s="406">
        <f t="shared" si="77"/>
        <v>2.2118905703915982E-2</v>
      </c>
      <c r="R587" s="406">
        <f t="shared" si="77"/>
        <v>2.1943391681755211E-2</v>
      </c>
      <c r="S587" s="406">
        <f t="shared" si="77"/>
        <v>2.1832581673773031E-2</v>
      </c>
      <c r="T587" s="406">
        <f t="shared" si="73"/>
        <v>2.1771488308463951E-2</v>
      </c>
      <c r="U587" s="406">
        <f t="shared" si="73"/>
        <v>2.1745222190379963E-2</v>
      </c>
    </row>
    <row r="588" spans="2:21">
      <c r="C588" s="302">
        <f>SUM(C568:C587)-2</f>
        <v>0</v>
      </c>
      <c r="D588" s="302">
        <f t="shared" ref="D588:U588" si="78">SUM(D568:D587)-2</f>
        <v>0</v>
      </c>
      <c r="E588" s="302">
        <f t="shared" si="78"/>
        <v>0</v>
      </c>
      <c r="F588" s="302">
        <f t="shared" si="78"/>
        <v>0</v>
      </c>
      <c r="G588" s="302">
        <f t="shared" si="78"/>
        <v>0</v>
      </c>
      <c r="I588" s="302">
        <f t="shared" si="78"/>
        <v>1.9999999999999996</v>
      </c>
      <c r="J588" s="302">
        <f t="shared" si="78"/>
        <v>0</v>
      </c>
      <c r="K588" s="302">
        <f t="shared" si="78"/>
        <v>0</v>
      </c>
      <c r="L588" s="302">
        <f t="shared" si="78"/>
        <v>0</v>
      </c>
      <c r="M588" s="302">
        <f t="shared" si="78"/>
        <v>0</v>
      </c>
      <c r="N588" s="302">
        <f t="shared" si="78"/>
        <v>0</v>
      </c>
      <c r="O588" s="302">
        <f t="shared" si="78"/>
        <v>0</v>
      </c>
      <c r="P588" s="302">
        <f t="shared" si="78"/>
        <v>0</v>
      </c>
      <c r="Q588" s="302">
        <f t="shared" si="78"/>
        <v>0</v>
      </c>
      <c r="R588" s="302">
        <f t="shared" si="78"/>
        <v>0</v>
      </c>
      <c r="S588" s="302">
        <f t="shared" si="78"/>
        <v>0</v>
      </c>
      <c r="T588" s="302">
        <f t="shared" si="78"/>
        <v>0</v>
      </c>
      <c r="U588" s="302">
        <f t="shared" si="78"/>
        <v>0</v>
      </c>
    </row>
    <row r="612" spans="2:21">
      <c r="B612" s="334" t="s">
        <v>1141</v>
      </c>
    </row>
    <row r="614" spans="2:21">
      <c r="B614" s="723"/>
      <c r="C614" s="319" t="str">
        <f>C24</f>
        <v>2010/11</v>
      </c>
      <c r="D614" s="319" t="str">
        <f t="shared" ref="D614:U614" si="79">D24</f>
        <v>2011/12</v>
      </c>
      <c r="E614" s="319" t="str">
        <f t="shared" si="79"/>
        <v>2012/13</v>
      </c>
      <c r="F614" s="319" t="str">
        <f t="shared" si="79"/>
        <v>2013/14</v>
      </c>
      <c r="G614" s="319" t="str">
        <f t="shared" si="79"/>
        <v>2014/15</v>
      </c>
      <c r="H614" s="319" t="str">
        <f t="shared" si="79"/>
        <v>2015/16</v>
      </c>
      <c r="I614" s="319" t="str">
        <f t="shared" si="79"/>
        <v>2016/17</v>
      </c>
      <c r="J614" s="319" t="str">
        <f t="shared" si="79"/>
        <v>2017/18</v>
      </c>
      <c r="K614" s="319" t="str">
        <f t="shared" si="79"/>
        <v>2018/19</v>
      </c>
      <c r="L614" s="319" t="str">
        <f t="shared" si="79"/>
        <v>2019/20</v>
      </c>
      <c r="M614" s="319" t="str">
        <f t="shared" si="79"/>
        <v>2020/21</v>
      </c>
      <c r="N614" s="319" t="str">
        <f t="shared" si="79"/>
        <v>2021/22</v>
      </c>
      <c r="O614" s="319" t="str">
        <f t="shared" si="79"/>
        <v>2022/23</v>
      </c>
      <c r="P614" s="319" t="str">
        <f t="shared" si="79"/>
        <v>2023/24</v>
      </c>
      <c r="Q614" s="319" t="str">
        <f t="shared" si="79"/>
        <v>2024/25</v>
      </c>
      <c r="R614" s="319" t="str">
        <f t="shared" si="79"/>
        <v>2025/26</v>
      </c>
      <c r="S614" s="319" t="str">
        <f t="shared" si="79"/>
        <v>2026/27</v>
      </c>
      <c r="T614" s="319" t="str">
        <f t="shared" si="79"/>
        <v>2027/28</v>
      </c>
      <c r="U614" s="319" t="str">
        <f t="shared" si="79"/>
        <v>2028/29</v>
      </c>
    </row>
    <row r="615" spans="2:21">
      <c r="B615" s="319" t="s">
        <v>980</v>
      </c>
      <c r="C615" s="447">
        <f t="shared" ref="C615:H615" si="80">C327</f>
        <v>20529.657089546286</v>
      </c>
      <c r="D615" s="447">
        <f t="shared" si="80"/>
        <v>23989.040999999994</v>
      </c>
      <c r="E615" s="447">
        <f t="shared" si="80"/>
        <v>25277.416000000001</v>
      </c>
      <c r="F615" s="447">
        <f t="shared" si="80"/>
        <v>26598.285000000003</v>
      </c>
      <c r="G615" s="447">
        <f t="shared" si="80"/>
        <v>26693.667000000001</v>
      </c>
      <c r="H615" s="447">
        <f t="shared" si="80"/>
        <v>25406.252</v>
      </c>
      <c r="I615" s="447"/>
      <c r="J615" s="447"/>
      <c r="K615" s="447"/>
      <c r="L615" s="447"/>
      <c r="M615" s="447"/>
      <c r="N615" s="447"/>
      <c r="O615" s="447"/>
      <c r="P615" s="447"/>
      <c r="Q615" s="447"/>
      <c r="R615" s="447"/>
      <c r="S615" s="447"/>
      <c r="T615" s="447"/>
      <c r="U615" s="447"/>
    </row>
    <row r="616" spans="2:21">
      <c r="B616" s="319" t="s">
        <v>981</v>
      </c>
      <c r="C616" s="447"/>
      <c r="D616" s="447"/>
      <c r="E616" s="447"/>
      <c r="F616" s="447"/>
      <c r="G616" s="447"/>
      <c r="H616" s="447"/>
      <c r="I616" s="447"/>
      <c r="J616" s="447">
        <f t="shared" ref="J616:U616" si="81">J328</f>
        <v>27567.610098506135</v>
      </c>
      <c r="K616" s="447">
        <f t="shared" si="81"/>
        <v>26168.018656485227</v>
      </c>
      <c r="L616" s="447">
        <f t="shared" si="81"/>
        <v>25492.593807015372</v>
      </c>
      <c r="M616" s="447">
        <f t="shared" si="81"/>
        <v>25178.924285860096</v>
      </c>
      <c r="N616" s="447">
        <f t="shared" si="81"/>
        <v>24958.713813880742</v>
      </c>
      <c r="O616" s="447">
        <f t="shared" si="81"/>
        <v>24696.100468209581</v>
      </c>
      <c r="P616" s="447">
        <f t="shared" si="81"/>
        <v>24408.266644993811</v>
      </c>
      <c r="Q616" s="447">
        <f t="shared" si="81"/>
        <v>24950.329485232243</v>
      </c>
      <c r="R616" s="447">
        <f t="shared" si="81"/>
        <v>25389.224909382261</v>
      </c>
      <c r="S616" s="447">
        <f t="shared" si="81"/>
        <v>25497.882054938753</v>
      </c>
      <c r="T616" s="447">
        <f t="shared" si="81"/>
        <v>25396.267516090727</v>
      </c>
      <c r="U616" s="447">
        <f t="shared" si="81"/>
        <v>25272.066186930482</v>
      </c>
    </row>
    <row r="617" spans="2:21">
      <c r="B617" s="319" t="s">
        <v>1127</v>
      </c>
      <c r="C617" s="447"/>
      <c r="D617" s="447">
        <f>D269</f>
        <v>20111.489062167639</v>
      </c>
      <c r="E617" s="447">
        <f>E269</f>
        <v>21601.430999999997</v>
      </c>
      <c r="F617" s="447">
        <f>F269</f>
        <v>23974.491000000002</v>
      </c>
      <c r="G617" s="447">
        <f>G269</f>
        <v>24838.873</v>
      </c>
      <c r="H617" s="447">
        <f>H269</f>
        <v>24403.489999999998</v>
      </c>
      <c r="I617" s="447"/>
      <c r="J617" s="447"/>
      <c r="K617" s="447"/>
      <c r="L617" s="447"/>
      <c r="M617" s="447"/>
      <c r="N617" s="447"/>
      <c r="O617" s="447"/>
      <c r="P617" s="447"/>
      <c r="Q617" s="447"/>
      <c r="R617" s="447"/>
      <c r="S617" s="447"/>
      <c r="T617" s="447"/>
      <c r="U617" s="447"/>
    </row>
    <row r="618" spans="2:21">
      <c r="B618" s="319" t="s">
        <v>1128</v>
      </c>
      <c r="C618" s="447"/>
      <c r="D618" s="447"/>
      <c r="E618" s="447"/>
      <c r="F618" s="447"/>
      <c r="G618" s="447"/>
      <c r="H618" s="447"/>
      <c r="I618" s="447"/>
      <c r="J618" s="447">
        <f t="shared" ref="J618:U618" si="82">J270</f>
        <v>25469.99905066513</v>
      </c>
      <c r="K618" s="447">
        <f t="shared" si="82"/>
        <v>25503.585449146347</v>
      </c>
      <c r="L618" s="447">
        <f t="shared" si="82"/>
        <v>25830.126220973489</v>
      </c>
      <c r="M618" s="447">
        <f t="shared" si="82"/>
        <v>25884.62884704036</v>
      </c>
      <c r="N618" s="447">
        <f t="shared" si="82"/>
        <v>25824.850765185958</v>
      </c>
      <c r="O618" s="447">
        <f t="shared" si="82"/>
        <v>25769.802032877473</v>
      </c>
      <c r="P618" s="447">
        <f t="shared" si="82"/>
        <v>25710.756349603485</v>
      </c>
      <c r="Q618" s="447">
        <f t="shared" si="82"/>
        <v>25641.555549155513</v>
      </c>
      <c r="R618" s="447">
        <f t="shared" si="82"/>
        <v>25648.461774369658</v>
      </c>
      <c r="S618" s="447">
        <f t="shared" si="82"/>
        <v>25708.639956692568</v>
      </c>
      <c r="T618" s="447">
        <f t="shared" si="82"/>
        <v>25778.373005504072</v>
      </c>
      <c r="U618" s="447">
        <f t="shared" si="82"/>
        <v>25832.426165774523</v>
      </c>
    </row>
    <row r="619" spans="2:21">
      <c r="B619" s="319" t="s">
        <v>1142</v>
      </c>
      <c r="C619" s="447"/>
      <c r="D619" s="447">
        <f>D615-D617</f>
        <v>3877.5519378323552</v>
      </c>
      <c r="E619" s="447">
        <f>E615-E617</f>
        <v>3675.9850000000042</v>
      </c>
      <c r="F619" s="447">
        <f>F615-F617</f>
        <v>2623.7940000000017</v>
      </c>
      <c r="G619" s="447">
        <f>G615-G617</f>
        <v>1854.7940000000017</v>
      </c>
      <c r="H619" s="447">
        <f>H615-H617</f>
        <v>1002.7620000000024</v>
      </c>
      <c r="I619" s="447"/>
      <c r="J619" s="447"/>
      <c r="K619" s="447"/>
      <c r="L619" s="447"/>
      <c r="M619" s="447"/>
      <c r="N619" s="447"/>
      <c r="O619" s="447"/>
      <c r="P619" s="447"/>
      <c r="Q619" s="447"/>
      <c r="R619" s="447"/>
      <c r="S619" s="447"/>
      <c r="T619" s="447"/>
      <c r="U619" s="447"/>
    </row>
    <row r="620" spans="2:21">
      <c r="B620" s="319" t="s">
        <v>1143</v>
      </c>
      <c r="C620" s="447"/>
      <c r="D620" s="447"/>
      <c r="E620" s="447"/>
      <c r="F620" s="447"/>
      <c r="G620" s="447"/>
      <c r="H620" s="447"/>
      <c r="I620" s="447"/>
      <c r="J620" s="447">
        <f t="shared" ref="J620:U620" si="83">J616-J618</f>
        <v>2097.6110478410046</v>
      </c>
      <c r="K620" s="447">
        <f t="shared" si="83"/>
        <v>664.43320733887958</v>
      </c>
      <c r="L620" s="447">
        <f t="shared" si="83"/>
        <v>-337.5324139581171</v>
      </c>
      <c r="M620" s="447">
        <f t="shared" si="83"/>
        <v>-705.70456118026414</v>
      </c>
      <c r="N620" s="447">
        <f t="shared" si="83"/>
        <v>-866.13695130521592</v>
      </c>
      <c r="O620" s="447">
        <f t="shared" si="83"/>
        <v>-1073.7015646678919</v>
      </c>
      <c r="P620" s="447">
        <f t="shared" si="83"/>
        <v>-1302.4897046096739</v>
      </c>
      <c r="Q620" s="447">
        <f t="shared" si="83"/>
        <v>-691.22606392326998</v>
      </c>
      <c r="R620" s="447">
        <f t="shared" si="83"/>
        <v>-259.23686498739698</v>
      </c>
      <c r="S620" s="447">
        <f t="shared" si="83"/>
        <v>-210.75790175381553</v>
      </c>
      <c r="T620" s="447">
        <f t="shared" si="83"/>
        <v>-382.10548941334491</v>
      </c>
      <c r="U620" s="447">
        <f t="shared" si="83"/>
        <v>-560.3599788440406</v>
      </c>
    </row>
    <row r="621" spans="2:21">
      <c r="B621" s="319" t="s">
        <v>982</v>
      </c>
      <c r="C621" s="447">
        <f t="shared" ref="C621:H621" si="84">C329</f>
        <v>19900.351266773563</v>
      </c>
      <c r="D621" s="447">
        <f t="shared" si="84"/>
        <v>21265.592999999993</v>
      </c>
      <c r="E621" s="447">
        <f t="shared" si="84"/>
        <v>20658.706999999999</v>
      </c>
      <c r="F621" s="447">
        <f t="shared" si="84"/>
        <v>21075.14</v>
      </c>
      <c r="G621" s="447">
        <f t="shared" si="84"/>
        <v>20526.904000000002</v>
      </c>
      <c r="H621" s="447">
        <f t="shared" si="84"/>
        <v>21260.055</v>
      </c>
      <c r="I621" s="447"/>
      <c r="J621" s="447"/>
      <c r="K621" s="447"/>
      <c r="L621" s="447"/>
      <c r="M621" s="447"/>
      <c r="N621" s="447"/>
      <c r="O621" s="447"/>
      <c r="P621" s="447"/>
      <c r="Q621" s="447"/>
      <c r="R621" s="447"/>
      <c r="S621" s="447"/>
      <c r="T621" s="447"/>
      <c r="U621" s="447"/>
    </row>
    <row r="622" spans="2:21">
      <c r="B622" s="319" t="s">
        <v>983</v>
      </c>
      <c r="C622" s="447"/>
      <c r="D622" s="447"/>
      <c r="E622" s="447"/>
      <c r="F622" s="447"/>
      <c r="G622" s="447"/>
      <c r="H622" s="447"/>
      <c r="I622" s="447"/>
      <c r="J622" s="447">
        <f t="shared" ref="J622:U622" si="85">J330</f>
        <v>25726.914332450637</v>
      </c>
      <c r="K622" s="447">
        <f t="shared" si="85"/>
        <v>26013.082992911095</v>
      </c>
      <c r="L622" s="447">
        <f t="shared" si="85"/>
        <v>26773.534628117941</v>
      </c>
      <c r="M622" s="447">
        <f t="shared" si="85"/>
        <v>26280.056655388191</v>
      </c>
      <c r="N622" s="447">
        <f t="shared" si="85"/>
        <v>26557.750010090593</v>
      </c>
      <c r="O622" s="447">
        <f t="shared" si="85"/>
        <v>26839.574362018644</v>
      </c>
      <c r="P622" s="447">
        <f t="shared" si="85"/>
        <v>27623.063634274476</v>
      </c>
      <c r="Q622" s="447">
        <f t="shared" si="85"/>
        <v>26917.518218870457</v>
      </c>
      <c r="R622" s="447">
        <f t="shared" si="85"/>
        <v>26106.103394555023</v>
      </c>
      <c r="S622" s="447">
        <f t="shared" si="85"/>
        <v>25450.928289338994</v>
      </c>
      <c r="T622" s="447">
        <f t="shared" si="85"/>
        <v>25287.319697064035</v>
      </c>
      <c r="U622" s="447">
        <f t="shared" si="85"/>
        <v>25073.871126010978</v>
      </c>
    </row>
    <row r="623" spans="2:21">
      <c r="B623" s="319" t="s">
        <v>1129</v>
      </c>
      <c r="C623" s="447"/>
      <c r="D623" s="447">
        <f>D271</f>
        <v>21107.755327273022</v>
      </c>
      <c r="E623" s="447">
        <f>E271</f>
        <v>22439.189000000002</v>
      </c>
      <c r="F623" s="447">
        <f>F271</f>
        <v>23521.777000000002</v>
      </c>
      <c r="G623" s="447">
        <f>G271</f>
        <v>25112.794000000002</v>
      </c>
      <c r="H623" s="447">
        <f>H271</f>
        <v>23996.908000000003</v>
      </c>
      <c r="I623" s="447"/>
      <c r="J623" s="447"/>
      <c r="K623" s="447"/>
      <c r="L623" s="447"/>
      <c r="M623" s="447"/>
      <c r="N623" s="447"/>
      <c r="O623" s="447"/>
      <c r="P623" s="447"/>
      <c r="Q623" s="447"/>
      <c r="R623" s="447"/>
      <c r="S623" s="447"/>
      <c r="T623" s="447"/>
      <c r="U623" s="447"/>
    </row>
    <row r="624" spans="2:21">
      <c r="B624" s="319" t="s">
        <v>1130</v>
      </c>
      <c r="C624" s="447"/>
      <c r="D624" s="447"/>
      <c r="E624" s="447"/>
      <c r="F624" s="447"/>
      <c r="G624" s="447"/>
      <c r="H624" s="447"/>
      <c r="I624" s="447"/>
      <c r="J624" s="447">
        <f t="shared" ref="J624:U624" si="86">J272</f>
        <v>23965.531070029494</v>
      </c>
      <c r="K624" s="447">
        <f t="shared" si="86"/>
        <v>23858.728281904921</v>
      </c>
      <c r="L624" s="447">
        <f t="shared" si="86"/>
        <v>24544.983035426107</v>
      </c>
      <c r="M624" s="447">
        <f t="shared" si="86"/>
        <v>24814.521789501643</v>
      </c>
      <c r="N624" s="447">
        <f t="shared" si="86"/>
        <v>25025.013487948076</v>
      </c>
      <c r="O624" s="447">
        <f t="shared" si="86"/>
        <v>25252.564256104852</v>
      </c>
      <c r="P624" s="447">
        <f t="shared" si="86"/>
        <v>25502.297367468738</v>
      </c>
      <c r="Q624" s="447">
        <f t="shared" si="86"/>
        <v>25791.500318501432</v>
      </c>
      <c r="R624" s="447">
        <f t="shared" si="86"/>
        <v>25953.788923394284</v>
      </c>
      <c r="S624" s="447">
        <f t="shared" si="86"/>
        <v>26003.999266691608</v>
      </c>
      <c r="T624" s="447">
        <f t="shared" si="86"/>
        <v>25979.634867583081</v>
      </c>
      <c r="U624" s="447">
        <f t="shared" si="86"/>
        <v>25941.801826349569</v>
      </c>
    </row>
    <row r="625" spans="2:21">
      <c r="B625" s="319" t="s">
        <v>1144</v>
      </c>
      <c r="C625" s="447"/>
      <c r="D625" s="447">
        <f>D621-D623</f>
        <v>157.8376727269715</v>
      </c>
      <c r="E625" s="447">
        <f>E621-E623</f>
        <v>-1780.4820000000036</v>
      </c>
      <c r="F625" s="447">
        <f>F621-F623</f>
        <v>-2446.6370000000024</v>
      </c>
      <c r="G625" s="447">
        <f>G621-G623</f>
        <v>-4585.8899999999994</v>
      </c>
      <c r="H625" s="447">
        <f>H621-H623</f>
        <v>-2736.8530000000028</v>
      </c>
      <c r="I625" s="447"/>
      <c r="J625" s="447"/>
      <c r="K625" s="447"/>
      <c r="L625" s="447"/>
      <c r="M625" s="447"/>
      <c r="N625" s="447"/>
      <c r="O625" s="447"/>
      <c r="P625" s="447"/>
      <c r="Q625" s="447"/>
      <c r="R625" s="447"/>
      <c r="S625" s="447"/>
      <c r="T625" s="447"/>
      <c r="U625" s="447"/>
    </row>
    <row r="626" spans="2:21">
      <c r="B626" s="319" t="s">
        <v>1145</v>
      </c>
      <c r="C626" s="447"/>
      <c r="D626" s="447"/>
      <c r="E626" s="447"/>
      <c r="F626" s="447"/>
      <c r="G626" s="447"/>
      <c r="H626" s="447"/>
      <c r="I626" s="447"/>
      <c r="J626" s="447">
        <f t="shared" ref="J626:U626" si="87">J622-J624</f>
        <v>1761.3832624211427</v>
      </c>
      <c r="K626" s="447">
        <f t="shared" si="87"/>
        <v>2154.3547110061736</v>
      </c>
      <c r="L626" s="447">
        <f t="shared" si="87"/>
        <v>2228.5515926918342</v>
      </c>
      <c r="M626" s="447">
        <f t="shared" si="87"/>
        <v>1465.5348658865478</v>
      </c>
      <c r="N626" s="447">
        <f t="shared" si="87"/>
        <v>1532.7365221425171</v>
      </c>
      <c r="O626" s="447">
        <f t="shared" si="87"/>
        <v>1587.0101059137924</v>
      </c>
      <c r="P626" s="447">
        <f t="shared" si="87"/>
        <v>2120.7662668057383</v>
      </c>
      <c r="Q626" s="447">
        <f t="shared" si="87"/>
        <v>1126.0179003690246</v>
      </c>
      <c r="R626" s="447">
        <f t="shared" si="87"/>
        <v>152.31447116073832</v>
      </c>
      <c r="S626" s="447">
        <f t="shared" si="87"/>
        <v>-553.07097735261414</v>
      </c>
      <c r="T626" s="447">
        <f t="shared" si="87"/>
        <v>-692.31517051904666</v>
      </c>
      <c r="U626" s="447">
        <f t="shared" si="87"/>
        <v>-867.93070033859112</v>
      </c>
    </row>
    <row r="649" spans="3:17">
      <c r="C649" s="269"/>
      <c r="D649" s="269"/>
      <c r="E649" s="269"/>
      <c r="F649" s="269"/>
      <c r="H649" s="269"/>
      <c r="I649" s="269"/>
      <c r="J649" s="269"/>
      <c r="K649" s="269"/>
      <c r="L649" s="269"/>
      <c r="M649" s="269"/>
      <c r="N649" s="269"/>
      <c r="O649" s="269"/>
      <c r="P649" s="269"/>
      <c r="Q649" s="269"/>
    </row>
    <row r="653" spans="3:17">
      <c r="C653" s="727"/>
      <c r="D653" s="727"/>
      <c r="E653" s="727"/>
      <c r="F653" s="727"/>
      <c r="G653" s="727"/>
      <c r="H653" s="727"/>
      <c r="I653" s="727"/>
      <c r="J653" s="727"/>
      <c r="K653" s="727"/>
      <c r="L653" s="727"/>
      <c r="M653" s="727"/>
      <c r="N653" s="727"/>
      <c r="O653" s="727"/>
    </row>
    <row r="654" spans="3:17">
      <c r="C654" s="451"/>
      <c r="D654" s="451"/>
      <c r="E654" s="451"/>
      <c r="F654" s="451"/>
      <c r="G654" s="451"/>
      <c r="H654" s="451"/>
      <c r="I654" s="451"/>
      <c r="J654" s="451"/>
    </row>
    <row r="655" spans="3:17">
      <c r="C655" s="269"/>
      <c r="D655" s="269"/>
      <c r="E655" s="269"/>
      <c r="F655" s="269"/>
      <c r="G655" s="269"/>
      <c r="H655" s="269"/>
      <c r="I655" s="269"/>
      <c r="J655" s="269"/>
    </row>
  </sheetData>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26"/>
  <sheetViews>
    <sheetView showGridLines="0" zoomScaleNormal="100" workbookViewId="0"/>
  </sheetViews>
  <sheetFormatPr defaultRowHeight="12.75"/>
  <cols>
    <col min="2" max="2" width="32.5703125" customWidth="1"/>
    <col min="3" max="23" width="12.85546875" bestFit="1" customWidth="1"/>
    <col min="24" max="25" width="12.85546875" customWidth="1"/>
    <col min="26" max="26" width="12.85546875" bestFit="1" customWidth="1"/>
    <col min="27" max="40" width="12.85546875" customWidth="1"/>
  </cols>
  <sheetData>
    <row r="1" spans="1:27" s="712" customFormat="1" ht="15">
      <c r="A1" s="64" t="str">
        <f>ModelBanner</f>
        <v>TSM_201819 Publication</v>
      </c>
    </row>
    <row r="2" spans="1:27" s="712" customFormat="1" ht="15">
      <c r="A2" s="940" t="s">
        <v>13</v>
      </c>
      <c r="B2" s="940" t="s">
        <v>30</v>
      </c>
    </row>
    <row r="3" spans="1:27" s="712" customFormat="1" ht="15">
      <c r="A3" s="66"/>
    </row>
    <row r="4" spans="1:27" s="56" customFormat="1">
      <c r="A4" s="57" t="s">
        <v>26</v>
      </c>
      <c r="B4" s="57"/>
      <c r="C4" s="57"/>
      <c r="D4" s="57"/>
      <c r="E4" s="285"/>
      <c r="F4" s="57"/>
      <c r="G4" s="57"/>
      <c r="H4" s="57"/>
      <c r="I4" s="57"/>
      <c r="J4" s="57"/>
      <c r="K4" s="57"/>
      <c r="L4" s="57"/>
      <c r="M4" s="57"/>
      <c r="N4" s="57"/>
      <c r="O4" s="57"/>
      <c r="P4" s="57"/>
      <c r="Q4" s="57"/>
    </row>
    <row r="5" spans="1:27" s="46" customFormat="1" ht="13.15" customHeight="1">
      <c r="A5" s="59" t="s">
        <v>1409</v>
      </c>
      <c r="B5" s="59"/>
      <c r="C5" s="59"/>
      <c r="D5" s="59"/>
      <c r="E5" s="59"/>
      <c r="F5" s="59"/>
      <c r="G5" s="59"/>
      <c r="H5" s="59"/>
      <c r="I5" s="59"/>
      <c r="J5" s="59"/>
      <c r="K5" s="59"/>
      <c r="L5" s="59"/>
      <c r="M5" s="59"/>
      <c r="N5" s="59"/>
      <c r="O5" s="59"/>
      <c r="P5" s="59"/>
      <c r="Q5" s="59"/>
    </row>
    <row r="6" spans="1:27" s="45" customFormat="1">
      <c r="A6" s="55" t="s">
        <v>1392</v>
      </c>
      <c r="B6" s="60"/>
      <c r="C6" s="60"/>
      <c r="D6" s="60"/>
      <c r="E6" s="285"/>
      <c r="F6" s="60"/>
      <c r="G6" s="60"/>
      <c r="H6" s="60"/>
      <c r="I6" s="60"/>
      <c r="J6" s="60"/>
      <c r="K6" s="60"/>
      <c r="L6" s="60"/>
      <c r="M6" s="60"/>
      <c r="N6" s="60"/>
      <c r="O6" s="60"/>
      <c r="P6" s="60"/>
      <c r="Q6" s="60"/>
    </row>
    <row r="7" spans="1:27" s="45" customFormat="1">
      <c r="A7" s="53" t="s">
        <v>179</v>
      </c>
      <c r="B7" s="55"/>
      <c r="C7" s="60"/>
      <c r="D7" s="60"/>
      <c r="E7" s="285"/>
      <c r="F7" s="60"/>
      <c r="G7" s="60"/>
      <c r="H7" s="60"/>
      <c r="I7" s="60"/>
      <c r="J7" s="60"/>
      <c r="K7" s="60"/>
      <c r="L7" s="60"/>
      <c r="M7" s="60"/>
      <c r="N7" s="60"/>
      <c r="O7" s="60"/>
      <c r="P7" s="60"/>
      <c r="Q7" s="60"/>
    </row>
    <row r="8" spans="1:27" s="45" customFormat="1">
      <c r="A8" s="55" t="s">
        <v>24</v>
      </c>
      <c r="B8" s="60"/>
      <c r="C8" s="60"/>
      <c r="D8" s="60"/>
      <c r="E8" s="285"/>
      <c r="F8" s="60"/>
      <c r="G8" s="60"/>
      <c r="H8" s="60"/>
      <c r="I8" s="60"/>
      <c r="J8" s="60"/>
      <c r="K8" s="60"/>
      <c r="L8" s="60"/>
      <c r="M8" s="60"/>
      <c r="N8" s="60"/>
      <c r="O8" s="60"/>
      <c r="P8" s="60"/>
      <c r="Q8" s="60"/>
    </row>
    <row r="9" spans="1:27" s="49" customFormat="1" ht="13.5" customHeight="1">
      <c r="A9" s="54" t="s">
        <v>124</v>
      </c>
      <c r="B9" s="72"/>
      <c r="C9" s="70"/>
      <c r="D9" s="711"/>
      <c r="E9" s="711"/>
      <c r="F9" s="711"/>
      <c r="G9" s="71"/>
      <c r="H9" s="711"/>
      <c r="I9" s="711"/>
      <c r="J9" s="71"/>
      <c r="K9" s="48"/>
      <c r="L9" s="48"/>
      <c r="M9" s="48"/>
      <c r="N9" s="48"/>
      <c r="O9" s="48"/>
      <c r="P9" s="48"/>
      <c r="Q9" s="48"/>
    </row>
    <row r="11" spans="1:27">
      <c r="B11" s="146" t="s">
        <v>330</v>
      </c>
    </row>
    <row r="12" spans="1:27" s="5" customFormat="1">
      <c r="C12" s="298" t="str">
        <f>RAW_DATA_INPUTS!C355</f>
        <v>2004/05</v>
      </c>
      <c r="D12" s="298" t="str">
        <f>RAW_DATA_INPUTS!D355</f>
        <v>2005/06</v>
      </c>
      <c r="E12" s="298" t="str">
        <f>RAW_DATA_INPUTS!E355</f>
        <v>2006/07</v>
      </c>
      <c r="F12" s="298" t="str">
        <f>RAW_DATA_INPUTS!F355</f>
        <v>2007/08</v>
      </c>
      <c r="G12" s="298" t="str">
        <f>RAW_DATA_INPUTS!G355</f>
        <v>2008/09</v>
      </c>
      <c r="H12" s="298" t="str">
        <f>RAW_DATA_INPUTS!H355</f>
        <v>2009/10</v>
      </c>
      <c r="I12" s="298" t="str">
        <f>RAW_DATA_INPUTS!I355</f>
        <v>2010/11</v>
      </c>
      <c r="J12" s="298" t="str">
        <f>RAW_DATA_INPUTS!J355</f>
        <v>2011/12</v>
      </c>
      <c r="K12" s="298" t="str">
        <f>RAW_DATA_INPUTS!K355</f>
        <v>2012/13</v>
      </c>
      <c r="L12" s="298" t="str">
        <f>RAW_DATA_INPUTS!L355</f>
        <v>2013/14</v>
      </c>
      <c r="M12" s="298" t="str">
        <f>RAW_DATA_INPUTS!M355</f>
        <v>2014/15</v>
      </c>
      <c r="N12" s="298" t="str">
        <f>RAW_DATA_INPUTS!N355</f>
        <v>2015/16</v>
      </c>
      <c r="O12" s="298" t="str">
        <f>RAW_DATA_INPUTS!O355</f>
        <v>2016/17</v>
      </c>
      <c r="P12" s="298" t="str">
        <f>RAW_DATA_INPUTS!P355</f>
        <v>2017/18</v>
      </c>
      <c r="Q12" s="298" t="str">
        <f>RAW_DATA_INPUTS!Q355</f>
        <v>2018/19</v>
      </c>
      <c r="R12" s="298" t="str">
        <f>RAW_DATA_INPUTS!R355</f>
        <v>2019/20</v>
      </c>
      <c r="S12" s="298" t="str">
        <f>RAW_DATA_INPUTS!S355</f>
        <v>2020/21</v>
      </c>
      <c r="T12" s="298" t="str">
        <f>RAW_DATA_INPUTS!T355</f>
        <v>2021/22</v>
      </c>
      <c r="U12" s="298" t="str">
        <f>RAW_DATA_INPUTS!U355</f>
        <v>2022/23</v>
      </c>
      <c r="V12" s="298" t="str">
        <f>RAW_DATA_INPUTS!V355</f>
        <v>2023/24</v>
      </c>
      <c r="W12" s="298" t="str">
        <f>RAW_DATA_INPUTS!W355</f>
        <v>2024/25</v>
      </c>
      <c r="X12" s="298" t="str">
        <f>RAW_DATA_INPUTS!X355</f>
        <v>2025/26</v>
      </c>
      <c r="Y12" s="298" t="str">
        <f>RAW_DATA_INPUTS!Y355</f>
        <v>2026/27</v>
      </c>
      <c r="Z12" s="298" t="str">
        <f>RAW_DATA_INPUTS!Z355</f>
        <v>2027/28</v>
      </c>
      <c r="AA12" s="298" t="str">
        <f>RAW_DATA_INPUTS!AA355</f>
        <v>2028/29</v>
      </c>
    </row>
    <row r="13" spans="1:27">
      <c r="B13" s="1004" t="s">
        <v>1622</v>
      </c>
      <c r="C13" s="296">
        <f>RAW_DATA_INPUTS!C356</f>
        <v>4133670.5</v>
      </c>
      <c r="D13" s="296">
        <f>RAW_DATA_INPUTS!D356</f>
        <v>4085271.436729731</v>
      </c>
      <c r="E13" s="296">
        <f>RAW_DATA_INPUTS!E356</f>
        <v>4047195.5</v>
      </c>
      <c r="F13" s="296">
        <f>RAW_DATA_INPUTS!F356</f>
        <v>4028055.5</v>
      </c>
      <c r="G13" s="296">
        <f>RAW_DATA_INPUTS!G356</f>
        <v>4016161.5</v>
      </c>
      <c r="H13" s="296">
        <f>RAW_DATA_INPUTS!H356</f>
        <v>4036364.5</v>
      </c>
      <c r="I13" s="296">
        <f>RAW_DATA_INPUTS!I356</f>
        <v>4074368</v>
      </c>
      <c r="J13" s="296">
        <f>RAW_DATA_INPUTS!J356</f>
        <v>4150277.5</v>
      </c>
      <c r="K13" s="296">
        <f>RAW_DATA_INPUTS!K356</f>
        <v>4247394.5</v>
      </c>
      <c r="L13" s="296">
        <f>RAW_DATA_INPUTS!L356</f>
        <v>4359000</v>
      </c>
      <c r="M13" s="296">
        <f>RAW_DATA_INPUTS!M356</f>
        <v>4463434</v>
      </c>
      <c r="N13" s="296">
        <f>RAW_DATA_INPUTS!N356</f>
        <v>4574041.5</v>
      </c>
      <c r="O13" s="296">
        <f>RAW_DATA_INPUTS!O356</f>
        <v>4659421</v>
      </c>
      <c r="P13" s="296">
        <f>RAW_DATA_INPUTS!P356</f>
        <v>4717394.1869075894</v>
      </c>
      <c r="Q13" s="296">
        <f>RAW_DATA_INPUTS!Q356</f>
        <v>4743197.9400571762</v>
      </c>
      <c r="R13" s="296">
        <f>RAW_DATA_INPUTS!R356</f>
        <v>4743394.7508921698</v>
      </c>
      <c r="S13" s="296">
        <f>RAW_DATA_INPUTS!S356</f>
        <v>4752324.1234839866</v>
      </c>
      <c r="T13" s="296">
        <f>RAW_DATA_INPUTS!T356</f>
        <v>4754699.5674540829</v>
      </c>
      <c r="U13" s="296">
        <f>RAW_DATA_INPUTS!U356</f>
        <v>4748628.8440450421</v>
      </c>
      <c r="V13" s="296">
        <f>RAW_DATA_INPUTS!V356</f>
        <v>4733277.2129678745</v>
      </c>
      <c r="W13" s="296">
        <f>RAW_DATA_INPUTS!W356</f>
        <v>4742429.7587460289</v>
      </c>
      <c r="X13" s="296">
        <f>RAW_DATA_INPUTS!X356</f>
        <v>4769065.3698165566</v>
      </c>
      <c r="Y13" s="296">
        <f>RAW_DATA_INPUTS!Y356</f>
        <v>4797832.532279524</v>
      </c>
      <c r="Z13" s="296">
        <f>RAW_DATA_INPUTS!Z356</f>
        <v>4819809.7676248243</v>
      </c>
      <c r="AA13" s="296">
        <f>RAW_DATA_INPUTS!AA356</f>
        <v>4834650.7574622277</v>
      </c>
    </row>
    <row r="14" spans="1:27">
      <c r="B14" s="1004" t="s">
        <v>1247</v>
      </c>
      <c r="C14" s="296">
        <v>4133670.5</v>
      </c>
      <c r="D14" s="296">
        <v>4085271.436729731</v>
      </c>
      <c r="E14" s="296">
        <v>4047195.5</v>
      </c>
      <c r="F14" s="296">
        <v>4028055.5</v>
      </c>
      <c r="G14" s="296">
        <v>4016161.5</v>
      </c>
      <c r="H14" s="296">
        <v>4036364.5</v>
      </c>
      <c r="I14" s="296">
        <v>4074368</v>
      </c>
      <c r="J14" s="296">
        <v>4150277.5</v>
      </c>
      <c r="K14" s="296">
        <v>4247394.5</v>
      </c>
      <c r="L14" s="296">
        <v>4359000</v>
      </c>
      <c r="M14" s="296">
        <v>4463434</v>
      </c>
      <c r="N14" s="296">
        <v>4574041.5</v>
      </c>
      <c r="O14" s="296">
        <v>4669403.6051013358</v>
      </c>
      <c r="P14" s="296">
        <v>4728615.0056829667</v>
      </c>
      <c r="Q14" s="296">
        <v>4754148.1072515734</v>
      </c>
      <c r="R14" s="296">
        <v>4754929.3367273957</v>
      </c>
      <c r="S14" s="296">
        <v>4765188.6443500407</v>
      </c>
      <c r="T14" s="296">
        <v>4768353.1674103234</v>
      </c>
      <c r="U14" s="296">
        <v>4760117.7392643597</v>
      </c>
      <c r="V14" s="296">
        <v>4744856.0009206505</v>
      </c>
      <c r="W14" s="296">
        <v>4754081.3268117374</v>
      </c>
      <c r="X14" s="296">
        <v>4780859.047119638</v>
      </c>
      <c r="Y14" s="296">
        <v>4809841.7847702289</v>
      </c>
      <c r="Z14" s="296">
        <v>4831636.05383253</v>
      </c>
      <c r="AA14" s="296"/>
    </row>
    <row r="15" spans="1:27">
      <c r="B15" s="12"/>
      <c r="C15" s="296"/>
      <c r="D15" s="296"/>
      <c r="E15" s="296"/>
      <c r="F15" s="296"/>
      <c r="G15" s="296"/>
      <c r="H15" s="296"/>
      <c r="I15" s="296"/>
      <c r="J15" s="296"/>
      <c r="K15" s="296"/>
      <c r="L15" s="296"/>
      <c r="M15" s="296"/>
      <c r="N15" s="296"/>
      <c r="O15" s="296"/>
      <c r="P15" s="296"/>
      <c r="Q15" s="296"/>
      <c r="R15" s="296"/>
      <c r="S15" s="296"/>
      <c r="T15" s="296"/>
      <c r="U15" s="296"/>
      <c r="V15" s="296"/>
      <c r="W15" s="296"/>
      <c r="X15" s="296"/>
      <c r="Y15" s="296"/>
      <c r="Z15" s="296"/>
      <c r="AA15" s="296"/>
    </row>
    <row r="16" spans="1:27">
      <c r="B16" s="146" t="s">
        <v>1571</v>
      </c>
      <c r="C16" s="295"/>
      <c r="D16" s="295"/>
      <c r="E16" s="295"/>
      <c r="F16" s="295"/>
      <c r="G16" s="295"/>
      <c r="H16" s="295"/>
      <c r="I16" s="295"/>
      <c r="J16" s="295"/>
      <c r="K16" s="295"/>
      <c r="L16" s="295"/>
      <c r="M16" s="295"/>
      <c r="N16" s="295"/>
      <c r="O16" s="295"/>
      <c r="P16" s="295"/>
      <c r="Q16" s="295"/>
      <c r="R16" s="295"/>
      <c r="S16" s="295"/>
      <c r="T16" s="295"/>
      <c r="U16" s="295"/>
      <c r="V16" s="295"/>
      <c r="W16" s="295"/>
      <c r="X16" s="295"/>
      <c r="Y16" s="295"/>
      <c r="Z16" s="295"/>
    </row>
    <row r="17" spans="2:27" s="5" customFormat="1">
      <c r="C17" s="298" t="str">
        <f t="shared" ref="C17:AA17" si="0">C12</f>
        <v>2004/05</v>
      </c>
      <c r="D17" s="298" t="str">
        <f t="shared" si="0"/>
        <v>2005/06</v>
      </c>
      <c r="E17" s="298" t="str">
        <f t="shared" si="0"/>
        <v>2006/07</v>
      </c>
      <c r="F17" s="298" t="str">
        <f t="shared" si="0"/>
        <v>2007/08</v>
      </c>
      <c r="G17" s="298" t="str">
        <f t="shared" si="0"/>
        <v>2008/09</v>
      </c>
      <c r="H17" s="298" t="str">
        <f t="shared" si="0"/>
        <v>2009/10</v>
      </c>
      <c r="I17" s="298" t="str">
        <f t="shared" si="0"/>
        <v>2010/11</v>
      </c>
      <c r="J17" s="298" t="str">
        <f t="shared" si="0"/>
        <v>2011/12</v>
      </c>
      <c r="K17" s="298" t="str">
        <f t="shared" si="0"/>
        <v>2012/13</v>
      </c>
      <c r="L17" s="298" t="str">
        <f t="shared" si="0"/>
        <v>2013/14</v>
      </c>
      <c r="M17" s="298" t="str">
        <f t="shared" si="0"/>
        <v>2014/15</v>
      </c>
      <c r="N17" s="298" t="str">
        <f t="shared" si="0"/>
        <v>2015/16</v>
      </c>
      <c r="O17" s="298" t="str">
        <f t="shared" si="0"/>
        <v>2016/17</v>
      </c>
      <c r="P17" s="298" t="str">
        <f t="shared" si="0"/>
        <v>2017/18</v>
      </c>
      <c r="Q17" s="298" t="str">
        <f t="shared" si="0"/>
        <v>2018/19</v>
      </c>
      <c r="R17" s="298" t="str">
        <f t="shared" si="0"/>
        <v>2019/20</v>
      </c>
      <c r="S17" s="298" t="str">
        <f t="shared" si="0"/>
        <v>2020/21</v>
      </c>
      <c r="T17" s="298" t="str">
        <f t="shared" si="0"/>
        <v>2021/22</v>
      </c>
      <c r="U17" s="298" t="str">
        <f t="shared" si="0"/>
        <v>2022/23</v>
      </c>
      <c r="V17" s="298" t="str">
        <f t="shared" si="0"/>
        <v>2023/24</v>
      </c>
      <c r="W17" s="298" t="str">
        <f t="shared" si="0"/>
        <v>2024/25</v>
      </c>
      <c r="X17" s="298" t="str">
        <f t="shared" si="0"/>
        <v>2025/26</v>
      </c>
      <c r="Y17" s="298" t="str">
        <f t="shared" si="0"/>
        <v>2026/27</v>
      </c>
      <c r="Z17" s="298" t="str">
        <f t="shared" si="0"/>
        <v>2027/28</v>
      </c>
      <c r="AA17" s="298" t="str">
        <f t="shared" si="0"/>
        <v>2028/29</v>
      </c>
    </row>
    <row r="18" spans="2:27">
      <c r="B18" s="1004" t="s">
        <v>1623</v>
      </c>
      <c r="C18" s="297">
        <f>RAW_DATA_INPUTS!C357</f>
        <v>1783139.5</v>
      </c>
      <c r="D18" s="297">
        <f>RAW_DATA_INPUTS!D357</f>
        <v>1758000.0007601124</v>
      </c>
      <c r="E18" s="297">
        <f>RAW_DATA_INPUTS!E357</f>
        <v>1722930</v>
      </c>
      <c r="F18" s="297">
        <f>RAW_DATA_INPUTS!F357</f>
        <v>1701531</v>
      </c>
      <c r="G18" s="297">
        <f>RAW_DATA_INPUTS!G357</f>
        <v>1691158</v>
      </c>
      <c r="H18" s="297">
        <f>RAW_DATA_INPUTS!H357</f>
        <v>1680949</v>
      </c>
      <c r="I18" s="297">
        <f>RAW_DATA_INPUTS!I357</f>
        <v>1672689.5</v>
      </c>
      <c r="J18" s="297">
        <f>RAW_DATA_INPUTS!J357</f>
        <v>1641887</v>
      </c>
      <c r="K18" s="297">
        <f>RAW_DATA_INPUTS!K357</f>
        <v>1612821</v>
      </c>
      <c r="L18" s="297">
        <f>RAW_DATA_INPUTS!L357</f>
        <v>1587472</v>
      </c>
      <c r="M18" s="297">
        <f>RAW_DATA_INPUTS!M357</f>
        <v>1595949</v>
      </c>
      <c r="N18" s="297">
        <f>RAW_DATA_INPUTS!N357</f>
        <v>1630717</v>
      </c>
      <c r="O18" s="297">
        <f>RAW_DATA_INPUTS!O357</f>
        <v>1678899</v>
      </c>
      <c r="P18" s="297">
        <f>RAW_DATA_INPUTS!P357</f>
        <v>1724020.9710333012</v>
      </c>
      <c r="Q18" s="297">
        <f>RAW_DATA_INPUTS!Q357</f>
        <v>1772854.5848039868</v>
      </c>
      <c r="R18" s="297">
        <f>RAW_DATA_INPUTS!R357</f>
        <v>1834934.1224812306</v>
      </c>
      <c r="S18" s="297">
        <f>RAW_DATA_INPUTS!S357</f>
        <v>1879210.7299530376</v>
      </c>
      <c r="T18" s="297">
        <f>RAW_DATA_INPUTS!T357</f>
        <v>1914351.168622531</v>
      </c>
      <c r="U18" s="297">
        <f>RAW_DATA_INPUTS!U357</f>
        <v>1936762.2517991117</v>
      </c>
      <c r="V18" s="297">
        <f>RAW_DATA_INPUTS!V357</f>
        <v>1974817.9779716961</v>
      </c>
      <c r="W18" s="297">
        <f>RAW_DATA_INPUTS!W357</f>
        <v>1978504.8643901525</v>
      </c>
      <c r="X18" s="297">
        <f>RAW_DATA_INPUTS!X357</f>
        <v>1953779.1387891811</v>
      </c>
      <c r="Y18" s="297">
        <f>RAW_DATA_INPUTS!Y357</f>
        <v>1915886.5892006818</v>
      </c>
      <c r="Z18" s="297">
        <f>RAW_DATA_INPUTS!Z357</f>
        <v>1907012.1075926665</v>
      </c>
      <c r="AA18" s="297">
        <f>RAW_DATA_INPUTS!AA357</f>
        <v>1919851.9246029067</v>
      </c>
    </row>
    <row r="19" spans="2:27">
      <c r="B19" s="1004" t="s">
        <v>1572</v>
      </c>
      <c r="C19" s="297">
        <v>1783139.5</v>
      </c>
      <c r="D19" s="297">
        <v>1758000.0007601124</v>
      </c>
      <c r="E19" s="297">
        <v>1722930</v>
      </c>
      <c r="F19" s="297">
        <v>1701531</v>
      </c>
      <c r="G19" s="297">
        <v>1691158</v>
      </c>
      <c r="H19" s="297">
        <v>1680949</v>
      </c>
      <c r="I19" s="297">
        <v>1672689.5</v>
      </c>
      <c r="J19" s="297">
        <v>1641887</v>
      </c>
      <c r="K19" s="297">
        <v>1612821</v>
      </c>
      <c r="L19" s="297">
        <v>1587472</v>
      </c>
      <c r="M19" s="297">
        <v>1595949</v>
      </c>
      <c r="N19" s="297">
        <v>1630717</v>
      </c>
      <c r="O19" s="297">
        <v>1684263.7099882406</v>
      </c>
      <c r="P19" s="297">
        <v>1728753.1396461697</v>
      </c>
      <c r="Q19" s="297">
        <v>1776887.7109150444</v>
      </c>
      <c r="R19" s="297">
        <v>1837687.6258995868</v>
      </c>
      <c r="S19" s="297">
        <v>1881127.9885499382</v>
      </c>
      <c r="T19" s="297">
        <v>1915313.121305503</v>
      </c>
      <c r="U19" s="297">
        <v>1940527.0547370678</v>
      </c>
      <c r="V19" s="297">
        <v>1979340.1487121659</v>
      </c>
      <c r="W19" s="297">
        <v>1983726.1049581233</v>
      </c>
      <c r="X19" s="297">
        <v>1956668.4677220159</v>
      </c>
      <c r="Y19" s="297">
        <v>1918632.3095877871</v>
      </c>
      <c r="Z19" s="297">
        <v>1909994.1147172714</v>
      </c>
      <c r="AA19" s="297"/>
    </row>
    <row r="20" spans="2:27">
      <c r="B20" s="12"/>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c r="AA20" s="297"/>
    </row>
    <row r="21" spans="2:27">
      <c r="B21" s="146" t="s">
        <v>1589</v>
      </c>
      <c r="C21" s="295"/>
      <c r="D21" s="295"/>
      <c r="E21" s="295"/>
      <c r="F21" s="295"/>
      <c r="G21" s="295"/>
      <c r="H21" s="295"/>
      <c r="I21" s="295"/>
      <c r="J21" s="295"/>
      <c r="K21" s="295"/>
      <c r="L21" s="295"/>
      <c r="M21" s="295"/>
      <c r="N21" s="295"/>
      <c r="O21" s="295"/>
      <c r="P21" s="295"/>
      <c r="Q21" s="295"/>
      <c r="R21" s="295"/>
      <c r="S21" s="295"/>
      <c r="T21" s="295"/>
      <c r="U21" s="295"/>
      <c r="V21" s="295"/>
      <c r="W21" s="295"/>
      <c r="X21" s="295"/>
      <c r="Y21" s="295"/>
      <c r="Z21" s="295"/>
    </row>
    <row r="22" spans="2:27" s="5" customFormat="1">
      <c r="B22" s="75"/>
      <c r="C22" s="298" t="str">
        <f t="shared" ref="C22:AA22" si="1">C17</f>
        <v>2004/05</v>
      </c>
      <c r="D22" s="298" t="str">
        <f t="shared" si="1"/>
        <v>2005/06</v>
      </c>
      <c r="E22" s="298" t="str">
        <f t="shared" si="1"/>
        <v>2006/07</v>
      </c>
      <c r="F22" s="298" t="str">
        <f t="shared" si="1"/>
        <v>2007/08</v>
      </c>
      <c r="G22" s="298" t="str">
        <f t="shared" si="1"/>
        <v>2008/09</v>
      </c>
      <c r="H22" s="298" t="str">
        <f t="shared" si="1"/>
        <v>2009/10</v>
      </c>
      <c r="I22" s="298" t="str">
        <f t="shared" si="1"/>
        <v>2010/11</v>
      </c>
      <c r="J22" s="298" t="str">
        <f t="shared" si="1"/>
        <v>2011/12</v>
      </c>
      <c r="K22" s="298" t="str">
        <f t="shared" si="1"/>
        <v>2012/13</v>
      </c>
      <c r="L22" s="298" t="str">
        <f t="shared" si="1"/>
        <v>2013/14</v>
      </c>
      <c r="M22" s="298" t="str">
        <f t="shared" si="1"/>
        <v>2014/15</v>
      </c>
      <c r="N22" s="298" t="str">
        <f t="shared" si="1"/>
        <v>2015/16</v>
      </c>
      <c r="O22" s="298" t="str">
        <f t="shared" si="1"/>
        <v>2016/17</v>
      </c>
      <c r="P22" s="298" t="str">
        <f t="shared" si="1"/>
        <v>2017/18</v>
      </c>
      <c r="Q22" s="298" t="str">
        <f t="shared" si="1"/>
        <v>2018/19</v>
      </c>
      <c r="R22" s="298" t="str">
        <f t="shared" si="1"/>
        <v>2019/20</v>
      </c>
      <c r="S22" s="298" t="str">
        <f t="shared" si="1"/>
        <v>2020/21</v>
      </c>
      <c r="T22" s="298" t="str">
        <f t="shared" si="1"/>
        <v>2021/22</v>
      </c>
      <c r="U22" s="298" t="str">
        <f t="shared" si="1"/>
        <v>2022/23</v>
      </c>
      <c r="V22" s="298" t="str">
        <f t="shared" si="1"/>
        <v>2023/24</v>
      </c>
      <c r="W22" s="298" t="str">
        <f t="shared" si="1"/>
        <v>2024/25</v>
      </c>
      <c r="X22" s="298" t="str">
        <f t="shared" si="1"/>
        <v>2025/26</v>
      </c>
      <c r="Y22" s="298" t="str">
        <f t="shared" si="1"/>
        <v>2026/27</v>
      </c>
      <c r="Z22" s="298" t="str">
        <f t="shared" si="1"/>
        <v>2027/28</v>
      </c>
      <c r="AA22" s="298" t="str">
        <f t="shared" si="1"/>
        <v>2028/29</v>
      </c>
    </row>
    <row r="23" spans="2:27">
      <c r="B23" s="1004" t="s">
        <v>1624</v>
      </c>
      <c r="C23" s="297">
        <f>RAW_DATA_INPUTS!C358</f>
        <v>1170159</v>
      </c>
      <c r="D23" s="297">
        <f>RAW_DATA_INPUTS!D358</f>
        <v>1185802.5625101563</v>
      </c>
      <c r="E23" s="297">
        <f>RAW_DATA_INPUTS!E358</f>
        <v>1189358</v>
      </c>
      <c r="F23" s="297">
        <f>RAW_DATA_INPUTS!F358</f>
        <v>1166918.5</v>
      </c>
      <c r="G23" s="297">
        <f>RAW_DATA_INPUTS!G358</f>
        <v>1146150</v>
      </c>
      <c r="H23" s="297">
        <f>RAW_DATA_INPUTS!H358</f>
        <v>1133977</v>
      </c>
      <c r="I23" s="297">
        <f>RAW_DATA_INPUTS!I358</f>
        <v>1116342.5</v>
      </c>
      <c r="J23" s="297">
        <f>RAW_DATA_INPUTS!J358</f>
        <v>1120567</v>
      </c>
      <c r="K23" s="297">
        <f>RAW_DATA_INPUTS!K358</f>
        <v>1117099</v>
      </c>
      <c r="L23" s="297">
        <f>RAW_DATA_INPUTS!L358</f>
        <v>1099417.5</v>
      </c>
      <c r="M23" s="297">
        <f>RAW_DATA_INPUTS!M358</f>
        <v>1081078</v>
      </c>
      <c r="N23" s="297">
        <f>RAW_DATA_INPUTS!N358</f>
        <v>1057483</v>
      </c>
      <c r="O23" s="297">
        <f>RAW_DATA_INPUTS!O358</f>
        <v>1041875</v>
      </c>
      <c r="P23" s="297">
        <f>RAW_DATA_INPUTS!P358</f>
        <v>1059242.1765030818</v>
      </c>
      <c r="Q23" s="297">
        <f>RAW_DATA_INPUTS!Q358</f>
        <v>1098492.845827396</v>
      </c>
      <c r="R23" s="297">
        <f>RAW_DATA_INPUTS!R358</f>
        <v>1128522.0334177609</v>
      </c>
      <c r="S23" s="297">
        <f>RAW_DATA_INPUTS!S358</f>
        <v>1154504.7206683625</v>
      </c>
      <c r="T23" s="297">
        <f>RAW_DATA_INPUTS!T358</f>
        <v>1189761.543386043</v>
      </c>
      <c r="U23" s="297">
        <f>RAW_DATA_INPUTS!U358</f>
        <v>1236679.5493941545</v>
      </c>
      <c r="V23" s="297">
        <f>RAW_DATA_INPUTS!V358</f>
        <v>1258969.8278058928</v>
      </c>
      <c r="W23" s="297">
        <f>RAW_DATA_INPUTS!W358</f>
        <v>1268399.1996321685</v>
      </c>
      <c r="X23" s="297">
        <f>RAW_DATA_INPUTS!X358</f>
        <v>1293612.6085987107</v>
      </c>
      <c r="Y23" s="297">
        <f>RAW_DATA_INPUTS!Y358</f>
        <v>1318848.3464785134</v>
      </c>
      <c r="Z23" s="297">
        <f>RAW_DATA_INPUTS!Z358</f>
        <v>1309459.1785579114</v>
      </c>
      <c r="AA23" s="297">
        <f>RAW_DATA_INPUTS!AA358</f>
        <v>1272619.0523094554</v>
      </c>
    </row>
    <row r="24" spans="2:27">
      <c r="B24" s="1004" t="s">
        <v>1590</v>
      </c>
      <c r="C24" s="297">
        <v>1170159</v>
      </c>
      <c r="D24" s="297">
        <v>1185802.5625101563</v>
      </c>
      <c r="E24" s="297">
        <v>1189358</v>
      </c>
      <c r="F24" s="297">
        <v>1166918.5</v>
      </c>
      <c r="G24" s="297">
        <v>1146150</v>
      </c>
      <c r="H24" s="297">
        <v>1133977</v>
      </c>
      <c r="I24" s="297">
        <v>1116342.5</v>
      </c>
      <c r="J24" s="297">
        <v>1120567</v>
      </c>
      <c r="K24" s="297">
        <v>1117099</v>
      </c>
      <c r="L24" s="297">
        <v>1099417.5</v>
      </c>
      <c r="M24" s="297">
        <v>1081078</v>
      </c>
      <c r="N24" s="297">
        <v>1057483</v>
      </c>
      <c r="O24" s="297">
        <v>1040625.6043942383</v>
      </c>
      <c r="P24" s="297">
        <v>1058358.5821559713</v>
      </c>
      <c r="Q24" s="297">
        <v>1097644.5657882683</v>
      </c>
      <c r="R24" s="297">
        <v>1127512.3599218801</v>
      </c>
      <c r="S24" s="297">
        <v>1152699.2067537962</v>
      </c>
      <c r="T24" s="297">
        <v>1187590.8202413935</v>
      </c>
      <c r="U24" s="297">
        <v>1233917.8070985656</v>
      </c>
      <c r="V24" s="297">
        <v>1255218.8994874852</v>
      </c>
      <c r="W24" s="297">
        <v>1264502.0497479856</v>
      </c>
      <c r="X24" s="297">
        <v>1292760.7570925467</v>
      </c>
      <c r="Y24" s="297">
        <v>1318712.4272962825</v>
      </c>
      <c r="Z24" s="297">
        <v>1307078.5028154906</v>
      </c>
      <c r="AA24" s="297"/>
    </row>
    <row r="25" spans="2:27">
      <c r="B25" s="12"/>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c r="AA25" s="297"/>
    </row>
    <row r="26" spans="2:27">
      <c r="B26" s="146" t="s">
        <v>1594</v>
      </c>
      <c r="C26" s="295"/>
      <c r="D26" s="295"/>
      <c r="E26" s="295"/>
      <c r="F26" s="295"/>
      <c r="G26" s="295"/>
      <c r="H26" s="295"/>
      <c r="I26" s="295"/>
      <c r="J26" s="295"/>
      <c r="K26" s="295"/>
      <c r="L26" s="295"/>
      <c r="M26" s="295"/>
      <c r="N26" s="295"/>
      <c r="O26" s="295"/>
      <c r="P26" s="295"/>
      <c r="Q26" s="295"/>
      <c r="R26" s="295"/>
      <c r="S26" s="295"/>
      <c r="T26" s="295"/>
      <c r="U26" s="295"/>
      <c r="V26" s="295"/>
      <c r="W26" s="295"/>
      <c r="X26" s="295"/>
      <c r="Y26" s="295"/>
      <c r="Z26" s="295"/>
    </row>
    <row r="27" spans="2:27" s="5" customFormat="1">
      <c r="B27" s="75"/>
      <c r="C27" s="298" t="str">
        <f t="shared" ref="C27:AA27" si="2">C22</f>
        <v>2004/05</v>
      </c>
      <c r="D27" s="298" t="str">
        <f t="shared" si="2"/>
        <v>2005/06</v>
      </c>
      <c r="E27" s="298" t="str">
        <f t="shared" si="2"/>
        <v>2006/07</v>
      </c>
      <c r="F27" s="298" t="str">
        <f t="shared" si="2"/>
        <v>2007/08</v>
      </c>
      <c r="G27" s="298" t="str">
        <f t="shared" si="2"/>
        <v>2008/09</v>
      </c>
      <c r="H27" s="298" t="str">
        <f t="shared" si="2"/>
        <v>2009/10</v>
      </c>
      <c r="I27" s="298" t="str">
        <f t="shared" si="2"/>
        <v>2010/11</v>
      </c>
      <c r="J27" s="298" t="str">
        <f t="shared" si="2"/>
        <v>2011/12</v>
      </c>
      <c r="K27" s="298" t="str">
        <f t="shared" si="2"/>
        <v>2012/13</v>
      </c>
      <c r="L27" s="298" t="str">
        <f t="shared" si="2"/>
        <v>2013/14</v>
      </c>
      <c r="M27" s="298" t="str">
        <f t="shared" si="2"/>
        <v>2014/15</v>
      </c>
      <c r="N27" s="298" t="str">
        <f t="shared" si="2"/>
        <v>2015/16</v>
      </c>
      <c r="O27" s="298" t="str">
        <f t="shared" si="2"/>
        <v>2016/17</v>
      </c>
      <c r="P27" s="298" t="str">
        <f t="shared" si="2"/>
        <v>2017/18</v>
      </c>
      <c r="Q27" s="298" t="str">
        <f t="shared" si="2"/>
        <v>2018/19</v>
      </c>
      <c r="R27" s="298" t="str">
        <f t="shared" si="2"/>
        <v>2019/20</v>
      </c>
      <c r="S27" s="298" t="str">
        <f t="shared" si="2"/>
        <v>2020/21</v>
      </c>
      <c r="T27" s="298" t="str">
        <f t="shared" si="2"/>
        <v>2021/22</v>
      </c>
      <c r="U27" s="298" t="str">
        <f t="shared" si="2"/>
        <v>2022/23</v>
      </c>
      <c r="V27" s="298" t="str">
        <f t="shared" si="2"/>
        <v>2023/24</v>
      </c>
      <c r="W27" s="298" t="str">
        <f t="shared" si="2"/>
        <v>2024/25</v>
      </c>
      <c r="X27" s="298" t="str">
        <f t="shared" si="2"/>
        <v>2025/26</v>
      </c>
      <c r="Y27" s="298" t="str">
        <f t="shared" si="2"/>
        <v>2026/27</v>
      </c>
      <c r="Z27" s="298" t="str">
        <f t="shared" si="2"/>
        <v>2027/28</v>
      </c>
      <c r="AA27" s="298" t="str">
        <f t="shared" si="2"/>
        <v>2028/29</v>
      </c>
    </row>
    <row r="28" spans="2:27">
      <c r="B28" s="1004" t="s">
        <v>1625</v>
      </c>
      <c r="C28" s="297">
        <f>Pupils_data_scenarios!C20</f>
        <v>355184.5</v>
      </c>
      <c r="D28" s="297">
        <f>Pupils_data_scenarios!D20</f>
        <v>361355</v>
      </c>
      <c r="E28" s="297">
        <f>Pupils_data_scenarios!E20</f>
        <v>370116</v>
      </c>
      <c r="F28" s="297">
        <f>Pupils_data_scenarios!F20</f>
        <v>380453</v>
      </c>
      <c r="G28" s="297">
        <f>Pupils_data_scenarios!G20</f>
        <v>394342</v>
      </c>
      <c r="H28" s="297">
        <f>Pupils_data_scenarios!H20</f>
        <v>412859.5</v>
      </c>
      <c r="I28" s="297">
        <f>Pupils_data_scenarios!I20</f>
        <v>423222</v>
      </c>
      <c r="J28" s="297">
        <f>Pupils_data_scenarios!J20</f>
        <v>423232.5</v>
      </c>
      <c r="K28" s="297">
        <f>Pupils_data_scenarios!K20</f>
        <v>428860</v>
      </c>
      <c r="L28" s="297">
        <f>Pupils_data_scenarios!L20</f>
        <v>439034.5</v>
      </c>
      <c r="M28" s="297">
        <f>Pupils_data_scenarios!M20</f>
        <v>442836.5</v>
      </c>
      <c r="N28" s="297">
        <f>Pupils_data_scenarios!N20</f>
        <v>433870.5</v>
      </c>
      <c r="O28" s="297">
        <f>Pupils_data_scenarios!O20</f>
        <v>424809</v>
      </c>
      <c r="P28" s="297">
        <f>Pupils_data_scenarios!P20</f>
        <v>413917.41249859042</v>
      </c>
      <c r="Q28" s="297">
        <f>Pupils_data_scenarios!Q20</f>
        <v>402881.22419615899</v>
      </c>
      <c r="R28" s="297">
        <f>Pupils_data_scenarios!R20</f>
        <v>396200.18966368359</v>
      </c>
      <c r="S28" s="297">
        <f>Pupils_data_scenarios!S20</f>
        <v>397747.45923034835</v>
      </c>
      <c r="T28" s="297">
        <f>Pupils_data_scenarios!T20</f>
        <v>404271.55224935681</v>
      </c>
      <c r="U28" s="297">
        <f>Pupils_data_scenarios!U20</f>
        <v>416413.63672939758</v>
      </c>
      <c r="V28" s="297">
        <f>Pupils_data_scenarios!V20</f>
        <v>428739.35339027015</v>
      </c>
      <c r="W28" s="297">
        <f>Pupils_data_scenarios!W20</f>
        <v>441777.22358662885</v>
      </c>
      <c r="X28" s="297">
        <f>Pupils_data_scenarios!X20</f>
        <v>451142.12596132985</v>
      </c>
      <c r="Y28" s="297">
        <f>Pupils_data_scenarios!Y20</f>
        <v>458855.32419299771</v>
      </c>
      <c r="Z28" s="297">
        <f>Pupils_data_scenarios!Z20</f>
        <v>466275.03084775753</v>
      </c>
      <c r="AA28" s="297">
        <f>Pupils_data_scenarios!AA20</f>
        <v>472066.1229340306</v>
      </c>
    </row>
    <row r="29" spans="2:27">
      <c r="B29" s="1004" t="s">
        <v>1595</v>
      </c>
      <c r="C29" s="297">
        <v>355184.5</v>
      </c>
      <c r="D29" s="297">
        <v>361355</v>
      </c>
      <c r="E29" s="297">
        <v>370116</v>
      </c>
      <c r="F29" s="297">
        <v>380453</v>
      </c>
      <c r="G29" s="297">
        <v>394342</v>
      </c>
      <c r="H29" s="297">
        <v>412859.5</v>
      </c>
      <c r="I29" s="297">
        <v>423222</v>
      </c>
      <c r="J29" s="297">
        <v>423232.5</v>
      </c>
      <c r="K29" s="297">
        <v>428860</v>
      </c>
      <c r="L29" s="297">
        <v>439034.5</v>
      </c>
      <c r="M29" s="297">
        <v>442772</v>
      </c>
      <c r="N29" s="297">
        <v>433788</v>
      </c>
      <c r="O29" s="297">
        <v>428545.20451393852</v>
      </c>
      <c r="P29" s="297">
        <v>419361.78857838438</v>
      </c>
      <c r="Q29" s="297">
        <v>410245.50884306151</v>
      </c>
      <c r="R29" s="297">
        <v>406321.98384626833</v>
      </c>
      <c r="S29" s="297">
        <v>407908.7817738661</v>
      </c>
      <c r="T29" s="297">
        <v>414599.54691593052</v>
      </c>
      <c r="U29" s="297">
        <v>427051.82731021068</v>
      </c>
      <c r="V29" s="297">
        <v>439692.43116813409</v>
      </c>
      <c r="W29" s="297">
        <v>453063.3820700291</v>
      </c>
      <c r="X29" s="297">
        <v>462667.53121151531</v>
      </c>
      <c r="Y29" s="297">
        <v>470577.77984100528</v>
      </c>
      <c r="Z29" s="297">
        <v>478187.03901394637</v>
      </c>
      <c r="AA29" s="297"/>
    </row>
    <row r="30" spans="2:27">
      <c r="B30" s="12"/>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c r="AA30" s="297"/>
    </row>
    <row r="31" spans="2:27">
      <c r="B31" s="146" t="s">
        <v>462</v>
      </c>
      <c r="C31" s="458"/>
      <c r="D31" s="458"/>
      <c r="E31" s="458"/>
      <c r="F31" s="458"/>
      <c r="G31" s="458"/>
      <c r="H31" s="458"/>
      <c r="I31" s="458"/>
      <c r="J31" s="458"/>
      <c r="K31" s="458"/>
      <c r="L31" s="458"/>
      <c r="M31" s="458"/>
      <c r="N31" s="458"/>
      <c r="O31" s="458"/>
      <c r="P31" s="458"/>
      <c r="Q31" s="458"/>
      <c r="R31" s="922"/>
      <c r="S31" s="458"/>
      <c r="T31" s="458"/>
      <c r="U31" s="458"/>
      <c r="V31" s="458"/>
      <c r="W31" s="458"/>
      <c r="X31" s="458"/>
      <c r="Y31" s="458"/>
      <c r="Z31" s="458"/>
    </row>
    <row r="32" spans="2:27">
      <c r="B32" s="146"/>
      <c r="C32" s="477" t="str">
        <f t="shared" ref="C32:AA32" si="3">C27</f>
        <v>2004/05</v>
      </c>
      <c r="D32" s="477" t="str">
        <f t="shared" si="3"/>
        <v>2005/06</v>
      </c>
      <c r="E32" s="477" t="str">
        <f t="shared" si="3"/>
        <v>2006/07</v>
      </c>
      <c r="F32" s="477" t="str">
        <f t="shared" si="3"/>
        <v>2007/08</v>
      </c>
      <c r="G32" s="477" t="str">
        <f t="shared" si="3"/>
        <v>2008/09</v>
      </c>
      <c r="H32" s="477" t="str">
        <f t="shared" si="3"/>
        <v>2009/10</v>
      </c>
      <c r="I32" s="477" t="str">
        <f t="shared" si="3"/>
        <v>2010/11</v>
      </c>
      <c r="J32" s="477" t="str">
        <f t="shared" si="3"/>
        <v>2011/12</v>
      </c>
      <c r="K32" s="477" t="str">
        <f t="shared" si="3"/>
        <v>2012/13</v>
      </c>
      <c r="L32" s="477" t="str">
        <f t="shared" si="3"/>
        <v>2013/14</v>
      </c>
      <c r="M32" s="477" t="str">
        <f t="shared" si="3"/>
        <v>2014/15</v>
      </c>
      <c r="N32" s="477" t="str">
        <f t="shared" si="3"/>
        <v>2015/16</v>
      </c>
      <c r="O32" s="477" t="str">
        <f t="shared" si="3"/>
        <v>2016/17</v>
      </c>
      <c r="P32" s="477" t="str">
        <f t="shared" si="3"/>
        <v>2017/18</v>
      </c>
      <c r="Q32" s="477" t="str">
        <f t="shared" si="3"/>
        <v>2018/19</v>
      </c>
      <c r="R32" s="477" t="str">
        <f t="shared" si="3"/>
        <v>2019/20</v>
      </c>
      <c r="S32" s="477" t="str">
        <f t="shared" si="3"/>
        <v>2020/21</v>
      </c>
      <c r="T32" s="477" t="str">
        <f t="shared" si="3"/>
        <v>2021/22</v>
      </c>
      <c r="U32" s="477" t="str">
        <f t="shared" si="3"/>
        <v>2022/23</v>
      </c>
      <c r="V32" s="477" t="str">
        <f t="shared" si="3"/>
        <v>2023/24</v>
      </c>
      <c r="W32" s="477" t="str">
        <f t="shared" si="3"/>
        <v>2024/25</v>
      </c>
      <c r="X32" s="477" t="str">
        <f t="shared" si="3"/>
        <v>2025/26</v>
      </c>
      <c r="Y32" s="477" t="str">
        <f t="shared" si="3"/>
        <v>2026/27</v>
      </c>
      <c r="Z32" s="477" t="str">
        <f t="shared" si="3"/>
        <v>2027/28</v>
      </c>
      <c r="AA32" s="477" t="str">
        <f t="shared" si="3"/>
        <v>2028/29</v>
      </c>
    </row>
    <row r="33" spans="2:28">
      <c r="B33" s="1004" t="s">
        <v>1627</v>
      </c>
      <c r="C33" s="458">
        <f>C18+C23+C28</f>
        <v>3308483</v>
      </c>
      <c r="D33" s="458">
        <f t="shared" ref="D33:AA33" si="4">D18+D23+D28</f>
        <v>3305157.563270269</v>
      </c>
      <c r="E33" s="458">
        <f t="shared" si="4"/>
        <v>3282404</v>
      </c>
      <c r="F33" s="458">
        <f t="shared" si="4"/>
        <v>3248902.5</v>
      </c>
      <c r="G33" s="458">
        <f t="shared" si="4"/>
        <v>3231650</v>
      </c>
      <c r="H33" s="458">
        <f t="shared" si="4"/>
        <v>3227785.5</v>
      </c>
      <c r="I33" s="458">
        <f t="shared" si="4"/>
        <v>3212254</v>
      </c>
      <c r="J33" s="458">
        <f t="shared" si="4"/>
        <v>3185686.5</v>
      </c>
      <c r="K33" s="458">
        <f t="shared" si="4"/>
        <v>3158780</v>
      </c>
      <c r="L33" s="458">
        <f t="shared" si="4"/>
        <v>3125924</v>
      </c>
      <c r="M33" s="458">
        <f t="shared" si="4"/>
        <v>3119863.5</v>
      </c>
      <c r="N33" s="458">
        <f t="shared" si="4"/>
        <v>3122070.5</v>
      </c>
      <c r="O33" s="458">
        <f t="shared" si="4"/>
        <v>3145583</v>
      </c>
      <c r="P33" s="923">
        <f t="shared" si="4"/>
        <v>3197180.5600349735</v>
      </c>
      <c r="Q33" s="923">
        <f t="shared" si="4"/>
        <v>3274228.6548275417</v>
      </c>
      <c r="R33" s="458">
        <f t="shared" si="4"/>
        <v>3359656.345562675</v>
      </c>
      <c r="S33" s="458">
        <f t="shared" si="4"/>
        <v>3431462.9098517485</v>
      </c>
      <c r="T33" s="458">
        <f t="shared" si="4"/>
        <v>3508384.2642579307</v>
      </c>
      <c r="U33" s="458">
        <f t="shared" si="4"/>
        <v>3589855.437922664</v>
      </c>
      <c r="V33" s="458">
        <f t="shared" si="4"/>
        <v>3662527.1591678588</v>
      </c>
      <c r="W33" s="458">
        <f t="shared" si="4"/>
        <v>3688681.2876089499</v>
      </c>
      <c r="X33" s="458">
        <f t="shared" si="4"/>
        <v>3698533.8733492214</v>
      </c>
      <c r="Y33" s="458">
        <f t="shared" si="4"/>
        <v>3693590.259872193</v>
      </c>
      <c r="Z33" s="458">
        <f t="shared" si="4"/>
        <v>3682746.3169983355</v>
      </c>
      <c r="AA33" s="458">
        <f t="shared" si="4"/>
        <v>3664537.0998463929</v>
      </c>
    </row>
    <row r="34" spans="2:28">
      <c r="B34" s="1004" t="s">
        <v>1248</v>
      </c>
      <c r="C34" s="458">
        <f>C19+C24+C29</f>
        <v>3308483</v>
      </c>
      <c r="D34" s="458">
        <f t="shared" ref="D34:Z34" si="5">D19+D24+D29</f>
        <v>3305157.563270269</v>
      </c>
      <c r="E34" s="458">
        <f t="shared" si="5"/>
        <v>3282404</v>
      </c>
      <c r="F34" s="458">
        <f t="shared" si="5"/>
        <v>3248902.5</v>
      </c>
      <c r="G34" s="458">
        <f t="shared" si="5"/>
        <v>3231650</v>
      </c>
      <c r="H34" s="458">
        <f t="shared" si="5"/>
        <v>3227785.5</v>
      </c>
      <c r="I34" s="458">
        <f t="shared" si="5"/>
        <v>3212254</v>
      </c>
      <c r="J34" s="458">
        <f t="shared" si="5"/>
        <v>3185686.5</v>
      </c>
      <c r="K34" s="458">
        <f t="shared" si="5"/>
        <v>3158780</v>
      </c>
      <c r="L34" s="458">
        <f t="shared" si="5"/>
        <v>3125924</v>
      </c>
      <c r="M34" s="458">
        <f t="shared" si="5"/>
        <v>3119799</v>
      </c>
      <c r="N34" s="458">
        <f t="shared" si="5"/>
        <v>3121988</v>
      </c>
      <c r="O34" s="458">
        <f t="shared" si="5"/>
        <v>3153434.5188964177</v>
      </c>
      <c r="P34" s="458">
        <f t="shared" si="5"/>
        <v>3206473.5103805256</v>
      </c>
      <c r="Q34" s="458">
        <f t="shared" si="5"/>
        <v>3284777.7855463745</v>
      </c>
      <c r="R34" s="458">
        <f t="shared" si="5"/>
        <v>3371521.969667735</v>
      </c>
      <c r="S34" s="458">
        <f t="shared" si="5"/>
        <v>3441735.9770776005</v>
      </c>
      <c r="T34" s="458">
        <f t="shared" si="5"/>
        <v>3517503.4884628272</v>
      </c>
      <c r="U34" s="458">
        <f t="shared" si="5"/>
        <v>3601496.689145844</v>
      </c>
      <c r="V34" s="458">
        <f t="shared" si="5"/>
        <v>3674251.4793677852</v>
      </c>
      <c r="W34" s="458">
        <f t="shared" si="5"/>
        <v>3701291.536776138</v>
      </c>
      <c r="X34" s="458">
        <f t="shared" si="5"/>
        <v>3712096.756026078</v>
      </c>
      <c r="Y34" s="458">
        <f t="shared" si="5"/>
        <v>3707922.516725075</v>
      </c>
      <c r="Z34" s="458">
        <f t="shared" si="5"/>
        <v>3695259.6565467082</v>
      </c>
      <c r="AA34" s="458"/>
    </row>
    <row r="35" spans="2:28">
      <c r="C35" s="458"/>
      <c r="D35" s="458"/>
      <c r="E35" s="458"/>
      <c r="F35" s="458"/>
      <c r="G35" s="458"/>
      <c r="H35" s="458"/>
      <c r="I35" s="458"/>
      <c r="J35" s="458"/>
      <c r="K35" s="458"/>
      <c r="L35" s="458"/>
      <c r="M35" s="458"/>
      <c r="N35" s="458"/>
      <c r="O35" s="458"/>
      <c r="P35" s="458"/>
      <c r="Q35" s="458"/>
      <c r="R35" s="458"/>
      <c r="S35" s="458"/>
      <c r="T35" s="458"/>
      <c r="U35" s="458"/>
      <c r="V35" s="458"/>
      <c r="W35" s="458"/>
      <c r="X35" s="458"/>
      <c r="Y35" s="458"/>
      <c r="Z35" s="458"/>
    </row>
    <row r="36" spans="2:28" s="5" customFormat="1">
      <c r="C36" s="298" t="str">
        <f t="shared" ref="C36:AA36" si="6">C27</f>
        <v>2004/05</v>
      </c>
      <c r="D36" s="298" t="str">
        <f t="shared" si="6"/>
        <v>2005/06</v>
      </c>
      <c r="E36" s="298" t="str">
        <f t="shared" si="6"/>
        <v>2006/07</v>
      </c>
      <c r="F36" s="298" t="str">
        <f t="shared" si="6"/>
        <v>2007/08</v>
      </c>
      <c r="G36" s="298" t="str">
        <f t="shared" si="6"/>
        <v>2008/09</v>
      </c>
      <c r="H36" s="298" t="str">
        <f t="shared" si="6"/>
        <v>2009/10</v>
      </c>
      <c r="I36" s="298" t="str">
        <f t="shared" si="6"/>
        <v>2010/11</v>
      </c>
      <c r="J36" s="298" t="str">
        <f t="shared" si="6"/>
        <v>2011/12</v>
      </c>
      <c r="K36" s="298" t="str">
        <f t="shared" si="6"/>
        <v>2012/13</v>
      </c>
      <c r="L36" s="298" t="str">
        <f t="shared" si="6"/>
        <v>2013/14</v>
      </c>
      <c r="M36" s="298" t="str">
        <f t="shared" si="6"/>
        <v>2014/15</v>
      </c>
      <c r="N36" s="298" t="str">
        <f t="shared" si="6"/>
        <v>2015/16</v>
      </c>
      <c r="O36" s="298" t="str">
        <f t="shared" si="6"/>
        <v>2016/17</v>
      </c>
      <c r="P36" s="298" t="str">
        <f t="shared" si="6"/>
        <v>2017/18</v>
      </c>
      <c r="Q36" s="298" t="str">
        <f t="shared" si="6"/>
        <v>2018/19</v>
      </c>
      <c r="R36" s="298" t="str">
        <f t="shared" si="6"/>
        <v>2019/20</v>
      </c>
      <c r="S36" s="298" t="str">
        <f t="shared" si="6"/>
        <v>2020/21</v>
      </c>
      <c r="T36" s="298" t="str">
        <f t="shared" si="6"/>
        <v>2021/22</v>
      </c>
      <c r="U36" s="298" t="str">
        <f t="shared" si="6"/>
        <v>2022/23</v>
      </c>
      <c r="V36" s="298" t="str">
        <f t="shared" si="6"/>
        <v>2023/24</v>
      </c>
      <c r="W36" s="298" t="str">
        <f t="shared" si="6"/>
        <v>2024/25</v>
      </c>
      <c r="X36" s="298" t="str">
        <f t="shared" si="6"/>
        <v>2025/26</v>
      </c>
      <c r="Y36" s="298" t="str">
        <f t="shared" si="6"/>
        <v>2026/27</v>
      </c>
      <c r="Z36" s="298" t="str">
        <f t="shared" si="6"/>
        <v>2027/28</v>
      </c>
      <c r="AA36" s="298" t="str">
        <f t="shared" si="6"/>
        <v>2028/29</v>
      </c>
    </row>
    <row r="37" spans="2:28">
      <c r="B37" s="1004" t="s">
        <v>1626</v>
      </c>
      <c r="C37" s="297">
        <f>C13</f>
        <v>4133670.5</v>
      </c>
      <c r="D37" s="297">
        <f t="shared" ref="D37:AA37" si="7">D13</f>
        <v>4085271.436729731</v>
      </c>
      <c r="E37" s="297">
        <f t="shared" si="7"/>
        <v>4047195.5</v>
      </c>
      <c r="F37" s="297">
        <f t="shared" si="7"/>
        <v>4028055.5</v>
      </c>
      <c r="G37" s="297">
        <f t="shared" si="7"/>
        <v>4016161.5</v>
      </c>
      <c r="H37" s="297">
        <f t="shared" si="7"/>
        <v>4036364.5</v>
      </c>
      <c r="I37" s="297">
        <f t="shared" si="7"/>
        <v>4074368</v>
      </c>
      <c r="J37" s="297">
        <f t="shared" si="7"/>
        <v>4150277.5</v>
      </c>
      <c r="K37" s="297">
        <f t="shared" si="7"/>
        <v>4247394.5</v>
      </c>
      <c r="L37" s="297">
        <f t="shared" si="7"/>
        <v>4359000</v>
      </c>
      <c r="M37" s="297">
        <f t="shared" si="7"/>
        <v>4463434</v>
      </c>
      <c r="N37" s="297">
        <f t="shared" si="7"/>
        <v>4574041.5</v>
      </c>
      <c r="O37" s="297">
        <f t="shared" si="7"/>
        <v>4659421</v>
      </c>
      <c r="P37" s="297">
        <f t="shared" si="7"/>
        <v>4717394.1869075894</v>
      </c>
      <c r="Q37" s="297">
        <f t="shared" si="7"/>
        <v>4743197.9400571762</v>
      </c>
      <c r="R37" s="297">
        <f t="shared" si="7"/>
        <v>4743394.7508921698</v>
      </c>
      <c r="S37" s="297">
        <f t="shared" si="7"/>
        <v>4752324.1234839866</v>
      </c>
      <c r="T37" s="297">
        <f t="shared" si="7"/>
        <v>4754699.5674540829</v>
      </c>
      <c r="U37" s="297">
        <f t="shared" si="7"/>
        <v>4748628.8440450421</v>
      </c>
      <c r="V37" s="297">
        <f t="shared" si="7"/>
        <v>4733277.2129678745</v>
      </c>
      <c r="W37" s="297">
        <f t="shared" si="7"/>
        <v>4742429.7587460289</v>
      </c>
      <c r="X37" s="297">
        <f t="shared" si="7"/>
        <v>4769065.3698165566</v>
      </c>
      <c r="Y37" s="297">
        <f>Y13</f>
        <v>4797832.532279524</v>
      </c>
      <c r="Z37" s="297">
        <f t="shared" si="7"/>
        <v>4819809.7676248243</v>
      </c>
      <c r="AA37" s="297">
        <f t="shared" si="7"/>
        <v>4834650.7574622277</v>
      </c>
      <c r="AB37" s="381"/>
    </row>
    <row r="38" spans="2:28">
      <c r="B38" s="1004" t="s">
        <v>1249</v>
      </c>
      <c r="C38" s="297">
        <f>C14</f>
        <v>4133670.5</v>
      </c>
      <c r="D38" s="297">
        <f t="shared" ref="D38:Z38" si="8">D14</f>
        <v>4085271.436729731</v>
      </c>
      <c r="E38" s="297">
        <f t="shared" si="8"/>
        <v>4047195.5</v>
      </c>
      <c r="F38" s="297">
        <f t="shared" si="8"/>
        <v>4028055.5</v>
      </c>
      <c r="G38" s="297">
        <f t="shared" si="8"/>
        <v>4016161.5</v>
      </c>
      <c r="H38" s="297">
        <f t="shared" si="8"/>
        <v>4036364.5</v>
      </c>
      <c r="I38" s="297">
        <f t="shared" si="8"/>
        <v>4074368</v>
      </c>
      <c r="J38" s="297">
        <f t="shared" si="8"/>
        <v>4150277.5</v>
      </c>
      <c r="K38" s="297">
        <f t="shared" si="8"/>
        <v>4247394.5</v>
      </c>
      <c r="L38" s="297">
        <f t="shared" si="8"/>
        <v>4359000</v>
      </c>
      <c r="M38" s="297">
        <f t="shared" si="8"/>
        <v>4463434</v>
      </c>
      <c r="N38" s="297">
        <f t="shared" si="8"/>
        <v>4574041.5</v>
      </c>
      <c r="O38" s="297">
        <f t="shared" si="8"/>
        <v>4669403.6051013358</v>
      </c>
      <c r="P38" s="297">
        <f t="shared" si="8"/>
        <v>4728615.0056829667</v>
      </c>
      <c r="Q38" s="297">
        <f t="shared" si="8"/>
        <v>4754148.1072515734</v>
      </c>
      <c r="R38" s="297">
        <f t="shared" si="8"/>
        <v>4754929.3367273957</v>
      </c>
      <c r="S38" s="297">
        <f t="shared" si="8"/>
        <v>4765188.6443500407</v>
      </c>
      <c r="T38" s="297">
        <f t="shared" si="8"/>
        <v>4768353.1674103234</v>
      </c>
      <c r="U38" s="297">
        <f t="shared" si="8"/>
        <v>4760117.7392643597</v>
      </c>
      <c r="V38" s="297">
        <f t="shared" si="8"/>
        <v>4744856.0009206505</v>
      </c>
      <c r="W38" s="297">
        <f t="shared" si="8"/>
        <v>4754081.3268117374</v>
      </c>
      <c r="X38" s="297">
        <f t="shared" si="8"/>
        <v>4780859.047119638</v>
      </c>
      <c r="Y38" s="297">
        <f>Y14</f>
        <v>4809841.7847702289</v>
      </c>
      <c r="Z38" s="297">
        <f t="shared" si="8"/>
        <v>4831636.05383253</v>
      </c>
      <c r="AA38" s="297"/>
      <c r="AB38" s="381"/>
    </row>
    <row r="39" spans="2:28">
      <c r="B39" s="1004" t="s">
        <v>1628</v>
      </c>
      <c r="C39" s="297">
        <f>C18+C23+C28</f>
        <v>3308483</v>
      </c>
      <c r="D39" s="297">
        <f t="shared" ref="D39:AA39" si="9">D18+D23+D28</f>
        <v>3305157.563270269</v>
      </c>
      <c r="E39" s="297">
        <f t="shared" si="9"/>
        <v>3282404</v>
      </c>
      <c r="F39" s="297">
        <f t="shared" si="9"/>
        <v>3248902.5</v>
      </c>
      <c r="G39" s="297">
        <f t="shared" si="9"/>
        <v>3231650</v>
      </c>
      <c r="H39" s="297">
        <f t="shared" si="9"/>
        <v>3227785.5</v>
      </c>
      <c r="I39" s="297">
        <f t="shared" si="9"/>
        <v>3212254</v>
      </c>
      <c r="J39" s="297">
        <f t="shared" si="9"/>
        <v>3185686.5</v>
      </c>
      <c r="K39" s="297">
        <f t="shared" si="9"/>
        <v>3158780</v>
      </c>
      <c r="L39" s="297">
        <f t="shared" si="9"/>
        <v>3125924</v>
      </c>
      <c r="M39" s="297">
        <f t="shared" si="9"/>
        <v>3119863.5</v>
      </c>
      <c r="N39" s="297">
        <f t="shared" si="9"/>
        <v>3122070.5</v>
      </c>
      <c r="O39" s="297">
        <f t="shared" si="9"/>
        <v>3145583</v>
      </c>
      <c r="P39" s="297">
        <f t="shared" si="9"/>
        <v>3197180.5600349735</v>
      </c>
      <c r="Q39" s="297">
        <f t="shared" si="9"/>
        <v>3274228.6548275417</v>
      </c>
      <c r="R39" s="297">
        <f t="shared" si="9"/>
        <v>3359656.345562675</v>
      </c>
      <c r="S39" s="297">
        <f t="shared" si="9"/>
        <v>3431462.9098517485</v>
      </c>
      <c r="T39" s="297">
        <f t="shared" si="9"/>
        <v>3508384.2642579307</v>
      </c>
      <c r="U39" s="297">
        <f t="shared" si="9"/>
        <v>3589855.437922664</v>
      </c>
      <c r="V39" s="297">
        <f t="shared" si="9"/>
        <v>3662527.1591678588</v>
      </c>
      <c r="W39" s="297">
        <f t="shared" si="9"/>
        <v>3688681.2876089499</v>
      </c>
      <c r="X39" s="297">
        <f t="shared" si="9"/>
        <v>3698533.8733492214</v>
      </c>
      <c r="Y39" s="297">
        <f>Y18+Y23+Y28</f>
        <v>3693590.259872193</v>
      </c>
      <c r="Z39" s="297">
        <f t="shared" si="9"/>
        <v>3682746.3169983355</v>
      </c>
      <c r="AA39" s="297">
        <f t="shared" si="9"/>
        <v>3664537.0998463929</v>
      </c>
      <c r="AB39" s="728"/>
    </row>
    <row r="40" spans="2:28">
      <c r="B40" s="1004" t="s">
        <v>1250</v>
      </c>
      <c r="C40" s="297">
        <f>C19+C24+C29</f>
        <v>3308483</v>
      </c>
      <c r="D40" s="297">
        <f t="shared" ref="D40:Z40" si="10">D19+D24+D29</f>
        <v>3305157.563270269</v>
      </c>
      <c r="E40" s="297">
        <f t="shared" si="10"/>
        <v>3282404</v>
      </c>
      <c r="F40" s="297">
        <f t="shared" si="10"/>
        <v>3248902.5</v>
      </c>
      <c r="G40" s="297">
        <f t="shared" si="10"/>
        <v>3231650</v>
      </c>
      <c r="H40" s="297">
        <f t="shared" si="10"/>
        <v>3227785.5</v>
      </c>
      <c r="I40" s="297">
        <f t="shared" si="10"/>
        <v>3212254</v>
      </c>
      <c r="J40" s="297">
        <f t="shared" si="10"/>
        <v>3185686.5</v>
      </c>
      <c r="K40" s="297">
        <f t="shared" si="10"/>
        <v>3158780</v>
      </c>
      <c r="L40" s="297">
        <f t="shared" si="10"/>
        <v>3125924</v>
      </c>
      <c r="M40" s="297">
        <f t="shared" si="10"/>
        <v>3119799</v>
      </c>
      <c r="N40" s="297">
        <f t="shared" si="10"/>
        <v>3121988</v>
      </c>
      <c r="O40" s="297">
        <f t="shared" si="10"/>
        <v>3153434.5188964177</v>
      </c>
      <c r="P40" s="297">
        <f t="shared" si="10"/>
        <v>3206473.5103805256</v>
      </c>
      <c r="Q40" s="297">
        <f t="shared" si="10"/>
        <v>3284777.7855463745</v>
      </c>
      <c r="R40" s="297">
        <f t="shared" si="10"/>
        <v>3371521.969667735</v>
      </c>
      <c r="S40" s="297">
        <f t="shared" si="10"/>
        <v>3441735.9770776005</v>
      </c>
      <c r="T40" s="297">
        <f t="shared" si="10"/>
        <v>3517503.4884628272</v>
      </c>
      <c r="U40" s="297">
        <f t="shared" si="10"/>
        <v>3601496.689145844</v>
      </c>
      <c r="V40" s="297">
        <f t="shared" si="10"/>
        <v>3674251.4793677852</v>
      </c>
      <c r="W40" s="297">
        <f t="shared" si="10"/>
        <v>3701291.536776138</v>
      </c>
      <c r="X40" s="297">
        <f t="shared" si="10"/>
        <v>3712096.756026078</v>
      </c>
      <c r="Y40" s="297">
        <f>Y19+Y24+Y29</f>
        <v>3707922.516725075</v>
      </c>
      <c r="Z40" s="297">
        <f t="shared" si="10"/>
        <v>3695259.6565467082</v>
      </c>
      <c r="AA40" s="297"/>
      <c r="AB40" s="728"/>
    </row>
    <row r="41" spans="2:28">
      <c r="B41" s="12"/>
      <c r="C41" s="381"/>
      <c r="D41" s="381"/>
      <c r="E41" s="381"/>
      <c r="F41" s="381"/>
      <c r="G41" s="381"/>
      <c r="H41" s="381"/>
      <c r="I41" s="381"/>
      <c r="J41" s="381"/>
      <c r="K41" s="381"/>
      <c r="L41" s="381"/>
      <c r="M41" s="381"/>
      <c r="N41" s="381"/>
      <c r="O41" s="381"/>
      <c r="P41" s="381"/>
      <c r="Q41" s="10"/>
      <c r="R41" s="10"/>
      <c r="S41" s="10"/>
      <c r="T41" s="10"/>
      <c r="U41" s="10"/>
      <c r="V41" s="10"/>
      <c r="W41" s="10"/>
      <c r="X41" s="10"/>
      <c r="Y41" s="10"/>
      <c r="Z41" s="10"/>
    </row>
    <row r="43" spans="2:28">
      <c r="W43" s="381"/>
      <c r="X43" s="6"/>
      <c r="Y43" s="6"/>
    </row>
    <row r="45" spans="2:28">
      <c r="W45" s="381"/>
      <c r="X45" s="6"/>
      <c r="Y45" s="6"/>
    </row>
    <row r="79" spans="2:2">
      <c r="B79" s="75" t="s">
        <v>1150</v>
      </c>
    </row>
    <row r="80" spans="2:2">
      <c r="B80" s="75"/>
    </row>
    <row r="81" spans="2:26">
      <c r="C81" s="843" t="str">
        <f>D12</f>
        <v>2005/06</v>
      </c>
      <c r="D81" s="843" t="str">
        <f t="shared" ref="D81:W81" si="11">E12</f>
        <v>2006/07</v>
      </c>
      <c r="E81" s="843" t="str">
        <f t="shared" si="11"/>
        <v>2007/08</v>
      </c>
      <c r="F81" s="843" t="str">
        <f t="shared" si="11"/>
        <v>2008/09</v>
      </c>
      <c r="G81" s="843" t="str">
        <f t="shared" si="11"/>
        <v>2009/10</v>
      </c>
      <c r="H81" s="843" t="str">
        <f t="shared" si="11"/>
        <v>2010/11</v>
      </c>
      <c r="I81" s="843" t="str">
        <f t="shared" si="11"/>
        <v>2011/12</v>
      </c>
      <c r="J81" s="843" t="str">
        <f t="shared" si="11"/>
        <v>2012/13</v>
      </c>
      <c r="K81" s="843" t="str">
        <f t="shared" si="11"/>
        <v>2013/14</v>
      </c>
      <c r="L81" s="843" t="str">
        <f t="shared" si="11"/>
        <v>2014/15</v>
      </c>
      <c r="M81" s="843" t="str">
        <f t="shared" si="11"/>
        <v>2015/16</v>
      </c>
      <c r="N81" s="843" t="str">
        <f t="shared" si="11"/>
        <v>2016/17</v>
      </c>
      <c r="O81" s="843" t="str">
        <f t="shared" si="11"/>
        <v>2017/18</v>
      </c>
      <c r="P81" s="843" t="str">
        <f t="shared" si="11"/>
        <v>2018/19</v>
      </c>
      <c r="Q81" s="843" t="str">
        <f t="shared" si="11"/>
        <v>2019/20</v>
      </c>
      <c r="R81" s="843" t="str">
        <f t="shared" si="11"/>
        <v>2020/21</v>
      </c>
      <c r="S81" s="843" t="str">
        <f t="shared" si="11"/>
        <v>2021/22</v>
      </c>
      <c r="T81" s="843" t="str">
        <f t="shared" si="11"/>
        <v>2022/23</v>
      </c>
      <c r="U81" s="843" t="str">
        <f t="shared" si="11"/>
        <v>2023/24</v>
      </c>
      <c r="V81" s="843" t="str">
        <f t="shared" si="11"/>
        <v>2024/25</v>
      </c>
      <c r="W81" s="843" t="str">
        <f t="shared" si="11"/>
        <v>2025/26</v>
      </c>
      <c r="X81" s="843" t="str">
        <f>Z12</f>
        <v>2027/28</v>
      </c>
      <c r="Y81" s="843" t="str">
        <f>AA12</f>
        <v>2028/29</v>
      </c>
      <c r="Z81" s="843"/>
    </row>
    <row r="82" spans="2:26">
      <c r="B82" s="1004" t="s">
        <v>1629</v>
      </c>
      <c r="C82" s="773">
        <f t="shared" ref="C82:W82" si="12">D37-C37</f>
        <v>-48399.063270268962</v>
      </c>
      <c r="D82" s="773">
        <f t="shared" si="12"/>
        <v>-38075.936729731038</v>
      </c>
      <c r="E82" s="773">
        <f t="shared" si="12"/>
        <v>-19140</v>
      </c>
      <c r="F82" s="773">
        <f t="shared" si="12"/>
        <v>-11894</v>
      </c>
      <c r="G82" s="773">
        <f t="shared" si="12"/>
        <v>20203</v>
      </c>
      <c r="H82" s="773">
        <f t="shared" si="12"/>
        <v>38003.5</v>
      </c>
      <c r="I82" s="773">
        <f t="shared" si="12"/>
        <v>75909.5</v>
      </c>
      <c r="J82" s="773">
        <f t="shared" si="12"/>
        <v>97117</v>
      </c>
      <c r="K82" s="773">
        <f t="shared" si="12"/>
        <v>111605.5</v>
      </c>
      <c r="L82" s="773">
        <f t="shared" si="12"/>
        <v>104434</v>
      </c>
      <c r="M82" s="773">
        <f t="shared" si="12"/>
        <v>110607.5</v>
      </c>
      <c r="N82" s="773">
        <f t="shared" si="12"/>
        <v>85379.5</v>
      </c>
      <c r="O82" s="773">
        <f t="shared" si="12"/>
        <v>57973.186907589436</v>
      </c>
      <c r="P82" s="773">
        <f t="shared" si="12"/>
        <v>25803.75314958673</v>
      </c>
      <c r="Q82" s="773">
        <f t="shared" si="12"/>
        <v>196.8108349936083</v>
      </c>
      <c r="R82" s="773">
        <f t="shared" si="12"/>
        <v>8929.3725918168202</v>
      </c>
      <c r="S82" s="773">
        <f t="shared" si="12"/>
        <v>2375.4439700962976</v>
      </c>
      <c r="T82" s="773">
        <f t="shared" si="12"/>
        <v>-6070.723409040831</v>
      </c>
      <c r="U82" s="773">
        <f t="shared" si="12"/>
        <v>-15351.631077167578</v>
      </c>
      <c r="V82" s="773">
        <f t="shared" si="12"/>
        <v>9152.5457781543955</v>
      </c>
      <c r="W82" s="773">
        <f t="shared" si="12"/>
        <v>26635.611070527695</v>
      </c>
      <c r="X82" s="773">
        <f>Z37-X37</f>
        <v>50744.397808267735</v>
      </c>
      <c r="Y82" s="773">
        <f>AA37-Y37</f>
        <v>36818.225182703696</v>
      </c>
      <c r="Z82" s="773"/>
    </row>
    <row r="83" spans="2:26">
      <c r="B83" s="1004" t="s">
        <v>1630</v>
      </c>
      <c r="C83" s="773">
        <f t="shared" ref="C83:W83" si="13">D39-C39</f>
        <v>-3325.4367297310382</v>
      </c>
      <c r="D83" s="773">
        <f t="shared" si="13"/>
        <v>-22753.563270268962</v>
      </c>
      <c r="E83" s="773">
        <f t="shared" si="13"/>
        <v>-33501.5</v>
      </c>
      <c r="F83" s="773">
        <f t="shared" si="13"/>
        <v>-17252.5</v>
      </c>
      <c r="G83" s="773">
        <f t="shared" si="13"/>
        <v>-3864.5</v>
      </c>
      <c r="H83" s="773">
        <f t="shared" si="13"/>
        <v>-15531.5</v>
      </c>
      <c r="I83" s="773">
        <f t="shared" si="13"/>
        <v>-26567.5</v>
      </c>
      <c r="J83" s="773">
        <f t="shared" si="13"/>
        <v>-26906.5</v>
      </c>
      <c r="K83" s="773">
        <f t="shared" si="13"/>
        <v>-32856</v>
      </c>
      <c r="L83" s="773">
        <f t="shared" si="13"/>
        <v>-6060.5</v>
      </c>
      <c r="M83" s="773">
        <f t="shared" si="13"/>
        <v>2207</v>
      </c>
      <c r="N83" s="773">
        <f t="shared" si="13"/>
        <v>23512.5</v>
      </c>
      <c r="O83" s="773">
        <f t="shared" si="13"/>
        <v>51597.560034973547</v>
      </c>
      <c r="P83" s="773">
        <f>Q39-P39</f>
        <v>77048.094792568125</v>
      </c>
      <c r="Q83" s="773">
        <f t="shared" si="13"/>
        <v>85427.690735133365</v>
      </c>
      <c r="R83" s="773">
        <f t="shared" si="13"/>
        <v>71806.56428907346</v>
      </c>
      <c r="S83" s="773">
        <f t="shared" si="13"/>
        <v>76921.354406182189</v>
      </c>
      <c r="T83" s="773">
        <f t="shared" si="13"/>
        <v>81471.173664733302</v>
      </c>
      <c r="U83" s="773">
        <f t="shared" si="13"/>
        <v>72671.721245194785</v>
      </c>
      <c r="V83" s="773">
        <f t="shared" si="13"/>
        <v>26154.128441091161</v>
      </c>
      <c r="W83" s="773">
        <f t="shared" si="13"/>
        <v>9852.5857402714901</v>
      </c>
      <c r="X83" s="773">
        <f>Z39-X39</f>
        <v>-15787.55635088589</v>
      </c>
      <c r="Y83" s="773">
        <f>AA39-Y39</f>
        <v>-29053.160025800113</v>
      </c>
      <c r="Z83" s="773"/>
    </row>
    <row r="84" spans="2:26">
      <c r="B84" s="1004" t="s">
        <v>1629</v>
      </c>
      <c r="C84" s="774">
        <f t="shared" ref="C84:Y84" si="14">C82/C37</f>
        <v>-1.1708495698984465E-2</v>
      </c>
      <c r="D84" s="774">
        <f t="shared" si="14"/>
        <v>-9.3202954367729626E-3</v>
      </c>
      <c r="E84" s="774">
        <f t="shared" si="14"/>
        <v>-4.7292007514833419E-3</v>
      </c>
      <c r="F84" s="774">
        <f t="shared" si="14"/>
        <v>-2.9527895035209918E-3</v>
      </c>
      <c r="G84" s="774">
        <f t="shared" si="14"/>
        <v>5.0304251957995214E-3</v>
      </c>
      <c r="H84" s="774">
        <f t="shared" si="14"/>
        <v>9.4152795170010049E-3</v>
      </c>
      <c r="I84" s="774">
        <f t="shared" si="14"/>
        <v>1.8630987677107223E-2</v>
      </c>
      <c r="J84" s="774">
        <f t="shared" si="14"/>
        <v>2.3400122040032265E-2</v>
      </c>
      <c r="K84" s="774">
        <f t="shared" si="14"/>
        <v>2.6276226519575709E-2</v>
      </c>
      <c r="L84" s="774">
        <f t="shared" si="14"/>
        <v>2.395824730442762E-2</v>
      </c>
      <c r="M84" s="774">
        <f t="shared" si="14"/>
        <v>2.478080778163181E-2</v>
      </c>
      <c r="N84" s="774">
        <f t="shared" si="14"/>
        <v>1.8666096492565711E-2</v>
      </c>
      <c r="O84" s="774">
        <f t="shared" si="14"/>
        <v>1.2442143971877501E-2</v>
      </c>
      <c r="P84" s="774">
        <f t="shared" si="14"/>
        <v>5.4699166801029948E-3</v>
      </c>
      <c r="Q84" s="774">
        <f t="shared" si="14"/>
        <v>4.1493278897662002E-5</v>
      </c>
      <c r="R84" s="774">
        <f t="shared" si="14"/>
        <v>1.8824856586387468E-3</v>
      </c>
      <c r="S84" s="774">
        <f t="shared" si="14"/>
        <v>4.998488967446165E-4</v>
      </c>
      <c r="T84" s="774">
        <f t="shared" si="14"/>
        <v>-1.2767838057729096E-3</v>
      </c>
      <c r="U84" s="774">
        <f t="shared" si="14"/>
        <v>-3.2328555423781114E-3</v>
      </c>
      <c r="V84" s="774">
        <f t="shared" si="14"/>
        <v>1.93365935827273E-3</v>
      </c>
      <c r="W84" s="774">
        <f t="shared" si="14"/>
        <v>5.616448197552336E-3</v>
      </c>
      <c r="X84" s="774">
        <f t="shared" si="14"/>
        <v>1.0640323391125929E-2</v>
      </c>
      <c r="Y84" s="774">
        <f t="shared" si="14"/>
        <v>7.6739287865912218E-3</v>
      </c>
      <c r="Z84" s="774"/>
    </row>
    <row r="85" spans="2:26">
      <c r="B85" s="1004" t="s">
        <v>1630</v>
      </c>
      <c r="C85" s="774">
        <f t="shared" ref="C85:Y85" si="15">C83/C39</f>
        <v>-1.0051243212466372E-3</v>
      </c>
      <c r="D85" s="774">
        <f t="shared" si="15"/>
        <v>-6.8842597772420808E-3</v>
      </c>
      <c r="E85" s="774">
        <f t="shared" si="15"/>
        <v>-1.0206391413122821E-2</v>
      </c>
      <c r="F85" s="774">
        <f t="shared" si="15"/>
        <v>-5.3102547706494734E-3</v>
      </c>
      <c r="G85" s="774">
        <f t="shared" si="15"/>
        <v>-1.195828756208129E-3</v>
      </c>
      <c r="H85" s="774">
        <f t="shared" si="15"/>
        <v>-4.8118129287091724E-3</v>
      </c>
      <c r="I85" s="774">
        <f t="shared" si="15"/>
        <v>-8.2706722444738177E-3</v>
      </c>
      <c r="J85" s="774">
        <f t="shared" si="15"/>
        <v>-8.4460602133951349E-3</v>
      </c>
      <c r="K85" s="774">
        <f t="shared" si="15"/>
        <v>-1.0401484117285788E-2</v>
      </c>
      <c r="L85" s="774">
        <f t="shared" si="15"/>
        <v>-1.9387867395368537E-3</v>
      </c>
      <c r="M85" s="774">
        <f t="shared" si="15"/>
        <v>7.0740274374183362E-4</v>
      </c>
      <c r="N85" s="774">
        <f t="shared" si="15"/>
        <v>7.5310599168084127E-3</v>
      </c>
      <c r="O85" s="790">
        <f t="shared" si="15"/>
        <v>1.6403178690555471E-2</v>
      </c>
      <c r="P85" s="790">
        <f>P83/P39</f>
        <v>2.4098762439530567E-2</v>
      </c>
      <c r="Q85" s="774">
        <f t="shared" si="15"/>
        <v>2.6090936138249931E-2</v>
      </c>
      <c r="R85" s="774">
        <f t="shared" si="15"/>
        <v>2.1373187285632127E-2</v>
      </c>
      <c r="S85" s="774">
        <f t="shared" si="15"/>
        <v>2.2416490117186046E-2</v>
      </c>
      <c r="T85" s="774">
        <f t="shared" si="15"/>
        <v>2.3221850153282889E-2</v>
      </c>
      <c r="U85" s="774">
        <f t="shared" si="15"/>
        <v>2.0243634458786901E-2</v>
      </c>
      <c r="V85" s="774">
        <f t="shared" si="15"/>
        <v>7.1410060060915666E-3</v>
      </c>
      <c r="W85" s="774">
        <f t="shared" si="15"/>
        <v>2.6710319954636312E-3</v>
      </c>
      <c r="X85" s="774">
        <f t="shared" si="15"/>
        <v>-4.2685985559433063E-3</v>
      </c>
      <c r="Y85" s="774">
        <f t="shared" si="15"/>
        <v>-7.865831882176726E-3</v>
      </c>
      <c r="Z85" s="774"/>
    </row>
    <row r="86" spans="2:26">
      <c r="B86" s="1004" t="s">
        <v>1631</v>
      </c>
      <c r="C86" s="701">
        <f>C84</f>
        <v>-1.1708495698984465E-2</v>
      </c>
      <c r="D86" s="701">
        <f t="shared" ref="D86:S87" si="16">D84</f>
        <v>-9.3202954367729626E-3</v>
      </c>
      <c r="E86" s="701">
        <f t="shared" si="16"/>
        <v>-4.7292007514833419E-3</v>
      </c>
      <c r="F86" s="701">
        <f t="shared" si="16"/>
        <v>-2.9527895035209918E-3</v>
      </c>
      <c r="G86" s="701">
        <f t="shared" si="16"/>
        <v>5.0304251957995214E-3</v>
      </c>
      <c r="H86" s="701">
        <f t="shared" si="16"/>
        <v>9.4152795170010049E-3</v>
      </c>
      <c r="I86" s="701">
        <f t="shared" si="16"/>
        <v>1.8630987677107223E-2</v>
      </c>
      <c r="J86" s="701">
        <f t="shared" si="16"/>
        <v>2.3400122040032265E-2</v>
      </c>
      <c r="K86" s="701">
        <f t="shared" si="16"/>
        <v>2.6276226519575709E-2</v>
      </c>
      <c r="L86" s="701">
        <f t="shared" si="16"/>
        <v>2.395824730442762E-2</v>
      </c>
      <c r="M86" s="701">
        <f t="shared" si="16"/>
        <v>2.478080778163181E-2</v>
      </c>
      <c r="N86" s="701">
        <f t="shared" si="16"/>
        <v>1.8666096492565711E-2</v>
      </c>
      <c r="O86" s="701">
        <f t="shared" si="16"/>
        <v>1.2442143971877501E-2</v>
      </c>
      <c r="P86" s="701">
        <f t="shared" si="16"/>
        <v>5.4699166801029948E-3</v>
      </c>
      <c r="Q86" s="701">
        <f t="shared" si="16"/>
        <v>4.1493278897662002E-5</v>
      </c>
      <c r="R86" s="701">
        <f t="shared" si="16"/>
        <v>1.8824856586387468E-3</v>
      </c>
      <c r="S86" s="701">
        <f t="shared" si="16"/>
        <v>4.998488967446165E-4</v>
      </c>
      <c r="T86" s="701">
        <f t="shared" ref="T86:Y87" si="17">T84</f>
        <v>-1.2767838057729096E-3</v>
      </c>
      <c r="U86" s="701">
        <f t="shared" si="17"/>
        <v>-3.2328555423781114E-3</v>
      </c>
      <c r="V86" s="701">
        <f t="shared" si="17"/>
        <v>1.93365935827273E-3</v>
      </c>
      <c r="W86" s="701">
        <f t="shared" si="17"/>
        <v>5.616448197552336E-3</v>
      </c>
      <c r="X86" s="701">
        <f t="shared" si="17"/>
        <v>1.0640323391125929E-2</v>
      </c>
      <c r="Y86" s="701">
        <f t="shared" si="17"/>
        <v>7.6739287865912218E-3</v>
      </c>
      <c r="Z86" s="701"/>
    </row>
    <row r="87" spans="2:26">
      <c r="B87" s="1004" t="s">
        <v>1632</v>
      </c>
      <c r="C87" s="701">
        <f>C85</f>
        <v>-1.0051243212466372E-3</v>
      </c>
      <c r="D87" s="701">
        <f t="shared" si="16"/>
        <v>-6.8842597772420808E-3</v>
      </c>
      <c r="E87" s="701">
        <f t="shared" si="16"/>
        <v>-1.0206391413122821E-2</v>
      </c>
      <c r="F87" s="701">
        <f t="shared" si="16"/>
        <v>-5.3102547706494734E-3</v>
      </c>
      <c r="G87" s="701">
        <f t="shared" si="16"/>
        <v>-1.195828756208129E-3</v>
      </c>
      <c r="H87" s="701">
        <f t="shared" si="16"/>
        <v>-4.8118129287091724E-3</v>
      </c>
      <c r="I87" s="701">
        <f t="shared" si="16"/>
        <v>-8.2706722444738177E-3</v>
      </c>
      <c r="J87" s="701">
        <f t="shared" si="16"/>
        <v>-8.4460602133951349E-3</v>
      </c>
      <c r="K87" s="701">
        <f t="shared" si="16"/>
        <v>-1.0401484117285788E-2</v>
      </c>
      <c r="L87" s="701">
        <f t="shared" si="16"/>
        <v>-1.9387867395368537E-3</v>
      </c>
      <c r="M87" s="701">
        <f t="shared" si="16"/>
        <v>7.0740274374183362E-4</v>
      </c>
      <c r="N87" s="701">
        <f t="shared" si="16"/>
        <v>7.5310599168084127E-3</v>
      </c>
      <c r="O87" s="701">
        <f t="shared" si="16"/>
        <v>1.6403178690555471E-2</v>
      </c>
      <c r="P87" s="701">
        <f t="shared" si="16"/>
        <v>2.4098762439530567E-2</v>
      </c>
      <c r="Q87" s="701">
        <f t="shared" si="16"/>
        <v>2.6090936138249931E-2</v>
      </c>
      <c r="R87" s="701">
        <f t="shared" si="16"/>
        <v>2.1373187285632127E-2</v>
      </c>
      <c r="S87" s="701">
        <f t="shared" si="16"/>
        <v>2.2416490117186046E-2</v>
      </c>
      <c r="T87" s="701">
        <f t="shared" si="17"/>
        <v>2.3221850153282889E-2</v>
      </c>
      <c r="U87" s="701">
        <f t="shared" si="17"/>
        <v>2.0243634458786901E-2</v>
      </c>
      <c r="V87" s="701">
        <f t="shared" si="17"/>
        <v>7.1410060060915666E-3</v>
      </c>
      <c r="W87" s="701">
        <f t="shared" si="17"/>
        <v>2.6710319954636312E-3</v>
      </c>
      <c r="X87" s="701">
        <f t="shared" si="17"/>
        <v>-4.2685985559433063E-3</v>
      </c>
      <c r="Y87" s="701">
        <f t="shared" si="17"/>
        <v>-7.865831882176726E-3</v>
      </c>
      <c r="Z87" s="701"/>
    </row>
    <row r="88" spans="2:26">
      <c r="B88" s="12" t="s">
        <v>1253</v>
      </c>
      <c r="C88" s="773">
        <f>D38-C38</f>
        <v>-48399.063270268962</v>
      </c>
      <c r="D88" s="773">
        <f t="shared" ref="D88:W88" si="18">E38-D38</f>
        <v>-38075.936729731038</v>
      </c>
      <c r="E88" s="773">
        <f t="shared" si="18"/>
        <v>-19140</v>
      </c>
      <c r="F88" s="773">
        <f t="shared" si="18"/>
        <v>-11894</v>
      </c>
      <c r="G88" s="773">
        <f t="shared" si="18"/>
        <v>20203</v>
      </c>
      <c r="H88" s="773">
        <f t="shared" si="18"/>
        <v>38003.5</v>
      </c>
      <c r="I88" s="773">
        <f t="shared" si="18"/>
        <v>75909.5</v>
      </c>
      <c r="J88" s="773">
        <f t="shared" si="18"/>
        <v>97117</v>
      </c>
      <c r="K88" s="773">
        <f t="shared" si="18"/>
        <v>111605.5</v>
      </c>
      <c r="L88" s="773">
        <f t="shared" si="18"/>
        <v>104434</v>
      </c>
      <c r="M88" s="773">
        <f t="shared" si="18"/>
        <v>110607.5</v>
      </c>
      <c r="N88" s="773">
        <f t="shared" si="18"/>
        <v>95362.105101335794</v>
      </c>
      <c r="O88" s="773">
        <f t="shared" si="18"/>
        <v>59211.400581630878</v>
      </c>
      <c r="P88" s="773">
        <f t="shared" si="18"/>
        <v>25533.101568606682</v>
      </c>
      <c r="Q88" s="773">
        <f t="shared" si="18"/>
        <v>781.22947582229972</v>
      </c>
      <c r="R88" s="773">
        <f t="shared" si="18"/>
        <v>10259.30762264505</v>
      </c>
      <c r="S88" s="773">
        <f t="shared" si="18"/>
        <v>3164.5230602826923</v>
      </c>
      <c r="T88" s="773">
        <f t="shared" si="18"/>
        <v>-8235.4281459636986</v>
      </c>
      <c r="U88" s="773">
        <f t="shared" si="18"/>
        <v>-15261.738343709148</v>
      </c>
      <c r="V88" s="773">
        <f t="shared" si="18"/>
        <v>9225.3258910868317</v>
      </c>
      <c r="W88" s="773">
        <f t="shared" si="18"/>
        <v>26777.72030790057</v>
      </c>
      <c r="X88" s="773">
        <f>Z38-X38</f>
        <v>50777.006712892093</v>
      </c>
      <c r="Y88" s="773"/>
      <c r="Z88" s="773"/>
    </row>
    <row r="89" spans="2:26">
      <c r="B89" s="12" t="s">
        <v>1254</v>
      </c>
      <c r="C89" s="773">
        <f>D40-C40</f>
        <v>-3325.4367297310382</v>
      </c>
      <c r="D89" s="773">
        <f t="shared" ref="D89:W89" si="19">E40-D40</f>
        <v>-22753.563270268962</v>
      </c>
      <c r="E89" s="773">
        <f t="shared" si="19"/>
        <v>-33501.5</v>
      </c>
      <c r="F89" s="773">
        <f t="shared" si="19"/>
        <v>-17252.5</v>
      </c>
      <c r="G89" s="773">
        <f t="shared" si="19"/>
        <v>-3864.5</v>
      </c>
      <c r="H89" s="773">
        <f t="shared" si="19"/>
        <v>-15531.5</v>
      </c>
      <c r="I89" s="773">
        <f t="shared" si="19"/>
        <v>-26567.5</v>
      </c>
      <c r="J89" s="773">
        <f t="shared" si="19"/>
        <v>-26906.5</v>
      </c>
      <c r="K89" s="773">
        <f t="shared" si="19"/>
        <v>-32856</v>
      </c>
      <c r="L89" s="773">
        <f t="shared" si="19"/>
        <v>-6125</v>
      </c>
      <c r="M89" s="773">
        <f t="shared" si="19"/>
        <v>2189</v>
      </c>
      <c r="N89" s="773">
        <f t="shared" si="19"/>
        <v>31446.518896417692</v>
      </c>
      <c r="O89" s="773">
        <f t="shared" si="19"/>
        <v>53038.991484107915</v>
      </c>
      <c r="P89" s="773">
        <f t="shared" si="19"/>
        <v>78304.2751658489</v>
      </c>
      <c r="Q89" s="773">
        <f t="shared" si="19"/>
        <v>86744.184121360537</v>
      </c>
      <c r="R89" s="773">
        <f t="shared" si="19"/>
        <v>70214.007409865502</v>
      </c>
      <c r="S89" s="773">
        <f t="shared" si="19"/>
        <v>75767.511385226622</v>
      </c>
      <c r="T89" s="773">
        <f t="shared" si="19"/>
        <v>83993.200683016796</v>
      </c>
      <c r="U89" s="773">
        <f t="shared" si="19"/>
        <v>72754.790221941192</v>
      </c>
      <c r="V89" s="773">
        <f t="shared" si="19"/>
        <v>27040.057408352848</v>
      </c>
      <c r="W89" s="773">
        <f t="shared" si="19"/>
        <v>10805.219249940012</v>
      </c>
      <c r="X89" s="773">
        <f>Z40-X40</f>
        <v>-16837.099479369819</v>
      </c>
      <c r="Y89" s="773"/>
      <c r="Z89" s="773"/>
    </row>
    <row r="90" spans="2:26">
      <c r="B90" s="12" t="s">
        <v>1253</v>
      </c>
      <c r="C90" s="701">
        <f>C88/C38</f>
        <v>-1.1708495698984465E-2</v>
      </c>
      <c r="D90" s="701">
        <f t="shared" ref="D90:X90" si="20">D88/D38</f>
        <v>-9.3202954367729626E-3</v>
      </c>
      <c r="E90" s="701">
        <f t="shared" si="20"/>
        <v>-4.7292007514833419E-3</v>
      </c>
      <c r="F90" s="701">
        <f t="shared" si="20"/>
        <v>-2.9527895035209918E-3</v>
      </c>
      <c r="G90" s="701">
        <f t="shared" si="20"/>
        <v>5.0304251957995214E-3</v>
      </c>
      <c r="H90" s="701">
        <f t="shared" si="20"/>
        <v>9.4152795170010049E-3</v>
      </c>
      <c r="I90" s="701">
        <f t="shared" si="20"/>
        <v>1.8630987677107223E-2</v>
      </c>
      <c r="J90" s="701">
        <f t="shared" si="20"/>
        <v>2.3400122040032265E-2</v>
      </c>
      <c r="K90" s="701">
        <f t="shared" si="20"/>
        <v>2.6276226519575709E-2</v>
      </c>
      <c r="L90" s="701">
        <f t="shared" si="20"/>
        <v>2.395824730442762E-2</v>
      </c>
      <c r="M90" s="701">
        <f t="shared" si="20"/>
        <v>2.478080778163181E-2</v>
      </c>
      <c r="N90" s="701">
        <f t="shared" si="20"/>
        <v>2.0848543919274844E-2</v>
      </c>
      <c r="O90" s="701">
        <f t="shared" si="20"/>
        <v>1.2680720192390794E-2</v>
      </c>
      <c r="P90" s="701">
        <f t="shared" si="20"/>
        <v>5.3996998144108512E-3</v>
      </c>
      <c r="Q90" s="701">
        <f t="shared" si="20"/>
        <v>1.643258599013099E-4</v>
      </c>
      <c r="R90" s="701">
        <f t="shared" si="20"/>
        <v>2.1576151602088942E-3</v>
      </c>
      <c r="S90" s="701">
        <f t="shared" si="20"/>
        <v>6.6409187473297291E-4</v>
      </c>
      <c r="T90" s="701">
        <f t="shared" si="20"/>
        <v>-1.7271011304803021E-3</v>
      </c>
      <c r="U90" s="701">
        <f t="shared" si="20"/>
        <v>-3.2061682461803423E-3</v>
      </c>
      <c r="V90" s="701">
        <f t="shared" si="20"/>
        <v>1.9442794237163003E-3</v>
      </c>
      <c r="W90" s="701">
        <f t="shared" si="20"/>
        <v>5.6325751427266178E-3</v>
      </c>
      <c r="X90" s="701">
        <f t="shared" si="20"/>
        <v>1.0620895996397157E-2</v>
      </c>
      <c r="Y90" s="701"/>
      <c r="Z90" s="701"/>
    </row>
    <row r="91" spans="2:26">
      <c r="B91" s="12" t="s">
        <v>1254</v>
      </c>
      <c r="C91" s="701">
        <f>C89/C40</f>
        <v>-1.0051243212466372E-3</v>
      </c>
      <c r="D91" s="701">
        <f t="shared" ref="D91:X91" si="21">D89/D40</f>
        <v>-6.8842597772420808E-3</v>
      </c>
      <c r="E91" s="701">
        <f t="shared" si="21"/>
        <v>-1.0206391413122821E-2</v>
      </c>
      <c r="F91" s="701">
        <f t="shared" si="21"/>
        <v>-5.3102547706494734E-3</v>
      </c>
      <c r="G91" s="701">
        <f t="shared" si="21"/>
        <v>-1.195828756208129E-3</v>
      </c>
      <c r="H91" s="701">
        <f t="shared" si="21"/>
        <v>-4.8118129287091724E-3</v>
      </c>
      <c r="I91" s="701">
        <f t="shared" si="21"/>
        <v>-8.2706722444738177E-3</v>
      </c>
      <c r="J91" s="701">
        <f t="shared" si="21"/>
        <v>-8.4460602133951349E-3</v>
      </c>
      <c r="K91" s="701">
        <f t="shared" si="21"/>
        <v>-1.0401484117285788E-2</v>
      </c>
      <c r="L91" s="701">
        <f t="shared" si="21"/>
        <v>-1.9594206385056068E-3</v>
      </c>
      <c r="M91" s="701">
        <f t="shared" si="21"/>
        <v>7.0164776641059245E-4</v>
      </c>
      <c r="N91" s="701">
        <f t="shared" si="21"/>
        <v>1.0072594416255826E-2</v>
      </c>
      <c r="O91" s="701">
        <f t="shared" si="21"/>
        <v>1.6819436448190322E-2</v>
      </c>
      <c r="P91" s="701">
        <f t="shared" si="21"/>
        <v>2.44206836302715E-2</v>
      </c>
      <c r="Q91" s="701">
        <f t="shared" si="21"/>
        <v>2.6407930698706887E-2</v>
      </c>
      <c r="R91" s="701">
        <f t="shared" si="21"/>
        <v>2.0825611709356626E-2</v>
      </c>
      <c r="S91" s="701">
        <f t="shared" si="21"/>
        <v>2.2014329945657624E-2</v>
      </c>
      <c r="T91" s="701">
        <f t="shared" si="21"/>
        <v>2.3878640336394492E-2</v>
      </c>
      <c r="U91" s="701">
        <f t="shared" si="21"/>
        <v>2.0201265335383724E-2</v>
      </c>
      <c r="V91" s="701">
        <f t="shared" si="21"/>
        <v>7.3593376937295353E-3</v>
      </c>
      <c r="W91" s="701">
        <f t="shared" si="21"/>
        <v>2.9193105008289799E-3</v>
      </c>
      <c r="X91" s="701">
        <f t="shared" si="21"/>
        <v>-4.5357383134039019E-3</v>
      </c>
      <c r="Y91" s="701"/>
      <c r="Z91" s="701"/>
    </row>
    <row r="92" spans="2:26">
      <c r="B92" s="12" t="s">
        <v>1251</v>
      </c>
      <c r="C92" s="701">
        <f>C90</f>
        <v>-1.1708495698984465E-2</v>
      </c>
      <c r="D92" s="701">
        <f t="shared" ref="D92:X92" si="22">D90</f>
        <v>-9.3202954367729626E-3</v>
      </c>
      <c r="E92" s="701">
        <f t="shared" si="22"/>
        <v>-4.7292007514833419E-3</v>
      </c>
      <c r="F92" s="701">
        <f t="shared" si="22"/>
        <v>-2.9527895035209918E-3</v>
      </c>
      <c r="G92" s="701">
        <f t="shared" si="22"/>
        <v>5.0304251957995214E-3</v>
      </c>
      <c r="H92" s="701">
        <f t="shared" si="22"/>
        <v>9.4152795170010049E-3</v>
      </c>
      <c r="I92" s="701">
        <f t="shared" si="22"/>
        <v>1.8630987677107223E-2</v>
      </c>
      <c r="J92" s="701">
        <f t="shared" si="22"/>
        <v>2.3400122040032265E-2</v>
      </c>
      <c r="K92" s="701">
        <f t="shared" si="22"/>
        <v>2.6276226519575709E-2</v>
      </c>
      <c r="L92" s="701">
        <f t="shared" si="22"/>
        <v>2.395824730442762E-2</v>
      </c>
      <c r="M92" s="701">
        <f t="shared" si="22"/>
        <v>2.478080778163181E-2</v>
      </c>
      <c r="N92" s="701">
        <f t="shared" si="22"/>
        <v>2.0848543919274844E-2</v>
      </c>
      <c r="O92" s="701">
        <f t="shared" si="22"/>
        <v>1.2680720192390794E-2</v>
      </c>
      <c r="P92" s="701">
        <f t="shared" si="22"/>
        <v>5.3996998144108512E-3</v>
      </c>
      <c r="Q92" s="701">
        <f t="shared" si="22"/>
        <v>1.643258599013099E-4</v>
      </c>
      <c r="R92" s="701">
        <f t="shared" si="22"/>
        <v>2.1576151602088942E-3</v>
      </c>
      <c r="S92" s="701">
        <f t="shared" si="22"/>
        <v>6.6409187473297291E-4</v>
      </c>
      <c r="T92" s="701">
        <f t="shared" si="22"/>
        <v>-1.7271011304803021E-3</v>
      </c>
      <c r="U92" s="701">
        <f t="shared" si="22"/>
        <v>-3.2061682461803423E-3</v>
      </c>
      <c r="V92" s="701">
        <f t="shared" si="22"/>
        <v>1.9442794237163003E-3</v>
      </c>
      <c r="W92" s="701">
        <f t="shared" si="22"/>
        <v>5.6325751427266178E-3</v>
      </c>
      <c r="X92" s="701">
        <f t="shared" si="22"/>
        <v>1.0620895996397157E-2</v>
      </c>
      <c r="Y92" s="701"/>
      <c r="Z92" s="701"/>
    </row>
    <row r="93" spans="2:26">
      <c r="B93" s="12" t="s">
        <v>1252</v>
      </c>
      <c r="C93" s="701">
        <f>C91</f>
        <v>-1.0051243212466372E-3</v>
      </c>
      <c r="D93" s="701">
        <f t="shared" ref="D93:X93" si="23">D91</f>
        <v>-6.8842597772420808E-3</v>
      </c>
      <c r="E93" s="701">
        <f t="shared" si="23"/>
        <v>-1.0206391413122821E-2</v>
      </c>
      <c r="F93" s="701">
        <f t="shared" si="23"/>
        <v>-5.3102547706494734E-3</v>
      </c>
      <c r="G93" s="701">
        <f t="shared" si="23"/>
        <v>-1.195828756208129E-3</v>
      </c>
      <c r="H93" s="701">
        <f t="shared" si="23"/>
        <v>-4.8118129287091724E-3</v>
      </c>
      <c r="I93" s="701">
        <f t="shared" si="23"/>
        <v>-8.2706722444738177E-3</v>
      </c>
      <c r="J93" s="701">
        <f t="shared" si="23"/>
        <v>-8.4460602133951349E-3</v>
      </c>
      <c r="K93" s="701">
        <f t="shared" si="23"/>
        <v>-1.0401484117285788E-2</v>
      </c>
      <c r="L93" s="701">
        <f t="shared" si="23"/>
        <v>-1.9594206385056068E-3</v>
      </c>
      <c r="M93" s="701">
        <f t="shared" si="23"/>
        <v>7.0164776641059245E-4</v>
      </c>
      <c r="N93" s="701">
        <f t="shared" si="23"/>
        <v>1.0072594416255826E-2</v>
      </c>
      <c r="O93" s="701">
        <f t="shared" si="23"/>
        <v>1.6819436448190322E-2</v>
      </c>
      <c r="P93" s="701">
        <f t="shared" si="23"/>
        <v>2.44206836302715E-2</v>
      </c>
      <c r="Q93" s="701">
        <f t="shared" si="23"/>
        <v>2.6407930698706887E-2</v>
      </c>
      <c r="R93" s="701">
        <f t="shared" si="23"/>
        <v>2.0825611709356626E-2</v>
      </c>
      <c r="S93" s="701">
        <f t="shared" si="23"/>
        <v>2.2014329945657624E-2</v>
      </c>
      <c r="T93" s="701">
        <f t="shared" si="23"/>
        <v>2.3878640336394492E-2</v>
      </c>
      <c r="U93" s="701">
        <f t="shared" si="23"/>
        <v>2.0201265335383724E-2</v>
      </c>
      <c r="V93" s="701">
        <f t="shared" si="23"/>
        <v>7.3593376937295353E-3</v>
      </c>
      <c r="W93" s="701">
        <f t="shared" si="23"/>
        <v>2.9193105008289799E-3</v>
      </c>
      <c r="X93" s="701">
        <f t="shared" si="23"/>
        <v>-4.5357383134039019E-3</v>
      </c>
      <c r="Y93" s="701"/>
      <c r="Z93" s="701"/>
    </row>
    <row r="106" spans="13:14">
      <c r="M106" s="441"/>
      <c r="N106" s="441"/>
    </row>
    <row r="107" spans="13:14">
      <c r="M107" s="441"/>
      <c r="N107" s="441"/>
    </row>
    <row r="122" spans="2:27">
      <c r="B122" s="75"/>
    </row>
    <row r="124" spans="2:27">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row>
    <row r="125" spans="2:27">
      <c r="B125" s="12"/>
      <c r="C125" s="773"/>
      <c r="D125" s="773"/>
      <c r="E125" s="773"/>
      <c r="F125" s="773"/>
      <c r="G125" s="773"/>
      <c r="H125" s="773"/>
      <c r="I125" s="773"/>
      <c r="J125" s="773"/>
      <c r="K125" s="773"/>
      <c r="L125" s="773"/>
      <c r="M125" s="773"/>
      <c r="N125" s="773"/>
      <c r="O125" s="773"/>
      <c r="P125" s="773"/>
      <c r="Q125" s="773"/>
      <c r="R125" s="773"/>
      <c r="S125" s="773"/>
      <c r="T125" s="773"/>
      <c r="U125" s="773"/>
      <c r="V125" s="773"/>
      <c r="W125" s="773"/>
      <c r="X125" s="773"/>
      <c r="Y125" s="773"/>
      <c r="Z125" s="773"/>
      <c r="AA125" s="844"/>
    </row>
    <row r="126" spans="2:27">
      <c r="B126" s="12"/>
      <c r="C126" s="773"/>
      <c r="D126" s="773"/>
      <c r="E126" s="773"/>
      <c r="F126" s="773"/>
      <c r="G126" s="773"/>
      <c r="H126" s="773"/>
      <c r="I126" s="773"/>
      <c r="J126" s="773"/>
      <c r="K126" s="773"/>
      <c r="L126" s="773"/>
      <c r="M126" s="773"/>
      <c r="N126" s="773"/>
      <c r="O126" s="773"/>
      <c r="P126" s="773"/>
      <c r="Q126" s="773"/>
      <c r="R126" s="773"/>
      <c r="S126" s="773"/>
      <c r="T126" s="773"/>
      <c r="U126" s="773"/>
      <c r="V126" s="773"/>
      <c r="W126" s="773"/>
      <c r="X126" s="773"/>
      <c r="Y126" s="773"/>
      <c r="Z126" s="773"/>
      <c r="AA126" s="844"/>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82"/>
  <sheetViews>
    <sheetView showGridLines="0" zoomScaleNormal="100" workbookViewId="0"/>
  </sheetViews>
  <sheetFormatPr defaultRowHeight="12.75"/>
  <cols>
    <col min="2" max="2" width="36.140625" customWidth="1"/>
    <col min="19" max="19" width="8.85546875" style="469" customWidth="1"/>
    <col min="21" max="21" width="8.85546875" hidden="1" customWidth="1"/>
    <col min="22" max="22" width="12" customWidth="1"/>
  </cols>
  <sheetData>
    <row r="1" spans="1:21" s="337" customFormat="1" ht="15">
      <c r="A1" s="336" t="str">
        <f>ModelBanner</f>
        <v>TSM_201819 Publication</v>
      </c>
    </row>
    <row r="2" spans="1:21" s="337" customFormat="1" ht="15">
      <c r="A2" s="940" t="s">
        <v>13</v>
      </c>
      <c r="B2" s="940" t="s">
        <v>30</v>
      </c>
      <c r="R2" s="474"/>
      <c r="S2" s="474"/>
      <c r="T2" s="474"/>
      <c r="U2" s="474"/>
    </row>
    <row r="3" spans="1:21" s="337" customFormat="1" ht="15">
      <c r="A3" s="338"/>
      <c r="R3" s="474"/>
      <c r="S3" s="474"/>
      <c r="T3" s="474"/>
      <c r="U3" s="474"/>
    </row>
    <row r="4" spans="1:21" s="341" customFormat="1" ht="15">
      <c r="A4" s="339" t="s">
        <v>26</v>
      </c>
      <c r="B4" s="339"/>
      <c r="C4" s="337"/>
      <c r="D4" s="337"/>
      <c r="E4" s="337"/>
      <c r="F4" s="337"/>
      <c r="R4" s="474"/>
      <c r="S4" s="474"/>
      <c r="T4" s="474"/>
      <c r="U4" s="474"/>
    </row>
    <row r="5" spans="1:21" s="343" customFormat="1" ht="15">
      <c r="A5" s="682" t="s">
        <v>1078</v>
      </c>
      <c r="B5" s="682"/>
      <c r="C5" s="682"/>
      <c r="D5" s="682"/>
      <c r="E5" s="682"/>
      <c r="F5" s="682"/>
      <c r="G5" s="682"/>
      <c r="H5" s="682"/>
      <c r="I5" s="682"/>
      <c r="J5" s="682"/>
      <c r="K5" s="682"/>
      <c r="L5" s="682"/>
      <c r="M5" s="682"/>
      <c r="N5" s="342"/>
      <c r="O5" s="342"/>
      <c r="P5" s="342"/>
      <c r="Q5" s="342"/>
      <c r="R5" s="474"/>
      <c r="S5" s="474"/>
      <c r="T5" s="474"/>
      <c r="U5" s="474"/>
    </row>
    <row r="6" spans="1:21" s="347" customFormat="1" ht="15">
      <c r="A6" s="344" t="s">
        <v>1392</v>
      </c>
      <c r="B6" s="345"/>
      <c r="C6" s="337"/>
      <c r="D6" s="337"/>
      <c r="E6" s="337"/>
      <c r="F6" s="337"/>
      <c r="G6" s="346"/>
      <c r="H6" s="346"/>
      <c r="I6" s="346"/>
      <c r="J6" s="346"/>
      <c r="K6" s="346"/>
      <c r="L6" s="346"/>
      <c r="M6" s="346"/>
      <c r="N6" s="346"/>
      <c r="O6" s="346"/>
      <c r="P6" s="346"/>
      <c r="Q6" s="346"/>
      <c r="R6" s="474"/>
      <c r="S6" s="474"/>
      <c r="T6" s="474"/>
      <c r="U6" s="474"/>
    </row>
    <row r="7" spans="1:21" s="347" customFormat="1" ht="15">
      <c r="A7" s="348" t="s">
        <v>1034</v>
      </c>
      <c r="B7" s="344"/>
      <c r="C7" s="337"/>
      <c r="D7" s="337"/>
      <c r="E7" s="337"/>
      <c r="F7" s="337"/>
      <c r="G7" s="346"/>
      <c r="H7" s="346"/>
      <c r="I7" s="346"/>
      <c r="J7" s="346"/>
      <c r="K7" s="346"/>
      <c r="L7" s="346"/>
      <c r="M7" s="346"/>
      <c r="N7" s="346"/>
      <c r="O7" s="346"/>
      <c r="P7" s="346"/>
      <c r="Q7" s="346"/>
      <c r="R7" s="474"/>
      <c r="S7" s="474"/>
      <c r="T7" s="474"/>
      <c r="U7" s="474"/>
    </row>
    <row r="8" spans="1:21" s="347" customFormat="1" ht="15">
      <c r="A8" s="344" t="s">
        <v>24</v>
      </c>
      <c r="B8" s="345"/>
      <c r="C8" s="337"/>
      <c r="D8" s="337"/>
      <c r="E8" s="337"/>
      <c r="F8" s="337"/>
      <c r="G8" s="346"/>
      <c r="H8" s="346"/>
      <c r="I8" s="346"/>
      <c r="J8" s="346"/>
      <c r="K8" s="346"/>
      <c r="L8" s="346"/>
      <c r="M8" s="346"/>
      <c r="N8" s="346"/>
      <c r="O8" s="346"/>
      <c r="P8" s="346"/>
      <c r="Q8" s="346"/>
      <c r="R8" s="474"/>
      <c r="S8" s="474"/>
      <c r="T8" s="474"/>
      <c r="U8" s="474"/>
    </row>
    <row r="9" spans="1:21" s="347" customFormat="1" ht="15">
      <c r="A9" s="348" t="s">
        <v>124</v>
      </c>
      <c r="B9" s="345"/>
      <c r="C9" s="337"/>
      <c r="D9" s="337"/>
      <c r="E9" s="337"/>
      <c r="F9" s="337"/>
      <c r="G9" s="346"/>
      <c r="H9" s="346"/>
      <c r="I9" s="346"/>
      <c r="J9" s="346"/>
      <c r="K9" s="346"/>
      <c r="L9" s="346"/>
      <c r="M9" s="346"/>
      <c r="N9" s="346"/>
      <c r="O9" s="346"/>
      <c r="P9" s="346"/>
      <c r="Q9" s="346"/>
      <c r="R9" s="474"/>
      <c r="S9" s="474"/>
      <c r="T9" s="474"/>
      <c r="U9" s="474"/>
    </row>
    <row r="10" spans="1:21" s="355" customFormat="1" ht="13.5" customHeight="1">
      <c r="A10" s="349">
        <f>SUM(A42:A2313)</f>
        <v>0</v>
      </c>
      <c r="B10" s="350"/>
      <c r="C10" s="352"/>
      <c r="D10" s="352"/>
      <c r="E10" s="352"/>
      <c r="F10" s="352"/>
      <c r="G10" s="352"/>
      <c r="H10" s="353"/>
      <c r="I10" s="352"/>
      <c r="J10" s="352"/>
      <c r="K10" s="353"/>
      <c r="L10" s="354"/>
      <c r="M10" s="354"/>
      <c r="N10" s="354"/>
      <c r="O10" s="354"/>
      <c r="P10" s="354"/>
      <c r="Q10" s="354"/>
    </row>
    <row r="11" spans="1:21">
      <c r="S11"/>
    </row>
    <row r="12" spans="1:21">
      <c r="B12" s="689" t="s">
        <v>1412</v>
      </c>
    </row>
    <row r="13" spans="1:21">
      <c r="B13" s="681"/>
    </row>
    <row r="14" spans="1:21">
      <c r="B14" s="681"/>
    </row>
    <row r="15" spans="1:21" ht="15">
      <c r="B15" s="947" t="s">
        <v>1494</v>
      </c>
    </row>
    <row r="16" spans="1:21">
      <c r="B16" s="681"/>
    </row>
    <row r="17" spans="2:2">
      <c r="B17" s="318" t="s">
        <v>1493</v>
      </c>
    </row>
    <row r="18" spans="2:2">
      <c r="B18" s="318"/>
    </row>
    <row r="19" spans="2:2">
      <c r="B19" s="992" t="s">
        <v>1527</v>
      </c>
    </row>
    <row r="20" spans="2:2">
      <c r="B20" s="318"/>
    </row>
    <row r="21" spans="2:2">
      <c r="B21" s="1087" t="s">
        <v>1761</v>
      </c>
    </row>
    <row r="22" spans="2:2">
      <c r="B22" s="1087"/>
    </row>
    <row r="23" spans="2:2">
      <c r="B23" s="320" t="s">
        <v>1762</v>
      </c>
    </row>
    <row r="24" spans="2:2">
      <c r="B24" s="992"/>
    </row>
    <row r="25" spans="2:2">
      <c r="B25" s="320" t="s">
        <v>1328</v>
      </c>
    </row>
    <row r="26" spans="2:2">
      <c r="B26" s="318"/>
    </row>
    <row r="27" spans="2:2">
      <c r="B27" s="318" t="s">
        <v>1495</v>
      </c>
    </row>
    <row r="28" spans="2:2">
      <c r="B28" s="318"/>
    </row>
    <row r="29" spans="2:2">
      <c r="B29" s="318" t="s">
        <v>1146</v>
      </c>
    </row>
    <row r="30" spans="2:2">
      <c r="B30" s="318"/>
    </row>
    <row r="31" spans="2:2">
      <c r="B31" s="208" t="s">
        <v>1646</v>
      </c>
    </row>
    <row r="32" spans="2:2">
      <c r="B32" s="318"/>
    </row>
    <row r="33" spans="2:26">
      <c r="B33" s="1027" t="s">
        <v>1763</v>
      </c>
    </row>
    <row r="34" spans="2:26">
      <c r="B34" s="681"/>
    </row>
    <row r="35" spans="2:26">
      <c r="B35" s="948" t="s">
        <v>1081</v>
      </c>
    </row>
    <row r="36" spans="2:26">
      <c r="B36" s="691" t="s">
        <v>1082</v>
      </c>
    </row>
    <row r="37" spans="2:26">
      <c r="B37" s="691" t="s">
        <v>1083</v>
      </c>
    </row>
    <row r="38" spans="2:26">
      <c r="B38" s="691" t="s">
        <v>1084</v>
      </c>
    </row>
    <row r="39" spans="2:26">
      <c r="B39" s="691" t="s">
        <v>1496</v>
      </c>
    </row>
    <row r="40" spans="2:26">
      <c r="B40" s="691" t="s">
        <v>1323</v>
      </c>
      <c r="T40" s="1"/>
      <c r="U40" s="1"/>
      <c r="V40" s="1"/>
      <c r="W40" s="1"/>
      <c r="X40" s="1"/>
      <c r="Y40" s="1"/>
      <c r="Z40" s="1"/>
    </row>
    <row r="41" spans="2:26">
      <c r="B41" s="681"/>
      <c r="T41" s="469"/>
      <c r="U41" s="469"/>
      <c r="V41" s="469"/>
      <c r="W41" s="469"/>
      <c r="X41" s="469"/>
      <c r="Y41" s="469"/>
      <c r="Z41" s="469"/>
    </row>
    <row r="42" spans="2:26" ht="15">
      <c r="B42" s="742"/>
      <c r="C42" s="754" t="s">
        <v>142</v>
      </c>
      <c r="D42" s="754" t="s">
        <v>143</v>
      </c>
      <c r="E42" s="754" t="s">
        <v>144</v>
      </c>
      <c r="F42" s="754" t="s">
        <v>145</v>
      </c>
      <c r="G42" s="754" t="s">
        <v>146</v>
      </c>
      <c r="H42" s="754" t="s">
        <v>147</v>
      </c>
      <c r="I42" s="754" t="s">
        <v>148</v>
      </c>
      <c r="J42" s="754" t="s">
        <v>149</v>
      </c>
      <c r="K42" s="754" t="s">
        <v>150</v>
      </c>
      <c r="L42" s="754" t="s">
        <v>151</v>
      </c>
      <c r="M42" s="754" t="s">
        <v>152</v>
      </c>
      <c r="N42" s="754" t="s">
        <v>153</v>
      </c>
      <c r="O42" s="754" t="s">
        <v>154</v>
      </c>
      <c r="P42" s="754" t="s">
        <v>183</v>
      </c>
      <c r="Q42" s="754" t="s">
        <v>184</v>
      </c>
      <c r="R42" s="754" t="s">
        <v>185</v>
      </c>
      <c r="S42" s="797"/>
      <c r="T42" s="756"/>
      <c r="U42" s="757"/>
      <c r="V42" s="1348"/>
      <c r="W42" s="1349"/>
      <c r="X42" s="758"/>
      <c r="Y42" s="1349"/>
      <c r="Z42" s="1350"/>
    </row>
    <row r="43" spans="2:26" ht="15">
      <c r="B43" s="331" t="s">
        <v>1040</v>
      </c>
      <c r="C43" s="765">
        <v>13040.499199007802</v>
      </c>
      <c r="D43" s="765">
        <v>14421.375629707218</v>
      </c>
      <c r="E43" s="765">
        <v>14130</v>
      </c>
      <c r="F43" s="765">
        <v>14328</v>
      </c>
      <c r="G43" s="761">
        <v>11245.392069649593</v>
      </c>
      <c r="H43" s="761">
        <v>11488.74477424193</v>
      </c>
      <c r="I43" s="761">
        <v>12120.954810176481</v>
      </c>
      <c r="J43" s="325"/>
      <c r="K43" s="325"/>
      <c r="L43" s="325"/>
      <c r="M43" s="325"/>
      <c r="N43" s="325"/>
      <c r="O43" s="325"/>
      <c r="P43" s="325"/>
      <c r="Q43" s="325"/>
      <c r="R43" s="325"/>
      <c r="S43" s="594"/>
      <c r="T43" s="756"/>
      <c r="U43" s="743"/>
      <c r="V43" s="743"/>
      <c r="W43" s="743"/>
      <c r="X43" s="743"/>
      <c r="Y43" s="743"/>
      <c r="Z43" s="759"/>
    </row>
    <row r="44" spans="2:26" ht="15">
      <c r="B44" s="331" t="s">
        <v>1041</v>
      </c>
      <c r="C44" s="764">
        <v>320</v>
      </c>
      <c r="D44" s="765">
        <v>320</v>
      </c>
      <c r="E44" s="765">
        <v>340</v>
      </c>
      <c r="F44" s="765">
        <v>403</v>
      </c>
      <c r="G44" s="761">
        <v>793.58241370447331</v>
      </c>
      <c r="H44" s="761">
        <v>633.36225106708196</v>
      </c>
      <c r="I44" s="761">
        <v>577.09697709165653</v>
      </c>
      <c r="J44" s="325"/>
      <c r="K44" s="325"/>
      <c r="L44" s="325"/>
      <c r="M44" s="325"/>
      <c r="N44" s="325"/>
      <c r="O44" s="325"/>
      <c r="P44" s="325"/>
      <c r="Q44" s="325"/>
      <c r="R44" s="325"/>
      <c r="S44" s="594"/>
      <c r="T44" s="745"/>
      <c r="U44" s="746"/>
      <c r="V44" s="746"/>
      <c r="W44" s="469"/>
      <c r="X44" s="469"/>
      <c r="Y44" s="469"/>
      <c r="Z44" s="747"/>
    </row>
    <row r="45" spans="2:26" ht="15">
      <c r="B45" s="331" t="s">
        <v>1042</v>
      </c>
      <c r="C45" s="761"/>
      <c r="D45" s="761"/>
      <c r="E45" s="761"/>
      <c r="F45" s="765">
        <v>891</v>
      </c>
      <c r="G45" s="761">
        <v>1177.6613302701508</v>
      </c>
      <c r="H45" s="761">
        <v>1177.6613302701508</v>
      </c>
      <c r="I45" s="761">
        <v>1187.7114497941952</v>
      </c>
      <c r="J45" s="325"/>
      <c r="K45" s="325"/>
      <c r="L45" s="325"/>
      <c r="M45" s="325"/>
      <c r="N45" s="325"/>
      <c r="O45" s="325"/>
      <c r="P45" s="325"/>
      <c r="Q45" s="325"/>
      <c r="R45" s="325"/>
      <c r="S45" s="594"/>
      <c r="T45" s="745"/>
      <c r="U45" s="746"/>
      <c r="V45" s="746"/>
      <c r="W45" s="469"/>
      <c r="X45" s="469"/>
      <c r="Y45" s="469"/>
      <c r="Z45" s="747"/>
    </row>
    <row r="46" spans="2:26" ht="15">
      <c r="B46" s="331" t="s">
        <v>1043</v>
      </c>
      <c r="C46" s="761"/>
      <c r="D46" s="765">
        <v>225</v>
      </c>
      <c r="E46" s="765">
        <v>230</v>
      </c>
      <c r="F46" s="765">
        <v>264</v>
      </c>
      <c r="G46" s="761">
        <v>312.53900645670046</v>
      </c>
      <c r="H46" s="761">
        <v>252.10609160545758</v>
      </c>
      <c r="I46" s="761">
        <v>217.57177227814842</v>
      </c>
      <c r="J46" s="325"/>
      <c r="K46" s="325"/>
      <c r="L46" s="325"/>
      <c r="M46" s="325"/>
      <c r="N46" s="325"/>
      <c r="O46" s="325"/>
      <c r="P46" s="325"/>
      <c r="Q46" s="325"/>
      <c r="R46" s="325"/>
      <c r="S46" s="594"/>
      <c r="T46" s="745"/>
      <c r="U46" s="746"/>
      <c r="V46" s="746"/>
      <c r="W46" s="746"/>
      <c r="X46" s="746"/>
      <c r="Y46" s="746"/>
      <c r="Z46" s="747"/>
    </row>
    <row r="47" spans="2:26" ht="15">
      <c r="B47" s="331" t="s">
        <v>1044</v>
      </c>
      <c r="C47" s="761"/>
      <c r="D47" s="761"/>
      <c r="E47" s="761"/>
      <c r="F47" s="765">
        <v>682</v>
      </c>
      <c r="G47" s="761">
        <v>1053.4775422401942</v>
      </c>
      <c r="H47" s="761">
        <v>1053.4775422401942</v>
      </c>
      <c r="I47" s="761">
        <v>1053.4775422401942</v>
      </c>
      <c r="J47" s="325"/>
      <c r="K47" s="325"/>
      <c r="L47" s="325"/>
      <c r="M47" s="325"/>
      <c r="N47" s="325"/>
      <c r="O47" s="325"/>
      <c r="P47" s="325"/>
      <c r="Q47" s="325"/>
      <c r="R47" s="325"/>
      <c r="S47" s="594"/>
      <c r="T47" s="748"/>
      <c r="U47" s="746"/>
      <c r="V47" s="746"/>
      <c r="W47" s="746"/>
      <c r="X47" s="746"/>
      <c r="Y47" s="469"/>
      <c r="Z47" s="749"/>
    </row>
    <row r="48" spans="2:26" ht="15">
      <c r="B48" s="331" t="s">
        <v>1045</v>
      </c>
      <c r="C48" s="761"/>
      <c r="D48" s="761"/>
      <c r="E48" s="761"/>
      <c r="F48" s="761"/>
      <c r="G48" s="761">
        <v>68.619515583024508</v>
      </c>
      <c r="H48" s="761">
        <v>68.619515583024508</v>
      </c>
      <c r="I48" s="761">
        <v>68.619515583024508</v>
      </c>
      <c r="J48" s="325"/>
      <c r="K48" s="325"/>
      <c r="L48" s="325"/>
      <c r="M48" s="325"/>
      <c r="N48" s="325"/>
      <c r="O48" s="325"/>
      <c r="P48" s="325"/>
      <c r="Q48" s="325"/>
      <c r="R48" s="325"/>
      <c r="S48" s="594"/>
      <c r="T48" s="748"/>
      <c r="U48" s="746"/>
      <c r="V48" s="746"/>
      <c r="W48" s="746"/>
      <c r="X48" s="746"/>
      <c r="Y48" s="469"/>
      <c r="Z48" s="749"/>
    </row>
    <row r="49" spans="2:26" ht="15">
      <c r="B49" s="331" t="s">
        <v>1046</v>
      </c>
      <c r="C49" s="761"/>
      <c r="D49" s="765">
        <v>708.83435582822085</v>
      </c>
      <c r="E49" s="765">
        <v>570</v>
      </c>
      <c r="F49" s="765">
        <v>610</v>
      </c>
      <c r="G49" s="761">
        <v>722.77160624604142</v>
      </c>
      <c r="H49" s="761">
        <v>722.77160624604142</v>
      </c>
      <c r="I49" s="761">
        <v>722.77160624604142</v>
      </c>
      <c r="J49" s="325"/>
      <c r="K49" s="325"/>
      <c r="L49" s="325"/>
      <c r="M49" s="325"/>
      <c r="N49" s="325"/>
      <c r="O49" s="325"/>
      <c r="P49" s="325"/>
      <c r="Q49" s="325"/>
      <c r="R49" s="325"/>
      <c r="S49" s="594"/>
      <c r="T49" s="748"/>
      <c r="U49" s="746"/>
      <c r="V49" s="746"/>
      <c r="W49" s="746"/>
      <c r="X49" s="746"/>
      <c r="Y49" s="469"/>
      <c r="Z49" s="749"/>
    </row>
    <row r="50" spans="2:26" ht="15">
      <c r="B50" s="331" t="s">
        <v>1047</v>
      </c>
      <c r="C50" s="765">
        <v>1728.1644640234949</v>
      </c>
      <c r="D50" s="765">
        <v>760.05830903790093</v>
      </c>
      <c r="E50" s="765">
        <v>800</v>
      </c>
      <c r="F50" s="765">
        <v>981</v>
      </c>
      <c r="G50" s="761">
        <v>1279.2983715792066</v>
      </c>
      <c r="H50" s="761">
        <v>847.65292472434487</v>
      </c>
      <c r="I50" s="761">
        <v>750.58903626833126</v>
      </c>
      <c r="J50" s="325"/>
      <c r="K50" s="325"/>
      <c r="L50" s="325"/>
      <c r="M50" s="325"/>
      <c r="N50" s="325"/>
      <c r="O50" s="325"/>
      <c r="P50" s="325"/>
      <c r="Q50" s="325"/>
      <c r="R50" s="325"/>
      <c r="S50" s="594"/>
      <c r="T50" s="745"/>
      <c r="U50" s="746"/>
      <c r="V50" s="746"/>
      <c r="W50" s="469"/>
      <c r="X50" s="469"/>
      <c r="Y50" s="469"/>
      <c r="Z50" s="747"/>
    </row>
    <row r="51" spans="2:26" ht="15">
      <c r="B51" s="331" t="s">
        <v>1048</v>
      </c>
      <c r="C51" s="761"/>
      <c r="D51" s="761"/>
      <c r="E51" s="761"/>
      <c r="F51" s="761"/>
      <c r="G51" s="761">
        <v>434.87922730407433</v>
      </c>
      <c r="H51" s="761">
        <v>346.85956318941584</v>
      </c>
      <c r="I51" s="761">
        <v>345.11470491922063</v>
      </c>
      <c r="J51" s="325"/>
      <c r="K51" s="325"/>
      <c r="L51" s="325"/>
      <c r="M51" s="325"/>
      <c r="N51" s="325"/>
      <c r="O51" s="325"/>
      <c r="P51" s="325"/>
      <c r="Q51" s="325"/>
      <c r="R51" s="325"/>
      <c r="S51" s="594"/>
      <c r="T51" s="745"/>
      <c r="U51" s="746"/>
      <c r="V51" s="1062"/>
      <c r="W51" s="1062"/>
      <c r="X51" s="469"/>
      <c r="Y51" s="1062"/>
      <c r="Z51" s="747"/>
    </row>
    <row r="52" spans="2:26" ht="15">
      <c r="B52" s="331" t="s">
        <v>1049</v>
      </c>
      <c r="C52" s="765">
        <v>2051.5506807866868</v>
      </c>
      <c r="D52" s="765">
        <v>1961.867816091954</v>
      </c>
      <c r="E52" s="765">
        <v>1500</v>
      </c>
      <c r="F52" s="765">
        <v>1348</v>
      </c>
      <c r="G52" s="761">
        <v>2253.1400951922151</v>
      </c>
      <c r="H52" s="761">
        <v>2253.1400951922151</v>
      </c>
      <c r="I52" s="761">
        <v>2426.2873096074586</v>
      </c>
      <c r="J52" s="325"/>
      <c r="K52" s="325"/>
      <c r="L52" s="325"/>
      <c r="M52" s="325"/>
      <c r="N52" s="325"/>
      <c r="O52" s="325"/>
      <c r="P52" s="325"/>
      <c r="Q52" s="325"/>
      <c r="R52" s="325"/>
      <c r="S52" s="594"/>
      <c r="T52" s="745"/>
      <c r="U52" s="746"/>
      <c r="V52" s="746"/>
      <c r="W52" s="469"/>
      <c r="X52" s="469"/>
      <c r="Y52" s="469"/>
      <c r="Z52" s="747"/>
    </row>
    <row r="53" spans="2:26" ht="15">
      <c r="B53" s="331" t="s">
        <v>1050</v>
      </c>
      <c r="C53" s="761"/>
      <c r="D53" s="761"/>
      <c r="E53" s="761"/>
      <c r="F53" s="761"/>
      <c r="G53" s="761"/>
      <c r="H53" s="761">
        <v>185.96764681718406</v>
      </c>
      <c r="I53" s="761">
        <v>166.33410185907249</v>
      </c>
      <c r="J53" s="325"/>
      <c r="K53" s="325"/>
      <c r="L53" s="325"/>
      <c r="M53" s="325"/>
      <c r="N53" s="325"/>
      <c r="O53" s="325"/>
      <c r="P53" s="325"/>
      <c r="Q53" s="325"/>
      <c r="R53" s="325"/>
      <c r="S53" s="594"/>
      <c r="T53" s="745"/>
      <c r="U53" s="746"/>
      <c r="V53" s="746"/>
      <c r="W53" s="469"/>
      <c r="X53" s="469"/>
      <c r="Y53" s="469"/>
      <c r="Z53" s="747"/>
    </row>
    <row r="54" spans="2:26" ht="15">
      <c r="B54" s="331" t="s">
        <v>1051</v>
      </c>
      <c r="C54" s="765">
        <v>615</v>
      </c>
      <c r="D54" s="765">
        <v>625</v>
      </c>
      <c r="E54" s="765">
        <v>620</v>
      </c>
      <c r="F54" s="765">
        <v>741</v>
      </c>
      <c r="G54" s="761">
        <v>777.63869746363002</v>
      </c>
      <c r="H54" s="761">
        <v>777.63869746363002</v>
      </c>
      <c r="I54" s="761">
        <v>1531.1469289044046</v>
      </c>
      <c r="J54" s="325"/>
      <c r="K54" s="325"/>
      <c r="L54" s="325"/>
      <c r="M54" s="325"/>
      <c r="N54" s="325"/>
      <c r="O54" s="325"/>
      <c r="P54" s="325"/>
      <c r="Q54" s="325"/>
      <c r="R54" s="325"/>
      <c r="S54" s="594"/>
      <c r="T54" s="745"/>
      <c r="U54" s="746"/>
      <c r="V54" s="746"/>
      <c r="W54" s="469"/>
      <c r="X54" s="469"/>
      <c r="Y54" s="469"/>
      <c r="Z54" s="747"/>
    </row>
    <row r="55" spans="2:26" ht="15">
      <c r="B55" s="331" t="s">
        <v>1052</v>
      </c>
      <c r="C55" s="764">
        <v>545</v>
      </c>
      <c r="D55" s="765">
        <v>545</v>
      </c>
      <c r="E55" s="765">
        <v>540</v>
      </c>
      <c r="F55" s="765">
        <v>632</v>
      </c>
      <c r="G55" s="761">
        <v>816.3930626788316</v>
      </c>
      <c r="H55" s="761">
        <v>816.3930626788316</v>
      </c>
      <c r="I55" s="761">
        <v>1159.7619052471459</v>
      </c>
      <c r="J55" s="325"/>
      <c r="K55" s="325"/>
      <c r="L55" s="325"/>
      <c r="M55" s="325"/>
      <c r="N55" s="325"/>
      <c r="O55" s="325"/>
      <c r="P55" s="325"/>
      <c r="Q55" s="325"/>
      <c r="R55" s="325"/>
      <c r="S55" s="594"/>
      <c r="T55" s="745"/>
      <c r="U55" s="746"/>
      <c r="V55" s="746"/>
      <c r="W55" s="469"/>
      <c r="X55" s="469"/>
      <c r="Y55" s="469"/>
      <c r="Z55" s="747"/>
    </row>
    <row r="56" spans="2:26" ht="15">
      <c r="B56" s="331" t="s">
        <v>1053</v>
      </c>
      <c r="C56" s="765">
        <v>2500.620842572062</v>
      </c>
      <c r="D56" s="765">
        <v>2511.4154103852597</v>
      </c>
      <c r="E56" s="765">
        <v>2460</v>
      </c>
      <c r="F56" s="765">
        <v>2346</v>
      </c>
      <c r="G56" s="761">
        <v>2581.4599575409056</v>
      </c>
      <c r="H56" s="761">
        <v>3102.4919179919257</v>
      </c>
      <c r="I56" s="761">
        <v>3102.4919179919257</v>
      </c>
      <c r="J56" s="325"/>
      <c r="K56" s="325"/>
      <c r="L56" s="325"/>
      <c r="M56" s="325"/>
      <c r="N56" s="325"/>
      <c r="O56" s="325"/>
      <c r="P56" s="325"/>
      <c r="Q56" s="325"/>
      <c r="R56" s="325"/>
      <c r="S56" s="594"/>
      <c r="T56" s="745"/>
      <c r="U56" s="746"/>
      <c r="V56" s="746"/>
      <c r="W56" s="469"/>
      <c r="X56" s="469"/>
      <c r="Y56" s="469"/>
      <c r="Z56" s="747"/>
    </row>
    <row r="57" spans="2:26" ht="15">
      <c r="B57" s="356" t="s">
        <v>1054</v>
      </c>
      <c r="C57" s="765">
        <v>1393.4917355371902</v>
      </c>
      <c r="D57" s="765">
        <v>1569.2413162705668</v>
      </c>
      <c r="E57" s="765">
        <v>1550</v>
      </c>
      <c r="F57" s="765">
        <v>1375</v>
      </c>
      <c r="G57" s="761">
        <v>1514.3142939148067</v>
      </c>
      <c r="H57" s="761">
        <v>1514.3142939148067</v>
      </c>
      <c r="I57" s="761">
        <v>1514.3142939148067</v>
      </c>
      <c r="J57" s="325"/>
      <c r="K57" s="325"/>
      <c r="L57" s="325"/>
      <c r="M57" s="325"/>
      <c r="N57" s="325"/>
      <c r="O57" s="325"/>
      <c r="P57" s="325"/>
      <c r="Q57" s="325"/>
      <c r="R57" s="325"/>
      <c r="S57" s="594"/>
      <c r="T57" s="745"/>
      <c r="U57" s="746"/>
      <c r="V57" s="746"/>
      <c r="W57" s="469"/>
      <c r="X57" s="469"/>
      <c r="Y57" s="469"/>
      <c r="Z57" s="747"/>
    </row>
    <row r="58" spans="2:26" ht="15">
      <c r="B58" s="331" t="s">
        <v>1055</v>
      </c>
      <c r="C58" s="764">
        <v>389.0176322418136</v>
      </c>
      <c r="D58" s="765">
        <v>380</v>
      </c>
      <c r="E58" s="765">
        <v>390</v>
      </c>
      <c r="F58" s="765">
        <v>461</v>
      </c>
      <c r="G58" s="761">
        <v>481.49267645590942</v>
      </c>
      <c r="H58" s="761">
        <v>399.22124195848323</v>
      </c>
      <c r="I58" s="761">
        <v>393.33766666889568</v>
      </c>
      <c r="J58" s="325"/>
      <c r="K58" s="325"/>
      <c r="L58" s="325"/>
      <c r="M58" s="325"/>
      <c r="N58" s="325"/>
      <c r="O58" s="325"/>
      <c r="P58" s="325"/>
      <c r="Q58" s="325"/>
      <c r="R58" s="325"/>
      <c r="S58" s="594"/>
      <c r="T58" s="745"/>
      <c r="U58" s="746"/>
      <c r="V58" s="746"/>
      <c r="W58" s="469"/>
      <c r="X58" s="469"/>
      <c r="Y58" s="469"/>
      <c r="Z58" s="747"/>
    </row>
    <row r="59" spans="2:26" ht="15">
      <c r="B59" s="331" t="s">
        <v>1056</v>
      </c>
      <c r="C59" s="765">
        <v>289.31442080378253</v>
      </c>
      <c r="D59" s="765">
        <v>220</v>
      </c>
      <c r="E59" s="761">
        <v>580</v>
      </c>
      <c r="F59" s="761">
        <v>682</v>
      </c>
      <c r="G59" s="761">
        <v>1341.831139968202</v>
      </c>
      <c r="H59" s="761">
        <v>938.4604745574145</v>
      </c>
      <c r="I59" s="761">
        <v>811.63141166826551</v>
      </c>
      <c r="J59" s="325"/>
      <c r="K59" s="325"/>
      <c r="L59" s="325"/>
      <c r="M59" s="325"/>
      <c r="N59" s="325"/>
      <c r="O59" s="325"/>
      <c r="P59" s="325"/>
      <c r="Q59" s="325"/>
      <c r="R59" s="325"/>
      <c r="S59" s="594"/>
      <c r="T59" s="745"/>
      <c r="U59" s="746"/>
      <c r="V59" s="746"/>
      <c r="W59" s="469"/>
      <c r="X59" s="760"/>
      <c r="Y59" s="760"/>
      <c r="Z59" s="747"/>
    </row>
    <row r="60" spans="2:26" ht="15">
      <c r="B60" s="331" t="s">
        <v>1039</v>
      </c>
      <c r="C60" s="765">
        <v>779.44593386952636</v>
      </c>
      <c r="D60" s="765">
        <v>767.29729729729729</v>
      </c>
      <c r="E60" s="765">
        <v>780</v>
      </c>
      <c r="F60" s="765">
        <v>966</v>
      </c>
      <c r="G60" s="761">
        <v>1227.4824684668752</v>
      </c>
      <c r="H60" s="761">
        <v>999.20159210266934</v>
      </c>
      <c r="I60" s="761">
        <v>999.20159210266934</v>
      </c>
      <c r="J60" s="325"/>
      <c r="K60" s="325"/>
      <c r="L60" s="325"/>
      <c r="M60" s="325"/>
      <c r="N60" s="325"/>
      <c r="O60" s="325"/>
      <c r="P60" s="325"/>
      <c r="Q60" s="325"/>
      <c r="R60" s="325"/>
      <c r="S60" s="594"/>
      <c r="T60" s="745"/>
      <c r="U60" s="746"/>
      <c r="V60" s="746"/>
      <c r="W60" s="746"/>
      <c r="X60" s="746"/>
      <c r="Y60" s="746"/>
      <c r="Z60" s="747"/>
    </row>
    <row r="61" spans="2:26" ht="15">
      <c r="B61" s="331" t="s">
        <v>1038</v>
      </c>
      <c r="C61" s="761"/>
      <c r="D61" s="761"/>
      <c r="E61" s="761"/>
      <c r="F61" s="765">
        <v>947</v>
      </c>
      <c r="G61" s="761">
        <v>1054.6086561613313</v>
      </c>
      <c r="H61" s="761">
        <v>1054.6086561613313</v>
      </c>
      <c r="I61" s="761">
        <v>1054.6086561613313</v>
      </c>
      <c r="J61" s="325"/>
      <c r="K61" s="325"/>
      <c r="L61" s="325"/>
      <c r="M61" s="325"/>
      <c r="N61" s="325"/>
      <c r="O61" s="325"/>
      <c r="P61" s="325"/>
      <c r="Q61" s="325"/>
      <c r="R61" s="325"/>
      <c r="S61" s="594"/>
      <c r="T61" s="745"/>
      <c r="U61" s="746"/>
      <c r="V61" s="746"/>
      <c r="W61" s="469"/>
      <c r="X61" s="746"/>
      <c r="Y61" s="750"/>
      <c r="Z61" s="747"/>
    </row>
    <row r="62" spans="2:26" ht="15">
      <c r="B62" s="331" t="s">
        <v>1764</v>
      </c>
      <c r="C62" s="764">
        <v>445.56485355648533</v>
      </c>
      <c r="D62" s="765">
        <v>438.81987577639751</v>
      </c>
      <c r="E62" s="765">
        <v>450</v>
      </c>
      <c r="F62" s="765">
        <v>537</v>
      </c>
      <c r="G62" s="761">
        <v>650.29476323685049</v>
      </c>
      <c r="H62" s="761">
        <v>543.76114601060056</v>
      </c>
      <c r="I62" s="761">
        <v>643.48147436594184</v>
      </c>
      <c r="J62" s="325"/>
      <c r="K62" s="325"/>
      <c r="L62" s="325"/>
      <c r="M62" s="325"/>
      <c r="N62" s="325"/>
      <c r="O62" s="325"/>
      <c r="P62" s="325"/>
      <c r="Q62" s="325"/>
      <c r="R62" s="325"/>
      <c r="S62" s="594"/>
      <c r="T62" s="745"/>
      <c r="U62" s="746"/>
      <c r="V62" s="746"/>
      <c r="W62" s="750"/>
      <c r="X62" s="746"/>
      <c r="Y62" s="750"/>
      <c r="Z62" s="750"/>
    </row>
    <row r="63" spans="2:26" ht="15">
      <c r="B63" s="331" t="s">
        <v>1147</v>
      </c>
      <c r="C63" s="766">
        <v>2749.5181846440782</v>
      </c>
      <c r="D63" s="766">
        <v>2784.3395234758236</v>
      </c>
      <c r="E63" s="766">
        <v>2550</v>
      </c>
      <c r="F63" s="796">
        <f>F45+F47+F61</f>
        <v>2520</v>
      </c>
      <c r="G63" s="796">
        <f>G45+G47+G61</f>
        <v>3285.7475286716763</v>
      </c>
      <c r="H63" s="796">
        <f>H45+H47+H61</f>
        <v>3285.7475286716763</v>
      </c>
      <c r="I63" s="796">
        <f>I45+I47+I61</f>
        <v>3295.7976481957203</v>
      </c>
      <c r="J63" s="325"/>
      <c r="K63" s="325"/>
      <c r="L63" s="325"/>
      <c r="M63" s="325"/>
      <c r="N63" s="325"/>
      <c r="O63" s="325"/>
      <c r="P63" s="325"/>
      <c r="Q63" s="325"/>
      <c r="R63" s="325"/>
      <c r="S63" s="594"/>
      <c r="T63" s="745"/>
      <c r="U63" s="762"/>
      <c r="V63" s="762"/>
      <c r="W63" s="763"/>
      <c r="X63" s="762"/>
      <c r="Y63" s="763"/>
      <c r="Z63" s="763"/>
    </row>
    <row r="64" spans="2:26" ht="15">
      <c r="B64" s="331" t="s">
        <v>1080</v>
      </c>
      <c r="C64" s="643">
        <f>SUM(C44:C63)</f>
        <v>13806.688748035122</v>
      </c>
      <c r="D64" s="643">
        <f>SUM(D44:D63)</f>
        <v>13816.873904163418</v>
      </c>
      <c r="E64" s="643">
        <f>SUM(E44:E63)</f>
        <v>13360</v>
      </c>
      <c r="F64" s="643">
        <f>SUM(F44:F62)</f>
        <v>13866</v>
      </c>
      <c r="G64" s="643">
        <f>SUM(G44:G62)</f>
        <v>18541.484824463427</v>
      </c>
      <c r="H64" s="643">
        <f>SUM(H44:H62)</f>
        <v>17687.709649774803</v>
      </c>
      <c r="I64" s="643">
        <f>SUM(I44:I62)</f>
        <v>18725.549862912729</v>
      </c>
      <c r="J64" s="643"/>
      <c r="K64" s="643"/>
      <c r="L64" s="643"/>
      <c r="M64" s="643"/>
      <c r="N64" s="643"/>
      <c r="O64" s="643"/>
      <c r="P64" s="643"/>
      <c r="Q64" s="643"/>
      <c r="R64" s="643"/>
      <c r="S64" s="594"/>
      <c r="T64" s="745"/>
      <c r="U64" s="751"/>
      <c r="V64" s="751"/>
      <c r="W64" s="752"/>
      <c r="X64" s="751"/>
      <c r="Y64" s="752"/>
      <c r="Z64" s="753"/>
    </row>
    <row r="65" spans="2:26" ht="15">
      <c r="B65" s="149" t="s">
        <v>1057</v>
      </c>
      <c r="C65" s="643">
        <f>SUM(C43:C63)</f>
        <v>26847.187947042923</v>
      </c>
      <c r="D65" s="643">
        <f>SUM(D43:D63)</f>
        <v>28238.249533870639</v>
      </c>
      <c r="E65" s="643">
        <f>SUM(E43:E63)</f>
        <v>27490</v>
      </c>
      <c r="F65" s="643">
        <f>SUM(F43:F62)</f>
        <v>28194</v>
      </c>
      <c r="G65" s="643">
        <f>SUM(G43:G62)</f>
        <v>29786.876894113011</v>
      </c>
      <c r="H65" s="643">
        <f>SUM(H43:H62)</f>
        <v>29176.454424016734</v>
      </c>
      <c r="I65" s="643">
        <f>SUM(I43:I62)</f>
        <v>30846.50467308921</v>
      </c>
      <c r="J65" s="643"/>
      <c r="K65" s="643"/>
      <c r="L65" s="643"/>
      <c r="M65" s="643"/>
      <c r="N65" s="643"/>
      <c r="O65" s="643"/>
      <c r="P65" s="643"/>
      <c r="Q65" s="643"/>
      <c r="R65" s="643"/>
      <c r="S65" s="594"/>
      <c r="T65" s="745"/>
      <c r="U65" s="751"/>
      <c r="V65" s="746"/>
      <c r="W65" s="744"/>
      <c r="X65" s="751"/>
      <c r="Y65" s="744"/>
      <c r="Z65" s="752"/>
    </row>
    <row r="66" spans="2:26" ht="15">
      <c r="B66" s="331" t="s">
        <v>1058</v>
      </c>
      <c r="C66" s="755"/>
      <c r="D66" s="755"/>
      <c r="E66" s="755"/>
      <c r="F66" s="755"/>
      <c r="G66" s="755"/>
      <c r="H66" s="755"/>
      <c r="I66" s="755"/>
      <c r="J66" s="785">
        <f>FINAL_OUTPUTS_OF_ITT_PLACES!G44</f>
        <v>12551.825169701613</v>
      </c>
      <c r="K66" s="755">
        <f>Conversion_rates_table!D253</f>
        <v>12342.444610888844</v>
      </c>
      <c r="L66" s="755">
        <f>Conversion_rates_table!E253</f>
        <v>12195.449800842778</v>
      </c>
      <c r="M66" s="755">
        <f>Conversion_rates_table!F253</f>
        <v>12020.15024076503</v>
      </c>
      <c r="N66" s="755">
        <f>Conversion_rates_table!G253</f>
        <v>11828.01551716114</v>
      </c>
      <c r="O66" s="755">
        <f>Conversion_rates_table!H253</f>
        <v>12189.853096989542</v>
      </c>
      <c r="P66" s="755">
        <f>Conversion_rates_table!I253</f>
        <v>12482.824402682347</v>
      </c>
      <c r="Q66" s="755">
        <f>Conversion_rates_table!J253</f>
        <v>12555.355178933178</v>
      </c>
      <c r="R66" s="755">
        <f>Conversion_rates_table!K253</f>
        <v>12487.525480819253</v>
      </c>
      <c r="S66" s="594"/>
      <c r="T66" s="745"/>
      <c r="U66" s="751"/>
      <c r="V66" s="751"/>
      <c r="W66" s="751"/>
      <c r="X66" s="751"/>
      <c r="Y66" s="751"/>
      <c r="Z66" s="753"/>
    </row>
    <row r="67" spans="2:26" ht="15">
      <c r="B67" s="331" t="s">
        <v>1059</v>
      </c>
      <c r="C67" s="755"/>
      <c r="D67" s="755"/>
      <c r="E67" s="755"/>
      <c r="F67" s="755"/>
      <c r="G67" s="755"/>
      <c r="H67" s="755"/>
      <c r="I67" s="755"/>
      <c r="J67" s="785">
        <f>FINAL_OUTPUTS_OF_ITT_PLACES!G45</f>
        <v>645.55239319127406</v>
      </c>
      <c r="K67" s="755">
        <f>Conversion_rates_table!D254</f>
        <v>640.24203022989059</v>
      </c>
      <c r="L67" s="755">
        <f>Conversion_rates_table!E254</f>
        <v>629.13169970883223</v>
      </c>
      <c r="M67" s="755">
        <f>Conversion_rates_table!F254</f>
        <v>614.66172845870847</v>
      </c>
      <c r="N67" s="755">
        <f>Conversion_rates_table!G254</f>
        <v>648.73488032914759</v>
      </c>
      <c r="O67" s="755">
        <f>Conversion_rates_table!H254</f>
        <v>670.88306364004097</v>
      </c>
      <c r="P67" s="755">
        <f>Conversion_rates_table!I254</f>
        <v>638.91456491232611</v>
      </c>
      <c r="Q67" s="755">
        <f>Conversion_rates_table!J254</f>
        <v>618.82540105667863</v>
      </c>
      <c r="R67" s="755">
        <f>Conversion_rates_table!K254</f>
        <v>631.14722580785747</v>
      </c>
      <c r="T67" s="745"/>
      <c r="U67" s="751"/>
      <c r="V67" s="746"/>
      <c r="W67" s="746"/>
      <c r="X67" s="751"/>
      <c r="Y67" s="746"/>
      <c r="Z67" s="752"/>
    </row>
    <row r="68" spans="2:26" ht="15">
      <c r="B68" s="331" t="s">
        <v>1060</v>
      </c>
      <c r="C68" s="755"/>
      <c r="D68" s="755"/>
      <c r="E68" s="755"/>
      <c r="F68" s="755"/>
      <c r="G68" s="755"/>
      <c r="H68" s="755"/>
      <c r="I68" s="755"/>
      <c r="J68" s="785">
        <f>FINAL_OUTPUTS_OF_ITT_PLACES!G46</f>
        <v>1187.7114497941952</v>
      </c>
      <c r="K68" s="755">
        <f>Conversion_rates_table!D255</f>
        <v>1159.2866474297896</v>
      </c>
      <c r="L68" s="755">
        <f>Conversion_rates_table!E255</f>
        <v>1184.4109184193201</v>
      </c>
      <c r="M68" s="755">
        <f>Conversion_rates_table!F255</f>
        <v>1213.1981650189189</v>
      </c>
      <c r="N68" s="755">
        <f>Conversion_rates_table!G255</f>
        <v>1234.8529772601189</v>
      </c>
      <c r="O68" s="755">
        <f>Conversion_rates_table!H255</f>
        <v>1216.061393151183</v>
      </c>
      <c r="P68" s="755">
        <f>Conversion_rates_table!I255</f>
        <v>1201.9949635369492</v>
      </c>
      <c r="Q68" s="755">
        <f>Conversion_rates_table!J255</f>
        <v>1183.4625337688963</v>
      </c>
      <c r="R68" s="755">
        <f>Conversion_rates_table!K255</f>
        <v>1154.2533556093586</v>
      </c>
      <c r="T68" s="745"/>
      <c r="U68" s="751"/>
      <c r="V68" s="751"/>
      <c r="W68" s="751"/>
      <c r="X68" s="751"/>
      <c r="Y68" s="751"/>
      <c r="Z68" s="753"/>
    </row>
    <row r="69" spans="2:26">
      <c r="B69" s="331" t="s">
        <v>1061</v>
      </c>
      <c r="C69" s="755"/>
      <c r="D69" s="755"/>
      <c r="E69" s="755"/>
      <c r="F69" s="755"/>
      <c r="G69" s="755"/>
      <c r="H69" s="755"/>
      <c r="I69" s="755"/>
      <c r="J69" s="785">
        <f>FINAL_OUTPUTS_OF_ITT_PLACES!G47</f>
        <v>240.94666043336403</v>
      </c>
      <c r="K69" s="755">
        <f>Conversion_rates_table!D256</f>
        <v>268.486742400732</v>
      </c>
      <c r="L69" s="755">
        <f>Conversion_rates_table!E256</f>
        <v>282.98880787886901</v>
      </c>
      <c r="M69" s="755">
        <f>Conversion_rates_table!F256</f>
        <v>301.5071547340977</v>
      </c>
      <c r="N69" s="755">
        <f>Conversion_rates_table!G256</f>
        <v>307.93260119680809</v>
      </c>
      <c r="O69" s="755">
        <f>Conversion_rates_table!H256</f>
        <v>326.13087926761028</v>
      </c>
      <c r="P69" s="755">
        <f>Conversion_rates_table!I256</f>
        <v>329.42595422084173</v>
      </c>
      <c r="Q69" s="755">
        <f>Conversion_rates_table!J256</f>
        <v>329.20055521419323</v>
      </c>
      <c r="R69" s="755">
        <f>Conversion_rates_table!K256</f>
        <v>310.58325210080005</v>
      </c>
      <c r="T69" s="469"/>
      <c r="U69" s="469"/>
      <c r="V69" s="469"/>
      <c r="W69" s="469"/>
      <c r="X69" s="469"/>
      <c r="Y69" s="469"/>
      <c r="Z69" s="469"/>
    </row>
    <row r="70" spans="2:26">
      <c r="B70" s="331" t="s">
        <v>1062</v>
      </c>
      <c r="C70" s="755"/>
      <c r="D70" s="755"/>
      <c r="E70" s="755"/>
      <c r="F70" s="755"/>
      <c r="G70" s="755"/>
      <c r="H70" s="755"/>
      <c r="I70" s="755"/>
      <c r="J70" s="785">
        <f>FINAL_OUTPUTS_OF_ITT_PLACES!G48</f>
        <v>1053.4775422401942</v>
      </c>
      <c r="K70" s="755">
        <f>Conversion_rates_table!D257</f>
        <v>1024.9835412444813</v>
      </c>
      <c r="L70" s="755">
        <f>Conversion_rates_table!E257</f>
        <v>1045.8590854442161</v>
      </c>
      <c r="M70" s="755">
        <f>Conversion_rates_table!F257</f>
        <v>1070.6454879539829</v>
      </c>
      <c r="N70" s="755">
        <f>Conversion_rates_table!G257</f>
        <v>1079.9577079460464</v>
      </c>
      <c r="O70" s="755">
        <f>Conversion_rates_table!H257</f>
        <v>1061.290181845075</v>
      </c>
      <c r="P70" s="755">
        <f>Conversion_rates_table!I257</f>
        <v>1052.89498798165</v>
      </c>
      <c r="Q70" s="755">
        <f>Conversion_rates_table!J257</f>
        <v>1036.7754610916377</v>
      </c>
      <c r="R70" s="755">
        <f>Conversion_rates_table!K257</f>
        <v>1000.4739439123355</v>
      </c>
      <c r="T70" s="469"/>
      <c r="U70" s="469"/>
      <c r="V70" s="469"/>
      <c r="W70" s="469"/>
      <c r="X70" s="469"/>
      <c r="Y70" s="469"/>
      <c r="Z70" s="469"/>
    </row>
    <row r="71" spans="2:26">
      <c r="B71" s="331" t="s">
        <v>1063</v>
      </c>
      <c r="C71" s="755"/>
      <c r="D71" s="755"/>
      <c r="E71" s="755"/>
      <c r="F71" s="755"/>
      <c r="G71" s="755"/>
      <c r="H71" s="755"/>
      <c r="I71" s="755"/>
      <c r="J71" s="785">
        <f>FINAL_OUTPUTS_OF_ITT_PLACES!G49</f>
        <v>68.619515583024508</v>
      </c>
      <c r="K71" s="755">
        <f>Conversion_rates_table!D258</f>
        <v>29.366578781126091</v>
      </c>
      <c r="L71" s="755">
        <f>Conversion_rates_table!E258</f>
        <v>29.502644590052128</v>
      </c>
      <c r="M71" s="755">
        <f>Conversion_rates_table!F258</f>
        <v>29.929636228842607</v>
      </c>
      <c r="N71" s="755">
        <f>Conversion_rates_table!G258</f>
        <v>30.653473214781922</v>
      </c>
      <c r="O71" s="755">
        <f>Conversion_rates_table!H258</f>
        <v>30.446168419779379</v>
      </c>
      <c r="P71" s="755">
        <f>Conversion_rates_table!I258</f>
        <v>29.304404503102266</v>
      </c>
      <c r="Q71" s="755">
        <f>Conversion_rates_table!J258</f>
        <v>28.584561224401071</v>
      </c>
      <c r="R71" s="755">
        <f>Conversion_rates_table!K258</f>
        <v>28.521396317586749</v>
      </c>
    </row>
    <row r="72" spans="2:26">
      <c r="B72" s="331" t="s">
        <v>1064</v>
      </c>
      <c r="C72" s="755"/>
      <c r="D72" s="755"/>
      <c r="E72" s="755"/>
      <c r="F72" s="755"/>
      <c r="G72" s="755"/>
      <c r="H72" s="755"/>
      <c r="I72" s="755"/>
      <c r="J72" s="785">
        <f>FINAL_OUTPUTS_OF_ITT_PLACES!G50</f>
        <v>722.77160624604142</v>
      </c>
      <c r="K72" s="755">
        <f>Conversion_rates_table!D259</f>
        <v>617.0648745356981</v>
      </c>
      <c r="L72" s="755">
        <f>Conversion_rates_table!E259</f>
        <v>612.80998297936617</v>
      </c>
      <c r="M72" s="755">
        <f>Conversion_rates_table!F259</f>
        <v>606.47736156965789</v>
      </c>
      <c r="N72" s="755">
        <f>Conversion_rates_table!G259</f>
        <v>632.60364212887987</v>
      </c>
      <c r="O72" s="755">
        <f>Conversion_rates_table!H259</f>
        <v>654.193818004886</v>
      </c>
      <c r="P72" s="755">
        <f>Conversion_rates_table!I259</f>
        <v>636.32718310934331</v>
      </c>
      <c r="Q72" s="755">
        <f>Conversion_rates_table!J259</f>
        <v>623.09783045984091</v>
      </c>
      <c r="R72" s="755">
        <f>Conversion_rates_table!K259</f>
        <v>623.73075399611514</v>
      </c>
    </row>
    <row r="73" spans="2:26">
      <c r="B73" s="331" t="s">
        <v>1065</v>
      </c>
      <c r="C73" s="755"/>
      <c r="D73" s="755"/>
      <c r="E73" s="755"/>
      <c r="F73" s="755"/>
      <c r="G73" s="755"/>
      <c r="H73" s="755"/>
      <c r="I73" s="755"/>
      <c r="J73" s="785">
        <f>FINAL_OUTPUTS_OF_ITT_PLACES!G51</f>
        <v>948.59576499118168</v>
      </c>
      <c r="K73" s="755">
        <f>Conversion_rates_table!D260</f>
        <v>875.59673140986217</v>
      </c>
      <c r="L73" s="755">
        <f>Conversion_rates_table!E260</f>
        <v>839.46648834134157</v>
      </c>
      <c r="M73" s="755">
        <f>Conversion_rates_table!F260</f>
        <v>797.2436673641497</v>
      </c>
      <c r="N73" s="755">
        <f>Conversion_rates_table!G260</f>
        <v>839.36485584284117</v>
      </c>
      <c r="O73" s="755">
        <f>Conversion_rates_table!H260</f>
        <v>857.48236770235587</v>
      </c>
      <c r="P73" s="755">
        <f>Conversion_rates_table!I260</f>
        <v>802.53335002002791</v>
      </c>
      <c r="Q73" s="755">
        <f>Conversion_rates_table!J260</f>
        <v>768.30126536522539</v>
      </c>
      <c r="R73" s="755">
        <f>Conversion_rates_table!K260</f>
        <v>794.50818434134044</v>
      </c>
    </row>
    <row r="74" spans="2:26">
      <c r="B74" s="331" t="s">
        <v>1066</v>
      </c>
      <c r="C74" s="755"/>
      <c r="D74" s="755"/>
      <c r="E74" s="755"/>
      <c r="F74" s="755"/>
      <c r="G74" s="755"/>
      <c r="H74" s="755"/>
      <c r="I74" s="755"/>
      <c r="J74" s="785">
        <f>FINAL_OUTPUTS_OF_ITT_PLACES!G52</f>
        <v>357.1831760371598</v>
      </c>
      <c r="K74" s="755">
        <f>Conversion_rates_table!D261</f>
        <v>336.34948734163299</v>
      </c>
      <c r="L74" s="755">
        <f>Conversion_rates_table!E261</f>
        <v>328.77778203002669</v>
      </c>
      <c r="M74" s="755">
        <f>Conversion_rates_table!F261</f>
        <v>318.91530227946163</v>
      </c>
      <c r="N74" s="755">
        <f>Conversion_rates_table!G261</f>
        <v>341.41341520073036</v>
      </c>
      <c r="O74" s="755">
        <f>Conversion_rates_table!H261</f>
        <v>354.57462459224314</v>
      </c>
      <c r="P74" s="755">
        <f>Conversion_rates_table!I261</f>
        <v>335.55088382674148</v>
      </c>
      <c r="Q74" s="755">
        <f>Conversion_rates_table!J261</f>
        <v>324.91368267139796</v>
      </c>
      <c r="R74" s="755">
        <f>Conversion_rates_table!K261</f>
        <v>338.09636411492386</v>
      </c>
    </row>
    <row r="75" spans="2:26">
      <c r="B75" s="331" t="s">
        <v>1067</v>
      </c>
      <c r="C75" s="755"/>
      <c r="D75" s="755"/>
      <c r="E75" s="755"/>
      <c r="F75" s="755"/>
      <c r="G75" s="755"/>
      <c r="H75" s="755"/>
      <c r="I75" s="755"/>
      <c r="J75" s="785">
        <f>FINAL_OUTPUTS_OF_ITT_PLACES!G53</f>
        <v>2558.1893120078576</v>
      </c>
      <c r="K75" s="755">
        <f>Conversion_rates_table!D262</f>
        <v>2522.1729230404112</v>
      </c>
      <c r="L75" s="755">
        <f>Conversion_rates_table!E262</f>
        <v>2540.6291037684286</v>
      </c>
      <c r="M75" s="755">
        <f>Conversion_rates_table!F262</f>
        <v>2560.0165592286767</v>
      </c>
      <c r="N75" s="755">
        <f>Conversion_rates_table!G262</f>
        <v>2613.1652756174981</v>
      </c>
      <c r="O75" s="755">
        <f>Conversion_rates_table!H262</f>
        <v>2527.3944926778549</v>
      </c>
      <c r="P75" s="755">
        <f>Conversion_rates_table!I262</f>
        <v>2471.8948786941528</v>
      </c>
      <c r="Q75" s="755">
        <f>Conversion_rates_table!J262</f>
        <v>2413.8707005269989</v>
      </c>
      <c r="R75" s="755">
        <f>Conversion_rates_table!K262</f>
        <v>2368.6684062816212</v>
      </c>
    </row>
    <row r="76" spans="2:26">
      <c r="B76" s="331" t="s">
        <v>1068</v>
      </c>
      <c r="C76" s="755"/>
      <c r="D76" s="755"/>
      <c r="E76" s="755"/>
      <c r="F76" s="755"/>
      <c r="G76" s="755"/>
      <c r="H76" s="755"/>
      <c r="I76" s="755"/>
      <c r="J76" s="785">
        <f>FINAL_OUTPUTS_OF_ITT_PLACES!G54</f>
        <v>218.0656961519251</v>
      </c>
      <c r="K76" s="755">
        <f>Conversion_rates_table!D263</f>
        <v>208.42608296562443</v>
      </c>
      <c r="L76" s="755">
        <f>Conversion_rates_table!E263</f>
        <v>202.05018424203951</v>
      </c>
      <c r="M76" s="755">
        <f>Conversion_rates_table!F263</f>
        <v>196.14022829104408</v>
      </c>
      <c r="N76" s="755">
        <f>Conversion_rates_table!G263</f>
        <v>198.19514411458877</v>
      </c>
      <c r="O76" s="755">
        <f>Conversion_rates_table!H263</f>
        <v>201.62413543576582</v>
      </c>
      <c r="P76" s="755">
        <f>Conversion_rates_table!I263</f>
        <v>199.24697336581372</v>
      </c>
      <c r="Q76" s="755">
        <f>Conversion_rates_table!J263</f>
        <v>194.64615454787221</v>
      </c>
      <c r="R76" s="755">
        <f>Conversion_rates_table!K263</f>
        <v>185.16641365121512</v>
      </c>
    </row>
    <row r="77" spans="2:26">
      <c r="B77" s="331" t="s">
        <v>1069</v>
      </c>
      <c r="C77" s="755"/>
      <c r="D77" s="755"/>
      <c r="E77" s="755"/>
      <c r="F77" s="755"/>
      <c r="G77" s="755"/>
      <c r="H77" s="755"/>
      <c r="I77" s="755"/>
      <c r="J77" s="785">
        <f>FINAL_OUTPUTS_OF_ITT_PLACES!G55</f>
        <v>1531.1469289044046</v>
      </c>
      <c r="K77" s="755">
        <f>Conversion_rates_table!D264</f>
        <v>1164.0685291196694</v>
      </c>
      <c r="L77" s="755">
        <f>Conversion_rates_table!E264</f>
        <v>1174.7355492686549</v>
      </c>
      <c r="M77" s="755">
        <f>Conversion_rates_table!F264</f>
        <v>1179.5419301794811</v>
      </c>
      <c r="N77" s="755">
        <f>Conversion_rates_table!G264</f>
        <v>1263.7656340430863</v>
      </c>
      <c r="O77" s="755">
        <f>Conversion_rates_table!H264</f>
        <v>1203.6520834452244</v>
      </c>
      <c r="P77" s="755">
        <f>Conversion_rates_table!I264</f>
        <v>1126.5075185600297</v>
      </c>
      <c r="Q77" s="755">
        <f>Conversion_rates_table!J264</f>
        <v>1072.9256275689902</v>
      </c>
      <c r="R77" s="755">
        <f>Conversion_rates_table!K264</f>
        <v>1096.8182348320113</v>
      </c>
    </row>
    <row r="78" spans="2:26">
      <c r="B78" s="331" t="s">
        <v>1070</v>
      </c>
      <c r="C78" s="755"/>
      <c r="D78" s="755"/>
      <c r="E78" s="755"/>
      <c r="F78" s="755"/>
      <c r="G78" s="755"/>
      <c r="H78" s="755"/>
      <c r="I78" s="755"/>
      <c r="J78" s="785">
        <f>FINAL_OUTPUTS_OF_ITT_PLACES!G56</f>
        <v>1179.8755448527156</v>
      </c>
      <c r="K78" s="755">
        <f>Conversion_rates_table!D265</f>
        <v>1120.958285667233</v>
      </c>
      <c r="L78" s="755">
        <f>Conversion_rates_table!E265</f>
        <v>1133.8550712417218</v>
      </c>
      <c r="M78" s="755">
        <f>Conversion_rates_table!F265</f>
        <v>1142.6921537656369</v>
      </c>
      <c r="N78" s="755">
        <f>Conversion_rates_table!G265</f>
        <v>1217.1338703088734</v>
      </c>
      <c r="O78" s="755">
        <f>Conversion_rates_table!H265</f>
        <v>1166.3432967075139</v>
      </c>
      <c r="P78" s="755">
        <f>Conversion_rates_table!I265</f>
        <v>1097.2546507356055</v>
      </c>
      <c r="Q78" s="755">
        <f>Conversion_rates_table!J265</f>
        <v>1049.1935664556136</v>
      </c>
      <c r="R78" s="755">
        <f>Conversion_rates_table!K265</f>
        <v>1067.2236915580615</v>
      </c>
    </row>
    <row r="79" spans="2:26">
      <c r="B79" s="331" t="s">
        <v>1071</v>
      </c>
      <c r="C79" s="755"/>
      <c r="D79" s="755"/>
      <c r="E79" s="755"/>
      <c r="F79" s="755"/>
      <c r="G79" s="755"/>
      <c r="H79" s="755"/>
      <c r="I79" s="755"/>
      <c r="J79" s="785">
        <f>FINAL_OUTPUTS_OF_ITT_PLACES!G57</f>
        <v>3115.5258268618177</v>
      </c>
      <c r="K79" s="755">
        <f>Conversion_rates_table!D266</f>
        <v>2969.7744735449037</v>
      </c>
      <c r="L79" s="755">
        <f>Conversion_rates_table!E266</f>
        <v>2987.8469511758963</v>
      </c>
      <c r="M79" s="755">
        <f>Conversion_rates_table!F266</f>
        <v>3008.5115103880644</v>
      </c>
      <c r="N79" s="755">
        <f>Conversion_rates_table!G266</f>
        <v>3065.9559872281948</v>
      </c>
      <c r="O79" s="755">
        <f>Conversion_rates_table!H266</f>
        <v>2979.3017398981988</v>
      </c>
      <c r="P79" s="755">
        <f>Conversion_rates_table!I266</f>
        <v>2902.4238586511897</v>
      </c>
      <c r="Q79" s="755">
        <f>Conversion_rates_table!J266</f>
        <v>2830.3470351566089</v>
      </c>
      <c r="R79" s="755">
        <f>Conversion_rates_table!K266</f>
        <v>2783.4255051212936</v>
      </c>
    </row>
    <row r="80" spans="2:26" ht="25.5">
      <c r="B80" s="331" t="s">
        <v>1072</v>
      </c>
      <c r="C80" s="755"/>
      <c r="D80" s="755"/>
      <c r="E80" s="755"/>
      <c r="F80" s="755"/>
      <c r="G80" s="755"/>
      <c r="H80" s="755"/>
      <c r="I80" s="755"/>
      <c r="J80" s="785">
        <f>FINAL_OUTPUTS_OF_ITT_PLACES!G58</f>
        <v>1600.3477250366259</v>
      </c>
      <c r="K80" s="755">
        <f>Conversion_rates_table!D267</f>
        <v>1804.6573723483086</v>
      </c>
      <c r="L80" s="755">
        <f>Conversion_rates_table!E267</f>
        <v>2110.6443888089575</v>
      </c>
      <c r="M80" s="755">
        <f>Conversion_rates_table!F267</f>
        <v>2425.3254288724097</v>
      </c>
      <c r="N80" s="755">
        <f>Conversion_rates_table!G267</f>
        <v>2472.4895890975522</v>
      </c>
      <c r="O80" s="755">
        <f>Conversion_rates_table!H267</f>
        <v>1581.528294115679</v>
      </c>
      <c r="P80" s="755">
        <f>Conversion_rates_table!I267</f>
        <v>1382.2276025333913</v>
      </c>
      <c r="Q80" s="755">
        <f>Conversion_rates_table!J267</f>
        <v>1232.8459894987611</v>
      </c>
      <c r="R80" s="755">
        <f>Conversion_rates_table!K267</f>
        <v>1251.7974865300462</v>
      </c>
    </row>
    <row r="81" spans="2:18">
      <c r="B81" s="331" t="s">
        <v>1073</v>
      </c>
      <c r="C81" s="755"/>
      <c r="D81" s="755"/>
      <c r="E81" s="755"/>
      <c r="F81" s="755"/>
      <c r="G81" s="755"/>
      <c r="H81" s="755"/>
      <c r="I81" s="755"/>
      <c r="J81" s="785">
        <f>FINAL_OUTPUTS_OF_ITT_PLACES!G59</f>
        <v>409.34458408314538</v>
      </c>
      <c r="K81" s="755">
        <f>Conversion_rates_table!D268</f>
        <v>371.77684365948971</v>
      </c>
      <c r="L81" s="755">
        <f>Conversion_rates_table!E268</f>
        <v>359.18314014095262</v>
      </c>
      <c r="M81" s="755">
        <f>Conversion_rates_table!F268</f>
        <v>342.48827655625848</v>
      </c>
      <c r="N81" s="755">
        <f>Conversion_rates_table!G268</f>
        <v>370.09028406218494</v>
      </c>
      <c r="O81" s="755">
        <f>Conversion_rates_table!H268</f>
        <v>382.77226215120044</v>
      </c>
      <c r="P81" s="755">
        <f>Conversion_rates_table!I268</f>
        <v>355.285593151206</v>
      </c>
      <c r="Q81" s="755">
        <f>Conversion_rates_table!J268</f>
        <v>340.58494195801404</v>
      </c>
      <c r="R81" s="755">
        <f>Conversion_rates_table!K268</f>
        <v>362.97750556665869</v>
      </c>
    </row>
    <row r="82" spans="2:18">
      <c r="B82" s="331" t="s">
        <v>1074</v>
      </c>
      <c r="C82" s="755"/>
      <c r="D82" s="755"/>
      <c r="E82" s="755"/>
      <c r="F82" s="755"/>
      <c r="G82" s="755"/>
      <c r="H82" s="755"/>
      <c r="I82" s="755"/>
      <c r="J82" s="785">
        <f>FINAL_OUTPUTS_OF_ITT_PLACES!G60</f>
        <v>895.72352580467782</v>
      </c>
      <c r="K82" s="755">
        <f>Conversion_rates_table!D269</f>
        <v>976.16907450934184</v>
      </c>
      <c r="L82" s="755">
        <f>Conversion_rates_table!E269</f>
        <v>1001.3842818049653</v>
      </c>
      <c r="M82" s="755">
        <f>Conversion_rates_table!F269</f>
        <v>1036.1485141819837</v>
      </c>
      <c r="N82" s="755">
        <f>Conversion_rates_table!G269</f>
        <v>1081.0705074793475</v>
      </c>
      <c r="O82" s="755">
        <f>Conversion_rates_table!H269</f>
        <v>1143.1393501626969</v>
      </c>
      <c r="P82" s="755">
        <f>Conversion_rates_table!I269</f>
        <v>1112.2432901947843</v>
      </c>
      <c r="Q82" s="755">
        <f>Conversion_rates_table!J269</f>
        <v>1096.1298010879145</v>
      </c>
      <c r="R82" s="755">
        <f>Conversion_rates_table!K269</f>
        <v>1088.6160232359102</v>
      </c>
    </row>
    <row r="83" spans="2:18">
      <c r="B83" s="331" t="s">
        <v>1075</v>
      </c>
      <c r="C83" s="755"/>
      <c r="D83" s="755"/>
      <c r="E83" s="755"/>
      <c r="F83" s="755"/>
      <c r="G83" s="755"/>
      <c r="H83" s="755"/>
      <c r="I83" s="755"/>
      <c r="J83" s="785">
        <f>FINAL_OUTPUTS_OF_ITT_PLACES!G61</f>
        <v>1078.2671831731634</v>
      </c>
      <c r="K83" s="755">
        <f>Conversion_rates_table!D270</f>
        <v>1043.7858136751074</v>
      </c>
      <c r="L83" s="755">
        <f>Conversion_rates_table!E270</f>
        <v>1025.3048919356518</v>
      </c>
      <c r="M83" s="755">
        <f>Conversion_rates_table!F270</f>
        <v>1001.6060633023624</v>
      </c>
      <c r="N83" s="755">
        <f>Conversion_rates_table!G270</f>
        <v>1067.5881332635656</v>
      </c>
      <c r="O83" s="755">
        <f>Conversion_rates_table!H270</f>
        <v>1115.4989817925887</v>
      </c>
      <c r="P83" s="755">
        <f>Conversion_rates_table!I270</f>
        <v>1083.5130483954738</v>
      </c>
      <c r="Q83" s="755">
        <f>Conversion_rates_table!J270</f>
        <v>1059.5269487096907</v>
      </c>
      <c r="R83" s="755">
        <f>Conversion_rates_table!K270</f>
        <v>1067.7592424995426</v>
      </c>
    </row>
    <row r="84" spans="2:18">
      <c r="B84" s="331" t="s">
        <v>1076</v>
      </c>
      <c r="C84" s="755"/>
      <c r="D84" s="755"/>
      <c r="E84" s="755"/>
      <c r="F84" s="755"/>
      <c r="G84" s="755"/>
      <c r="H84" s="755"/>
      <c r="I84" s="755"/>
      <c r="J84" s="785">
        <f>FINAL_OUTPUTS_OF_ITT_PLACES!G62</f>
        <v>1219.1223297023664</v>
      </c>
      <c r="K84" s="755">
        <f>Conversion_rates_table!D271</f>
        <v>1149.3765667020834</v>
      </c>
      <c r="L84" s="755">
        <f>Conversion_rates_table!E271</f>
        <v>1168.5035278475837</v>
      </c>
      <c r="M84" s="755">
        <f>Conversion_rates_table!F271</f>
        <v>1191.0541213093563</v>
      </c>
      <c r="N84" s="755">
        <f>Conversion_rates_table!G271</f>
        <v>1198.3500869800487</v>
      </c>
      <c r="O84" s="755">
        <f>Conversion_rates_table!H271</f>
        <v>1172.3034974194734</v>
      </c>
      <c r="P84" s="755">
        <f>Conversion_rates_table!I271</f>
        <v>1162.0900778279729</v>
      </c>
      <c r="Q84" s="755">
        <f>Conversion_rates_table!J271</f>
        <v>1142.5408366737197</v>
      </c>
      <c r="R84" s="755">
        <f>Conversion_rates_table!K271</f>
        <v>1100.4504500406931</v>
      </c>
    </row>
    <row r="85" spans="2:18">
      <c r="B85" s="331" t="s">
        <v>1765</v>
      </c>
      <c r="C85" s="755"/>
      <c r="D85" s="755"/>
      <c r="E85" s="755"/>
      <c r="F85" s="755"/>
      <c r="G85" s="755"/>
      <c r="H85" s="755"/>
      <c r="I85" s="755"/>
      <c r="J85" s="785">
        <f>FINAL_OUTPUTS_OF_ITT_PLACES!G63</f>
        <v>643.48147436594184</v>
      </c>
      <c r="K85" s="755">
        <f>Conversion_rates_table!D272</f>
        <v>524.05565504275637</v>
      </c>
      <c r="L85" s="755">
        <f>Conversion_rates_table!E272</f>
        <v>510.63083732511461</v>
      </c>
      <c r="M85" s="755">
        <f>Conversion_rates_table!F272</f>
        <v>495.55661073595201</v>
      </c>
      <c r="N85" s="755">
        <f>Conversion_rates_table!G272</f>
        <v>520.223731904327</v>
      </c>
      <c r="O85" s="755">
        <f>Conversion_rates_table!H272</f>
        <v>537.60672889592831</v>
      </c>
      <c r="P85" s="755">
        <f>Conversion_rates_table!I272</f>
        <v>517.38047600490233</v>
      </c>
      <c r="Q85" s="755">
        <f>Conversion_rates_table!J272</f>
        <v>502.65111058304234</v>
      </c>
      <c r="R85" s="755">
        <f>Conversion_rates_table!K272</f>
        <v>505.20981798445558</v>
      </c>
    </row>
    <row r="86" spans="2:18">
      <c r="B86" s="331" t="s">
        <v>1199</v>
      </c>
      <c r="C86" s="643"/>
      <c r="D86" s="643"/>
      <c r="E86" s="643"/>
      <c r="F86" s="643"/>
      <c r="G86" s="643"/>
      <c r="H86" s="643"/>
      <c r="I86" s="643"/>
      <c r="J86" s="643">
        <f t="shared" ref="J86:R86" si="0">J84+J70+J68</f>
        <v>3460.3113217367559</v>
      </c>
      <c r="K86" s="643">
        <f t="shared" si="0"/>
        <v>3333.6467553763541</v>
      </c>
      <c r="L86" s="643">
        <f t="shared" si="0"/>
        <v>3398.7735317111201</v>
      </c>
      <c r="M86" s="643">
        <f t="shared" si="0"/>
        <v>3474.8977742822581</v>
      </c>
      <c r="N86" s="643">
        <f t="shared" si="0"/>
        <v>3513.1607721862138</v>
      </c>
      <c r="O86" s="643">
        <f t="shared" si="0"/>
        <v>3449.6550724157314</v>
      </c>
      <c r="P86" s="643">
        <f t="shared" si="0"/>
        <v>3416.9800293465723</v>
      </c>
      <c r="Q86" s="643">
        <f t="shared" si="0"/>
        <v>3362.7788315342536</v>
      </c>
      <c r="R86" s="643">
        <f t="shared" si="0"/>
        <v>3255.1777495623874</v>
      </c>
    </row>
    <row r="87" spans="2:18">
      <c r="B87" s="331" t="s">
        <v>1079</v>
      </c>
      <c r="C87" s="643"/>
      <c r="D87" s="643"/>
      <c r="E87" s="643"/>
      <c r="F87" s="643"/>
      <c r="G87" s="643"/>
      <c r="H87" s="643"/>
      <c r="I87" s="643"/>
      <c r="J87" s="643">
        <f t="shared" ref="J87:R87" si="1">SUM(J67:J85)</f>
        <v>19673.948239461079</v>
      </c>
      <c r="K87" s="643">
        <f t="shared" si="1"/>
        <v>18806.598253648139</v>
      </c>
      <c r="L87" s="643">
        <f t="shared" si="1"/>
        <v>19167.715336951995</v>
      </c>
      <c r="M87" s="643">
        <f t="shared" si="1"/>
        <v>19531.659900419043</v>
      </c>
      <c r="N87" s="643">
        <f t="shared" si="1"/>
        <v>20183.541797218622</v>
      </c>
      <c r="O87" s="643">
        <f t="shared" si="1"/>
        <v>19182.227359325298</v>
      </c>
      <c r="P87" s="643">
        <f t="shared" si="1"/>
        <v>18437.014260225504</v>
      </c>
      <c r="Q87" s="643">
        <f t="shared" si="1"/>
        <v>17848.424003619497</v>
      </c>
      <c r="R87" s="643">
        <f t="shared" si="1"/>
        <v>17759.427253501824</v>
      </c>
    </row>
    <row r="88" spans="2:18">
      <c r="B88" s="149" t="s">
        <v>1077</v>
      </c>
      <c r="C88" s="643"/>
      <c r="D88" s="643"/>
      <c r="E88" s="643"/>
      <c r="F88" s="643"/>
      <c r="G88" s="643"/>
      <c r="H88" s="643"/>
      <c r="I88" s="643"/>
      <c r="J88" s="643">
        <f t="shared" ref="J88:R88" si="2">SUM(J66:J85)</f>
        <v>32225.773409162688</v>
      </c>
      <c r="K88" s="643">
        <f t="shared" si="2"/>
        <v>31149.042864536983</v>
      </c>
      <c r="L88" s="643">
        <f t="shared" si="2"/>
        <v>31363.165137794764</v>
      </c>
      <c r="M88" s="643">
        <f t="shared" si="2"/>
        <v>31551.810141184076</v>
      </c>
      <c r="N88" s="643">
        <f t="shared" si="2"/>
        <v>32011.557314379766</v>
      </c>
      <c r="O88" s="643">
        <f t="shared" si="2"/>
        <v>31372.080456314838</v>
      </c>
      <c r="P88" s="643">
        <f t="shared" si="2"/>
        <v>30919.838662907849</v>
      </c>
      <c r="Q88" s="643">
        <f t="shared" si="2"/>
        <v>30403.77918255268</v>
      </c>
      <c r="R88" s="643">
        <f t="shared" si="2"/>
        <v>30246.952734321076</v>
      </c>
    </row>
    <row r="182" spans="3:6">
      <c r="C182" s="302"/>
      <c r="D182" s="302"/>
      <c r="E182" s="302"/>
      <c r="F182" s="302"/>
    </row>
  </sheetData>
  <mergeCells count="2">
    <mergeCell ref="V42:W42"/>
    <mergeCell ref="Y42:Z42"/>
  </mergeCells>
  <hyperlinks>
    <hyperlink ref="B31" r:id="rId1"/>
    <hyperlink ref="A2" location="'Title_&amp;_Contents'!A1" display="Contents"/>
    <hyperlink ref="B2" location="Map_of_sheets!A1" display="Map of sheets"/>
  </hyperlinks>
  <pageMargins left="0.7" right="0.7" top="0.75" bottom="0.75" header="0.3" footer="0.3"/>
  <pageSetup orientation="portrait" r:id="rId2"/>
  <ignoredErrors>
    <ignoredError sqref="C64:E64 F64:H64" formulaRange="1"/>
  </ignoredError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37"/>
  <sheetViews>
    <sheetView showGridLines="0" zoomScaleNormal="100" workbookViewId="0"/>
  </sheetViews>
  <sheetFormatPr defaultRowHeight="12.75"/>
  <cols>
    <col min="2" max="2" width="30.7109375" customWidth="1"/>
    <col min="3" max="3" width="9.140625" bestFit="1" customWidth="1"/>
  </cols>
  <sheetData>
    <row r="1" spans="1:22" s="67" customFormat="1" ht="15.75">
      <c r="A1" s="167" t="str">
        <f>ModelBanner</f>
        <v>TSM_201819 Publication</v>
      </c>
    </row>
    <row r="2" spans="1:22" s="712" customFormat="1" ht="15">
      <c r="A2" s="940" t="s">
        <v>13</v>
      </c>
      <c r="B2" s="940" t="s">
        <v>30</v>
      </c>
    </row>
    <row r="3" spans="1:22" s="712" customFormat="1" ht="10.15" customHeight="1">
      <c r="A3" s="168"/>
    </row>
    <row r="4" spans="1:22" s="56" customFormat="1">
      <c r="A4" s="169" t="s">
        <v>26</v>
      </c>
      <c r="B4" s="57"/>
      <c r="C4" s="57"/>
      <c r="D4" s="57"/>
    </row>
    <row r="5" spans="1:22" s="68" customFormat="1" ht="12.75" customHeight="1">
      <c r="A5" s="288"/>
      <c r="B5" s="59" t="s">
        <v>1596</v>
      </c>
      <c r="C5" s="69"/>
      <c r="D5" s="69"/>
      <c r="E5" s="69"/>
      <c r="F5" s="69"/>
      <c r="G5" s="69"/>
      <c r="H5" s="69"/>
      <c r="I5" s="69"/>
      <c r="J5" s="69"/>
      <c r="K5" s="69"/>
      <c r="L5" s="69"/>
      <c r="M5" s="69"/>
      <c r="N5" s="69"/>
      <c r="O5" s="69"/>
      <c r="P5" s="69"/>
      <c r="Q5" s="69"/>
      <c r="R5" s="69"/>
      <c r="S5" s="69"/>
      <c r="T5" s="69"/>
      <c r="U5" s="69"/>
      <c r="V5" s="69"/>
    </row>
    <row r="6" spans="1:22" s="45" customFormat="1" ht="13.5" customHeight="1">
      <c r="A6" s="289" t="s">
        <v>1392</v>
      </c>
      <c r="B6" s="60"/>
      <c r="C6" s="60"/>
      <c r="D6" s="60"/>
      <c r="E6" s="44"/>
      <c r="F6" s="44"/>
      <c r="G6" s="44"/>
      <c r="H6" s="44"/>
      <c r="I6" s="44"/>
      <c r="J6" s="44"/>
      <c r="K6" s="44"/>
      <c r="L6" s="44"/>
      <c r="M6" s="44"/>
      <c r="N6" s="44"/>
      <c r="O6" s="44"/>
      <c r="P6" s="44"/>
      <c r="Q6" s="44"/>
      <c r="R6" s="44"/>
      <c r="S6" s="44"/>
      <c r="T6" s="44"/>
      <c r="U6" s="44"/>
      <c r="V6" s="44"/>
    </row>
    <row r="7" spans="1:22" s="45" customFormat="1" ht="12" customHeight="1">
      <c r="A7" s="290"/>
      <c r="B7" s="1040" t="s">
        <v>1664</v>
      </c>
      <c r="C7" s="60"/>
      <c r="D7" s="60"/>
      <c r="E7" s="44"/>
      <c r="F7" s="44"/>
      <c r="G7" s="44"/>
      <c r="H7" s="44"/>
      <c r="I7" s="44"/>
      <c r="J7" s="44"/>
      <c r="K7" s="44"/>
      <c r="L7" s="44"/>
      <c r="M7" s="44"/>
      <c r="N7" s="44"/>
      <c r="O7" s="44"/>
      <c r="P7" s="44"/>
      <c r="Q7" s="44"/>
      <c r="R7" s="44"/>
      <c r="S7" s="44"/>
      <c r="T7" s="44"/>
      <c r="U7" s="44"/>
      <c r="V7" s="44"/>
    </row>
    <row r="8" spans="1:22" s="45" customFormat="1" ht="15.75" customHeight="1">
      <c r="A8" s="289" t="s">
        <v>24</v>
      </c>
      <c r="B8" s="60"/>
      <c r="C8" s="60"/>
      <c r="D8" s="60"/>
      <c r="E8" s="44"/>
      <c r="F8" s="44"/>
      <c r="G8" s="44"/>
      <c r="H8" s="44"/>
      <c r="I8" s="44"/>
      <c r="J8" s="44"/>
      <c r="K8" s="44"/>
      <c r="L8" s="44"/>
      <c r="M8" s="44"/>
      <c r="N8" s="44"/>
      <c r="O8" s="44"/>
      <c r="P8" s="44"/>
      <c r="Q8" s="44"/>
      <c r="R8" s="44"/>
      <c r="S8" s="44"/>
      <c r="T8" s="44"/>
      <c r="U8" s="44"/>
      <c r="V8" s="44"/>
    </row>
    <row r="9" spans="1:22" s="49" customFormat="1" ht="13.5" customHeight="1">
      <c r="A9" s="291">
        <f>SUM(A10:A2002)</f>
        <v>0</v>
      </c>
      <c r="B9" s="177"/>
      <c r="C9" s="287"/>
      <c r="D9" s="287"/>
      <c r="E9" s="48"/>
      <c r="F9" s="48"/>
      <c r="G9" s="48"/>
      <c r="H9" s="48"/>
      <c r="I9" s="48"/>
      <c r="J9" s="48"/>
      <c r="K9" s="48"/>
      <c r="L9" s="48"/>
      <c r="M9" s="48"/>
      <c r="N9" s="48"/>
      <c r="O9" s="48"/>
      <c r="P9" s="48"/>
      <c r="Q9" s="48"/>
      <c r="R9" s="48"/>
      <c r="S9" s="48"/>
      <c r="T9" s="48"/>
      <c r="U9" s="48"/>
      <c r="V9" s="48"/>
    </row>
    <row r="11" spans="1:22">
      <c r="B11" s="1028" t="s">
        <v>1665</v>
      </c>
    </row>
    <row r="14" spans="1:22" ht="13.15" customHeight="1">
      <c r="B14" s="1241" t="str">
        <f>RAW_DATA_INPUTS!B78</f>
        <v>Subject</v>
      </c>
      <c r="C14" s="1352" t="s">
        <v>1663</v>
      </c>
      <c r="D14" s="1353"/>
      <c r="E14" s="1353"/>
      <c r="F14" s="1354"/>
      <c r="G14" s="1352" t="s">
        <v>1236</v>
      </c>
      <c r="H14" s="1353"/>
      <c r="I14" s="1353"/>
      <c r="J14" s="1354"/>
      <c r="K14" s="1352" t="s">
        <v>1663</v>
      </c>
      <c r="L14" s="1353"/>
      <c r="M14" s="1353"/>
      <c r="N14" s="1354"/>
      <c r="O14" s="1352" t="s">
        <v>1236</v>
      </c>
      <c r="P14" s="1353"/>
      <c r="Q14" s="1353"/>
      <c r="R14" s="1354"/>
      <c r="S14" s="1355" t="s">
        <v>1238</v>
      </c>
      <c r="T14" s="1353"/>
      <c r="U14" s="1353"/>
      <c r="V14" s="1354"/>
    </row>
    <row r="15" spans="1:22">
      <c r="B15" s="1351"/>
      <c r="C15" s="1231" t="str">
        <f>RAW_DATA_INPUTS!C78</f>
        <v>Time (total hrs) spent teaching to:</v>
      </c>
      <c r="D15" s="1232"/>
      <c r="E15" s="1232"/>
      <c r="F15" s="1232"/>
      <c r="G15" s="1232"/>
      <c r="H15" s="1232"/>
      <c r="I15" s="1232"/>
      <c r="J15" s="1233"/>
      <c r="K15" s="1231" t="s">
        <v>1239</v>
      </c>
      <c r="L15" s="1232"/>
      <c r="M15" s="1232"/>
      <c r="N15" s="1232"/>
      <c r="O15" s="1232"/>
      <c r="P15" s="1232"/>
      <c r="Q15" s="1232"/>
      <c r="R15" s="1233"/>
      <c r="S15" s="1292" t="s">
        <v>1237</v>
      </c>
      <c r="T15" s="1292"/>
      <c r="U15" s="1292"/>
      <c r="V15" s="1292"/>
    </row>
    <row r="16" spans="1:22" ht="25.5">
      <c r="B16" s="1242"/>
      <c r="C16" s="149" t="str">
        <f>RAW_DATA_INPUTS!C79</f>
        <v>Years 7-9</v>
      </c>
      <c r="D16" s="149" t="str">
        <f>RAW_DATA_INPUTS!D79</f>
        <v>Years 10-11</v>
      </c>
      <c r="E16" s="149" t="str">
        <f>RAW_DATA_INPUTS!E79</f>
        <v>Years 12-13</v>
      </c>
      <c r="F16" s="149" t="s">
        <v>8</v>
      </c>
      <c r="G16" s="149" t="str">
        <f>C16</f>
        <v>Years 7-9</v>
      </c>
      <c r="H16" s="1007" t="str">
        <f>D16</f>
        <v>Years 10-11</v>
      </c>
      <c r="I16" s="1007" t="str">
        <f>E16</f>
        <v>Years 12-13</v>
      </c>
      <c r="J16" s="149" t="s">
        <v>8</v>
      </c>
      <c r="K16" s="149" t="str">
        <f>G16</f>
        <v>Years 7-9</v>
      </c>
      <c r="L16" s="1007" t="str">
        <f>H16</f>
        <v>Years 10-11</v>
      </c>
      <c r="M16" s="1007" t="str">
        <f>I16</f>
        <v>Years 12-13</v>
      </c>
      <c r="N16" s="149" t="s">
        <v>8</v>
      </c>
      <c r="O16" s="149" t="str">
        <f>K16</f>
        <v>Years 7-9</v>
      </c>
      <c r="P16" s="1007" t="str">
        <f>L16</f>
        <v>Years 10-11</v>
      </c>
      <c r="Q16" s="1007" t="str">
        <f>M16</f>
        <v>Years 12-13</v>
      </c>
      <c r="R16" s="149" t="s">
        <v>8</v>
      </c>
      <c r="S16" s="149" t="str">
        <f>O16</f>
        <v>Years 7-9</v>
      </c>
      <c r="T16" s="1007" t="str">
        <f>P16</f>
        <v>Years 10-11</v>
      </c>
      <c r="U16" s="1007" t="str">
        <f>Q16</f>
        <v>Years 12-13</v>
      </c>
      <c r="V16" s="149" t="s">
        <v>8</v>
      </c>
    </row>
    <row r="17" spans="2:22">
      <c r="B17" s="8" t="str">
        <f>RAW_DATA_INPUTS!B80</f>
        <v>Art &amp; Design</v>
      </c>
      <c r="C17" s="829">
        <f>RAW_DATA_INPUTS!C80</f>
        <v>71056.244999999995</v>
      </c>
      <c r="D17" s="829">
        <f>RAW_DATA_INPUTS!D80</f>
        <v>39806.052000000003</v>
      </c>
      <c r="E17" s="829">
        <f>RAW_DATA_INPUTS!E80</f>
        <v>26791.651000000002</v>
      </c>
      <c r="F17" s="830">
        <f t="shared" ref="F17:F35" si="0">SUM(C17:E17)</f>
        <v>137653.948</v>
      </c>
      <c r="G17" s="829">
        <v>70648.808999999994</v>
      </c>
      <c r="H17" s="829">
        <v>41536.894</v>
      </c>
      <c r="I17" s="829">
        <v>29387.418000000001</v>
      </c>
      <c r="J17" s="830">
        <f>SUM(G17:I17)</f>
        <v>141573.12099999998</v>
      </c>
      <c r="K17" s="831">
        <f>C17/C$36</f>
        <v>4.1877271380041978E-2</v>
      </c>
      <c r="L17" s="831">
        <f t="shared" ref="L17:R17" si="1">D17/D$36</f>
        <v>3.162877526435507E-2</v>
      </c>
      <c r="M17" s="831">
        <f t="shared" si="1"/>
        <v>4.5071203082460938E-2</v>
      </c>
      <c r="N17" s="831">
        <f t="shared" si="1"/>
        <v>3.8778576853975594E-2</v>
      </c>
      <c r="O17" s="831">
        <f t="shared" si="1"/>
        <v>4.2341878027609935E-2</v>
      </c>
      <c r="P17" s="831">
        <f t="shared" si="1"/>
        <v>3.2072815795151796E-2</v>
      </c>
      <c r="Q17" s="831">
        <f t="shared" si="1"/>
        <v>4.6840244630779633E-2</v>
      </c>
      <c r="R17" s="831">
        <f t="shared" si="1"/>
        <v>3.9424312991220491E-2</v>
      </c>
      <c r="S17" s="896">
        <f>K17-O17</f>
        <v>-4.6460664756795694E-4</v>
      </c>
      <c r="T17" s="896">
        <f t="shared" ref="T17:V32" si="2">L17-P17</f>
        <v>-4.4404053079672573E-4</v>
      </c>
      <c r="U17" s="896">
        <f t="shared" si="2"/>
        <v>-1.769041548318695E-3</v>
      </c>
      <c r="V17" s="896">
        <f t="shared" si="2"/>
        <v>-6.4573613724489692E-4</v>
      </c>
    </row>
    <row r="18" spans="2:22">
      <c r="B18" s="8" t="str">
        <f>RAW_DATA_INPUTS!B81</f>
        <v>Biology</v>
      </c>
      <c r="C18" s="829">
        <f>RAW_DATA_INPUTS!C81</f>
        <v>81696.452999999994</v>
      </c>
      <c r="D18" s="829">
        <f>RAW_DATA_INPUTS!D81</f>
        <v>80630.94</v>
      </c>
      <c r="E18" s="829">
        <f>RAW_DATA_INPUTS!E81</f>
        <v>37722.311000000002</v>
      </c>
      <c r="F18" s="830">
        <f t="shared" si="0"/>
        <v>200049.70399999997</v>
      </c>
      <c r="G18" s="829">
        <v>79751.357000000004</v>
      </c>
      <c r="H18" s="829">
        <v>83363.073000000004</v>
      </c>
      <c r="I18" s="829">
        <v>39348.082000000002</v>
      </c>
      <c r="J18" s="830">
        <f t="shared" ref="J18:J35" si="3">SUM(G18:I18)</f>
        <v>202462.51199999999</v>
      </c>
      <c r="K18" s="831">
        <f t="shared" ref="K18:K35" si="4">C18/C$36</f>
        <v>4.8148118903100563E-2</v>
      </c>
      <c r="L18" s="831">
        <f t="shared" ref="L18:L35" si="5">D18/D$36</f>
        <v>6.4067089110311601E-2</v>
      </c>
      <c r="M18" s="831">
        <f t="shared" ref="M18:M35" si="6">E18/E$36</f>
        <v>6.3459692716240232E-2</v>
      </c>
      <c r="N18" s="831">
        <f t="shared" ref="N18:N35" si="7">F18/F$36</f>
        <v>5.6356122972797462E-2</v>
      </c>
      <c r="O18" s="831">
        <f t="shared" ref="O18:O35" si="8">G18/G$36</f>
        <v>4.7797298757440855E-2</v>
      </c>
      <c r="P18" s="831">
        <f t="shared" ref="P18:P35" si="9">H18/H$36</f>
        <v>6.4369003721048382E-2</v>
      </c>
      <c r="Q18" s="831">
        <f t="shared" ref="Q18:Q35" si="10">I18/I$36</f>
        <v>6.271642464921473E-2</v>
      </c>
      <c r="R18" s="831">
        <f t="shared" ref="R18:R35" si="11">J18/J$36</f>
        <v>5.6380373517913293E-2</v>
      </c>
      <c r="S18" s="896">
        <f t="shared" ref="S18:S35" si="12">K18-O18</f>
        <v>3.508201456597082E-4</v>
      </c>
      <c r="T18" s="896">
        <f t="shared" si="2"/>
        <v>-3.0191461073678094E-4</v>
      </c>
      <c r="U18" s="896">
        <f t="shared" si="2"/>
        <v>7.4326806702550152E-4</v>
      </c>
      <c r="V18" s="896">
        <f t="shared" si="2"/>
        <v>-2.4250545115830913E-5</v>
      </c>
    </row>
    <row r="19" spans="2:22">
      <c r="B19" s="8" t="str">
        <f>RAW_DATA_INPUTS!B82</f>
        <v>Business Studies</v>
      </c>
      <c r="C19" s="829">
        <f>RAW_DATA_INPUTS!C82</f>
        <v>5634.2160000000003</v>
      </c>
      <c r="D19" s="829">
        <f>RAW_DATA_INPUTS!D82</f>
        <v>29206.165000000001</v>
      </c>
      <c r="E19" s="829">
        <f>RAW_DATA_INPUTS!E82</f>
        <v>35786.103999999999</v>
      </c>
      <c r="F19" s="830">
        <f t="shared" si="0"/>
        <v>70626.485000000001</v>
      </c>
      <c r="G19" s="829">
        <v>4718.3419999999996</v>
      </c>
      <c r="H19" s="829">
        <v>30396.507000000001</v>
      </c>
      <c r="I19" s="829">
        <v>37893.985999999997</v>
      </c>
      <c r="J19" s="830">
        <f t="shared" si="3"/>
        <v>73008.834999999992</v>
      </c>
      <c r="K19" s="831">
        <f t="shared" si="4"/>
        <v>3.3205468772769323E-3</v>
      </c>
      <c r="L19" s="831">
        <f t="shared" si="5"/>
        <v>2.3206401607440814E-2</v>
      </c>
      <c r="M19" s="831">
        <f t="shared" si="6"/>
        <v>6.0202439965870998E-2</v>
      </c>
      <c r="N19" s="831">
        <f t="shared" si="7"/>
        <v>1.9896229757962732E-2</v>
      </c>
      <c r="O19" s="831">
        <f t="shared" si="8"/>
        <v>2.8278390575069584E-3</v>
      </c>
      <c r="P19" s="831">
        <f t="shared" si="9"/>
        <v>2.3470738323068695E-2</v>
      </c>
      <c r="Q19" s="831">
        <f t="shared" si="10"/>
        <v>6.0398758893188173E-2</v>
      </c>
      <c r="R19" s="831">
        <f t="shared" si="11"/>
        <v>2.033100027627683E-2</v>
      </c>
      <c r="S19" s="896">
        <f t="shared" si="12"/>
        <v>4.9270781976997391E-4</v>
      </c>
      <c r="T19" s="896">
        <f t="shared" si="2"/>
        <v>-2.643367156278803E-4</v>
      </c>
      <c r="U19" s="896">
        <f t="shared" si="2"/>
        <v>-1.9631892731717532E-4</v>
      </c>
      <c r="V19" s="896">
        <f t="shared" si="2"/>
        <v>-4.3477051831409749E-4</v>
      </c>
    </row>
    <row r="20" spans="2:22">
      <c r="B20" s="8" t="str">
        <f>RAW_DATA_INPUTS!B83</f>
        <v>Chemistry</v>
      </c>
      <c r="C20" s="829">
        <f>RAW_DATA_INPUTS!C83</f>
        <v>67966.682000000001</v>
      </c>
      <c r="D20" s="829">
        <f>RAW_DATA_INPUTS!D83</f>
        <v>76707.697</v>
      </c>
      <c r="E20" s="829">
        <f>RAW_DATA_INPUTS!E83</f>
        <v>31946.996999999999</v>
      </c>
      <c r="F20" s="830">
        <f t="shared" si="0"/>
        <v>176621.37600000002</v>
      </c>
      <c r="G20" s="829">
        <v>66687.88</v>
      </c>
      <c r="H20" s="829">
        <v>77069.387000000002</v>
      </c>
      <c r="I20" s="829">
        <v>32799.608</v>
      </c>
      <c r="J20" s="830">
        <f t="shared" si="3"/>
        <v>176556.875</v>
      </c>
      <c r="K20" s="831">
        <f t="shared" si="4"/>
        <v>4.0056425538881411E-2</v>
      </c>
      <c r="L20" s="831">
        <f t="shared" si="5"/>
        <v>6.0949789983172492E-2</v>
      </c>
      <c r="M20" s="831">
        <f t="shared" si="6"/>
        <v>5.3743966344656037E-2</v>
      </c>
      <c r="N20" s="831">
        <f t="shared" si="7"/>
        <v>4.9756114537818565E-2</v>
      </c>
      <c r="O20" s="831">
        <f t="shared" si="8"/>
        <v>3.9967978524307307E-2</v>
      </c>
      <c r="P20" s="831">
        <f t="shared" si="9"/>
        <v>5.9509318455449906E-2</v>
      </c>
      <c r="Q20" s="831">
        <f t="shared" si="10"/>
        <v>5.2278892365218224E-2</v>
      </c>
      <c r="R20" s="831">
        <f t="shared" si="11"/>
        <v>4.9166349174090698E-2</v>
      </c>
      <c r="S20" s="896">
        <f t="shared" si="12"/>
        <v>8.8447014574104255E-5</v>
      </c>
      <c r="T20" s="896">
        <f t="shared" si="2"/>
        <v>1.4404715277225866E-3</v>
      </c>
      <c r="U20" s="896">
        <f t="shared" si="2"/>
        <v>1.4650739794378129E-3</v>
      </c>
      <c r="V20" s="896">
        <f t="shared" si="2"/>
        <v>5.8976536372786631E-4</v>
      </c>
    </row>
    <row r="21" spans="2:22">
      <c r="B21" s="8" t="str">
        <f>RAW_DATA_INPUTS!B84</f>
        <v>Classics</v>
      </c>
      <c r="C21" s="829">
        <f>RAW_DATA_INPUTS!C84</f>
        <v>1807.587</v>
      </c>
      <c r="D21" s="829">
        <f>RAW_DATA_INPUTS!D84</f>
        <v>1478.6120000000001</v>
      </c>
      <c r="E21" s="829">
        <f>RAW_DATA_INPUTS!E84</f>
        <v>1918.1020000000001</v>
      </c>
      <c r="F21" s="830">
        <f t="shared" si="0"/>
        <v>5204.3010000000004</v>
      </c>
      <c r="G21" s="829">
        <v>1867.3869999999999</v>
      </c>
      <c r="H21" s="829">
        <v>1533.5419999999999</v>
      </c>
      <c r="I21" s="829">
        <v>2152.3780000000002</v>
      </c>
      <c r="J21" s="830">
        <f t="shared" si="3"/>
        <v>5553.3070000000007</v>
      </c>
      <c r="K21" s="831">
        <f t="shared" si="4"/>
        <v>1.0653083531508871E-3</v>
      </c>
      <c r="L21" s="831">
        <f t="shared" si="5"/>
        <v>1.1748637280376002E-3</v>
      </c>
      <c r="M21" s="831">
        <f t="shared" si="6"/>
        <v>3.2267949733622049E-3</v>
      </c>
      <c r="N21" s="831">
        <f t="shared" si="7"/>
        <v>1.4661067788605819E-3</v>
      </c>
      <c r="O21" s="831">
        <f t="shared" si="8"/>
        <v>1.1191791298894287E-3</v>
      </c>
      <c r="P21" s="831">
        <f t="shared" si="9"/>
        <v>1.1841282614951582E-3</v>
      </c>
      <c r="Q21" s="831">
        <f t="shared" si="10"/>
        <v>3.4306488599273404E-3</v>
      </c>
      <c r="R21" s="831">
        <f t="shared" si="11"/>
        <v>1.5464468944238062E-3</v>
      </c>
      <c r="S21" s="896">
        <f t="shared" si="12"/>
        <v>-5.3870776738541674E-5</v>
      </c>
      <c r="T21" s="896">
        <f t="shared" si="2"/>
        <v>-9.2645334575580055E-6</v>
      </c>
      <c r="U21" s="896">
        <f t="shared" si="2"/>
        <v>-2.0385388656513547E-4</v>
      </c>
      <c r="V21" s="896">
        <f t="shared" si="2"/>
        <v>-8.034011556322428E-5</v>
      </c>
    </row>
    <row r="22" spans="2:22">
      <c r="B22" s="8" t="str">
        <f>RAW_DATA_INPUTS!B85</f>
        <v>Computing</v>
      </c>
      <c r="C22" s="829">
        <f>RAW_DATA_INPUTS!C85</f>
        <v>54082.472999999998</v>
      </c>
      <c r="D22" s="829">
        <f>RAW_DATA_INPUTS!D85</f>
        <v>40419.913</v>
      </c>
      <c r="E22" s="829">
        <f>RAW_DATA_INPUTS!E85</f>
        <v>23121.745999999999</v>
      </c>
      <c r="F22" s="830">
        <f t="shared" si="0"/>
        <v>117624.132</v>
      </c>
      <c r="G22" s="739">
        <v>57033.567999999999</v>
      </c>
      <c r="H22" s="739">
        <v>45213.525000000001</v>
      </c>
      <c r="I22" s="739">
        <v>25505.008000000002</v>
      </c>
      <c r="J22" s="830">
        <f t="shared" si="3"/>
        <v>127752.101</v>
      </c>
      <c r="K22" s="831">
        <f t="shared" si="4"/>
        <v>3.1873713545161206E-2</v>
      </c>
      <c r="L22" s="831">
        <f t="shared" si="5"/>
        <v>3.2116532040951558E-2</v>
      </c>
      <c r="M22" s="831">
        <f t="shared" si="6"/>
        <v>3.8897375514001686E-2</v>
      </c>
      <c r="N22" s="831">
        <f t="shared" si="7"/>
        <v>3.3135965287709512E-2</v>
      </c>
      <c r="O22" s="831">
        <f t="shared" si="8"/>
        <v>3.4181869643908611E-2</v>
      </c>
      <c r="P22" s="831">
        <f t="shared" si="9"/>
        <v>3.4911735547065469E-2</v>
      </c>
      <c r="Q22" s="831">
        <f t="shared" si="10"/>
        <v>4.0652119013313504E-2</v>
      </c>
      <c r="R22" s="831">
        <f t="shared" si="11"/>
        <v>3.5575530012579244E-2</v>
      </c>
      <c r="S22" s="896">
        <f t="shared" si="12"/>
        <v>-2.3081560987474048E-3</v>
      </c>
      <c r="T22" s="896">
        <f t="shared" si="2"/>
        <v>-2.7952035061139108E-3</v>
      </c>
      <c r="U22" s="896">
        <f t="shared" si="2"/>
        <v>-1.7547434993118172E-3</v>
      </c>
      <c r="V22" s="896">
        <f t="shared" si="2"/>
        <v>-2.4395647248697319E-3</v>
      </c>
    </row>
    <row r="23" spans="2:22">
      <c r="B23" s="8" t="str">
        <f>RAW_DATA_INPUTS!B86</f>
        <v>Design &amp; Technology</v>
      </c>
      <c r="C23" s="829">
        <f>RAW_DATA_INPUTS!C86</f>
        <v>101865.11900000001</v>
      </c>
      <c r="D23" s="829">
        <f>RAW_DATA_INPUTS!D86</f>
        <v>45304.892</v>
      </c>
      <c r="E23" s="829">
        <f>RAW_DATA_INPUTS!E86</f>
        <v>19476.332999999999</v>
      </c>
      <c r="F23" s="830">
        <f t="shared" si="0"/>
        <v>166646.34399999998</v>
      </c>
      <c r="G23" s="739">
        <v>107155.857</v>
      </c>
      <c r="H23" s="739">
        <v>49497</v>
      </c>
      <c r="I23" s="739">
        <v>21550.714</v>
      </c>
      <c r="J23" s="830">
        <f t="shared" si="3"/>
        <v>178203.57100000003</v>
      </c>
      <c r="K23" s="831">
        <f t="shared" si="4"/>
        <v>6.0034599809253512E-2</v>
      </c>
      <c r="L23" s="831">
        <f t="shared" si="5"/>
        <v>3.599799968718017E-2</v>
      </c>
      <c r="M23" s="831">
        <f t="shared" si="6"/>
        <v>3.2764750479342825E-2</v>
      </c>
      <c r="N23" s="831">
        <f t="shared" si="7"/>
        <v>4.6946042246736389E-2</v>
      </c>
      <c r="O23" s="831">
        <f t="shared" si="8"/>
        <v>6.4221609553786155E-2</v>
      </c>
      <c r="P23" s="831">
        <f t="shared" si="9"/>
        <v>3.8219231399743765E-2</v>
      </c>
      <c r="Q23" s="831">
        <f t="shared" si="10"/>
        <v>3.4349418371085454E-2</v>
      </c>
      <c r="R23" s="831">
        <f t="shared" si="11"/>
        <v>4.9624909796663903E-2</v>
      </c>
      <c r="S23" s="896">
        <f t="shared" si="12"/>
        <v>-4.1870097445326424E-3</v>
      </c>
      <c r="T23" s="896">
        <f t="shared" si="2"/>
        <v>-2.2212317125635955E-3</v>
      </c>
      <c r="U23" s="896">
        <f t="shared" si="2"/>
        <v>-1.5846678917426291E-3</v>
      </c>
      <c r="V23" s="896">
        <f t="shared" si="2"/>
        <v>-2.6788675499275147E-3</v>
      </c>
    </row>
    <row r="24" spans="2:22">
      <c r="B24" s="8" t="str">
        <f>RAW_DATA_INPUTS!B87</f>
        <v>Drama</v>
      </c>
      <c r="C24" s="829">
        <f>RAW_DATA_INPUTS!C87</f>
        <v>47822.478000000003</v>
      </c>
      <c r="D24" s="829">
        <f>RAW_DATA_INPUTS!D87</f>
        <v>22054.438999999998</v>
      </c>
      <c r="E24" s="829">
        <f>RAW_DATA_INPUTS!E87</f>
        <v>13934.413</v>
      </c>
      <c r="F24" s="830">
        <f t="shared" si="0"/>
        <v>83811.33</v>
      </c>
      <c r="G24" s="739">
        <v>47869.883000000002</v>
      </c>
      <c r="H24" s="739">
        <v>23481.306</v>
      </c>
      <c r="I24" s="739">
        <v>15168.009</v>
      </c>
      <c r="J24" s="830">
        <f t="shared" si="3"/>
        <v>86519.198000000004</v>
      </c>
      <c r="K24" s="831">
        <f t="shared" si="4"/>
        <v>2.8184361406546145E-2</v>
      </c>
      <c r="L24" s="831">
        <f t="shared" si="5"/>
        <v>1.7523840211845866E-2</v>
      </c>
      <c r="M24" s="831">
        <f t="shared" si="6"/>
        <v>2.3441659424343942E-2</v>
      </c>
      <c r="N24" s="831">
        <f t="shared" si="7"/>
        <v>2.3610540408466239E-2</v>
      </c>
      <c r="O24" s="831">
        <f t="shared" si="8"/>
        <v>2.8689807738754076E-2</v>
      </c>
      <c r="P24" s="831">
        <f t="shared" si="9"/>
        <v>1.8131148707642718E-2</v>
      </c>
      <c r="Q24" s="831">
        <f t="shared" si="10"/>
        <v>2.4176103260309126E-2</v>
      </c>
      <c r="R24" s="831">
        <f t="shared" si="11"/>
        <v>2.4093273621490469E-2</v>
      </c>
      <c r="S24" s="896">
        <f t="shared" si="12"/>
        <v>-5.0544633220793098E-4</v>
      </c>
      <c r="T24" s="896">
        <f t="shared" si="2"/>
        <v>-6.0730849579685234E-4</v>
      </c>
      <c r="U24" s="896">
        <f t="shared" si="2"/>
        <v>-7.3444383596518378E-4</v>
      </c>
      <c r="V24" s="896">
        <f t="shared" si="2"/>
        <v>-4.8273321302422928E-4</v>
      </c>
    </row>
    <row r="25" spans="2:22">
      <c r="B25" s="8" t="str">
        <f>RAW_DATA_INPUTS!B88</f>
        <v>English</v>
      </c>
      <c r="C25" s="829">
        <f>RAW_DATA_INPUTS!C88</f>
        <v>260067.88500000001</v>
      </c>
      <c r="D25" s="829">
        <f>RAW_DATA_INPUTS!D88</f>
        <v>207047.321</v>
      </c>
      <c r="E25" s="829">
        <f>RAW_DATA_INPUTS!E88</f>
        <v>48858.016000000003</v>
      </c>
      <c r="F25" s="830">
        <f t="shared" si="0"/>
        <v>515973.22200000001</v>
      </c>
      <c r="G25" s="739">
        <v>249638.397</v>
      </c>
      <c r="H25" s="739">
        <v>207402.302</v>
      </c>
      <c r="I25" s="739">
        <v>52423.813999999998</v>
      </c>
      <c r="J25" s="830">
        <f t="shared" si="3"/>
        <v>509464.51300000004</v>
      </c>
      <c r="K25" s="831">
        <f t="shared" si="4"/>
        <v>0.15327200863736257</v>
      </c>
      <c r="L25" s="831">
        <f t="shared" si="5"/>
        <v>0.16451400869887281</v>
      </c>
      <c r="M25" s="831">
        <f t="shared" si="6"/>
        <v>8.2193126558050722E-2</v>
      </c>
      <c r="N25" s="831">
        <f t="shared" si="7"/>
        <v>0.14535512809207921</v>
      </c>
      <c r="O25" s="831">
        <f t="shared" si="8"/>
        <v>0.14961552369243858</v>
      </c>
      <c r="P25" s="831">
        <f t="shared" si="9"/>
        <v>0.16014620225422829</v>
      </c>
      <c r="Q25" s="831">
        <f t="shared" si="10"/>
        <v>8.3557673295370477E-2</v>
      </c>
      <c r="R25" s="831">
        <f t="shared" si="11"/>
        <v>0.14187218785995206</v>
      </c>
      <c r="S25" s="896">
        <f t="shared" si="12"/>
        <v>3.6564849449239878E-3</v>
      </c>
      <c r="T25" s="896">
        <f t="shared" si="2"/>
        <v>4.3678064446445175E-3</v>
      </c>
      <c r="U25" s="896">
        <f t="shared" si="2"/>
        <v>-1.3645467373197551E-3</v>
      </c>
      <c r="V25" s="896">
        <f t="shared" si="2"/>
        <v>3.4829402321271408E-3</v>
      </c>
    </row>
    <row r="26" spans="2:22">
      <c r="B26" s="8" t="str">
        <f>RAW_DATA_INPUTS!B89</f>
        <v>Food</v>
      </c>
      <c r="C26" s="829">
        <f>RAW_DATA_INPUTS!C89</f>
        <v>14664.427</v>
      </c>
      <c r="D26" s="829">
        <f>RAW_DATA_INPUTS!D89</f>
        <v>17897.319</v>
      </c>
      <c r="E26" s="829">
        <f>RAW_DATA_INPUTS!E89</f>
        <v>2665.0459999999998</v>
      </c>
      <c r="F26" s="830">
        <f t="shared" si="0"/>
        <v>35226.792000000001</v>
      </c>
      <c r="G26" s="739">
        <v>14155.37</v>
      </c>
      <c r="H26" s="739">
        <v>19737.098000000002</v>
      </c>
      <c r="I26" s="739">
        <v>3344.0309999999999</v>
      </c>
      <c r="J26" s="830">
        <f t="shared" si="3"/>
        <v>37236.499000000003</v>
      </c>
      <c r="K26" s="831">
        <f t="shared" si="4"/>
        <v>8.6425364739132343E-3</v>
      </c>
      <c r="L26" s="831">
        <f t="shared" si="5"/>
        <v>1.4220708963689037E-2</v>
      </c>
      <c r="M26" s="831">
        <f t="shared" si="6"/>
        <v>4.4833679525797115E-3</v>
      </c>
      <c r="N26" s="831">
        <f t="shared" si="7"/>
        <v>9.9237608563977602E-3</v>
      </c>
      <c r="O26" s="831">
        <f t="shared" si="8"/>
        <v>8.4837233416870331E-3</v>
      </c>
      <c r="P26" s="831">
        <f t="shared" si="9"/>
        <v>1.5240049207455399E-2</v>
      </c>
      <c r="Q26" s="831">
        <f t="shared" si="10"/>
        <v>5.3300099414283564E-3</v>
      </c>
      <c r="R26" s="831">
        <f t="shared" si="11"/>
        <v>1.0369365179660545E-2</v>
      </c>
      <c r="S26" s="896">
        <f t="shared" si="12"/>
        <v>1.5881313222620118E-4</v>
      </c>
      <c r="T26" s="896">
        <f t="shared" si="2"/>
        <v>-1.0193402437663618E-3</v>
      </c>
      <c r="U26" s="896">
        <f t="shared" si="2"/>
        <v>-8.4664198884864487E-4</v>
      </c>
      <c r="V26" s="896">
        <f t="shared" si="2"/>
        <v>-4.4560432326278508E-4</v>
      </c>
    </row>
    <row r="27" spans="2:22">
      <c r="B27" s="8" t="str">
        <f>RAW_DATA_INPUTS!B90</f>
        <v>Geography</v>
      </c>
      <c r="C27" s="829">
        <f>RAW_DATA_INPUTS!C90</f>
        <v>99315.312000000005</v>
      </c>
      <c r="D27" s="829">
        <f>RAW_DATA_INPUTS!D90</f>
        <v>56129.33</v>
      </c>
      <c r="E27" s="829">
        <f>RAW_DATA_INPUTS!E90</f>
        <v>23087.531999999999</v>
      </c>
      <c r="F27" s="830">
        <f t="shared" si="0"/>
        <v>178532.174</v>
      </c>
      <c r="G27" s="739">
        <v>96085.642000000007</v>
      </c>
      <c r="H27" s="739">
        <v>55348.328000000001</v>
      </c>
      <c r="I27" s="739">
        <v>23733.224999999999</v>
      </c>
      <c r="J27" s="830">
        <f t="shared" si="3"/>
        <v>175167.19500000001</v>
      </c>
      <c r="K27" s="831">
        <f t="shared" si="4"/>
        <v>5.8531861243407111E-2</v>
      </c>
      <c r="L27" s="831">
        <f t="shared" si="5"/>
        <v>4.4598795286425859E-2</v>
      </c>
      <c r="M27" s="831">
        <f t="shared" si="6"/>
        <v>3.8839817801628408E-2</v>
      </c>
      <c r="N27" s="831">
        <f t="shared" si="7"/>
        <v>5.0294406596796945E-2</v>
      </c>
      <c r="O27" s="831">
        <f t="shared" si="8"/>
        <v>5.7586908984815235E-2</v>
      </c>
      <c r="P27" s="831">
        <f t="shared" si="9"/>
        <v>4.2737348837725862E-2</v>
      </c>
      <c r="Q27" s="831">
        <f t="shared" si="10"/>
        <v>3.7828095849636562E-2</v>
      </c>
      <c r="R27" s="831">
        <f t="shared" si="11"/>
        <v>4.8779360606694216E-2</v>
      </c>
      <c r="S27" s="896">
        <f t="shared" si="12"/>
        <v>9.4495225859187598E-4</v>
      </c>
      <c r="T27" s="896">
        <f t="shared" si="2"/>
        <v>1.8614464486999965E-3</v>
      </c>
      <c r="U27" s="896">
        <f t="shared" si="2"/>
        <v>1.0117219519918466E-3</v>
      </c>
      <c r="V27" s="896">
        <f t="shared" si="2"/>
        <v>1.5150459901027286E-3</v>
      </c>
    </row>
    <row r="28" spans="2:22">
      <c r="B28" s="8" t="str">
        <f>RAW_DATA_INPUTS!B91</f>
        <v>History</v>
      </c>
      <c r="C28" s="829">
        <f>RAW_DATA_INPUTS!C91</f>
        <v>101874.588</v>
      </c>
      <c r="D28" s="829">
        <f>RAW_DATA_INPUTS!D91</f>
        <v>59802.315000000002</v>
      </c>
      <c r="E28" s="829">
        <f>RAW_DATA_INPUTS!E91</f>
        <v>28711.787</v>
      </c>
      <c r="F28" s="830">
        <f t="shared" si="0"/>
        <v>190388.69</v>
      </c>
      <c r="G28" s="739">
        <v>98393.145999999993</v>
      </c>
      <c r="H28" s="739">
        <v>59577.038999999997</v>
      </c>
      <c r="I28" s="739">
        <v>30449.096000000001</v>
      </c>
      <c r="J28" s="830">
        <f t="shared" si="3"/>
        <v>188419.28099999999</v>
      </c>
      <c r="K28" s="831">
        <f t="shared" si="4"/>
        <v>6.0040180400835544E-2</v>
      </c>
      <c r="L28" s="831">
        <f t="shared" si="5"/>
        <v>4.7517246408238879E-2</v>
      </c>
      <c r="M28" s="831">
        <f t="shared" si="6"/>
        <v>4.8301419824308772E-2</v>
      </c>
      <c r="N28" s="831">
        <f t="shared" si="7"/>
        <v>5.3634512882207594E-2</v>
      </c>
      <c r="O28" s="831">
        <f t="shared" si="8"/>
        <v>5.8969862983604106E-2</v>
      </c>
      <c r="P28" s="831">
        <f t="shared" si="9"/>
        <v>4.6002558531881906E-2</v>
      </c>
      <c r="Q28" s="831">
        <f t="shared" si="10"/>
        <v>4.8532440156059085E-2</v>
      </c>
      <c r="R28" s="831">
        <f t="shared" si="11"/>
        <v>5.2469710742088706E-2</v>
      </c>
      <c r="S28" s="896">
        <f t="shared" si="12"/>
        <v>1.0703174172314381E-3</v>
      </c>
      <c r="T28" s="896">
        <f t="shared" si="2"/>
        <v>1.5146878763569738E-3</v>
      </c>
      <c r="U28" s="896">
        <f t="shared" si="2"/>
        <v>-2.3102033175031317E-4</v>
      </c>
      <c r="V28" s="896">
        <f t="shared" si="2"/>
        <v>1.1648021401188882E-3</v>
      </c>
    </row>
    <row r="29" spans="2:22">
      <c r="B29" s="8" t="str">
        <f>RAW_DATA_INPUTS!B92</f>
        <v>Mathematics</v>
      </c>
      <c r="C29" s="829">
        <f>RAW_DATA_INPUTS!C92</f>
        <v>251303.913</v>
      </c>
      <c r="D29" s="829">
        <f>RAW_DATA_INPUTS!D92</f>
        <v>199796.41800000001</v>
      </c>
      <c r="E29" s="829">
        <f>RAW_DATA_INPUTS!E92</f>
        <v>64778.404999999999</v>
      </c>
      <c r="F29" s="830">
        <f t="shared" si="0"/>
        <v>515878.73600000003</v>
      </c>
      <c r="G29" s="739">
        <v>243965.386</v>
      </c>
      <c r="H29" s="739">
        <v>199336.14</v>
      </c>
      <c r="I29" s="739">
        <v>65601.789999999994</v>
      </c>
      <c r="J29" s="830">
        <f t="shared" si="3"/>
        <v>508903.31599999999</v>
      </c>
      <c r="K29" s="831">
        <f t="shared" si="4"/>
        <v>0.14810692801973227</v>
      </c>
      <c r="L29" s="831">
        <f t="shared" si="5"/>
        <v>0.15875264403375511</v>
      </c>
      <c r="M29" s="831">
        <f t="shared" si="6"/>
        <v>0.10897576439439671</v>
      </c>
      <c r="N29" s="831">
        <f t="shared" si="7"/>
        <v>0.14532851038393602</v>
      </c>
      <c r="O29" s="831">
        <f t="shared" si="8"/>
        <v>0.1462155238451476</v>
      </c>
      <c r="P29" s="831">
        <f t="shared" si="9"/>
        <v>0.15391789524600924</v>
      </c>
      <c r="Q29" s="831">
        <f t="shared" si="10"/>
        <v>0.10456188739742404</v>
      </c>
      <c r="R29" s="831">
        <f t="shared" si="11"/>
        <v>0.14171590956346852</v>
      </c>
      <c r="S29" s="896">
        <f t="shared" si="12"/>
        <v>1.8914041745846655E-3</v>
      </c>
      <c r="T29" s="896">
        <f t="shared" si="2"/>
        <v>4.8347487877458684E-3</v>
      </c>
      <c r="U29" s="896">
        <f t="shared" si="2"/>
        <v>4.4138769969726682E-3</v>
      </c>
      <c r="V29" s="896">
        <f t="shared" si="2"/>
        <v>3.6126008204674931E-3</v>
      </c>
    </row>
    <row r="30" spans="2:22">
      <c r="B30" s="8" t="str">
        <f>RAW_DATA_INPUTS!B93</f>
        <v>Modern Foreign Languages</v>
      </c>
      <c r="C30" s="829">
        <f>RAW_DATA_INPUTS!C93</f>
        <v>148504.981</v>
      </c>
      <c r="D30" s="829">
        <f>RAW_DATA_INPUTS!D93</f>
        <v>71710.183999999994</v>
      </c>
      <c r="E30" s="829">
        <f>RAW_DATA_INPUTS!E93</f>
        <v>24521.109</v>
      </c>
      <c r="F30" s="830">
        <f t="shared" si="0"/>
        <v>244736.27399999998</v>
      </c>
      <c r="G30" s="739">
        <v>147900.122</v>
      </c>
      <c r="H30" s="739">
        <v>75153.792000000001</v>
      </c>
      <c r="I30" s="739">
        <v>26218.452000000001</v>
      </c>
      <c r="J30" s="830">
        <f t="shared" si="3"/>
        <v>249272.36599999998</v>
      </c>
      <c r="K30" s="831">
        <f t="shared" si="4"/>
        <v>8.7521981926078116E-2</v>
      </c>
      <c r="L30" s="831">
        <f t="shared" si="5"/>
        <v>5.6978905968910212E-2</v>
      </c>
      <c r="M30" s="831">
        <f t="shared" si="6"/>
        <v>4.1251503445836939E-2</v>
      </c>
      <c r="N30" s="831">
        <f t="shared" si="7"/>
        <v>6.8944803604649454E-2</v>
      </c>
      <c r="O30" s="831">
        <f t="shared" si="8"/>
        <v>8.8640827986111267E-2</v>
      </c>
      <c r="P30" s="831">
        <f t="shared" si="9"/>
        <v>5.8030187021763172E-2</v>
      </c>
      <c r="Q30" s="831">
        <f t="shared" si="10"/>
        <v>4.1789268642803308E-2</v>
      </c>
      <c r="R30" s="831">
        <f t="shared" si="11"/>
        <v>6.9415661022589656E-2</v>
      </c>
      <c r="S30" s="896">
        <f t="shared" si="12"/>
        <v>-1.1188460600331518E-3</v>
      </c>
      <c r="T30" s="896">
        <f t="shared" si="2"/>
        <v>-1.0512810528529593E-3</v>
      </c>
      <c r="U30" s="896">
        <f t="shared" si="2"/>
        <v>-5.3776519696636937E-4</v>
      </c>
      <c r="V30" s="896">
        <f t="shared" si="2"/>
        <v>-4.7085741794020142E-4</v>
      </c>
    </row>
    <row r="31" spans="2:22">
      <c r="B31" s="8" t="str">
        <f>RAW_DATA_INPUTS!B94</f>
        <v>Music</v>
      </c>
      <c r="C31" s="829">
        <f>RAW_DATA_INPUTS!C94</f>
        <v>54903.881000000001</v>
      </c>
      <c r="D31" s="829">
        <f>RAW_DATA_INPUTS!D94</f>
        <v>17857.437000000002</v>
      </c>
      <c r="E31" s="829">
        <f>RAW_DATA_INPUTS!E94</f>
        <v>11148.754000000001</v>
      </c>
      <c r="F31" s="830">
        <f t="shared" si="0"/>
        <v>83910.072</v>
      </c>
      <c r="G31" s="739">
        <v>55850.633000000002</v>
      </c>
      <c r="H31" s="739">
        <v>18579.723000000002</v>
      </c>
      <c r="I31" s="739">
        <v>12574.789000000001</v>
      </c>
      <c r="J31" s="830">
        <f t="shared" si="3"/>
        <v>87005.145000000004</v>
      </c>
      <c r="K31" s="831">
        <f t="shared" si="4"/>
        <v>3.235781351033299E-2</v>
      </c>
      <c r="L31" s="831">
        <f t="shared" si="5"/>
        <v>1.4189019842268683E-2</v>
      </c>
      <c r="M31" s="831">
        <f t="shared" si="6"/>
        <v>1.8755385983879783E-2</v>
      </c>
      <c r="N31" s="831">
        <f t="shared" si="7"/>
        <v>2.3638357076940689E-2</v>
      </c>
      <c r="O31" s="831">
        <f t="shared" si="8"/>
        <v>3.3472902427142216E-2</v>
      </c>
      <c r="P31" s="831">
        <f t="shared" si="9"/>
        <v>1.4346379228642977E-2</v>
      </c>
      <c r="Q31" s="831">
        <f t="shared" si="10"/>
        <v>2.0042801750750499E-2</v>
      </c>
      <c r="R31" s="831">
        <f t="shared" si="11"/>
        <v>2.4228596813419993E-2</v>
      </c>
      <c r="S31" s="896">
        <f t="shared" si="12"/>
        <v>-1.1150889168092259E-3</v>
      </c>
      <c r="T31" s="896">
        <f t="shared" si="2"/>
        <v>-1.5735938637429468E-4</v>
      </c>
      <c r="U31" s="896">
        <f t="shared" si="2"/>
        <v>-1.2874157668707163E-3</v>
      </c>
      <c r="V31" s="896">
        <f t="shared" si="2"/>
        <v>-5.9023973647930397E-4</v>
      </c>
    </row>
    <row r="32" spans="2:22">
      <c r="B32" s="8" t="str">
        <f>RAW_DATA_INPUTS!B95</f>
        <v>Others</v>
      </c>
      <c r="C32" s="829">
        <f>RAW_DATA_INPUTS!C95</f>
        <v>59308.925000000003</v>
      </c>
      <c r="D32" s="829">
        <f>RAW_DATA_INPUTS!D95</f>
        <v>67392.100000000006</v>
      </c>
      <c r="E32" s="829">
        <f>RAW_DATA_INPUTS!E95</f>
        <v>128824.522</v>
      </c>
      <c r="F32" s="830">
        <f t="shared" si="0"/>
        <v>255525.54700000002</v>
      </c>
      <c r="G32" s="739">
        <v>58971.631999999998</v>
      </c>
      <c r="H32" s="739">
        <v>74598.426000000007</v>
      </c>
      <c r="I32" s="739">
        <v>133379.397</v>
      </c>
      <c r="J32" s="830">
        <f t="shared" si="3"/>
        <v>266949.45500000002</v>
      </c>
      <c r="K32" s="831">
        <f t="shared" si="4"/>
        <v>3.4953943140163916E-2</v>
      </c>
      <c r="L32" s="831">
        <f t="shared" si="5"/>
        <v>5.3547877229646969E-2</v>
      </c>
      <c r="M32" s="831">
        <f t="shared" si="6"/>
        <v>0.21671961138426882</v>
      </c>
      <c r="N32" s="831">
        <f t="shared" si="7"/>
        <v>7.198425621976097E-2</v>
      </c>
      <c r="O32" s="831">
        <f t="shared" si="8"/>
        <v>3.5343407547508678E-2</v>
      </c>
      <c r="P32" s="831">
        <f t="shared" si="9"/>
        <v>5.7601359786465071E-2</v>
      </c>
      <c r="Q32" s="831">
        <f t="shared" si="10"/>
        <v>0.21259178278901109</v>
      </c>
      <c r="R32" s="831">
        <f t="shared" si="11"/>
        <v>7.4338255683123147E-2</v>
      </c>
      <c r="S32" s="896">
        <f t="shared" si="12"/>
        <v>-3.8946440734476118E-4</v>
      </c>
      <c r="T32" s="896">
        <f t="shared" si="2"/>
        <v>-4.0534825568181027E-3</v>
      </c>
      <c r="U32" s="896">
        <f t="shared" si="2"/>
        <v>4.127828595257732E-3</v>
      </c>
      <c r="V32" s="896">
        <f t="shared" si="2"/>
        <v>-2.3539994633621775E-3</v>
      </c>
    </row>
    <row r="33" spans="1:22">
      <c r="B33" s="8" t="str">
        <f>RAW_DATA_INPUTS!B96</f>
        <v>Physical Education</v>
      </c>
      <c r="C33" s="829">
        <f>RAW_DATA_INPUTS!C96</f>
        <v>142895.329</v>
      </c>
      <c r="D33" s="829">
        <f>RAW_DATA_INPUTS!D96</f>
        <v>104517.289</v>
      </c>
      <c r="E33" s="829">
        <f>RAW_DATA_INPUTS!E96</f>
        <v>28662.151999999998</v>
      </c>
      <c r="F33" s="830">
        <f t="shared" si="0"/>
        <v>276074.77</v>
      </c>
      <c r="G33" s="739">
        <v>141578.06400000001</v>
      </c>
      <c r="H33" s="739">
        <v>110276.962</v>
      </c>
      <c r="I33" s="739">
        <v>31817.552</v>
      </c>
      <c r="J33" s="830">
        <f t="shared" si="3"/>
        <v>283672.57800000004</v>
      </c>
      <c r="K33" s="831">
        <f t="shared" si="4"/>
        <v>8.421591193671131E-2</v>
      </c>
      <c r="L33" s="831">
        <f t="shared" si="5"/>
        <v>8.3046513756768692E-2</v>
      </c>
      <c r="M33" s="831">
        <f t="shared" si="6"/>
        <v>4.821791958891835E-2</v>
      </c>
      <c r="N33" s="831">
        <f t="shared" si="7"/>
        <v>7.7773190245794016E-2</v>
      </c>
      <c r="O33" s="831">
        <f t="shared" si="8"/>
        <v>8.4851835467929182E-2</v>
      </c>
      <c r="P33" s="831">
        <f t="shared" si="9"/>
        <v>8.5150629911686565E-2</v>
      </c>
      <c r="Q33" s="831">
        <f t="shared" si="10"/>
        <v>5.071360536786701E-2</v>
      </c>
      <c r="R33" s="831">
        <f t="shared" si="11"/>
        <v>7.8995196426434725E-2</v>
      </c>
      <c r="S33" s="896">
        <f t="shared" si="12"/>
        <v>-6.3592353121787182E-4</v>
      </c>
      <c r="T33" s="896">
        <f t="shared" ref="T33:V35" si="13">L33-P33</f>
        <v>-2.1041161549178733E-3</v>
      </c>
      <c r="U33" s="896">
        <f t="shared" si="13"/>
        <v>-2.49568577894866E-3</v>
      </c>
      <c r="V33" s="896">
        <f t="shared" si="13"/>
        <v>-1.2220061806407084E-3</v>
      </c>
    </row>
    <row r="34" spans="1:22">
      <c r="B34" s="8" t="str">
        <f>RAW_DATA_INPUTS!B97</f>
        <v>Physics</v>
      </c>
      <c r="C34" s="829">
        <f>RAW_DATA_INPUTS!C97</f>
        <v>68986.042000000001</v>
      </c>
      <c r="D34" s="829">
        <f>RAW_DATA_INPUTS!D97</f>
        <v>76741.864000000001</v>
      </c>
      <c r="E34" s="829">
        <f>RAW_DATA_INPUTS!E97</f>
        <v>26058.458999999999</v>
      </c>
      <c r="F34" s="830">
        <f t="shared" si="0"/>
        <v>171786.36500000002</v>
      </c>
      <c r="G34" s="739">
        <v>64655.423999999999</v>
      </c>
      <c r="H34" s="739">
        <v>77173.383000000002</v>
      </c>
      <c r="I34" s="739">
        <v>27005.766</v>
      </c>
      <c r="J34" s="830">
        <f t="shared" si="3"/>
        <v>168834.573</v>
      </c>
      <c r="K34" s="831">
        <f t="shared" si="4"/>
        <v>4.0657189276874596E-2</v>
      </c>
      <c r="L34" s="831">
        <f t="shared" si="5"/>
        <v>6.0976938125481536E-2</v>
      </c>
      <c r="M34" s="831">
        <f t="shared" si="6"/>
        <v>4.3837764891942715E-2</v>
      </c>
      <c r="N34" s="831">
        <f t="shared" si="7"/>
        <v>4.839404066796256E-2</v>
      </c>
      <c r="O34" s="831">
        <f t="shared" si="8"/>
        <v>3.8749868760440169E-2</v>
      </c>
      <c r="P34" s="831">
        <f t="shared" si="9"/>
        <v>5.9589619224964169E-2</v>
      </c>
      <c r="Q34" s="831">
        <f t="shared" si="10"/>
        <v>4.3044158758064117E-2</v>
      </c>
      <c r="R34" s="831">
        <f t="shared" si="11"/>
        <v>4.7015895409207406E-2</v>
      </c>
      <c r="S34" s="896">
        <f t="shared" si="12"/>
        <v>1.907320516434427E-3</v>
      </c>
      <c r="T34" s="896">
        <f t="shared" si="13"/>
        <v>1.3873189005173675E-3</v>
      </c>
      <c r="U34" s="896">
        <f t="shared" si="13"/>
        <v>7.9360613387859796E-4</v>
      </c>
      <c r="V34" s="896">
        <f t="shared" si="13"/>
        <v>1.3781452587551535E-3</v>
      </c>
    </row>
    <row r="35" spans="1:22">
      <c r="B35" s="8" t="str">
        <f>RAW_DATA_INPUTS!B98</f>
        <v>Religious Education</v>
      </c>
      <c r="C35" s="829">
        <f>RAW_DATA_INPUTS!C98</f>
        <v>63016.98</v>
      </c>
      <c r="D35" s="829">
        <f>RAW_DATA_INPUTS!D98</f>
        <v>44038.864999999998</v>
      </c>
      <c r="E35" s="829">
        <f>RAW_DATA_INPUTS!E98</f>
        <v>16416.023000000001</v>
      </c>
      <c r="F35" s="830">
        <f t="shared" si="0"/>
        <v>123471.868</v>
      </c>
      <c r="G35" s="739">
        <v>61605.822999999997</v>
      </c>
      <c r="H35" s="739">
        <v>45806.561999999998</v>
      </c>
      <c r="I35" s="739">
        <v>17043.651000000002</v>
      </c>
      <c r="J35" s="830">
        <f t="shared" si="3"/>
        <v>124456.03599999999</v>
      </c>
      <c r="K35" s="831">
        <f t="shared" si="4"/>
        <v>3.7139299621175847E-2</v>
      </c>
      <c r="L35" s="831">
        <f t="shared" si="5"/>
        <v>3.4992050052647071E-2</v>
      </c>
      <c r="M35" s="831">
        <f t="shared" si="6"/>
        <v>2.761643567391012E-2</v>
      </c>
      <c r="N35" s="831">
        <f t="shared" si="7"/>
        <v>3.4783334529147905E-2</v>
      </c>
      <c r="O35" s="831">
        <f t="shared" si="8"/>
        <v>3.6922154529972717E-2</v>
      </c>
      <c r="P35" s="831">
        <f t="shared" si="9"/>
        <v>3.5369650538511613E-2</v>
      </c>
      <c r="Q35" s="831">
        <f t="shared" si="10"/>
        <v>2.7165666008549371E-2</v>
      </c>
      <c r="R35" s="831">
        <f t="shared" si="11"/>
        <v>3.4657664408702306E-2</v>
      </c>
      <c r="S35" s="896">
        <f t="shared" si="12"/>
        <v>2.171450912031303E-4</v>
      </c>
      <c r="T35" s="896">
        <f t="shared" si="13"/>
        <v>-3.7760048586454181E-4</v>
      </c>
      <c r="U35" s="896">
        <f t="shared" si="13"/>
        <v>4.5076966536074931E-4</v>
      </c>
      <c r="V35" s="896">
        <f t="shared" si="13"/>
        <v>1.2567012044559928E-4</v>
      </c>
    </row>
    <row r="36" spans="1:22">
      <c r="B36" s="8" t="str">
        <f>RAW_DATA_INPUTS!B99</f>
        <v>Total</v>
      </c>
      <c r="C36" s="830">
        <f>SUM(C17:C35)</f>
        <v>1696773.5159999998</v>
      </c>
      <c r="D36" s="830">
        <f t="shared" ref="D36:J36" si="14">SUM(D17:D35)</f>
        <v>1258539.152</v>
      </c>
      <c r="E36" s="830">
        <f t="shared" si="14"/>
        <v>594429.46200000006</v>
      </c>
      <c r="F36" s="830">
        <f t="shared" si="14"/>
        <v>3549742.1299999994</v>
      </c>
      <c r="G36" s="830">
        <f t="shared" si="14"/>
        <v>1668532.7219999998</v>
      </c>
      <c r="H36" s="830">
        <f t="shared" si="14"/>
        <v>1295080.9889999998</v>
      </c>
      <c r="I36" s="830">
        <v>627396.76599999995</v>
      </c>
      <c r="J36" s="830">
        <f t="shared" si="14"/>
        <v>3591010.477</v>
      </c>
      <c r="K36" s="832">
        <f>SUM(K17:K35)</f>
        <v>1</v>
      </c>
      <c r="L36" s="832">
        <f t="shared" ref="L36:R36" si="15">SUM(L17:L35)</f>
        <v>1.0000000000000002</v>
      </c>
      <c r="M36" s="832">
        <f t="shared" si="15"/>
        <v>0.99999999999999989</v>
      </c>
      <c r="N36" s="832">
        <f t="shared" si="15"/>
        <v>1.0000000000000002</v>
      </c>
      <c r="O36" s="832">
        <f t="shared" si="15"/>
        <v>1</v>
      </c>
      <c r="P36" s="832">
        <f t="shared" si="15"/>
        <v>1.0000000000000002</v>
      </c>
      <c r="Q36" s="832">
        <f t="shared" si="15"/>
        <v>0.99999999999999989</v>
      </c>
      <c r="R36" s="832">
        <f t="shared" si="15"/>
        <v>1</v>
      </c>
      <c r="S36" s="833"/>
      <c r="T36" s="833"/>
      <c r="U36" s="833"/>
      <c r="V36" s="833"/>
    </row>
    <row r="37" spans="1:22">
      <c r="A37" s="183">
        <f>SUM(K37:R37)</f>
        <v>0</v>
      </c>
      <c r="K37" s="701">
        <f>1-K36</f>
        <v>0</v>
      </c>
      <c r="L37" s="701">
        <f t="shared" ref="L37:R37" si="16">1-L36</f>
        <v>0</v>
      </c>
      <c r="M37" s="701">
        <f t="shared" si="16"/>
        <v>0</v>
      </c>
      <c r="N37" s="701">
        <f t="shared" si="16"/>
        <v>0</v>
      </c>
      <c r="O37" s="701">
        <f t="shared" si="16"/>
        <v>0</v>
      </c>
      <c r="P37" s="701">
        <f t="shared" si="16"/>
        <v>0</v>
      </c>
      <c r="Q37" s="701">
        <f t="shared" si="16"/>
        <v>0</v>
      </c>
      <c r="R37" s="701">
        <f t="shared" si="16"/>
        <v>0</v>
      </c>
    </row>
  </sheetData>
  <mergeCells count="9">
    <mergeCell ref="B14:B16"/>
    <mergeCell ref="C15:J15"/>
    <mergeCell ref="C14:F14"/>
    <mergeCell ref="G14:J14"/>
    <mergeCell ref="S14:V14"/>
    <mergeCell ref="O14:R14"/>
    <mergeCell ref="S15:V15"/>
    <mergeCell ref="K14:N14"/>
    <mergeCell ref="K15:R1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13AD82A4-B367-42D9-BCAC-874A564B0824}">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3</vt:i4>
      </vt:variant>
    </vt:vector>
  </HeadingPairs>
  <TitlesOfParts>
    <vt:vector size="101" baseType="lpstr">
      <vt:lpstr>Title_&amp;_Contents</vt:lpstr>
      <vt:lpstr>Details</vt:lpstr>
      <vt:lpstr>Map_of_sheets</vt:lpstr>
      <vt:lpstr>Subject_groupings_defined</vt:lpstr>
      <vt:lpstr>FINAL_OUTPUTS_OF_ITT_PLACES</vt:lpstr>
      <vt:lpstr>USER_TESTING_TAB</vt:lpstr>
      <vt:lpstr>SUMMARY_OUTPUTS</vt:lpstr>
      <vt:lpstr>Entrant_need_charts_over_time</vt:lpstr>
      <vt:lpstr>Teacher_need_charts_over_time</vt:lpstr>
      <vt:lpstr>Pupil_Projections_scenarios</vt:lpstr>
      <vt:lpstr>RAW_DATA_INPUTS</vt:lpstr>
      <vt:lpstr>Policy_assumptions_PRIM</vt:lpstr>
      <vt:lpstr>Policy_assumptions_SEC</vt:lpstr>
      <vt:lpstr>Data_selected_by_user_testing</vt:lpstr>
      <vt:lpstr>Increased_EBacc_scenario_data</vt:lpstr>
      <vt:lpstr>Calc_PRIM_retirement_rates</vt:lpstr>
      <vt:lpstr>Calc_SEC_retirement_rates</vt:lpstr>
      <vt:lpstr>Calc_PRIM_death_rates</vt:lpstr>
      <vt:lpstr>Calc_SEC_death_rates</vt:lpstr>
      <vt:lpstr>Calculation_PRIM_wastage_rates</vt:lpstr>
      <vt:lpstr>Calculation_SEC_wastage_rates</vt:lpstr>
      <vt:lpstr>Projected_PRIM_wastage_rates</vt:lpstr>
      <vt:lpstr>Projected_SEC_wastage_rates</vt:lpstr>
      <vt:lpstr>Group_1_rates</vt:lpstr>
      <vt:lpstr>Group_2_rates</vt:lpstr>
      <vt:lpstr>Group_3_rates</vt:lpstr>
      <vt:lpstr>Stock_calculations</vt:lpstr>
      <vt:lpstr>Stock_ages_breakdowns</vt:lpstr>
      <vt:lpstr>Pupils_data_scenarios</vt:lpstr>
      <vt:lpstr>Calc_Primary_teacher_need</vt:lpstr>
      <vt:lpstr>Calc_overall_Sec_teacher_need</vt:lpstr>
      <vt:lpstr>Teacher_need_by_subject</vt:lpstr>
      <vt:lpstr>Forecast_stock_figures</vt:lpstr>
      <vt:lpstr>Entrant_age_breakdowns</vt:lpstr>
      <vt:lpstr>Primary_1</vt:lpstr>
      <vt:lpstr>Art_&amp;_Design_1</vt:lpstr>
      <vt:lpstr>Biology_1</vt:lpstr>
      <vt:lpstr>Business_Studies_1</vt:lpstr>
      <vt:lpstr>Chemistry_1</vt:lpstr>
      <vt:lpstr>Classics_1</vt:lpstr>
      <vt:lpstr>Computing_1</vt:lpstr>
      <vt:lpstr>Design_&amp;_Technology_1</vt:lpstr>
      <vt:lpstr>Drama_1</vt:lpstr>
      <vt:lpstr>English_1</vt:lpstr>
      <vt:lpstr>Food_1</vt:lpstr>
      <vt:lpstr>Geography_1</vt:lpstr>
      <vt:lpstr>History_1</vt:lpstr>
      <vt:lpstr>Mathematics_1</vt:lpstr>
      <vt:lpstr>Modern_Foreign_Languages_1</vt:lpstr>
      <vt:lpstr>Music_1</vt:lpstr>
      <vt:lpstr>Others_1</vt:lpstr>
      <vt:lpstr>Physical_Education_1</vt:lpstr>
      <vt:lpstr>Physics_1</vt:lpstr>
      <vt:lpstr>Religious_Education_1</vt:lpstr>
      <vt:lpstr>OUTPUTS_FOR_SECTION_2_OF_MODEL</vt:lpstr>
      <vt:lpstr>Calc_PRIM_entrant_rates</vt:lpstr>
      <vt:lpstr>Calc_SEC_entrant_rates</vt:lpstr>
      <vt:lpstr>Calc_PRIM_part-time_entrants</vt:lpstr>
      <vt:lpstr>Calc_SEC_part-time_entrants</vt:lpstr>
      <vt:lpstr>Primary_2</vt:lpstr>
      <vt:lpstr>Art_&amp;_Design_2</vt:lpstr>
      <vt:lpstr>Biology_2</vt:lpstr>
      <vt:lpstr>Business_Studies_2</vt:lpstr>
      <vt:lpstr>Chemistry_2</vt:lpstr>
      <vt:lpstr>Classics_2</vt:lpstr>
      <vt:lpstr>Computing_2</vt:lpstr>
      <vt:lpstr>Design_&amp;_Technology_2</vt:lpstr>
      <vt:lpstr>Drama_2</vt:lpstr>
      <vt:lpstr>English_2</vt:lpstr>
      <vt:lpstr>Food_2</vt:lpstr>
      <vt:lpstr>Geography_2</vt:lpstr>
      <vt:lpstr>History_2</vt:lpstr>
      <vt:lpstr>Mathematics_2</vt:lpstr>
      <vt:lpstr>Modern_Foreign_Languages_2</vt:lpstr>
      <vt:lpstr>Music_2</vt:lpstr>
      <vt:lpstr>Others_2</vt:lpstr>
      <vt:lpstr>Physical_Education_2</vt:lpstr>
      <vt:lpstr>Physics_2</vt:lpstr>
      <vt:lpstr>Religious_Education_2</vt:lpstr>
      <vt:lpstr>Re-entrants_expected</vt:lpstr>
      <vt:lpstr>New_to_SF_sector_expected</vt:lpstr>
      <vt:lpstr>NQT_entrants_required_inc_UGs</vt:lpstr>
      <vt:lpstr>Entrants_via_other_initiatives</vt:lpstr>
      <vt:lpstr>Check_of_all_entrant_numbers</vt:lpstr>
      <vt:lpstr>Calc_long_term_NQT_entrants</vt:lpstr>
      <vt:lpstr>Outputs_for_conversion_rates</vt:lpstr>
      <vt:lpstr>Conversion_rates_table</vt:lpstr>
      <vt:lpstr>Assumptions_data</vt:lpstr>
      <vt:lpstr>Teacher_need_figures</vt:lpstr>
      <vt:lpstr>Entrant_need_figures</vt:lpstr>
      <vt:lpstr>Wastage_over_time</vt:lpstr>
      <vt:lpstr>Retirements_over_time</vt:lpstr>
      <vt:lpstr>Deaths_over_time</vt:lpstr>
      <vt:lpstr>Leavers_over_time</vt:lpstr>
      <vt:lpstr>Outputs_with_historical_data</vt:lpstr>
      <vt:lpstr>Comparison_of_pupil_projns</vt:lpstr>
      <vt:lpstr>Historical_and_projected_ITT</vt:lpstr>
      <vt:lpstr>Changes_in_subject_teaching_hrs</vt:lpstr>
      <vt:lpstr>CurrentVersion</vt:lpstr>
      <vt:lpstr>ModelBanner</vt:lpstr>
      <vt:lpstr>ModelName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Melissa.COOK@education.gsi.gov.uk</dc:creator>
  <cp:lastModifiedBy>LOCKHART, Thomas</cp:lastModifiedBy>
  <cp:lastPrinted>2017-10-18T08:39:27Z</cp:lastPrinted>
  <dcterms:created xsi:type="dcterms:W3CDTF">2011-09-21T15:03:21Z</dcterms:created>
  <dcterms:modified xsi:type="dcterms:W3CDTF">2017-10-25T08:57:35Z</dcterms:modified>
</cp:coreProperties>
</file>